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ow to use" sheetId="1" state="visible" r:id="rId1"/>
    <sheet xmlns:r="http://schemas.openxmlformats.org/officeDocument/2006/relationships" name="2. Talent Mapping" sheetId="2" state="visible" r:id="rId2"/>
    <sheet xmlns:r="http://schemas.openxmlformats.org/officeDocument/2006/relationships" name="3. Raw Data" sheetId="3" state="visible" r:id="rId3"/>
    <sheet xmlns:r="http://schemas.openxmlformats.org/officeDocument/2006/relationships" name="4. Market Benchmark" sheetId="4" state="visible" r:id="rId4"/>
    <sheet xmlns:r="http://schemas.openxmlformats.org/officeDocument/2006/relationships" name="5. Department Ladder" sheetId="5" state="visible" r:id="rId5"/>
    <sheet xmlns:r="http://schemas.openxmlformats.org/officeDocument/2006/relationships" name="RB · Administration, Legal &amp; Se" sheetId="6" state="visible" r:id="rId6"/>
    <sheet xmlns:r="http://schemas.openxmlformats.org/officeDocument/2006/relationships" name="RB · Business Analysis" sheetId="7" state="visible" r:id="rId7"/>
    <sheet xmlns:r="http://schemas.openxmlformats.org/officeDocument/2006/relationships" name="RB · Consulting &amp; Professional" sheetId="8" state="visible" r:id="rId8"/>
    <sheet xmlns:r="http://schemas.openxmlformats.org/officeDocument/2006/relationships" name="RB · Customer Success &amp; Support" sheetId="9" state="visible" r:id="rId9"/>
    <sheet xmlns:r="http://schemas.openxmlformats.org/officeDocument/2006/relationships" name="RB · Data &amp; Analytics" sheetId="10" state="visible" r:id="rId10"/>
    <sheet xmlns:r="http://schemas.openxmlformats.org/officeDocument/2006/relationships" name="RB · Data Operations &amp; Digitiza" sheetId="11" state="visible" r:id="rId11"/>
    <sheet xmlns:r="http://schemas.openxmlformats.org/officeDocument/2006/relationships" name="RB · Design &amp; Creative" sheetId="12" state="visible" r:id="rId12"/>
    <sheet xmlns:r="http://schemas.openxmlformats.org/officeDocument/2006/relationships" name="RB · Engineering &amp; Architecture" sheetId="13" state="visible" r:id="rId13"/>
    <sheet xmlns:r="http://schemas.openxmlformats.org/officeDocument/2006/relationships" name="RB · Engineering &amp; Development" sheetId="14" state="visible" r:id="rId14"/>
    <sheet xmlns:r="http://schemas.openxmlformats.org/officeDocument/2006/relationships" name="RB · Executive Leadership" sheetId="15" state="visible" r:id="rId15"/>
    <sheet xmlns:r="http://schemas.openxmlformats.org/officeDocument/2006/relationships" name="RB · Finance &amp; Accounts" sheetId="16" state="visible" r:id="rId16"/>
    <sheet xmlns:r="http://schemas.openxmlformats.org/officeDocument/2006/relationships" name="RB · Human Resources" sheetId="17" state="visible" r:id="rId17"/>
    <sheet xmlns:r="http://schemas.openxmlformats.org/officeDocument/2006/relationships" name="RB · IT &amp; Infrastructure" sheetId="18" state="visible" r:id="rId18"/>
    <sheet xmlns:r="http://schemas.openxmlformats.org/officeDocument/2006/relationships" name="RB · Marketing &amp; Communications" sheetId="19" state="visible" r:id="rId19"/>
    <sheet xmlns:r="http://schemas.openxmlformats.org/officeDocument/2006/relationships" name="RB · Product Management" sheetId="20" state="visible" r:id="rId20"/>
    <sheet xmlns:r="http://schemas.openxmlformats.org/officeDocument/2006/relationships" name="RB · Project &amp; Program Manageme" sheetId="21" state="visible" r:id="rId21"/>
    <sheet xmlns:r="http://schemas.openxmlformats.org/officeDocument/2006/relationships" name="RB · Quality Assurance" sheetId="22" state="visible" r:id="rId22"/>
    <sheet xmlns:r="http://schemas.openxmlformats.org/officeDocument/2006/relationships" name="RB · Sales &amp; Business Developme" sheetId="23" state="visible" r:id="rId23"/>
    <sheet xmlns:r="http://schemas.openxmlformats.org/officeDocument/2006/relationships" name="RB · Solution Consulting &amp; Impl" sheetId="24" state="visible" r:id="rId24"/>
    <sheet xmlns:r="http://schemas.openxmlformats.org/officeDocument/2006/relationships" name="RB · Unassigned" sheetId="25" state="visible" r:id="rId25"/>
    <sheet xmlns:r="http://schemas.openxmlformats.org/officeDocument/2006/relationships" name="Backend Data" sheetId="26" state="visible" r:id="rId26"/>
  </sheets>
  <definedNames>
    <definedName name="LMH_KEY">'Backend Data'!$A$7:$A$9</definedName>
    <definedName name="LMH_PTS">'Backend Data'!$C$7:$C$9</definedName>
    <definedName name="LMH_STEP">'Backend Data'!$D$7:$D$9</definedName>
    <definedName name="B_LVL">'Backend Data'!$A$14:$A$30</definedName>
    <definedName name="B_VAL">'Backend Data'!$B$14:$B$30</definedName>
    <definedName name="B_RANK">'Backend Data'!$D$14:$D$30</definedName>
    <definedName name="LAD_STD">'Backend Data'!$E$14:$E$25</definedName>
    <definedName name="LAD_PC">'Backend Data'!$F$14:$F$27</definedName>
    <definedName name="LIST_LEVELS">'Backend Data'!$A$14:$A$30</definedName>
    <definedName name="RBD_KEY">'Backend Data'!$A$34:$A$413</definedName>
    <definedName name="RBD_C">'Backend Data'!$E$34:$E$413</definedName>
    <definedName name="RBD_Au">'Backend Data'!$F$34:$F$413</definedName>
    <definedName name="RBD_Ac">'Backend Data'!$G$34:$G$413</definedName>
    <definedName name="RBD_L">'Backend Data'!$H$34:$H$413</definedName>
    <definedName name="RBD_BI">'Backend Data'!$I$34:$I$413</definedName>
    <definedName name="RBD_Exp">'Backend Data'!$J$34:$J$413</definedName>
    <definedName name="RBD_Edu">'Backend Data'!$K$34:$K$413</definedName>
    <definedName name="LIST_LMH">'Backend Data'!$A$416:$A$418</definedName>
    <definedName name="DL_KEY">'5. Department Ladder'!$Y$7:$Y$297</definedName>
    <definedName name="DL_C">'5. Department Ladder'!$J$7:$J$297</definedName>
    <definedName name="DL_Au">'5. Department Ladder'!$K$7:$K$297</definedName>
    <definedName name="DL_Ac">'5. Department Ladder'!$L$7:$L$297</definedName>
    <definedName name="DL_L">'5. Department Ladder'!$M$7:$M$297</definedName>
    <definedName name="DL_BI">'5. Department Ladder'!$N$7:$N$297</definedName>
    <definedName name="DL_Exp">'5. Department Ladder'!$O$7:$O$297</definedName>
    <definedName name="DL_Edu">'5. Department Ladder'!$P$7:$P$297</definedName>
    <definedName name="_xlnm._FilterDatabase" localSheetId="1" hidden="1">'2. Talent Mapping'!$A$6:$CA$592</definedName>
    <definedName name="_xlnm._FilterDatabase" localSheetId="2" hidden="1">'3. Raw Data'!$A$6:$FU$612</definedName>
    <definedName name="_xlnm._FilterDatabase" localSheetId="4" hidden="1">'5. Department Ladder'!$A$6:$Y$297</definedName>
    <definedName name="_xlnm._FilterDatabase" localSheetId="5" hidden="1">'RB · Administration, Legal &amp; Se'!$A$5:$AL$24</definedName>
    <definedName name="_xlnm._FilterDatabase" localSheetId="6" hidden="1">'RB · Business Analysis'!$A$5:$AL$24</definedName>
    <definedName name="_xlnm._FilterDatabase" localSheetId="7" hidden="1">'RB · Consulting &amp; Professional'!$A$5:$AL$24</definedName>
    <definedName name="_xlnm._FilterDatabase" localSheetId="8" hidden="1">'RB · Customer Success &amp; Support'!$A$5:$AL$24</definedName>
    <definedName name="_xlnm._FilterDatabase" localSheetId="9" hidden="1">'RB · Data &amp; Analytics'!$A$5:$AL$24</definedName>
    <definedName name="_xlnm._FilterDatabase" localSheetId="10" hidden="1">'RB · Data Operations &amp; Digitiza'!$A$5:$AL$24</definedName>
    <definedName name="_xlnm._FilterDatabase" localSheetId="11" hidden="1">'RB · Design &amp; Creative'!$A$5:$AL$24</definedName>
    <definedName name="_xlnm._FilterDatabase" localSheetId="12" hidden="1">'RB · Engineering &amp; Architecture'!$A$5:$AL$24</definedName>
    <definedName name="_xlnm._FilterDatabase" localSheetId="13" hidden="1">'RB · Engineering &amp; Development'!$A$5:$AL$24</definedName>
    <definedName name="_xlnm._FilterDatabase" localSheetId="14" hidden="1">'RB · Executive Leadership'!$A$5:$AL$24</definedName>
    <definedName name="_xlnm._FilterDatabase" localSheetId="15" hidden="1">'RB · Finance &amp; Accounts'!$A$5:$AL$24</definedName>
    <definedName name="_xlnm._FilterDatabase" localSheetId="16" hidden="1">'RB · Human Resources'!$A$5:$AL$24</definedName>
    <definedName name="_xlnm._FilterDatabase" localSheetId="17" hidden="1">'RB · IT &amp; Infrastructure'!$A$5:$AL$24</definedName>
    <definedName name="_xlnm._FilterDatabase" localSheetId="18" hidden="1">'RB · Marketing &amp; Communications'!$A$5:$AL$24</definedName>
    <definedName name="_xlnm._FilterDatabase" localSheetId="19" hidden="1">'RB · Product Management'!$A$5:$AL$24</definedName>
    <definedName name="_xlnm._FilterDatabase" localSheetId="20" hidden="1">'RB · Project &amp; Program Manageme'!$A$5:$AL$24</definedName>
    <definedName name="_xlnm._FilterDatabase" localSheetId="21" hidden="1">'RB · Quality Assurance'!$A$5:$AL$24</definedName>
    <definedName name="_xlnm._FilterDatabase" localSheetId="22" hidden="1">'RB · Sales &amp; Business Developme'!$A$14:$AL$33</definedName>
    <definedName name="_xlnm._FilterDatabase" localSheetId="23" hidden="1">'RB · Solution Consulting &amp; Impl'!$A$5:$AL$24</definedName>
    <definedName name="_xlnm._FilterDatabase" localSheetId="24" hidden="1">'RB · Unassigned'!$A$5:$AL$24</definedName>
  </definedNames>
  <calcPr calcId="124519" fullCalcOnLoad="1"/>
</workbook>
</file>

<file path=xl/styles.xml><?xml version="1.0" encoding="utf-8"?>
<styleSheet xmlns="http://schemas.openxmlformats.org/spreadsheetml/2006/main">
  <numFmts count="1">
    <numFmt numFmtId="164" formatCode="yyyy-mm-dd h:mm:ss"/>
  </numFmts>
  <fonts count="18">
    <font>
      <name val="Calibri"/>
      <family val="2"/>
      <color theme="1"/>
      <sz val="11"/>
      <scheme val="minor"/>
    </font>
    <font>
      <name val="Calibri"/>
      <b val="1"/>
      <color rgb="001F3864"/>
      <sz val="16"/>
    </font>
    <font>
      <name val="Calibri"/>
      <color rgb="00404040"/>
      <sz val="10"/>
    </font>
    <font>
      <name val="Calibri"/>
      <i val="1"/>
      <color rgb="00808080"/>
      <sz val="8"/>
    </font>
    <font>
      <name val="Calibri"/>
      <color rgb="000563C1"/>
      <sz val="9"/>
      <u val="single"/>
    </font>
    <font>
      <name val="Calibri"/>
      <b val="1"/>
      <color rgb="00FFFFFF"/>
      <sz val="10"/>
    </font>
    <font>
      <name val="Calibri"/>
      <b val="1"/>
      <color rgb="00FFFFFF"/>
      <sz val="9"/>
    </font>
    <font>
      <name val="Calibri"/>
      <color rgb="00000000"/>
      <sz val="9"/>
    </font>
    <font>
      <name val="Calibri"/>
      <b val="1"/>
      <color rgb="00000000"/>
      <sz val="9"/>
    </font>
    <font>
      <name val="Calibri"/>
      <b val="1"/>
      <color rgb="00000000"/>
      <sz val="10"/>
    </font>
    <font>
      <name val="Calibri"/>
      <b val="1"/>
      <color rgb="00404040"/>
      <sz val="8"/>
    </font>
    <font>
      <name val="Calibri"/>
      <color rgb="009C0006"/>
      <sz val="9"/>
    </font>
    <font>
      <name val="Calibri"/>
      <b val="1"/>
      <color rgb="000563C1"/>
      <sz val="9"/>
      <u val="single"/>
    </font>
    <font>
      <name val="Calibri"/>
      <b val="1"/>
      <color rgb="00000000"/>
      <sz val="11"/>
    </font>
    <font>
      <name val="Calibri"/>
      <b val="1"/>
      <color rgb="00FFFFFF"/>
      <sz val="11"/>
    </font>
    <font>
      <name val="Calibri"/>
      <b val="1"/>
      <i val="1"/>
      <color rgb="00375623"/>
      <sz val="8"/>
    </font>
    <font>
      <name val="Calibri"/>
      <b val="1"/>
      <color rgb="001F3864"/>
      <sz val="10"/>
    </font>
    <font>
      <name val="Calibri"/>
      <color rgb="00000000"/>
      <sz val="10"/>
    </font>
  </fonts>
  <fills count="34">
    <fill>
      <patternFill/>
    </fill>
    <fill>
      <patternFill patternType="gray125"/>
    </fill>
    <fill>
      <patternFill patternType="solid">
        <fgColor rgb="001F3864"/>
      </patternFill>
    </fill>
    <fill>
      <patternFill patternType="solid">
        <fgColor rgb="00595959"/>
      </patternFill>
    </fill>
    <fill>
      <patternFill patternType="solid">
        <fgColor rgb="00FFFFFF"/>
      </patternFill>
    </fill>
    <fill>
      <patternFill patternType="solid">
        <fgColor rgb="00FFF2CC"/>
      </patternFill>
    </fill>
    <fill>
      <patternFill patternType="solid">
        <fgColor rgb="00806000"/>
      </patternFill>
    </fill>
    <fill>
      <patternFill patternType="solid">
        <fgColor rgb="00375623"/>
      </patternFill>
    </fill>
    <fill>
      <patternFill patternType="solid">
        <fgColor rgb="002E75B6"/>
      </patternFill>
    </fill>
    <fill>
      <patternFill patternType="solid">
        <fgColor rgb="003A3838"/>
      </patternFill>
    </fill>
    <fill>
      <patternFill patternType="solid">
        <fgColor rgb="00EEF2F9"/>
      </patternFill>
    </fill>
    <fill>
      <patternFill patternType="solid">
        <fgColor rgb="00EDE7DD"/>
      </patternFill>
    </fill>
    <fill>
      <patternFill patternType="solid">
        <fgColor rgb="00F8F4E6"/>
      </patternFill>
    </fill>
    <fill>
      <patternFill patternType="solid">
        <fgColor rgb="00EAF2E6"/>
      </patternFill>
    </fill>
    <fill>
      <patternFill patternType="solid">
        <fgColor rgb="00EAF3FB"/>
      </patternFill>
    </fill>
    <fill>
      <patternFill patternType="solid">
        <fgColor rgb="00F2F2F2"/>
      </patternFill>
    </fill>
    <fill>
      <patternFill patternType="solid">
        <fgColor rgb="00E4DFEC"/>
      </patternFill>
    </fill>
    <fill>
      <patternFill patternType="solid">
        <fgColor rgb="00A9D08E"/>
      </patternFill>
    </fill>
    <fill>
      <patternFill patternType="solid">
        <fgColor rgb="00D0E8E5"/>
      </patternFill>
    </fill>
    <fill>
      <patternFill patternType="solid">
        <fgColor rgb="00C6E0B4"/>
      </patternFill>
    </fill>
    <fill>
      <patternFill patternType="solid">
        <fgColor rgb="00E2EFDA"/>
      </patternFill>
    </fill>
    <fill>
      <patternFill patternType="solid">
        <fgColor rgb="00DDEBF7"/>
      </patternFill>
    </fill>
    <fill>
      <patternFill patternType="solid">
        <fgColor rgb="00C00000"/>
      </patternFill>
    </fill>
    <fill>
      <patternFill patternType="solid">
        <fgColor rgb="00FDECEC"/>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
      <patternFill patternType="solid">
        <fgColor rgb="00BF8F00"/>
      </patternFill>
    </fill>
    <fill>
      <patternFill patternType="solid">
        <fgColor rgb="007030A0"/>
      </patternFill>
    </fill>
    <fill>
      <patternFill patternType="solid">
        <fgColor rgb="00F4EEF9"/>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s>
  <cellStyleXfs count="1">
    <xf numFmtId="0" fontId="0" fillId="0" borderId="0"/>
  </cellStyleXfs>
  <cellXfs count="9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16" fillId="0" borderId="0" applyAlignment="1" pivotButton="0" quotePrefix="0" xfId="0">
      <alignment vertical="top" wrapText="1"/>
    </xf>
    <xf numFmtId="0" fontId="17" fillId="0" borderId="0" applyAlignment="1" pivotButton="0" quotePrefix="0" xfId="0">
      <alignment vertical="top" wrapText="1"/>
    </xf>
    <xf numFmtId="0" fontId="5" fillId="2" borderId="1" applyAlignment="1" pivotButton="0" quotePrefix="0" xfId="0">
      <alignment horizontal="left" vertical="center" wrapText="1"/>
    </xf>
    <xf numFmtId="0" fontId="4" fillId="0" borderId="0" pivotButton="0" quotePrefix="0" xfId="0"/>
    <xf numFmtId="0" fontId="10" fillId="24" borderId="0" applyAlignment="1" pivotButton="0" quotePrefix="0" xfId="0">
      <alignment vertical="center" wrapText="1"/>
    </xf>
    <xf numFmtId="0" fontId="10" fillId="25" borderId="0" applyAlignment="1" pivotButton="0" quotePrefix="0" xfId="0">
      <alignment vertical="center" wrapText="1"/>
    </xf>
    <xf numFmtId="0" fontId="10" fillId="26" borderId="0" applyAlignment="1" pivotButton="0" quotePrefix="0" xfId="0">
      <alignment vertical="center" wrapText="1"/>
    </xf>
    <xf numFmtId="0" fontId="10" fillId="27" borderId="0" applyAlignment="1" pivotButton="0" quotePrefix="0" xfId="0">
      <alignment vertical="center" wrapText="1"/>
    </xf>
    <xf numFmtId="0" fontId="10" fillId="21" borderId="0" applyAlignment="1" pivotButton="0" quotePrefix="0" xfId="0">
      <alignment vertical="center" wrapText="1"/>
    </xf>
    <xf numFmtId="0" fontId="10" fillId="19" borderId="0" applyAlignment="1" pivotButton="0" quotePrefix="0" xfId="0">
      <alignment vertical="center" wrapText="1"/>
    </xf>
    <xf numFmtId="0" fontId="10" fillId="28" borderId="0" applyAlignment="1" pivotButton="0" quotePrefix="0" xfId="0">
      <alignment vertical="center" wrapText="1"/>
    </xf>
    <xf numFmtId="0" fontId="10" fillId="5" borderId="0" applyAlignment="1" pivotButton="0" quotePrefix="0" xfId="0">
      <alignment vertical="center" wrapText="1"/>
    </xf>
    <xf numFmtId="0" fontId="10" fillId="29" borderId="0" applyAlignment="1" pivotButton="0" quotePrefix="0" xfId="0">
      <alignment vertical="center" wrapText="1"/>
    </xf>
    <xf numFmtId="0" fontId="5" fillId="31" borderId="1" applyAlignment="1" pivotButton="0" quotePrefix="0" xfId="0">
      <alignment horizontal="left" vertical="center" wrapText="1"/>
    </xf>
    <xf numFmtId="0" fontId="5" fillId="30" borderId="1" applyAlignment="1" pivotButton="0" quotePrefix="0" xfId="0">
      <alignment horizontal="left" vertical="center" wrapText="1"/>
    </xf>
    <xf numFmtId="0" fontId="5" fillId="22" borderId="1" applyAlignment="1" pivotButton="0" quotePrefix="0" xfId="0">
      <alignment horizontal="left" vertical="center" wrapText="1"/>
    </xf>
    <xf numFmtId="0" fontId="5" fillId="9"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left" vertical="center" wrapText="1"/>
    </xf>
    <xf numFmtId="0" fontId="6" fillId="31" borderId="1" applyAlignment="1" pivotButton="0" quotePrefix="0" xfId="0">
      <alignment horizontal="left" vertical="center" wrapText="1"/>
    </xf>
    <xf numFmtId="0" fontId="6" fillId="30" borderId="1" applyAlignment="1" pivotButton="0" quotePrefix="0" xfId="0">
      <alignment horizontal="left" vertical="center" wrapText="1"/>
    </xf>
    <xf numFmtId="0" fontId="6" fillId="22" borderId="1" applyAlignment="1" pivotButton="0" quotePrefix="0" xfId="0">
      <alignment horizontal="left" vertical="center" wrapText="1"/>
    </xf>
    <xf numFmtId="0" fontId="6" fillId="9" borderId="1" applyAlignment="1" pivotButton="0" quotePrefix="0" xfId="0">
      <alignment horizontal="left" vertical="center" wrapText="1"/>
    </xf>
    <xf numFmtId="0" fontId="6" fillId="3" borderId="1" applyAlignment="1" pivotButton="0" quotePrefix="0" xfId="0">
      <alignment horizontal="left" vertical="center" wrapText="1"/>
    </xf>
    <xf numFmtId="0" fontId="7" fillId="10" borderId="6" applyAlignment="1" pivotButton="0" quotePrefix="0" xfId="0">
      <alignment horizontal="left" vertical="top" wrapText="1"/>
    </xf>
    <xf numFmtId="0" fontId="7" fillId="10" borderId="1" applyAlignment="1" pivotButton="0" quotePrefix="0" xfId="0">
      <alignment horizontal="left" vertical="top" wrapText="1"/>
    </xf>
    <xf numFmtId="0" fontId="7" fillId="32" borderId="6" applyAlignment="1" pivotButton="0" quotePrefix="0" xfId="0">
      <alignment horizontal="left" vertical="top" wrapText="1"/>
    </xf>
    <xf numFmtId="0" fontId="7" fillId="32" borderId="1" applyAlignment="1" pivotButton="0" quotePrefix="0" xfId="0">
      <alignment horizontal="left" vertical="top" wrapText="1"/>
    </xf>
    <xf numFmtId="0" fontId="11" fillId="28" borderId="1" applyAlignment="1" pivotButton="0" quotePrefix="0" xfId="0">
      <alignment horizontal="left" vertical="top" wrapText="1"/>
    </xf>
    <xf numFmtId="0" fontId="12" fillId="32" borderId="1" applyAlignment="1" pivotButton="0" quotePrefix="0" xfId="0">
      <alignment horizontal="left" vertical="top" wrapText="1"/>
    </xf>
    <xf numFmtId="0" fontId="9" fillId="5" borderId="6" applyAlignment="1" pivotButton="0" quotePrefix="0" xfId="0">
      <alignment horizontal="center" vertical="top"/>
    </xf>
    <xf numFmtId="0" fontId="9" fillId="5" borderId="1" applyAlignment="1" pivotButton="0" quotePrefix="0" xfId="0">
      <alignment horizontal="center" vertical="top"/>
    </xf>
    <xf numFmtId="9" fontId="7" fillId="15" borderId="6" applyAlignment="1" pivotButton="0" quotePrefix="0" xfId="0">
      <alignment horizontal="left" vertical="top" wrapText="1"/>
    </xf>
    <xf numFmtId="9" fontId="7" fillId="15" borderId="1" applyAlignment="1" pivotButton="0" quotePrefix="0" xfId="0">
      <alignment horizontal="left" vertical="top" wrapText="1"/>
    </xf>
    <xf numFmtId="0" fontId="7" fillId="15" borderId="1" applyAlignment="1" pivotButton="0" quotePrefix="0" xfId="0">
      <alignment horizontal="left" vertical="top" wrapText="1"/>
    </xf>
    <xf numFmtId="0" fontId="13" fillId="23" borderId="6" applyAlignment="1" pivotButton="0" quotePrefix="0" xfId="0">
      <alignment horizontal="center" vertical="top"/>
    </xf>
    <xf numFmtId="0" fontId="7" fillId="23" borderId="1" applyAlignment="1" pivotButton="0" quotePrefix="0" xfId="0">
      <alignment horizontal="left" vertical="top" wrapText="1"/>
    </xf>
    <xf numFmtId="0" fontId="13" fillId="23" borderId="1" applyAlignment="1" pivotButton="0" quotePrefix="0" xfId="0">
      <alignment horizontal="center" vertical="top"/>
    </xf>
    <xf numFmtId="2" fontId="7" fillId="23" borderId="1" applyAlignment="1" pivotButton="0" quotePrefix="0" xfId="0">
      <alignment horizontal="left" vertical="top" wrapText="1"/>
    </xf>
    <xf numFmtId="0" fontId="7" fillId="5" borderId="1" applyAlignment="1" pivotButton="0" quotePrefix="0" xfId="0">
      <alignment horizontal="left" vertical="top" wrapText="1"/>
    </xf>
    <xf numFmtId="0" fontId="7" fillId="15" borderId="6" applyAlignment="1" pivotButton="0" quotePrefix="0" xfId="0">
      <alignment horizontal="left" vertical="top" wrapText="1"/>
    </xf>
    <xf numFmtId="0" fontId="5" fillId="6" borderId="1" applyAlignment="1" pivotButton="0" quotePrefix="0" xfId="0">
      <alignment horizontal="left" vertical="center" wrapText="1"/>
    </xf>
    <xf numFmtId="0" fontId="5" fillId="33" borderId="1" applyAlignment="1" pivotButton="0" quotePrefix="0" xfId="0">
      <alignment horizontal="left" vertical="center" wrapText="1"/>
    </xf>
    <xf numFmtId="0" fontId="5" fillId="7" borderId="1" applyAlignment="1" pivotButton="0" quotePrefix="0" xfId="0">
      <alignment horizontal="left" vertical="center" wrapText="1"/>
    </xf>
    <xf numFmtId="0" fontId="6" fillId="6" borderId="1" applyAlignment="1" pivotButton="0" quotePrefix="0" xfId="0">
      <alignment horizontal="left" vertical="center" wrapText="1"/>
    </xf>
    <xf numFmtId="0" fontId="6" fillId="33" borderId="1" applyAlignment="1" pivotButton="0" quotePrefix="0" xfId="0">
      <alignment horizontal="left" vertical="center" wrapText="1"/>
    </xf>
    <xf numFmtId="0" fontId="6" fillId="7" borderId="1" applyAlignment="1" pivotButton="0" quotePrefix="0" xfId="0">
      <alignment horizontal="left" vertical="center" wrapText="1"/>
    </xf>
    <xf numFmtId="0" fontId="12" fillId="10" borderId="6" applyAlignment="1" pivotButton="0" quotePrefix="0" xfId="0">
      <alignment horizontal="left" vertical="top" wrapText="1"/>
    </xf>
    <xf numFmtId="0" fontId="7" fillId="4" borderId="6" applyAlignment="1" pivotButton="0" quotePrefix="0" xfId="0">
      <alignment horizontal="left" vertical="top" wrapText="1"/>
    </xf>
    <xf numFmtId="0" fontId="7" fillId="4" borderId="1" applyAlignment="1" pivotButton="0" quotePrefix="0" xfId="0">
      <alignment horizontal="left" vertical="top" wrapText="1"/>
    </xf>
    <xf numFmtId="164" fontId="7" fillId="4" borderId="1" applyAlignment="1" pivotButton="0" quotePrefix="0" xfId="0">
      <alignment horizontal="left" vertical="top" wrapText="1"/>
    </xf>
    <xf numFmtId="0" fontId="11" fillId="28" borderId="6" applyAlignment="1" pivotButton="0" quotePrefix="0" xfId="0">
      <alignment horizontal="left" vertical="top" wrapText="1"/>
    </xf>
    <xf numFmtId="0" fontId="7" fillId="13" borderId="1" applyAlignment="1" pivotButton="0" quotePrefix="0" xfId="0">
      <alignment horizontal="left" vertical="top" wrapText="1"/>
    </xf>
    <xf numFmtId="0" fontId="7" fillId="13" borderId="6" applyAlignment="1" pivotButton="0" quotePrefix="0" xfId="0">
      <alignment horizontal="left" vertical="top" wrapText="1"/>
    </xf>
    <xf numFmtId="0" fontId="7" fillId="28" borderId="6" applyAlignment="1" pivotButton="0" quotePrefix="0" xfId="0">
      <alignment horizontal="left" vertical="top" wrapText="1"/>
    </xf>
    <xf numFmtId="0" fontId="8" fillId="28" borderId="1" applyAlignment="1" pivotButton="0" quotePrefix="0" xfId="0">
      <alignment horizontal="left" vertical="top" wrapText="1"/>
    </xf>
    <xf numFmtId="0" fontId="1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15" fillId="0" borderId="0" pivotButton="0" quotePrefix="0" xfId="0"/>
    <xf numFmtId="0" fontId="8" fillId="4" borderId="1" applyAlignment="1" pivotButton="0" quotePrefix="0" xfId="0">
      <alignment horizontal="left" vertical="top" wrapText="1"/>
    </xf>
    <xf numFmtId="9" fontId="7" fillId="4" borderId="1" applyAlignment="1" pivotButton="0" quotePrefix="0" xfId="0">
      <alignment horizontal="left" vertical="top" wrapText="1"/>
    </xf>
    <xf numFmtId="0" fontId="8" fillId="5" borderId="1" applyAlignment="1" pivotButton="0" quotePrefix="0" xfId="0">
      <alignment horizontal="left" vertical="top" wrapText="1"/>
    </xf>
    <xf numFmtId="9" fontId="7" fillId="5" borderId="1" applyAlignment="1" pivotButton="0" quotePrefix="0" xfId="0">
      <alignment horizontal="left" vertical="top" wrapText="1"/>
    </xf>
    <xf numFmtId="0" fontId="8" fillId="13" borderId="1" applyAlignment="1" pivotButton="0" quotePrefix="0" xfId="0">
      <alignment horizontal="left" vertical="top" wrapText="1"/>
    </xf>
    <xf numFmtId="9" fontId="7" fillId="13" borderId="1" applyAlignment="1" pivotButton="0" quotePrefix="0" xfId="0">
      <alignment horizontal="left" vertical="top" wrapText="1"/>
    </xf>
    <xf numFmtId="0" fontId="7" fillId="0" borderId="0" applyAlignment="1" pivotButton="0" quotePrefix="0" xfId="0">
      <alignment vertical="top" wrapText="1"/>
    </xf>
    <xf numFmtId="0" fontId="8" fillId="10" borderId="1" applyAlignment="1" pivotButton="0" quotePrefix="0" xfId="0">
      <alignment horizontal="left" vertical="top" wrapText="1"/>
    </xf>
    <xf numFmtId="0" fontId="9" fillId="20" borderId="1" applyAlignment="1" pivotButton="0" quotePrefix="0" xfId="0">
      <alignment horizontal="left" vertical="top" wrapText="1"/>
    </xf>
    <xf numFmtId="9" fontId="7" fillId="12" borderId="6" applyAlignment="1" pivotButton="0" quotePrefix="0" xfId="0">
      <alignment horizontal="left" vertical="top" wrapText="1"/>
    </xf>
    <xf numFmtId="9" fontId="7" fillId="12" borderId="1" applyAlignment="1" pivotButton="0" quotePrefix="0" xfId="0">
      <alignment horizontal="left" vertical="top" wrapText="1"/>
    </xf>
    <xf numFmtId="0" fontId="9" fillId="21" borderId="1" applyAlignment="1" pivotButton="0" quotePrefix="0" xfId="0">
      <alignment horizontal="left" vertical="top" wrapText="1"/>
    </xf>
    <xf numFmtId="0" fontId="9" fillId="29" borderId="1" applyAlignment="1" pivotButton="0" quotePrefix="0" xfId="0">
      <alignment horizontal="left" vertical="top" wrapText="1"/>
    </xf>
    <xf numFmtId="0" fontId="9" fillId="11" borderId="1" applyAlignment="1" pivotButton="0" quotePrefix="0" xfId="0">
      <alignment horizontal="left" vertical="top" wrapText="1"/>
    </xf>
    <xf numFmtId="0" fontId="9" fillId="18" borderId="1" applyAlignment="1" pivotButton="0" quotePrefix="0" xfId="0">
      <alignment horizontal="left" vertical="top" wrapText="1"/>
    </xf>
    <xf numFmtId="0" fontId="9" fillId="16" borderId="1" applyAlignment="1" pivotButton="0" quotePrefix="0" xfId="0">
      <alignment horizontal="left" vertical="top" wrapText="1"/>
    </xf>
    <xf numFmtId="0" fontId="9" fillId="19" borderId="1" applyAlignment="1" pivotButton="0" quotePrefix="0" xfId="0">
      <alignment horizontal="left" vertical="top" wrapText="1"/>
    </xf>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9" fillId="11" borderId="6" applyAlignment="1" pivotButton="0" quotePrefix="0" xfId="0">
      <alignment horizontal="left" vertical="top" wrapText="1"/>
    </xf>
    <xf numFmtId="0" fontId="7" fillId="12" borderId="1" applyAlignment="1" pivotButton="0" quotePrefix="0" xfId="0">
      <alignment horizontal="left" vertical="top" wrapText="1"/>
    </xf>
    <xf numFmtId="0" fontId="7" fillId="14" borderId="1" applyAlignment="1" pivotButton="0" quotePrefix="0" xfId="0">
      <alignment horizontal="left" vertical="top" wrapText="1"/>
    </xf>
    <xf numFmtId="0" fontId="9" fillId="16" borderId="6" applyAlignment="1" pivotButton="0" quotePrefix="0" xfId="0">
      <alignment horizontal="left" vertical="top" wrapText="1"/>
    </xf>
    <xf numFmtId="0" fontId="9" fillId="17" borderId="6" applyAlignment="1" pivotButton="0" quotePrefix="0" xfId="0">
      <alignment horizontal="left" vertical="top" wrapText="1"/>
    </xf>
    <xf numFmtId="0" fontId="9" fillId="18" borderId="6" applyAlignment="1" pivotButton="0" quotePrefix="0" xfId="0">
      <alignment horizontal="left" vertical="top" wrapText="1"/>
    </xf>
    <xf numFmtId="0" fontId="9" fillId="19" borderId="6" applyAlignment="1" pivotButton="0" quotePrefix="0" xfId="0">
      <alignment horizontal="left" vertical="top" wrapText="1"/>
    </xf>
    <xf numFmtId="0" fontId="9" fillId="20" borderId="6" applyAlignment="1" pivotButton="0" quotePrefix="0" xfId="0">
      <alignment horizontal="left" vertical="top" wrapText="1"/>
    </xf>
    <xf numFmtId="0" fontId="9" fillId="21" borderId="6" applyAlignment="1" pivotButton="0" quotePrefix="0" xfId="0">
      <alignment horizontal="left" vertical="top" wrapText="1"/>
    </xf>
    <xf numFmtId="0" fontId="8" fillId="2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How to use'!A1" TargetMode="External" Id="rId1"/><Relationship Type="http://schemas.openxmlformats.org/officeDocument/2006/relationships/hyperlink" Target="#'2. Talent Mapping'!A1" TargetMode="External" Id="rId2"/><Relationship Type="http://schemas.openxmlformats.org/officeDocument/2006/relationships/hyperlink" Target="#'3. Raw Data'!A1" TargetMode="External" Id="rId3"/><Relationship Type="http://schemas.openxmlformats.org/officeDocument/2006/relationships/hyperlink" Target="#'4. Market Benchmark'!A1" TargetMode="External" Id="rId4"/><Relationship Type="http://schemas.openxmlformats.org/officeDocument/2006/relationships/hyperlink" Target="#'5. Department Ladder'!A1" TargetMode="External" Id="rId5"/><Relationship Type="http://schemas.openxmlformats.org/officeDocument/2006/relationships/hyperlink" Target="#'RB &#183; Administration, Legal &amp; Se'!A1" TargetMode="External" Id="rId6"/><Relationship Type="http://schemas.openxmlformats.org/officeDocument/2006/relationships/hyperlink" Target="#'RB &#183; Business Analysis'!A1" TargetMode="External" Id="rId7"/><Relationship Type="http://schemas.openxmlformats.org/officeDocument/2006/relationships/hyperlink" Target="#'RB &#183; Consulting &amp; Professional'!A1" TargetMode="External" Id="rId8"/><Relationship Type="http://schemas.openxmlformats.org/officeDocument/2006/relationships/hyperlink" Target="#'RB &#183; Customer Success &amp; Support'!A1" TargetMode="External" Id="rId9"/><Relationship Type="http://schemas.openxmlformats.org/officeDocument/2006/relationships/hyperlink" Target="#'RB &#183; Data &amp; Analytics'!A1" TargetMode="External" Id="rId10"/><Relationship Type="http://schemas.openxmlformats.org/officeDocument/2006/relationships/hyperlink" Target="#'RB &#183; Data Operations &amp; Digitiza'!A1" TargetMode="External" Id="rId11"/><Relationship Type="http://schemas.openxmlformats.org/officeDocument/2006/relationships/hyperlink" Target="#'RB &#183; Design &amp; Creative'!A1" TargetMode="External" Id="rId12"/><Relationship Type="http://schemas.openxmlformats.org/officeDocument/2006/relationships/hyperlink" Target="#'RB &#183; Engineering &amp; Architecture'!A1" TargetMode="External" Id="rId13"/><Relationship Type="http://schemas.openxmlformats.org/officeDocument/2006/relationships/hyperlink" Target="#'RB &#183; Engineering &amp; Development'!A1" TargetMode="External" Id="rId14"/><Relationship Type="http://schemas.openxmlformats.org/officeDocument/2006/relationships/hyperlink" Target="#'RB &#183; Executive Leadership'!A1" TargetMode="External" Id="rId15"/><Relationship Type="http://schemas.openxmlformats.org/officeDocument/2006/relationships/hyperlink" Target="#'RB &#183; Finance &amp; Accounts'!A1" TargetMode="External" Id="rId16"/><Relationship Type="http://schemas.openxmlformats.org/officeDocument/2006/relationships/hyperlink" Target="#'RB &#183; Human Resources'!A1" TargetMode="External" Id="rId17"/><Relationship Type="http://schemas.openxmlformats.org/officeDocument/2006/relationships/hyperlink" Target="#'RB &#183; IT &amp; Infrastructure'!A1" TargetMode="External" Id="rId18"/><Relationship Type="http://schemas.openxmlformats.org/officeDocument/2006/relationships/hyperlink" Target="#'RB &#183; Marketing &amp; Communications'!A1" TargetMode="External" Id="rId19"/><Relationship Type="http://schemas.openxmlformats.org/officeDocument/2006/relationships/hyperlink" Target="#'RB &#183; Product Management'!A1" TargetMode="External" Id="rId20"/><Relationship Type="http://schemas.openxmlformats.org/officeDocument/2006/relationships/hyperlink" Target="#'RB &#183; Project &amp; Program Manageme'!A1" TargetMode="External" Id="rId21"/><Relationship Type="http://schemas.openxmlformats.org/officeDocument/2006/relationships/hyperlink" Target="#'RB &#183; Quality Assurance'!A1" TargetMode="External" Id="rId22"/><Relationship Type="http://schemas.openxmlformats.org/officeDocument/2006/relationships/hyperlink" Target="#'RB &#183; Sales &amp; Business Developme'!A1" TargetMode="External" Id="rId23"/><Relationship Type="http://schemas.openxmlformats.org/officeDocument/2006/relationships/hyperlink" Target="#'RB &#183; Solution Consulting &amp; Impl'!A1" TargetMode="External" Id="rId24"/><Relationship Type="http://schemas.openxmlformats.org/officeDocument/2006/relationships/hyperlink" Target="#'RB &#183; Unassigned'!A1" TargetMode="External" Id="rId25"/><Relationship Type="http://schemas.openxmlformats.org/officeDocument/2006/relationships/hyperlink" Target="#'Backend Data'!A1" TargetMode="External" Id="rId26"/></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3. Raw Data'!A7" TargetMode="External" Id="rId2"/><Relationship Type="http://schemas.openxmlformats.org/officeDocument/2006/relationships/hyperlink" Target="#'3. Raw Data'!A8" TargetMode="External" Id="rId3"/><Relationship Type="http://schemas.openxmlformats.org/officeDocument/2006/relationships/hyperlink" Target="#'3. Raw Data'!A9" TargetMode="External" Id="rId4"/><Relationship Type="http://schemas.openxmlformats.org/officeDocument/2006/relationships/hyperlink" Target="#'3. Raw Data'!A10" TargetMode="External" Id="rId5"/><Relationship Type="http://schemas.openxmlformats.org/officeDocument/2006/relationships/hyperlink" Target="#'3. Raw Data'!A11" TargetMode="External" Id="rId6"/><Relationship Type="http://schemas.openxmlformats.org/officeDocument/2006/relationships/hyperlink" Target="#'3. Raw Data'!A12" TargetMode="External" Id="rId7"/><Relationship Type="http://schemas.openxmlformats.org/officeDocument/2006/relationships/hyperlink" Target="#'3. Raw Data'!A13" TargetMode="External" Id="rId8"/><Relationship Type="http://schemas.openxmlformats.org/officeDocument/2006/relationships/hyperlink" Target="#'3. Raw Data'!A14" TargetMode="External" Id="rId9"/><Relationship Type="http://schemas.openxmlformats.org/officeDocument/2006/relationships/hyperlink" Target="#'3. Raw Data'!A15" TargetMode="External" Id="rId10"/><Relationship Type="http://schemas.openxmlformats.org/officeDocument/2006/relationships/hyperlink" Target="#'3. Raw Data'!A16" TargetMode="External" Id="rId11"/><Relationship Type="http://schemas.openxmlformats.org/officeDocument/2006/relationships/hyperlink" Target="#'3. Raw Data'!A17" TargetMode="External" Id="rId12"/><Relationship Type="http://schemas.openxmlformats.org/officeDocument/2006/relationships/hyperlink" Target="#'3. Raw Data'!A18" TargetMode="External" Id="rId13"/><Relationship Type="http://schemas.openxmlformats.org/officeDocument/2006/relationships/hyperlink" Target="#'3. Raw Data'!A19" TargetMode="External" Id="rId14"/><Relationship Type="http://schemas.openxmlformats.org/officeDocument/2006/relationships/hyperlink" Target="#'3. Raw Data'!A20" TargetMode="External" Id="rId15"/><Relationship Type="http://schemas.openxmlformats.org/officeDocument/2006/relationships/hyperlink" Target="#'3. Raw Data'!A21" TargetMode="External" Id="rId16"/><Relationship Type="http://schemas.openxmlformats.org/officeDocument/2006/relationships/hyperlink" Target="#'3. Raw Data'!A22" TargetMode="External" Id="rId17"/><Relationship Type="http://schemas.openxmlformats.org/officeDocument/2006/relationships/hyperlink" Target="#'3. Raw Data'!A23" TargetMode="External" Id="rId18"/><Relationship Type="http://schemas.openxmlformats.org/officeDocument/2006/relationships/hyperlink" Target="#'3. Raw Data'!A24" TargetMode="External" Id="rId19"/><Relationship Type="http://schemas.openxmlformats.org/officeDocument/2006/relationships/hyperlink" Target="#'3. Raw Data'!A25" TargetMode="External" Id="rId20"/><Relationship Type="http://schemas.openxmlformats.org/officeDocument/2006/relationships/hyperlink" Target="#'3. Raw Data'!A26" TargetMode="External" Id="rId21"/><Relationship Type="http://schemas.openxmlformats.org/officeDocument/2006/relationships/hyperlink" Target="#'3. Raw Data'!A27" TargetMode="External" Id="rId22"/><Relationship Type="http://schemas.openxmlformats.org/officeDocument/2006/relationships/hyperlink" Target="#'3. Raw Data'!A28" TargetMode="External" Id="rId23"/><Relationship Type="http://schemas.openxmlformats.org/officeDocument/2006/relationships/hyperlink" Target="#'3. Raw Data'!A29" TargetMode="External" Id="rId24"/><Relationship Type="http://schemas.openxmlformats.org/officeDocument/2006/relationships/hyperlink" Target="#'3. Raw Data'!A30" TargetMode="External" Id="rId25"/><Relationship Type="http://schemas.openxmlformats.org/officeDocument/2006/relationships/hyperlink" Target="#'3. Raw Data'!A31" TargetMode="External" Id="rId26"/><Relationship Type="http://schemas.openxmlformats.org/officeDocument/2006/relationships/hyperlink" Target="#'3. Raw Data'!A32" TargetMode="External" Id="rId27"/><Relationship Type="http://schemas.openxmlformats.org/officeDocument/2006/relationships/hyperlink" Target="#'3. Raw Data'!A33" TargetMode="External" Id="rId28"/><Relationship Type="http://schemas.openxmlformats.org/officeDocument/2006/relationships/hyperlink" Target="#'3. Raw Data'!A34" TargetMode="External" Id="rId29"/><Relationship Type="http://schemas.openxmlformats.org/officeDocument/2006/relationships/hyperlink" Target="#'3. Raw Data'!A35" TargetMode="External" Id="rId30"/><Relationship Type="http://schemas.openxmlformats.org/officeDocument/2006/relationships/hyperlink" Target="#'3. Raw Data'!A36" TargetMode="External" Id="rId31"/><Relationship Type="http://schemas.openxmlformats.org/officeDocument/2006/relationships/hyperlink" Target="#'3. Raw Data'!A37" TargetMode="External" Id="rId32"/><Relationship Type="http://schemas.openxmlformats.org/officeDocument/2006/relationships/hyperlink" Target="#'3. Raw Data'!A38" TargetMode="External" Id="rId33"/><Relationship Type="http://schemas.openxmlformats.org/officeDocument/2006/relationships/hyperlink" Target="#'3. Raw Data'!A39" TargetMode="External" Id="rId34"/><Relationship Type="http://schemas.openxmlformats.org/officeDocument/2006/relationships/hyperlink" Target="#'3. Raw Data'!A40" TargetMode="External" Id="rId35"/><Relationship Type="http://schemas.openxmlformats.org/officeDocument/2006/relationships/hyperlink" Target="#'3. Raw Data'!A41" TargetMode="External" Id="rId36"/><Relationship Type="http://schemas.openxmlformats.org/officeDocument/2006/relationships/hyperlink" Target="#'3. Raw Data'!A42" TargetMode="External" Id="rId37"/><Relationship Type="http://schemas.openxmlformats.org/officeDocument/2006/relationships/hyperlink" Target="#'3. Raw Data'!A43" TargetMode="External" Id="rId38"/><Relationship Type="http://schemas.openxmlformats.org/officeDocument/2006/relationships/hyperlink" Target="#'3. Raw Data'!A44" TargetMode="External" Id="rId39"/><Relationship Type="http://schemas.openxmlformats.org/officeDocument/2006/relationships/hyperlink" Target="#'3. Raw Data'!A45" TargetMode="External" Id="rId40"/><Relationship Type="http://schemas.openxmlformats.org/officeDocument/2006/relationships/hyperlink" Target="#'3. Raw Data'!A46" TargetMode="External" Id="rId41"/><Relationship Type="http://schemas.openxmlformats.org/officeDocument/2006/relationships/hyperlink" Target="#'3. Raw Data'!A47" TargetMode="External" Id="rId42"/><Relationship Type="http://schemas.openxmlformats.org/officeDocument/2006/relationships/hyperlink" Target="#'3. Raw Data'!A48" TargetMode="External" Id="rId43"/><Relationship Type="http://schemas.openxmlformats.org/officeDocument/2006/relationships/hyperlink" Target="#'3. Raw Data'!A49" TargetMode="External" Id="rId44"/><Relationship Type="http://schemas.openxmlformats.org/officeDocument/2006/relationships/hyperlink" Target="#'3. Raw Data'!A50" TargetMode="External" Id="rId45"/><Relationship Type="http://schemas.openxmlformats.org/officeDocument/2006/relationships/hyperlink" Target="#'3. Raw Data'!A51" TargetMode="External" Id="rId46"/><Relationship Type="http://schemas.openxmlformats.org/officeDocument/2006/relationships/hyperlink" Target="#'3. Raw Data'!A52" TargetMode="External" Id="rId47"/><Relationship Type="http://schemas.openxmlformats.org/officeDocument/2006/relationships/hyperlink" Target="#'3. Raw Data'!A53" TargetMode="External" Id="rId48"/><Relationship Type="http://schemas.openxmlformats.org/officeDocument/2006/relationships/hyperlink" Target="#'3. Raw Data'!A54" TargetMode="External" Id="rId49"/><Relationship Type="http://schemas.openxmlformats.org/officeDocument/2006/relationships/hyperlink" Target="#'3. Raw Data'!A55" TargetMode="External" Id="rId50"/><Relationship Type="http://schemas.openxmlformats.org/officeDocument/2006/relationships/hyperlink" Target="#'3. Raw Data'!A56" TargetMode="External" Id="rId51"/><Relationship Type="http://schemas.openxmlformats.org/officeDocument/2006/relationships/hyperlink" Target="#'3. Raw Data'!A57" TargetMode="External" Id="rId52"/><Relationship Type="http://schemas.openxmlformats.org/officeDocument/2006/relationships/hyperlink" Target="#'3. Raw Data'!A58" TargetMode="External" Id="rId53"/><Relationship Type="http://schemas.openxmlformats.org/officeDocument/2006/relationships/hyperlink" Target="#'3. Raw Data'!A59" TargetMode="External" Id="rId54"/><Relationship Type="http://schemas.openxmlformats.org/officeDocument/2006/relationships/hyperlink" Target="#'3. Raw Data'!A60" TargetMode="External" Id="rId55"/><Relationship Type="http://schemas.openxmlformats.org/officeDocument/2006/relationships/hyperlink" Target="#'3. Raw Data'!A61" TargetMode="External" Id="rId56"/><Relationship Type="http://schemas.openxmlformats.org/officeDocument/2006/relationships/hyperlink" Target="#'3. Raw Data'!A62" TargetMode="External" Id="rId57"/><Relationship Type="http://schemas.openxmlformats.org/officeDocument/2006/relationships/hyperlink" Target="#'3. Raw Data'!A63" TargetMode="External" Id="rId58"/><Relationship Type="http://schemas.openxmlformats.org/officeDocument/2006/relationships/hyperlink" Target="#'3. Raw Data'!A64" TargetMode="External" Id="rId59"/><Relationship Type="http://schemas.openxmlformats.org/officeDocument/2006/relationships/hyperlink" Target="#'3. Raw Data'!A65" TargetMode="External" Id="rId60"/><Relationship Type="http://schemas.openxmlformats.org/officeDocument/2006/relationships/hyperlink" Target="#'3. Raw Data'!A66" TargetMode="External" Id="rId61"/><Relationship Type="http://schemas.openxmlformats.org/officeDocument/2006/relationships/hyperlink" Target="#'3. Raw Data'!A67" TargetMode="External" Id="rId62"/><Relationship Type="http://schemas.openxmlformats.org/officeDocument/2006/relationships/hyperlink" Target="#'3. Raw Data'!A68" TargetMode="External" Id="rId63"/><Relationship Type="http://schemas.openxmlformats.org/officeDocument/2006/relationships/hyperlink" Target="#'3. Raw Data'!A69" TargetMode="External" Id="rId64"/><Relationship Type="http://schemas.openxmlformats.org/officeDocument/2006/relationships/hyperlink" Target="#'3. Raw Data'!A70" TargetMode="External" Id="rId65"/><Relationship Type="http://schemas.openxmlformats.org/officeDocument/2006/relationships/hyperlink" Target="#'3. Raw Data'!A71" TargetMode="External" Id="rId66"/><Relationship Type="http://schemas.openxmlformats.org/officeDocument/2006/relationships/hyperlink" Target="#'3. Raw Data'!A72" TargetMode="External" Id="rId67"/><Relationship Type="http://schemas.openxmlformats.org/officeDocument/2006/relationships/hyperlink" Target="#'3. Raw Data'!A73" TargetMode="External" Id="rId68"/><Relationship Type="http://schemas.openxmlformats.org/officeDocument/2006/relationships/hyperlink" Target="#'3. Raw Data'!A74" TargetMode="External" Id="rId69"/><Relationship Type="http://schemas.openxmlformats.org/officeDocument/2006/relationships/hyperlink" Target="#'3. Raw Data'!A75" TargetMode="External" Id="rId70"/><Relationship Type="http://schemas.openxmlformats.org/officeDocument/2006/relationships/hyperlink" Target="#'3. Raw Data'!A76" TargetMode="External" Id="rId71"/><Relationship Type="http://schemas.openxmlformats.org/officeDocument/2006/relationships/hyperlink" Target="#'3. Raw Data'!A77" TargetMode="External" Id="rId72"/><Relationship Type="http://schemas.openxmlformats.org/officeDocument/2006/relationships/hyperlink" Target="#'3. Raw Data'!A78" TargetMode="External" Id="rId73"/><Relationship Type="http://schemas.openxmlformats.org/officeDocument/2006/relationships/hyperlink" Target="#'3. Raw Data'!A79" TargetMode="External" Id="rId74"/><Relationship Type="http://schemas.openxmlformats.org/officeDocument/2006/relationships/hyperlink" Target="#'3. Raw Data'!A80" TargetMode="External" Id="rId75"/><Relationship Type="http://schemas.openxmlformats.org/officeDocument/2006/relationships/hyperlink" Target="#'3. Raw Data'!A81" TargetMode="External" Id="rId76"/><Relationship Type="http://schemas.openxmlformats.org/officeDocument/2006/relationships/hyperlink" Target="#'3. Raw Data'!A82" TargetMode="External" Id="rId77"/><Relationship Type="http://schemas.openxmlformats.org/officeDocument/2006/relationships/hyperlink" Target="#'3. Raw Data'!A83" TargetMode="External" Id="rId78"/><Relationship Type="http://schemas.openxmlformats.org/officeDocument/2006/relationships/hyperlink" Target="#'3. Raw Data'!A84" TargetMode="External" Id="rId79"/><Relationship Type="http://schemas.openxmlformats.org/officeDocument/2006/relationships/hyperlink" Target="#'3. Raw Data'!A85" TargetMode="External" Id="rId80"/><Relationship Type="http://schemas.openxmlformats.org/officeDocument/2006/relationships/hyperlink" Target="#'3. Raw Data'!A86" TargetMode="External" Id="rId81"/><Relationship Type="http://schemas.openxmlformats.org/officeDocument/2006/relationships/hyperlink" Target="#'3. Raw Data'!A87" TargetMode="External" Id="rId82"/><Relationship Type="http://schemas.openxmlformats.org/officeDocument/2006/relationships/hyperlink" Target="#'3. Raw Data'!A88" TargetMode="External" Id="rId83"/><Relationship Type="http://schemas.openxmlformats.org/officeDocument/2006/relationships/hyperlink" Target="#'3. Raw Data'!A89" TargetMode="External" Id="rId84"/><Relationship Type="http://schemas.openxmlformats.org/officeDocument/2006/relationships/hyperlink" Target="#'3. Raw Data'!A90" TargetMode="External" Id="rId85"/><Relationship Type="http://schemas.openxmlformats.org/officeDocument/2006/relationships/hyperlink" Target="#'3. Raw Data'!A91" TargetMode="External" Id="rId86"/><Relationship Type="http://schemas.openxmlformats.org/officeDocument/2006/relationships/hyperlink" Target="#'3. Raw Data'!A92" TargetMode="External" Id="rId87"/><Relationship Type="http://schemas.openxmlformats.org/officeDocument/2006/relationships/hyperlink" Target="#'3. Raw Data'!A93" TargetMode="External" Id="rId88"/><Relationship Type="http://schemas.openxmlformats.org/officeDocument/2006/relationships/hyperlink" Target="#'3. Raw Data'!A94" TargetMode="External" Id="rId89"/><Relationship Type="http://schemas.openxmlformats.org/officeDocument/2006/relationships/hyperlink" Target="#'3. Raw Data'!A95" TargetMode="External" Id="rId90"/><Relationship Type="http://schemas.openxmlformats.org/officeDocument/2006/relationships/hyperlink" Target="#'3. Raw Data'!A96" TargetMode="External" Id="rId91"/><Relationship Type="http://schemas.openxmlformats.org/officeDocument/2006/relationships/hyperlink" Target="#'3. Raw Data'!A97" TargetMode="External" Id="rId92"/><Relationship Type="http://schemas.openxmlformats.org/officeDocument/2006/relationships/hyperlink" Target="#'3. Raw Data'!A98" TargetMode="External" Id="rId93"/><Relationship Type="http://schemas.openxmlformats.org/officeDocument/2006/relationships/hyperlink" Target="#'3. Raw Data'!A99" TargetMode="External" Id="rId94"/><Relationship Type="http://schemas.openxmlformats.org/officeDocument/2006/relationships/hyperlink" Target="#'3. Raw Data'!A100" TargetMode="External" Id="rId95"/><Relationship Type="http://schemas.openxmlformats.org/officeDocument/2006/relationships/hyperlink" Target="#'3. Raw Data'!A101" TargetMode="External" Id="rId96"/><Relationship Type="http://schemas.openxmlformats.org/officeDocument/2006/relationships/hyperlink" Target="#'3. Raw Data'!A102" TargetMode="External" Id="rId97"/><Relationship Type="http://schemas.openxmlformats.org/officeDocument/2006/relationships/hyperlink" Target="#'3. Raw Data'!A103" TargetMode="External" Id="rId98"/><Relationship Type="http://schemas.openxmlformats.org/officeDocument/2006/relationships/hyperlink" Target="#'3. Raw Data'!A104" TargetMode="External" Id="rId99"/><Relationship Type="http://schemas.openxmlformats.org/officeDocument/2006/relationships/hyperlink" Target="#'3. Raw Data'!A105" TargetMode="External" Id="rId100"/><Relationship Type="http://schemas.openxmlformats.org/officeDocument/2006/relationships/hyperlink" Target="#'3. Raw Data'!A106" TargetMode="External" Id="rId101"/><Relationship Type="http://schemas.openxmlformats.org/officeDocument/2006/relationships/hyperlink" Target="#'3. Raw Data'!A107" TargetMode="External" Id="rId102"/><Relationship Type="http://schemas.openxmlformats.org/officeDocument/2006/relationships/hyperlink" Target="#'3. Raw Data'!A108" TargetMode="External" Id="rId103"/><Relationship Type="http://schemas.openxmlformats.org/officeDocument/2006/relationships/hyperlink" Target="#'3. Raw Data'!A109" TargetMode="External" Id="rId104"/><Relationship Type="http://schemas.openxmlformats.org/officeDocument/2006/relationships/hyperlink" Target="#'3. Raw Data'!A110" TargetMode="External" Id="rId105"/><Relationship Type="http://schemas.openxmlformats.org/officeDocument/2006/relationships/hyperlink" Target="#'3. Raw Data'!A111" TargetMode="External" Id="rId106"/><Relationship Type="http://schemas.openxmlformats.org/officeDocument/2006/relationships/hyperlink" Target="#'3. Raw Data'!A112" TargetMode="External" Id="rId107"/><Relationship Type="http://schemas.openxmlformats.org/officeDocument/2006/relationships/hyperlink" Target="#'3. Raw Data'!A113" TargetMode="External" Id="rId108"/><Relationship Type="http://schemas.openxmlformats.org/officeDocument/2006/relationships/hyperlink" Target="#'3. Raw Data'!A114" TargetMode="External" Id="rId109"/><Relationship Type="http://schemas.openxmlformats.org/officeDocument/2006/relationships/hyperlink" Target="#'3. Raw Data'!A115" TargetMode="External" Id="rId110"/><Relationship Type="http://schemas.openxmlformats.org/officeDocument/2006/relationships/hyperlink" Target="#'3. Raw Data'!A116" TargetMode="External" Id="rId111"/><Relationship Type="http://schemas.openxmlformats.org/officeDocument/2006/relationships/hyperlink" Target="#'3. Raw Data'!A117" TargetMode="External" Id="rId112"/><Relationship Type="http://schemas.openxmlformats.org/officeDocument/2006/relationships/hyperlink" Target="#'3. Raw Data'!A118" TargetMode="External" Id="rId113"/><Relationship Type="http://schemas.openxmlformats.org/officeDocument/2006/relationships/hyperlink" Target="#'3. Raw Data'!A119" TargetMode="External" Id="rId114"/><Relationship Type="http://schemas.openxmlformats.org/officeDocument/2006/relationships/hyperlink" Target="#'3. Raw Data'!A120" TargetMode="External" Id="rId115"/><Relationship Type="http://schemas.openxmlformats.org/officeDocument/2006/relationships/hyperlink" Target="#'3. Raw Data'!A121" TargetMode="External" Id="rId116"/><Relationship Type="http://schemas.openxmlformats.org/officeDocument/2006/relationships/hyperlink" Target="#'3. Raw Data'!A122" TargetMode="External" Id="rId117"/><Relationship Type="http://schemas.openxmlformats.org/officeDocument/2006/relationships/hyperlink" Target="#'3. Raw Data'!A123" TargetMode="External" Id="rId118"/><Relationship Type="http://schemas.openxmlformats.org/officeDocument/2006/relationships/hyperlink" Target="#'3. Raw Data'!A124" TargetMode="External" Id="rId119"/><Relationship Type="http://schemas.openxmlformats.org/officeDocument/2006/relationships/hyperlink" Target="#'3. Raw Data'!A125" TargetMode="External" Id="rId120"/><Relationship Type="http://schemas.openxmlformats.org/officeDocument/2006/relationships/hyperlink" Target="#'3. Raw Data'!A126" TargetMode="External" Id="rId121"/><Relationship Type="http://schemas.openxmlformats.org/officeDocument/2006/relationships/hyperlink" Target="#'3. Raw Data'!A127" TargetMode="External" Id="rId122"/><Relationship Type="http://schemas.openxmlformats.org/officeDocument/2006/relationships/hyperlink" Target="#'3. Raw Data'!A128" TargetMode="External" Id="rId123"/><Relationship Type="http://schemas.openxmlformats.org/officeDocument/2006/relationships/hyperlink" Target="#'3. Raw Data'!A129" TargetMode="External" Id="rId124"/><Relationship Type="http://schemas.openxmlformats.org/officeDocument/2006/relationships/hyperlink" Target="#'3. Raw Data'!A130" TargetMode="External" Id="rId125"/><Relationship Type="http://schemas.openxmlformats.org/officeDocument/2006/relationships/hyperlink" Target="#'3. Raw Data'!A131" TargetMode="External" Id="rId126"/><Relationship Type="http://schemas.openxmlformats.org/officeDocument/2006/relationships/hyperlink" Target="#'3. Raw Data'!A132" TargetMode="External" Id="rId127"/><Relationship Type="http://schemas.openxmlformats.org/officeDocument/2006/relationships/hyperlink" Target="#'3. Raw Data'!A133" TargetMode="External" Id="rId128"/><Relationship Type="http://schemas.openxmlformats.org/officeDocument/2006/relationships/hyperlink" Target="#'3. Raw Data'!A134" TargetMode="External" Id="rId129"/><Relationship Type="http://schemas.openxmlformats.org/officeDocument/2006/relationships/hyperlink" Target="#'3. Raw Data'!A135" TargetMode="External" Id="rId130"/><Relationship Type="http://schemas.openxmlformats.org/officeDocument/2006/relationships/hyperlink" Target="#'3. Raw Data'!A136" TargetMode="External" Id="rId131"/><Relationship Type="http://schemas.openxmlformats.org/officeDocument/2006/relationships/hyperlink" Target="#'3. Raw Data'!A137" TargetMode="External" Id="rId132"/><Relationship Type="http://schemas.openxmlformats.org/officeDocument/2006/relationships/hyperlink" Target="#'3. Raw Data'!A138" TargetMode="External" Id="rId133"/><Relationship Type="http://schemas.openxmlformats.org/officeDocument/2006/relationships/hyperlink" Target="#'3. Raw Data'!A139" TargetMode="External" Id="rId134"/><Relationship Type="http://schemas.openxmlformats.org/officeDocument/2006/relationships/hyperlink" Target="#'3. Raw Data'!A140" TargetMode="External" Id="rId135"/><Relationship Type="http://schemas.openxmlformats.org/officeDocument/2006/relationships/hyperlink" Target="#'3. Raw Data'!A141" TargetMode="External" Id="rId136"/><Relationship Type="http://schemas.openxmlformats.org/officeDocument/2006/relationships/hyperlink" Target="#'3. Raw Data'!A142" TargetMode="External" Id="rId137"/><Relationship Type="http://schemas.openxmlformats.org/officeDocument/2006/relationships/hyperlink" Target="#'3. Raw Data'!A143" TargetMode="External" Id="rId138"/><Relationship Type="http://schemas.openxmlformats.org/officeDocument/2006/relationships/hyperlink" Target="#'3. Raw Data'!A144" TargetMode="External" Id="rId139"/><Relationship Type="http://schemas.openxmlformats.org/officeDocument/2006/relationships/hyperlink" Target="#'3. Raw Data'!A145" TargetMode="External" Id="rId140"/><Relationship Type="http://schemas.openxmlformats.org/officeDocument/2006/relationships/hyperlink" Target="#'3. Raw Data'!A146" TargetMode="External" Id="rId141"/><Relationship Type="http://schemas.openxmlformats.org/officeDocument/2006/relationships/hyperlink" Target="#'3. Raw Data'!A147" TargetMode="External" Id="rId142"/><Relationship Type="http://schemas.openxmlformats.org/officeDocument/2006/relationships/hyperlink" Target="#'3. Raw Data'!A148" TargetMode="External" Id="rId143"/><Relationship Type="http://schemas.openxmlformats.org/officeDocument/2006/relationships/hyperlink" Target="#'3. Raw Data'!A149" TargetMode="External" Id="rId144"/><Relationship Type="http://schemas.openxmlformats.org/officeDocument/2006/relationships/hyperlink" Target="#'3. Raw Data'!A150" TargetMode="External" Id="rId145"/><Relationship Type="http://schemas.openxmlformats.org/officeDocument/2006/relationships/hyperlink" Target="#'3. Raw Data'!A151" TargetMode="External" Id="rId146"/><Relationship Type="http://schemas.openxmlformats.org/officeDocument/2006/relationships/hyperlink" Target="#'3. Raw Data'!A152" TargetMode="External" Id="rId147"/><Relationship Type="http://schemas.openxmlformats.org/officeDocument/2006/relationships/hyperlink" Target="#'3. Raw Data'!A153" TargetMode="External" Id="rId148"/><Relationship Type="http://schemas.openxmlformats.org/officeDocument/2006/relationships/hyperlink" Target="#'3. Raw Data'!A154" TargetMode="External" Id="rId149"/><Relationship Type="http://schemas.openxmlformats.org/officeDocument/2006/relationships/hyperlink" Target="#'3. Raw Data'!A155" TargetMode="External" Id="rId150"/><Relationship Type="http://schemas.openxmlformats.org/officeDocument/2006/relationships/hyperlink" Target="#'3. Raw Data'!A156" TargetMode="External" Id="rId151"/><Relationship Type="http://schemas.openxmlformats.org/officeDocument/2006/relationships/hyperlink" Target="#'3. Raw Data'!A157" TargetMode="External" Id="rId152"/><Relationship Type="http://schemas.openxmlformats.org/officeDocument/2006/relationships/hyperlink" Target="#'3. Raw Data'!A158" TargetMode="External" Id="rId153"/><Relationship Type="http://schemas.openxmlformats.org/officeDocument/2006/relationships/hyperlink" Target="#'3. Raw Data'!A159" TargetMode="External" Id="rId154"/><Relationship Type="http://schemas.openxmlformats.org/officeDocument/2006/relationships/hyperlink" Target="#'3. Raw Data'!A160" TargetMode="External" Id="rId155"/><Relationship Type="http://schemas.openxmlformats.org/officeDocument/2006/relationships/hyperlink" Target="#'3. Raw Data'!A161" TargetMode="External" Id="rId156"/><Relationship Type="http://schemas.openxmlformats.org/officeDocument/2006/relationships/hyperlink" Target="#'3. Raw Data'!A162" TargetMode="External" Id="rId157"/><Relationship Type="http://schemas.openxmlformats.org/officeDocument/2006/relationships/hyperlink" Target="#'3. Raw Data'!A163" TargetMode="External" Id="rId158"/><Relationship Type="http://schemas.openxmlformats.org/officeDocument/2006/relationships/hyperlink" Target="#'3. Raw Data'!A164" TargetMode="External" Id="rId159"/><Relationship Type="http://schemas.openxmlformats.org/officeDocument/2006/relationships/hyperlink" Target="#'3. Raw Data'!A165" TargetMode="External" Id="rId160"/><Relationship Type="http://schemas.openxmlformats.org/officeDocument/2006/relationships/hyperlink" Target="#'3. Raw Data'!A166" TargetMode="External" Id="rId161"/><Relationship Type="http://schemas.openxmlformats.org/officeDocument/2006/relationships/hyperlink" Target="#'3. Raw Data'!A167" TargetMode="External" Id="rId162"/><Relationship Type="http://schemas.openxmlformats.org/officeDocument/2006/relationships/hyperlink" Target="#'3. Raw Data'!A168" TargetMode="External" Id="rId163"/><Relationship Type="http://schemas.openxmlformats.org/officeDocument/2006/relationships/hyperlink" Target="#'3. Raw Data'!A169" TargetMode="External" Id="rId164"/><Relationship Type="http://schemas.openxmlformats.org/officeDocument/2006/relationships/hyperlink" Target="#'3. Raw Data'!A170" TargetMode="External" Id="rId165"/><Relationship Type="http://schemas.openxmlformats.org/officeDocument/2006/relationships/hyperlink" Target="#'3. Raw Data'!A171" TargetMode="External" Id="rId166"/><Relationship Type="http://schemas.openxmlformats.org/officeDocument/2006/relationships/hyperlink" Target="#'3. Raw Data'!A172" TargetMode="External" Id="rId167"/><Relationship Type="http://schemas.openxmlformats.org/officeDocument/2006/relationships/hyperlink" Target="#'3. Raw Data'!A173" TargetMode="External" Id="rId168"/><Relationship Type="http://schemas.openxmlformats.org/officeDocument/2006/relationships/hyperlink" Target="#'3. Raw Data'!A174" TargetMode="External" Id="rId169"/><Relationship Type="http://schemas.openxmlformats.org/officeDocument/2006/relationships/hyperlink" Target="#'3. Raw Data'!A175" TargetMode="External" Id="rId170"/><Relationship Type="http://schemas.openxmlformats.org/officeDocument/2006/relationships/hyperlink" Target="#'3. Raw Data'!A176" TargetMode="External" Id="rId171"/><Relationship Type="http://schemas.openxmlformats.org/officeDocument/2006/relationships/hyperlink" Target="#'3. Raw Data'!A177" TargetMode="External" Id="rId172"/><Relationship Type="http://schemas.openxmlformats.org/officeDocument/2006/relationships/hyperlink" Target="#'3. Raw Data'!A178" TargetMode="External" Id="rId173"/><Relationship Type="http://schemas.openxmlformats.org/officeDocument/2006/relationships/hyperlink" Target="#'3. Raw Data'!A179" TargetMode="External" Id="rId174"/><Relationship Type="http://schemas.openxmlformats.org/officeDocument/2006/relationships/hyperlink" Target="#'3. Raw Data'!A180" TargetMode="External" Id="rId175"/><Relationship Type="http://schemas.openxmlformats.org/officeDocument/2006/relationships/hyperlink" Target="#'3. Raw Data'!A181" TargetMode="External" Id="rId176"/><Relationship Type="http://schemas.openxmlformats.org/officeDocument/2006/relationships/hyperlink" Target="#'3. Raw Data'!A182" TargetMode="External" Id="rId177"/><Relationship Type="http://schemas.openxmlformats.org/officeDocument/2006/relationships/hyperlink" Target="#'3. Raw Data'!A183" TargetMode="External" Id="rId178"/><Relationship Type="http://schemas.openxmlformats.org/officeDocument/2006/relationships/hyperlink" Target="#'3. Raw Data'!A184" TargetMode="External" Id="rId179"/><Relationship Type="http://schemas.openxmlformats.org/officeDocument/2006/relationships/hyperlink" Target="#'3. Raw Data'!A185" TargetMode="External" Id="rId180"/><Relationship Type="http://schemas.openxmlformats.org/officeDocument/2006/relationships/hyperlink" Target="#'3. Raw Data'!A186" TargetMode="External" Id="rId181"/><Relationship Type="http://schemas.openxmlformats.org/officeDocument/2006/relationships/hyperlink" Target="#'3. Raw Data'!A187" TargetMode="External" Id="rId182"/><Relationship Type="http://schemas.openxmlformats.org/officeDocument/2006/relationships/hyperlink" Target="#'3. Raw Data'!A188" TargetMode="External" Id="rId183"/><Relationship Type="http://schemas.openxmlformats.org/officeDocument/2006/relationships/hyperlink" Target="#'3. Raw Data'!A189" TargetMode="External" Id="rId184"/><Relationship Type="http://schemas.openxmlformats.org/officeDocument/2006/relationships/hyperlink" Target="#'3. Raw Data'!A190" TargetMode="External" Id="rId185"/><Relationship Type="http://schemas.openxmlformats.org/officeDocument/2006/relationships/hyperlink" Target="#'3. Raw Data'!A191" TargetMode="External" Id="rId186"/><Relationship Type="http://schemas.openxmlformats.org/officeDocument/2006/relationships/hyperlink" Target="#'3. Raw Data'!A192" TargetMode="External" Id="rId187"/><Relationship Type="http://schemas.openxmlformats.org/officeDocument/2006/relationships/hyperlink" Target="#'3. Raw Data'!A193" TargetMode="External" Id="rId188"/><Relationship Type="http://schemas.openxmlformats.org/officeDocument/2006/relationships/hyperlink" Target="#'3. Raw Data'!A194" TargetMode="External" Id="rId189"/><Relationship Type="http://schemas.openxmlformats.org/officeDocument/2006/relationships/hyperlink" Target="#'3. Raw Data'!A195" TargetMode="External" Id="rId190"/><Relationship Type="http://schemas.openxmlformats.org/officeDocument/2006/relationships/hyperlink" Target="#'3. Raw Data'!A196" TargetMode="External" Id="rId191"/><Relationship Type="http://schemas.openxmlformats.org/officeDocument/2006/relationships/hyperlink" Target="#'3. Raw Data'!A197" TargetMode="External" Id="rId192"/><Relationship Type="http://schemas.openxmlformats.org/officeDocument/2006/relationships/hyperlink" Target="#'3. Raw Data'!A198" TargetMode="External" Id="rId193"/><Relationship Type="http://schemas.openxmlformats.org/officeDocument/2006/relationships/hyperlink" Target="#'3. Raw Data'!A199" TargetMode="External" Id="rId194"/><Relationship Type="http://schemas.openxmlformats.org/officeDocument/2006/relationships/hyperlink" Target="#'3. Raw Data'!A200" TargetMode="External" Id="rId195"/><Relationship Type="http://schemas.openxmlformats.org/officeDocument/2006/relationships/hyperlink" Target="#'3. Raw Data'!A201" TargetMode="External" Id="rId196"/><Relationship Type="http://schemas.openxmlformats.org/officeDocument/2006/relationships/hyperlink" Target="#'3. Raw Data'!A202" TargetMode="External" Id="rId197"/><Relationship Type="http://schemas.openxmlformats.org/officeDocument/2006/relationships/hyperlink" Target="#'3. Raw Data'!A203" TargetMode="External" Id="rId198"/><Relationship Type="http://schemas.openxmlformats.org/officeDocument/2006/relationships/hyperlink" Target="#'3. Raw Data'!A204" TargetMode="External" Id="rId199"/><Relationship Type="http://schemas.openxmlformats.org/officeDocument/2006/relationships/hyperlink" Target="#'3. Raw Data'!A205" TargetMode="External" Id="rId200"/><Relationship Type="http://schemas.openxmlformats.org/officeDocument/2006/relationships/hyperlink" Target="#'3. Raw Data'!A206" TargetMode="External" Id="rId201"/><Relationship Type="http://schemas.openxmlformats.org/officeDocument/2006/relationships/hyperlink" Target="#'3. Raw Data'!A207" TargetMode="External" Id="rId202"/><Relationship Type="http://schemas.openxmlformats.org/officeDocument/2006/relationships/hyperlink" Target="#'3. Raw Data'!A208" TargetMode="External" Id="rId203"/><Relationship Type="http://schemas.openxmlformats.org/officeDocument/2006/relationships/hyperlink" Target="#'3. Raw Data'!A209" TargetMode="External" Id="rId204"/><Relationship Type="http://schemas.openxmlformats.org/officeDocument/2006/relationships/hyperlink" Target="#'3. Raw Data'!A210" TargetMode="External" Id="rId205"/><Relationship Type="http://schemas.openxmlformats.org/officeDocument/2006/relationships/hyperlink" Target="#'3. Raw Data'!A211" TargetMode="External" Id="rId206"/><Relationship Type="http://schemas.openxmlformats.org/officeDocument/2006/relationships/hyperlink" Target="#'3. Raw Data'!A212" TargetMode="External" Id="rId207"/><Relationship Type="http://schemas.openxmlformats.org/officeDocument/2006/relationships/hyperlink" Target="#'3. Raw Data'!A213" TargetMode="External" Id="rId208"/><Relationship Type="http://schemas.openxmlformats.org/officeDocument/2006/relationships/hyperlink" Target="#'3. Raw Data'!A214" TargetMode="External" Id="rId209"/><Relationship Type="http://schemas.openxmlformats.org/officeDocument/2006/relationships/hyperlink" Target="#'3. Raw Data'!A215" TargetMode="External" Id="rId210"/><Relationship Type="http://schemas.openxmlformats.org/officeDocument/2006/relationships/hyperlink" Target="#'3. Raw Data'!A216" TargetMode="External" Id="rId211"/><Relationship Type="http://schemas.openxmlformats.org/officeDocument/2006/relationships/hyperlink" Target="#'3. Raw Data'!A217" TargetMode="External" Id="rId212"/><Relationship Type="http://schemas.openxmlformats.org/officeDocument/2006/relationships/hyperlink" Target="#'3. Raw Data'!A218" TargetMode="External" Id="rId213"/><Relationship Type="http://schemas.openxmlformats.org/officeDocument/2006/relationships/hyperlink" Target="#'3. Raw Data'!A219" TargetMode="External" Id="rId214"/><Relationship Type="http://schemas.openxmlformats.org/officeDocument/2006/relationships/hyperlink" Target="#'3. Raw Data'!A220" TargetMode="External" Id="rId215"/><Relationship Type="http://schemas.openxmlformats.org/officeDocument/2006/relationships/hyperlink" Target="#'3. Raw Data'!A221" TargetMode="External" Id="rId216"/><Relationship Type="http://schemas.openxmlformats.org/officeDocument/2006/relationships/hyperlink" Target="#'3. Raw Data'!A222" TargetMode="External" Id="rId217"/><Relationship Type="http://schemas.openxmlformats.org/officeDocument/2006/relationships/hyperlink" Target="#'3. Raw Data'!A223" TargetMode="External" Id="rId218"/><Relationship Type="http://schemas.openxmlformats.org/officeDocument/2006/relationships/hyperlink" Target="#'3. Raw Data'!A224" TargetMode="External" Id="rId219"/><Relationship Type="http://schemas.openxmlformats.org/officeDocument/2006/relationships/hyperlink" Target="#'3. Raw Data'!A225" TargetMode="External" Id="rId220"/><Relationship Type="http://schemas.openxmlformats.org/officeDocument/2006/relationships/hyperlink" Target="#'3. Raw Data'!A226" TargetMode="External" Id="rId221"/><Relationship Type="http://schemas.openxmlformats.org/officeDocument/2006/relationships/hyperlink" Target="#'3. Raw Data'!A227" TargetMode="External" Id="rId222"/><Relationship Type="http://schemas.openxmlformats.org/officeDocument/2006/relationships/hyperlink" Target="#'3. Raw Data'!A228" TargetMode="External" Id="rId223"/><Relationship Type="http://schemas.openxmlformats.org/officeDocument/2006/relationships/hyperlink" Target="#'3. Raw Data'!A229" TargetMode="External" Id="rId224"/><Relationship Type="http://schemas.openxmlformats.org/officeDocument/2006/relationships/hyperlink" Target="#'3. Raw Data'!A230" TargetMode="External" Id="rId225"/><Relationship Type="http://schemas.openxmlformats.org/officeDocument/2006/relationships/hyperlink" Target="#'3. Raw Data'!A231" TargetMode="External" Id="rId226"/><Relationship Type="http://schemas.openxmlformats.org/officeDocument/2006/relationships/hyperlink" Target="#'3. Raw Data'!A232" TargetMode="External" Id="rId227"/><Relationship Type="http://schemas.openxmlformats.org/officeDocument/2006/relationships/hyperlink" Target="#'3. Raw Data'!A233" TargetMode="External" Id="rId228"/><Relationship Type="http://schemas.openxmlformats.org/officeDocument/2006/relationships/hyperlink" Target="#'3. Raw Data'!A234" TargetMode="External" Id="rId229"/><Relationship Type="http://schemas.openxmlformats.org/officeDocument/2006/relationships/hyperlink" Target="#'3. Raw Data'!A235" TargetMode="External" Id="rId230"/><Relationship Type="http://schemas.openxmlformats.org/officeDocument/2006/relationships/hyperlink" Target="#'3. Raw Data'!A236" TargetMode="External" Id="rId231"/><Relationship Type="http://schemas.openxmlformats.org/officeDocument/2006/relationships/hyperlink" Target="#'3. Raw Data'!A237" TargetMode="External" Id="rId232"/><Relationship Type="http://schemas.openxmlformats.org/officeDocument/2006/relationships/hyperlink" Target="#'3. Raw Data'!A238" TargetMode="External" Id="rId233"/><Relationship Type="http://schemas.openxmlformats.org/officeDocument/2006/relationships/hyperlink" Target="#'3. Raw Data'!A239" TargetMode="External" Id="rId234"/><Relationship Type="http://schemas.openxmlformats.org/officeDocument/2006/relationships/hyperlink" Target="#'3. Raw Data'!A240" TargetMode="External" Id="rId235"/><Relationship Type="http://schemas.openxmlformats.org/officeDocument/2006/relationships/hyperlink" Target="#'3. Raw Data'!A241" TargetMode="External" Id="rId236"/><Relationship Type="http://schemas.openxmlformats.org/officeDocument/2006/relationships/hyperlink" Target="#'3. Raw Data'!A242" TargetMode="External" Id="rId237"/><Relationship Type="http://schemas.openxmlformats.org/officeDocument/2006/relationships/hyperlink" Target="#'3. Raw Data'!A243" TargetMode="External" Id="rId238"/><Relationship Type="http://schemas.openxmlformats.org/officeDocument/2006/relationships/hyperlink" Target="#'3. Raw Data'!A244" TargetMode="External" Id="rId239"/><Relationship Type="http://schemas.openxmlformats.org/officeDocument/2006/relationships/hyperlink" Target="#'3. Raw Data'!A245" TargetMode="External" Id="rId240"/><Relationship Type="http://schemas.openxmlformats.org/officeDocument/2006/relationships/hyperlink" Target="#'3. Raw Data'!A246" TargetMode="External" Id="rId241"/><Relationship Type="http://schemas.openxmlformats.org/officeDocument/2006/relationships/hyperlink" Target="#'3. Raw Data'!A247" TargetMode="External" Id="rId242"/><Relationship Type="http://schemas.openxmlformats.org/officeDocument/2006/relationships/hyperlink" Target="#'3. Raw Data'!A248" TargetMode="External" Id="rId243"/><Relationship Type="http://schemas.openxmlformats.org/officeDocument/2006/relationships/hyperlink" Target="#'3. Raw Data'!A249" TargetMode="External" Id="rId244"/><Relationship Type="http://schemas.openxmlformats.org/officeDocument/2006/relationships/hyperlink" Target="#'3. Raw Data'!A250" TargetMode="External" Id="rId245"/><Relationship Type="http://schemas.openxmlformats.org/officeDocument/2006/relationships/hyperlink" Target="#'3. Raw Data'!A251" TargetMode="External" Id="rId246"/><Relationship Type="http://schemas.openxmlformats.org/officeDocument/2006/relationships/hyperlink" Target="#'3. Raw Data'!A252" TargetMode="External" Id="rId247"/><Relationship Type="http://schemas.openxmlformats.org/officeDocument/2006/relationships/hyperlink" Target="#'3. Raw Data'!A253" TargetMode="External" Id="rId248"/><Relationship Type="http://schemas.openxmlformats.org/officeDocument/2006/relationships/hyperlink" Target="#'3. Raw Data'!A254" TargetMode="External" Id="rId249"/><Relationship Type="http://schemas.openxmlformats.org/officeDocument/2006/relationships/hyperlink" Target="#'3. Raw Data'!A255" TargetMode="External" Id="rId250"/><Relationship Type="http://schemas.openxmlformats.org/officeDocument/2006/relationships/hyperlink" Target="#'3. Raw Data'!A256" TargetMode="External" Id="rId251"/><Relationship Type="http://schemas.openxmlformats.org/officeDocument/2006/relationships/hyperlink" Target="#'3. Raw Data'!A257" TargetMode="External" Id="rId252"/><Relationship Type="http://schemas.openxmlformats.org/officeDocument/2006/relationships/hyperlink" Target="#'3. Raw Data'!A258" TargetMode="External" Id="rId253"/><Relationship Type="http://schemas.openxmlformats.org/officeDocument/2006/relationships/hyperlink" Target="#'3. Raw Data'!A259" TargetMode="External" Id="rId254"/><Relationship Type="http://schemas.openxmlformats.org/officeDocument/2006/relationships/hyperlink" Target="#'3. Raw Data'!A260" TargetMode="External" Id="rId255"/><Relationship Type="http://schemas.openxmlformats.org/officeDocument/2006/relationships/hyperlink" Target="#'3. Raw Data'!A261" TargetMode="External" Id="rId256"/><Relationship Type="http://schemas.openxmlformats.org/officeDocument/2006/relationships/hyperlink" Target="#'3. Raw Data'!A262" TargetMode="External" Id="rId257"/><Relationship Type="http://schemas.openxmlformats.org/officeDocument/2006/relationships/hyperlink" Target="#'3. Raw Data'!A263" TargetMode="External" Id="rId258"/><Relationship Type="http://schemas.openxmlformats.org/officeDocument/2006/relationships/hyperlink" Target="#'3. Raw Data'!A264" TargetMode="External" Id="rId259"/><Relationship Type="http://schemas.openxmlformats.org/officeDocument/2006/relationships/hyperlink" Target="#'3. Raw Data'!A265" TargetMode="External" Id="rId260"/><Relationship Type="http://schemas.openxmlformats.org/officeDocument/2006/relationships/hyperlink" Target="#'3. Raw Data'!A266" TargetMode="External" Id="rId261"/><Relationship Type="http://schemas.openxmlformats.org/officeDocument/2006/relationships/hyperlink" Target="#'3. Raw Data'!A267" TargetMode="External" Id="rId262"/><Relationship Type="http://schemas.openxmlformats.org/officeDocument/2006/relationships/hyperlink" Target="#'3. Raw Data'!A268" TargetMode="External" Id="rId263"/><Relationship Type="http://schemas.openxmlformats.org/officeDocument/2006/relationships/hyperlink" Target="#'3. Raw Data'!A269" TargetMode="External" Id="rId264"/><Relationship Type="http://schemas.openxmlformats.org/officeDocument/2006/relationships/hyperlink" Target="#'3. Raw Data'!A270" TargetMode="External" Id="rId265"/><Relationship Type="http://schemas.openxmlformats.org/officeDocument/2006/relationships/hyperlink" Target="#'3. Raw Data'!A271" TargetMode="External" Id="rId266"/><Relationship Type="http://schemas.openxmlformats.org/officeDocument/2006/relationships/hyperlink" Target="#'3. Raw Data'!A272" TargetMode="External" Id="rId267"/><Relationship Type="http://schemas.openxmlformats.org/officeDocument/2006/relationships/hyperlink" Target="#'3. Raw Data'!A273" TargetMode="External" Id="rId268"/><Relationship Type="http://schemas.openxmlformats.org/officeDocument/2006/relationships/hyperlink" Target="#'3. Raw Data'!A274" TargetMode="External" Id="rId269"/><Relationship Type="http://schemas.openxmlformats.org/officeDocument/2006/relationships/hyperlink" Target="#'3. Raw Data'!A275" TargetMode="External" Id="rId270"/><Relationship Type="http://schemas.openxmlformats.org/officeDocument/2006/relationships/hyperlink" Target="#'3. Raw Data'!A276" TargetMode="External" Id="rId271"/><Relationship Type="http://schemas.openxmlformats.org/officeDocument/2006/relationships/hyperlink" Target="#'3. Raw Data'!A277" TargetMode="External" Id="rId272"/><Relationship Type="http://schemas.openxmlformats.org/officeDocument/2006/relationships/hyperlink" Target="#'3. Raw Data'!A278" TargetMode="External" Id="rId273"/><Relationship Type="http://schemas.openxmlformats.org/officeDocument/2006/relationships/hyperlink" Target="#'3. Raw Data'!A279" TargetMode="External" Id="rId274"/><Relationship Type="http://schemas.openxmlformats.org/officeDocument/2006/relationships/hyperlink" Target="#'3. Raw Data'!A280" TargetMode="External" Id="rId275"/><Relationship Type="http://schemas.openxmlformats.org/officeDocument/2006/relationships/hyperlink" Target="#'3. Raw Data'!A281" TargetMode="External" Id="rId276"/><Relationship Type="http://schemas.openxmlformats.org/officeDocument/2006/relationships/hyperlink" Target="#'3. Raw Data'!A282" TargetMode="External" Id="rId277"/><Relationship Type="http://schemas.openxmlformats.org/officeDocument/2006/relationships/hyperlink" Target="#'3. Raw Data'!A283" TargetMode="External" Id="rId278"/><Relationship Type="http://schemas.openxmlformats.org/officeDocument/2006/relationships/hyperlink" Target="#'3. Raw Data'!A284" TargetMode="External" Id="rId279"/><Relationship Type="http://schemas.openxmlformats.org/officeDocument/2006/relationships/hyperlink" Target="#'3. Raw Data'!A285" TargetMode="External" Id="rId280"/><Relationship Type="http://schemas.openxmlformats.org/officeDocument/2006/relationships/hyperlink" Target="#'3. Raw Data'!A286" TargetMode="External" Id="rId281"/><Relationship Type="http://schemas.openxmlformats.org/officeDocument/2006/relationships/hyperlink" Target="#'3. Raw Data'!A287" TargetMode="External" Id="rId282"/><Relationship Type="http://schemas.openxmlformats.org/officeDocument/2006/relationships/hyperlink" Target="#'3. Raw Data'!A288" TargetMode="External" Id="rId283"/><Relationship Type="http://schemas.openxmlformats.org/officeDocument/2006/relationships/hyperlink" Target="#'3. Raw Data'!A289" TargetMode="External" Id="rId284"/><Relationship Type="http://schemas.openxmlformats.org/officeDocument/2006/relationships/hyperlink" Target="#'3. Raw Data'!A290" TargetMode="External" Id="rId285"/><Relationship Type="http://schemas.openxmlformats.org/officeDocument/2006/relationships/hyperlink" Target="#'3. Raw Data'!A291" TargetMode="External" Id="rId286"/><Relationship Type="http://schemas.openxmlformats.org/officeDocument/2006/relationships/hyperlink" Target="#'3. Raw Data'!A292" TargetMode="External" Id="rId287"/><Relationship Type="http://schemas.openxmlformats.org/officeDocument/2006/relationships/hyperlink" Target="#'3. Raw Data'!A293" TargetMode="External" Id="rId288"/><Relationship Type="http://schemas.openxmlformats.org/officeDocument/2006/relationships/hyperlink" Target="#'3. Raw Data'!A294" TargetMode="External" Id="rId289"/><Relationship Type="http://schemas.openxmlformats.org/officeDocument/2006/relationships/hyperlink" Target="#'3. Raw Data'!A295" TargetMode="External" Id="rId290"/><Relationship Type="http://schemas.openxmlformats.org/officeDocument/2006/relationships/hyperlink" Target="#'3. Raw Data'!A296" TargetMode="External" Id="rId291"/><Relationship Type="http://schemas.openxmlformats.org/officeDocument/2006/relationships/hyperlink" Target="#'3. Raw Data'!A297" TargetMode="External" Id="rId292"/><Relationship Type="http://schemas.openxmlformats.org/officeDocument/2006/relationships/hyperlink" Target="#'3. Raw Data'!A298" TargetMode="External" Id="rId293"/><Relationship Type="http://schemas.openxmlformats.org/officeDocument/2006/relationships/hyperlink" Target="#'3. Raw Data'!A299" TargetMode="External" Id="rId294"/><Relationship Type="http://schemas.openxmlformats.org/officeDocument/2006/relationships/hyperlink" Target="#'3. Raw Data'!A300" TargetMode="External" Id="rId295"/><Relationship Type="http://schemas.openxmlformats.org/officeDocument/2006/relationships/hyperlink" Target="#'3. Raw Data'!A301" TargetMode="External" Id="rId296"/><Relationship Type="http://schemas.openxmlformats.org/officeDocument/2006/relationships/hyperlink" Target="#'3. Raw Data'!A302" TargetMode="External" Id="rId297"/><Relationship Type="http://schemas.openxmlformats.org/officeDocument/2006/relationships/hyperlink" Target="#'3. Raw Data'!A303" TargetMode="External" Id="rId298"/><Relationship Type="http://schemas.openxmlformats.org/officeDocument/2006/relationships/hyperlink" Target="#'3. Raw Data'!A304" TargetMode="External" Id="rId299"/><Relationship Type="http://schemas.openxmlformats.org/officeDocument/2006/relationships/hyperlink" Target="#'3. Raw Data'!A305" TargetMode="External" Id="rId300"/><Relationship Type="http://schemas.openxmlformats.org/officeDocument/2006/relationships/hyperlink" Target="#'3. Raw Data'!A306" TargetMode="External" Id="rId301"/><Relationship Type="http://schemas.openxmlformats.org/officeDocument/2006/relationships/hyperlink" Target="#'3. Raw Data'!A307" TargetMode="External" Id="rId302"/><Relationship Type="http://schemas.openxmlformats.org/officeDocument/2006/relationships/hyperlink" Target="#'3. Raw Data'!A308" TargetMode="External" Id="rId303"/><Relationship Type="http://schemas.openxmlformats.org/officeDocument/2006/relationships/hyperlink" Target="#'3. Raw Data'!A309" TargetMode="External" Id="rId304"/><Relationship Type="http://schemas.openxmlformats.org/officeDocument/2006/relationships/hyperlink" Target="#'3. Raw Data'!A310" TargetMode="External" Id="rId305"/><Relationship Type="http://schemas.openxmlformats.org/officeDocument/2006/relationships/hyperlink" Target="#'3. Raw Data'!A311" TargetMode="External" Id="rId306"/><Relationship Type="http://schemas.openxmlformats.org/officeDocument/2006/relationships/hyperlink" Target="#'3. Raw Data'!A312" TargetMode="External" Id="rId307"/><Relationship Type="http://schemas.openxmlformats.org/officeDocument/2006/relationships/hyperlink" Target="#'3. Raw Data'!A313" TargetMode="External" Id="rId308"/><Relationship Type="http://schemas.openxmlformats.org/officeDocument/2006/relationships/hyperlink" Target="#'3. Raw Data'!A314" TargetMode="External" Id="rId309"/><Relationship Type="http://schemas.openxmlformats.org/officeDocument/2006/relationships/hyperlink" Target="#'3. Raw Data'!A315" TargetMode="External" Id="rId310"/><Relationship Type="http://schemas.openxmlformats.org/officeDocument/2006/relationships/hyperlink" Target="#'3. Raw Data'!A316" TargetMode="External" Id="rId311"/><Relationship Type="http://schemas.openxmlformats.org/officeDocument/2006/relationships/hyperlink" Target="#'3. Raw Data'!A317" TargetMode="External" Id="rId312"/><Relationship Type="http://schemas.openxmlformats.org/officeDocument/2006/relationships/hyperlink" Target="#'3. Raw Data'!A318" TargetMode="External" Id="rId313"/><Relationship Type="http://schemas.openxmlformats.org/officeDocument/2006/relationships/hyperlink" Target="#'3. Raw Data'!A319" TargetMode="External" Id="rId314"/><Relationship Type="http://schemas.openxmlformats.org/officeDocument/2006/relationships/hyperlink" Target="#'3. Raw Data'!A320" TargetMode="External" Id="rId315"/><Relationship Type="http://schemas.openxmlformats.org/officeDocument/2006/relationships/hyperlink" Target="#'3. Raw Data'!A321" TargetMode="External" Id="rId316"/><Relationship Type="http://schemas.openxmlformats.org/officeDocument/2006/relationships/hyperlink" Target="#'3. Raw Data'!A322" TargetMode="External" Id="rId317"/><Relationship Type="http://schemas.openxmlformats.org/officeDocument/2006/relationships/hyperlink" Target="#'3. Raw Data'!A323" TargetMode="External" Id="rId318"/><Relationship Type="http://schemas.openxmlformats.org/officeDocument/2006/relationships/hyperlink" Target="#'3. Raw Data'!A324" TargetMode="External" Id="rId319"/><Relationship Type="http://schemas.openxmlformats.org/officeDocument/2006/relationships/hyperlink" Target="#'3. Raw Data'!A325" TargetMode="External" Id="rId320"/><Relationship Type="http://schemas.openxmlformats.org/officeDocument/2006/relationships/hyperlink" Target="#'3. Raw Data'!A326" TargetMode="External" Id="rId321"/><Relationship Type="http://schemas.openxmlformats.org/officeDocument/2006/relationships/hyperlink" Target="#'3. Raw Data'!A327" TargetMode="External" Id="rId322"/><Relationship Type="http://schemas.openxmlformats.org/officeDocument/2006/relationships/hyperlink" Target="#'3. Raw Data'!A328" TargetMode="External" Id="rId323"/><Relationship Type="http://schemas.openxmlformats.org/officeDocument/2006/relationships/hyperlink" Target="#'3. Raw Data'!A329" TargetMode="External" Id="rId324"/><Relationship Type="http://schemas.openxmlformats.org/officeDocument/2006/relationships/hyperlink" Target="#'3. Raw Data'!A330" TargetMode="External" Id="rId325"/><Relationship Type="http://schemas.openxmlformats.org/officeDocument/2006/relationships/hyperlink" Target="#'3. Raw Data'!A331" TargetMode="External" Id="rId326"/><Relationship Type="http://schemas.openxmlformats.org/officeDocument/2006/relationships/hyperlink" Target="#'3. Raw Data'!A332" TargetMode="External" Id="rId327"/><Relationship Type="http://schemas.openxmlformats.org/officeDocument/2006/relationships/hyperlink" Target="#'3. Raw Data'!A333" TargetMode="External" Id="rId328"/><Relationship Type="http://schemas.openxmlformats.org/officeDocument/2006/relationships/hyperlink" Target="#'3. Raw Data'!A334" TargetMode="External" Id="rId329"/><Relationship Type="http://schemas.openxmlformats.org/officeDocument/2006/relationships/hyperlink" Target="#'3. Raw Data'!A335" TargetMode="External" Id="rId330"/><Relationship Type="http://schemas.openxmlformats.org/officeDocument/2006/relationships/hyperlink" Target="#'3. Raw Data'!A336" TargetMode="External" Id="rId331"/><Relationship Type="http://schemas.openxmlformats.org/officeDocument/2006/relationships/hyperlink" Target="#'3. Raw Data'!A337" TargetMode="External" Id="rId332"/><Relationship Type="http://schemas.openxmlformats.org/officeDocument/2006/relationships/hyperlink" Target="#'3. Raw Data'!A338" TargetMode="External" Id="rId333"/><Relationship Type="http://schemas.openxmlformats.org/officeDocument/2006/relationships/hyperlink" Target="#'3. Raw Data'!A339" TargetMode="External" Id="rId334"/><Relationship Type="http://schemas.openxmlformats.org/officeDocument/2006/relationships/hyperlink" Target="#'3. Raw Data'!A340" TargetMode="External" Id="rId335"/><Relationship Type="http://schemas.openxmlformats.org/officeDocument/2006/relationships/hyperlink" Target="#'3. Raw Data'!A341" TargetMode="External" Id="rId336"/><Relationship Type="http://schemas.openxmlformats.org/officeDocument/2006/relationships/hyperlink" Target="#'3. Raw Data'!A342" TargetMode="External" Id="rId337"/><Relationship Type="http://schemas.openxmlformats.org/officeDocument/2006/relationships/hyperlink" Target="#'3. Raw Data'!A343" TargetMode="External" Id="rId338"/><Relationship Type="http://schemas.openxmlformats.org/officeDocument/2006/relationships/hyperlink" Target="#'3. Raw Data'!A344" TargetMode="External" Id="rId339"/><Relationship Type="http://schemas.openxmlformats.org/officeDocument/2006/relationships/hyperlink" Target="#'3. Raw Data'!A345" TargetMode="External" Id="rId340"/><Relationship Type="http://schemas.openxmlformats.org/officeDocument/2006/relationships/hyperlink" Target="#'3. Raw Data'!A346" TargetMode="External" Id="rId341"/><Relationship Type="http://schemas.openxmlformats.org/officeDocument/2006/relationships/hyperlink" Target="#'3. Raw Data'!A347" TargetMode="External" Id="rId342"/><Relationship Type="http://schemas.openxmlformats.org/officeDocument/2006/relationships/hyperlink" Target="#'3. Raw Data'!A348" TargetMode="External" Id="rId343"/><Relationship Type="http://schemas.openxmlformats.org/officeDocument/2006/relationships/hyperlink" Target="#'3. Raw Data'!A349" TargetMode="External" Id="rId344"/><Relationship Type="http://schemas.openxmlformats.org/officeDocument/2006/relationships/hyperlink" Target="#'3. Raw Data'!A350" TargetMode="External" Id="rId345"/><Relationship Type="http://schemas.openxmlformats.org/officeDocument/2006/relationships/hyperlink" Target="#'3. Raw Data'!A351" TargetMode="External" Id="rId346"/><Relationship Type="http://schemas.openxmlformats.org/officeDocument/2006/relationships/hyperlink" Target="#'3. Raw Data'!A352" TargetMode="External" Id="rId347"/><Relationship Type="http://schemas.openxmlformats.org/officeDocument/2006/relationships/hyperlink" Target="#'3. Raw Data'!A353" TargetMode="External" Id="rId348"/><Relationship Type="http://schemas.openxmlformats.org/officeDocument/2006/relationships/hyperlink" Target="#'3. Raw Data'!A354" TargetMode="External" Id="rId349"/><Relationship Type="http://schemas.openxmlformats.org/officeDocument/2006/relationships/hyperlink" Target="#'3. Raw Data'!A355" TargetMode="External" Id="rId350"/><Relationship Type="http://schemas.openxmlformats.org/officeDocument/2006/relationships/hyperlink" Target="#'3. Raw Data'!A356" TargetMode="External" Id="rId351"/><Relationship Type="http://schemas.openxmlformats.org/officeDocument/2006/relationships/hyperlink" Target="#'3. Raw Data'!A357" TargetMode="External" Id="rId352"/><Relationship Type="http://schemas.openxmlformats.org/officeDocument/2006/relationships/hyperlink" Target="#'3. Raw Data'!A358" TargetMode="External" Id="rId353"/><Relationship Type="http://schemas.openxmlformats.org/officeDocument/2006/relationships/hyperlink" Target="#'3. Raw Data'!A359" TargetMode="External" Id="rId354"/><Relationship Type="http://schemas.openxmlformats.org/officeDocument/2006/relationships/hyperlink" Target="#'3. Raw Data'!A360" TargetMode="External" Id="rId355"/><Relationship Type="http://schemas.openxmlformats.org/officeDocument/2006/relationships/hyperlink" Target="#'3. Raw Data'!A361" TargetMode="External" Id="rId356"/><Relationship Type="http://schemas.openxmlformats.org/officeDocument/2006/relationships/hyperlink" Target="#'3. Raw Data'!A362" TargetMode="External" Id="rId357"/><Relationship Type="http://schemas.openxmlformats.org/officeDocument/2006/relationships/hyperlink" Target="#'3. Raw Data'!A363" TargetMode="External" Id="rId358"/><Relationship Type="http://schemas.openxmlformats.org/officeDocument/2006/relationships/hyperlink" Target="#'3. Raw Data'!A364" TargetMode="External" Id="rId359"/><Relationship Type="http://schemas.openxmlformats.org/officeDocument/2006/relationships/hyperlink" Target="#'3. Raw Data'!A365" TargetMode="External" Id="rId360"/><Relationship Type="http://schemas.openxmlformats.org/officeDocument/2006/relationships/hyperlink" Target="#'3. Raw Data'!A366" TargetMode="External" Id="rId361"/><Relationship Type="http://schemas.openxmlformats.org/officeDocument/2006/relationships/hyperlink" Target="#'3. Raw Data'!A367" TargetMode="External" Id="rId362"/><Relationship Type="http://schemas.openxmlformats.org/officeDocument/2006/relationships/hyperlink" Target="#'3. Raw Data'!A368" TargetMode="External" Id="rId363"/><Relationship Type="http://schemas.openxmlformats.org/officeDocument/2006/relationships/hyperlink" Target="#'3. Raw Data'!A369" TargetMode="External" Id="rId364"/><Relationship Type="http://schemas.openxmlformats.org/officeDocument/2006/relationships/hyperlink" Target="#'3. Raw Data'!A370" TargetMode="External" Id="rId365"/><Relationship Type="http://schemas.openxmlformats.org/officeDocument/2006/relationships/hyperlink" Target="#'3. Raw Data'!A371" TargetMode="External" Id="rId366"/><Relationship Type="http://schemas.openxmlformats.org/officeDocument/2006/relationships/hyperlink" Target="#'3. Raw Data'!A372" TargetMode="External" Id="rId367"/><Relationship Type="http://schemas.openxmlformats.org/officeDocument/2006/relationships/hyperlink" Target="#'3. Raw Data'!A373" TargetMode="External" Id="rId368"/><Relationship Type="http://schemas.openxmlformats.org/officeDocument/2006/relationships/hyperlink" Target="#'3. Raw Data'!A374" TargetMode="External" Id="rId369"/><Relationship Type="http://schemas.openxmlformats.org/officeDocument/2006/relationships/hyperlink" Target="#'3. Raw Data'!A375" TargetMode="External" Id="rId370"/><Relationship Type="http://schemas.openxmlformats.org/officeDocument/2006/relationships/hyperlink" Target="#'3. Raw Data'!A376" TargetMode="External" Id="rId371"/><Relationship Type="http://schemas.openxmlformats.org/officeDocument/2006/relationships/hyperlink" Target="#'3. Raw Data'!A377" TargetMode="External" Id="rId372"/><Relationship Type="http://schemas.openxmlformats.org/officeDocument/2006/relationships/hyperlink" Target="#'3. Raw Data'!A378" TargetMode="External" Id="rId373"/><Relationship Type="http://schemas.openxmlformats.org/officeDocument/2006/relationships/hyperlink" Target="#'3. Raw Data'!A379" TargetMode="External" Id="rId374"/><Relationship Type="http://schemas.openxmlformats.org/officeDocument/2006/relationships/hyperlink" Target="#'3. Raw Data'!A380" TargetMode="External" Id="rId375"/><Relationship Type="http://schemas.openxmlformats.org/officeDocument/2006/relationships/hyperlink" Target="#'3. Raw Data'!A381" TargetMode="External" Id="rId376"/><Relationship Type="http://schemas.openxmlformats.org/officeDocument/2006/relationships/hyperlink" Target="#'3. Raw Data'!A382" TargetMode="External" Id="rId377"/><Relationship Type="http://schemas.openxmlformats.org/officeDocument/2006/relationships/hyperlink" Target="#'3. Raw Data'!A383" TargetMode="External" Id="rId378"/><Relationship Type="http://schemas.openxmlformats.org/officeDocument/2006/relationships/hyperlink" Target="#'3. Raw Data'!A384" TargetMode="External" Id="rId379"/><Relationship Type="http://schemas.openxmlformats.org/officeDocument/2006/relationships/hyperlink" Target="#'3. Raw Data'!A385" TargetMode="External" Id="rId380"/><Relationship Type="http://schemas.openxmlformats.org/officeDocument/2006/relationships/hyperlink" Target="#'3. Raw Data'!A386" TargetMode="External" Id="rId381"/><Relationship Type="http://schemas.openxmlformats.org/officeDocument/2006/relationships/hyperlink" Target="#'3. Raw Data'!A387" TargetMode="External" Id="rId382"/><Relationship Type="http://schemas.openxmlformats.org/officeDocument/2006/relationships/hyperlink" Target="#'3. Raw Data'!A388" TargetMode="External" Id="rId383"/><Relationship Type="http://schemas.openxmlformats.org/officeDocument/2006/relationships/hyperlink" Target="#'3. Raw Data'!A389" TargetMode="External" Id="rId384"/><Relationship Type="http://schemas.openxmlformats.org/officeDocument/2006/relationships/hyperlink" Target="#'3. Raw Data'!A390" TargetMode="External" Id="rId385"/><Relationship Type="http://schemas.openxmlformats.org/officeDocument/2006/relationships/hyperlink" Target="#'3. Raw Data'!A391" TargetMode="External" Id="rId386"/><Relationship Type="http://schemas.openxmlformats.org/officeDocument/2006/relationships/hyperlink" Target="#'3. Raw Data'!A392" TargetMode="External" Id="rId387"/><Relationship Type="http://schemas.openxmlformats.org/officeDocument/2006/relationships/hyperlink" Target="#'3. Raw Data'!A393" TargetMode="External" Id="rId388"/><Relationship Type="http://schemas.openxmlformats.org/officeDocument/2006/relationships/hyperlink" Target="#'3. Raw Data'!A394" TargetMode="External" Id="rId389"/><Relationship Type="http://schemas.openxmlformats.org/officeDocument/2006/relationships/hyperlink" Target="#'3. Raw Data'!A395" TargetMode="External" Id="rId390"/><Relationship Type="http://schemas.openxmlformats.org/officeDocument/2006/relationships/hyperlink" Target="#'3. Raw Data'!A396" TargetMode="External" Id="rId391"/><Relationship Type="http://schemas.openxmlformats.org/officeDocument/2006/relationships/hyperlink" Target="#'3. Raw Data'!A397" TargetMode="External" Id="rId392"/><Relationship Type="http://schemas.openxmlformats.org/officeDocument/2006/relationships/hyperlink" Target="#'3. Raw Data'!A398" TargetMode="External" Id="rId393"/><Relationship Type="http://schemas.openxmlformats.org/officeDocument/2006/relationships/hyperlink" Target="#'3. Raw Data'!A399" TargetMode="External" Id="rId394"/><Relationship Type="http://schemas.openxmlformats.org/officeDocument/2006/relationships/hyperlink" Target="#'3. Raw Data'!A400" TargetMode="External" Id="rId395"/><Relationship Type="http://schemas.openxmlformats.org/officeDocument/2006/relationships/hyperlink" Target="#'3. Raw Data'!A401" TargetMode="External" Id="rId396"/><Relationship Type="http://schemas.openxmlformats.org/officeDocument/2006/relationships/hyperlink" Target="#'3. Raw Data'!A402" TargetMode="External" Id="rId397"/><Relationship Type="http://schemas.openxmlformats.org/officeDocument/2006/relationships/hyperlink" Target="#'3. Raw Data'!A403" TargetMode="External" Id="rId398"/><Relationship Type="http://schemas.openxmlformats.org/officeDocument/2006/relationships/hyperlink" Target="#'3. Raw Data'!A404" TargetMode="External" Id="rId399"/><Relationship Type="http://schemas.openxmlformats.org/officeDocument/2006/relationships/hyperlink" Target="#'3. Raw Data'!A405" TargetMode="External" Id="rId400"/><Relationship Type="http://schemas.openxmlformats.org/officeDocument/2006/relationships/hyperlink" Target="#'3. Raw Data'!A406" TargetMode="External" Id="rId401"/><Relationship Type="http://schemas.openxmlformats.org/officeDocument/2006/relationships/hyperlink" Target="#'3. Raw Data'!A407" TargetMode="External" Id="rId402"/><Relationship Type="http://schemas.openxmlformats.org/officeDocument/2006/relationships/hyperlink" Target="#'3. Raw Data'!A408" TargetMode="External" Id="rId403"/><Relationship Type="http://schemas.openxmlformats.org/officeDocument/2006/relationships/hyperlink" Target="#'3. Raw Data'!A409" TargetMode="External" Id="rId404"/><Relationship Type="http://schemas.openxmlformats.org/officeDocument/2006/relationships/hyperlink" Target="#'3. Raw Data'!A410" TargetMode="External" Id="rId405"/><Relationship Type="http://schemas.openxmlformats.org/officeDocument/2006/relationships/hyperlink" Target="#'3. Raw Data'!A411" TargetMode="External" Id="rId406"/><Relationship Type="http://schemas.openxmlformats.org/officeDocument/2006/relationships/hyperlink" Target="#'3. Raw Data'!A412" TargetMode="External" Id="rId407"/><Relationship Type="http://schemas.openxmlformats.org/officeDocument/2006/relationships/hyperlink" Target="#'3. Raw Data'!A413" TargetMode="External" Id="rId408"/><Relationship Type="http://schemas.openxmlformats.org/officeDocument/2006/relationships/hyperlink" Target="#'3. Raw Data'!A414" TargetMode="External" Id="rId409"/><Relationship Type="http://schemas.openxmlformats.org/officeDocument/2006/relationships/hyperlink" Target="#'3. Raw Data'!A415" TargetMode="External" Id="rId410"/><Relationship Type="http://schemas.openxmlformats.org/officeDocument/2006/relationships/hyperlink" Target="#'3. Raw Data'!A416" TargetMode="External" Id="rId411"/><Relationship Type="http://schemas.openxmlformats.org/officeDocument/2006/relationships/hyperlink" Target="#'3. Raw Data'!A417" TargetMode="External" Id="rId412"/><Relationship Type="http://schemas.openxmlformats.org/officeDocument/2006/relationships/hyperlink" Target="#'3. Raw Data'!A418" TargetMode="External" Id="rId413"/><Relationship Type="http://schemas.openxmlformats.org/officeDocument/2006/relationships/hyperlink" Target="#'3. Raw Data'!A419" TargetMode="External" Id="rId414"/><Relationship Type="http://schemas.openxmlformats.org/officeDocument/2006/relationships/hyperlink" Target="#'3. Raw Data'!A420" TargetMode="External" Id="rId415"/><Relationship Type="http://schemas.openxmlformats.org/officeDocument/2006/relationships/hyperlink" Target="#'3. Raw Data'!A421" TargetMode="External" Id="rId416"/><Relationship Type="http://schemas.openxmlformats.org/officeDocument/2006/relationships/hyperlink" Target="#'3. Raw Data'!A422" TargetMode="External" Id="rId417"/><Relationship Type="http://schemas.openxmlformats.org/officeDocument/2006/relationships/hyperlink" Target="#'3. Raw Data'!A423" TargetMode="External" Id="rId418"/><Relationship Type="http://schemas.openxmlformats.org/officeDocument/2006/relationships/hyperlink" Target="#'3. Raw Data'!A424" TargetMode="External" Id="rId419"/><Relationship Type="http://schemas.openxmlformats.org/officeDocument/2006/relationships/hyperlink" Target="#'3. Raw Data'!A425" TargetMode="External" Id="rId420"/><Relationship Type="http://schemas.openxmlformats.org/officeDocument/2006/relationships/hyperlink" Target="#'3. Raw Data'!A426" TargetMode="External" Id="rId421"/><Relationship Type="http://schemas.openxmlformats.org/officeDocument/2006/relationships/hyperlink" Target="#'3. Raw Data'!A427" TargetMode="External" Id="rId422"/><Relationship Type="http://schemas.openxmlformats.org/officeDocument/2006/relationships/hyperlink" Target="#'3. Raw Data'!A428" TargetMode="External" Id="rId423"/><Relationship Type="http://schemas.openxmlformats.org/officeDocument/2006/relationships/hyperlink" Target="#'3. Raw Data'!A429" TargetMode="External" Id="rId424"/><Relationship Type="http://schemas.openxmlformats.org/officeDocument/2006/relationships/hyperlink" Target="#'3. Raw Data'!A430" TargetMode="External" Id="rId425"/><Relationship Type="http://schemas.openxmlformats.org/officeDocument/2006/relationships/hyperlink" Target="#'3. Raw Data'!A431" TargetMode="External" Id="rId426"/><Relationship Type="http://schemas.openxmlformats.org/officeDocument/2006/relationships/hyperlink" Target="#'3. Raw Data'!A432" TargetMode="External" Id="rId427"/><Relationship Type="http://schemas.openxmlformats.org/officeDocument/2006/relationships/hyperlink" Target="#'3. Raw Data'!A433" TargetMode="External" Id="rId428"/><Relationship Type="http://schemas.openxmlformats.org/officeDocument/2006/relationships/hyperlink" Target="#'3. Raw Data'!A434" TargetMode="External" Id="rId429"/><Relationship Type="http://schemas.openxmlformats.org/officeDocument/2006/relationships/hyperlink" Target="#'3. Raw Data'!A435" TargetMode="External" Id="rId430"/><Relationship Type="http://schemas.openxmlformats.org/officeDocument/2006/relationships/hyperlink" Target="#'3. Raw Data'!A436" TargetMode="External" Id="rId431"/><Relationship Type="http://schemas.openxmlformats.org/officeDocument/2006/relationships/hyperlink" Target="#'3. Raw Data'!A437" TargetMode="External" Id="rId432"/><Relationship Type="http://schemas.openxmlformats.org/officeDocument/2006/relationships/hyperlink" Target="#'3. Raw Data'!A438" TargetMode="External" Id="rId433"/><Relationship Type="http://schemas.openxmlformats.org/officeDocument/2006/relationships/hyperlink" Target="#'3. Raw Data'!A439" TargetMode="External" Id="rId434"/><Relationship Type="http://schemas.openxmlformats.org/officeDocument/2006/relationships/hyperlink" Target="#'3. Raw Data'!A440" TargetMode="External" Id="rId435"/><Relationship Type="http://schemas.openxmlformats.org/officeDocument/2006/relationships/hyperlink" Target="#'3. Raw Data'!A441" TargetMode="External" Id="rId436"/><Relationship Type="http://schemas.openxmlformats.org/officeDocument/2006/relationships/hyperlink" Target="#'3. Raw Data'!A442" TargetMode="External" Id="rId437"/><Relationship Type="http://schemas.openxmlformats.org/officeDocument/2006/relationships/hyperlink" Target="#'3. Raw Data'!A443" TargetMode="External" Id="rId438"/><Relationship Type="http://schemas.openxmlformats.org/officeDocument/2006/relationships/hyperlink" Target="#'3. Raw Data'!A444" TargetMode="External" Id="rId439"/><Relationship Type="http://schemas.openxmlformats.org/officeDocument/2006/relationships/hyperlink" Target="#'3. Raw Data'!A445" TargetMode="External" Id="rId440"/><Relationship Type="http://schemas.openxmlformats.org/officeDocument/2006/relationships/hyperlink" Target="#'3. Raw Data'!A446" TargetMode="External" Id="rId441"/><Relationship Type="http://schemas.openxmlformats.org/officeDocument/2006/relationships/hyperlink" Target="#'3. Raw Data'!A447" TargetMode="External" Id="rId442"/><Relationship Type="http://schemas.openxmlformats.org/officeDocument/2006/relationships/hyperlink" Target="#'3. Raw Data'!A448" TargetMode="External" Id="rId443"/><Relationship Type="http://schemas.openxmlformats.org/officeDocument/2006/relationships/hyperlink" Target="#'3. Raw Data'!A449" TargetMode="External" Id="rId444"/><Relationship Type="http://schemas.openxmlformats.org/officeDocument/2006/relationships/hyperlink" Target="#'3. Raw Data'!A450" TargetMode="External" Id="rId445"/><Relationship Type="http://schemas.openxmlformats.org/officeDocument/2006/relationships/hyperlink" Target="#'3. Raw Data'!A451" TargetMode="External" Id="rId446"/><Relationship Type="http://schemas.openxmlformats.org/officeDocument/2006/relationships/hyperlink" Target="#'3. Raw Data'!A452" TargetMode="External" Id="rId447"/><Relationship Type="http://schemas.openxmlformats.org/officeDocument/2006/relationships/hyperlink" Target="#'3. Raw Data'!A453" TargetMode="External" Id="rId448"/><Relationship Type="http://schemas.openxmlformats.org/officeDocument/2006/relationships/hyperlink" Target="#'3. Raw Data'!A454" TargetMode="External" Id="rId449"/><Relationship Type="http://schemas.openxmlformats.org/officeDocument/2006/relationships/hyperlink" Target="#'3. Raw Data'!A455" TargetMode="External" Id="rId450"/><Relationship Type="http://schemas.openxmlformats.org/officeDocument/2006/relationships/hyperlink" Target="#'3. Raw Data'!A456" TargetMode="External" Id="rId451"/><Relationship Type="http://schemas.openxmlformats.org/officeDocument/2006/relationships/hyperlink" Target="#'3. Raw Data'!A457" TargetMode="External" Id="rId452"/><Relationship Type="http://schemas.openxmlformats.org/officeDocument/2006/relationships/hyperlink" Target="#'3. Raw Data'!A458" TargetMode="External" Id="rId453"/><Relationship Type="http://schemas.openxmlformats.org/officeDocument/2006/relationships/hyperlink" Target="#'3. Raw Data'!A459" TargetMode="External" Id="rId454"/><Relationship Type="http://schemas.openxmlformats.org/officeDocument/2006/relationships/hyperlink" Target="#'3. Raw Data'!A460" TargetMode="External" Id="rId455"/><Relationship Type="http://schemas.openxmlformats.org/officeDocument/2006/relationships/hyperlink" Target="#'3. Raw Data'!A461" TargetMode="External" Id="rId456"/><Relationship Type="http://schemas.openxmlformats.org/officeDocument/2006/relationships/hyperlink" Target="#'3. Raw Data'!A462" TargetMode="External" Id="rId457"/><Relationship Type="http://schemas.openxmlformats.org/officeDocument/2006/relationships/hyperlink" Target="#'3. Raw Data'!A463" TargetMode="External" Id="rId458"/><Relationship Type="http://schemas.openxmlformats.org/officeDocument/2006/relationships/hyperlink" Target="#'3. Raw Data'!A464" TargetMode="External" Id="rId459"/><Relationship Type="http://schemas.openxmlformats.org/officeDocument/2006/relationships/hyperlink" Target="#'3. Raw Data'!A465" TargetMode="External" Id="rId460"/><Relationship Type="http://schemas.openxmlformats.org/officeDocument/2006/relationships/hyperlink" Target="#'3. Raw Data'!A466" TargetMode="External" Id="rId461"/><Relationship Type="http://schemas.openxmlformats.org/officeDocument/2006/relationships/hyperlink" Target="#'3. Raw Data'!A467" TargetMode="External" Id="rId462"/><Relationship Type="http://schemas.openxmlformats.org/officeDocument/2006/relationships/hyperlink" Target="#'3. Raw Data'!A468" TargetMode="External" Id="rId463"/><Relationship Type="http://schemas.openxmlformats.org/officeDocument/2006/relationships/hyperlink" Target="#'3. Raw Data'!A469" TargetMode="External" Id="rId464"/><Relationship Type="http://schemas.openxmlformats.org/officeDocument/2006/relationships/hyperlink" Target="#'3. Raw Data'!A470" TargetMode="External" Id="rId465"/><Relationship Type="http://schemas.openxmlformats.org/officeDocument/2006/relationships/hyperlink" Target="#'3. Raw Data'!A471" TargetMode="External" Id="rId466"/><Relationship Type="http://schemas.openxmlformats.org/officeDocument/2006/relationships/hyperlink" Target="#'3. Raw Data'!A472" TargetMode="External" Id="rId467"/><Relationship Type="http://schemas.openxmlformats.org/officeDocument/2006/relationships/hyperlink" Target="#'3. Raw Data'!A473" TargetMode="External" Id="rId468"/><Relationship Type="http://schemas.openxmlformats.org/officeDocument/2006/relationships/hyperlink" Target="#'3. Raw Data'!A474" TargetMode="External" Id="rId469"/><Relationship Type="http://schemas.openxmlformats.org/officeDocument/2006/relationships/hyperlink" Target="#'3. Raw Data'!A475" TargetMode="External" Id="rId470"/><Relationship Type="http://schemas.openxmlformats.org/officeDocument/2006/relationships/hyperlink" Target="#'3. Raw Data'!A476" TargetMode="External" Id="rId471"/><Relationship Type="http://schemas.openxmlformats.org/officeDocument/2006/relationships/hyperlink" Target="#'3. Raw Data'!A477" TargetMode="External" Id="rId472"/><Relationship Type="http://schemas.openxmlformats.org/officeDocument/2006/relationships/hyperlink" Target="#'3. Raw Data'!A478" TargetMode="External" Id="rId473"/><Relationship Type="http://schemas.openxmlformats.org/officeDocument/2006/relationships/hyperlink" Target="#'3. Raw Data'!A479" TargetMode="External" Id="rId474"/><Relationship Type="http://schemas.openxmlformats.org/officeDocument/2006/relationships/hyperlink" Target="#'3. Raw Data'!A480" TargetMode="External" Id="rId475"/><Relationship Type="http://schemas.openxmlformats.org/officeDocument/2006/relationships/hyperlink" Target="#'3. Raw Data'!A481" TargetMode="External" Id="rId476"/><Relationship Type="http://schemas.openxmlformats.org/officeDocument/2006/relationships/hyperlink" Target="#'3. Raw Data'!A482" TargetMode="External" Id="rId477"/><Relationship Type="http://schemas.openxmlformats.org/officeDocument/2006/relationships/hyperlink" Target="#'3. Raw Data'!A483" TargetMode="External" Id="rId478"/><Relationship Type="http://schemas.openxmlformats.org/officeDocument/2006/relationships/hyperlink" Target="#'3. Raw Data'!A484" TargetMode="External" Id="rId479"/><Relationship Type="http://schemas.openxmlformats.org/officeDocument/2006/relationships/hyperlink" Target="#'3. Raw Data'!A485" TargetMode="External" Id="rId480"/><Relationship Type="http://schemas.openxmlformats.org/officeDocument/2006/relationships/hyperlink" Target="#'3. Raw Data'!A486" TargetMode="External" Id="rId481"/><Relationship Type="http://schemas.openxmlformats.org/officeDocument/2006/relationships/hyperlink" Target="#'3. Raw Data'!A487" TargetMode="External" Id="rId482"/><Relationship Type="http://schemas.openxmlformats.org/officeDocument/2006/relationships/hyperlink" Target="#'3. Raw Data'!A488" TargetMode="External" Id="rId483"/><Relationship Type="http://schemas.openxmlformats.org/officeDocument/2006/relationships/hyperlink" Target="#'3. Raw Data'!A489" TargetMode="External" Id="rId484"/><Relationship Type="http://schemas.openxmlformats.org/officeDocument/2006/relationships/hyperlink" Target="#'3. Raw Data'!A490" TargetMode="External" Id="rId485"/><Relationship Type="http://schemas.openxmlformats.org/officeDocument/2006/relationships/hyperlink" Target="#'3. Raw Data'!A491" TargetMode="External" Id="rId486"/><Relationship Type="http://schemas.openxmlformats.org/officeDocument/2006/relationships/hyperlink" Target="#'3. Raw Data'!A492" TargetMode="External" Id="rId487"/><Relationship Type="http://schemas.openxmlformats.org/officeDocument/2006/relationships/hyperlink" Target="#'3. Raw Data'!A493" TargetMode="External" Id="rId488"/><Relationship Type="http://schemas.openxmlformats.org/officeDocument/2006/relationships/hyperlink" Target="#'3. Raw Data'!A494" TargetMode="External" Id="rId489"/><Relationship Type="http://schemas.openxmlformats.org/officeDocument/2006/relationships/hyperlink" Target="#'3. Raw Data'!A495" TargetMode="External" Id="rId490"/><Relationship Type="http://schemas.openxmlformats.org/officeDocument/2006/relationships/hyperlink" Target="#'3. Raw Data'!A496" TargetMode="External" Id="rId491"/><Relationship Type="http://schemas.openxmlformats.org/officeDocument/2006/relationships/hyperlink" Target="#'3. Raw Data'!A497" TargetMode="External" Id="rId492"/><Relationship Type="http://schemas.openxmlformats.org/officeDocument/2006/relationships/hyperlink" Target="#'3. Raw Data'!A498" TargetMode="External" Id="rId493"/><Relationship Type="http://schemas.openxmlformats.org/officeDocument/2006/relationships/hyperlink" Target="#'3. Raw Data'!A499" TargetMode="External" Id="rId494"/><Relationship Type="http://schemas.openxmlformats.org/officeDocument/2006/relationships/hyperlink" Target="#'3. Raw Data'!A500" TargetMode="External" Id="rId495"/><Relationship Type="http://schemas.openxmlformats.org/officeDocument/2006/relationships/hyperlink" Target="#'3. Raw Data'!A501" TargetMode="External" Id="rId496"/><Relationship Type="http://schemas.openxmlformats.org/officeDocument/2006/relationships/hyperlink" Target="#'3. Raw Data'!A502" TargetMode="External" Id="rId497"/><Relationship Type="http://schemas.openxmlformats.org/officeDocument/2006/relationships/hyperlink" Target="#'3. Raw Data'!A503" TargetMode="External" Id="rId498"/><Relationship Type="http://schemas.openxmlformats.org/officeDocument/2006/relationships/hyperlink" Target="#'3. Raw Data'!A504" TargetMode="External" Id="rId499"/><Relationship Type="http://schemas.openxmlformats.org/officeDocument/2006/relationships/hyperlink" Target="#'3. Raw Data'!A505" TargetMode="External" Id="rId500"/><Relationship Type="http://schemas.openxmlformats.org/officeDocument/2006/relationships/hyperlink" Target="#'3. Raw Data'!A506" TargetMode="External" Id="rId501"/><Relationship Type="http://schemas.openxmlformats.org/officeDocument/2006/relationships/hyperlink" Target="#'3. Raw Data'!A507" TargetMode="External" Id="rId502"/><Relationship Type="http://schemas.openxmlformats.org/officeDocument/2006/relationships/hyperlink" Target="#'3. Raw Data'!A508" TargetMode="External" Id="rId503"/><Relationship Type="http://schemas.openxmlformats.org/officeDocument/2006/relationships/hyperlink" Target="#'3. Raw Data'!A509" TargetMode="External" Id="rId504"/><Relationship Type="http://schemas.openxmlformats.org/officeDocument/2006/relationships/hyperlink" Target="#'3. Raw Data'!A510" TargetMode="External" Id="rId505"/><Relationship Type="http://schemas.openxmlformats.org/officeDocument/2006/relationships/hyperlink" Target="#'3. Raw Data'!A511" TargetMode="External" Id="rId506"/><Relationship Type="http://schemas.openxmlformats.org/officeDocument/2006/relationships/hyperlink" Target="#'3. Raw Data'!A512" TargetMode="External" Id="rId507"/><Relationship Type="http://schemas.openxmlformats.org/officeDocument/2006/relationships/hyperlink" Target="#'3. Raw Data'!A513" TargetMode="External" Id="rId508"/><Relationship Type="http://schemas.openxmlformats.org/officeDocument/2006/relationships/hyperlink" Target="#'3. Raw Data'!A514" TargetMode="External" Id="rId509"/><Relationship Type="http://schemas.openxmlformats.org/officeDocument/2006/relationships/hyperlink" Target="#'3. Raw Data'!A515" TargetMode="External" Id="rId510"/><Relationship Type="http://schemas.openxmlformats.org/officeDocument/2006/relationships/hyperlink" Target="#'3. Raw Data'!A516" TargetMode="External" Id="rId511"/><Relationship Type="http://schemas.openxmlformats.org/officeDocument/2006/relationships/hyperlink" Target="#'3. Raw Data'!A517" TargetMode="External" Id="rId512"/><Relationship Type="http://schemas.openxmlformats.org/officeDocument/2006/relationships/hyperlink" Target="#'3. Raw Data'!A518" TargetMode="External" Id="rId513"/><Relationship Type="http://schemas.openxmlformats.org/officeDocument/2006/relationships/hyperlink" Target="#'3. Raw Data'!A519" TargetMode="External" Id="rId514"/><Relationship Type="http://schemas.openxmlformats.org/officeDocument/2006/relationships/hyperlink" Target="#'3. Raw Data'!A520" TargetMode="External" Id="rId515"/><Relationship Type="http://schemas.openxmlformats.org/officeDocument/2006/relationships/hyperlink" Target="#'3. Raw Data'!A521" TargetMode="External" Id="rId516"/><Relationship Type="http://schemas.openxmlformats.org/officeDocument/2006/relationships/hyperlink" Target="#'3. Raw Data'!A522" TargetMode="External" Id="rId517"/><Relationship Type="http://schemas.openxmlformats.org/officeDocument/2006/relationships/hyperlink" Target="#'3. Raw Data'!A523" TargetMode="External" Id="rId518"/><Relationship Type="http://schemas.openxmlformats.org/officeDocument/2006/relationships/hyperlink" Target="#'3. Raw Data'!A524" TargetMode="External" Id="rId519"/><Relationship Type="http://schemas.openxmlformats.org/officeDocument/2006/relationships/hyperlink" Target="#'3. Raw Data'!A525" TargetMode="External" Id="rId520"/><Relationship Type="http://schemas.openxmlformats.org/officeDocument/2006/relationships/hyperlink" Target="#'3. Raw Data'!A526" TargetMode="External" Id="rId521"/><Relationship Type="http://schemas.openxmlformats.org/officeDocument/2006/relationships/hyperlink" Target="#'3. Raw Data'!A527" TargetMode="External" Id="rId522"/><Relationship Type="http://schemas.openxmlformats.org/officeDocument/2006/relationships/hyperlink" Target="#'3. Raw Data'!A528" TargetMode="External" Id="rId523"/><Relationship Type="http://schemas.openxmlformats.org/officeDocument/2006/relationships/hyperlink" Target="#'3. Raw Data'!A529" TargetMode="External" Id="rId524"/><Relationship Type="http://schemas.openxmlformats.org/officeDocument/2006/relationships/hyperlink" Target="#'3. Raw Data'!A530" TargetMode="External" Id="rId525"/><Relationship Type="http://schemas.openxmlformats.org/officeDocument/2006/relationships/hyperlink" Target="#'3. Raw Data'!A531" TargetMode="External" Id="rId526"/><Relationship Type="http://schemas.openxmlformats.org/officeDocument/2006/relationships/hyperlink" Target="#'3. Raw Data'!A532" TargetMode="External" Id="rId527"/><Relationship Type="http://schemas.openxmlformats.org/officeDocument/2006/relationships/hyperlink" Target="#'3. Raw Data'!A533" TargetMode="External" Id="rId528"/><Relationship Type="http://schemas.openxmlformats.org/officeDocument/2006/relationships/hyperlink" Target="#'3. Raw Data'!A534" TargetMode="External" Id="rId529"/><Relationship Type="http://schemas.openxmlformats.org/officeDocument/2006/relationships/hyperlink" Target="#'3. Raw Data'!A535" TargetMode="External" Id="rId530"/><Relationship Type="http://schemas.openxmlformats.org/officeDocument/2006/relationships/hyperlink" Target="#'3. Raw Data'!A536" TargetMode="External" Id="rId531"/><Relationship Type="http://schemas.openxmlformats.org/officeDocument/2006/relationships/hyperlink" Target="#'3. Raw Data'!A537" TargetMode="External" Id="rId532"/><Relationship Type="http://schemas.openxmlformats.org/officeDocument/2006/relationships/hyperlink" Target="#'3. Raw Data'!A538" TargetMode="External" Id="rId533"/><Relationship Type="http://schemas.openxmlformats.org/officeDocument/2006/relationships/hyperlink" Target="#'3. Raw Data'!A539" TargetMode="External" Id="rId534"/><Relationship Type="http://schemas.openxmlformats.org/officeDocument/2006/relationships/hyperlink" Target="#'3. Raw Data'!A540" TargetMode="External" Id="rId535"/><Relationship Type="http://schemas.openxmlformats.org/officeDocument/2006/relationships/hyperlink" Target="#'3. Raw Data'!A541" TargetMode="External" Id="rId536"/><Relationship Type="http://schemas.openxmlformats.org/officeDocument/2006/relationships/hyperlink" Target="#'3. Raw Data'!A542" TargetMode="External" Id="rId537"/><Relationship Type="http://schemas.openxmlformats.org/officeDocument/2006/relationships/hyperlink" Target="#'3. Raw Data'!A543" TargetMode="External" Id="rId538"/><Relationship Type="http://schemas.openxmlformats.org/officeDocument/2006/relationships/hyperlink" Target="#'3. Raw Data'!A544" TargetMode="External" Id="rId539"/><Relationship Type="http://schemas.openxmlformats.org/officeDocument/2006/relationships/hyperlink" Target="#'3. Raw Data'!A545" TargetMode="External" Id="rId540"/><Relationship Type="http://schemas.openxmlformats.org/officeDocument/2006/relationships/hyperlink" Target="#'3. Raw Data'!A546" TargetMode="External" Id="rId541"/><Relationship Type="http://schemas.openxmlformats.org/officeDocument/2006/relationships/hyperlink" Target="#'3. Raw Data'!A547" TargetMode="External" Id="rId542"/><Relationship Type="http://schemas.openxmlformats.org/officeDocument/2006/relationships/hyperlink" Target="#'3. Raw Data'!A548" TargetMode="External" Id="rId543"/><Relationship Type="http://schemas.openxmlformats.org/officeDocument/2006/relationships/hyperlink" Target="#'3. Raw Data'!A549" TargetMode="External" Id="rId544"/><Relationship Type="http://schemas.openxmlformats.org/officeDocument/2006/relationships/hyperlink" Target="#'3. Raw Data'!A550" TargetMode="External" Id="rId545"/><Relationship Type="http://schemas.openxmlformats.org/officeDocument/2006/relationships/hyperlink" Target="#'3. Raw Data'!A551" TargetMode="External" Id="rId546"/><Relationship Type="http://schemas.openxmlformats.org/officeDocument/2006/relationships/hyperlink" Target="#'3. Raw Data'!A552" TargetMode="External" Id="rId547"/><Relationship Type="http://schemas.openxmlformats.org/officeDocument/2006/relationships/hyperlink" Target="#'3. Raw Data'!A553" TargetMode="External" Id="rId548"/><Relationship Type="http://schemas.openxmlformats.org/officeDocument/2006/relationships/hyperlink" Target="#'3. Raw Data'!A554" TargetMode="External" Id="rId549"/><Relationship Type="http://schemas.openxmlformats.org/officeDocument/2006/relationships/hyperlink" Target="#'3. Raw Data'!A555" TargetMode="External" Id="rId550"/><Relationship Type="http://schemas.openxmlformats.org/officeDocument/2006/relationships/hyperlink" Target="#'3. Raw Data'!A556" TargetMode="External" Id="rId551"/><Relationship Type="http://schemas.openxmlformats.org/officeDocument/2006/relationships/hyperlink" Target="#'3. Raw Data'!A557" TargetMode="External" Id="rId552"/><Relationship Type="http://schemas.openxmlformats.org/officeDocument/2006/relationships/hyperlink" Target="#'3. Raw Data'!A558" TargetMode="External" Id="rId553"/><Relationship Type="http://schemas.openxmlformats.org/officeDocument/2006/relationships/hyperlink" Target="#'3. Raw Data'!A559" TargetMode="External" Id="rId554"/><Relationship Type="http://schemas.openxmlformats.org/officeDocument/2006/relationships/hyperlink" Target="#'3. Raw Data'!A560" TargetMode="External" Id="rId555"/><Relationship Type="http://schemas.openxmlformats.org/officeDocument/2006/relationships/hyperlink" Target="#'3. Raw Data'!A561" TargetMode="External" Id="rId556"/><Relationship Type="http://schemas.openxmlformats.org/officeDocument/2006/relationships/hyperlink" Target="#'3. Raw Data'!A562" TargetMode="External" Id="rId557"/><Relationship Type="http://schemas.openxmlformats.org/officeDocument/2006/relationships/hyperlink" Target="#'3. Raw Data'!A563" TargetMode="External" Id="rId558"/><Relationship Type="http://schemas.openxmlformats.org/officeDocument/2006/relationships/hyperlink" Target="#'3. Raw Data'!A564" TargetMode="External" Id="rId559"/><Relationship Type="http://schemas.openxmlformats.org/officeDocument/2006/relationships/hyperlink" Target="#'3. Raw Data'!A565" TargetMode="External" Id="rId560"/><Relationship Type="http://schemas.openxmlformats.org/officeDocument/2006/relationships/hyperlink" Target="#'3. Raw Data'!A566" TargetMode="External" Id="rId561"/><Relationship Type="http://schemas.openxmlformats.org/officeDocument/2006/relationships/hyperlink" Target="#'3. Raw Data'!A567" TargetMode="External" Id="rId562"/><Relationship Type="http://schemas.openxmlformats.org/officeDocument/2006/relationships/hyperlink" Target="#'3. Raw Data'!A568" TargetMode="External" Id="rId563"/><Relationship Type="http://schemas.openxmlformats.org/officeDocument/2006/relationships/hyperlink" Target="#'3. Raw Data'!A569" TargetMode="External" Id="rId564"/><Relationship Type="http://schemas.openxmlformats.org/officeDocument/2006/relationships/hyperlink" Target="#'3. Raw Data'!A570" TargetMode="External" Id="rId565"/><Relationship Type="http://schemas.openxmlformats.org/officeDocument/2006/relationships/hyperlink" Target="#'3. Raw Data'!A571" TargetMode="External" Id="rId566"/><Relationship Type="http://schemas.openxmlformats.org/officeDocument/2006/relationships/hyperlink" Target="#'3. Raw Data'!A572" TargetMode="External" Id="rId567"/><Relationship Type="http://schemas.openxmlformats.org/officeDocument/2006/relationships/hyperlink" Target="#'3. Raw Data'!A573" TargetMode="External" Id="rId568"/><Relationship Type="http://schemas.openxmlformats.org/officeDocument/2006/relationships/hyperlink" Target="#'3. Raw Data'!A574" TargetMode="External" Id="rId569"/><Relationship Type="http://schemas.openxmlformats.org/officeDocument/2006/relationships/hyperlink" Target="#'3. Raw Data'!A575" TargetMode="External" Id="rId570"/><Relationship Type="http://schemas.openxmlformats.org/officeDocument/2006/relationships/hyperlink" Target="#'3. Raw Data'!A576" TargetMode="External" Id="rId571"/><Relationship Type="http://schemas.openxmlformats.org/officeDocument/2006/relationships/hyperlink" Target="#'3. Raw Data'!A577" TargetMode="External" Id="rId572"/><Relationship Type="http://schemas.openxmlformats.org/officeDocument/2006/relationships/hyperlink" Target="#'3. Raw Data'!A578" TargetMode="External" Id="rId573"/><Relationship Type="http://schemas.openxmlformats.org/officeDocument/2006/relationships/hyperlink" Target="#'3. Raw Data'!A579" TargetMode="External" Id="rId574"/><Relationship Type="http://schemas.openxmlformats.org/officeDocument/2006/relationships/hyperlink" Target="#'3. Raw Data'!A580" TargetMode="External" Id="rId575"/><Relationship Type="http://schemas.openxmlformats.org/officeDocument/2006/relationships/hyperlink" Target="#'3. Raw Data'!A581" TargetMode="External" Id="rId576"/><Relationship Type="http://schemas.openxmlformats.org/officeDocument/2006/relationships/hyperlink" Target="#'3. Raw Data'!A582" TargetMode="External" Id="rId577"/><Relationship Type="http://schemas.openxmlformats.org/officeDocument/2006/relationships/hyperlink" Target="#'3. Raw Data'!A583" TargetMode="External" Id="rId578"/><Relationship Type="http://schemas.openxmlformats.org/officeDocument/2006/relationships/hyperlink" Target="#'3. Raw Data'!A584" TargetMode="External" Id="rId579"/><Relationship Type="http://schemas.openxmlformats.org/officeDocument/2006/relationships/hyperlink" Target="#'3. Raw Data'!A585" TargetMode="External" Id="rId580"/><Relationship Type="http://schemas.openxmlformats.org/officeDocument/2006/relationships/hyperlink" Target="#'3. Raw Data'!A586" TargetMode="External" Id="rId581"/><Relationship Type="http://schemas.openxmlformats.org/officeDocument/2006/relationships/hyperlink" Target="#'3. Raw Data'!A587" TargetMode="External" Id="rId582"/><Relationship Type="http://schemas.openxmlformats.org/officeDocument/2006/relationships/hyperlink" Target="#'3. Raw Data'!A588" TargetMode="External" Id="rId583"/><Relationship Type="http://schemas.openxmlformats.org/officeDocument/2006/relationships/hyperlink" Target="#'3. Raw Data'!A589" TargetMode="External" Id="rId584"/><Relationship Type="http://schemas.openxmlformats.org/officeDocument/2006/relationships/hyperlink" Target="#'3. Raw Data'!A590" TargetMode="External" Id="rId585"/><Relationship Type="http://schemas.openxmlformats.org/officeDocument/2006/relationships/hyperlink" Target="#'3. Raw Data'!A591" TargetMode="External" Id="rId586"/><Relationship Type="http://schemas.openxmlformats.org/officeDocument/2006/relationships/hyperlink" Target="#'3. Raw Data'!A592" TargetMode="External" Id="rId587"/></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2. Talent Mapping'!A7" TargetMode="External" Id="rId2"/><Relationship Type="http://schemas.openxmlformats.org/officeDocument/2006/relationships/hyperlink" Target="#'2. Talent Mapping'!A8" TargetMode="External" Id="rId3"/><Relationship Type="http://schemas.openxmlformats.org/officeDocument/2006/relationships/hyperlink" Target="#'2. Talent Mapping'!A9" TargetMode="External" Id="rId4"/><Relationship Type="http://schemas.openxmlformats.org/officeDocument/2006/relationships/hyperlink" Target="#'2. Talent Mapping'!A10" TargetMode="External" Id="rId5"/><Relationship Type="http://schemas.openxmlformats.org/officeDocument/2006/relationships/hyperlink" Target="#'2. Talent Mapping'!A11" TargetMode="External" Id="rId6"/><Relationship Type="http://schemas.openxmlformats.org/officeDocument/2006/relationships/hyperlink" Target="#'2. Talent Mapping'!A12" TargetMode="External" Id="rId7"/><Relationship Type="http://schemas.openxmlformats.org/officeDocument/2006/relationships/hyperlink" Target="#'2. Talent Mapping'!A13" TargetMode="External" Id="rId8"/><Relationship Type="http://schemas.openxmlformats.org/officeDocument/2006/relationships/hyperlink" Target="#'2. Talent Mapping'!A14" TargetMode="External" Id="rId9"/><Relationship Type="http://schemas.openxmlformats.org/officeDocument/2006/relationships/hyperlink" Target="#'2. Talent Mapping'!A15" TargetMode="External" Id="rId10"/><Relationship Type="http://schemas.openxmlformats.org/officeDocument/2006/relationships/hyperlink" Target="#'2. Talent Mapping'!A16" TargetMode="External" Id="rId11"/><Relationship Type="http://schemas.openxmlformats.org/officeDocument/2006/relationships/hyperlink" Target="#'2. Talent Mapping'!A17" TargetMode="External" Id="rId12"/><Relationship Type="http://schemas.openxmlformats.org/officeDocument/2006/relationships/hyperlink" Target="#'2. Talent Mapping'!A18" TargetMode="External" Id="rId13"/><Relationship Type="http://schemas.openxmlformats.org/officeDocument/2006/relationships/hyperlink" Target="#'2. Talent Mapping'!A19" TargetMode="External" Id="rId14"/><Relationship Type="http://schemas.openxmlformats.org/officeDocument/2006/relationships/hyperlink" Target="#'2. Talent Mapping'!A20" TargetMode="External" Id="rId15"/><Relationship Type="http://schemas.openxmlformats.org/officeDocument/2006/relationships/hyperlink" Target="#'2. Talent Mapping'!A21" TargetMode="External" Id="rId16"/><Relationship Type="http://schemas.openxmlformats.org/officeDocument/2006/relationships/hyperlink" Target="#'2. Talent Mapping'!A22" TargetMode="External" Id="rId17"/><Relationship Type="http://schemas.openxmlformats.org/officeDocument/2006/relationships/hyperlink" Target="#'2. Talent Mapping'!A23" TargetMode="External" Id="rId18"/><Relationship Type="http://schemas.openxmlformats.org/officeDocument/2006/relationships/hyperlink" Target="#'2. Talent Mapping'!A24" TargetMode="External" Id="rId19"/><Relationship Type="http://schemas.openxmlformats.org/officeDocument/2006/relationships/hyperlink" Target="#'2. Talent Mapping'!A25" TargetMode="External" Id="rId20"/><Relationship Type="http://schemas.openxmlformats.org/officeDocument/2006/relationships/hyperlink" Target="#'2. Talent Mapping'!A26" TargetMode="External" Id="rId21"/><Relationship Type="http://schemas.openxmlformats.org/officeDocument/2006/relationships/hyperlink" Target="#'2. Talent Mapping'!A27" TargetMode="External" Id="rId22"/><Relationship Type="http://schemas.openxmlformats.org/officeDocument/2006/relationships/hyperlink" Target="#'2. Talent Mapping'!A28" TargetMode="External" Id="rId23"/><Relationship Type="http://schemas.openxmlformats.org/officeDocument/2006/relationships/hyperlink" Target="#'2. Talent Mapping'!A29" TargetMode="External" Id="rId24"/><Relationship Type="http://schemas.openxmlformats.org/officeDocument/2006/relationships/hyperlink" Target="#'2. Talent Mapping'!A30" TargetMode="External" Id="rId25"/><Relationship Type="http://schemas.openxmlformats.org/officeDocument/2006/relationships/hyperlink" Target="#'2. Talent Mapping'!A31" TargetMode="External" Id="rId26"/><Relationship Type="http://schemas.openxmlformats.org/officeDocument/2006/relationships/hyperlink" Target="#'2. Talent Mapping'!A32" TargetMode="External" Id="rId27"/><Relationship Type="http://schemas.openxmlformats.org/officeDocument/2006/relationships/hyperlink" Target="#'2. Talent Mapping'!A33" TargetMode="External" Id="rId28"/><Relationship Type="http://schemas.openxmlformats.org/officeDocument/2006/relationships/hyperlink" Target="#'2. Talent Mapping'!A34" TargetMode="External" Id="rId29"/><Relationship Type="http://schemas.openxmlformats.org/officeDocument/2006/relationships/hyperlink" Target="#'2. Talent Mapping'!A35" TargetMode="External" Id="rId30"/><Relationship Type="http://schemas.openxmlformats.org/officeDocument/2006/relationships/hyperlink" Target="#'2. Talent Mapping'!A36" TargetMode="External" Id="rId31"/><Relationship Type="http://schemas.openxmlformats.org/officeDocument/2006/relationships/hyperlink" Target="#'2. Talent Mapping'!A37" TargetMode="External" Id="rId32"/><Relationship Type="http://schemas.openxmlformats.org/officeDocument/2006/relationships/hyperlink" Target="#'2. Talent Mapping'!A38" TargetMode="External" Id="rId33"/><Relationship Type="http://schemas.openxmlformats.org/officeDocument/2006/relationships/hyperlink" Target="#'2. Talent Mapping'!A39" TargetMode="External" Id="rId34"/><Relationship Type="http://schemas.openxmlformats.org/officeDocument/2006/relationships/hyperlink" Target="#'2. Talent Mapping'!A40" TargetMode="External" Id="rId35"/><Relationship Type="http://schemas.openxmlformats.org/officeDocument/2006/relationships/hyperlink" Target="#'2. Talent Mapping'!A41" TargetMode="External" Id="rId36"/><Relationship Type="http://schemas.openxmlformats.org/officeDocument/2006/relationships/hyperlink" Target="#'2. Talent Mapping'!A42" TargetMode="External" Id="rId37"/><Relationship Type="http://schemas.openxmlformats.org/officeDocument/2006/relationships/hyperlink" Target="#'2. Talent Mapping'!A43" TargetMode="External" Id="rId38"/><Relationship Type="http://schemas.openxmlformats.org/officeDocument/2006/relationships/hyperlink" Target="#'2. Talent Mapping'!A44" TargetMode="External" Id="rId39"/><Relationship Type="http://schemas.openxmlformats.org/officeDocument/2006/relationships/hyperlink" Target="#'2. Talent Mapping'!A45" TargetMode="External" Id="rId40"/><Relationship Type="http://schemas.openxmlformats.org/officeDocument/2006/relationships/hyperlink" Target="#'2. Talent Mapping'!A46" TargetMode="External" Id="rId41"/><Relationship Type="http://schemas.openxmlformats.org/officeDocument/2006/relationships/hyperlink" Target="#'2. Talent Mapping'!A47" TargetMode="External" Id="rId42"/><Relationship Type="http://schemas.openxmlformats.org/officeDocument/2006/relationships/hyperlink" Target="#'2. Talent Mapping'!A48" TargetMode="External" Id="rId43"/><Relationship Type="http://schemas.openxmlformats.org/officeDocument/2006/relationships/hyperlink" Target="#'2. Talent Mapping'!A49" TargetMode="External" Id="rId44"/><Relationship Type="http://schemas.openxmlformats.org/officeDocument/2006/relationships/hyperlink" Target="#'2. Talent Mapping'!A50" TargetMode="External" Id="rId45"/><Relationship Type="http://schemas.openxmlformats.org/officeDocument/2006/relationships/hyperlink" Target="#'2. Talent Mapping'!A51" TargetMode="External" Id="rId46"/><Relationship Type="http://schemas.openxmlformats.org/officeDocument/2006/relationships/hyperlink" Target="#'2. Talent Mapping'!A52" TargetMode="External" Id="rId47"/><Relationship Type="http://schemas.openxmlformats.org/officeDocument/2006/relationships/hyperlink" Target="#'2. Talent Mapping'!A53" TargetMode="External" Id="rId48"/><Relationship Type="http://schemas.openxmlformats.org/officeDocument/2006/relationships/hyperlink" Target="#'2. Talent Mapping'!A54" TargetMode="External" Id="rId49"/><Relationship Type="http://schemas.openxmlformats.org/officeDocument/2006/relationships/hyperlink" Target="#'2. Talent Mapping'!A55" TargetMode="External" Id="rId50"/><Relationship Type="http://schemas.openxmlformats.org/officeDocument/2006/relationships/hyperlink" Target="#'2. Talent Mapping'!A56" TargetMode="External" Id="rId51"/><Relationship Type="http://schemas.openxmlformats.org/officeDocument/2006/relationships/hyperlink" Target="#'2. Talent Mapping'!A57" TargetMode="External" Id="rId52"/><Relationship Type="http://schemas.openxmlformats.org/officeDocument/2006/relationships/hyperlink" Target="#'2. Talent Mapping'!A58" TargetMode="External" Id="rId53"/><Relationship Type="http://schemas.openxmlformats.org/officeDocument/2006/relationships/hyperlink" Target="#'2. Talent Mapping'!A59" TargetMode="External" Id="rId54"/><Relationship Type="http://schemas.openxmlformats.org/officeDocument/2006/relationships/hyperlink" Target="#'2. Talent Mapping'!A60" TargetMode="External" Id="rId55"/><Relationship Type="http://schemas.openxmlformats.org/officeDocument/2006/relationships/hyperlink" Target="#'2. Talent Mapping'!A61" TargetMode="External" Id="rId56"/><Relationship Type="http://schemas.openxmlformats.org/officeDocument/2006/relationships/hyperlink" Target="#'2. Talent Mapping'!A62" TargetMode="External" Id="rId57"/><Relationship Type="http://schemas.openxmlformats.org/officeDocument/2006/relationships/hyperlink" Target="#'2. Talent Mapping'!A63" TargetMode="External" Id="rId58"/><Relationship Type="http://schemas.openxmlformats.org/officeDocument/2006/relationships/hyperlink" Target="#'2. Talent Mapping'!A64" TargetMode="External" Id="rId59"/><Relationship Type="http://schemas.openxmlformats.org/officeDocument/2006/relationships/hyperlink" Target="#'2. Talent Mapping'!A65" TargetMode="External" Id="rId60"/><Relationship Type="http://schemas.openxmlformats.org/officeDocument/2006/relationships/hyperlink" Target="#'2. Talent Mapping'!A66" TargetMode="External" Id="rId61"/><Relationship Type="http://schemas.openxmlformats.org/officeDocument/2006/relationships/hyperlink" Target="#'2. Talent Mapping'!A67" TargetMode="External" Id="rId62"/><Relationship Type="http://schemas.openxmlformats.org/officeDocument/2006/relationships/hyperlink" Target="#'2. Talent Mapping'!A68" TargetMode="External" Id="rId63"/><Relationship Type="http://schemas.openxmlformats.org/officeDocument/2006/relationships/hyperlink" Target="#'2. Talent Mapping'!A69" TargetMode="External" Id="rId64"/><Relationship Type="http://schemas.openxmlformats.org/officeDocument/2006/relationships/hyperlink" Target="#'2. Talent Mapping'!A70" TargetMode="External" Id="rId65"/><Relationship Type="http://schemas.openxmlformats.org/officeDocument/2006/relationships/hyperlink" Target="#'2. Talent Mapping'!A71" TargetMode="External" Id="rId66"/><Relationship Type="http://schemas.openxmlformats.org/officeDocument/2006/relationships/hyperlink" Target="#'2. Talent Mapping'!A72" TargetMode="External" Id="rId67"/><Relationship Type="http://schemas.openxmlformats.org/officeDocument/2006/relationships/hyperlink" Target="#'2. Talent Mapping'!A73" TargetMode="External" Id="rId68"/><Relationship Type="http://schemas.openxmlformats.org/officeDocument/2006/relationships/hyperlink" Target="#'2. Talent Mapping'!A74" TargetMode="External" Id="rId69"/><Relationship Type="http://schemas.openxmlformats.org/officeDocument/2006/relationships/hyperlink" Target="#'2. Talent Mapping'!A75" TargetMode="External" Id="rId70"/><Relationship Type="http://schemas.openxmlformats.org/officeDocument/2006/relationships/hyperlink" Target="#'2. Talent Mapping'!A76" TargetMode="External" Id="rId71"/><Relationship Type="http://schemas.openxmlformats.org/officeDocument/2006/relationships/hyperlink" Target="#'2. Talent Mapping'!A77" TargetMode="External" Id="rId72"/><Relationship Type="http://schemas.openxmlformats.org/officeDocument/2006/relationships/hyperlink" Target="#'2. Talent Mapping'!A78" TargetMode="External" Id="rId73"/><Relationship Type="http://schemas.openxmlformats.org/officeDocument/2006/relationships/hyperlink" Target="#'2. Talent Mapping'!A79" TargetMode="External" Id="rId74"/><Relationship Type="http://schemas.openxmlformats.org/officeDocument/2006/relationships/hyperlink" Target="#'2. Talent Mapping'!A80" TargetMode="External" Id="rId75"/><Relationship Type="http://schemas.openxmlformats.org/officeDocument/2006/relationships/hyperlink" Target="#'2. Talent Mapping'!A81" TargetMode="External" Id="rId76"/><Relationship Type="http://schemas.openxmlformats.org/officeDocument/2006/relationships/hyperlink" Target="#'2. Talent Mapping'!A82" TargetMode="External" Id="rId77"/><Relationship Type="http://schemas.openxmlformats.org/officeDocument/2006/relationships/hyperlink" Target="#'2. Talent Mapping'!A83" TargetMode="External" Id="rId78"/><Relationship Type="http://schemas.openxmlformats.org/officeDocument/2006/relationships/hyperlink" Target="#'2. Talent Mapping'!A84" TargetMode="External" Id="rId79"/><Relationship Type="http://schemas.openxmlformats.org/officeDocument/2006/relationships/hyperlink" Target="#'2. Talent Mapping'!A85" TargetMode="External" Id="rId80"/><Relationship Type="http://schemas.openxmlformats.org/officeDocument/2006/relationships/hyperlink" Target="#'2. Talent Mapping'!A86" TargetMode="External" Id="rId81"/><Relationship Type="http://schemas.openxmlformats.org/officeDocument/2006/relationships/hyperlink" Target="#'2. Talent Mapping'!A87" TargetMode="External" Id="rId82"/><Relationship Type="http://schemas.openxmlformats.org/officeDocument/2006/relationships/hyperlink" Target="#'2. Talent Mapping'!A88" TargetMode="External" Id="rId83"/><Relationship Type="http://schemas.openxmlformats.org/officeDocument/2006/relationships/hyperlink" Target="#'2. Talent Mapping'!A89" TargetMode="External" Id="rId84"/><Relationship Type="http://schemas.openxmlformats.org/officeDocument/2006/relationships/hyperlink" Target="#'2. Talent Mapping'!A90" TargetMode="External" Id="rId85"/><Relationship Type="http://schemas.openxmlformats.org/officeDocument/2006/relationships/hyperlink" Target="#'2. Talent Mapping'!A91" TargetMode="External" Id="rId86"/><Relationship Type="http://schemas.openxmlformats.org/officeDocument/2006/relationships/hyperlink" Target="#'2. Talent Mapping'!A92" TargetMode="External" Id="rId87"/><Relationship Type="http://schemas.openxmlformats.org/officeDocument/2006/relationships/hyperlink" Target="#'2. Talent Mapping'!A93" TargetMode="External" Id="rId88"/><Relationship Type="http://schemas.openxmlformats.org/officeDocument/2006/relationships/hyperlink" Target="#'2. Talent Mapping'!A94" TargetMode="External" Id="rId89"/><Relationship Type="http://schemas.openxmlformats.org/officeDocument/2006/relationships/hyperlink" Target="#'2. Talent Mapping'!A95" TargetMode="External" Id="rId90"/><Relationship Type="http://schemas.openxmlformats.org/officeDocument/2006/relationships/hyperlink" Target="#'2. Talent Mapping'!A96" TargetMode="External" Id="rId91"/><Relationship Type="http://schemas.openxmlformats.org/officeDocument/2006/relationships/hyperlink" Target="#'2. Talent Mapping'!A97" TargetMode="External" Id="rId92"/><Relationship Type="http://schemas.openxmlformats.org/officeDocument/2006/relationships/hyperlink" Target="#'2. Talent Mapping'!A98" TargetMode="External" Id="rId93"/><Relationship Type="http://schemas.openxmlformats.org/officeDocument/2006/relationships/hyperlink" Target="#'2. Talent Mapping'!A99" TargetMode="External" Id="rId94"/><Relationship Type="http://schemas.openxmlformats.org/officeDocument/2006/relationships/hyperlink" Target="#'2. Talent Mapping'!A100" TargetMode="External" Id="rId95"/><Relationship Type="http://schemas.openxmlformats.org/officeDocument/2006/relationships/hyperlink" Target="#'2. Talent Mapping'!A101" TargetMode="External" Id="rId96"/><Relationship Type="http://schemas.openxmlformats.org/officeDocument/2006/relationships/hyperlink" Target="#'2. Talent Mapping'!A102" TargetMode="External" Id="rId97"/><Relationship Type="http://schemas.openxmlformats.org/officeDocument/2006/relationships/hyperlink" Target="#'2. Talent Mapping'!A103" TargetMode="External" Id="rId98"/><Relationship Type="http://schemas.openxmlformats.org/officeDocument/2006/relationships/hyperlink" Target="#'2. Talent Mapping'!A104" TargetMode="External" Id="rId99"/><Relationship Type="http://schemas.openxmlformats.org/officeDocument/2006/relationships/hyperlink" Target="#'2. Talent Mapping'!A105" TargetMode="External" Id="rId100"/><Relationship Type="http://schemas.openxmlformats.org/officeDocument/2006/relationships/hyperlink" Target="#'2. Talent Mapping'!A106" TargetMode="External" Id="rId101"/><Relationship Type="http://schemas.openxmlformats.org/officeDocument/2006/relationships/hyperlink" Target="#'2. Talent Mapping'!A107" TargetMode="External" Id="rId102"/><Relationship Type="http://schemas.openxmlformats.org/officeDocument/2006/relationships/hyperlink" Target="#'2. Talent Mapping'!A108" TargetMode="External" Id="rId103"/><Relationship Type="http://schemas.openxmlformats.org/officeDocument/2006/relationships/hyperlink" Target="#'2. Talent Mapping'!A109" TargetMode="External" Id="rId104"/><Relationship Type="http://schemas.openxmlformats.org/officeDocument/2006/relationships/hyperlink" Target="#'2. Talent Mapping'!A110" TargetMode="External" Id="rId105"/><Relationship Type="http://schemas.openxmlformats.org/officeDocument/2006/relationships/hyperlink" Target="#'2. Talent Mapping'!A111" TargetMode="External" Id="rId106"/><Relationship Type="http://schemas.openxmlformats.org/officeDocument/2006/relationships/hyperlink" Target="#'2. Talent Mapping'!A112" TargetMode="External" Id="rId107"/><Relationship Type="http://schemas.openxmlformats.org/officeDocument/2006/relationships/hyperlink" Target="#'2. Talent Mapping'!A113" TargetMode="External" Id="rId108"/><Relationship Type="http://schemas.openxmlformats.org/officeDocument/2006/relationships/hyperlink" Target="#'2. Talent Mapping'!A114" TargetMode="External" Id="rId109"/><Relationship Type="http://schemas.openxmlformats.org/officeDocument/2006/relationships/hyperlink" Target="#'2. Talent Mapping'!A115" TargetMode="External" Id="rId110"/><Relationship Type="http://schemas.openxmlformats.org/officeDocument/2006/relationships/hyperlink" Target="#'2. Talent Mapping'!A116" TargetMode="External" Id="rId111"/><Relationship Type="http://schemas.openxmlformats.org/officeDocument/2006/relationships/hyperlink" Target="#'2. Talent Mapping'!A117" TargetMode="External" Id="rId112"/><Relationship Type="http://schemas.openxmlformats.org/officeDocument/2006/relationships/hyperlink" Target="#'2. Talent Mapping'!A118" TargetMode="External" Id="rId113"/><Relationship Type="http://schemas.openxmlformats.org/officeDocument/2006/relationships/hyperlink" Target="#'2. Talent Mapping'!A119" TargetMode="External" Id="rId114"/><Relationship Type="http://schemas.openxmlformats.org/officeDocument/2006/relationships/hyperlink" Target="#'2. Talent Mapping'!A120" TargetMode="External" Id="rId115"/><Relationship Type="http://schemas.openxmlformats.org/officeDocument/2006/relationships/hyperlink" Target="#'2. Talent Mapping'!A121" TargetMode="External" Id="rId116"/><Relationship Type="http://schemas.openxmlformats.org/officeDocument/2006/relationships/hyperlink" Target="#'2. Talent Mapping'!A122" TargetMode="External" Id="rId117"/><Relationship Type="http://schemas.openxmlformats.org/officeDocument/2006/relationships/hyperlink" Target="#'2. Talent Mapping'!A123" TargetMode="External" Id="rId118"/><Relationship Type="http://schemas.openxmlformats.org/officeDocument/2006/relationships/hyperlink" Target="#'2. Talent Mapping'!A124" TargetMode="External" Id="rId119"/><Relationship Type="http://schemas.openxmlformats.org/officeDocument/2006/relationships/hyperlink" Target="#'2. Talent Mapping'!A125" TargetMode="External" Id="rId120"/><Relationship Type="http://schemas.openxmlformats.org/officeDocument/2006/relationships/hyperlink" Target="#'2. Talent Mapping'!A126" TargetMode="External" Id="rId121"/><Relationship Type="http://schemas.openxmlformats.org/officeDocument/2006/relationships/hyperlink" Target="#'2. Talent Mapping'!A127" TargetMode="External" Id="rId122"/><Relationship Type="http://schemas.openxmlformats.org/officeDocument/2006/relationships/hyperlink" Target="#'2. Talent Mapping'!A128" TargetMode="External" Id="rId123"/><Relationship Type="http://schemas.openxmlformats.org/officeDocument/2006/relationships/hyperlink" Target="#'2. Talent Mapping'!A129" TargetMode="External" Id="rId124"/><Relationship Type="http://schemas.openxmlformats.org/officeDocument/2006/relationships/hyperlink" Target="#'2. Talent Mapping'!A130" TargetMode="External" Id="rId125"/><Relationship Type="http://schemas.openxmlformats.org/officeDocument/2006/relationships/hyperlink" Target="#'2. Talent Mapping'!A131" TargetMode="External" Id="rId126"/><Relationship Type="http://schemas.openxmlformats.org/officeDocument/2006/relationships/hyperlink" Target="#'2. Talent Mapping'!A132" TargetMode="External" Id="rId127"/><Relationship Type="http://schemas.openxmlformats.org/officeDocument/2006/relationships/hyperlink" Target="#'2. Talent Mapping'!A133" TargetMode="External" Id="rId128"/><Relationship Type="http://schemas.openxmlformats.org/officeDocument/2006/relationships/hyperlink" Target="#'2. Talent Mapping'!A134" TargetMode="External" Id="rId129"/><Relationship Type="http://schemas.openxmlformats.org/officeDocument/2006/relationships/hyperlink" Target="#'2. Talent Mapping'!A135" TargetMode="External" Id="rId130"/><Relationship Type="http://schemas.openxmlformats.org/officeDocument/2006/relationships/hyperlink" Target="#'2. Talent Mapping'!A136" TargetMode="External" Id="rId131"/><Relationship Type="http://schemas.openxmlformats.org/officeDocument/2006/relationships/hyperlink" Target="#'2. Talent Mapping'!A137" TargetMode="External" Id="rId132"/><Relationship Type="http://schemas.openxmlformats.org/officeDocument/2006/relationships/hyperlink" Target="#'2. Talent Mapping'!A138" TargetMode="External" Id="rId133"/><Relationship Type="http://schemas.openxmlformats.org/officeDocument/2006/relationships/hyperlink" Target="#'2. Talent Mapping'!A139" TargetMode="External" Id="rId134"/><Relationship Type="http://schemas.openxmlformats.org/officeDocument/2006/relationships/hyperlink" Target="#'2. Talent Mapping'!A140" TargetMode="External" Id="rId135"/><Relationship Type="http://schemas.openxmlformats.org/officeDocument/2006/relationships/hyperlink" Target="#'2. Talent Mapping'!A141" TargetMode="External" Id="rId136"/><Relationship Type="http://schemas.openxmlformats.org/officeDocument/2006/relationships/hyperlink" Target="#'2. Talent Mapping'!A142" TargetMode="External" Id="rId137"/><Relationship Type="http://schemas.openxmlformats.org/officeDocument/2006/relationships/hyperlink" Target="#'2. Talent Mapping'!A143" TargetMode="External" Id="rId138"/><Relationship Type="http://schemas.openxmlformats.org/officeDocument/2006/relationships/hyperlink" Target="#'2. Talent Mapping'!A144" TargetMode="External" Id="rId139"/><Relationship Type="http://schemas.openxmlformats.org/officeDocument/2006/relationships/hyperlink" Target="#'2. Talent Mapping'!A145" TargetMode="External" Id="rId140"/><Relationship Type="http://schemas.openxmlformats.org/officeDocument/2006/relationships/hyperlink" Target="#'2. Talent Mapping'!A146" TargetMode="External" Id="rId141"/><Relationship Type="http://schemas.openxmlformats.org/officeDocument/2006/relationships/hyperlink" Target="#'2. Talent Mapping'!A147" TargetMode="External" Id="rId142"/><Relationship Type="http://schemas.openxmlformats.org/officeDocument/2006/relationships/hyperlink" Target="#'2. Talent Mapping'!A148" TargetMode="External" Id="rId143"/><Relationship Type="http://schemas.openxmlformats.org/officeDocument/2006/relationships/hyperlink" Target="#'2. Talent Mapping'!A149" TargetMode="External" Id="rId144"/><Relationship Type="http://schemas.openxmlformats.org/officeDocument/2006/relationships/hyperlink" Target="#'2. Talent Mapping'!A150" TargetMode="External" Id="rId145"/><Relationship Type="http://schemas.openxmlformats.org/officeDocument/2006/relationships/hyperlink" Target="#'2. Talent Mapping'!A151" TargetMode="External" Id="rId146"/><Relationship Type="http://schemas.openxmlformats.org/officeDocument/2006/relationships/hyperlink" Target="#'2. Talent Mapping'!A152" TargetMode="External" Id="rId147"/><Relationship Type="http://schemas.openxmlformats.org/officeDocument/2006/relationships/hyperlink" Target="#'2. Talent Mapping'!A153" TargetMode="External" Id="rId148"/><Relationship Type="http://schemas.openxmlformats.org/officeDocument/2006/relationships/hyperlink" Target="#'2. Talent Mapping'!A154" TargetMode="External" Id="rId149"/><Relationship Type="http://schemas.openxmlformats.org/officeDocument/2006/relationships/hyperlink" Target="#'2. Talent Mapping'!A155" TargetMode="External" Id="rId150"/><Relationship Type="http://schemas.openxmlformats.org/officeDocument/2006/relationships/hyperlink" Target="#'2. Talent Mapping'!A156" TargetMode="External" Id="rId151"/><Relationship Type="http://schemas.openxmlformats.org/officeDocument/2006/relationships/hyperlink" Target="#'2. Talent Mapping'!A157" TargetMode="External" Id="rId152"/><Relationship Type="http://schemas.openxmlformats.org/officeDocument/2006/relationships/hyperlink" Target="#'2. Talent Mapping'!A158" TargetMode="External" Id="rId153"/><Relationship Type="http://schemas.openxmlformats.org/officeDocument/2006/relationships/hyperlink" Target="#'2. Talent Mapping'!A159" TargetMode="External" Id="rId154"/><Relationship Type="http://schemas.openxmlformats.org/officeDocument/2006/relationships/hyperlink" Target="#'2. Talent Mapping'!A160" TargetMode="External" Id="rId155"/><Relationship Type="http://schemas.openxmlformats.org/officeDocument/2006/relationships/hyperlink" Target="#'2. Talent Mapping'!A161" TargetMode="External" Id="rId156"/><Relationship Type="http://schemas.openxmlformats.org/officeDocument/2006/relationships/hyperlink" Target="#'2. Talent Mapping'!A162" TargetMode="External" Id="rId157"/><Relationship Type="http://schemas.openxmlformats.org/officeDocument/2006/relationships/hyperlink" Target="#'2. Talent Mapping'!A163" TargetMode="External" Id="rId158"/><Relationship Type="http://schemas.openxmlformats.org/officeDocument/2006/relationships/hyperlink" Target="#'2. Talent Mapping'!A164" TargetMode="External" Id="rId159"/><Relationship Type="http://schemas.openxmlformats.org/officeDocument/2006/relationships/hyperlink" Target="#'2. Talent Mapping'!A165" TargetMode="External" Id="rId160"/><Relationship Type="http://schemas.openxmlformats.org/officeDocument/2006/relationships/hyperlink" Target="#'2. Talent Mapping'!A166" TargetMode="External" Id="rId161"/><Relationship Type="http://schemas.openxmlformats.org/officeDocument/2006/relationships/hyperlink" Target="#'2. Talent Mapping'!A167" TargetMode="External" Id="rId162"/><Relationship Type="http://schemas.openxmlformats.org/officeDocument/2006/relationships/hyperlink" Target="#'2. Talent Mapping'!A168" TargetMode="External" Id="rId163"/><Relationship Type="http://schemas.openxmlformats.org/officeDocument/2006/relationships/hyperlink" Target="#'2. Talent Mapping'!A169" TargetMode="External" Id="rId164"/><Relationship Type="http://schemas.openxmlformats.org/officeDocument/2006/relationships/hyperlink" Target="#'2. Talent Mapping'!A170" TargetMode="External" Id="rId165"/><Relationship Type="http://schemas.openxmlformats.org/officeDocument/2006/relationships/hyperlink" Target="#'2. Talent Mapping'!A171" TargetMode="External" Id="rId166"/><Relationship Type="http://schemas.openxmlformats.org/officeDocument/2006/relationships/hyperlink" Target="#'2. Talent Mapping'!A172" TargetMode="External" Id="rId167"/><Relationship Type="http://schemas.openxmlformats.org/officeDocument/2006/relationships/hyperlink" Target="#'2. Talent Mapping'!A173" TargetMode="External" Id="rId168"/><Relationship Type="http://schemas.openxmlformats.org/officeDocument/2006/relationships/hyperlink" Target="#'2. Talent Mapping'!A174" TargetMode="External" Id="rId169"/><Relationship Type="http://schemas.openxmlformats.org/officeDocument/2006/relationships/hyperlink" Target="#'2. Talent Mapping'!A175" TargetMode="External" Id="rId170"/><Relationship Type="http://schemas.openxmlformats.org/officeDocument/2006/relationships/hyperlink" Target="#'2. Talent Mapping'!A176" TargetMode="External" Id="rId171"/><Relationship Type="http://schemas.openxmlformats.org/officeDocument/2006/relationships/hyperlink" Target="#'2. Talent Mapping'!A177" TargetMode="External" Id="rId172"/><Relationship Type="http://schemas.openxmlformats.org/officeDocument/2006/relationships/hyperlink" Target="#'2. Talent Mapping'!A178" TargetMode="External" Id="rId173"/><Relationship Type="http://schemas.openxmlformats.org/officeDocument/2006/relationships/hyperlink" Target="#'2. Talent Mapping'!A179" TargetMode="External" Id="rId174"/><Relationship Type="http://schemas.openxmlformats.org/officeDocument/2006/relationships/hyperlink" Target="#'2. Talent Mapping'!A180" TargetMode="External" Id="rId175"/><Relationship Type="http://schemas.openxmlformats.org/officeDocument/2006/relationships/hyperlink" Target="#'2. Talent Mapping'!A181" TargetMode="External" Id="rId176"/><Relationship Type="http://schemas.openxmlformats.org/officeDocument/2006/relationships/hyperlink" Target="#'2. Talent Mapping'!A182" TargetMode="External" Id="rId177"/><Relationship Type="http://schemas.openxmlformats.org/officeDocument/2006/relationships/hyperlink" Target="#'2. Talent Mapping'!A183" TargetMode="External" Id="rId178"/><Relationship Type="http://schemas.openxmlformats.org/officeDocument/2006/relationships/hyperlink" Target="#'2. Talent Mapping'!A184" TargetMode="External" Id="rId179"/><Relationship Type="http://schemas.openxmlformats.org/officeDocument/2006/relationships/hyperlink" Target="#'2. Talent Mapping'!A185" TargetMode="External" Id="rId180"/><Relationship Type="http://schemas.openxmlformats.org/officeDocument/2006/relationships/hyperlink" Target="#'2. Talent Mapping'!A186" TargetMode="External" Id="rId181"/><Relationship Type="http://schemas.openxmlformats.org/officeDocument/2006/relationships/hyperlink" Target="#'2. Talent Mapping'!A187" TargetMode="External" Id="rId182"/><Relationship Type="http://schemas.openxmlformats.org/officeDocument/2006/relationships/hyperlink" Target="#'2. Talent Mapping'!A188" TargetMode="External" Id="rId183"/><Relationship Type="http://schemas.openxmlformats.org/officeDocument/2006/relationships/hyperlink" Target="#'2. Talent Mapping'!A189" TargetMode="External" Id="rId184"/><Relationship Type="http://schemas.openxmlformats.org/officeDocument/2006/relationships/hyperlink" Target="#'2. Talent Mapping'!A190" TargetMode="External" Id="rId185"/><Relationship Type="http://schemas.openxmlformats.org/officeDocument/2006/relationships/hyperlink" Target="#'2. Talent Mapping'!A191" TargetMode="External" Id="rId186"/><Relationship Type="http://schemas.openxmlformats.org/officeDocument/2006/relationships/hyperlink" Target="#'2. Talent Mapping'!A192" TargetMode="External" Id="rId187"/><Relationship Type="http://schemas.openxmlformats.org/officeDocument/2006/relationships/hyperlink" Target="#'2. Talent Mapping'!A193" TargetMode="External" Id="rId188"/><Relationship Type="http://schemas.openxmlformats.org/officeDocument/2006/relationships/hyperlink" Target="#'2. Talent Mapping'!A194" TargetMode="External" Id="rId189"/><Relationship Type="http://schemas.openxmlformats.org/officeDocument/2006/relationships/hyperlink" Target="#'2. Talent Mapping'!A195" TargetMode="External" Id="rId190"/><Relationship Type="http://schemas.openxmlformats.org/officeDocument/2006/relationships/hyperlink" Target="#'2. Talent Mapping'!A196" TargetMode="External" Id="rId191"/><Relationship Type="http://schemas.openxmlformats.org/officeDocument/2006/relationships/hyperlink" Target="#'2. Talent Mapping'!A197" TargetMode="External" Id="rId192"/><Relationship Type="http://schemas.openxmlformats.org/officeDocument/2006/relationships/hyperlink" Target="#'2. Talent Mapping'!A198" TargetMode="External" Id="rId193"/><Relationship Type="http://schemas.openxmlformats.org/officeDocument/2006/relationships/hyperlink" Target="#'2. Talent Mapping'!A199" TargetMode="External" Id="rId194"/><Relationship Type="http://schemas.openxmlformats.org/officeDocument/2006/relationships/hyperlink" Target="#'2. Talent Mapping'!A200" TargetMode="External" Id="rId195"/><Relationship Type="http://schemas.openxmlformats.org/officeDocument/2006/relationships/hyperlink" Target="#'2. Talent Mapping'!A201" TargetMode="External" Id="rId196"/><Relationship Type="http://schemas.openxmlformats.org/officeDocument/2006/relationships/hyperlink" Target="#'2. Talent Mapping'!A202" TargetMode="External" Id="rId197"/><Relationship Type="http://schemas.openxmlformats.org/officeDocument/2006/relationships/hyperlink" Target="#'2. Talent Mapping'!A203" TargetMode="External" Id="rId198"/><Relationship Type="http://schemas.openxmlformats.org/officeDocument/2006/relationships/hyperlink" Target="#'2. Talent Mapping'!A204" TargetMode="External" Id="rId199"/><Relationship Type="http://schemas.openxmlformats.org/officeDocument/2006/relationships/hyperlink" Target="#'2. Talent Mapping'!A205" TargetMode="External" Id="rId200"/><Relationship Type="http://schemas.openxmlformats.org/officeDocument/2006/relationships/hyperlink" Target="#'2. Talent Mapping'!A206" TargetMode="External" Id="rId201"/><Relationship Type="http://schemas.openxmlformats.org/officeDocument/2006/relationships/hyperlink" Target="#'2. Talent Mapping'!A207" TargetMode="External" Id="rId202"/><Relationship Type="http://schemas.openxmlformats.org/officeDocument/2006/relationships/hyperlink" Target="#'2. Talent Mapping'!A208" TargetMode="External" Id="rId203"/><Relationship Type="http://schemas.openxmlformats.org/officeDocument/2006/relationships/hyperlink" Target="#'2. Talent Mapping'!A209" TargetMode="External" Id="rId204"/><Relationship Type="http://schemas.openxmlformats.org/officeDocument/2006/relationships/hyperlink" Target="#'2. Talent Mapping'!A210" TargetMode="External" Id="rId205"/><Relationship Type="http://schemas.openxmlformats.org/officeDocument/2006/relationships/hyperlink" Target="#'2. Talent Mapping'!A211" TargetMode="External" Id="rId206"/><Relationship Type="http://schemas.openxmlformats.org/officeDocument/2006/relationships/hyperlink" Target="#'2. Talent Mapping'!A212" TargetMode="External" Id="rId207"/><Relationship Type="http://schemas.openxmlformats.org/officeDocument/2006/relationships/hyperlink" Target="#'2. Talent Mapping'!A213" TargetMode="External" Id="rId208"/><Relationship Type="http://schemas.openxmlformats.org/officeDocument/2006/relationships/hyperlink" Target="#'2. Talent Mapping'!A214" TargetMode="External" Id="rId209"/><Relationship Type="http://schemas.openxmlformats.org/officeDocument/2006/relationships/hyperlink" Target="#'2. Talent Mapping'!A215" TargetMode="External" Id="rId210"/><Relationship Type="http://schemas.openxmlformats.org/officeDocument/2006/relationships/hyperlink" Target="#'2. Talent Mapping'!A216" TargetMode="External" Id="rId211"/><Relationship Type="http://schemas.openxmlformats.org/officeDocument/2006/relationships/hyperlink" Target="#'2. Talent Mapping'!A217" TargetMode="External" Id="rId212"/><Relationship Type="http://schemas.openxmlformats.org/officeDocument/2006/relationships/hyperlink" Target="#'2. Talent Mapping'!A218" TargetMode="External" Id="rId213"/><Relationship Type="http://schemas.openxmlformats.org/officeDocument/2006/relationships/hyperlink" Target="#'2. Talent Mapping'!A219" TargetMode="External" Id="rId214"/><Relationship Type="http://schemas.openxmlformats.org/officeDocument/2006/relationships/hyperlink" Target="#'2. Talent Mapping'!A220" TargetMode="External" Id="rId215"/><Relationship Type="http://schemas.openxmlformats.org/officeDocument/2006/relationships/hyperlink" Target="#'2. Talent Mapping'!A221" TargetMode="External" Id="rId216"/><Relationship Type="http://schemas.openxmlformats.org/officeDocument/2006/relationships/hyperlink" Target="#'2. Talent Mapping'!A222" TargetMode="External" Id="rId217"/><Relationship Type="http://schemas.openxmlformats.org/officeDocument/2006/relationships/hyperlink" Target="#'2. Talent Mapping'!A223" TargetMode="External" Id="rId218"/><Relationship Type="http://schemas.openxmlformats.org/officeDocument/2006/relationships/hyperlink" Target="#'2. Talent Mapping'!A224" TargetMode="External" Id="rId219"/><Relationship Type="http://schemas.openxmlformats.org/officeDocument/2006/relationships/hyperlink" Target="#'2. Talent Mapping'!A225" TargetMode="External" Id="rId220"/><Relationship Type="http://schemas.openxmlformats.org/officeDocument/2006/relationships/hyperlink" Target="#'2. Talent Mapping'!A226" TargetMode="External" Id="rId221"/><Relationship Type="http://schemas.openxmlformats.org/officeDocument/2006/relationships/hyperlink" Target="#'2. Talent Mapping'!A227" TargetMode="External" Id="rId222"/><Relationship Type="http://schemas.openxmlformats.org/officeDocument/2006/relationships/hyperlink" Target="#'2. Talent Mapping'!A228" TargetMode="External" Id="rId223"/><Relationship Type="http://schemas.openxmlformats.org/officeDocument/2006/relationships/hyperlink" Target="#'2. Talent Mapping'!A229" TargetMode="External" Id="rId224"/><Relationship Type="http://schemas.openxmlformats.org/officeDocument/2006/relationships/hyperlink" Target="#'2. Talent Mapping'!A230" TargetMode="External" Id="rId225"/><Relationship Type="http://schemas.openxmlformats.org/officeDocument/2006/relationships/hyperlink" Target="#'2. Talent Mapping'!A231" TargetMode="External" Id="rId226"/><Relationship Type="http://schemas.openxmlformats.org/officeDocument/2006/relationships/hyperlink" Target="#'2. Talent Mapping'!A232" TargetMode="External" Id="rId227"/><Relationship Type="http://schemas.openxmlformats.org/officeDocument/2006/relationships/hyperlink" Target="#'2. Talent Mapping'!A233" TargetMode="External" Id="rId228"/><Relationship Type="http://schemas.openxmlformats.org/officeDocument/2006/relationships/hyperlink" Target="#'2. Talent Mapping'!A234" TargetMode="External" Id="rId229"/><Relationship Type="http://schemas.openxmlformats.org/officeDocument/2006/relationships/hyperlink" Target="#'2. Talent Mapping'!A235" TargetMode="External" Id="rId230"/><Relationship Type="http://schemas.openxmlformats.org/officeDocument/2006/relationships/hyperlink" Target="#'2. Talent Mapping'!A236" TargetMode="External" Id="rId231"/><Relationship Type="http://schemas.openxmlformats.org/officeDocument/2006/relationships/hyperlink" Target="#'2. Talent Mapping'!A237" TargetMode="External" Id="rId232"/><Relationship Type="http://schemas.openxmlformats.org/officeDocument/2006/relationships/hyperlink" Target="#'2. Talent Mapping'!A238" TargetMode="External" Id="rId233"/><Relationship Type="http://schemas.openxmlformats.org/officeDocument/2006/relationships/hyperlink" Target="#'2. Talent Mapping'!A239" TargetMode="External" Id="rId234"/><Relationship Type="http://schemas.openxmlformats.org/officeDocument/2006/relationships/hyperlink" Target="#'2. Talent Mapping'!A240" TargetMode="External" Id="rId235"/><Relationship Type="http://schemas.openxmlformats.org/officeDocument/2006/relationships/hyperlink" Target="#'2. Talent Mapping'!A241" TargetMode="External" Id="rId236"/><Relationship Type="http://schemas.openxmlformats.org/officeDocument/2006/relationships/hyperlink" Target="#'2. Talent Mapping'!A242" TargetMode="External" Id="rId237"/><Relationship Type="http://schemas.openxmlformats.org/officeDocument/2006/relationships/hyperlink" Target="#'2. Talent Mapping'!A243" TargetMode="External" Id="rId238"/><Relationship Type="http://schemas.openxmlformats.org/officeDocument/2006/relationships/hyperlink" Target="#'2. Talent Mapping'!A244" TargetMode="External" Id="rId239"/><Relationship Type="http://schemas.openxmlformats.org/officeDocument/2006/relationships/hyperlink" Target="#'2. Talent Mapping'!A245" TargetMode="External" Id="rId240"/><Relationship Type="http://schemas.openxmlformats.org/officeDocument/2006/relationships/hyperlink" Target="#'2. Talent Mapping'!A246" TargetMode="External" Id="rId241"/><Relationship Type="http://schemas.openxmlformats.org/officeDocument/2006/relationships/hyperlink" Target="#'2. Talent Mapping'!A247" TargetMode="External" Id="rId242"/><Relationship Type="http://schemas.openxmlformats.org/officeDocument/2006/relationships/hyperlink" Target="#'2. Talent Mapping'!A248" TargetMode="External" Id="rId243"/><Relationship Type="http://schemas.openxmlformats.org/officeDocument/2006/relationships/hyperlink" Target="#'2. Talent Mapping'!A249" TargetMode="External" Id="rId244"/><Relationship Type="http://schemas.openxmlformats.org/officeDocument/2006/relationships/hyperlink" Target="#'2. Talent Mapping'!A250" TargetMode="External" Id="rId245"/><Relationship Type="http://schemas.openxmlformats.org/officeDocument/2006/relationships/hyperlink" Target="#'2. Talent Mapping'!A251" TargetMode="External" Id="rId246"/><Relationship Type="http://schemas.openxmlformats.org/officeDocument/2006/relationships/hyperlink" Target="#'2. Talent Mapping'!A252" TargetMode="External" Id="rId247"/><Relationship Type="http://schemas.openxmlformats.org/officeDocument/2006/relationships/hyperlink" Target="#'2. Talent Mapping'!A253" TargetMode="External" Id="rId248"/><Relationship Type="http://schemas.openxmlformats.org/officeDocument/2006/relationships/hyperlink" Target="#'2. Talent Mapping'!A254" TargetMode="External" Id="rId249"/><Relationship Type="http://schemas.openxmlformats.org/officeDocument/2006/relationships/hyperlink" Target="#'2. Talent Mapping'!A255" TargetMode="External" Id="rId250"/><Relationship Type="http://schemas.openxmlformats.org/officeDocument/2006/relationships/hyperlink" Target="#'2. Talent Mapping'!A256" TargetMode="External" Id="rId251"/><Relationship Type="http://schemas.openxmlformats.org/officeDocument/2006/relationships/hyperlink" Target="#'2. Talent Mapping'!A257" TargetMode="External" Id="rId252"/><Relationship Type="http://schemas.openxmlformats.org/officeDocument/2006/relationships/hyperlink" Target="#'2. Talent Mapping'!A258" TargetMode="External" Id="rId253"/><Relationship Type="http://schemas.openxmlformats.org/officeDocument/2006/relationships/hyperlink" Target="#'2. Talent Mapping'!A259" TargetMode="External" Id="rId254"/><Relationship Type="http://schemas.openxmlformats.org/officeDocument/2006/relationships/hyperlink" Target="#'2. Talent Mapping'!A260" TargetMode="External" Id="rId255"/><Relationship Type="http://schemas.openxmlformats.org/officeDocument/2006/relationships/hyperlink" Target="#'2. Talent Mapping'!A261" TargetMode="External" Id="rId256"/><Relationship Type="http://schemas.openxmlformats.org/officeDocument/2006/relationships/hyperlink" Target="#'2. Talent Mapping'!A262" TargetMode="External" Id="rId257"/><Relationship Type="http://schemas.openxmlformats.org/officeDocument/2006/relationships/hyperlink" Target="#'2. Talent Mapping'!A263" TargetMode="External" Id="rId258"/><Relationship Type="http://schemas.openxmlformats.org/officeDocument/2006/relationships/hyperlink" Target="#'2. Talent Mapping'!A264" TargetMode="External" Id="rId259"/><Relationship Type="http://schemas.openxmlformats.org/officeDocument/2006/relationships/hyperlink" Target="#'2. Talent Mapping'!A265" TargetMode="External" Id="rId260"/><Relationship Type="http://schemas.openxmlformats.org/officeDocument/2006/relationships/hyperlink" Target="#'2. Talent Mapping'!A266" TargetMode="External" Id="rId261"/><Relationship Type="http://schemas.openxmlformats.org/officeDocument/2006/relationships/hyperlink" Target="#'2. Talent Mapping'!A267" TargetMode="External" Id="rId262"/><Relationship Type="http://schemas.openxmlformats.org/officeDocument/2006/relationships/hyperlink" Target="#'2. Talent Mapping'!A268" TargetMode="External" Id="rId263"/><Relationship Type="http://schemas.openxmlformats.org/officeDocument/2006/relationships/hyperlink" Target="#'2. Talent Mapping'!A269" TargetMode="External" Id="rId264"/><Relationship Type="http://schemas.openxmlformats.org/officeDocument/2006/relationships/hyperlink" Target="#'2. Talent Mapping'!A270" TargetMode="External" Id="rId265"/><Relationship Type="http://schemas.openxmlformats.org/officeDocument/2006/relationships/hyperlink" Target="#'2. Talent Mapping'!A271" TargetMode="External" Id="rId266"/><Relationship Type="http://schemas.openxmlformats.org/officeDocument/2006/relationships/hyperlink" Target="#'2. Talent Mapping'!A272" TargetMode="External" Id="rId267"/><Relationship Type="http://schemas.openxmlformats.org/officeDocument/2006/relationships/hyperlink" Target="#'2. Talent Mapping'!A273" TargetMode="External" Id="rId268"/><Relationship Type="http://schemas.openxmlformats.org/officeDocument/2006/relationships/hyperlink" Target="#'2. Talent Mapping'!A274" TargetMode="External" Id="rId269"/><Relationship Type="http://schemas.openxmlformats.org/officeDocument/2006/relationships/hyperlink" Target="#'2. Talent Mapping'!A275" TargetMode="External" Id="rId270"/><Relationship Type="http://schemas.openxmlformats.org/officeDocument/2006/relationships/hyperlink" Target="#'2. Talent Mapping'!A276" TargetMode="External" Id="rId271"/><Relationship Type="http://schemas.openxmlformats.org/officeDocument/2006/relationships/hyperlink" Target="#'2. Talent Mapping'!A277" TargetMode="External" Id="rId272"/><Relationship Type="http://schemas.openxmlformats.org/officeDocument/2006/relationships/hyperlink" Target="#'2. Talent Mapping'!A278" TargetMode="External" Id="rId273"/><Relationship Type="http://schemas.openxmlformats.org/officeDocument/2006/relationships/hyperlink" Target="#'2. Talent Mapping'!A279" TargetMode="External" Id="rId274"/><Relationship Type="http://schemas.openxmlformats.org/officeDocument/2006/relationships/hyperlink" Target="#'2. Talent Mapping'!A280" TargetMode="External" Id="rId275"/><Relationship Type="http://schemas.openxmlformats.org/officeDocument/2006/relationships/hyperlink" Target="#'2. Talent Mapping'!A281" TargetMode="External" Id="rId276"/><Relationship Type="http://schemas.openxmlformats.org/officeDocument/2006/relationships/hyperlink" Target="#'2. Talent Mapping'!A282" TargetMode="External" Id="rId277"/><Relationship Type="http://schemas.openxmlformats.org/officeDocument/2006/relationships/hyperlink" Target="#'2. Talent Mapping'!A283" TargetMode="External" Id="rId278"/><Relationship Type="http://schemas.openxmlformats.org/officeDocument/2006/relationships/hyperlink" Target="#'2. Talent Mapping'!A284" TargetMode="External" Id="rId279"/><Relationship Type="http://schemas.openxmlformats.org/officeDocument/2006/relationships/hyperlink" Target="#'2. Talent Mapping'!A285" TargetMode="External" Id="rId280"/><Relationship Type="http://schemas.openxmlformats.org/officeDocument/2006/relationships/hyperlink" Target="#'2. Talent Mapping'!A286" TargetMode="External" Id="rId281"/><Relationship Type="http://schemas.openxmlformats.org/officeDocument/2006/relationships/hyperlink" Target="#'2. Talent Mapping'!A287" TargetMode="External" Id="rId282"/><Relationship Type="http://schemas.openxmlformats.org/officeDocument/2006/relationships/hyperlink" Target="#'2. Talent Mapping'!A288" TargetMode="External" Id="rId283"/><Relationship Type="http://schemas.openxmlformats.org/officeDocument/2006/relationships/hyperlink" Target="#'2. Talent Mapping'!A289" TargetMode="External" Id="rId284"/><Relationship Type="http://schemas.openxmlformats.org/officeDocument/2006/relationships/hyperlink" Target="#'2. Talent Mapping'!A290" TargetMode="External" Id="rId285"/><Relationship Type="http://schemas.openxmlformats.org/officeDocument/2006/relationships/hyperlink" Target="#'2. Talent Mapping'!A291" TargetMode="External" Id="rId286"/><Relationship Type="http://schemas.openxmlformats.org/officeDocument/2006/relationships/hyperlink" Target="#'2. Talent Mapping'!A292" TargetMode="External" Id="rId287"/><Relationship Type="http://schemas.openxmlformats.org/officeDocument/2006/relationships/hyperlink" Target="#'2. Talent Mapping'!A293" TargetMode="External" Id="rId288"/><Relationship Type="http://schemas.openxmlformats.org/officeDocument/2006/relationships/hyperlink" Target="#'2. Talent Mapping'!A294" TargetMode="External" Id="rId289"/><Relationship Type="http://schemas.openxmlformats.org/officeDocument/2006/relationships/hyperlink" Target="#'2. Talent Mapping'!A295" TargetMode="External" Id="rId290"/><Relationship Type="http://schemas.openxmlformats.org/officeDocument/2006/relationships/hyperlink" Target="#'2. Talent Mapping'!A296" TargetMode="External" Id="rId291"/><Relationship Type="http://schemas.openxmlformats.org/officeDocument/2006/relationships/hyperlink" Target="#'2. Talent Mapping'!A297" TargetMode="External" Id="rId292"/><Relationship Type="http://schemas.openxmlformats.org/officeDocument/2006/relationships/hyperlink" Target="#'2. Talent Mapping'!A298" TargetMode="External" Id="rId293"/><Relationship Type="http://schemas.openxmlformats.org/officeDocument/2006/relationships/hyperlink" Target="#'2. Talent Mapping'!A299" TargetMode="External" Id="rId294"/><Relationship Type="http://schemas.openxmlformats.org/officeDocument/2006/relationships/hyperlink" Target="#'2. Talent Mapping'!A300" TargetMode="External" Id="rId295"/><Relationship Type="http://schemas.openxmlformats.org/officeDocument/2006/relationships/hyperlink" Target="#'2. Talent Mapping'!A301" TargetMode="External" Id="rId296"/><Relationship Type="http://schemas.openxmlformats.org/officeDocument/2006/relationships/hyperlink" Target="#'2. Talent Mapping'!A302" TargetMode="External" Id="rId297"/><Relationship Type="http://schemas.openxmlformats.org/officeDocument/2006/relationships/hyperlink" Target="#'2. Talent Mapping'!A303" TargetMode="External" Id="rId298"/><Relationship Type="http://schemas.openxmlformats.org/officeDocument/2006/relationships/hyperlink" Target="#'2. Talent Mapping'!A304" TargetMode="External" Id="rId299"/><Relationship Type="http://schemas.openxmlformats.org/officeDocument/2006/relationships/hyperlink" Target="#'2. Talent Mapping'!A305" TargetMode="External" Id="rId300"/><Relationship Type="http://schemas.openxmlformats.org/officeDocument/2006/relationships/hyperlink" Target="#'2. Talent Mapping'!A306" TargetMode="External" Id="rId301"/><Relationship Type="http://schemas.openxmlformats.org/officeDocument/2006/relationships/hyperlink" Target="#'2. Talent Mapping'!A307" TargetMode="External" Id="rId302"/><Relationship Type="http://schemas.openxmlformats.org/officeDocument/2006/relationships/hyperlink" Target="#'2. Talent Mapping'!A308" TargetMode="External" Id="rId303"/><Relationship Type="http://schemas.openxmlformats.org/officeDocument/2006/relationships/hyperlink" Target="#'2. Talent Mapping'!A309" TargetMode="External" Id="rId304"/><Relationship Type="http://schemas.openxmlformats.org/officeDocument/2006/relationships/hyperlink" Target="#'2. Talent Mapping'!A310" TargetMode="External" Id="rId305"/><Relationship Type="http://schemas.openxmlformats.org/officeDocument/2006/relationships/hyperlink" Target="#'2. Talent Mapping'!A311" TargetMode="External" Id="rId306"/><Relationship Type="http://schemas.openxmlformats.org/officeDocument/2006/relationships/hyperlink" Target="#'2. Talent Mapping'!A312" TargetMode="External" Id="rId307"/><Relationship Type="http://schemas.openxmlformats.org/officeDocument/2006/relationships/hyperlink" Target="#'2. Talent Mapping'!A313" TargetMode="External" Id="rId308"/><Relationship Type="http://schemas.openxmlformats.org/officeDocument/2006/relationships/hyperlink" Target="#'2. Talent Mapping'!A314" TargetMode="External" Id="rId309"/><Relationship Type="http://schemas.openxmlformats.org/officeDocument/2006/relationships/hyperlink" Target="#'2. Talent Mapping'!A315" TargetMode="External" Id="rId310"/><Relationship Type="http://schemas.openxmlformats.org/officeDocument/2006/relationships/hyperlink" Target="#'2. Talent Mapping'!A316" TargetMode="External" Id="rId311"/><Relationship Type="http://schemas.openxmlformats.org/officeDocument/2006/relationships/hyperlink" Target="#'2. Talent Mapping'!A317" TargetMode="External" Id="rId312"/><Relationship Type="http://schemas.openxmlformats.org/officeDocument/2006/relationships/hyperlink" Target="#'2. Talent Mapping'!A318" TargetMode="External" Id="rId313"/><Relationship Type="http://schemas.openxmlformats.org/officeDocument/2006/relationships/hyperlink" Target="#'2. Talent Mapping'!A319" TargetMode="External" Id="rId314"/><Relationship Type="http://schemas.openxmlformats.org/officeDocument/2006/relationships/hyperlink" Target="#'2. Talent Mapping'!A320" TargetMode="External" Id="rId315"/><Relationship Type="http://schemas.openxmlformats.org/officeDocument/2006/relationships/hyperlink" Target="#'2. Talent Mapping'!A321" TargetMode="External" Id="rId316"/><Relationship Type="http://schemas.openxmlformats.org/officeDocument/2006/relationships/hyperlink" Target="#'2. Talent Mapping'!A322" TargetMode="External" Id="rId317"/><Relationship Type="http://schemas.openxmlformats.org/officeDocument/2006/relationships/hyperlink" Target="#'2. Talent Mapping'!A323" TargetMode="External" Id="rId318"/><Relationship Type="http://schemas.openxmlformats.org/officeDocument/2006/relationships/hyperlink" Target="#'2. Talent Mapping'!A324" TargetMode="External" Id="rId319"/><Relationship Type="http://schemas.openxmlformats.org/officeDocument/2006/relationships/hyperlink" Target="#'2. Talent Mapping'!A325" TargetMode="External" Id="rId320"/><Relationship Type="http://schemas.openxmlformats.org/officeDocument/2006/relationships/hyperlink" Target="#'2. Talent Mapping'!A326" TargetMode="External" Id="rId321"/><Relationship Type="http://schemas.openxmlformats.org/officeDocument/2006/relationships/hyperlink" Target="#'2. Talent Mapping'!A327" TargetMode="External" Id="rId322"/><Relationship Type="http://schemas.openxmlformats.org/officeDocument/2006/relationships/hyperlink" Target="#'2. Talent Mapping'!A328" TargetMode="External" Id="rId323"/><Relationship Type="http://schemas.openxmlformats.org/officeDocument/2006/relationships/hyperlink" Target="#'2. Talent Mapping'!A329" TargetMode="External" Id="rId324"/><Relationship Type="http://schemas.openxmlformats.org/officeDocument/2006/relationships/hyperlink" Target="#'2. Talent Mapping'!A330" TargetMode="External" Id="rId325"/><Relationship Type="http://schemas.openxmlformats.org/officeDocument/2006/relationships/hyperlink" Target="#'2. Talent Mapping'!A331" TargetMode="External" Id="rId326"/><Relationship Type="http://schemas.openxmlformats.org/officeDocument/2006/relationships/hyperlink" Target="#'2. Talent Mapping'!A332" TargetMode="External" Id="rId327"/><Relationship Type="http://schemas.openxmlformats.org/officeDocument/2006/relationships/hyperlink" Target="#'2. Talent Mapping'!A333" TargetMode="External" Id="rId328"/><Relationship Type="http://schemas.openxmlformats.org/officeDocument/2006/relationships/hyperlink" Target="#'2. Talent Mapping'!A334" TargetMode="External" Id="rId329"/><Relationship Type="http://schemas.openxmlformats.org/officeDocument/2006/relationships/hyperlink" Target="#'2. Talent Mapping'!A335" TargetMode="External" Id="rId330"/><Relationship Type="http://schemas.openxmlformats.org/officeDocument/2006/relationships/hyperlink" Target="#'2. Talent Mapping'!A336" TargetMode="External" Id="rId331"/><Relationship Type="http://schemas.openxmlformats.org/officeDocument/2006/relationships/hyperlink" Target="#'2. Talent Mapping'!A337" TargetMode="External" Id="rId332"/><Relationship Type="http://schemas.openxmlformats.org/officeDocument/2006/relationships/hyperlink" Target="#'2. Talent Mapping'!A338" TargetMode="External" Id="rId333"/><Relationship Type="http://schemas.openxmlformats.org/officeDocument/2006/relationships/hyperlink" Target="#'2. Talent Mapping'!A339" TargetMode="External" Id="rId334"/><Relationship Type="http://schemas.openxmlformats.org/officeDocument/2006/relationships/hyperlink" Target="#'2. Talent Mapping'!A340" TargetMode="External" Id="rId335"/><Relationship Type="http://schemas.openxmlformats.org/officeDocument/2006/relationships/hyperlink" Target="#'2. Talent Mapping'!A341" TargetMode="External" Id="rId336"/><Relationship Type="http://schemas.openxmlformats.org/officeDocument/2006/relationships/hyperlink" Target="#'2. Talent Mapping'!A342" TargetMode="External" Id="rId337"/><Relationship Type="http://schemas.openxmlformats.org/officeDocument/2006/relationships/hyperlink" Target="#'2. Talent Mapping'!A343" TargetMode="External" Id="rId338"/><Relationship Type="http://schemas.openxmlformats.org/officeDocument/2006/relationships/hyperlink" Target="#'2. Talent Mapping'!A344" TargetMode="External" Id="rId339"/><Relationship Type="http://schemas.openxmlformats.org/officeDocument/2006/relationships/hyperlink" Target="#'2. Talent Mapping'!A345" TargetMode="External" Id="rId340"/><Relationship Type="http://schemas.openxmlformats.org/officeDocument/2006/relationships/hyperlink" Target="#'2. Talent Mapping'!A346" TargetMode="External" Id="rId341"/><Relationship Type="http://schemas.openxmlformats.org/officeDocument/2006/relationships/hyperlink" Target="#'2. Talent Mapping'!A347" TargetMode="External" Id="rId342"/><Relationship Type="http://schemas.openxmlformats.org/officeDocument/2006/relationships/hyperlink" Target="#'2. Talent Mapping'!A348" TargetMode="External" Id="rId343"/><Relationship Type="http://schemas.openxmlformats.org/officeDocument/2006/relationships/hyperlink" Target="#'2. Talent Mapping'!A349" TargetMode="External" Id="rId344"/><Relationship Type="http://schemas.openxmlformats.org/officeDocument/2006/relationships/hyperlink" Target="#'2. Talent Mapping'!A350" TargetMode="External" Id="rId345"/><Relationship Type="http://schemas.openxmlformats.org/officeDocument/2006/relationships/hyperlink" Target="#'2. Talent Mapping'!A351" TargetMode="External" Id="rId346"/><Relationship Type="http://schemas.openxmlformats.org/officeDocument/2006/relationships/hyperlink" Target="#'2. Talent Mapping'!A352" TargetMode="External" Id="rId347"/><Relationship Type="http://schemas.openxmlformats.org/officeDocument/2006/relationships/hyperlink" Target="#'2. Talent Mapping'!A353" TargetMode="External" Id="rId348"/><Relationship Type="http://schemas.openxmlformats.org/officeDocument/2006/relationships/hyperlink" Target="#'2. Talent Mapping'!A354" TargetMode="External" Id="rId349"/><Relationship Type="http://schemas.openxmlformats.org/officeDocument/2006/relationships/hyperlink" Target="#'2. Talent Mapping'!A355" TargetMode="External" Id="rId350"/><Relationship Type="http://schemas.openxmlformats.org/officeDocument/2006/relationships/hyperlink" Target="#'2. Talent Mapping'!A356" TargetMode="External" Id="rId351"/><Relationship Type="http://schemas.openxmlformats.org/officeDocument/2006/relationships/hyperlink" Target="#'2. Talent Mapping'!A357" TargetMode="External" Id="rId352"/><Relationship Type="http://schemas.openxmlformats.org/officeDocument/2006/relationships/hyperlink" Target="#'2. Talent Mapping'!A358" TargetMode="External" Id="rId353"/><Relationship Type="http://schemas.openxmlformats.org/officeDocument/2006/relationships/hyperlink" Target="#'2. Talent Mapping'!A359" TargetMode="External" Id="rId354"/><Relationship Type="http://schemas.openxmlformats.org/officeDocument/2006/relationships/hyperlink" Target="#'2. Talent Mapping'!A360" TargetMode="External" Id="rId355"/><Relationship Type="http://schemas.openxmlformats.org/officeDocument/2006/relationships/hyperlink" Target="#'2. Talent Mapping'!A361" TargetMode="External" Id="rId356"/><Relationship Type="http://schemas.openxmlformats.org/officeDocument/2006/relationships/hyperlink" Target="#'2. Talent Mapping'!A362" TargetMode="External" Id="rId357"/><Relationship Type="http://schemas.openxmlformats.org/officeDocument/2006/relationships/hyperlink" Target="#'2. Talent Mapping'!A363" TargetMode="External" Id="rId358"/><Relationship Type="http://schemas.openxmlformats.org/officeDocument/2006/relationships/hyperlink" Target="#'2. Talent Mapping'!A364" TargetMode="External" Id="rId359"/><Relationship Type="http://schemas.openxmlformats.org/officeDocument/2006/relationships/hyperlink" Target="#'2. Talent Mapping'!A365" TargetMode="External" Id="rId360"/><Relationship Type="http://schemas.openxmlformats.org/officeDocument/2006/relationships/hyperlink" Target="#'2. Talent Mapping'!A366" TargetMode="External" Id="rId361"/><Relationship Type="http://schemas.openxmlformats.org/officeDocument/2006/relationships/hyperlink" Target="#'2. Talent Mapping'!A367" TargetMode="External" Id="rId362"/><Relationship Type="http://schemas.openxmlformats.org/officeDocument/2006/relationships/hyperlink" Target="#'2. Talent Mapping'!A368" TargetMode="External" Id="rId363"/><Relationship Type="http://schemas.openxmlformats.org/officeDocument/2006/relationships/hyperlink" Target="#'2. Talent Mapping'!A369" TargetMode="External" Id="rId364"/><Relationship Type="http://schemas.openxmlformats.org/officeDocument/2006/relationships/hyperlink" Target="#'2. Talent Mapping'!A370" TargetMode="External" Id="rId365"/><Relationship Type="http://schemas.openxmlformats.org/officeDocument/2006/relationships/hyperlink" Target="#'2. Talent Mapping'!A371" TargetMode="External" Id="rId366"/><Relationship Type="http://schemas.openxmlformats.org/officeDocument/2006/relationships/hyperlink" Target="#'2. Talent Mapping'!A372" TargetMode="External" Id="rId367"/><Relationship Type="http://schemas.openxmlformats.org/officeDocument/2006/relationships/hyperlink" Target="#'2. Talent Mapping'!A373" TargetMode="External" Id="rId368"/><Relationship Type="http://schemas.openxmlformats.org/officeDocument/2006/relationships/hyperlink" Target="#'2. Talent Mapping'!A374" TargetMode="External" Id="rId369"/><Relationship Type="http://schemas.openxmlformats.org/officeDocument/2006/relationships/hyperlink" Target="#'2. Talent Mapping'!A375" TargetMode="External" Id="rId370"/><Relationship Type="http://schemas.openxmlformats.org/officeDocument/2006/relationships/hyperlink" Target="#'2. Talent Mapping'!A376" TargetMode="External" Id="rId371"/><Relationship Type="http://schemas.openxmlformats.org/officeDocument/2006/relationships/hyperlink" Target="#'2. Talent Mapping'!A377" TargetMode="External" Id="rId372"/><Relationship Type="http://schemas.openxmlformats.org/officeDocument/2006/relationships/hyperlink" Target="#'2. Talent Mapping'!A378" TargetMode="External" Id="rId373"/><Relationship Type="http://schemas.openxmlformats.org/officeDocument/2006/relationships/hyperlink" Target="#'2. Talent Mapping'!A379" TargetMode="External" Id="rId374"/><Relationship Type="http://schemas.openxmlformats.org/officeDocument/2006/relationships/hyperlink" Target="#'2. Talent Mapping'!A380" TargetMode="External" Id="rId375"/><Relationship Type="http://schemas.openxmlformats.org/officeDocument/2006/relationships/hyperlink" Target="#'2. Talent Mapping'!A381" TargetMode="External" Id="rId376"/><Relationship Type="http://schemas.openxmlformats.org/officeDocument/2006/relationships/hyperlink" Target="#'2. Talent Mapping'!A382" TargetMode="External" Id="rId377"/><Relationship Type="http://schemas.openxmlformats.org/officeDocument/2006/relationships/hyperlink" Target="#'2. Talent Mapping'!A383" TargetMode="External" Id="rId378"/><Relationship Type="http://schemas.openxmlformats.org/officeDocument/2006/relationships/hyperlink" Target="#'2. Talent Mapping'!A384" TargetMode="External" Id="rId379"/><Relationship Type="http://schemas.openxmlformats.org/officeDocument/2006/relationships/hyperlink" Target="#'2. Talent Mapping'!A385" TargetMode="External" Id="rId380"/><Relationship Type="http://schemas.openxmlformats.org/officeDocument/2006/relationships/hyperlink" Target="#'2. Talent Mapping'!A386" TargetMode="External" Id="rId381"/><Relationship Type="http://schemas.openxmlformats.org/officeDocument/2006/relationships/hyperlink" Target="#'2. Talent Mapping'!A387" TargetMode="External" Id="rId382"/><Relationship Type="http://schemas.openxmlformats.org/officeDocument/2006/relationships/hyperlink" Target="#'2. Talent Mapping'!A388" TargetMode="External" Id="rId383"/><Relationship Type="http://schemas.openxmlformats.org/officeDocument/2006/relationships/hyperlink" Target="#'2. Talent Mapping'!A389" TargetMode="External" Id="rId384"/><Relationship Type="http://schemas.openxmlformats.org/officeDocument/2006/relationships/hyperlink" Target="#'2. Talent Mapping'!A390" TargetMode="External" Id="rId385"/><Relationship Type="http://schemas.openxmlformats.org/officeDocument/2006/relationships/hyperlink" Target="#'2. Talent Mapping'!A391" TargetMode="External" Id="rId386"/><Relationship Type="http://schemas.openxmlformats.org/officeDocument/2006/relationships/hyperlink" Target="#'2. Talent Mapping'!A392" TargetMode="External" Id="rId387"/><Relationship Type="http://schemas.openxmlformats.org/officeDocument/2006/relationships/hyperlink" Target="#'2. Talent Mapping'!A393" TargetMode="External" Id="rId388"/><Relationship Type="http://schemas.openxmlformats.org/officeDocument/2006/relationships/hyperlink" Target="#'2. Talent Mapping'!A394" TargetMode="External" Id="rId389"/><Relationship Type="http://schemas.openxmlformats.org/officeDocument/2006/relationships/hyperlink" Target="#'2. Talent Mapping'!A395" TargetMode="External" Id="rId390"/><Relationship Type="http://schemas.openxmlformats.org/officeDocument/2006/relationships/hyperlink" Target="#'2. Talent Mapping'!A396" TargetMode="External" Id="rId391"/><Relationship Type="http://schemas.openxmlformats.org/officeDocument/2006/relationships/hyperlink" Target="#'2. Talent Mapping'!A397" TargetMode="External" Id="rId392"/><Relationship Type="http://schemas.openxmlformats.org/officeDocument/2006/relationships/hyperlink" Target="#'2. Talent Mapping'!A398" TargetMode="External" Id="rId393"/><Relationship Type="http://schemas.openxmlformats.org/officeDocument/2006/relationships/hyperlink" Target="#'2. Talent Mapping'!A399" TargetMode="External" Id="rId394"/><Relationship Type="http://schemas.openxmlformats.org/officeDocument/2006/relationships/hyperlink" Target="#'2. Talent Mapping'!A400" TargetMode="External" Id="rId395"/><Relationship Type="http://schemas.openxmlformats.org/officeDocument/2006/relationships/hyperlink" Target="#'2. Talent Mapping'!A401" TargetMode="External" Id="rId396"/><Relationship Type="http://schemas.openxmlformats.org/officeDocument/2006/relationships/hyperlink" Target="#'2. Talent Mapping'!A402" TargetMode="External" Id="rId397"/><Relationship Type="http://schemas.openxmlformats.org/officeDocument/2006/relationships/hyperlink" Target="#'2. Talent Mapping'!A403" TargetMode="External" Id="rId398"/><Relationship Type="http://schemas.openxmlformats.org/officeDocument/2006/relationships/hyperlink" Target="#'2. Talent Mapping'!A404" TargetMode="External" Id="rId399"/><Relationship Type="http://schemas.openxmlformats.org/officeDocument/2006/relationships/hyperlink" Target="#'2. Talent Mapping'!A405" TargetMode="External" Id="rId400"/><Relationship Type="http://schemas.openxmlformats.org/officeDocument/2006/relationships/hyperlink" Target="#'2. Talent Mapping'!A406" TargetMode="External" Id="rId401"/><Relationship Type="http://schemas.openxmlformats.org/officeDocument/2006/relationships/hyperlink" Target="#'2. Talent Mapping'!A407" TargetMode="External" Id="rId402"/><Relationship Type="http://schemas.openxmlformats.org/officeDocument/2006/relationships/hyperlink" Target="#'2. Talent Mapping'!A408" TargetMode="External" Id="rId403"/><Relationship Type="http://schemas.openxmlformats.org/officeDocument/2006/relationships/hyperlink" Target="#'2. Talent Mapping'!A409" TargetMode="External" Id="rId404"/><Relationship Type="http://schemas.openxmlformats.org/officeDocument/2006/relationships/hyperlink" Target="#'2. Talent Mapping'!A410" TargetMode="External" Id="rId405"/><Relationship Type="http://schemas.openxmlformats.org/officeDocument/2006/relationships/hyperlink" Target="#'2. Talent Mapping'!A411" TargetMode="External" Id="rId406"/><Relationship Type="http://schemas.openxmlformats.org/officeDocument/2006/relationships/hyperlink" Target="#'2. Talent Mapping'!A412" TargetMode="External" Id="rId407"/><Relationship Type="http://schemas.openxmlformats.org/officeDocument/2006/relationships/hyperlink" Target="#'2. Talent Mapping'!A413" TargetMode="External" Id="rId408"/><Relationship Type="http://schemas.openxmlformats.org/officeDocument/2006/relationships/hyperlink" Target="#'2. Talent Mapping'!A414" TargetMode="External" Id="rId409"/><Relationship Type="http://schemas.openxmlformats.org/officeDocument/2006/relationships/hyperlink" Target="#'2. Talent Mapping'!A415" TargetMode="External" Id="rId410"/><Relationship Type="http://schemas.openxmlformats.org/officeDocument/2006/relationships/hyperlink" Target="#'2. Talent Mapping'!A416" TargetMode="External" Id="rId411"/><Relationship Type="http://schemas.openxmlformats.org/officeDocument/2006/relationships/hyperlink" Target="#'2. Talent Mapping'!A417" TargetMode="External" Id="rId412"/><Relationship Type="http://schemas.openxmlformats.org/officeDocument/2006/relationships/hyperlink" Target="#'2. Talent Mapping'!A418" TargetMode="External" Id="rId413"/><Relationship Type="http://schemas.openxmlformats.org/officeDocument/2006/relationships/hyperlink" Target="#'2. Talent Mapping'!A419" TargetMode="External" Id="rId414"/><Relationship Type="http://schemas.openxmlformats.org/officeDocument/2006/relationships/hyperlink" Target="#'2. Talent Mapping'!A420" TargetMode="External" Id="rId415"/><Relationship Type="http://schemas.openxmlformats.org/officeDocument/2006/relationships/hyperlink" Target="#'2. Talent Mapping'!A421" TargetMode="External" Id="rId416"/><Relationship Type="http://schemas.openxmlformats.org/officeDocument/2006/relationships/hyperlink" Target="#'2. Talent Mapping'!A422" TargetMode="External" Id="rId417"/><Relationship Type="http://schemas.openxmlformats.org/officeDocument/2006/relationships/hyperlink" Target="#'2. Talent Mapping'!A423" TargetMode="External" Id="rId418"/><Relationship Type="http://schemas.openxmlformats.org/officeDocument/2006/relationships/hyperlink" Target="#'2. Talent Mapping'!A424" TargetMode="External" Id="rId419"/><Relationship Type="http://schemas.openxmlformats.org/officeDocument/2006/relationships/hyperlink" Target="#'2. Talent Mapping'!A425" TargetMode="External" Id="rId420"/><Relationship Type="http://schemas.openxmlformats.org/officeDocument/2006/relationships/hyperlink" Target="#'2. Talent Mapping'!A426" TargetMode="External" Id="rId421"/><Relationship Type="http://schemas.openxmlformats.org/officeDocument/2006/relationships/hyperlink" Target="#'2. Talent Mapping'!A427" TargetMode="External" Id="rId422"/><Relationship Type="http://schemas.openxmlformats.org/officeDocument/2006/relationships/hyperlink" Target="#'2. Talent Mapping'!A428" TargetMode="External" Id="rId423"/><Relationship Type="http://schemas.openxmlformats.org/officeDocument/2006/relationships/hyperlink" Target="#'2. Talent Mapping'!A429" TargetMode="External" Id="rId424"/><Relationship Type="http://schemas.openxmlformats.org/officeDocument/2006/relationships/hyperlink" Target="#'2. Talent Mapping'!A430" TargetMode="External" Id="rId425"/><Relationship Type="http://schemas.openxmlformats.org/officeDocument/2006/relationships/hyperlink" Target="#'2. Talent Mapping'!A431" TargetMode="External" Id="rId426"/><Relationship Type="http://schemas.openxmlformats.org/officeDocument/2006/relationships/hyperlink" Target="#'2. Talent Mapping'!A432" TargetMode="External" Id="rId427"/><Relationship Type="http://schemas.openxmlformats.org/officeDocument/2006/relationships/hyperlink" Target="#'2. Talent Mapping'!A433" TargetMode="External" Id="rId428"/><Relationship Type="http://schemas.openxmlformats.org/officeDocument/2006/relationships/hyperlink" Target="#'2. Talent Mapping'!A434" TargetMode="External" Id="rId429"/><Relationship Type="http://schemas.openxmlformats.org/officeDocument/2006/relationships/hyperlink" Target="#'2. Talent Mapping'!A435" TargetMode="External" Id="rId430"/><Relationship Type="http://schemas.openxmlformats.org/officeDocument/2006/relationships/hyperlink" Target="#'2. Talent Mapping'!A436" TargetMode="External" Id="rId431"/><Relationship Type="http://schemas.openxmlformats.org/officeDocument/2006/relationships/hyperlink" Target="#'2. Talent Mapping'!A437" TargetMode="External" Id="rId432"/><Relationship Type="http://schemas.openxmlformats.org/officeDocument/2006/relationships/hyperlink" Target="#'2. Talent Mapping'!A438" TargetMode="External" Id="rId433"/><Relationship Type="http://schemas.openxmlformats.org/officeDocument/2006/relationships/hyperlink" Target="#'2. Talent Mapping'!A439" TargetMode="External" Id="rId434"/><Relationship Type="http://schemas.openxmlformats.org/officeDocument/2006/relationships/hyperlink" Target="#'2. Talent Mapping'!A440" TargetMode="External" Id="rId435"/><Relationship Type="http://schemas.openxmlformats.org/officeDocument/2006/relationships/hyperlink" Target="#'2. Talent Mapping'!A441" TargetMode="External" Id="rId436"/><Relationship Type="http://schemas.openxmlformats.org/officeDocument/2006/relationships/hyperlink" Target="#'2. Talent Mapping'!A442" TargetMode="External" Id="rId437"/><Relationship Type="http://schemas.openxmlformats.org/officeDocument/2006/relationships/hyperlink" Target="#'2. Talent Mapping'!A443" TargetMode="External" Id="rId438"/><Relationship Type="http://schemas.openxmlformats.org/officeDocument/2006/relationships/hyperlink" Target="#'2. Talent Mapping'!A444" TargetMode="External" Id="rId439"/><Relationship Type="http://schemas.openxmlformats.org/officeDocument/2006/relationships/hyperlink" Target="#'2. Talent Mapping'!A445" TargetMode="External" Id="rId440"/><Relationship Type="http://schemas.openxmlformats.org/officeDocument/2006/relationships/hyperlink" Target="#'2. Talent Mapping'!A446" TargetMode="External" Id="rId441"/><Relationship Type="http://schemas.openxmlformats.org/officeDocument/2006/relationships/hyperlink" Target="#'2. Talent Mapping'!A447" TargetMode="External" Id="rId442"/><Relationship Type="http://schemas.openxmlformats.org/officeDocument/2006/relationships/hyperlink" Target="#'2. Talent Mapping'!A448" TargetMode="External" Id="rId443"/><Relationship Type="http://schemas.openxmlformats.org/officeDocument/2006/relationships/hyperlink" Target="#'2. Talent Mapping'!A449" TargetMode="External" Id="rId444"/><Relationship Type="http://schemas.openxmlformats.org/officeDocument/2006/relationships/hyperlink" Target="#'2. Talent Mapping'!A450" TargetMode="External" Id="rId445"/><Relationship Type="http://schemas.openxmlformats.org/officeDocument/2006/relationships/hyperlink" Target="#'2. Talent Mapping'!A451" TargetMode="External" Id="rId446"/><Relationship Type="http://schemas.openxmlformats.org/officeDocument/2006/relationships/hyperlink" Target="#'2. Talent Mapping'!A452" TargetMode="External" Id="rId447"/><Relationship Type="http://schemas.openxmlformats.org/officeDocument/2006/relationships/hyperlink" Target="#'2. Talent Mapping'!A453" TargetMode="External" Id="rId448"/><Relationship Type="http://schemas.openxmlformats.org/officeDocument/2006/relationships/hyperlink" Target="#'2. Talent Mapping'!A454" TargetMode="External" Id="rId449"/><Relationship Type="http://schemas.openxmlformats.org/officeDocument/2006/relationships/hyperlink" Target="#'2. Talent Mapping'!A455" TargetMode="External" Id="rId450"/><Relationship Type="http://schemas.openxmlformats.org/officeDocument/2006/relationships/hyperlink" Target="#'2. Talent Mapping'!A456" TargetMode="External" Id="rId451"/><Relationship Type="http://schemas.openxmlformats.org/officeDocument/2006/relationships/hyperlink" Target="#'2. Talent Mapping'!A457" TargetMode="External" Id="rId452"/><Relationship Type="http://schemas.openxmlformats.org/officeDocument/2006/relationships/hyperlink" Target="#'2. Talent Mapping'!A458" TargetMode="External" Id="rId453"/><Relationship Type="http://schemas.openxmlformats.org/officeDocument/2006/relationships/hyperlink" Target="#'2. Talent Mapping'!A459" TargetMode="External" Id="rId454"/><Relationship Type="http://schemas.openxmlformats.org/officeDocument/2006/relationships/hyperlink" Target="#'2. Talent Mapping'!A460" TargetMode="External" Id="rId455"/><Relationship Type="http://schemas.openxmlformats.org/officeDocument/2006/relationships/hyperlink" Target="#'2. Talent Mapping'!A461" TargetMode="External" Id="rId456"/><Relationship Type="http://schemas.openxmlformats.org/officeDocument/2006/relationships/hyperlink" Target="#'2. Talent Mapping'!A462" TargetMode="External" Id="rId457"/><Relationship Type="http://schemas.openxmlformats.org/officeDocument/2006/relationships/hyperlink" Target="#'2. Talent Mapping'!A463" TargetMode="External" Id="rId458"/><Relationship Type="http://schemas.openxmlformats.org/officeDocument/2006/relationships/hyperlink" Target="#'2. Talent Mapping'!A464" TargetMode="External" Id="rId459"/><Relationship Type="http://schemas.openxmlformats.org/officeDocument/2006/relationships/hyperlink" Target="#'2. Talent Mapping'!A465" TargetMode="External" Id="rId460"/><Relationship Type="http://schemas.openxmlformats.org/officeDocument/2006/relationships/hyperlink" Target="#'2. Talent Mapping'!A466" TargetMode="External" Id="rId461"/><Relationship Type="http://schemas.openxmlformats.org/officeDocument/2006/relationships/hyperlink" Target="#'2. Talent Mapping'!A467" TargetMode="External" Id="rId462"/><Relationship Type="http://schemas.openxmlformats.org/officeDocument/2006/relationships/hyperlink" Target="#'2. Talent Mapping'!A468" TargetMode="External" Id="rId463"/><Relationship Type="http://schemas.openxmlformats.org/officeDocument/2006/relationships/hyperlink" Target="#'2. Talent Mapping'!A469" TargetMode="External" Id="rId464"/><Relationship Type="http://schemas.openxmlformats.org/officeDocument/2006/relationships/hyperlink" Target="#'2. Talent Mapping'!A470" TargetMode="External" Id="rId465"/><Relationship Type="http://schemas.openxmlformats.org/officeDocument/2006/relationships/hyperlink" Target="#'2. Talent Mapping'!A471" TargetMode="External" Id="rId466"/><Relationship Type="http://schemas.openxmlformats.org/officeDocument/2006/relationships/hyperlink" Target="#'2. Talent Mapping'!A472" TargetMode="External" Id="rId467"/><Relationship Type="http://schemas.openxmlformats.org/officeDocument/2006/relationships/hyperlink" Target="#'2. Talent Mapping'!A473" TargetMode="External" Id="rId468"/><Relationship Type="http://schemas.openxmlformats.org/officeDocument/2006/relationships/hyperlink" Target="#'2. Talent Mapping'!A474" TargetMode="External" Id="rId469"/><Relationship Type="http://schemas.openxmlformats.org/officeDocument/2006/relationships/hyperlink" Target="#'2. Talent Mapping'!A475" TargetMode="External" Id="rId470"/><Relationship Type="http://schemas.openxmlformats.org/officeDocument/2006/relationships/hyperlink" Target="#'2. Talent Mapping'!A476" TargetMode="External" Id="rId471"/><Relationship Type="http://schemas.openxmlformats.org/officeDocument/2006/relationships/hyperlink" Target="#'2. Talent Mapping'!A477" TargetMode="External" Id="rId472"/><Relationship Type="http://schemas.openxmlformats.org/officeDocument/2006/relationships/hyperlink" Target="#'2. Talent Mapping'!A478" TargetMode="External" Id="rId473"/><Relationship Type="http://schemas.openxmlformats.org/officeDocument/2006/relationships/hyperlink" Target="#'2. Talent Mapping'!A479" TargetMode="External" Id="rId474"/><Relationship Type="http://schemas.openxmlformats.org/officeDocument/2006/relationships/hyperlink" Target="#'2. Talent Mapping'!A480" TargetMode="External" Id="rId475"/><Relationship Type="http://schemas.openxmlformats.org/officeDocument/2006/relationships/hyperlink" Target="#'2. Talent Mapping'!A481" TargetMode="External" Id="rId476"/><Relationship Type="http://schemas.openxmlformats.org/officeDocument/2006/relationships/hyperlink" Target="#'2. Talent Mapping'!A482" TargetMode="External" Id="rId477"/><Relationship Type="http://schemas.openxmlformats.org/officeDocument/2006/relationships/hyperlink" Target="#'2. Talent Mapping'!A483" TargetMode="External" Id="rId478"/><Relationship Type="http://schemas.openxmlformats.org/officeDocument/2006/relationships/hyperlink" Target="#'2. Talent Mapping'!A484" TargetMode="External" Id="rId479"/><Relationship Type="http://schemas.openxmlformats.org/officeDocument/2006/relationships/hyperlink" Target="#'2. Talent Mapping'!A485" TargetMode="External" Id="rId480"/><Relationship Type="http://schemas.openxmlformats.org/officeDocument/2006/relationships/hyperlink" Target="#'2. Talent Mapping'!A486" TargetMode="External" Id="rId481"/><Relationship Type="http://schemas.openxmlformats.org/officeDocument/2006/relationships/hyperlink" Target="#'2. Talent Mapping'!A487" TargetMode="External" Id="rId482"/><Relationship Type="http://schemas.openxmlformats.org/officeDocument/2006/relationships/hyperlink" Target="#'2. Talent Mapping'!A488" TargetMode="External" Id="rId483"/><Relationship Type="http://schemas.openxmlformats.org/officeDocument/2006/relationships/hyperlink" Target="#'2. Talent Mapping'!A489" TargetMode="External" Id="rId484"/><Relationship Type="http://schemas.openxmlformats.org/officeDocument/2006/relationships/hyperlink" Target="#'2. Talent Mapping'!A490" TargetMode="External" Id="rId485"/><Relationship Type="http://schemas.openxmlformats.org/officeDocument/2006/relationships/hyperlink" Target="#'2. Talent Mapping'!A491" TargetMode="External" Id="rId486"/><Relationship Type="http://schemas.openxmlformats.org/officeDocument/2006/relationships/hyperlink" Target="#'2. Talent Mapping'!A492" TargetMode="External" Id="rId487"/><Relationship Type="http://schemas.openxmlformats.org/officeDocument/2006/relationships/hyperlink" Target="#'2. Talent Mapping'!A493" TargetMode="External" Id="rId488"/><Relationship Type="http://schemas.openxmlformats.org/officeDocument/2006/relationships/hyperlink" Target="#'2. Talent Mapping'!A494" TargetMode="External" Id="rId489"/><Relationship Type="http://schemas.openxmlformats.org/officeDocument/2006/relationships/hyperlink" Target="#'2. Talent Mapping'!A495" TargetMode="External" Id="rId490"/><Relationship Type="http://schemas.openxmlformats.org/officeDocument/2006/relationships/hyperlink" Target="#'2. Talent Mapping'!A496" TargetMode="External" Id="rId491"/><Relationship Type="http://schemas.openxmlformats.org/officeDocument/2006/relationships/hyperlink" Target="#'2. Talent Mapping'!A497" TargetMode="External" Id="rId492"/><Relationship Type="http://schemas.openxmlformats.org/officeDocument/2006/relationships/hyperlink" Target="#'2. Talent Mapping'!A498" TargetMode="External" Id="rId493"/><Relationship Type="http://schemas.openxmlformats.org/officeDocument/2006/relationships/hyperlink" Target="#'2. Talent Mapping'!A499" TargetMode="External" Id="rId494"/><Relationship Type="http://schemas.openxmlformats.org/officeDocument/2006/relationships/hyperlink" Target="#'2. Talent Mapping'!A500" TargetMode="External" Id="rId495"/><Relationship Type="http://schemas.openxmlformats.org/officeDocument/2006/relationships/hyperlink" Target="#'2. Talent Mapping'!A501" TargetMode="External" Id="rId496"/><Relationship Type="http://schemas.openxmlformats.org/officeDocument/2006/relationships/hyperlink" Target="#'2. Talent Mapping'!A502" TargetMode="External" Id="rId497"/><Relationship Type="http://schemas.openxmlformats.org/officeDocument/2006/relationships/hyperlink" Target="#'2. Talent Mapping'!A503" TargetMode="External" Id="rId498"/><Relationship Type="http://schemas.openxmlformats.org/officeDocument/2006/relationships/hyperlink" Target="#'2. Talent Mapping'!A504" TargetMode="External" Id="rId499"/><Relationship Type="http://schemas.openxmlformats.org/officeDocument/2006/relationships/hyperlink" Target="#'2. Talent Mapping'!A505" TargetMode="External" Id="rId500"/><Relationship Type="http://schemas.openxmlformats.org/officeDocument/2006/relationships/hyperlink" Target="#'2. Talent Mapping'!A506" TargetMode="External" Id="rId501"/><Relationship Type="http://schemas.openxmlformats.org/officeDocument/2006/relationships/hyperlink" Target="#'2. Talent Mapping'!A507" TargetMode="External" Id="rId502"/><Relationship Type="http://schemas.openxmlformats.org/officeDocument/2006/relationships/hyperlink" Target="#'2. Talent Mapping'!A508" TargetMode="External" Id="rId503"/><Relationship Type="http://schemas.openxmlformats.org/officeDocument/2006/relationships/hyperlink" Target="#'2. Talent Mapping'!A509" TargetMode="External" Id="rId504"/><Relationship Type="http://schemas.openxmlformats.org/officeDocument/2006/relationships/hyperlink" Target="#'2. Talent Mapping'!A510" TargetMode="External" Id="rId505"/><Relationship Type="http://schemas.openxmlformats.org/officeDocument/2006/relationships/hyperlink" Target="#'2. Talent Mapping'!A511" TargetMode="External" Id="rId506"/><Relationship Type="http://schemas.openxmlformats.org/officeDocument/2006/relationships/hyperlink" Target="#'2. Talent Mapping'!A512" TargetMode="External" Id="rId507"/><Relationship Type="http://schemas.openxmlformats.org/officeDocument/2006/relationships/hyperlink" Target="#'2. Talent Mapping'!A513" TargetMode="External" Id="rId508"/><Relationship Type="http://schemas.openxmlformats.org/officeDocument/2006/relationships/hyperlink" Target="#'2. Talent Mapping'!A514" TargetMode="External" Id="rId509"/><Relationship Type="http://schemas.openxmlformats.org/officeDocument/2006/relationships/hyperlink" Target="#'2. Talent Mapping'!A515" TargetMode="External" Id="rId510"/><Relationship Type="http://schemas.openxmlformats.org/officeDocument/2006/relationships/hyperlink" Target="#'2. Talent Mapping'!A516" TargetMode="External" Id="rId511"/><Relationship Type="http://schemas.openxmlformats.org/officeDocument/2006/relationships/hyperlink" Target="#'2. Talent Mapping'!A517" TargetMode="External" Id="rId512"/><Relationship Type="http://schemas.openxmlformats.org/officeDocument/2006/relationships/hyperlink" Target="#'2. Talent Mapping'!A518" TargetMode="External" Id="rId513"/><Relationship Type="http://schemas.openxmlformats.org/officeDocument/2006/relationships/hyperlink" Target="#'2. Talent Mapping'!A519" TargetMode="External" Id="rId514"/><Relationship Type="http://schemas.openxmlformats.org/officeDocument/2006/relationships/hyperlink" Target="#'2. Talent Mapping'!A520" TargetMode="External" Id="rId515"/><Relationship Type="http://schemas.openxmlformats.org/officeDocument/2006/relationships/hyperlink" Target="#'2. Talent Mapping'!A521" TargetMode="External" Id="rId516"/><Relationship Type="http://schemas.openxmlformats.org/officeDocument/2006/relationships/hyperlink" Target="#'2. Talent Mapping'!A522" TargetMode="External" Id="rId517"/><Relationship Type="http://schemas.openxmlformats.org/officeDocument/2006/relationships/hyperlink" Target="#'2. Talent Mapping'!A523" TargetMode="External" Id="rId518"/><Relationship Type="http://schemas.openxmlformats.org/officeDocument/2006/relationships/hyperlink" Target="#'2. Talent Mapping'!A524" TargetMode="External" Id="rId519"/><Relationship Type="http://schemas.openxmlformats.org/officeDocument/2006/relationships/hyperlink" Target="#'2. Talent Mapping'!A525" TargetMode="External" Id="rId520"/><Relationship Type="http://schemas.openxmlformats.org/officeDocument/2006/relationships/hyperlink" Target="#'2. Talent Mapping'!A526" TargetMode="External" Id="rId521"/><Relationship Type="http://schemas.openxmlformats.org/officeDocument/2006/relationships/hyperlink" Target="#'2. Talent Mapping'!A527" TargetMode="External" Id="rId522"/><Relationship Type="http://schemas.openxmlformats.org/officeDocument/2006/relationships/hyperlink" Target="#'2. Talent Mapping'!A528" TargetMode="External" Id="rId523"/><Relationship Type="http://schemas.openxmlformats.org/officeDocument/2006/relationships/hyperlink" Target="#'2. Talent Mapping'!A529" TargetMode="External" Id="rId524"/><Relationship Type="http://schemas.openxmlformats.org/officeDocument/2006/relationships/hyperlink" Target="#'2. Talent Mapping'!A530" TargetMode="External" Id="rId525"/><Relationship Type="http://schemas.openxmlformats.org/officeDocument/2006/relationships/hyperlink" Target="#'2. Talent Mapping'!A531" TargetMode="External" Id="rId526"/><Relationship Type="http://schemas.openxmlformats.org/officeDocument/2006/relationships/hyperlink" Target="#'2. Talent Mapping'!A532" TargetMode="External" Id="rId527"/><Relationship Type="http://schemas.openxmlformats.org/officeDocument/2006/relationships/hyperlink" Target="#'2. Talent Mapping'!A533" TargetMode="External" Id="rId528"/><Relationship Type="http://schemas.openxmlformats.org/officeDocument/2006/relationships/hyperlink" Target="#'2. Talent Mapping'!A534" TargetMode="External" Id="rId529"/><Relationship Type="http://schemas.openxmlformats.org/officeDocument/2006/relationships/hyperlink" Target="#'2. Talent Mapping'!A535" TargetMode="External" Id="rId530"/><Relationship Type="http://schemas.openxmlformats.org/officeDocument/2006/relationships/hyperlink" Target="#'2. Talent Mapping'!A536" TargetMode="External" Id="rId531"/><Relationship Type="http://schemas.openxmlformats.org/officeDocument/2006/relationships/hyperlink" Target="#'2. Talent Mapping'!A537" TargetMode="External" Id="rId532"/><Relationship Type="http://schemas.openxmlformats.org/officeDocument/2006/relationships/hyperlink" Target="#'2. Talent Mapping'!A538" TargetMode="External" Id="rId533"/><Relationship Type="http://schemas.openxmlformats.org/officeDocument/2006/relationships/hyperlink" Target="#'2. Talent Mapping'!A539" TargetMode="External" Id="rId534"/><Relationship Type="http://schemas.openxmlformats.org/officeDocument/2006/relationships/hyperlink" Target="#'2. Talent Mapping'!A540" TargetMode="External" Id="rId535"/><Relationship Type="http://schemas.openxmlformats.org/officeDocument/2006/relationships/hyperlink" Target="#'2. Talent Mapping'!A541" TargetMode="External" Id="rId536"/><Relationship Type="http://schemas.openxmlformats.org/officeDocument/2006/relationships/hyperlink" Target="#'2. Talent Mapping'!A542" TargetMode="External" Id="rId537"/><Relationship Type="http://schemas.openxmlformats.org/officeDocument/2006/relationships/hyperlink" Target="#'2. Talent Mapping'!A543" TargetMode="External" Id="rId538"/><Relationship Type="http://schemas.openxmlformats.org/officeDocument/2006/relationships/hyperlink" Target="#'2. Talent Mapping'!A544" TargetMode="External" Id="rId539"/><Relationship Type="http://schemas.openxmlformats.org/officeDocument/2006/relationships/hyperlink" Target="#'2. Talent Mapping'!A545" TargetMode="External" Id="rId540"/><Relationship Type="http://schemas.openxmlformats.org/officeDocument/2006/relationships/hyperlink" Target="#'2. Talent Mapping'!A546" TargetMode="External" Id="rId541"/><Relationship Type="http://schemas.openxmlformats.org/officeDocument/2006/relationships/hyperlink" Target="#'2. Talent Mapping'!A547" TargetMode="External" Id="rId542"/><Relationship Type="http://schemas.openxmlformats.org/officeDocument/2006/relationships/hyperlink" Target="#'2. Talent Mapping'!A548" TargetMode="External" Id="rId543"/><Relationship Type="http://schemas.openxmlformats.org/officeDocument/2006/relationships/hyperlink" Target="#'2. Talent Mapping'!A549" TargetMode="External" Id="rId544"/><Relationship Type="http://schemas.openxmlformats.org/officeDocument/2006/relationships/hyperlink" Target="#'2. Talent Mapping'!A550" TargetMode="External" Id="rId545"/><Relationship Type="http://schemas.openxmlformats.org/officeDocument/2006/relationships/hyperlink" Target="#'2. Talent Mapping'!A551" TargetMode="External" Id="rId546"/><Relationship Type="http://schemas.openxmlformats.org/officeDocument/2006/relationships/hyperlink" Target="#'2. Talent Mapping'!A552" TargetMode="External" Id="rId547"/><Relationship Type="http://schemas.openxmlformats.org/officeDocument/2006/relationships/hyperlink" Target="#'2. Talent Mapping'!A553" TargetMode="External" Id="rId548"/><Relationship Type="http://schemas.openxmlformats.org/officeDocument/2006/relationships/hyperlink" Target="#'2. Talent Mapping'!A554" TargetMode="External" Id="rId549"/><Relationship Type="http://schemas.openxmlformats.org/officeDocument/2006/relationships/hyperlink" Target="#'2. Talent Mapping'!A555" TargetMode="External" Id="rId550"/><Relationship Type="http://schemas.openxmlformats.org/officeDocument/2006/relationships/hyperlink" Target="#'2. Talent Mapping'!A556" TargetMode="External" Id="rId551"/><Relationship Type="http://schemas.openxmlformats.org/officeDocument/2006/relationships/hyperlink" Target="#'2. Talent Mapping'!A557" TargetMode="External" Id="rId552"/><Relationship Type="http://schemas.openxmlformats.org/officeDocument/2006/relationships/hyperlink" Target="#'2. Talent Mapping'!A558" TargetMode="External" Id="rId553"/><Relationship Type="http://schemas.openxmlformats.org/officeDocument/2006/relationships/hyperlink" Target="#'2. Talent Mapping'!A559" TargetMode="External" Id="rId554"/><Relationship Type="http://schemas.openxmlformats.org/officeDocument/2006/relationships/hyperlink" Target="#'2. Talent Mapping'!A560" TargetMode="External" Id="rId555"/><Relationship Type="http://schemas.openxmlformats.org/officeDocument/2006/relationships/hyperlink" Target="#'2. Talent Mapping'!A561" TargetMode="External" Id="rId556"/><Relationship Type="http://schemas.openxmlformats.org/officeDocument/2006/relationships/hyperlink" Target="#'2. Talent Mapping'!A562" TargetMode="External" Id="rId557"/><Relationship Type="http://schemas.openxmlformats.org/officeDocument/2006/relationships/hyperlink" Target="#'2. Talent Mapping'!A563" TargetMode="External" Id="rId558"/><Relationship Type="http://schemas.openxmlformats.org/officeDocument/2006/relationships/hyperlink" Target="#'2. Talent Mapping'!A564" TargetMode="External" Id="rId559"/><Relationship Type="http://schemas.openxmlformats.org/officeDocument/2006/relationships/hyperlink" Target="#'2. Talent Mapping'!A565" TargetMode="External" Id="rId560"/><Relationship Type="http://schemas.openxmlformats.org/officeDocument/2006/relationships/hyperlink" Target="#'2. Talent Mapping'!A566" TargetMode="External" Id="rId561"/><Relationship Type="http://schemas.openxmlformats.org/officeDocument/2006/relationships/hyperlink" Target="#'2. Talent Mapping'!A567" TargetMode="External" Id="rId562"/><Relationship Type="http://schemas.openxmlformats.org/officeDocument/2006/relationships/hyperlink" Target="#'2. Talent Mapping'!A568" TargetMode="External" Id="rId563"/><Relationship Type="http://schemas.openxmlformats.org/officeDocument/2006/relationships/hyperlink" Target="#'2. Talent Mapping'!A569" TargetMode="External" Id="rId564"/><Relationship Type="http://schemas.openxmlformats.org/officeDocument/2006/relationships/hyperlink" Target="#'2. Talent Mapping'!A570" TargetMode="External" Id="rId565"/><Relationship Type="http://schemas.openxmlformats.org/officeDocument/2006/relationships/hyperlink" Target="#'2. Talent Mapping'!A571" TargetMode="External" Id="rId566"/><Relationship Type="http://schemas.openxmlformats.org/officeDocument/2006/relationships/hyperlink" Target="#'2. Talent Mapping'!A572" TargetMode="External" Id="rId567"/><Relationship Type="http://schemas.openxmlformats.org/officeDocument/2006/relationships/hyperlink" Target="#'2. Talent Mapping'!A573" TargetMode="External" Id="rId568"/><Relationship Type="http://schemas.openxmlformats.org/officeDocument/2006/relationships/hyperlink" Target="#'2. Talent Mapping'!A574" TargetMode="External" Id="rId569"/><Relationship Type="http://schemas.openxmlformats.org/officeDocument/2006/relationships/hyperlink" Target="#'2. Talent Mapping'!A575" TargetMode="External" Id="rId570"/><Relationship Type="http://schemas.openxmlformats.org/officeDocument/2006/relationships/hyperlink" Target="#'2. Talent Mapping'!A576" TargetMode="External" Id="rId571"/><Relationship Type="http://schemas.openxmlformats.org/officeDocument/2006/relationships/hyperlink" Target="#'2. Talent Mapping'!A577" TargetMode="External" Id="rId572"/><Relationship Type="http://schemas.openxmlformats.org/officeDocument/2006/relationships/hyperlink" Target="#'2. Talent Mapping'!A578" TargetMode="External" Id="rId573"/><Relationship Type="http://schemas.openxmlformats.org/officeDocument/2006/relationships/hyperlink" Target="#'2. Talent Mapping'!A579" TargetMode="External" Id="rId574"/><Relationship Type="http://schemas.openxmlformats.org/officeDocument/2006/relationships/hyperlink" Target="#'2. Talent Mapping'!A580" TargetMode="External" Id="rId575"/><Relationship Type="http://schemas.openxmlformats.org/officeDocument/2006/relationships/hyperlink" Target="#'2. Talent Mapping'!A581" TargetMode="External" Id="rId576"/><Relationship Type="http://schemas.openxmlformats.org/officeDocument/2006/relationships/hyperlink" Target="#'2. Talent Mapping'!A582" TargetMode="External" Id="rId577"/><Relationship Type="http://schemas.openxmlformats.org/officeDocument/2006/relationships/hyperlink" Target="#'2. Talent Mapping'!A583" TargetMode="External" Id="rId578"/><Relationship Type="http://schemas.openxmlformats.org/officeDocument/2006/relationships/hyperlink" Target="#'2. Talent Mapping'!A584" TargetMode="External" Id="rId579"/><Relationship Type="http://schemas.openxmlformats.org/officeDocument/2006/relationships/hyperlink" Target="#'2. Talent Mapping'!A585" TargetMode="External" Id="rId580"/><Relationship Type="http://schemas.openxmlformats.org/officeDocument/2006/relationships/hyperlink" Target="#'2. Talent Mapping'!A586" TargetMode="External" Id="rId581"/><Relationship Type="http://schemas.openxmlformats.org/officeDocument/2006/relationships/hyperlink" Target="#'2. Talent Mapping'!A587" TargetMode="External" Id="rId582"/><Relationship Type="http://schemas.openxmlformats.org/officeDocument/2006/relationships/hyperlink" Target="#'2. Talent Mapping'!A588" TargetMode="External" Id="rId583"/><Relationship Type="http://schemas.openxmlformats.org/officeDocument/2006/relationships/hyperlink" Target="#'2. Talent Mapping'!A589" TargetMode="External" Id="rId584"/><Relationship Type="http://schemas.openxmlformats.org/officeDocument/2006/relationships/hyperlink" Target="#'2. Talent Mapping'!A590" TargetMode="External" Id="rId585"/><Relationship Type="http://schemas.openxmlformats.org/officeDocument/2006/relationships/hyperlink" Target="#'2. Talent Mapping'!A591" TargetMode="External" Id="rId586"/><Relationship Type="http://schemas.openxmlformats.org/officeDocument/2006/relationships/hyperlink" Target="#'2. Talent Mapping'!A592" TargetMode="External" Id="rId587"/></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s>
</file>

<file path=xl/worksheets/_rels/sheet6.xml.rels><Relationships xmlns="http://schemas.openxmlformats.org/package/2006/relationships"><Relationship Type="http://schemas.openxmlformats.org/officeDocument/2006/relationships/hyperlink" Target="#'1. Framework &amp; Model'!A1" TargetMode="External" Id="rId1"/></Relationships>
</file>

<file path=xl/worksheets/_rels/sheet7.xml.rels><Relationships xmlns="http://schemas.openxmlformats.org/package/2006/relationships"><Relationship Type="http://schemas.openxmlformats.org/officeDocument/2006/relationships/hyperlink" Target="#'1. Framework &amp; Model'!A1" TargetMode="External" Id="rId1"/></Relationships>
</file>

<file path=xl/worksheets/_rels/sheet8.xml.rels><Relationships xmlns="http://schemas.openxmlformats.org/package/2006/relationships"><Relationship Type="http://schemas.openxmlformats.org/officeDocument/2006/relationships/hyperlink" Target="#'1. Framework &amp; Model'!A1" TargetMode="External" Id="rId1"/></Relationships>
</file>

<file path=xl/worksheets/_rels/sheet9.xml.rels><Relationships xmlns="http://schemas.openxmlformats.org/package/2006/relationships"><Relationship Type="http://schemas.openxmlformats.org/officeDocument/2006/relationships/hyperlink" Target="#'1. Framework &amp; Model'!A1" TargetMode="External" Id="rId1"/></Relationships>
</file>

<file path=xl/worksheets/_rels/sheet10.xml.rels><Relationships xmlns="http://schemas.openxmlformats.org/package/2006/relationships"><Relationship Type="http://schemas.openxmlformats.org/officeDocument/2006/relationships/hyperlink" Target="#'1. Framework &amp; Model'!A1" TargetMode="External" Id="rId1"/></Relationships>
</file>

<file path=xl/worksheets/_rels/sheet11.xml.rels><Relationships xmlns="http://schemas.openxmlformats.org/package/2006/relationships"><Relationship Type="http://schemas.openxmlformats.org/officeDocument/2006/relationships/hyperlink" Target="#'1. Framework &amp; Model'!A1" TargetMode="External" Id="rId1"/></Relationships>
</file>

<file path=xl/worksheets/_rels/sheet12.xml.rels><Relationships xmlns="http://schemas.openxmlformats.org/package/2006/relationships"><Relationship Type="http://schemas.openxmlformats.org/officeDocument/2006/relationships/hyperlink" Target="#'1. Framework &amp; Model'!A1" TargetMode="External" Id="rId1"/></Relationships>
</file>

<file path=xl/worksheets/_rels/sheet13.xml.rels><Relationships xmlns="http://schemas.openxmlformats.org/package/2006/relationships"><Relationship Type="http://schemas.openxmlformats.org/officeDocument/2006/relationships/hyperlink" Target="#'1. Framework &amp; Model'!A1" TargetMode="External" Id="rId1"/></Relationships>
</file>

<file path=xl/worksheets/_rels/sheet14.xml.rels><Relationships xmlns="http://schemas.openxmlformats.org/package/2006/relationships"><Relationship Type="http://schemas.openxmlformats.org/officeDocument/2006/relationships/hyperlink" Target="#'1. Framework &amp; Model'!A1" TargetMode="External" Id="rId1"/></Relationships>
</file>

<file path=xl/worksheets/_rels/sheet15.xml.rels><Relationships xmlns="http://schemas.openxmlformats.org/package/2006/relationships"><Relationship Type="http://schemas.openxmlformats.org/officeDocument/2006/relationships/hyperlink" Target="#'1. Framework &amp; Model'!A1" TargetMode="External" Id="rId1"/></Relationships>
</file>

<file path=xl/worksheets/_rels/sheet16.xml.rels><Relationships xmlns="http://schemas.openxmlformats.org/package/2006/relationships"><Relationship Type="http://schemas.openxmlformats.org/officeDocument/2006/relationships/hyperlink" Target="#'1. Framework &amp; Model'!A1" TargetMode="External" Id="rId1"/></Relationships>
</file>

<file path=xl/worksheets/_rels/sheet17.xml.rels><Relationships xmlns="http://schemas.openxmlformats.org/package/2006/relationships"><Relationship Type="http://schemas.openxmlformats.org/officeDocument/2006/relationships/hyperlink" Target="#'1. Framework &amp; Model'!A1" TargetMode="External" Id="rId1"/></Relationships>
</file>

<file path=xl/worksheets/_rels/sheet18.xml.rels><Relationships xmlns="http://schemas.openxmlformats.org/package/2006/relationships"><Relationship Type="http://schemas.openxmlformats.org/officeDocument/2006/relationships/hyperlink" Target="#'1. Framework &amp; Model'!A1" TargetMode="External" Id="rId1"/></Relationships>
</file>

<file path=xl/worksheets/_rels/sheet19.xml.rels><Relationships xmlns="http://schemas.openxmlformats.org/package/2006/relationships"><Relationship Type="http://schemas.openxmlformats.org/officeDocument/2006/relationships/hyperlink" Target="#'1. Framework &amp; Model'!A1" TargetMode="External" Id="rId1"/></Relationships>
</file>

<file path=xl/worksheets/_rels/sheet20.xml.rels><Relationships xmlns="http://schemas.openxmlformats.org/package/2006/relationships"><Relationship Type="http://schemas.openxmlformats.org/officeDocument/2006/relationships/hyperlink" Target="#'1. Framework &amp; Model'!A1" TargetMode="External" Id="rId1"/></Relationships>
</file>

<file path=xl/worksheets/_rels/sheet21.xml.rels><Relationships xmlns="http://schemas.openxmlformats.org/package/2006/relationships"><Relationship Type="http://schemas.openxmlformats.org/officeDocument/2006/relationships/hyperlink" Target="#'1. Framework &amp; Model'!A1" TargetMode="External" Id="rId1"/></Relationships>
</file>

<file path=xl/worksheets/_rels/sheet22.xml.rels><Relationships xmlns="http://schemas.openxmlformats.org/package/2006/relationships"><Relationship Type="http://schemas.openxmlformats.org/officeDocument/2006/relationships/hyperlink" Target="#'1. Framework &amp; Model'!A1" TargetMode="External" Id="rId1"/></Relationships>
</file>

<file path=xl/worksheets/_rels/sheet23.xml.rels><Relationships xmlns="http://schemas.openxmlformats.org/package/2006/relationships"><Relationship Type="http://schemas.openxmlformats.org/officeDocument/2006/relationships/hyperlink" Target="#'1. Framework &amp; Model'!A1" TargetMode="External" Id="rId1"/></Relationships>
</file>

<file path=xl/worksheets/_rels/sheet24.xml.rels><Relationships xmlns="http://schemas.openxmlformats.org/package/2006/relationships"><Relationship Type="http://schemas.openxmlformats.org/officeDocument/2006/relationships/hyperlink" Target="#'1. Framework &amp; Model'!A1" TargetMode="External" Id="rId1"/></Relationships>
</file>

<file path=xl/worksheets/_rels/sheet25.xml.rels><Relationships xmlns="http://schemas.openxmlformats.org/package/2006/relationships"><Relationship Type="http://schemas.openxmlformats.org/officeDocument/2006/relationships/hyperlink" Target="#'1. Framework &amp; Model'!A1" TargetMode="External" Id="rId1"/></Relationships>
</file>

<file path=xl/worksheets/_rels/sheet26.xml.rels><Relationships xmlns="http://schemas.openxmlformats.org/package/2006/relationships"><Relationship Type="http://schemas.openxmlformats.org/officeDocument/2006/relationships/hyperlink" Target="#'1. Framework &amp; Model'!A1" TargetMode="External" Id="rId1"/></Relationships>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4" customHeight="1">
      <c r="A1" s="1" t="inlineStr">
        <is>
          <t>Business-Head Workbook — how to use it</t>
        </is>
      </c>
    </row>
    <row r="2" ht="30" customHeight="1">
      <c r="A2" s="2" t="inlineStr">
        <is>
          <t>Read this first · five minutes.</t>
        </is>
      </c>
    </row>
    <row r="3">
      <c r="A3" s="3" t="inlineStr">
        <is>
          <t>IRIS · Job Architecture &amp; Job Design · Final v1.14 · October 2026 · Internal — Confidential · HR only</t>
        </is>
      </c>
    </row>
    <row r="5" ht="31" customHeight="1">
      <c r="A5" s="4" t="inlineStr">
        <is>
          <t>What this is</t>
        </is>
      </c>
      <c r="B5" s="5" t="inlineStr">
        <is>
          <t>Every person at IRIS, top down from the CEO, with the band HR proposes and the evidence behind it. You review it, weigh what matters for each role, assess each person, and the final proposed band updates itself.</t>
        </is>
      </c>
    </row>
    <row r="6" ht="31" customHeight="1">
      <c r="A6" s="4" t="inlineStr">
        <is>
          <t>1 · Read the row</t>
        </is>
      </c>
      <c r="B6" s="5" t="inlineStr">
        <is>
          <t>Core details, then what the employee and their manager told us. 'All their data ▸' opens everything we hold on the person in 3. Raw Data; '◂ Back' returns.</t>
        </is>
      </c>
    </row>
    <row r="7" ht="59" customHeight="1">
      <c r="A7" s="4" t="inlineStr">
        <is>
          <t>2 · Weightage · L / M / H</t>
        </is>
      </c>
      <c r="B7" s="5" t="inlineStr">
        <is>
          <t>How much each of the seven parameters counts for the role: Complexity &amp; Expertise, Autonomy &amp; Decision, Accountability &amp; Impact, Leadership &amp; Strategy, Business Impact, Experience, Education. It comes from 5. Department Ladder, which starts from the family's RB sheet. Change it there for a whole role, or type L, M or H on a person's row for that person only.</t>
        </is>
      </c>
    </row>
    <row r="8" ht="45" customHeight="1">
      <c r="A8" s="4" t="inlineStr">
        <is>
          <t>3 · Your assessment · L / M / H</t>
        </is>
      </c>
      <c r="B8" s="5" t="inlineStr">
        <is>
          <t>Against what the RB sheet describes for the HR proposed band: Medium = meets it, Low = works at the level below on that parameter, High = already works at the level above. Everything starts at Medium, so the final band equals HR's until you change something. 'What the data shows' gives our reading of the evidence to start from.</t>
        </is>
      </c>
    </row>
    <row r="9" ht="31" customHeight="1">
      <c r="A9" s="4" t="inlineStr">
        <is>
          <t>4 · The band moves live</t>
        </is>
      </c>
      <c r="B9" s="5" t="inlineStr">
        <is>
          <t>Weighted net = Σ weightage × assessment ÷ Σ weightage, from −1 to +1. At +0.5 or more the person moves one level up; at −0.5 or less one level down. Use the override for any other band, and say why in your comment.</t>
        </is>
      </c>
    </row>
    <row r="10" ht="45" customHeight="1">
      <c r="A10" s="4" t="inlineStr">
        <is>
          <t>5 · The manager check</t>
        </is>
      </c>
      <c r="B10" s="5" t="inlineStr">
        <is>
          <t>Shown live on every row: under a head at C1 or above a reportee sits in a lower band; below C1 a reportee sits at least one level below the manager; CEO with CXOs is the agreed exception. A ⚠ means your change breaks it — adjust the person or their manager.</t>
        </is>
      </c>
    </row>
    <row r="11" ht="31" customHeight="1">
      <c r="A11" s="4" t="inlineStr">
        <is>
          <t>Market benchmark</t>
        </is>
      </c>
      <c r="B11" s="5" t="inlineStr">
        <is>
          <t>Each row shows the market weight of each parameter for the role group, the market experience range, the education and span norms and the market codes — sheet 4 has every source.</t>
        </is>
      </c>
    </row>
    <row r="12" ht="45" customHeight="1">
      <c r="A12" s="4" t="inlineStr">
        <is>
          <t>HR proposed band</t>
        </is>
      </c>
      <c r="B12" s="5" t="inlineStr">
        <is>
          <t>From the model · six ratings × market-derived weights and rules R1–R13 · then the top-down manager rule HR agreed on 12 October 2026: 68 people move down, pay and title protected for one cycle, 8 move up. Department and function heads sit in Executive Leadership · Business Head.</t>
        </is>
      </c>
    </row>
    <row r="13" ht="31" customHeight="1">
      <c r="A13" s="4" t="inlineStr">
        <is>
          <t>Input from benchmarking</t>
        </is>
      </c>
      <c r="B13" s="5" t="inlineStr">
        <is>
          <t>The same six ratings on the plain market-average weights, without IRIS's adjustments, rounded to a level, with the person's experience against the market range for it.</t>
        </is>
      </c>
    </row>
    <row r="14" ht="17" customHeight="1">
      <c r="A14" s="4" t="inlineStr">
        <is>
          <t>Colours</t>
        </is>
      </c>
      <c r="B14" s="5" t="inlineStr">
        <is>
          <t>Yellow = yours to edit · red = something missing · band colours on levels.</t>
        </is>
      </c>
    </row>
    <row r="15" ht="17" customHeight="1">
      <c r="A15" s="4" t="inlineStr">
        <is>
          <t>Privacy</t>
        </is>
      </c>
      <c r="B15" s="5" t="inlineStr">
        <is>
          <t>HR and business heads only. Survey content is shown against names by HR's decision. Pay is not in this file.</t>
        </is>
      </c>
    </row>
    <row r="17">
      <c r="A17" s="6" t="inlineStr">
        <is>
          <t>Sheets</t>
        </is>
      </c>
    </row>
    <row r="18">
      <c r="A18" s="7" t="inlineStr">
        <is>
          <t>1. How to use</t>
        </is>
      </c>
    </row>
    <row r="19">
      <c r="A19" s="7" t="inlineStr">
        <is>
          <t>2. Talent Mapping</t>
        </is>
      </c>
    </row>
    <row r="20">
      <c r="A20" s="7" t="inlineStr">
        <is>
          <t>3. Raw Data</t>
        </is>
      </c>
    </row>
    <row r="21">
      <c r="A21" s="7" t="inlineStr">
        <is>
          <t>4. Market Benchmark</t>
        </is>
      </c>
    </row>
    <row r="22">
      <c r="A22" s="7" t="inlineStr">
        <is>
          <t>5. Department Ladder</t>
        </is>
      </c>
    </row>
    <row r="23">
      <c r="A23" s="7" t="inlineStr">
        <is>
          <t>RB · Administration, Legal &amp; Se</t>
        </is>
      </c>
    </row>
    <row r="24">
      <c r="A24" s="7" t="inlineStr">
        <is>
          <t>RB · Business Analysis</t>
        </is>
      </c>
    </row>
    <row r="25">
      <c r="A25" s="7" t="inlineStr">
        <is>
          <t>RB · Consulting &amp; Professional</t>
        </is>
      </c>
    </row>
    <row r="26">
      <c r="A26" s="7" t="inlineStr">
        <is>
          <t>RB · Customer Success &amp; Support</t>
        </is>
      </c>
    </row>
    <row r="27">
      <c r="A27" s="7" t="inlineStr">
        <is>
          <t>RB · Data &amp; Analytics</t>
        </is>
      </c>
    </row>
    <row r="28">
      <c r="A28" s="7" t="inlineStr">
        <is>
          <t>RB · Data Operations &amp; Digitiza</t>
        </is>
      </c>
    </row>
    <row r="29">
      <c r="A29" s="7" t="inlineStr">
        <is>
          <t>RB · Design &amp; Creative</t>
        </is>
      </c>
    </row>
    <row r="30">
      <c r="A30" s="7" t="inlineStr">
        <is>
          <t>RB · Engineering &amp; Architecture</t>
        </is>
      </c>
    </row>
    <row r="31">
      <c r="A31" s="7" t="inlineStr">
        <is>
          <t>RB · Engineering &amp; Development</t>
        </is>
      </c>
    </row>
    <row r="32">
      <c r="A32" s="7" t="inlineStr">
        <is>
          <t>RB · Executive Leadership</t>
        </is>
      </c>
    </row>
    <row r="33">
      <c r="A33" s="7" t="inlineStr">
        <is>
          <t>RB · Finance &amp; Accounts</t>
        </is>
      </c>
    </row>
    <row r="34">
      <c r="A34" s="7" t="inlineStr">
        <is>
          <t>RB · Human Resources</t>
        </is>
      </c>
    </row>
    <row r="35">
      <c r="A35" s="7" t="inlineStr">
        <is>
          <t>RB · IT &amp; Infrastructure</t>
        </is>
      </c>
    </row>
    <row r="36">
      <c r="A36" s="7" t="inlineStr">
        <is>
          <t>RB · Marketing &amp; Communications</t>
        </is>
      </c>
    </row>
    <row r="37">
      <c r="A37" s="7" t="inlineStr">
        <is>
          <t>RB · Product Management</t>
        </is>
      </c>
    </row>
    <row r="38">
      <c r="A38" s="7" t="inlineStr">
        <is>
          <t>RB · Project &amp; Program Manageme</t>
        </is>
      </c>
    </row>
    <row r="39">
      <c r="A39" s="7" t="inlineStr">
        <is>
          <t>RB · Quality Assurance</t>
        </is>
      </c>
    </row>
    <row r="40">
      <c r="A40" s="7" t="inlineStr">
        <is>
          <t>RB · Sales &amp; Business Developme</t>
        </is>
      </c>
    </row>
    <row r="41">
      <c r="A41" s="7" t="inlineStr">
        <is>
          <t>RB · Solution Consulting &amp; Impl</t>
        </is>
      </c>
    </row>
    <row r="42">
      <c r="A42" s="7" t="inlineStr">
        <is>
          <t>RB · Unassigned</t>
        </is>
      </c>
    </row>
    <row r="43">
      <c r="A43" s="7" t="inlineStr">
        <is>
          <t>Backend Data</t>
        </is>
      </c>
    </row>
  </sheetData>
  <mergeCells count="12">
    <mergeCell ref="B8:H8"/>
    <mergeCell ref="B14:H14"/>
    <mergeCell ref="B9:H9"/>
    <mergeCell ref="B13:H13"/>
    <mergeCell ref="A2:H2"/>
    <mergeCell ref="B12:H12"/>
    <mergeCell ref="B6:H6"/>
    <mergeCell ref="B15:H15"/>
    <mergeCell ref="B7:H7"/>
    <mergeCell ref="B10:H10"/>
    <mergeCell ref="B11:H11"/>
    <mergeCell ref="B5:H5"/>
  </mergeCells>
  <hyperlinks>
    <hyperlink xmlns:r="http://schemas.openxmlformats.org/officeDocument/2006/relationships" ref="A18" r:id="rId1"/>
    <hyperlink xmlns:r="http://schemas.openxmlformats.org/officeDocument/2006/relationships" ref="A19" r:id="rId2"/>
    <hyperlink xmlns:r="http://schemas.openxmlformats.org/officeDocument/2006/relationships" ref="A20" r:id="rId3"/>
    <hyperlink xmlns:r="http://schemas.openxmlformats.org/officeDocument/2006/relationships" ref="A21" r:id="rId4"/>
    <hyperlink xmlns:r="http://schemas.openxmlformats.org/officeDocument/2006/relationships" ref="A22" r:id="rId5"/>
    <hyperlink xmlns:r="http://schemas.openxmlformats.org/officeDocument/2006/relationships" ref="A23" r:id="rId6"/>
    <hyperlink xmlns:r="http://schemas.openxmlformats.org/officeDocument/2006/relationships" ref="A24" r:id="rId7"/>
    <hyperlink xmlns:r="http://schemas.openxmlformats.org/officeDocument/2006/relationships" ref="A25" r:id="rId8"/>
    <hyperlink xmlns:r="http://schemas.openxmlformats.org/officeDocument/2006/relationships" ref="A26" r:id="rId9"/>
    <hyperlink xmlns:r="http://schemas.openxmlformats.org/officeDocument/2006/relationships" ref="A27" r:id="rId10"/>
    <hyperlink xmlns:r="http://schemas.openxmlformats.org/officeDocument/2006/relationships" ref="A28" r:id="rId11"/>
    <hyperlink xmlns:r="http://schemas.openxmlformats.org/officeDocument/2006/relationships" ref="A29" r:id="rId12"/>
    <hyperlink xmlns:r="http://schemas.openxmlformats.org/officeDocument/2006/relationships" ref="A30" r:id="rId13"/>
    <hyperlink xmlns:r="http://schemas.openxmlformats.org/officeDocument/2006/relationships" ref="A31" r:id="rId14"/>
    <hyperlink xmlns:r="http://schemas.openxmlformats.org/officeDocument/2006/relationships" ref="A32" r:id="rId15"/>
    <hyperlink xmlns:r="http://schemas.openxmlformats.org/officeDocument/2006/relationships" ref="A33" r:id="rId16"/>
    <hyperlink xmlns:r="http://schemas.openxmlformats.org/officeDocument/2006/relationships" ref="A34" r:id="rId17"/>
    <hyperlink xmlns:r="http://schemas.openxmlformats.org/officeDocument/2006/relationships" ref="A35" r:id="rId18"/>
    <hyperlink xmlns:r="http://schemas.openxmlformats.org/officeDocument/2006/relationships" ref="A36" r:id="rId19"/>
    <hyperlink xmlns:r="http://schemas.openxmlformats.org/officeDocument/2006/relationships" ref="A37" r:id="rId20"/>
    <hyperlink xmlns:r="http://schemas.openxmlformats.org/officeDocument/2006/relationships" ref="A38" r:id="rId21"/>
    <hyperlink xmlns:r="http://schemas.openxmlformats.org/officeDocument/2006/relationships" ref="A39" r:id="rId22"/>
    <hyperlink xmlns:r="http://schemas.openxmlformats.org/officeDocument/2006/relationships" ref="A40" r:id="rId23"/>
    <hyperlink xmlns:r="http://schemas.openxmlformats.org/officeDocument/2006/relationships" ref="A41" r:id="rId24"/>
    <hyperlink xmlns:r="http://schemas.openxmlformats.org/officeDocument/2006/relationships" ref="A42" r:id="rId25"/>
    <hyperlink xmlns:r="http://schemas.openxmlformats.org/officeDocument/2006/relationships" ref="A43"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9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7" customWidth="1" min="3" max="3"/>
    <col width="12" customWidth="1" min="4" max="4"/>
    <col width="22" customWidth="1" min="5" max="5"/>
    <col width="24" customWidth="1" min="6" max="6"/>
    <col width="26" customWidth="1" min="7" max="7"/>
    <col width="20" customWidth="1" min="8" max="8"/>
    <col width="22" customWidth="1" min="9" max="9"/>
    <col width="12" customWidth="1" min="10" max="10"/>
    <col width="10" customWidth="1" min="11" max="11"/>
    <col width="20" customWidth="1" min="12" max="12"/>
    <col width="12" customWidth="1" min="13" max="13"/>
    <col width="8" customWidth="1" min="14" max="14"/>
    <col width="8" customWidth="1" min="15" max="15"/>
    <col width="16" customWidth="1" min="16" max="16"/>
    <col width="9" customWidth="1" min="17" max="17"/>
    <col width="9" customWidth="1" min="18" max="18"/>
    <col width="9" customWidth="1" min="19" max="19"/>
    <col width="48" customWidth="1" min="20" max="20"/>
    <col width="48" customWidth="1" min="21" max="21"/>
    <col width="26" customWidth="1" min="22" max="22"/>
    <col width="34" customWidth="1" min="23" max="23"/>
    <col width="12"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12" customWidth="1" min="46" max="46"/>
    <col width="24" customWidth="1" min="47" max="47"/>
    <col width="20" customWidth="1" min="48" max="48"/>
    <col width="16" customWidth="1" min="49" max="49"/>
    <col width="30" customWidth="1" min="50" max="50"/>
    <col width="10" customWidth="1" min="51" max="51"/>
    <col width="26" customWidth="1" min="52" max="52"/>
    <col width="40" customWidth="1" min="53" max="53"/>
    <col width="10" customWidth="1" min="54" max="54"/>
    <col width="40" customWidth="1" min="55" max="55"/>
    <col width="10" customWidth="1" min="56" max="56"/>
    <col width="11" customWidth="1" min="57" max="57"/>
    <col width="11" customWidth="1" min="58" max="58"/>
    <col width="11" customWidth="1" min="59" max="59"/>
    <col width="16" customWidth="1" min="60" max="60"/>
    <col width="14" customWidth="1" min="61" max="61"/>
    <col width="11" customWidth="1" min="62" max="62"/>
    <col width="22" customWidth="1" min="63" max="63"/>
    <col width="30" customWidth="1" min="64" max="64"/>
    <col hidden="1" width="6" customWidth="1" min="65" max="65"/>
    <col hidden="1" width="6" customWidth="1" min="66" max="66"/>
    <col hidden="1" width="6" customWidth="1" min="67" max="67"/>
    <col hidden="1" width="6" customWidth="1" min="68" max="68"/>
    <col hidden="1" width="6" customWidth="1" min="69" max="69"/>
    <col hidden="1" width="6" customWidth="1" min="70" max="70"/>
    <col hidden="1" width="6" customWidth="1" min="71" max="71"/>
    <col hidden="1" width="6" customWidth="1" min="72" max="72"/>
    <col hidden="1" width="6" customWidth="1" min="73" max="73"/>
    <col hidden="1" width="6" customWidth="1" min="74" max="74"/>
    <col hidden="1" width="6" customWidth="1" min="75" max="75"/>
    <col hidden="1" width="6" customWidth="1" min="76" max="76"/>
    <col hidden="1" width="6" customWidth="1" min="77" max="77"/>
    <col hidden="1" width="6" customWidth="1" min="78" max="78"/>
    <col hidden="1" width="30" customWidth="1" min="79" max="79"/>
  </cols>
  <sheetData>
    <row r="1" ht="24" customHeight="1">
      <c r="A1" s="1" t="inlineStr">
        <is>
          <t>Talent Mapping — business heads: review, weigh and propose the band</t>
        </is>
      </c>
      <c r="Q1" s="7" t="inlineStr">
        <is>
          <t>◂ Start</t>
        </is>
      </c>
    </row>
    <row r="2" ht="30" customHeight="1">
      <c r="A2" s="2" t="inlineStr">
        <is>
          <t>Sheet 2 · One row per person, top down from the CEO. Read left to right: who → what they and their manager told us, with a link to all their data → how much each parameter counts · L/M/H → your assessment against the band · L/M/H → the market benchmark → HR's proposed band → what benchmarking says → the final proposed band, which updates the moment you change any L, M or H. Yellow = yours to edit.</t>
        </is>
      </c>
    </row>
    <row r="3">
      <c r="A3" s="3" t="inlineStr">
        <is>
          <t>IRIS · Job Architecture &amp; Job Design · Final v1.14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CORE EMPLOYEE DETAILS</t>
        </is>
      </c>
      <c r="B5" s="6" t="n"/>
      <c r="C5" s="6" t="n"/>
      <c r="D5" s="6" t="n"/>
      <c r="E5" s="6" t="n"/>
      <c r="F5" s="6" t="n"/>
      <c r="G5" s="6" t="n"/>
      <c r="H5" s="6" t="n"/>
      <c r="I5" s="6" t="n"/>
      <c r="J5" s="6" t="n"/>
      <c r="K5" s="6" t="n"/>
      <c r="L5" s="6" t="n"/>
      <c r="M5" s="6" t="n"/>
      <c r="N5" s="6" t="n"/>
      <c r="O5" s="6" t="n"/>
      <c r="P5" s="6" t="n"/>
      <c r="Q5" s="6" t="n"/>
      <c r="R5" s="6" t="n"/>
      <c r="S5" s="17" t="inlineStr">
        <is>
          <t>SUMMARY OF RESPONSES RECEIVED — full detail in 3. Raw Data</t>
        </is>
      </c>
      <c r="T5" s="17" t="n"/>
      <c r="U5" s="17" t="n"/>
      <c r="V5" s="17" t="n"/>
      <c r="W5" s="17" t="n"/>
      <c r="X5" s="17" t="n"/>
      <c r="Y5" s="18" t="inlineStr">
        <is>
          <t>WEIGHTAGE · L / M / H — from 5. Department Ladder; overwrite for this person</t>
        </is>
      </c>
      <c r="Z5" s="18" t="n"/>
      <c r="AA5" s="18" t="n"/>
      <c r="AB5" s="18" t="n"/>
      <c r="AC5" s="18" t="n"/>
      <c r="AD5" s="18" t="n"/>
      <c r="AE5" s="18" t="n"/>
      <c r="AF5" s="19" t="inlineStr">
        <is>
          <t>YOUR ASSESSMENT · L / M / H against the band — Medium = meets it</t>
        </is>
      </c>
      <c r="AG5" s="19" t="n"/>
      <c r="AH5" s="19" t="n"/>
      <c r="AI5" s="19" t="n"/>
      <c r="AJ5" s="19" t="n"/>
      <c r="AK5" s="19" t="n"/>
      <c r="AL5" s="19" t="n"/>
      <c r="AM5" s="20" t="inlineStr">
        <is>
          <t>MARKET BENCHMARK — this role group at the HR proposed level</t>
        </is>
      </c>
      <c r="AN5" s="20" t="n"/>
      <c r="AO5" s="20" t="n"/>
      <c r="AP5" s="20" t="n"/>
      <c r="AQ5" s="20" t="n"/>
      <c r="AR5" s="20" t="n"/>
      <c r="AS5" s="20" t="n"/>
      <c r="AT5" s="20" t="n"/>
      <c r="AU5" s="20" t="n"/>
      <c r="AV5" s="20" t="n"/>
      <c r="AW5" s="20" t="n"/>
      <c r="AX5" s="20" t="n"/>
      <c r="AY5" s="19" t="inlineStr">
        <is>
          <t>PROPOSAL</t>
        </is>
      </c>
      <c r="AZ5" s="19" t="n"/>
      <c r="BA5" s="19" t="n"/>
      <c r="BB5" s="19" t="n"/>
      <c r="BC5" s="19" t="n"/>
      <c r="BD5" s="19" t="n"/>
      <c r="BE5" s="19" t="n"/>
      <c r="BF5" s="19" t="n"/>
      <c r="BG5" s="19" t="n"/>
      <c r="BH5" s="19" t="n"/>
      <c r="BI5" s="19" t="n"/>
      <c r="BJ5" s="19" t="n"/>
      <c r="BK5" s="19" t="n"/>
      <c r="BL5" s="19" t="n"/>
      <c r="BM5" s="21" t="inlineStr">
        <is>
          <t>ENGINE — points and steps, live</t>
        </is>
      </c>
      <c r="BN5" s="21" t="n"/>
      <c r="BO5" s="21" t="n"/>
      <c r="BP5" s="21" t="n"/>
      <c r="BQ5" s="21" t="n"/>
      <c r="BR5" s="21" t="n"/>
      <c r="BS5" s="21" t="n"/>
      <c r="BT5" s="21" t="n"/>
      <c r="BU5" s="21" t="n"/>
      <c r="BV5" s="21" t="n"/>
      <c r="BW5" s="21" t="n"/>
      <c r="BX5" s="21" t="n"/>
      <c r="BY5" s="21" t="n"/>
      <c r="BZ5" s="21" t="n"/>
      <c r="CA5" s="21" t="n"/>
    </row>
    <row r="6" ht="60" customHeight="1">
      <c r="A6" s="22" t="inlineStr">
        <is>
          <t>Business</t>
        </is>
      </c>
      <c r="B6" s="22" t="inlineStr">
        <is>
          <t>Department</t>
        </is>
      </c>
      <c r="C6" s="22" t="inlineStr">
        <is>
          <t>Layer from the CEO</t>
        </is>
      </c>
      <c r="D6" s="22" t="inlineStr">
        <is>
          <t>Emp ID</t>
        </is>
      </c>
      <c r="E6" s="22" t="inlineStr">
        <is>
          <t>Employee name</t>
        </is>
      </c>
      <c r="F6" s="22" t="inlineStr">
        <is>
          <t>Current designation</t>
        </is>
      </c>
      <c r="G6" s="22" t="inlineStr">
        <is>
          <t>Proposed designation</t>
        </is>
      </c>
      <c r="H6" s="22" t="inlineStr">
        <is>
          <t>Job family · v1.14</t>
        </is>
      </c>
      <c r="I6" s="22" t="inlineStr">
        <is>
          <t>Sub-family</t>
        </is>
      </c>
      <c r="J6" s="22" t="inlineStr">
        <is>
          <t>Track</t>
        </is>
      </c>
      <c r="K6" s="22" t="inlineStr">
        <is>
          <t>Role ID</t>
        </is>
      </c>
      <c r="L6" s="22" t="inlineStr">
        <is>
          <t>Reporting manager</t>
        </is>
      </c>
      <c r="M6" s="22" t="inlineStr">
        <is>
          <t>Manager Emp ID</t>
        </is>
      </c>
      <c r="N6" s="22" t="inlineStr">
        <is>
          <t>Total exp. · yrs</t>
        </is>
      </c>
      <c r="O6" s="22" t="inlineStr">
        <is>
          <t>Exp. at IRIS · yrs</t>
        </is>
      </c>
      <c r="P6" s="22" t="inlineStr">
        <is>
          <t>Qualification</t>
        </is>
      </c>
      <c r="Q6" s="22" t="inlineStr">
        <is>
          <t>Current level · as is</t>
        </is>
      </c>
      <c r="R6" s="22" t="inlineStr">
        <is>
          <t>Model level · v1.13</t>
        </is>
      </c>
      <c r="S6" s="23" t="inlineStr">
        <is>
          <t>Survey · questions answered</t>
        </is>
      </c>
      <c r="T6" s="23" t="inlineStr">
        <is>
          <t>What they shared · summary</t>
        </is>
      </c>
      <c r="U6" s="23" t="inlineStr">
        <is>
          <t>KRAs received · summary</t>
        </is>
      </c>
      <c r="V6" s="23" t="inlineStr">
        <is>
          <t>Manager talent mapping · rating · potential · 9-box · readiness</t>
        </is>
      </c>
      <c r="W6" s="23" t="inlineStr">
        <is>
          <t>What the data shows · vs HR proposed band</t>
        </is>
      </c>
      <c r="X6" s="23" t="inlineStr">
        <is>
          <t>All their data ▸</t>
        </is>
      </c>
      <c r="Y6" s="24" t="inlineStr">
        <is>
          <t>Complexity &amp; Expertise · weightage</t>
        </is>
      </c>
      <c r="Z6" s="24" t="inlineStr">
        <is>
          <t>Autonomy &amp; Decision · weightage</t>
        </is>
      </c>
      <c r="AA6" s="24" t="inlineStr">
        <is>
          <t>Accountability &amp; Impact · weightage</t>
        </is>
      </c>
      <c r="AB6" s="24" t="inlineStr">
        <is>
          <t>Leadership &amp; Strategy · weightage</t>
        </is>
      </c>
      <c r="AC6" s="24" t="inlineStr">
        <is>
          <t>Business Impact · weightage</t>
        </is>
      </c>
      <c r="AD6" s="24" t="inlineStr">
        <is>
          <t>Experience · weightage</t>
        </is>
      </c>
      <c r="AE6" s="24" t="inlineStr">
        <is>
          <t>Education · weightage</t>
        </is>
      </c>
      <c r="AF6" s="25" t="inlineStr">
        <is>
          <t>Complexity &amp; Expertise · assessment</t>
        </is>
      </c>
      <c r="AG6" s="25" t="inlineStr">
        <is>
          <t>Autonomy &amp; Decision · assessment</t>
        </is>
      </c>
      <c r="AH6" s="25" t="inlineStr">
        <is>
          <t>Accountability &amp; Impact · assessment</t>
        </is>
      </c>
      <c r="AI6" s="25" t="inlineStr">
        <is>
          <t>Leadership &amp; Strategy · assessment</t>
        </is>
      </c>
      <c r="AJ6" s="25" t="inlineStr">
        <is>
          <t>Business Impact · assessment</t>
        </is>
      </c>
      <c r="AK6" s="25" t="inlineStr">
        <is>
          <t>Experience · assessment</t>
        </is>
      </c>
      <c r="AL6" s="25" t="inlineStr">
        <is>
          <t>Education · assessment</t>
        </is>
      </c>
      <c r="AM6" s="26" t="inlineStr">
        <is>
          <t>Market weight · Complexity &amp; Expertise %</t>
        </is>
      </c>
      <c r="AN6" s="26" t="inlineStr">
        <is>
          <t>Market weight · Autonomy &amp; Decision %</t>
        </is>
      </c>
      <c r="AO6" s="26" t="inlineStr">
        <is>
          <t>Market weight · Accountability &amp; Impact %</t>
        </is>
      </c>
      <c r="AP6" s="26" t="inlineStr">
        <is>
          <t>Market weight · Leadership &amp; Strategy %</t>
        </is>
      </c>
      <c r="AQ6" s="26" t="inlineStr">
        <is>
          <t>Market weight · Business Impact %</t>
        </is>
      </c>
      <c r="AR6" s="26" t="inlineStr">
        <is>
          <t>Market weight · Experience %</t>
        </is>
      </c>
      <c r="AS6" s="26" t="inlineStr">
        <is>
          <t>Market weight · Education %</t>
        </is>
      </c>
      <c r="AT6" s="26" t="inlineStr">
        <is>
          <t>Market experience · yrs</t>
        </is>
      </c>
      <c r="AU6" s="26" t="inlineStr">
        <is>
          <t>Education norm</t>
        </is>
      </c>
      <c r="AV6" s="26" t="inlineStr">
        <is>
          <t>Span norm</t>
        </is>
      </c>
      <c r="AW6" s="26" t="inlineStr">
        <is>
          <t>Radford / Mercer · SFIA 9</t>
        </is>
      </c>
      <c r="AX6" s="26" t="inlineStr">
        <is>
          <t>References</t>
        </is>
      </c>
      <c r="AY6" s="25" t="inlineStr">
        <is>
          <t>HR proposed band · market benchmark and people inputs</t>
        </is>
      </c>
      <c r="AZ6" s="25" t="inlineStr">
        <is>
          <t>HR proposed · band and title</t>
        </is>
      </c>
      <c r="BA6" s="25" t="inlineStr">
        <is>
          <t>How HR set it</t>
        </is>
      </c>
      <c r="BB6" s="25" t="inlineStr">
        <is>
          <t>Input from benchmarking</t>
        </is>
      </c>
      <c r="BC6" s="25" t="inlineStr">
        <is>
          <t>Benchmarking · how</t>
        </is>
      </c>
      <c r="BD6" s="25" t="inlineStr">
        <is>
          <t>Weighted net · −1 to +1, live</t>
        </is>
      </c>
      <c r="BE6" s="25" t="inlineStr">
        <is>
          <t>Final proposed band · business inputs, live</t>
        </is>
      </c>
      <c r="BF6" s="25" t="inlineStr">
        <is>
          <t>Business head override · optional</t>
        </is>
      </c>
      <c r="BG6" s="25" t="inlineStr">
        <is>
          <t>FINAL PROPOSED BAND</t>
        </is>
      </c>
      <c r="BH6" s="25" t="inlineStr">
        <is>
          <t>Band</t>
        </is>
      </c>
      <c r="BI6" s="25" t="inlineStr">
        <is>
          <t>Move vs HR proposed</t>
        </is>
      </c>
      <c r="BJ6" s="25" t="inlineStr">
        <is>
          <t>Manager's final proposed band</t>
        </is>
      </c>
      <c r="BK6" s="25" t="inlineStr">
        <is>
          <t>Manager rule check · live</t>
        </is>
      </c>
      <c r="BL6" s="25" t="inlineStr">
        <is>
          <t>Business head comment</t>
        </is>
      </c>
      <c r="BM6" s="27" t="inlineStr">
        <is>
          <t>C points</t>
        </is>
      </c>
      <c r="BN6" s="27" t="inlineStr">
        <is>
          <t>Au points</t>
        </is>
      </c>
      <c r="BO6" s="27" t="inlineStr">
        <is>
          <t>Ac points</t>
        </is>
      </c>
      <c r="BP6" s="27" t="inlineStr">
        <is>
          <t>L points</t>
        </is>
      </c>
      <c r="BQ6" s="27" t="inlineStr">
        <is>
          <t>BI points</t>
        </is>
      </c>
      <c r="BR6" s="27" t="inlineStr">
        <is>
          <t>Exp points</t>
        </is>
      </c>
      <c r="BS6" s="27" t="inlineStr">
        <is>
          <t>Edu points</t>
        </is>
      </c>
      <c r="BT6" s="27" t="inlineStr">
        <is>
          <t>C step</t>
        </is>
      </c>
      <c r="BU6" s="27" t="inlineStr">
        <is>
          <t>Au step</t>
        </is>
      </c>
      <c r="BV6" s="27" t="inlineStr">
        <is>
          <t>Ac step</t>
        </is>
      </c>
      <c r="BW6" s="27" t="inlineStr">
        <is>
          <t>L step</t>
        </is>
      </c>
      <c r="BX6" s="27" t="inlineStr">
        <is>
          <t>BI step</t>
        </is>
      </c>
      <c r="BY6" s="27" t="inlineStr">
        <is>
          <t>Exp step</t>
        </is>
      </c>
      <c r="BZ6" s="27" t="inlineStr">
        <is>
          <t>Edu step</t>
        </is>
      </c>
      <c r="CA6" s="27" t="inlineStr">
        <is>
          <t>Ladder key</t>
        </is>
      </c>
    </row>
    <row r="7" ht="110" customHeight="1">
      <c r="A7" s="28" t="inlineStr">
        <is>
          <t>Corporate</t>
        </is>
      </c>
      <c r="B7" s="29" t="inlineStr">
        <is>
          <t>Management</t>
        </is>
      </c>
      <c r="C7" s="29" t="n">
        <v>0</v>
      </c>
      <c r="D7" s="29" t="inlineStr">
        <is>
          <t>IRIS0001</t>
        </is>
      </c>
      <c r="E7" s="29" t="inlineStr">
        <is>
          <t>Balachandran K</t>
        </is>
      </c>
      <c r="F7" s="29" t="inlineStr">
        <is>
          <t>CEO</t>
        </is>
      </c>
      <c r="G7" s="29" t="inlineStr">
        <is>
          <t>Chief Executive Officer</t>
        </is>
      </c>
      <c r="H7" s="29" t="inlineStr">
        <is>
          <t>Executive Leadership</t>
        </is>
      </c>
      <c r="I7" s="29" t="inlineStr">
        <is>
          <t>Business Head</t>
        </is>
      </c>
      <c r="J7" s="29" t="inlineStr">
        <is>
          <t>People Manager</t>
        </is>
      </c>
      <c r="K7" s="29" t="inlineStr">
        <is>
          <t>RC-EL-BH-E2</t>
        </is>
      </c>
      <c r="L7" s="29" t="inlineStr">
        <is>
          <t>— · top of the organisation</t>
        </is>
      </c>
      <c r="M7" s="29" t="inlineStr">
        <is>
          <t>Not in this file</t>
        </is>
      </c>
      <c r="N7" s="29" t="n">
        <v>32.1</v>
      </c>
      <c r="O7" s="29" t="n">
        <v>22.1</v>
      </c>
      <c r="P7" s="29" t="inlineStr">
        <is>
          <t>MBA</t>
        </is>
      </c>
      <c r="Q7" s="29" t="inlineStr">
        <is>
          <t>Not in current mapping files</t>
        </is>
      </c>
      <c r="R7" s="29" t="inlineStr">
        <is>
          <t>E2</t>
        </is>
      </c>
      <c r="S7" s="30" t="inlineStr">
        <is>
          <t>0 of 20</t>
        </is>
      </c>
      <c r="T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7" s="32" t="inlineStr">
        <is>
          <t>KRAs not received · manager to supply</t>
        </is>
      </c>
      <c r="V7" s="31" t="inlineStr">
        <is>
          <t>Latest rating: Not rated · manager · 9-box: Not placed · manager · Readiness: No rating data</t>
        </is>
      </c>
      <c r="W7" s="31" t="inlineStr">
        <is>
          <t>C M · Au M · Ac M · L M · BI M · Exp M · 32.1 yrs vs 20+ yrs · Edu M · MBA</t>
        </is>
      </c>
      <c r="X7" s="33" t="inlineStr">
        <is>
          <t>Open ▸</t>
        </is>
      </c>
      <c r="Y7" s="34" t="str">
        <f>IFERROR(INDEX(DL_C,MATCH($CA7,DL_KEY,0)),"M")</f>
        <v>H</v>
      </c>
      <c r="Z7" s="35" t="str">
        <f>IFERROR(INDEX(DL_Au,MATCH($CA7,DL_KEY,0)),"M")</f>
        <v>M</v>
      </c>
      <c r="AA7" s="35" t="str">
        <f>IFERROR(INDEX(DL_Ac,MATCH($CA7,DL_KEY,0)),"M")</f>
        <v>M</v>
      </c>
      <c r="AB7" s="35" t="str">
        <f>IFERROR(INDEX(DL_L,MATCH($CA7,DL_KEY,0)),"M")</f>
        <v>M</v>
      </c>
      <c r="AC7" s="35" t="str">
        <f>IFERROR(INDEX(DL_BI,MATCH($CA7,DL_KEY,0)),"M")</f>
        <v>L</v>
      </c>
      <c r="AD7" s="35" t="str">
        <f>IFERROR(INDEX(DL_Exp,MATCH($CA7,DL_KEY,0)),"M")</f>
        <v>L</v>
      </c>
      <c r="AE7" s="35" t="str">
        <f>IFERROR(INDEX(DL_Edu,MATCH($CA7,DL_KEY,0)),"M")</f>
        <v>L</v>
      </c>
      <c r="AF7" s="34" t="inlineStr">
        <is>
          <t>M</t>
        </is>
      </c>
      <c r="AG7" s="35" t="inlineStr">
        <is>
          <t>M</t>
        </is>
      </c>
      <c r="AH7" s="35" t="inlineStr">
        <is>
          <t>M</t>
        </is>
      </c>
      <c r="AI7" s="35" t="inlineStr">
        <is>
          <t>M</t>
        </is>
      </c>
      <c r="AJ7" s="35" t="inlineStr">
        <is>
          <t>M</t>
        </is>
      </c>
      <c r="AK7" s="35" t="inlineStr">
        <is>
          <t>M</t>
        </is>
      </c>
      <c r="AL7" s="35" t="inlineStr">
        <is>
          <t>M</t>
        </is>
      </c>
      <c r="AM7" s="36" t="n">
        <v>0.363</v>
      </c>
      <c r="AN7" s="37" t="n">
        <v>0.19</v>
      </c>
      <c r="AO7" s="37" t="n">
        <v>0.113</v>
      </c>
      <c r="AP7" s="37" t="n">
        <v>0.2</v>
      </c>
      <c r="AQ7" s="37" t="n">
        <v>0.08699999999999999</v>
      </c>
      <c r="AR7" s="37" t="n">
        <v>0.04</v>
      </c>
      <c r="AS7" s="37" t="n">
        <v>0.01</v>
      </c>
      <c r="AT7" s="38" t="inlineStr">
        <is>
          <t>20+ yrs</t>
        </is>
      </c>
      <c r="AU7" s="38" t="inlineStr">
        <is>
          <t>Postgraduate / professional qualification; proven business leadership</t>
        </is>
      </c>
      <c r="AV7" s="38" t="inlineStr">
        <is>
          <t>Executive team</t>
        </is>
      </c>
      <c r="AW7" s="38" t="inlineStr">
        <is>
          <t>E6 · SFIA 7</t>
        </is>
      </c>
      <c r="AX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 s="39" t="inlineStr">
        <is>
          <t>E2</t>
        </is>
      </c>
      <c r="AZ7" s="40" t="inlineStr">
        <is>
          <t>Band E · Enterprise leadership · Chief Executive Officer</t>
        </is>
      </c>
      <c r="BA7" s="40" t="inlineStr">
        <is>
          <t>Model E2 from the six ratings, the market-derived weights and rules R1–R13 · then Top of the reporting line</t>
        </is>
      </c>
      <c r="BB7" s="41" t="inlineStr">
        <is>
          <t>E2</t>
        </is>
      </c>
      <c r="BC7" s="40" t="inlineStr">
        <is>
          <t>The six ratings on the market-average weights of Bands D–E · Leadership score 12.00 → E2 · Hay, Mercer IPE and public plans · experience 32.1 yrs vs the E2 market range 20+ yrs</t>
        </is>
      </c>
      <c r="BD7" s="42">
        <f>IF(SUM(BM7,BN7,BO7,BP7,BQ7,BR7,BS7)=0,0,(BM7*BT7+BN7*BU7+BO7*BV7+BP7*BW7+BQ7*BX7+BR7*BY7+BS7*BZ7)/SUM(BM7,BN7,BO7,BP7,BQ7,BR7,BS7))</f>
        <v>0</v>
      </c>
      <c r="BE7" s="41" t="str">
        <f>IF(LEFT(AY7,1)="X",AY7,IF(OR(AY7="B+",AY7="C+"),INDEX(LAD_PC,MAX(1,MIN(14,MATCH(AY7,LAD_PC,0)+IF(BD7&gt;=0.5,1,IF(BD7&lt;=-0.5,-1,0))))),INDEX(LAD_STD,MAX(1,MIN(12,MATCH(AY7,LAD_STD,0)+IF(BD7&gt;=0.5,1,IF(BD7&lt;=-0.5,-1,0)))))))</f>
        <v>E2</v>
      </c>
      <c r="BF7" s="43" t="n"/>
      <c r="BG7" s="41" t="str">
        <f>IF(BF7&lt;&gt;"",BF7,BE7)</f>
        <v>E2</v>
      </c>
      <c r="BH7" s="40" t="str">
        <f>IFERROR(CHOOSE(INDEX(B_RANK,MATCH(BG7,B_LVL,0)),"Band A","Band B","B+ · Player-Coach","Band C","C+ · Player-Coach","Band D","Band E"),"Band X · Consultant")</f>
        <v>Band E</v>
      </c>
      <c r="BI7" s="40" t="str">
        <f>IF(BG7=AY7,"• Same",IF(INDEX(B_VAL,MATCH(BG7,B_LVL,0))&gt;INDEX(B_VAL,MATCH(AY7,B_LVL,0)),"▲ Up","▼ Down"))</f>
        <v>• Same</v>
      </c>
      <c r="BJ7" s="40" t="str">
        <f>IF(OR($M7="",$M7="—",$M7="Not in this file"),"",IFERROR(INDEX($BG$7:$BG$592,MATCH($M7,$D$7:$D$592,0)),""))</f>
        <v/>
      </c>
      <c r="BK7" s="40" t="str">
        <f>IFERROR(IF(BJ7="","—",IF(OR(LEFT(BG7,1)="X",LEFT(BJ7,1)="X"),"—",IF(AND(LEFT(BG7,1)="E",LEFT(BJ7,1)="E"),"Exception · Band E",IF(AND(INDEX(B_VAL,MATCH(BJ7,B_LVL,0))&gt;=7,INDEX(B_RANK,MATCH(BG7,B_LVL,0))&gt;=INDEX(B_RANK,MATCH(BJ7,B_LVL,0))),"⚠ Same band as a head manager",IF(INDEX(B_VAL,MATCH(BG7,B_LVL,0))&gt;=INDEX(B_VAL,MATCH(BJ7,B_LVL,0)),"⚠ At or above the manager's level","OK"))))),"—")</f>
        <v>—</v>
      </c>
      <c r="BL7" s="43" t="n"/>
      <c r="BM7" s="44">
        <f>IFERROR(INDEX(LMH_PTS,MATCH(Y7,LMH_KEY,0)),0)</f>
        <v>9</v>
      </c>
      <c r="BN7" s="38">
        <f>IFERROR(INDEX(LMH_PTS,MATCH(Z7,LMH_KEY,0)),0)</f>
        <v>3</v>
      </c>
      <c r="BO7" s="38">
        <f>IFERROR(INDEX(LMH_PTS,MATCH(AA7,LMH_KEY,0)),0)</f>
        <v>3</v>
      </c>
      <c r="BP7" s="38">
        <f>IFERROR(INDEX(LMH_PTS,MATCH(AB7,LMH_KEY,0)),0)</f>
        <v>3</v>
      </c>
      <c r="BQ7" s="38">
        <f>IFERROR(INDEX(LMH_PTS,MATCH(AC7,LMH_KEY,0)),0)</f>
        <v>1</v>
      </c>
      <c r="BR7" s="38">
        <f>IFERROR(INDEX(LMH_PTS,MATCH(AD7,LMH_KEY,0)),0)</f>
        <v>1</v>
      </c>
      <c r="BS7" s="38">
        <f>IFERROR(INDEX(LMH_PTS,MATCH(AE7,LMH_KEY,0)),0)</f>
        <v>1</v>
      </c>
      <c r="BT7" s="38">
        <f>IFERROR(INDEX(LMH_STEP,MATCH(AF7,LMH_KEY,0)),0)</f>
        <v>0</v>
      </c>
      <c r="BU7" s="38">
        <f>IFERROR(INDEX(LMH_STEP,MATCH(AG7,LMH_KEY,0)),0)</f>
        <v>0</v>
      </c>
      <c r="BV7" s="38">
        <f>IFERROR(INDEX(LMH_STEP,MATCH(AH7,LMH_KEY,0)),0)</f>
        <v>0</v>
      </c>
      <c r="BW7" s="38">
        <f>IFERROR(INDEX(LMH_STEP,MATCH(AI7,LMH_KEY,0)),0)</f>
        <v>0</v>
      </c>
      <c r="BX7" s="38">
        <f>IFERROR(INDEX(LMH_STEP,MATCH(AJ7,LMH_KEY,0)),0)</f>
        <v>0</v>
      </c>
      <c r="BY7" s="38">
        <f>IFERROR(INDEX(LMH_STEP,MATCH(AK7,LMH_KEY,0)),0)</f>
        <v>0</v>
      </c>
      <c r="BZ7" s="38">
        <f>IFERROR(INDEX(LMH_STEP,MATCH(AL7,LMH_KEY,0)),0)</f>
        <v>0</v>
      </c>
      <c r="CA7" s="38" t="inlineStr">
        <is>
          <t>Corporate|Management|Chief Executive Officer|E2|DE</t>
        </is>
      </c>
    </row>
    <row r="8" ht="110" customHeight="1">
      <c r="A8" s="28" t="inlineStr">
        <is>
          <t>CARBON</t>
        </is>
      </c>
      <c r="B8" s="29" t="inlineStr">
        <is>
          <t>CRO - Carbon</t>
        </is>
      </c>
      <c r="C8" s="29" t="n">
        <v>1</v>
      </c>
      <c r="D8" s="29" t="inlineStr">
        <is>
          <t>IRIS2478</t>
        </is>
      </c>
      <c r="E8" s="29" t="inlineStr">
        <is>
          <t>Dixit Jasani</t>
        </is>
      </c>
      <c r="F8" s="29" t="inlineStr">
        <is>
          <t>Chief Revenue Officer- Enterprise Division</t>
        </is>
      </c>
      <c r="G8" s="29" t="inlineStr">
        <is>
          <t>Chief Revenue Officer</t>
        </is>
      </c>
      <c r="H8" s="29" t="inlineStr">
        <is>
          <t>Executive Leadership</t>
        </is>
      </c>
      <c r="I8" s="29" t="inlineStr">
        <is>
          <t>Business Head</t>
        </is>
      </c>
      <c r="J8" s="29" t="inlineStr">
        <is>
          <t>People Manager</t>
        </is>
      </c>
      <c r="K8" s="29" t="inlineStr">
        <is>
          <t>RC-EL-BH-E1</t>
        </is>
      </c>
      <c r="L8" s="29" t="inlineStr">
        <is>
          <t>Balachandran K</t>
        </is>
      </c>
      <c r="M8" s="29" t="inlineStr">
        <is>
          <t>IRIS0001</t>
        </is>
      </c>
      <c r="N8" s="29" t="n">
        <v>27.9</v>
      </c>
      <c r="O8" s="29" t="n">
        <v>0.6</v>
      </c>
      <c r="P8" s="29" t="inlineStr">
        <is>
          <t>PGDM</t>
        </is>
      </c>
      <c r="Q8" s="29" t="inlineStr">
        <is>
          <t>Not in current mapping files</t>
        </is>
      </c>
      <c r="R8" s="29" t="inlineStr">
        <is>
          <t>E1</t>
        </is>
      </c>
      <c r="S8" s="30" t="inlineStr">
        <is>
          <t>0 of 20</t>
        </is>
      </c>
      <c r="T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8" s="32" t="inlineStr">
        <is>
          <t>KRAs not received · manager to supply</t>
        </is>
      </c>
      <c r="V8" s="31" t="inlineStr">
        <is>
          <t>Latest rating: Not rated · manager · 9-box: Not placed · manager · Readiness: No rating data</t>
        </is>
      </c>
      <c r="W8" s="31" t="inlineStr">
        <is>
          <t>C M · Au M · Ac M · L M · BI M · Exp M · 27.9 yrs vs 20+ yrs · Edu M · PGDM</t>
        </is>
      </c>
      <c r="X8" s="33" t="inlineStr">
        <is>
          <t>Open ▸</t>
        </is>
      </c>
      <c r="Y8" s="34" t="str">
        <f>IFERROR(INDEX(DL_C,MATCH($CA8,DL_KEY,0)),"M")</f>
        <v>H</v>
      </c>
      <c r="Z8" s="35" t="str">
        <f>IFERROR(INDEX(DL_Au,MATCH($CA8,DL_KEY,0)),"M")</f>
        <v>M</v>
      </c>
      <c r="AA8" s="35" t="str">
        <f>IFERROR(INDEX(DL_Ac,MATCH($CA8,DL_KEY,0)),"M")</f>
        <v>M</v>
      </c>
      <c r="AB8" s="35" t="str">
        <f>IFERROR(INDEX(DL_L,MATCH($CA8,DL_KEY,0)),"M")</f>
        <v>M</v>
      </c>
      <c r="AC8" s="35" t="str">
        <f>IFERROR(INDEX(DL_BI,MATCH($CA8,DL_KEY,0)),"M")</f>
        <v>L</v>
      </c>
      <c r="AD8" s="35" t="str">
        <f>IFERROR(INDEX(DL_Exp,MATCH($CA8,DL_KEY,0)),"M")</f>
        <v>L</v>
      </c>
      <c r="AE8" s="35" t="str">
        <f>IFERROR(INDEX(DL_Edu,MATCH($CA8,DL_KEY,0)),"M")</f>
        <v>L</v>
      </c>
      <c r="AF8" s="34" t="inlineStr">
        <is>
          <t>M</t>
        </is>
      </c>
      <c r="AG8" s="35" t="inlineStr">
        <is>
          <t>M</t>
        </is>
      </c>
      <c r="AH8" s="35" t="inlineStr">
        <is>
          <t>M</t>
        </is>
      </c>
      <c r="AI8" s="35" t="inlineStr">
        <is>
          <t>M</t>
        </is>
      </c>
      <c r="AJ8" s="35" t="inlineStr">
        <is>
          <t>M</t>
        </is>
      </c>
      <c r="AK8" s="35" t="inlineStr">
        <is>
          <t>M</t>
        </is>
      </c>
      <c r="AL8" s="35" t="inlineStr">
        <is>
          <t>M</t>
        </is>
      </c>
      <c r="AM8" s="36" t="n">
        <v>0.363</v>
      </c>
      <c r="AN8" s="37" t="n">
        <v>0.19</v>
      </c>
      <c r="AO8" s="37" t="n">
        <v>0.113</v>
      </c>
      <c r="AP8" s="37" t="n">
        <v>0.2</v>
      </c>
      <c r="AQ8" s="37" t="n">
        <v>0.08699999999999999</v>
      </c>
      <c r="AR8" s="37" t="n">
        <v>0.04</v>
      </c>
      <c r="AS8" s="37" t="n">
        <v>0.01</v>
      </c>
      <c r="AT8" s="38" t="inlineStr">
        <is>
          <t>20+ yrs</t>
        </is>
      </c>
      <c r="AU8" s="38" t="inlineStr">
        <is>
          <t>Postgraduate / professional qualification; business leadership record</t>
        </is>
      </c>
      <c r="AV8" s="38" t="inlineStr">
        <is>
          <t>5–8 function heads</t>
        </is>
      </c>
      <c r="AW8" s="38" t="inlineStr">
        <is>
          <t>E5 · SFIA 7</t>
        </is>
      </c>
      <c r="AX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 s="39" t="inlineStr">
        <is>
          <t>E1</t>
        </is>
      </c>
      <c r="AZ8" s="40" t="inlineStr">
        <is>
          <t>Band E · Enterprise leadership · CXO / President</t>
        </is>
      </c>
      <c r="BA8" s="40" t="inlineStr">
        <is>
          <t>Model E1 from the six ratings, the market-derived weights and rules R1–R13 · then Band E with Band E · agreed exception · manager E2</t>
        </is>
      </c>
      <c r="BB8" s="41" t="inlineStr">
        <is>
          <t>E1</t>
        </is>
      </c>
      <c r="BC8" s="40" t="inlineStr">
        <is>
          <t>The six ratings on the market-average weights of Bands D–E · Leadership score 11.05 → E1 · Hay, Mercer IPE and public plans · experience 27.9 yrs vs the E1 market range 20+ yrs</t>
        </is>
      </c>
      <c r="BD8" s="42">
        <f>IF(SUM(BM8,BN8,BO8,BP8,BQ8,BR8,BS8)=0,0,(BM8*BT8+BN8*BU8+BO8*BV8+BP8*BW8+BQ8*BX8+BR8*BY8+BS8*BZ8)/SUM(BM8,BN8,BO8,BP8,BQ8,BR8,BS8))</f>
        <v>0</v>
      </c>
      <c r="BE8" s="41" t="str">
        <f>IF(LEFT(AY8,1)="X",AY8,IF(OR(AY8="B+",AY8="C+"),INDEX(LAD_PC,MAX(1,MIN(14,MATCH(AY8,LAD_PC,0)+IF(BD8&gt;=0.5,1,IF(BD8&lt;=-0.5,-1,0))))),INDEX(LAD_STD,MAX(1,MIN(12,MATCH(AY8,LAD_STD,0)+IF(BD8&gt;=0.5,1,IF(BD8&lt;=-0.5,-1,0)))))))</f>
        <v>E1</v>
      </c>
      <c r="BF8" s="43" t="n"/>
      <c r="BG8" s="41" t="str">
        <f>IF(BF8&lt;&gt;"",BF8,BE8)</f>
        <v>E1</v>
      </c>
      <c r="BH8" s="40" t="str">
        <f>IFERROR(CHOOSE(INDEX(B_RANK,MATCH(BG8,B_LVL,0)),"Band A","Band B","B+ · Player-Coach","Band C","C+ · Player-Coach","Band D","Band E"),"Band X · Consultant")</f>
        <v>Band E</v>
      </c>
      <c r="BI8" s="40" t="str">
        <f>IF(BG8=AY8,"• Same",IF(INDEX(B_VAL,MATCH(BG8,B_LVL,0))&gt;INDEX(B_VAL,MATCH(AY8,B_LVL,0)),"▲ Up","▼ Down"))</f>
        <v>• Same</v>
      </c>
      <c r="BJ8" s="40" t="str">
        <f>IF(OR($M8="",$M8="—",$M8="Not in this file"),"",IFERROR(INDEX($BG$7:$BG$592,MATCH($M8,$D$7:$D$592,0)),""))</f>
        <v>E2</v>
      </c>
      <c r="BK8" s="40" t="str">
        <f>IFERROR(IF(BJ8="","—",IF(OR(LEFT(BG8,1)="X",LEFT(BJ8,1)="X"),"—",IF(AND(LEFT(BG8,1)="E",LEFT(BJ8,1)="E"),"Exception · Band E",IF(AND(INDEX(B_VAL,MATCH(BJ8,B_LVL,0))&gt;=7,INDEX(B_RANK,MATCH(BG8,B_LVL,0))&gt;=INDEX(B_RANK,MATCH(BJ8,B_LVL,0))),"⚠ Same band as a head manager",IF(INDEX(B_VAL,MATCH(BG8,B_LVL,0))&gt;=INDEX(B_VAL,MATCH(BJ8,B_LVL,0)),"⚠ At or above the manager's level","OK"))))),"—")</f>
        <v>Exception · Band E</v>
      </c>
      <c r="BL8" s="43" t="n"/>
      <c r="BM8" s="44">
        <f>IFERROR(INDEX(LMH_PTS,MATCH(Y8,LMH_KEY,0)),0)</f>
        <v>9</v>
      </c>
      <c r="BN8" s="38">
        <f>IFERROR(INDEX(LMH_PTS,MATCH(Z8,LMH_KEY,0)),0)</f>
        <v>3</v>
      </c>
      <c r="BO8" s="38">
        <f>IFERROR(INDEX(LMH_PTS,MATCH(AA8,LMH_KEY,0)),0)</f>
        <v>3</v>
      </c>
      <c r="BP8" s="38">
        <f>IFERROR(INDEX(LMH_PTS,MATCH(AB8,LMH_KEY,0)),0)</f>
        <v>3</v>
      </c>
      <c r="BQ8" s="38">
        <f>IFERROR(INDEX(LMH_PTS,MATCH(AC8,LMH_KEY,0)),0)</f>
        <v>1</v>
      </c>
      <c r="BR8" s="38">
        <f>IFERROR(INDEX(LMH_PTS,MATCH(AD8,LMH_KEY,0)),0)</f>
        <v>1</v>
      </c>
      <c r="BS8" s="38">
        <f>IFERROR(INDEX(LMH_PTS,MATCH(AE8,LMH_KEY,0)),0)</f>
        <v>1</v>
      </c>
      <c r="BT8" s="38">
        <f>IFERROR(INDEX(LMH_STEP,MATCH(AF8,LMH_KEY,0)),0)</f>
        <v>0</v>
      </c>
      <c r="BU8" s="38">
        <f>IFERROR(INDEX(LMH_STEP,MATCH(AG8,LMH_KEY,0)),0)</f>
        <v>0</v>
      </c>
      <c r="BV8" s="38">
        <f>IFERROR(INDEX(LMH_STEP,MATCH(AH8,LMH_KEY,0)),0)</f>
        <v>0</v>
      </c>
      <c r="BW8" s="38">
        <f>IFERROR(INDEX(LMH_STEP,MATCH(AI8,LMH_KEY,0)),0)</f>
        <v>0</v>
      </c>
      <c r="BX8" s="38">
        <f>IFERROR(INDEX(LMH_STEP,MATCH(AJ8,LMH_KEY,0)),0)</f>
        <v>0</v>
      </c>
      <c r="BY8" s="38">
        <f>IFERROR(INDEX(LMH_STEP,MATCH(AK8,LMH_KEY,0)),0)</f>
        <v>0</v>
      </c>
      <c r="BZ8" s="38">
        <f>IFERROR(INDEX(LMH_STEP,MATCH(AL8,LMH_KEY,0)),0)</f>
        <v>0</v>
      </c>
      <c r="CA8" s="38" t="inlineStr">
        <is>
          <t>CARBON|CRO - Carbon|Chief Revenue Officer|E1|DE</t>
        </is>
      </c>
    </row>
    <row r="9" ht="110" customHeight="1">
      <c r="A9" s="28" t="inlineStr">
        <is>
          <t>CARBON</t>
        </is>
      </c>
      <c r="B9" s="29" t="inlineStr">
        <is>
          <t>CARBON Business Head</t>
        </is>
      </c>
      <c r="C9" s="29" t="n">
        <v>2</v>
      </c>
      <c r="D9" s="29" t="inlineStr">
        <is>
          <t>IRIS0391</t>
        </is>
      </c>
      <c r="E9" s="29" t="inlineStr">
        <is>
          <t>Anuradha RK</t>
        </is>
      </c>
      <c r="F9" s="29" t="inlineStr">
        <is>
          <t>Business Head</t>
        </is>
      </c>
      <c r="G9" s="29" t="inlineStr">
        <is>
          <t>Business Head</t>
        </is>
      </c>
      <c r="H9" s="29" t="inlineStr">
        <is>
          <t>Executive Leadership</t>
        </is>
      </c>
      <c r="I9" s="29" t="inlineStr">
        <is>
          <t>Business Head</t>
        </is>
      </c>
      <c r="J9" s="29" t="inlineStr">
        <is>
          <t>People Manager</t>
        </is>
      </c>
      <c r="K9" s="29" t="inlineStr">
        <is>
          <t>RC-EL-BH-D2</t>
        </is>
      </c>
      <c r="L9" s="29" t="inlineStr">
        <is>
          <t>Dixit Jasani</t>
        </is>
      </c>
      <c r="M9" s="29" t="inlineStr">
        <is>
          <t>IRIS2478</t>
        </is>
      </c>
      <c r="N9" s="29" t="n">
        <v>17.1</v>
      </c>
      <c r="O9" s="29" t="n">
        <v>16.4</v>
      </c>
      <c r="P9" s="29" t="inlineStr">
        <is>
          <t>MBA</t>
        </is>
      </c>
      <c r="Q9" s="29" t="inlineStr">
        <is>
          <t>Not in current mapping files</t>
        </is>
      </c>
      <c r="R9" s="29" t="inlineStr">
        <is>
          <t>D2</t>
        </is>
      </c>
      <c r="S9" s="30" t="inlineStr">
        <is>
          <t>0 of 20</t>
        </is>
      </c>
      <c r="T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9" s="32" t="inlineStr">
        <is>
          <t>KRAs not received · manager to supply</t>
        </is>
      </c>
      <c r="V9" s="31" t="inlineStr">
        <is>
          <t>Latest rating: Not rated · manager · 9-box: Not placed · manager · Readiness: No rating data</t>
        </is>
      </c>
      <c r="W9" s="31" t="inlineStr">
        <is>
          <t>C L · Au L · Ac L · L L · BI L · Exp L · 17.1 yrs vs 18–24 yrs · Edu M · MBA</t>
        </is>
      </c>
      <c r="X9" s="33" t="inlineStr">
        <is>
          <t>Open ▸</t>
        </is>
      </c>
      <c r="Y9" s="34" t="str">
        <f>IFERROR(INDEX(DL_C,MATCH($CA9,DL_KEY,0)),"M")</f>
        <v>H</v>
      </c>
      <c r="Z9" s="35" t="str">
        <f>IFERROR(INDEX(DL_Au,MATCH($CA9,DL_KEY,0)),"M")</f>
        <v>M</v>
      </c>
      <c r="AA9" s="35" t="str">
        <f>IFERROR(INDEX(DL_Ac,MATCH($CA9,DL_KEY,0)),"M")</f>
        <v>M</v>
      </c>
      <c r="AB9" s="35" t="str">
        <f>IFERROR(INDEX(DL_L,MATCH($CA9,DL_KEY,0)),"M")</f>
        <v>M</v>
      </c>
      <c r="AC9" s="35" t="str">
        <f>IFERROR(INDEX(DL_BI,MATCH($CA9,DL_KEY,0)),"M")</f>
        <v>L</v>
      </c>
      <c r="AD9" s="35" t="str">
        <f>IFERROR(INDEX(DL_Exp,MATCH($CA9,DL_KEY,0)),"M")</f>
        <v>L</v>
      </c>
      <c r="AE9" s="35" t="str">
        <f>IFERROR(INDEX(DL_Edu,MATCH($CA9,DL_KEY,0)),"M")</f>
        <v>L</v>
      </c>
      <c r="AF9" s="34" t="inlineStr">
        <is>
          <t>M</t>
        </is>
      </c>
      <c r="AG9" s="35" t="inlineStr">
        <is>
          <t>M</t>
        </is>
      </c>
      <c r="AH9" s="35" t="inlineStr">
        <is>
          <t>M</t>
        </is>
      </c>
      <c r="AI9" s="35" t="inlineStr">
        <is>
          <t>M</t>
        </is>
      </c>
      <c r="AJ9" s="35" t="inlineStr">
        <is>
          <t>M</t>
        </is>
      </c>
      <c r="AK9" s="35" t="inlineStr">
        <is>
          <t>M</t>
        </is>
      </c>
      <c r="AL9" s="35" t="inlineStr">
        <is>
          <t>M</t>
        </is>
      </c>
      <c r="AM9" s="36" t="n">
        <v>0.363</v>
      </c>
      <c r="AN9" s="37" t="n">
        <v>0.19</v>
      </c>
      <c r="AO9" s="37" t="n">
        <v>0.113</v>
      </c>
      <c r="AP9" s="37" t="n">
        <v>0.2</v>
      </c>
      <c r="AQ9" s="37" t="n">
        <v>0.08699999999999999</v>
      </c>
      <c r="AR9" s="37" t="n">
        <v>0.04</v>
      </c>
      <c r="AS9" s="37" t="n">
        <v>0.01</v>
      </c>
      <c r="AT9" s="38" t="inlineStr">
        <is>
          <t>18–24 yrs</t>
        </is>
      </c>
      <c r="AU9" s="38" t="inlineStr">
        <is>
          <t>Postgraduate / professional qualification preferred</t>
        </is>
      </c>
      <c r="AV9" s="38" t="inlineStr">
        <is>
          <t>5–8 AVPs / heads</t>
        </is>
      </c>
      <c r="AW9" s="38" t="inlineStr">
        <is>
          <t>E3–E4 · SFIA 7 Set strategy</t>
        </is>
      </c>
      <c r="AX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 s="39" t="inlineStr">
        <is>
          <t>D2</t>
        </is>
      </c>
      <c r="AZ9" s="40" t="inlineStr">
        <is>
          <t>Band D · Business leadership · Senior Vice President / Business Head</t>
        </is>
      </c>
      <c r="BA9" s="40" t="inlineStr">
        <is>
          <t>Model D2 from the six ratings, the market-derived weights and rules R1–R13 · then No change · already below the manager</t>
        </is>
      </c>
      <c r="BB9" s="41" t="inlineStr">
        <is>
          <t>D1</t>
        </is>
      </c>
      <c r="BC9" s="40" t="inlineStr">
        <is>
          <t>The six ratings on the market-average weights of Bands D–E · Leadership score 9.02 → D1 · Hay, Mercer IPE and public plans · experience 17.1 yrs vs the D1 market range 15–20 yrs</t>
        </is>
      </c>
      <c r="BD9" s="42">
        <f>IF(SUM(BM9,BN9,BO9,BP9,BQ9,BR9,BS9)=0,0,(BM9*BT9+BN9*BU9+BO9*BV9+BP9*BW9+BQ9*BX9+BR9*BY9+BS9*BZ9)/SUM(BM9,BN9,BO9,BP9,BQ9,BR9,BS9))</f>
        <v>0</v>
      </c>
      <c r="BE9" s="41" t="str">
        <f>IF(LEFT(AY9,1)="X",AY9,IF(OR(AY9="B+",AY9="C+"),INDEX(LAD_PC,MAX(1,MIN(14,MATCH(AY9,LAD_PC,0)+IF(BD9&gt;=0.5,1,IF(BD9&lt;=-0.5,-1,0))))),INDEX(LAD_STD,MAX(1,MIN(12,MATCH(AY9,LAD_STD,0)+IF(BD9&gt;=0.5,1,IF(BD9&lt;=-0.5,-1,0)))))))</f>
        <v>D2</v>
      </c>
      <c r="BF9" s="43" t="n"/>
      <c r="BG9" s="41" t="str">
        <f>IF(BF9&lt;&gt;"",BF9,BE9)</f>
        <v>D2</v>
      </c>
      <c r="BH9" s="40" t="str">
        <f>IFERROR(CHOOSE(INDEX(B_RANK,MATCH(BG9,B_LVL,0)),"Band A","Band B","B+ · Player-Coach","Band C","C+ · Player-Coach","Band D","Band E"),"Band X · Consultant")</f>
        <v>Band D</v>
      </c>
      <c r="BI9" s="40" t="str">
        <f>IF(BG9=AY9,"• Same",IF(INDEX(B_VAL,MATCH(BG9,B_LVL,0))&gt;INDEX(B_VAL,MATCH(AY9,B_LVL,0)),"▲ Up","▼ Down"))</f>
        <v>• Same</v>
      </c>
      <c r="BJ9" s="40" t="str">
        <f>IF(OR($M9="",$M9="—",$M9="Not in this file"),"",IFERROR(INDEX($BG$7:$BG$592,MATCH($M9,$D$7:$D$592,0)),""))</f>
        <v>E1</v>
      </c>
      <c r="BK9" s="40" t="str">
        <f>IFERROR(IF(BJ9="","—",IF(OR(LEFT(BG9,1)="X",LEFT(BJ9,1)="X"),"—",IF(AND(LEFT(BG9,1)="E",LEFT(BJ9,1)="E"),"Exception · Band E",IF(AND(INDEX(B_VAL,MATCH(BJ9,B_LVL,0))&gt;=7,INDEX(B_RANK,MATCH(BG9,B_LVL,0))&gt;=INDEX(B_RANK,MATCH(BJ9,B_LVL,0))),"⚠ Same band as a head manager",IF(INDEX(B_VAL,MATCH(BG9,B_LVL,0))&gt;=INDEX(B_VAL,MATCH(BJ9,B_LVL,0)),"⚠ At or above the manager's level","OK"))))),"—")</f>
        <v>OK</v>
      </c>
      <c r="BL9" s="43" t="n"/>
      <c r="BM9" s="44">
        <f>IFERROR(INDEX(LMH_PTS,MATCH(Y9,LMH_KEY,0)),0)</f>
        <v>9</v>
      </c>
      <c r="BN9" s="38">
        <f>IFERROR(INDEX(LMH_PTS,MATCH(Z9,LMH_KEY,0)),0)</f>
        <v>3</v>
      </c>
      <c r="BO9" s="38">
        <f>IFERROR(INDEX(LMH_PTS,MATCH(AA9,LMH_KEY,0)),0)</f>
        <v>3</v>
      </c>
      <c r="BP9" s="38">
        <f>IFERROR(INDEX(LMH_PTS,MATCH(AB9,LMH_KEY,0)),0)</f>
        <v>3</v>
      </c>
      <c r="BQ9" s="38">
        <f>IFERROR(INDEX(LMH_PTS,MATCH(AC9,LMH_KEY,0)),0)</f>
        <v>1</v>
      </c>
      <c r="BR9" s="38">
        <f>IFERROR(INDEX(LMH_PTS,MATCH(AD9,LMH_KEY,0)),0)</f>
        <v>1</v>
      </c>
      <c r="BS9" s="38">
        <f>IFERROR(INDEX(LMH_PTS,MATCH(AE9,LMH_KEY,0)),0)</f>
        <v>1</v>
      </c>
      <c r="BT9" s="38">
        <f>IFERROR(INDEX(LMH_STEP,MATCH(AF9,LMH_KEY,0)),0)</f>
        <v>0</v>
      </c>
      <c r="BU9" s="38">
        <f>IFERROR(INDEX(LMH_STEP,MATCH(AG9,LMH_KEY,0)),0)</f>
        <v>0</v>
      </c>
      <c r="BV9" s="38">
        <f>IFERROR(INDEX(LMH_STEP,MATCH(AH9,LMH_KEY,0)),0)</f>
        <v>0</v>
      </c>
      <c r="BW9" s="38">
        <f>IFERROR(INDEX(LMH_STEP,MATCH(AI9,LMH_KEY,0)),0)</f>
        <v>0</v>
      </c>
      <c r="BX9" s="38">
        <f>IFERROR(INDEX(LMH_STEP,MATCH(AJ9,LMH_KEY,0)),0)</f>
        <v>0</v>
      </c>
      <c r="BY9" s="38">
        <f>IFERROR(INDEX(LMH_STEP,MATCH(AK9,LMH_KEY,0)),0)</f>
        <v>0</v>
      </c>
      <c r="BZ9" s="38">
        <f>IFERROR(INDEX(LMH_STEP,MATCH(AL9,LMH_KEY,0)),0)</f>
        <v>0</v>
      </c>
      <c r="CA9" s="38" t="inlineStr">
        <is>
          <t>CARBON|CARBON Business Head|Business Head|D2|DE</t>
        </is>
      </c>
    </row>
    <row r="10" ht="110" customHeight="1">
      <c r="A10" s="28" t="inlineStr">
        <is>
          <t>CARBON</t>
        </is>
      </c>
      <c r="B10" s="29" t="inlineStr">
        <is>
          <t>Customer Experience</t>
        </is>
      </c>
      <c r="C10" s="29" t="n">
        <v>3</v>
      </c>
      <c r="D10" s="29" t="inlineStr">
        <is>
          <t>IRIS2359</t>
        </is>
      </c>
      <c r="E10" s="29" t="inlineStr">
        <is>
          <t>Suman Adhikary</t>
        </is>
      </c>
      <c r="F10" s="29" t="inlineStr">
        <is>
          <t>Senior Vice President - Customer Experience</t>
        </is>
      </c>
      <c r="G10" s="29" t="inlineStr">
        <is>
          <t>Senior Vice President – Customer Experience</t>
        </is>
      </c>
      <c r="H10" s="29" t="inlineStr">
        <is>
          <t>Executive Leadership</t>
        </is>
      </c>
      <c r="I10" s="29" t="inlineStr">
        <is>
          <t>Business Head</t>
        </is>
      </c>
      <c r="J10" s="29" t="inlineStr">
        <is>
          <t>People Manager</t>
        </is>
      </c>
      <c r="K10" s="29" t="inlineStr">
        <is>
          <t>RC-EL-BH-D1</t>
        </is>
      </c>
      <c r="L10" s="29" t="inlineStr">
        <is>
          <t>Anuradha RK</t>
        </is>
      </c>
      <c r="M10" s="29" t="inlineStr">
        <is>
          <t>IRIS0391</t>
        </is>
      </c>
      <c r="N10" s="29" t="n">
        <v>28.7</v>
      </c>
      <c r="O10" s="29" t="n">
        <v>1.5</v>
      </c>
      <c r="P10" s="29" t="inlineStr">
        <is>
          <t>B.E</t>
        </is>
      </c>
      <c r="Q10" s="29" t="inlineStr">
        <is>
          <t>Not in current mapping files</t>
        </is>
      </c>
      <c r="R10" s="29" t="inlineStr">
        <is>
          <t>D1</t>
        </is>
      </c>
      <c r="S10" s="30" t="inlineStr">
        <is>
          <t>0 of 20</t>
        </is>
      </c>
      <c r="T1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0" s="32" t="inlineStr">
        <is>
          <t>KRAs not received · manager to supply</t>
        </is>
      </c>
      <c r="V10" s="31" t="inlineStr">
        <is>
          <t>Latest rating: Not rated · manager · 9-box: Underperformer / Exit Risk · Readiness: No rating data</t>
        </is>
      </c>
      <c r="W10" s="31" t="inlineStr">
        <is>
          <t>C H · Au H · Ac H · L H · BI H · Exp H · 28.7 yrs vs 12–17 yrs · Edu L · B.E</t>
        </is>
      </c>
      <c r="X10" s="33" t="inlineStr">
        <is>
          <t>Open ▸</t>
        </is>
      </c>
      <c r="Y10" s="34" t="str">
        <f>IFERROR(INDEX(DL_C,MATCH($CA10,DL_KEY,0)),"M")</f>
        <v>H</v>
      </c>
      <c r="Z10" s="35" t="str">
        <f>IFERROR(INDEX(DL_Au,MATCH($CA10,DL_KEY,0)),"M")</f>
        <v>M</v>
      </c>
      <c r="AA10" s="35" t="str">
        <f>IFERROR(INDEX(DL_Ac,MATCH($CA10,DL_KEY,0)),"M")</f>
        <v>M</v>
      </c>
      <c r="AB10" s="35" t="str">
        <f>IFERROR(INDEX(DL_L,MATCH($CA10,DL_KEY,0)),"M")</f>
        <v>M</v>
      </c>
      <c r="AC10" s="35" t="str">
        <f>IFERROR(INDEX(DL_BI,MATCH($CA10,DL_KEY,0)),"M")</f>
        <v>L</v>
      </c>
      <c r="AD10" s="35" t="str">
        <f>IFERROR(INDEX(DL_Exp,MATCH($CA10,DL_KEY,0)),"M")</f>
        <v>L</v>
      </c>
      <c r="AE10" s="35" t="str">
        <f>IFERROR(INDEX(DL_Edu,MATCH($CA10,DL_KEY,0)),"M")</f>
        <v>L</v>
      </c>
      <c r="AF10" s="34" t="inlineStr">
        <is>
          <t>M</t>
        </is>
      </c>
      <c r="AG10" s="35" t="inlineStr">
        <is>
          <t>M</t>
        </is>
      </c>
      <c r="AH10" s="35" t="inlineStr">
        <is>
          <t>M</t>
        </is>
      </c>
      <c r="AI10" s="35" t="inlineStr">
        <is>
          <t>M</t>
        </is>
      </c>
      <c r="AJ10" s="35" t="inlineStr">
        <is>
          <t>M</t>
        </is>
      </c>
      <c r="AK10" s="35" t="inlineStr">
        <is>
          <t>M</t>
        </is>
      </c>
      <c r="AL10" s="35" t="inlineStr">
        <is>
          <t>M</t>
        </is>
      </c>
      <c r="AM10" s="36" t="n">
        <v>0.433</v>
      </c>
      <c r="AN10" s="37" t="n">
        <v>0.18</v>
      </c>
      <c r="AO10" s="37" t="n">
        <v>0.107</v>
      </c>
      <c r="AP10" s="37" t="n">
        <v>0.15</v>
      </c>
      <c r="AQ10" s="37" t="n">
        <v>0.08</v>
      </c>
      <c r="AR10" s="37" t="n">
        <v>0.04</v>
      </c>
      <c r="AS10" s="37" t="n">
        <v>0.01</v>
      </c>
      <c r="AT10" s="38" t="inlineStr">
        <is>
          <t>12–17 yrs</t>
        </is>
      </c>
      <c r="AU10" s="38" t="inlineStr">
        <is>
          <t>Postgraduate / professional qualification preferred</t>
        </is>
      </c>
      <c r="AV10" s="38" t="inlineStr">
        <is>
          <t>5–8 managers / associate heads</t>
        </is>
      </c>
      <c r="AW10" s="38" t="inlineStr">
        <is>
          <t>P7 / M6 · SFIA 6 Initiate, influence</t>
        </is>
      </c>
      <c r="AX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 s="39" t="inlineStr">
        <is>
          <t>C2</t>
        </is>
      </c>
      <c r="AZ10" s="40" t="inlineStr">
        <is>
          <t>Band C · Principal / Head · Head of Function</t>
        </is>
      </c>
      <c r="BA10" s="40" t="inlineStr">
        <is>
          <t>Model D1 from the six ratings, the market-derived weights and rules R1–R13 · then Band rule: manager D2 is a head in Band D · Business leadership; a reportee sits in a lower band · D1 → C2 · move down · pay and title protected for one cycle</t>
        </is>
      </c>
      <c r="BB10" s="41" t="inlineStr">
        <is>
          <t>D2</t>
        </is>
      </c>
      <c r="BC10" s="40" t="inlineStr">
        <is>
          <t>The six ratings on the market-average weights of Band C · Head / manager score 10.10 → D2 · Hay, Mercer IPE and public plans · experience 28.7 yrs vs the D2 market range 18–24 yrs</t>
        </is>
      </c>
      <c r="BD10" s="42">
        <f>IF(SUM(BM10,BN10,BO10,BP10,BQ10,BR10,BS10)=0,0,(BM10*BT10+BN10*BU10+BO10*BV10+BP10*BW10+BQ10*BX10+BR10*BY10+BS10*BZ10)/SUM(BM10,BN10,BO10,BP10,BQ10,BR10,BS10))</f>
        <v>0</v>
      </c>
      <c r="BE10" s="41" t="str">
        <f>IF(LEFT(AY10,1)="X",AY10,IF(OR(AY10="B+",AY10="C+"),INDEX(LAD_PC,MAX(1,MIN(14,MATCH(AY10,LAD_PC,0)+IF(BD10&gt;=0.5,1,IF(BD10&lt;=-0.5,-1,0))))),INDEX(LAD_STD,MAX(1,MIN(12,MATCH(AY10,LAD_STD,0)+IF(BD10&gt;=0.5,1,IF(BD10&lt;=-0.5,-1,0)))))))</f>
        <v>C2</v>
      </c>
      <c r="BF10" s="43" t="n"/>
      <c r="BG10" s="41" t="str">
        <f>IF(BF10&lt;&gt;"",BF10,BE10)</f>
        <v>C2</v>
      </c>
      <c r="BH10" s="40" t="str">
        <f>IFERROR(CHOOSE(INDEX(B_RANK,MATCH(BG10,B_LVL,0)),"Band A","Band B","B+ · Player-Coach","Band C","C+ · Player-Coach","Band D","Band E"),"Band X · Consultant")</f>
        <v>Band C</v>
      </c>
      <c r="BI10" s="40" t="str">
        <f>IF(BG10=AY10,"• Same",IF(INDEX(B_VAL,MATCH(BG10,B_LVL,0))&gt;INDEX(B_VAL,MATCH(AY10,B_LVL,0)),"▲ Up","▼ Down"))</f>
        <v>• Same</v>
      </c>
      <c r="BJ10" s="40" t="str">
        <f>IF(OR($M10="",$M10="—",$M10="Not in this file"),"",IFERROR(INDEX($BG$7:$BG$592,MATCH($M10,$D$7:$D$592,0)),""))</f>
        <v>D2</v>
      </c>
      <c r="BK10" s="40" t="str">
        <f>IFERROR(IF(BJ10="","—",IF(OR(LEFT(BG10,1)="X",LEFT(BJ10,1)="X"),"—",IF(AND(LEFT(BG10,1)="E",LEFT(BJ10,1)="E"),"Exception · Band E",IF(AND(INDEX(B_VAL,MATCH(BJ10,B_LVL,0))&gt;=7,INDEX(B_RANK,MATCH(BG10,B_LVL,0))&gt;=INDEX(B_RANK,MATCH(BJ10,B_LVL,0))),"⚠ Same band as a head manager",IF(INDEX(B_VAL,MATCH(BG10,B_LVL,0))&gt;=INDEX(B_VAL,MATCH(BJ10,B_LVL,0)),"⚠ At or above the manager's level","OK"))))),"—")</f>
        <v>OK</v>
      </c>
      <c r="BL10" s="43" t="n"/>
      <c r="BM10" s="44">
        <f>IFERROR(INDEX(LMH_PTS,MATCH(Y10,LMH_KEY,0)),0)</f>
        <v>9</v>
      </c>
      <c r="BN10" s="38">
        <f>IFERROR(INDEX(LMH_PTS,MATCH(Z10,LMH_KEY,0)),0)</f>
        <v>3</v>
      </c>
      <c r="BO10" s="38">
        <f>IFERROR(INDEX(LMH_PTS,MATCH(AA10,LMH_KEY,0)),0)</f>
        <v>3</v>
      </c>
      <c r="BP10" s="38">
        <f>IFERROR(INDEX(LMH_PTS,MATCH(AB10,LMH_KEY,0)),0)</f>
        <v>3</v>
      </c>
      <c r="BQ10" s="38">
        <f>IFERROR(INDEX(LMH_PTS,MATCH(AC10,LMH_KEY,0)),0)</f>
        <v>1</v>
      </c>
      <c r="BR10" s="38">
        <f>IFERROR(INDEX(LMH_PTS,MATCH(AD10,LMH_KEY,0)),0)</f>
        <v>1</v>
      </c>
      <c r="BS10" s="38">
        <f>IFERROR(INDEX(LMH_PTS,MATCH(AE10,LMH_KEY,0)),0)</f>
        <v>1</v>
      </c>
      <c r="BT10" s="38">
        <f>IFERROR(INDEX(LMH_STEP,MATCH(AF10,LMH_KEY,0)),0)</f>
        <v>0</v>
      </c>
      <c r="BU10" s="38">
        <f>IFERROR(INDEX(LMH_STEP,MATCH(AG10,LMH_KEY,0)),0)</f>
        <v>0</v>
      </c>
      <c r="BV10" s="38">
        <f>IFERROR(INDEX(LMH_STEP,MATCH(AH10,LMH_KEY,0)),0)</f>
        <v>0</v>
      </c>
      <c r="BW10" s="38">
        <f>IFERROR(INDEX(LMH_STEP,MATCH(AI10,LMH_KEY,0)),0)</f>
        <v>0</v>
      </c>
      <c r="BX10" s="38">
        <f>IFERROR(INDEX(LMH_STEP,MATCH(AJ10,LMH_KEY,0)),0)</f>
        <v>0</v>
      </c>
      <c r="BY10" s="38">
        <f>IFERROR(INDEX(LMH_STEP,MATCH(AK10,LMH_KEY,0)),0)</f>
        <v>0</v>
      </c>
      <c r="BZ10" s="38">
        <f>IFERROR(INDEX(LMH_STEP,MATCH(AL10,LMH_KEY,0)),0)</f>
        <v>0</v>
      </c>
      <c r="CA10" s="38" t="inlineStr">
        <is>
          <t>CARBON|Customer Experience|Senior Vice President – Customer Experience|C2|C-M</t>
        </is>
      </c>
    </row>
    <row r="11" ht="110" customHeight="1">
      <c r="A11" s="28" t="inlineStr">
        <is>
          <t>CARBON</t>
        </is>
      </c>
      <c r="B11" s="29" t="inlineStr">
        <is>
          <t>Support</t>
        </is>
      </c>
      <c r="C11" s="29" t="n">
        <v>4</v>
      </c>
      <c r="D11" s="29" t="inlineStr">
        <is>
          <t>IRIS1335</t>
        </is>
      </c>
      <c r="E11" s="29" t="inlineStr">
        <is>
          <t>Anushree Aparajit</t>
        </is>
      </c>
      <c r="F11" s="29" t="inlineStr">
        <is>
          <t>Global Customer Success Head</t>
        </is>
      </c>
      <c r="G11" s="29" t="inlineStr">
        <is>
          <t>Associate Head – Customer Success</t>
        </is>
      </c>
      <c r="H11" s="29" t="inlineStr">
        <is>
          <t>Executive Leadership</t>
        </is>
      </c>
      <c r="I11" s="29" t="inlineStr">
        <is>
          <t>Business Head</t>
        </is>
      </c>
      <c r="J11" s="29" t="inlineStr">
        <is>
          <t>People Manager</t>
        </is>
      </c>
      <c r="K11" s="29" t="inlineStr">
        <is>
          <t>RC-EL-BH-C1</t>
        </is>
      </c>
      <c r="L11" s="29" t="inlineStr">
        <is>
          <t>Suman Adhikary</t>
        </is>
      </c>
      <c r="M11" s="29" t="inlineStr">
        <is>
          <t>IRIS2359</t>
        </is>
      </c>
      <c r="N11" s="29" t="n">
        <v>14.6</v>
      </c>
      <c r="O11" s="29" t="n">
        <v>13.3</v>
      </c>
      <c r="P11" s="29" t="inlineStr">
        <is>
          <t>CA</t>
        </is>
      </c>
      <c r="Q11" s="29" t="inlineStr">
        <is>
          <t>L7 – Head / Sr Director</t>
        </is>
      </c>
      <c r="R11" s="29" t="inlineStr">
        <is>
          <t>C1</t>
        </is>
      </c>
      <c r="S11" s="30" t="inlineStr">
        <is>
          <t>0 of 20</t>
        </is>
      </c>
      <c r="T1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11" s="31" t="inlineStr">
        <is>
          <t>Received · manager annual · 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t>
        </is>
      </c>
      <c r="V11" s="31" t="inlineStr">
        <is>
          <t>Latest rating: 4 · Potential: Medium · 9-box: High Impact / Growth Talent · Readiness: Ready in 6–12 months</t>
        </is>
      </c>
      <c r="W11" s="31" t="inlineStr">
        <is>
          <t>C H · Au H · Ac M · L H · BI H · Exp H · 14.6 yrs vs 8–12 yrs · Edu H · CA</t>
        </is>
      </c>
      <c r="X11" s="33" t="inlineStr">
        <is>
          <t>Open ▸</t>
        </is>
      </c>
      <c r="Y11" s="34" t="str">
        <f>IFERROR(INDEX(DL_C,MATCH($CA11,DL_KEY,0)),"M")</f>
        <v>H</v>
      </c>
      <c r="Z11" s="35" t="str">
        <f>IFERROR(INDEX(DL_Au,MATCH($CA11,DL_KEY,0)),"M")</f>
        <v>M</v>
      </c>
      <c r="AA11" s="35" t="str">
        <f>IFERROR(INDEX(DL_Ac,MATCH($CA11,DL_KEY,0)),"M")</f>
        <v>M</v>
      </c>
      <c r="AB11" s="35" t="str">
        <f>IFERROR(INDEX(DL_L,MATCH($CA11,DL_KEY,0)),"M")</f>
        <v>M</v>
      </c>
      <c r="AC11" s="35" t="str">
        <f>IFERROR(INDEX(DL_BI,MATCH($CA11,DL_KEY,0)),"M")</f>
        <v>L</v>
      </c>
      <c r="AD11" s="35" t="str">
        <f>IFERROR(INDEX(DL_Exp,MATCH($CA11,DL_KEY,0)),"M")</f>
        <v>L</v>
      </c>
      <c r="AE11" s="35" t="str">
        <f>IFERROR(INDEX(DL_Edu,MATCH($CA11,DL_KEY,0)),"M")</f>
        <v>L</v>
      </c>
      <c r="AF11" s="34" t="inlineStr">
        <is>
          <t>M</t>
        </is>
      </c>
      <c r="AG11" s="35" t="inlineStr">
        <is>
          <t>M</t>
        </is>
      </c>
      <c r="AH11" s="35" t="inlineStr">
        <is>
          <t>M</t>
        </is>
      </c>
      <c r="AI11" s="35" t="inlineStr">
        <is>
          <t>M</t>
        </is>
      </c>
      <c r="AJ11" s="35" t="inlineStr">
        <is>
          <t>M</t>
        </is>
      </c>
      <c r="AK11" s="35" t="inlineStr">
        <is>
          <t>M</t>
        </is>
      </c>
      <c r="AL11" s="35" t="inlineStr">
        <is>
          <t>M</t>
        </is>
      </c>
      <c r="AM11" s="36" t="n">
        <v>0.37</v>
      </c>
      <c r="AN11" s="37" t="n">
        <v>0.183</v>
      </c>
      <c r="AO11" s="37" t="n">
        <v>0.113</v>
      </c>
      <c r="AP11" s="37" t="n">
        <v>0.15</v>
      </c>
      <c r="AQ11" s="37" t="n">
        <v>0.08699999999999999</v>
      </c>
      <c r="AR11" s="37" t="n">
        <v>0.06</v>
      </c>
      <c r="AS11" s="37" t="n">
        <v>0.04</v>
      </c>
      <c r="AT11" s="38" t="inlineStr">
        <is>
          <t>8–13</t>
        </is>
      </c>
      <c r="AU11" s="38" t="inlineStr">
        <is>
          <t>Postgraduate or professional qualification preferred</t>
        </is>
      </c>
      <c r="AV11" s="38" t="inlineStr">
        <is>
          <t>IC: none · People: 5–8 incl. team leads</t>
        </is>
      </c>
      <c r="AW11" s="38" t="inlineStr">
        <is>
          <t>P5 / M4 · SFIA 5 Ensure, advise</t>
        </is>
      </c>
      <c r="AX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 s="39" t="inlineStr">
        <is>
          <t>B3</t>
        </is>
      </c>
      <c r="AZ11" s="40" t="inlineStr">
        <is>
          <t>Band B · Specialist / Manager · Senior Manager</t>
        </is>
      </c>
      <c r="BA11" s="40" t="inlineStr">
        <is>
          <t>Model C1 from the six ratings, the market-derived weights and rules R1–R13 · then Band rule: manager C2 is a head in Band C · Principal / Head; a reportee sits in a lower band · C1 → B3 · move down · pay and title protected for one cycle</t>
        </is>
      </c>
      <c r="BB11" s="41" t="inlineStr">
        <is>
          <t>C2</t>
        </is>
      </c>
      <c r="BC11" s="40" t="inlineStr">
        <is>
          <t>The six ratings on the market-average weights of Band B · People Manager score 7.69 → C2 · Hay, Mercer IPE and public plans · experience 14.6 yrs vs the C2 market range 12–17 yrs</t>
        </is>
      </c>
      <c r="BD11" s="42">
        <f>IF(SUM(BM11,BN11,BO11,BP11,BQ11,BR11,BS11)=0,0,(BM11*BT11+BN11*BU11+BO11*BV11+BP11*BW11+BQ11*BX11+BR11*BY11+BS11*BZ11)/SUM(BM11,BN11,BO11,BP11,BQ11,BR11,BS11))</f>
        <v>0</v>
      </c>
      <c r="BE11" s="41" t="str">
        <f>IF(LEFT(AY11,1)="X",AY11,IF(OR(AY11="B+",AY11="C+"),INDEX(LAD_PC,MAX(1,MIN(14,MATCH(AY11,LAD_PC,0)+IF(BD11&gt;=0.5,1,IF(BD11&lt;=-0.5,-1,0))))),INDEX(LAD_STD,MAX(1,MIN(12,MATCH(AY11,LAD_STD,0)+IF(BD11&gt;=0.5,1,IF(BD11&lt;=-0.5,-1,0)))))))</f>
        <v>B3</v>
      </c>
      <c r="BF11" s="43" t="n"/>
      <c r="BG11" s="41" t="str">
        <f>IF(BF11&lt;&gt;"",BF11,BE11)</f>
        <v>B3</v>
      </c>
      <c r="BH11" s="40" t="str">
        <f>IFERROR(CHOOSE(INDEX(B_RANK,MATCH(BG11,B_LVL,0)),"Band A","Band B","B+ · Player-Coach","Band C","C+ · Player-Coach","Band D","Band E"),"Band X · Consultant")</f>
        <v>Band B</v>
      </c>
      <c r="BI11" s="40" t="str">
        <f>IF(BG11=AY11,"• Same",IF(INDEX(B_VAL,MATCH(BG11,B_LVL,0))&gt;INDEX(B_VAL,MATCH(AY11,B_LVL,0)),"▲ Up","▼ Down"))</f>
        <v>• Same</v>
      </c>
      <c r="BJ11" s="40" t="str">
        <f>IF(OR($M11="",$M11="—",$M11="Not in this file"),"",IFERROR(INDEX($BG$7:$BG$592,MATCH($M11,$D$7:$D$592,0)),""))</f>
        <v>C2</v>
      </c>
      <c r="BK11" s="40" t="str">
        <f>IFERROR(IF(BJ11="","—",IF(OR(LEFT(BG11,1)="X",LEFT(BJ11,1)="X"),"—",IF(AND(LEFT(BG11,1)="E",LEFT(BJ11,1)="E"),"Exception · Band E",IF(AND(INDEX(B_VAL,MATCH(BJ11,B_LVL,0))&gt;=7,INDEX(B_RANK,MATCH(BG11,B_LVL,0))&gt;=INDEX(B_RANK,MATCH(BJ11,B_LVL,0))),"⚠ Same band as a head manager",IF(INDEX(B_VAL,MATCH(BG11,B_LVL,0))&gt;=INDEX(B_VAL,MATCH(BJ11,B_LVL,0)),"⚠ At or above the manager's level","OK"))))),"—")</f>
        <v>OK</v>
      </c>
      <c r="BL11" s="43" t="n"/>
      <c r="BM11" s="44">
        <f>IFERROR(INDEX(LMH_PTS,MATCH(Y11,LMH_KEY,0)),0)</f>
        <v>9</v>
      </c>
      <c r="BN11" s="38">
        <f>IFERROR(INDEX(LMH_PTS,MATCH(Z11,LMH_KEY,0)),0)</f>
        <v>3</v>
      </c>
      <c r="BO11" s="38">
        <f>IFERROR(INDEX(LMH_PTS,MATCH(AA11,LMH_KEY,0)),0)</f>
        <v>3</v>
      </c>
      <c r="BP11" s="38">
        <f>IFERROR(INDEX(LMH_PTS,MATCH(AB11,LMH_KEY,0)),0)</f>
        <v>3</v>
      </c>
      <c r="BQ11" s="38">
        <f>IFERROR(INDEX(LMH_PTS,MATCH(AC11,LMH_KEY,0)),0)</f>
        <v>1</v>
      </c>
      <c r="BR11" s="38">
        <f>IFERROR(INDEX(LMH_PTS,MATCH(AD11,LMH_KEY,0)),0)</f>
        <v>1</v>
      </c>
      <c r="BS11" s="38">
        <f>IFERROR(INDEX(LMH_PTS,MATCH(AE11,LMH_KEY,0)),0)</f>
        <v>1</v>
      </c>
      <c r="BT11" s="38">
        <f>IFERROR(INDEX(LMH_STEP,MATCH(AF11,LMH_KEY,0)),0)</f>
        <v>0</v>
      </c>
      <c r="BU11" s="38">
        <f>IFERROR(INDEX(LMH_STEP,MATCH(AG11,LMH_KEY,0)),0)</f>
        <v>0</v>
      </c>
      <c r="BV11" s="38">
        <f>IFERROR(INDEX(LMH_STEP,MATCH(AH11,LMH_KEY,0)),0)</f>
        <v>0</v>
      </c>
      <c r="BW11" s="38">
        <f>IFERROR(INDEX(LMH_STEP,MATCH(AI11,LMH_KEY,0)),0)</f>
        <v>0</v>
      </c>
      <c r="BX11" s="38">
        <f>IFERROR(INDEX(LMH_STEP,MATCH(AJ11,LMH_KEY,0)),0)</f>
        <v>0</v>
      </c>
      <c r="BY11" s="38">
        <f>IFERROR(INDEX(LMH_STEP,MATCH(AK11,LMH_KEY,0)),0)</f>
        <v>0</v>
      </c>
      <c r="BZ11" s="38">
        <f>IFERROR(INDEX(LMH_STEP,MATCH(AL11,LMH_KEY,0)),0)</f>
        <v>0</v>
      </c>
      <c r="CA11" s="38" t="inlineStr">
        <is>
          <t>CARBON|Support|Associate Head – Customer Success|B3|B-M</t>
        </is>
      </c>
    </row>
    <row r="12" ht="110" customHeight="1">
      <c r="A12" s="28" t="inlineStr">
        <is>
          <t>CARBON</t>
        </is>
      </c>
      <c r="B12" s="29" t="inlineStr">
        <is>
          <t>Support</t>
        </is>
      </c>
      <c r="C12" s="29" t="n">
        <v>5</v>
      </c>
      <c r="D12" s="29" t="inlineStr">
        <is>
          <t>IRIS1935</t>
        </is>
      </c>
      <c r="E12" s="29" t="inlineStr">
        <is>
          <t>Chinmayi Patil</t>
        </is>
      </c>
      <c r="F12" s="29" t="inlineStr">
        <is>
          <t>Customer Success Manager</t>
        </is>
      </c>
      <c r="G12" s="29" t="inlineStr">
        <is>
          <t>Customer Success Specialist</t>
        </is>
      </c>
      <c r="H12" s="29" t="inlineStr">
        <is>
          <t>Customer Success &amp; Support</t>
        </is>
      </c>
      <c r="I12" s="29" t="inlineStr">
        <is>
          <t>Customer Success &amp; Account Management</t>
        </is>
      </c>
      <c r="J12" s="29" t="inlineStr">
        <is>
          <t>IC</t>
        </is>
      </c>
      <c r="K12" s="29" t="inlineStr">
        <is>
          <t>RC-036</t>
        </is>
      </c>
      <c r="L12" s="29" t="inlineStr">
        <is>
          <t>Anushree Aparajit</t>
        </is>
      </c>
      <c r="M12" s="29" t="inlineStr">
        <is>
          <t>IRIS1335</t>
        </is>
      </c>
      <c r="N12" s="29" t="n">
        <v>5.2</v>
      </c>
      <c r="O12" s="29" t="n">
        <v>5.2</v>
      </c>
      <c r="P12" s="29" t="inlineStr">
        <is>
          <t>MMS</t>
        </is>
      </c>
      <c r="Q12" s="29" t="inlineStr">
        <is>
          <t>L5 – Manager</t>
        </is>
      </c>
      <c r="R12" s="29" t="inlineStr">
        <is>
          <t>B2</t>
        </is>
      </c>
      <c r="S12" s="30" t="inlineStr">
        <is>
          <t>20 of 20</t>
        </is>
      </c>
      <c r="T12" s="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t>
        </is>
      </c>
      <c r="U12" s="31" t="inlineStr">
        <is>
          <t>Received · manager annual ·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t>
        </is>
      </c>
      <c r="V12" s="31" t="inlineStr">
        <is>
          <t>Latest rating: 4 · Potential: High · 9-box: Future Leader · Readiness: Ready now</t>
        </is>
      </c>
      <c r="W12" s="31" t="inlineStr">
        <is>
          <t>C M · Au M · Ac M · L L · BI M · Exp L · 5.2 yrs vs 6–9 yrs · Edu H · MMS</t>
        </is>
      </c>
      <c r="X12" s="33" t="inlineStr">
        <is>
          <t>Open ▸</t>
        </is>
      </c>
      <c r="Y12" s="34" t="str">
        <f>IFERROR(INDEX(DL_C,MATCH($CA12,DL_KEY,0)),"M")</f>
        <v>H</v>
      </c>
      <c r="Z12" s="35" t="str">
        <f>IFERROR(INDEX(DL_Au,MATCH($CA12,DL_KEY,0)),"M")</f>
        <v>M</v>
      </c>
      <c r="AA12" s="35" t="str">
        <f>IFERROR(INDEX(DL_Ac,MATCH($CA12,DL_KEY,0)),"M")</f>
        <v>M</v>
      </c>
      <c r="AB12" s="35" t="str">
        <f>IFERROR(INDEX(DL_L,MATCH($CA12,DL_KEY,0)),"M")</f>
        <v>L</v>
      </c>
      <c r="AC12" s="35" t="str">
        <f>IFERROR(INDEX(DL_BI,MATCH($CA12,DL_KEY,0)),"M")</f>
        <v>M</v>
      </c>
      <c r="AD12" s="35" t="str">
        <f>IFERROR(INDEX(DL_Exp,MATCH($CA12,DL_KEY,0)),"M")</f>
        <v>L</v>
      </c>
      <c r="AE12" s="35" t="str">
        <f>IFERROR(INDEX(DL_Edu,MATCH($CA12,DL_KEY,0)),"M")</f>
        <v>L</v>
      </c>
      <c r="AF12" s="34" t="inlineStr">
        <is>
          <t>M</t>
        </is>
      </c>
      <c r="AG12" s="35" t="inlineStr">
        <is>
          <t>M</t>
        </is>
      </c>
      <c r="AH12" s="35" t="inlineStr">
        <is>
          <t>M</t>
        </is>
      </c>
      <c r="AI12" s="35" t="inlineStr">
        <is>
          <t>M</t>
        </is>
      </c>
      <c r="AJ12" s="35" t="inlineStr">
        <is>
          <t>M</t>
        </is>
      </c>
      <c r="AK12" s="35" t="inlineStr">
        <is>
          <t>M</t>
        </is>
      </c>
      <c r="AL12" s="35" t="inlineStr">
        <is>
          <t>M</t>
        </is>
      </c>
      <c r="AM12" s="36" t="n">
        <v>0.513</v>
      </c>
      <c r="AN12" s="37" t="n">
        <v>0.173</v>
      </c>
      <c r="AO12" s="37" t="n">
        <v>0.09699999999999999</v>
      </c>
      <c r="AP12" s="37" t="n">
        <v>0.05</v>
      </c>
      <c r="AQ12" s="37" t="n">
        <v>0.07000000000000001</v>
      </c>
      <c r="AR12" s="37" t="n">
        <v>0.06</v>
      </c>
      <c r="AS12" s="37" t="n">
        <v>0.04</v>
      </c>
      <c r="AT12" s="38" t="inlineStr">
        <is>
          <t>6–10</t>
        </is>
      </c>
      <c r="AU12" s="38" t="inlineStr">
        <is>
          <t>Graduate or postgraduate; professional qualification preferred</t>
        </is>
      </c>
      <c r="AV12" s="38" t="inlineStr">
        <is>
          <t>IC: none · People: 6–8 knowledge work, 8–12 standardised delivery</t>
        </is>
      </c>
      <c r="AW12" s="38" t="inlineStr">
        <is>
          <t>P4 / M3 · SFIA 4–5</t>
        </is>
      </c>
      <c r="AX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 s="39" t="inlineStr">
        <is>
          <t>B2</t>
        </is>
      </c>
      <c r="AZ12" s="40" t="inlineStr">
        <is>
          <t>Band B · Specialist / Manager · Senior Specialist</t>
        </is>
      </c>
      <c r="BA12" s="40" t="inlineStr">
        <is>
          <t>Model B2 from the six ratings, the market-derived weights and rules R1–R13 · then No change · already below the manager</t>
        </is>
      </c>
      <c r="BB12" s="41" t="inlineStr">
        <is>
          <t>B1</t>
        </is>
      </c>
      <c r="BC12" s="40" t="inlineStr">
        <is>
          <t>The six ratings on the market-average weights of Band B · Specialist / POD Lead score 4.49 → B1 · Hay, Mercer IPE and public plans · experience 5.2 yrs vs the B1 market range 4–8</t>
        </is>
      </c>
      <c r="BD12" s="42">
        <f>IF(SUM(BM12,BN12,BO12,BP12,BQ12,BR12,BS12)=0,0,(BM12*BT12+BN12*BU12+BO12*BV12+BP12*BW12+BQ12*BX12+BR12*BY12+BS12*BZ12)/SUM(BM12,BN12,BO12,BP12,BQ12,BR12,BS12))</f>
        <v>0</v>
      </c>
      <c r="BE12" s="41" t="str">
        <f>IF(LEFT(AY12,1)="X",AY12,IF(OR(AY12="B+",AY12="C+"),INDEX(LAD_PC,MAX(1,MIN(14,MATCH(AY12,LAD_PC,0)+IF(BD12&gt;=0.5,1,IF(BD12&lt;=-0.5,-1,0))))),INDEX(LAD_STD,MAX(1,MIN(12,MATCH(AY12,LAD_STD,0)+IF(BD12&gt;=0.5,1,IF(BD12&lt;=-0.5,-1,0)))))))</f>
        <v>B2</v>
      </c>
      <c r="BF12" s="43" t="n"/>
      <c r="BG12" s="41" t="str">
        <f>IF(BF12&lt;&gt;"",BF12,BE12)</f>
        <v>B2</v>
      </c>
      <c r="BH12" s="40" t="str">
        <f>IFERROR(CHOOSE(INDEX(B_RANK,MATCH(BG12,B_LVL,0)),"Band A","Band B","B+ · Player-Coach","Band C","C+ · Player-Coach","Band D","Band E"),"Band X · Consultant")</f>
        <v>Band B</v>
      </c>
      <c r="BI12" s="40" t="str">
        <f>IF(BG12=AY12,"• Same",IF(INDEX(B_VAL,MATCH(BG12,B_LVL,0))&gt;INDEX(B_VAL,MATCH(AY12,B_LVL,0)),"▲ Up","▼ Down"))</f>
        <v>• Same</v>
      </c>
      <c r="BJ12" s="40" t="str">
        <f>IF(OR($M12="",$M12="—",$M12="Not in this file"),"",IFERROR(INDEX($BG$7:$BG$592,MATCH($M12,$D$7:$D$592,0)),""))</f>
        <v>B3</v>
      </c>
      <c r="BK12" s="40" t="str">
        <f>IFERROR(IF(BJ12="","—",IF(OR(LEFT(BG12,1)="X",LEFT(BJ12,1)="X"),"—",IF(AND(LEFT(BG12,1)="E",LEFT(BJ12,1)="E"),"Exception · Band E",IF(AND(INDEX(B_VAL,MATCH(BJ12,B_LVL,0))&gt;=7,INDEX(B_RANK,MATCH(BG12,B_LVL,0))&gt;=INDEX(B_RANK,MATCH(BJ12,B_LVL,0))),"⚠ Same band as a head manager",IF(INDEX(B_VAL,MATCH(BG12,B_LVL,0))&gt;=INDEX(B_VAL,MATCH(BJ12,B_LVL,0)),"⚠ At or above the manager's level","OK"))))),"—")</f>
        <v>OK</v>
      </c>
      <c r="BL12" s="43" t="n"/>
      <c r="BM12" s="44">
        <f>IFERROR(INDEX(LMH_PTS,MATCH(Y12,LMH_KEY,0)),0)</f>
        <v>9</v>
      </c>
      <c r="BN12" s="38">
        <f>IFERROR(INDEX(LMH_PTS,MATCH(Z12,LMH_KEY,0)),0)</f>
        <v>3</v>
      </c>
      <c r="BO12" s="38">
        <f>IFERROR(INDEX(LMH_PTS,MATCH(AA12,LMH_KEY,0)),0)</f>
        <v>3</v>
      </c>
      <c r="BP12" s="38">
        <f>IFERROR(INDEX(LMH_PTS,MATCH(AB12,LMH_KEY,0)),0)</f>
        <v>1</v>
      </c>
      <c r="BQ12" s="38">
        <f>IFERROR(INDEX(LMH_PTS,MATCH(AC12,LMH_KEY,0)),0)</f>
        <v>3</v>
      </c>
      <c r="BR12" s="38">
        <f>IFERROR(INDEX(LMH_PTS,MATCH(AD12,LMH_KEY,0)),0)</f>
        <v>1</v>
      </c>
      <c r="BS12" s="38">
        <f>IFERROR(INDEX(LMH_PTS,MATCH(AE12,LMH_KEY,0)),0)</f>
        <v>1</v>
      </c>
      <c r="BT12" s="38">
        <f>IFERROR(INDEX(LMH_STEP,MATCH(AF12,LMH_KEY,0)),0)</f>
        <v>0</v>
      </c>
      <c r="BU12" s="38">
        <f>IFERROR(INDEX(LMH_STEP,MATCH(AG12,LMH_KEY,0)),0)</f>
        <v>0</v>
      </c>
      <c r="BV12" s="38">
        <f>IFERROR(INDEX(LMH_STEP,MATCH(AH12,LMH_KEY,0)),0)</f>
        <v>0</v>
      </c>
      <c r="BW12" s="38">
        <f>IFERROR(INDEX(LMH_STEP,MATCH(AI12,LMH_KEY,0)),0)</f>
        <v>0</v>
      </c>
      <c r="BX12" s="38">
        <f>IFERROR(INDEX(LMH_STEP,MATCH(AJ12,LMH_KEY,0)),0)</f>
        <v>0</v>
      </c>
      <c r="BY12" s="38">
        <f>IFERROR(INDEX(LMH_STEP,MATCH(AK12,LMH_KEY,0)),0)</f>
        <v>0</v>
      </c>
      <c r="BZ12" s="38">
        <f>IFERROR(INDEX(LMH_STEP,MATCH(AL12,LMH_KEY,0)),0)</f>
        <v>0</v>
      </c>
      <c r="CA12" s="38" t="inlineStr">
        <is>
          <t>CARBON|Support|Customer Success Specialist|B2|B-IC</t>
        </is>
      </c>
    </row>
    <row r="13" ht="110" customHeight="1">
      <c r="A13" s="28" t="inlineStr">
        <is>
          <t>CARBON</t>
        </is>
      </c>
      <c r="B13" s="29" t="inlineStr">
        <is>
          <t>Support</t>
        </is>
      </c>
      <c r="C13" s="29" t="n">
        <v>5</v>
      </c>
      <c r="D13" s="29" t="inlineStr">
        <is>
          <t>IRIS1963</t>
        </is>
      </c>
      <c r="E13" s="29" t="inlineStr">
        <is>
          <t>Neha Gajbhiye</t>
        </is>
      </c>
      <c r="F13" s="29" t="inlineStr">
        <is>
          <t>Manager- Customer Engagement</t>
        </is>
      </c>
      <c r="G13" s="29" t="inlineStr">
        <is>
          <t>Senior Customer Success Specialist – POD Lead</t>
        </is>
      </c>
      <c r="H13" s="29" t="inlineStr">
        <is>
          <t>Customer Success &amp; Support</t>
        </is>
      </c>
      <c r="I13" s="29" t="inlineStr">
        <is>
          <t>Customer Success &amp; Account Management</t>
        </is>
      </c>
      <c r="J13" s="29" t="inlineStr">
        <is>
          <t>POD Lead</t>
        </is>
      </c>
      <c r="K13" s="29" t="inlineStr">
        <is>
          <t>RC-036</t>
        </is>
      </c>
      <c r="L13" s="29" t="inlineStr">
        <is>
          <t>Anushree Aparajit</t>
        </is>
      </c>
      <c r="M13" s="29" t="inlineStr">
        <is>
          <t>IRIS1335</t>
        </is>
      </c>
      <c r="N13" s="29" t="n">
        <v>16.2</v>
      </c>
      <c r="O13" s="29" t="n">
        <v>4.9</v>
      </c>
      <c r="P13" s="29" t="inlineStr">
        <is>
          <t>MBA</t>
        </is>
      </c>
      <c r="Q13" s="29" t="inlineStr">
        <is>
          <t>L5 – Manager</t>
        </is>
      </c>
      <c r="R13" s="29" t="inlineStr">
        <is>
          <t>B2</t>
        </is>
      </c>
      <c r="S13" s="30" t="inlineStr">
        <is>
          <t>20 of 20</t>
        </is>
      </c>
      <c r="T13" s="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t>
        </is>
      </c>
      <c r="U13" s="31" t="inlineStr">
        <is>
          <t>Received · manager annual · 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t>
        </is>
      </c>
      <c r="V13" s="31" t="inlineStr">
        <is>
          <t>Latest rating: 4 · Potential: High · 9-box: High Impact / Growth Talent · Readiness: Ready now</t>
        </is>
      </c>
      <c r="W13" s="31" t="inlineStr">
        <is>
          <t>C L · Au L · Ac M · L L · BI M · Exp H · 16.2 yrs vs 6–9 yrs · Edu H · MBA</t>
        </is>
      </c>
      <c r="X13" s="33" t="inlineStr">
        <is>
          <t>Open ▸</t>
        </is>
      </c>
      <c r="Y13" s="34" t="str">
        <f>IFERROR(INDEX(DL_C,MATCH($CA13,DL_KEY,0)),"M")</f>
        <v>H</v>
      </c>
      <c r="Z13" s="35" t="str">
        <f>IFERROR(INDEX(DL_Au,MATCH($CA13,DL_KEY,0)),"M")</f>
        <v>M</v>
      </c>
      <c r="AA13" s="35" t="str">
        <f>IFERROR(INDEX(DL_Ac,MATCH($CA13,DL_KEY,0)),"M")</f>
        <v>M</v>
      </c>
      <c r="AB13" s="35" t="str">
        <f>IFERROR(INDEX(DL_L,MATCH($CA13,DL_KEY,0)),"M")</f>
        <v>L</v>
      </c>
      <c r="AC13" s="35" t="str">
        <f>IFERROR(INDEX(DL_BI,MATCH($CA13,DL_KEY,0)),"M")</f>
        <v>M</v>
      </c>
      <c r="AD13" s="35" t="str">
        <f>IFERROR(INDEX(DL_Exp,MATCH($CA13,DL_KEY,0)),"M")</f>
        <v>L</v>
      </c>
      <c r="AE13" s="35" t="str">
        <f>IFERROR(INDEX(DL_Edu,MATCH($CA13,DL_KEY,0)),"M")</f>
        <v>L</v>
      </c>
      <c r="AF13" s="34" t="inlineStr">
        <is>
          <t>M</t>
        </is>
      </c>
      <c r="AG13" s="35" t="inlineStr">
        <is>
          <t>M</t>
        </is>
      </c>
      <c r="AH13" s="35" t="inlineStr">
        <is>
          <t>M</t>
        </is>
      </c>
      <c r="AI13" s="35" t="inlineStr">
        <is>
          <t>M</t>
        </is>
      </c>
      <c r="AJ13" s="35" t="inlineStr">
        <is>
          <t>M</t>
        </is>
      </c>
      <c r="AK13" s="35" t="inlineStr">
        <is>
          <t>M</t>
        </is>
      </c>
      <c r="AL13" s="35" t="inlineStr">
        <is>
          <t>M</t>
        </is>
      </c>
      <c r="AM13" s="36" t="n">
        <v>0.513</v>
      </c>
      <c r="AN13" s="37" t="n">
        <v>0.173</v>
      </c>
      <c r="AO13" s="37" t="n">
        <v>0.09699999999999999</v>
      </c>
      <c r="AP13" s="37" t="n">
        <v>0.05</v>
      </c>
      <c r="AQ13" s="37" t="n">
        <v>0.07000000000000001</v>
      </c>
      <c r="AR13" s="37" t="n">
        <v>0.06</v>
      </c>
      <c r="AS13" s="37" t="n">
        <v>0.04</v>
      </c>
      <c r="AT13" s="38" t="inlineStr">
        <is>
          <t>6–10</t>
        </is>
      </c>
      <c r="AU13" s="38" t="inlineStr">
        <is>
          <t>Graduate or postgraduate; professional qualification preferred</t>
        </is>
      </c>
      <c r="AV13" s="38" t="inlineStr">
        <is>
          <t>IC: none · People: 6–8 knowledge work, 8–12 standardised delivery</t>
        </is>
      </c>
      <c r="AW13" s="38" t="inlineStr">
        <is>
          <t>P4 / M3 · SFIA 4–5</t>
        </is>
      </c>
      <c r="AX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 s="39" t="inlineStr">
        <is>
          <t>B2</t>
        </is>
      </c>
      <c r="AZ13" s="40" t="inlineStr">
        <is>
          <t>Band B · Specialist / Manager · Manager</t>
        </is>
      </c>
      <c r="BA13" s="40" t="inlineStr">
        <is>
          <t>Model B2 from the six ratings, the market-derived weights and rules R1–R13 · then No change · already below the manager</t>
        </is>
      </c>
      <c r="BB13" s="41" t="inlineStr">
        <is>
          <t>B2</t>
        </is>
      </c>
      <c r="BC13" s="40" t="inlineStr">
        <is>
          <t>The six ratings on the market-average weights of Band B · Specialist / POD Lead score 4.57 → B2 · Hay, Mercer IPE and public plans · experience 16.2 yrs vs the B2 market range 6–10</t>
        </is>
      </c>
      <c r="BD13" s="42">
        <f>IF(SUM(BM13,BN13,BO13,BP13,BQ13,BR13,BS13)=0,0,(BM13*BT13+BN13*BU13+BO13*BV13+BP13*BW13+BQ13*BX13+BR13*BY13+BS13*BZ13)/SUM(BM13,BN13,BO13,BP13,BQ13,BR13,BS13))</f>
        <v>0</v>
      </c>
      <c r="BE13" s="41" t="str">
        <f>IF(LEFT(AY13,1)="X",AY13,IF(OR(AY13="B+",AY13="C+"),INDEX(LAD_PC,MAX(1,MIN(14,MATCH(AY13,LAD_PC,0)+IF(BD13&gt;=0.5,1,IF(BD13&lt;=-0.5,-1,0))))),INDEX(LAD_STD,MAX(1,MIN(12,MATCH(AY13,LAD_STD,0)+IF(BD13&gt;=0.5,1,IF(BD13&lt;=-0.5,-1,0)))))))</f>
        <v>B2</v>
      </c>
      <c r="BF13" s="43" t="n"/>
      <c r="BG13" s="41" t="str">
        <f>IF(BF13&lt;&gt;"",BF13,BE13)</f>
        <v>B2</v>
      </c>
      <c r="BH13" s="40" t="str">
        <f>IFERROR(CHOOSE(INDEX(B_RANK,MATCH(BG13,B_LVL,0)),"Band A","Band B","B+ · Player-Coach","Band C","C+ · Player-Coach","Band D","Band E"),"Band X · Consultant")</f>
        <v>Band B</v>
      </c>
      <c r="BI13" s="40" t="str">
        <f>IF(BG13=AY13,"• Same",IF(INDEX(B_VAL,MATCH(BG13,B_LVL,0))&gt;INDEX(B_VAL,MATCH(AY13,B_LVL,0)),"▲ Up","▼ Down"))</f>
        <v>• Same</v>
      </c>
      <c r="BJ13" s="40" t="str">
        <f>IF(OR($M13="",$M13="—",$M13="Not in this file"),"",IFERROR(INDEX($BG$7:$BG$592,MATCH($M13,$D$7:$D$592,0)),""))</f>
        <v>B3</v>
      </c>
      <c r="BK13" s="40" t="str">
        <f>IFERROR(IF(BJ13="","—",IF(OR(LEFT(BG13,1)="X",LEFT(BJ13,1)="X"),"—",IF(AND(LEFT(BG13,1)="E",LEFT(BJ13,1)="E"),"Exception · Band E",IF(AND(INDEX(B_VAL,MATCH(BJ13,B_LVL,0))&gt;=7,INDEX(B_RANK,MATCH(BG13,B_LVL,0))&gt;=INDEX(B_RANK,MATCH(BJ13,B_LVL,0))),"⚠ Same band as a head manager",IF(INDEX(B_VAL,MATCH(BG13,B_LVL,0))&gt;=INDEX(B_VAL,MATCH(BJ13,B_LVL,0)),"⚠ At or above the manager's level","OK"))))),"—")</f>
        <v>OK</v>
      </c>
      <c r="BL13" s="43" t="n"/>
      <c r="BM13" s="44">
        <f>IFERROR(INDEX(LMH_PTS,MATCH(Y13,LMH_KEY,0)),0)</f>
        <v>9</v>
      </c>
      <c r="BN13" s="38">
        <f>IFERROR(INDEX(LMH_PTS,MATCH(Z13,LMH_KEY,0)),0)</f>
        <v>3</v>
      </c>
      <c r="BO13" s="38">
        <f>IFERROR(INDEX(LMH_PTS,MATCH(AA13,LMH_KEY,0)),0)</f>
        <v>3</v>
      </c>
      <c r="BP13" s="38">
        <f>IFERROR(INDEX(LMH_PTS,MATCH(AB13,LMH_KEY,0)),0)</f>
        <v>1</v>
      </c>
      <c r="BQ13" s="38">
        <f>IFERROR(INDEX(LMH_PTS,MATCH(AC13,LMH_KEY,0)),0)</f>
        <v>3</v>
      </c>
      <c r="BR13" s="38">
        <f>IFERROR(INDEX(LMH_PTS,MATCH(AD13,LMH_KEY,0)),0)</f>
        <v>1</v>
      </c>
      <c r="BS13" s="38">
        <f>IFERROR(INDEX(LMH_PTS,MATCH(AE13,LMH_KEY,0)),0)</f>
        <v>1</v>
      </c>
      <c r="BT13" s="38">
        <f>IFERROR(INDEX(LMH_STEP,MATCH(AF13,LMH_KEY,0)),0)</f>
        <v>0</v>
      </c>
      <c r="BU13" s="38">
        <f>IFERROR(INDEX(LMH_STEP,MATCH(AG13,LMH_KEY,0)),0)</f>
        <v>0</v>
      </c>
      <c r="BV13" s="38">
        <f>IFERROR(INDEX(LMH_STEP,MATCH(AH13,LMH_KEY,0)),0)</f>
        <v>0</v>
      </c>
      <c r="BW13" s="38">
        <f>IFERROR(INDEX(LMH_STEP,MATCH(AI13,LMH_KEY,0)),0)</f>
        <v>0</v>
      </c>
      <c r="BX13" s="38">
        <f>IFERROR(INDEX(LMH_STEP,MATCH(AJ13,LMH_KEY,0)),0)</f>
        <v>0</v>
      </c>
      <c r="BY13" s="38">
        <f>IFERROR(INDEX(LMH_STEP,MATCH(AK13,LMH_KEY,0)),0)</f>
        <v>0</v>
      </c>
      <c r="BZ13" s="38">
        <f>IFERROR(INDEX(LMH_STEP,MATCH(AL13,LMH_KEY,0)),0)</f>
        <v>0</v>
      </c>
      <c r="CA13" s="38" t="inlineStr">
        <is>
          <t>CARBON|Support|Senior Customer Success Specialist – POD Lead|B2|B-IC</t>
        </is>
      </c>
    </row>
    <row r="14" ht="110" customHeight="1">
      <c r="A14" s="28" t="inlineStr">
        <is>
          <t>CARBON</t>
        </is>
      </c>
      <c r="B14" s="29" t="inlineStr">
        <is>
          <t>Support</t>
        </is>
      </c>
      <c r="C14" s="29" t="n">
        <v>6</v>
      </c>
      <c r="D14" s="29" t="inlineStr">
        <is>
          <t>IRISC184</t>
        </is>
      </c>
      <c r="E14" s="29" t="inlineStr">
        <is>
          <t>Tanya Dhere</t>
        </is>
      </c>
      <c r="F14" s="29" t="inlineStr">
        <is>
          <t>Consultant</t>
        </is>
      </c>
      <c r="G14" s="29" t="inlineStr">
        <is>
          <t>Senior Customer Success Executive</t>
        </is>
      </c>
      <c r="H14" s="29" t="inlineStr">
        <is>
          <t>Customer Success &amp; Support</t>
        </is>
      </c>
      <c r="I14" s="29" t="inlineStr">
        <is>
          <t>Customer Success &amp; Account Management</t>
        </is>
      </c>
      <c r="J14" s="29" t="inlineStr">
        <is>
          <t>IC</t>
        </is>
      </c>
      <c r="K14" s="29" t="inlineStr">
        <is>
          <t>RC-034</t>
        </is>
      </c>
      <c r="L14" s="29" t="inlineStr">
        <is>
          <t>Neha Gajbhiye</t>
        </is>
      </c>
      <c r="M14" s="29" t="inlineStr">
        <is>
          <t>IRIS1963</t>
        </is>
      </c>
      <c r="N14" s="29" t="n">
        <v>13</v>
      </c>
      <c r="O14" s="29" t="n">
        <v>6</v>
      </c>
      <c r="P14" s="29" t="inlineStr">
        <is>
          <t>B.Com</t>
        </is>
      </c>
      <c r="Q14" s="29" t="inlineStr">
        <is>
          <t>L3 – Professional / Associate</t>
        </is>
      </c>
      <c r="R14" s="29" t="inlineStr">
        <is>
          <t>A3</t>
        </is>
      </c>
      <c r="S14" s="30" t="inlineStr">
        <is>
          <t>19 of 20</t>
        </is>
      </c>
      <c r="T14" s="31" t="inlineStr">
        <is>
          <t>• Role / sub-team: PMO Activity, AI Testing.</t>
        </is>
      </c>
      <c r="U14" s="32" t="inlineStr">
        <is>
          <t>KRAs not received · manager to supply</t>
        </is>
      </c>
      <c r="V14" s="31" t="inlineStr">
        <is>
          <t>Latest rating: 3 · Potential: Low · 9-box: Reliable Specialist · Readiness: Develop in role</t>
        </is>
      </c>
      <c r="W14" s="31" t="inlineStr">
        <is>
          <t>C M · Au L · Ac M · L L · BI M · Exp H · 13 yrs vs 2–4 yrs · Edu M · B.Com</t>
        </is>
      </c>
      <c r="X14" s="33" t="inlineStr">
        <is>
          <t>Open ▸</t>
        </is>
      </c>
      <c r="Y14" s="34" t="str">
        <f>IFERROR(INDEX(DL_C,MATCH($CA14,DL_KEY,0)),"M")</f>
        <v>H</v>
      </c>
      <c r="Z14" s="35" t="str">
        <f>IFERROR(INDEX(DL_Au,MATCH($CA14,DL_KEY,0)),"M")</f>
        <v>M</v>
      </c>
      <c r="AA14" s="35" t="str">
        <f>IFERROR(INDEX(DL_Ac,MATCH($CA14,DL_KEY,0)),"M")</f>
        <v>M</v>
      </c>
      <c r="AB14" s="35" t="str">
        <f>IFERROR(INDEX(DL_L,MATCH($CA14,DL_KEY,0)),"M")</f>
        <v>L</v>
      </c>
      <c r="AC14" s="35" t="str">
        <f>IFERROR(INDEX(DL_BI,MATCH($CA14,DL_KEY,0)),"M")</f>
        <v>M</v>
      </c>
      <c r="AD14" s="35" t="str">
        <f>IFERROR(INDEX(DL_Exp,MATCH($CA14,DL_KEY,0)),"M")</f>
        <v>L</v>
      </c>
      <c r="AE14" s="35" t="str">
        <f>IFERROR(INDEX(DL_Edu,MATCH($CA14,DL_KEY,0)),"M")</f>
        <v>L</v>
      </c>
      <c r="AF14" s="34" t="inlineStr">
        <is>
          <t>M</t>
        </is>
      </c>
      <c r="AG14" s="35" t="inlineStr">
        <is>
          <t>M</t>
        </is>
      </c>
      <c r="AH14" s="35" t="inlineStr">
        <is>
          <t>M</t>
        </is>
      </c>
      <c r="AI14" s="35" t="inlineStr">
        <is>
          <t>M</t>
        </is>
      </c>
      <c r="AJ14" s="35" t="inlineStr">
        <is>
          <t>M</t>
        </is>
      </c>
      <c r="AK14" s="35" t="inlineStr">
        <is>
          <t>M</t>
        </is>
      </c>
      <c r="AL14" s="35" t="inlineStr">
        <is>
          <t>M</t>
        </is>
      </c>
      <c r="AM14" s="36" t="n">
        <v>0.583</v>
      </c>
      <c r="AN14" s="37" t="n">
        <v>0.16</v>
      </c>
      <c r="AO14" s="37" t="n">
        <v>0.09</v>
      </c>
      <c r="AP14" s="37" t="n">
        <v>0</v>
      </c>
      <c r="AQ14" s="37" t="n">
        <v>0.063</v>
      </c>
      <c r="AR14" s="37" t="n">
        <v>0.06</v>
      </c>
      <c r="AS14" s="37" t="n">
        <v>0.04</v>
      </c>
      <c r="AT14" s="38" t="inlineStr">
        <is>
          <t>2–5</t>
        </is>
      </c>
      <c r="AU14" s="38" t="inlineStr">
        <is>
          <t>Graduate; relevant certification preferred</t>
        </is>
      </c>
      <c r="AV14" s="38" t="inlineStr">
        <is>
          <t>None · guides 1–3 juniors informally</t>
        </is>
      </c>
      <c r="AW14" s="38" t="inlineStr">
        <is>
          <t>P2 · SFIA 3 Apply</t>
        </is>
      </c>
      <c r="AX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 s="39" t="inlineStr">
        <is>
          <t>A3</t>
        </is>
      </c>
      <c r="AZ14" s="40" t="inlineStr">
        <is>
          <t>Band A · Practitioner · Senior Associate</t>
        </is>
      </c>
      <c r="BA14" s="40" t="inlineStr">
        <is>
          <t>Model A3 from the six ratings, the market-derived weights and rules R1–R13 · then No change · already below the manager</t>
        </is>
      </c>
      <c r="BB14" s="41" t="inlineStr">
        <is>
          <t>A3</t>
        </is>
      </c>
      <c r="BC14" s="40" t="inlineStr">
        <is>
          <t>The six ratings on the market-average weights of Band A · all tracks score 2.92 → A3 · Hay, Mercer IPE and public plans · experience 13 yrs vs the A3 market range 2–5</t>
        </is>
      </c>
      <c r="BD14" s="42">
        <f>IF(SUM(BM14,BN14,BO14,BP14,BQ14,BR14,BS14)=0,0,(BM14*BT14+BN14*BU14+BO14*BV14+BP14*BW14+BQ14*BX14+BR14*BY14+BS14*BZ14)/SUM(BM14,BN14,BO14,BP14,BQ14,BR14,BS14))</f>
        <v>0</v>
      </c>
      <c r="BE14" s="41" t="str">
        <f>IF(LEFT(AY14,1)="X",AY14,IF(OR(AY14="B+",AY14="C+"),INDEX(LAD_PC,MAX(1,MIN(14,MATCH(AY14,LAD_PC,0)+IF(BD14&gt;=0.5,1,IF(BD14&lt;=-0.5,-1,0))))),INDEX(LAD_STD,MAX(1,MIN(12,MATCH(AY14,LAD_STD,0)+IF(BD14&gt;=0.5,1,IF(BD14&lt;=-0.5,-1,0)))))))</f>
        <v>A3</v>
      </c>
      <c r="BF14" s="43" t="n"/>
      <c r="BG14" s="41" t="str">
        <f>IF(BF14&lt;&gt;"",BF14,BE14)</f>
        <v>A3</v>
      </c>
      <c r="BH14" s="40" t="str">
        <f>IFERROR(CHOOSE(INDEX(B_RANK,MATCH(BG14,B_LVL,0)),"Band A","Band B","B+ · Player-Coach","Band C","C+ · Player-Coach","Band D","Band E"),"Band X · Consultant")</f>
        <v>Band A</v>
      </c>
      <c r="BI14" s="40" t="str">
        <f>IF(BG14=AY14,"• Same",IF(INDEX(B_VAL,MATCH(BG14,B_LVL,0))&gt;INDEX(B_VAL,MATCH(AY14,B_LVL,0)),"▲ Up","▼ Down"))</f>
        <v>• Same</v>
      </c>
      <c r="BJ14" s="40" t="str">
        <f>IF(OR($M14="",$M14="—",$M14="Not in this file"),"",IFERROR(INDEX($BG$7:$BG$592,MATCH($M14,$D$7:$D$592,0)),""))</f>
        <v>B2</v>
      </c>
      <c r="BK14" s="40" t="str">
        <f>IFERROR(IF(BJ14="","—",IF(OR(LEFT(BG14,1)="X",LEFT(BJ14,1)="X"),"—",IF(AND(LEFT(BG14,1)="E",LEFT(BJ14,1)="E"),"Exception · Band E",IF(AND(INDEX(B_VAL,MATCH(BJ14,B_LVL,0))&gt;=7,INDEX(B_RANK,MATCH(BG14,B_LVL,0))&gt;=INDEX(B_RANK,MATCH(BJ14,B_LVL,0))),"⚠ Same band as a head manager",IF(INDEX(B_VAL,MATCH(BG14,B_LVL,0))&gt;=INDEX(B_VAL,MATCH(BJ14,B_LVL,0)),"⚠ At or above the manager's level","OK"))))),"—")</f>
        <v>OK</v>
      </c>
      <c r="BL14" s="43" t="n"/>
      <c r="BM14" s="44">
        <f>IFERROR(INDEX(LMH_PTS,MATCH(Y14,LMH_KEY,0)),0)</f>
        <v>9</v>
      </c>
      <c r="BN14" s="38">
        <f>IFERROR(INDEX(LMH_PTS,MATCH(Z14,LMH_KEY,0)),0)</f>
        <v>3</v>
      </c>
      <c r="BO14" s="38">
        <f>IFERROR(INDEX(LMH_PTS,MATCH(AA14,LMH_KEY,0)),0)</f>
        <v>3</v>
      </c>
      <c r="BP14" s="38">
        <f>IFERROR(INDEX(LMH_PTS,MATCH(AB14,LMH_KEY,0)),0)</f>
        <v>1</v>
      </c>
      <c r="BQ14" s="38">
        <f>IFERROR(INDEX(LMH_PTS,MATCH(AC14,LMH_KEY,0)),0)</f>
        <v>3</v>
      </c>
      <c r="BR14" s="38">
        <f>IFERROR(INDEX(LMH_PTS,MATCH(AD14,LMH_KEY,0)),0)</f>
        <v>1</v>
      </c>
      <c r="BS14" s="38">
        <f>IFERROR(INDEX(LMH_PTS,MATCH(AE14,LMH_KEY,0)),0)</f>
        <v>1</v>
      </c>
      <c r="BT14" s="38">
        <f>IFERROR(INDEX(LMH_STEP,MATCH(AF14,LMH_KEY,0)),0)</f>
        <v>0</v>
      </c>
      <c r="BU14" s="38">
        <f>IFERROR(INDEX(LMH_STEP,MATCH(AG14,LMH_KEY,0)),0)</f>
        <v>0</v>
      </c>
      <c r="BV14" s="38">
        <f>IFERROR(INDEX(LMH_STEP,MATCH(AH14,LMH_KEY,0)),0)</f>
        <v>0</v>
      </c>
      <c r="BW14" s="38">
        <f>IFERROR(INDEX(LMH_STEP,MATCH(AI14,LMH_KEY,0)),0)</f>
        <v>0</v>
      </c>
      <c r="BX14" s="38">
        <f>IFERROR(INDEX(LMH_STEP,MATCH(AJ14,LMH_KEY,0)),0)</f>
        <v>0</v>
      </c>
      <c r="BY14" s="38">
        <f>IFERROR(INDEX(LMH_STEP,MATCH(AK14,LMH_KEY,0)),0)</f>
        <v>0</v>
      </c>
      <c r="BZ14" s="38">
        <f>IFERROR(INDEX(LMH_STEP,MATCH(AL14,LMH_KEY,0)),0)</f>
        <v>0</v>
      </c>
      <c r="CA14" s="38" t="inlineStr">
        <is>
          <t>CARBON|Support|Senior Customer Success Executive|A3|A</t>
        </is>
      </c>
    </row>
    <row r="15" ht="110" customHeight="1">
      <c r="A15" s="28" t="inlineStr">
        <is>
          <t>CARBON</t>
        </is>
      </c>
      <c r="B15" s="29" t="inlineStr">
        <is>
          <t>Support</t>
        </is>
      </c>
      <c r="C15" s="29" t="n">
        <v>5</v>
      </c>
      <c r="D15" s="29" t="inlineStr">
        <is>
          <t>IRIS1959</t>
        </is>
      </c>
      <c r="E15" s="29" t="inlineStr">
        <is>
          <t>Praveen Kumar Rajpurohit</t>
        </is>
      </c>
      <c r="F15" s="29" t="inlineStr">
        <is>
          <t>Manager- Customer Engagement</t>
        </is>
      </c>
      <c r="G15" s="29" t="inlineStr">
        <is>
          <t>Senior Customer Success Specialist</t>
        </is>
      </c>
      <c r="H15" s="29" t="inlineStr">
        <is>
          <t>Customer Success &amp; Support</t>
        </is>
      </c>
      <c r="I15" s="29" t="inlineStr">
        <is>
          <t>Customer Success &amp; Account Management</t>
        </is>
      </c>
      <c r="J15" s="29" t="inlineStr">
        <is>
          <t>IC</t>
        </is>
      </c>
      <c r="K15" s="29" t="inlineStr">
        <is>
          <t>RC-036</t>
        </is>
      </c>
      <c r="L15" s="29" t="inlineStr">
        <is>
          <t>Anushree Aparajit</t>
        </is>
      </c>
      <c r="M15" s="29" t="inlineStr">
        <is>
          <t>IRIS1335</t>
        </is>
      </c>
      <c r="N15" s="29" t="n">
        <v>14.6</v>
      </c>
      <c r="O15" s="29" t="n">
        <v>5</v>
      </c>
      <c r="P15" s="29" t="inlineStr">
        <is>
          <t>MBA</t>
        </is>
      </c>
      <c r="Q15" s="29" t="inlineStr">
        <is>
          <t>L5 – Manager</t>
        </is>
      </c>
      <c r="R15" s="29" t="inlineStr">
        <is>
          <t>B2</t>
        </is>
      </c>
      <c r="S15" s="30" t="inlineStr">
        <is>
          <t>20 of 20</t>
        </is>
      </c>
      <c r="T15" s="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t>
        </is>
      </c>
      <c r="U15" s="31" t="inlineStr">
        <is>
          <t>Received · manager annual · 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t>
        </is>
      </c>
      <c r="V15" s="31" t="inlineStr">
        <is>
          <t>Latest rating: 3 · Potential: Medium · 9-box: Core Contributor · Readiness: Develop in role</t>
        </is>
      </c>
      <c r="W15" s="31" t="inlineStr">
        <is>
          <t>C L · Au L · Ac M · L L · BI M · Exp H · 14.6 yrs vs 6–9 yrs · Edu H · MBA</t>
        </is>
      </c>
      <c r="X15" s="33" t="inlineStr">
        <is>
          <t>Open ▸</t>
        </is>
      </c>
      <c r="Y15" s="34" t="str">
        <f>IFERROR(INDEX(DL_C,MATCH($CA15,DL_KEY,0)),"M")</f>
        <v>H</v>
      </c>
      <c r="Z15" s="35" t="str">
        <f>IFERROR(INDEX(DL_Au,MATCH($CA15,DL_KEY,0)),"M")</f>
        <v>M</v>
      </c>
      <c r="AA15" s="35" t="str">
        <f>IFERROR(INDEX(DL_Ac,MATCH($CA15,DL_KEY,0)),"M")</f>
        <v>M</v>
      </c>
      <c r="AB15" s="35" t="str">
        <f>IFERROR(INDEX(DL_L,MATCH($CA15,DL_KEY,0)),"M")</f>
        <v>L</v>
      </c>
      <c r="AC15" s="35" t="str">
        <f>IFERROR(INDEX(DL_BI,MATCH($CA15,DL_KEY,0)),"M")</f>
        <v>M</v>
      </c>
      <c r="AD15" s="35" t="str">
        <f>IFERROR(INDEX(DL_Exp,MATCH($CA15,DL_KEY,0)),"M")</f>
        <v>L</v>
      </c>
      <c r="AE15" s="35" t="str">
        <f>IFERROR(INDEX(DL_Edu,MATCH($CA15,DL_KEY,0)),"M")</f>
        <v>L</v>
      </c>
      <c r="AF15" s="34" t="inlineStr">
        <is>
          <t>M</t>
        </is>
      </c>
      <c r="AG15" s="35" t="inlineStr">
        <is>
          <t>M</t>
        </is>
      </c>
      <c r="AH15" s="35" t="inlineStr">
        <is>
          <t>M</t>
        </is>
      </c>
      <c r="AI15" s="35" t="inlineStr">
        <is>
          <t>M</t>
        </is>
      </c>
      <c r="AJ15" s="35" t="inlineStr">
        <is>
          <t>M</t>
        </is>
      </c>
      <c r="AK15" s="35" t="inlineStr">
        <is>
          <t>M</t>
        </is>
      </c>
      <c r="AL15" s="35" t="inlineStr">
        <is>
          <t>M</t>
        </is>
      </c>
      <c r="AM15" s="36" t="n">
        <v>0.513</v>
      </c>
      <c r="AN15" s="37" t="n">
        <v>0.173</v>
      </c>
      <c r="AO15" s="37" t="n">
        <v>0.09699999999999999</v>
      </c>
      <c r="AP15" s="37" t="n">
        <v>0.05</v>
      </c>
      <c r="AQ15" s="37" t="n">
        <v>0.07000000000000001</v>
      </c>
      <c r="AR15" s="37" t="n">
        <v>0.06</v>
      </c>
      <c r="AS15" s="37" t="n">
        <v>0.04</v>
      </c>
      <c r="AT15" s="38" t="inlineStr">
        <is>
          <t>6–10</t>
        </is>
      </c>
      <c r="AU15" s="38" t="inlineStr">
        <is>
          <t>Graduate or postgraduate; professional qualification preferred</t>
        </is>
      </c>
      <c r="AV15" s="38" t="inlineStr">
        <is>
          <t>IC: none · People: 6–8 knowledge work, 8–12 standardised delivery</t>
        </is>
      </c>
      <c r="AW15" s="38" t="inlineStr">
        <is>
          <t>P4 / M3 · SFIA 4–5</t>
        </is>
      </c>
      <c r="AX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 s="39" t="inlineStr">
        <is>
          <t>B2</t>
        </is>
      </c>
      <c r="AZ15" s="40" t="inlineStr">
        <is>
          <t>Band B · Specialist / Manager · Senior Specialist</t>
        </is>
      </c>
      <c r="BA15" s="40" t="inlineStr">
        <is>
          <t>Model B2 from the six ratings, the market-derived weights and rules R1–R13 · then No change · already below the manager</t>
        </is>
      </c>
      <c r="BB15" s="41" t="inlineStr">
        <is>
          <t>B2</t>
        </is>
      </c>
      <c r="BC15" s="40" t="inlineStr">
        <is>
          <t>The six ratings on the market-average weights of Band B · Specialist / POD Lead score 4.60 → B2 · Hay, Mercer IPE and public plans · experience 14.6 yrs vs the B2 market range 6–10</t>
        </is>
      </c>
      <c r="BD15" s="42">
        <f>IF(SUM(BM15,BN15,BO15,BP15,BQ15,BR15,BS15)=0,0,(BM15*BT15+BN15*BU15+BO15*BV15+BP15*BW15+BQ15*BX15+BR15*BY15+BS15*BZ15)/SUM(BM15,BN15,BO15,BP15,BQ15,BR15,BS15))</f>
        <v>0</v>
      </c>
      <c r="BE15" s="41" t="str">
        <f>IF(LEFT(AY15,1)="X",AY15,IF(OR(AY15="B+",AY15="C+"),INDEX(LAD_PC,MAX(1,MIN(14,MATCH(AY15,LAD_PC,0)+IF(BD15&gt;=0.5,1,IF(BD15&lt;=-0.5,-1,0))))),INDEX(LAD_STD,MAX(1,MIN(12,MATCH(AY15,LAD_STD,0)+IF(BD15&gt;=0.5,1,IF(BD15&lt;=-0.5,-1,0)))))))</f>
        <v>B2</v>
      </c>
      <c r="BF15" s="43" t="n"/>
      <c r="BG15" s="41" t="str">
        <f>IF(BF15&lt;&gt;"",BF15,BE15)</f>
        <v>B2</v>
      </c>
      <c r="BH15" s="40" t="str">
        <f>IFERROR(CHOOSE(INDEX(B_RANK,MATCH(BG15,B_LVL,0)),"Band A","Band B","B+ · Player-Coach","Band C","C+ · Player-Coach","Band D","Band E"),"Band X · Consultant")</f>
        <v>Band B</v>
      </c>
      <c r="BI15" s="40" t="str">
        <f>IF(BG15=AY15,"• Same",IF(INDEX(B_VAL,MATCH(BG15,B_LVL,0))&gt;INDEX(B_VAL,MATCH(AY15,B_LVL,0)),"▲ Up","▼ Down"))</f>
        <v>• Same</v>
      </c>
      <c r="BJ15" s="40" t="str">
        <f>IF(OR($M15="",$M15="—",$M15="Not in this file"),"",IFERROR(INDEX($BG$7:$BG$592,MATCH($M15,$D$7:$D$592,0)),""))</f>
        <v>B3</v>
      </c>
      <c r="BK15" s="40" t="str">
        <f>IFERROR(IF(BJ15="","—",IF(OR(LEFT(BG15,1)="X",LEFT(BJ15,1)="X"),"—",IF(AND(LEFT(BG15,1)="E",LEFT(BJ15,1)="E"),"Exception · Band E",IF(AND(INDEX(B_VAL,MATCH(BJ15,B_LVL,0))&gt;=7,INDEX(B_RANK,MATCH(BG15,B_LVL,0))&gt;=INDEX(B_RANK,MATCH(BJ15,B_LVL,0))),"⚠ Same band as a head manager",IF(INDEX(B_VAL,MATCH(BG15,B_LVL,0))&gt;=INDEX(B_VAL,MATCH(BJ15,B_LVL,0)),"⚠ At or above the manager's level","OK"))))),"—")</f>
        <v>OK</v>
      </c>
      <c r="BL15" s="43" t="n"/>
      <c r="BM15" s="44">
        <f>IFERROR(INDEX(LMH_PTS,MATCH(Y15,LMH_KEY,0)),0)</f>
        <v>9</v>
      </c>
      <c r="BN15" s="38">
        <f>IFERROR(INDEX(LMH_PTS,MATCH(Z15,LMH_KEY,0)),0)</f>
        <v>3</v>
      </c>
      <c r="BO15" s="38">
        <f>IFERROR(INDEX(LMH_PTS,MATCH(AA15,LMH_KEY,0)),0)</f>
        <v>3</v>
      </c>
      <c r="BP15" s="38">
        <f>IFERROR(INDEX(LMH_PTS,MATCH(AB15,LMH_KEY,0)),0)</f>
        <v>1</v>
      </c>
      <c r="BQ15" s="38">
        <f>IFERROR(INDEX(LMH_PTS,MATCH(AC15,LMH_KEY,0)),0)</f>
        <v>3</v>
      </c>
      <c r="BR15" s="38">
        <f>IFERROR(INDEX(LMH_PTS,MATCH(AD15,LMH_KEY,0)),0)</f>
        <v>1</v>
      </c>
      <c r="BS15" s="38">
        <f>IFERROR(INDEX(LMH_PTS,MATCH(AE15,LMH_KEY,0)),0)</f>
        <v>1</v>
      </c>
      <c r="BT15" s="38">
        <f>IFERROR(INDEX(LMH_STEP,MATCH(AF15,LMH_KEY,0)),0)</f>
        <v>0</v>
      </c>
      <c r="BU15" s="38">
        <f>IFERROR(INDEX(LMH_STEP,MATCH(AG15,LMH_KEY,0)),0)</f>
        <v>0</v>
      </c>
      <c r="BV15" s="38">
        <f>IFERROR(INDEX(LMH_STEP,MATCH(AH15,LMH_KEY,0)),0)</f>
        <v>0</v>
      </c>
      <c r="BW15" s="38">
        <f>IFERROR(INDEX(LMH_STEP,MATCH(AI15,LMH_KEY,0)),0)</f>
        <v>0</v>
      </c>
      <c r="BX15" s="38">
        <f>IFERROR(INDEX(LMH_STEP,MATCH(AJ15,LMH_KEY,0)),0)</f>
        <v>0</v>
      </c>
      <c r="BY15" s="38">
        <f>IFERROR(INDEX(LMH_STEP,MATCH(AK15,LMH_KEY,0)),0)</f>
        <v>0</v>
      </c>
      <c r="BZ15" s="38">
        <f>IFERROR(INDEX(LMH_STEP,MATCH(AL15,LMH_KEY,0)),0)</f>
        <v>0</v>
      </c>
      <c r="CA15" s="38" t="inlineStr">
        <is>
          <t>CARBON|Support|Senior Customer Success Specialist|B2|B-IC</t>
        </is>
      </c>
    </row>
    <row r="16" ht="110" customHeight="1">
      <c r="A16" s="28" t="inlineStr">
        <is>
          <t>CARBON</t>
        </is>
      </c>
      <c r="B16" s="29" t="inlineStr">
        <is>
          <t>Support</t>
        </is>
      </c>
      <c r="C16" s="29" t="n">
        <v>5</v>
      </c>
      <c r="D16" s="29" t="inlineStr">
        <is>
          <t>IRIS1967</t>
        </is>
      </c>
      <c r="E16" s="29" t="inlineStr">
        <is>
          <t>Pritam Agarwal</t>
        </is>
      </c>
      <c r="F16" s="29" t="inlineStr">
        <is>
          <t>Manager- Customer Engagement</t>
        </is>
      </c>
      <c r="G16" s="29" t="inlineStr">
        <is>
          <t>Senior Customer Success Specialist</t>
        </is>
      </c>
      <c r="H16" s="29" t="inlineStr">
        <is>
          <t>Customer Success &amp; Support</t>
        </is>
      </c>
      <c r="I16" s="29" t="inlineStr">
        <is>
          <t>Customer Success &amp; Account Management</t>
        </is>
      </c>
      <c r="J16" s="29" t="inlineStr">
        <is>
          <t>IC</t>
        </is>
      </c>
      <c r="K16" s="29" t="inlineStr">
        <is>
          <t>RC-036</t>
        </is>
      </c>
      <c r="L16" s="29" t="inlineStr">
        <is>
          <t>Anushree Aparajit</t>
        </is>
      </c>
      <c r="M16" s="29" t="inlineStr">
        <is>
          <t>IRIS1335</t>
        </is>
      </c>
      <c r="N16" s="29" t="n">
        <v>20.1</v>
      </c>
      <c r="O16" s="29" t="n">
        <v>4.8</v>
      </c>
      <c r="P16" s="29" t="inlineStr">
        <is>
          <t>PGDM</t>
        </is>
      </c>
      <c r="Q16" s="29" t="inlineStr">
        <is>
          <t>L5 – Manager</t>
        </is>
      </c>
      <c r="R16" s="29" t="inlineStr">
        <is>
          <t>B2</t>
        </is>
      </c>
      <c r="S16" s="30" t="inlineStr">
        <is>
          <t>20 of 20</t>
        </is>
      </c>
      <c r="T16" s="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t>
        </is>
      </c>
      <c r="U16" s="31" t="inlineStr">
        <is>
          <t>Received · manager annual ·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t>
        </is>
      </c>
      <c r="V16" s="31" t="inlineStr">
        <is>
          <t>Latest rating: 2 · Potential: Medium · 9-box: Core Contributor · Readiness: Performance first</t>
        </is>
      </c>
      <c r="W16" s="31" t="inlineStr">
        <is>
          <t>C M · Au M · Ac M · L L · BI M · Exp H · 20.1 yrs vs 6–9 yrs · Edu H · PGDM</t>
        </is>
      </c>
      <c r="X16" s="33" t="inlineStr">
        <is>
          <t>Open ▸</t>
        </is>
      </c>
      <c r="Y16" s="34" t="str">
        <f>IFERROR(INDEX(DL_C,MATCH($CA16,DL_KEY,0)),"M")</f>
        <v>H</v>
      </c>
      <c r="Z16" s="35" t="str">
        <f>IFERROR(INDEX(DL_Au,MATCH($CA16,DL_KEY,0)),"M")</f>
        <v>M</v>
      </c>
      <c r="AA16" s="35" t="str">
        <f>IFERROR(INDEX(DL_Ac,MATCH($CA16,DL_KEY,0)),"M")</f>
        <v>M</v>
      </c>
      <c r="AB16" s="35" t="str">
        <f>IFERROR(INDEX(DL_L,MATCH($CA16,DL_KEY,0)),"M")</f>
        <v>L</v>
      </c>
      <c r="AC16" s="35" t="str">
        <f>IFERROR(INDEX(DL_BI,MATCH($CA16,DL_KEY,0)),"M")</f>
        <v>M</v>
      </c>
      <c r="AD16" s="35" t="str">
        <f>IFERROR(INDEX(DL_Exp,MATCH($CA16,DL_KEY,0)),"M")</f>
        <v>L</v>
      </c>
      <c r="AE16" s="35" t="str">
        <f>IFERROR(INDEX(DL_Edu,MATCH($CA16,DL_KEY,0)),"M")</f>
        <v>L</v>
      </c>
      <c r="AF16" s="34" t="inlineStr">
        <is>
          <t>M</t>
        </is>
      </c>
      <c r="AG16" s="35" t="inlineStr">
        <is>
          <t>M</t>
        </is>
      </c>
      <c r="AH16" s="35" t="inlineStr">
        <is>
          <t>M</t>
        </is>
      </c>
      <c r="AI16" s="35" t="inlineStr">
        <is>
          <t>M</t>
        </is>
      </c>
      <c r="AJ16" s="35" t="inlineStr">
        <is>
          <t>M</t>
        </is>
      </c>
      <c r="AK16" s="35" t="inlineStr">
        <is>
          <t>M</t>
        </is>
      </c>
      <c r="AL16" s="35" t="inlineStr">
        <is>
          <t>M</t>
        </is>
      </c>
      <c r="AM16" s="36" t="n">
        <v>0.513</v>
      </c>
      <c r="AN16" s="37" t="n">
        <v>0.173</v>
      </c>
      <c r="AO16" s="37" t="n">
        <v>0.09699999999999999</v>
      </c>
      <c r="AP16" s="37" t="n">
        <v>0.05</v>
      </c>
      <c r="AQ16" s="37" t="n">
        <v>0.07000000000000001</v>
      </c>
      <c r="AR16" s="37" t="n">
        <v>0.06</v>
      </c>
      <c r="AS16" s="37" t="n">
        <v>0.04</v>
      </c>
      <c r="AT16" s="38" t="inlineStr">
        <is>
          <t>6–10</t>
        </is>
      </c>
      <c r="AU16" s="38" t="inlineStr">
        <is>
          <t>Graduate or postgraduate; professional qualification preferred</t>
        </is>
      </c>
      <c r="AV16" s="38" t="inlineStr">
        <is>
          <t>IC: none · People: 6–8 knowledge work, 8–12 standardised delivery</t>
        </is>
      </c>
      <c r="AW16" s="38" t="inlineStr">
        <is>
          <t>P4 / M3 · SFIA 4–5</t>
        </is>
      </c>
      <c r="AX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 s="39" t="inlineStr">
        <is>
          <t>B2</t>
        </is>
      </c>
      <c r="AZ16" s="40" t="inlineStr">
        <is>
          <t>Band B · Specialist / Manager · Senior Specialist</t>
        </is>
      </c>
      <c r="BA16" s="40" t="inlineStr">
        <is>
          <t>Model B2 from the six ratings, the market-derived weights and rules R1–R13 · then No change · already below the manager</t>
        </is>
      </c>
      <c r="BB16" s="41" t="inlineStr">
        <is>
          <t>B2</t>
        </is>
      </c>
      <c r="BC16" s="40" t="inlineStr">
        <is>
          <t>The six ratings on the market-average weights of Band B · Specialist / POD Lead score 5.03 → B2 · Hay, Mercer IPE and public plans · experience 20.1 yrs vs the B2 market range 6–10</t>
        </is>
      </c>
      <c r="BD16" s="42">
        <f>IF(SUM(BM16,BN16,BO16,BP16,BQ16,BR16,BS16)=0,0,(BM16*BT16+BN16*BU16+BO16*BV16+BP16*BW16+BQ16*BX16+BR16*BY16+BS16*BZ16)/SUM(BM16,BN16,BO16,BP16,BQ16,BR16,BS16))</f>
        <v>0</v>
      </c>
      <c r="BE16" s="41" t="str">
        <f>IF(LEFT(AY16,1)="X",AY16,IF(OR(AY16="B+",AY16="C+"),INDEX(LAD_PC,MAX(1,MIN(14,MATCH(AY16,LAD_PC,0)+IF(BD16&gt;=0.5,1,IF(BD16&lt;=-0.5,-1,0))))),INDEX(LAD_STD,MAX(1,MIN(12,MATCH(AY16,LAD_STD,0)+IF(BD16&gt;=0.5,1,IF(BD16&lt;=-0.5,-1,0)))))))</f>
        <v>B2</v>
      </c>
      <c r="BF16" s="43" t="n"/>
      <c r="BG16" s="41" t="str">
        <f>IF(BF16&lt;&gt;"",BF16,BE16)</f>
        <v>B2</v>
      </c>
      <c r="BH16" s="40" t="str">
        <f>IFERROR(CHOOSE(INDEX(B_RANK,MATCH(BG16,B_LVL,0)),"Band A","Band B","B+ · Player-Coach","Band C","C+ · Player-Coach","Band D","Band E"),"Band X · Consultant")</f>
        <v>Band B</v>
      </c>
      <c r="BI16" s="40" t="str">
        <f>IF(BG16=AY16,"• Same",IF(INDEX(B_VAL,MATCH(BG16,B_LVL,0))&gt;INDEX(B_VAL,MATCH(AY16,B_LVL,0)),"▲ Up","▼ Down"))</f>
        <v>• Same</v>
      </c>
      <c r="BJ16" s="40" t="str">
        <f>IF(OR($M16="",$M16="—",$M16="Not in this file"),"",IFERROR(INDEX($BG$7:$BG$592,MATCH($M16,$D$7:$D$592,0)),""))</f>
        <v>B3</v>
      </c>
      <c r="BK16" s="40" t="str">
        <f>IFERROR(IF(BJ16="","—",IF(OR(LEFT(BG16,1)="X",LEFT(BJ16,1)="X"),"—",IF(AND(LEFT(BG16,1)="E",LEFT(BJ16,1)="E"),"Exception · Band E",IF(AND(INDEX(B_VAL,MATCH(BJ16,B_LVL,0))&gt;=7,INDEX(B_RANK,MATCH(BG16,B_LVL,0))&gt;=INDEX(B_RANK,MATCH(BJ16,B_LVL,0))),"⚠ Same band as a head manager",IF(INDEX(B_VAL,MATCH(BG16,B_LVL,0))&gt;=INDEX(B_VAL,MATCH(BJ16,B_LVL,0)),"⚠ At or above the manager's level","OK"))))),"—")</f>
        <v>OK</v>
      </c>
      <c r="BL16" s="43" t="n"/>
      <c r="BM16" s="44">
        <f>IFERROR(INDEX(LMH_PTS,MATCH(Y16,LMH_KEY,0)),0)</f>
        <v>9</v>
      </c>
      <c r="BN16" s="38">
        <f>IFERROR(INDEX(LMH_PTS,MATCH(Z16,LMH_KEY,0)),0)</f>
        <v>3</v>
      </c>
      <c r="BO16" s="38">
        <f>IFERROR(INDEX(LMH_PTS,MATCH(AA16,LMH_KEY,0)),0)</f>
        <v>3</v>
      </c>
      <c r="BP16" s="38">
        <f>IFERROR(INDEX(LMH_PTS,MATCH(AB16,LMH_KEY,0)),0)</f>
        <v>1</v>
      </c>
      <c r="BQ16" s="38">
        <f>IFERROR(INDEX(LMH_PTS,MATCH(AC16,LMH_KEY,0)),0)</f>
        <v>3</v>
      </c>
      <c r="BR16" s="38">
        <f>IFERROR(INDEX(LMH_PTS,MATCH(AD16,LMH_KEY,0)),0)</f>
        <v>1</v>
      </c>
      <c r="BS16" s="38">
        <f>IFERROR(INDEX(LMH_PTS,MATCH(AE16,LMH_KEY,0)),0)</f>
        <v>1</v>
      </c>
      <c r="BT16" s="38">
        <f>IFERROR(INDEX(LMH_STEP,MATCH(AF16,LMH_KEY,0)),0)</f>
        <v>0</v>
      </c>
      <c r="BU16" s="38">
        <f>IFERROR(INDEX(LMH_STEP,MATCH(AG16,LMH_KEY,0)),0)</f>
        <v>0</v>
      </c>
      <c r="BV16" s="38">
        <f>IFERROR(INDEX(LMH_STEP,MATCH(AH16,LMH_KEY,0)),0)</f>
        <v>0</v>
      </c>
      <c r="BW16" s="38">
        <f>IFERROR(INDEX(LMH_STEP,MATCH(AI16,LMH_KEY,0)),0)</f>
        <v>0</v>
      </c>
      <c r="BX16" s="38">
        <f>IFERROR(INDEX(LMH_STEP,MATCH(AJ16,LMH_KEY,0)),0)</f>
        <v>0</v>
      </c>
      <c r="BY16" s="38">
        <f>IFERROR(INDEX(LMH_STEP,MATCH(AK16,LMH_KEY,0)),0)</f>
        <v>0</v>
      </c>
      <c r="BZ16" s="38">
        <f>IFERROR(INDEX(LMH_STEP,MATCH(AL16,LMH_KEY,0)),0)</f>
        <v>0</v>
      </c>
      <c r="CA16" s="38" t="inlineStr">
        <is>
          <t>CARBON|Support|Senior Customer Success Specialist|B2|B-IC</t>
        </is>
      </c>
    </row>
    <row r="17" ht="110" customHeight="1">
      <c r="A17" s="28" t="inlineStr">
        <is>
          <t>CARBON</t>
        </is>
      </c>
      <c r="B17" s="29" t="inlineStr">
        <is>
          <t>Support</t>
        </is>
      </c>
      <c r="C17" s="29" t="n">
        <v>5</v>
      </c>
      <c r="D17" s="29" t="inlineStr">
        <is>
          <t>IRIS1911</t>
        </is>
      </c>
      <c r="E17" s="29" t="inlineStr">
        <is>
          <t>Varun Bubna</t>
        </is>
      </c>
      <c r="F17" s="29" t="inlineStr">
        <is>
          <t>Customer Success Manager</t>
        </is>
      </c>
      <c r="G17" s="29" t="inlineStr">
        <is>
          <t>Senior Customer Success Specialist</t>
        </is>
      </c>
      <c r="H17" s="29" t="inlineStr">
        <is>
          <t>Customer Success &amp; Support</t>
        </is>
      </c>
      <c r="I17" s="29" t="inlineStr">
        <is>
          <t>Customer Success &amp; Account Management</t>
        </is>
      </c>
      <c r="J17" s="29" t="inlineStr">
        <is>
          <t>IC</t>
        </is>
      </c>
      <c r="K17" s="29" t="inlineStr">
        <is>
          <t>RC-036</t>
        </is>
      </c>
      <c r="L17" s="29" t="inlineStr">
        <is>
          <t>Anushree Aparajit</t>
        </is>
      </c>
      <c r="M17" s="29" t="inlineStr">
        <is>
          <t>IRIS1335</t>
        </is>
      </c>
      <c r="N17" s="29" t="n">
        <v>8.4</v>
      </c>
      <c r="O17" s="29" t="n">
        <v>5.4</v>
      </c>
      <c r="P17" s="29" t="inlineStr">
        <is>
          <t>B.Com</t>
        </is>
      </c>
      <c r="Q17" s="29" t="inlineStr">
        <is>
          <t>L5 – Manager</t>
        </is>
      </c>
      <c r="R17" s="29" t="inlineStr">
        <is>
          <t>B2</t>
        </is>
      </c>
      <c r="S17" s="30" t="inlineStr">
        <is>
          <t>20 of 20</t>
        </is>
      </c>
      <c r="T17" s="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t>
        </is>
      </c>
      <c r="U17" s="31" t="inlineStr">
        <is>
          <t>Received · manager annual · 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t>
        </is>
      </c>
      <c r="V17" s="31" t="inlineStr">
        <is>
          <t>Latest rating: 4 · Potential: Medium · 9-box: High Impact / Growth Talent · Readiness: Ready in 6–12 months</t>
        </is>
      </c>
      <c r="W17" s="31" t="inlineStr">
        <is>
          <t>C M · Au L · Ac M · L L · BI M · Exp M · 8.4 yrs vs 6–9 yrs · Edu M · B.Com</t>
        </is>
      </c>
      <c r="X17" s="33" t="inlineStr">
        <is>
          <t>Open ▸</t>
        </is>
      </c>
      <c r="Y17" s="34" t="str">
        <f>IFERROR(INDEX(DL_C,MATCH($CA17,DL_KEY,0)),"M")</f>
        <v>H</v>
      </c>
      <c r="Z17" s="35" t="str">
        <f>IFERROR(INDEX(DL_Au,MATCH($CA17,DL_KEY,0)),"M")</f>
        <v>M</v>
      </c>
      <c r="AA17" s="35" t="str">
        <f>IFERROR(INDEX(DL_Ac,MATCH($CA17,DL_KEY,0)),"M")</f>
        <v>M</v>
      </c>
      <c r="AB17" s="35" t="str">
        <f>IFERROR(INDEX(DL_L,MATCH($CA17,DL_KEY,0)),"M")</f>
        <v>L</v>
      </c>
      <c r="AC17" s="35" t="str">
        <f>IFERROR(INDEX(DL_BI,MATCH($CA17,DL_KEY,0)),"M")</f>
        <v>M</v>
      </c>
      <c r="AD17" s="35" t="str">
        <f>IFERROR(INDEX(DL_Exp,MATCH($CA17,DL_KEY,0)),"M")</f>
        <v>L</v>
      </c>
      <c r="AE17" s="35" t="str">
        <f>IFERROR(INDEX(DL_Edu,MATCH($CA17,DL_KEY,0)),"M")</f>
        <v>L</v>
      </c>
      <c r="AF17" s="34" t="inlineStr">
        <is>
          <t>M</t>
        </is>
      </c>
      <c r="AG17" s="35" t="inlineStr">
        <is>
          <t>M</t>
        </is>
      </c>
      <c r="AH17" s="35" t="inlineStr">
        <is>
          <t>M</t>
        </is>
      </c>
      <c r="AI17" s="35" t="inlineStr">
        <is>
          <t>M</t>
        </is>
      </c>
      <c r="AJ17" s="35" t="inlineStr">
        <is>
          <t>M</t>
        </is>
      </c>
      <c r="AK17" s="35" t="inlineStr">
        <is>
          <t>M</t>
        </is>
      </c>
      <c r="AL17" s="35" t="inlineStr">
        <is>
          <t>M</t>
        </is>
      </c>
      <c r="AM17" s="36" t="n">
        <v>0.513</v>
      </c>
      <c r="AN17" s="37" t="n">
        <v>0.173</v>
      </c>
      <c r="AO17" s="37" t="n">
        <v>0.09699999999999999</v>
      </c>
      <c r="AP17" s="37" t="n">
        <v>0.05</v>
      </c>
      <c r="AQ17" s="37" t="n">
        <v>0.07000000000000001</v>
      </c>
      <c r="AR17" s="37" t="n">
        <v>0.06</v>
      </c>
      <c r="AS17" s="37" t="n">
        <v>0.04</v>
      </c>
      <c r="AT17" s="38" t="inlineStr">
        <is>
          <t>6–10</t>
        </is>
      </c>
      <c r="AU17" s="38" t="inlineStr">
        <is>
          <t>Graduate or postgraduate; professional qualification preferred</t>
        </is>
      </c>
      <c r="AV17" s="38" t="inlineStr">
        <is>
          <t>IC: none · People: 6–8 knowledge work, 8–12 standardised delivery</t>
        </is>
      </c>
      <c r="AW17" s="38" t="inlineStr">
        <is>
          <t>P4 / M3 · SFIA 4–5</t>
        </is>
      </c>
      <c r="AX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 s="39" t="inlineStr">
        <is>
          <t>B2</t>
        </is>
      </c>
      <c r="AZ17" s="40" t="inlineStr">
        <is>
          <t>Band B · Specialist / Manager · Senior Specialist</t>
        </is>
      </c>
      <c r="BA17" s="40" t="inlineStr">
        <is>
          <t>Model B2 from the six ratings, the market-derived weights and rules R1–R13 · then No change · already below the manager</t>
        </is>
      </c>
      <c r="BB17" s="41" t="inlineStr">
        <is>
          <t>B1</t>
        </is>
      </c>
      <c r="BC17" s="40" t="inlineStr">
        <is>
          <t>The six ratings on the market-average weights of Band B · Specialist / POD Lead score 4.47 → B1 · Hay, Mercer IPE and public plans · experience 8.4 yrs vs the B1 market range 4–8</t>
        </is>
      </c>
      <c r="BD17" s="42">
        <f>IF(SUM(BM17,BN17,BO17,BP17,BQ17,BR17,BS17)=0,0,(BM17*BT17+BN17*BU17+BO17*BV17+BP17*BW17+BQ17*BX17+BR17*BY17+BS17*BZ17)/SUM(BM17,BN17,BO17,BP17,BQ17,BR17,BS17))</f>
        <v>0</v>
      </c>
      <c r="BE17" s="41" t="str">
        <f>IF(LEFT(AY17,1)="X",AY17,IF(OR(AY17="B+",AY17="C+"),INDEX(LAD_PC,MAX(1,MIN(14,MATCH(AY17,LAD_PC,0)+IF(BD17&gt;=0.5,1,IF(BD17&lt;=-0.5,-1,0))))),INDEX(LAD_STD,MAX(1,MIN(12,MATCH(AY17,LAD_STD,0)+IF(BD17&gt;=0.5,1,IF(BD17&lt;=-0.5,-1,0)))))))</f>
        <v>B2</v>
      </c>
      <c r="BF17" s="43" t="n"/>
      <c r="BG17" s="41" t="str">
        <f>IF(BF17&lt;&gt;"",BF17,BE17)</f>
        <v>B2</v>
      </c>
      <c r="BH17" s="40" t="str">
        <f>IFERROR(CHOOSE(INDEX(B_RANK,MATCH(BG17,B_LVL,0)),"Band A","Band B","B+ · Player-Coach","Band C","C+ · Player-Coach","Band D","Band E"),"Band X · Consultant")</f>
        <v>Band B</v>
      </c>
      <c r="BI17" s="40" t="str">
        <f>IF(BG17=AY17,"• Same",IF(INDEX(B_VAL,MATCH(BG17,B_LVL,0))&gt;INDEX(B_VAL,MATCH(AY17,B_LVL,0)),"▲ Up","▼ Down"))</f>
        <v>• Same</v>
      </c>
      <c r="BJ17" s="40" t="str">
        <f>IF(OR($M17="",$M17="—",$M17="Not in this file"),"",IFERROR(INDEX($BG$7:$BG$592,MATCH($M17,$D$7:$D$592,0)),""))</f>
        <v>B3</v>
      </c>
      <c r="BK17" s="40" t="str">
        <f>IFERROR(IF(BJ17="","—",IF(OR(LEFT(BG17,1)="X",LEFT(BJ17,1)="X"),"—",IF(AND(LEFT(BG17,1)="E",LEFT(BJ17,1)="E"),"Exception · Band E",IF(AND(INDEX(B_VAL,MATCH(BJ17,B_LVL,0))&gt;=7,INDEX(B_RANK,MATCH(BG17,B_LVL,0))&gt;=INDEX(B_RANK,MATCH(BJ17,B_LVL,0))),"⚠ Same band as a head manager",IF(INDEX(B_VAL,MATCH(BG17,B_LVL,0))&gt;=INDEX(B_VAL,MATCH(BJ17,B_LVL,0)),"⚠ At or above the manager's level","OK"))))),"—")</f>
        <v>OK</v>
      </c>
      <c r="BL17" s="43" t="n"/>
      <c r="BM17" s="44">
        <f>IFERROR(INDEX(LMH_PTS,MATCH(Y17,LMH_KEY,0)),0)</f>
        <v>9</v>
      </c>
      <c r="BN17" s="38">
        <f>IFERROR(INDEX(LMH_PTS,MATCH(Z17,LMH_KEY,0)),0)</f>
        <v>3</v>
      </c>
      <c r="BO17" s="38">
        <f>IFERROR(INDEX(LMH_PTS,MATCH(AA17,LMH_KEY,0)),0)</f>
        <v>3</v>
      </c>
      <c r="BP17" s="38">
        <f>IFERROR(INDEX(LMH_PTS,MATCH(AB17,LMH_KEY,0)),0)</f>
        <v>1</v>
      </c>
      <c r="BQ17" s="38">
        <f>IFERROR(INDEX(LMH_PTS,MATCH(AC17,LMH_KEY,0)),0)</f>
        <v>3</v>
      </c>
      <c r="BR17" s="38">
        <f>IFERROR(INDEX(LMH_PTS,MATCH(AD17,LMH_KEY,0)),0)</f>
        <v>1</v>
      </c>
      <c r="BS17" s="38">
        <f>IFERROR(INDEX(LMH_PTS,MATCH(AE17,LMH_KEY,0)),0)</f>
        <v>1</v>
      </c>
      <c r="BT17" s="38">
        <f>IFERROR(INDEX(LMH_STEP,MATCH(AF17,LMH_KEY,0)),0)</f>
        <v>0</v>
      </c>
      <c r="BU17" s="38">
        <f>IFERROR(INDEX(LMH_STEP,MATCH(AG17,LMH_KEY,0)),0)</f>
        <v>0</v>
      </c>
      <c r="BV17" s="38">
        <f>IFERROR(INDEX(LMH_STEP,MATCH(AH17,LMH_KEY,0)),0)</f>
        <v>0</v>
      </c>
      <c r="BW17" s="38">
        <f>IFERROR(INDEX(LMH_STEP,MATCH(AI17,LMH_KEY,0)),0)</f>
        <v>0</v>
      </c>
      <c r="BX17" s="38">
        <f>IFERROR(INDEX(LMH_STEP,MATCH(AJ17,LMH_KEY,0)),0)</f>
        <v>0</v>
      </c>
      <c r="BY17" s="38">
        <f>IFERROR(INDEX(LMH_STEP,MATCH(AK17,LMH_KEY,0)),0)</f>
        <v>0</v>
      </c>
      <c r="BZ17" s="38">
        <f>IFERROR(INDEX(LMH_STEP,MATCH(AL17,LMH_KEY,0)),0)</f>
        <v>0</v>
      </c>
      <c r="CA17" s="38" t="inlineStr">
        <is>
          <t>CARBON|Support|Senior Customer Success Specialist|B2|B-IC</t>
        </is>
      </c>
    </row>
    <row r="18" ht="110" customHeight="1">
      <c r="A18" s="28" t="inlineStr">
        <is>
          <t>CARBON</t>
        </is>
      </c>
      <c r="B18" s="29" t="inlineStr">
        <is>
          <t>Support</t>
        </is>
      </c>
      <c r="C18" s="29" t="n">
        <v>5</v>
      </c>
      <c r="D18" s="29" t="inlineStr">
        <is>
          <t>IRIS1939</t>
        </is>
      </c>
      <c r="E18" s="29" t="inlineStr">
        <is>
          <t>Nupur Samantaray</t>
        </is>
      </c>
      <c r="F18" s="29" t="inlineStr">
        <is>
          <t>Manager- Customer Engagement</t>
        </is>
      </c>
      <c r="G18" s="29" t="inlineStr">
        <is>
          <t>Senior Customer Success Specialist</t>
        </is>
      </c>
      <c r="H18" s="29" t="inlineStr">
        <is>
          <t>Customer Success &amp; Support</t>
        </is>
      </c>
      <c r="I18" s="29" t="inlineStr">
        <is>
          <t>Customer Success &amp; Account Management</t>
        </is>
      </c>
      <c r="J18" s="29" t="inlineStr">
        <is>
          <t>IC</t>
        </is>
      </c>
      <c r="K18" s="29" t="inlineStr">
        <is>
          <t>RC-035</t>
        </is>
      </c>
      <c r="L18" s="29" t="inlineStr">
        <is>
          <t>Anushree Aparajit</t>
        </is>
      </c>
      <c r="M18" s="29" t="inlineStr">
        <is>
          <t>IRIS1335</t>
        </is>
      </c>
      <c r="N18" s="29" t="n">
        <v>9.1</v>
      </c>
      <c r="O18" s="29" t="n">
        <v>5.1</v>
      </c>
      <c r="P18" s="29" t="inlineStr">
        <is>
          <t>CA</t>
        </is>
      </c>
      <c r="Q18" s="29" t="inlineStr">
        <is>
          <t>L5 – Manager</t>
        </is>
      </c>
      <c r="R18" s="29" t="inlineStr">
        <is>
          <t>B1</t>
        </is>
      </c>
      <c r="S18" s="30" t="inlineStr">
        <is>
          <t>20 of 20</t>
        </is>
      </c>
      <c r="T18" s="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t>
        </is>
      </c>
      <c r="U18" s="31" t="inlineStr">
        <is>
          <t>Received · manager annual · 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t>
        </is>
      </c>
      <c r="V18" s="31" t="inlineStr">
        <is>
          <t>Latest rating: 3 · Potential: Medium · 9-box: Core Contributor · Readiness: Develop in role</t>
        </is>
      </c>
      <c r="W18" s="31" t="inlineStr">
        <is>
          <t>C M · Au M · Ac M · L L · BI H · Exp H · 9.1 yrs vs 4–7 yrs · Edu H · CA</t>
        </is>
      </c>
      <c r="X18" s="33" t="inlineStr">
        <is>
          <t>Open ▸</t>
        </is>
      </c>
      <c r="Y18" s="34" t="str">
        <f>IFERROR(INDEX(DL_C,MATCH($CA18,DL_KEY,0)),"M")</f>
        <v>H</v>
      </c>
      <c r="Z18" s="35" t="str">
        <f>IFERROR(INDEX(DL_Au,MATCH($CA18,DL_KEY,0)),"M")</f>
        <v>M</v>
      </c>
      <c r="AA18" s="35" t="str">
        <f>IFERROR(INDEX(DL_Ac,MATCH($CA18,DL_KEY,0)),"M")</f>
        <v>M</v>
      </c>
      <c r="AB18" s="35" t="str">
        <f>IFERROR(INDEX(DL_L,MATCH($CA18,DL_KEY,0)),"M")</f>
        <v>L</v>
      </c>
      <c r="AC18" s="35" t="str">
        <f>IFERROR(INDEX(DL_BI,MATCH($CA18,DL_KEY,0)),"M")</f>
        <v>M</v>
      </c>
      <c r="AD18" s="35" t="str">
        <f>IFERROR(INDEX(DL_Exp,MATCH($CA18,DL_KEY,0)),"M")</f>
        <v>L</v>
      </c>
      <c r="AE18" s="35" t="str">
        <f>IFERROR(INDEX(DL_Edu,MATCH($CA18,DL_KEY,0)),"M")</f>
        <v>L</v>
      </c>
      <c r="AF18" s="34" t="inlineStr">
        <is>
          <t>M</t>
        </is>
      </c>
      <c r="AG18" s="35" t="inlineStr">
        <is>
          <t>M</t>
        </is>
      </c>
      <c r="AH18" s="35" t="inlineStr">
        <is>
          <t>M</t>
        </is>
      </c>
      <c r="AI18" s="35" t="inlineStr">
        <is>
          <t>M</t>
        </is>
      </c>
      <c r="AJ18" s="35" t="inlineStr">
        <is>
          <t>M</t>
        </is>
      </c>
      <c r="AK18" s="35" t="inlineStr">
        <is>
          <t>M</t>
        </is>
      </c>
      <c r="AL18" s="35" t="inlineStr">
        <is>
          <t>M</t>
        </is>
      </c>
      <c r="AM18" s="36" t="n">
        <v>0.513</v>
      </c>
      <c r="AN18" s="37" t="n">
        <v>0.173</v>
      </c>
      <c r="AO18" s="37" t="n">
        <v>0.09699999999999999</v>
      </c>
      <c r="AP18" s="37" t="n">
        <v>0.05</v>
      </c>
      <c r="AQ18" s="37" t="n">
        <v>0.07000000000000001</v>
      </c>
      <c r="AR18" s="37" t="n">
        <v>0.06</v>
      </c>
      <c r="AS18" s="37" t="n">
        <v>0.04</v>
      </c>
      <c r="AT18" s="38" t="inlineStr">
        <is>
          <t>4–8</t>
        </is>
      </c>
      <c r="AU18" s="38" t="inlineStr">
        <is>
          <t>Graduate + relevant qualification or certification preferred</t>
        </is>
      </c>
      <c r="AV18" s="38" t="inlineStr">
        <is>
          <t>IC: none · Team Lead: 3–5</t>
        </is>
      </c>
      <c r="AW18" s="38" t="inlineStr">
        <is>
          <t>P3 / M2 · SFIA 4 Enable</t>
        </is>
      </c>
      <c r="AX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 s="39" t="inlineStr">
        <is>
          <t>B1</t>
        </is>
      </c>
      <c r="AZ18" s="40" t="inlineStr">
        <is>
          <t>Band B · Specialist / Manager · Specialist</t>
        </is>
      </c>
      <c r="BA18" s="40" t="inlineStr">
        <is>
          <t>Model B1 from the six ratings, the market-derived weights and rules R1–R13 · then No change · already below the manager</t>
        </is>
      </c>
      <c r="BB18" s="41" t="inlineStr">
        <is>
          <t>B1</t>
        </is>
      </c>
      <c r="BC18" s="40" t="inlineStr">
        <is>
          <t>The six ratings on the market-average weights of Band B · Specialist / POD Lead score 4.32 → B1 · Hay, Mercer IPE and public plans · experience 9.1 yrs vs the B1 market range 4–8</t>
        </is>
      </c>
      <c r="BD18" s="42">
        <f>IF(SUM(BM18,BN18,BO18,BP18,BQ18,BR18,BS18)=0,0,(BM18*BT18+BN18*BU18+BO18*BV18+BP18*BW18+BQ18*BX18+BR18*BY18+BS18*BZ18)/SUM(BM18,BN18,BO18,BP18,BQ18,BR18,BS18))</f>
        <v>0</v>
      </c>
      <c r="BE18" s="41" t="str">
        <f>IF(LEFT(AY18,1)="X",AY18,IF(OR(AY18="B+",AY18="C+"),INDEX(LAD_PC,MAX(1,MIN(14,MATCH(AY18,LAD_PC,0)+IF(BD18&gt;=0.5,1,IF(BD18&lt;=-0.5,-1,0))))),INDEX(LAD_STD,MAX(1,MIN(12,MATCH(AY18,LAD_STD,0)+IF(BD18&gt;=0.5,1,IF(BD18&lt;=-0.5,-1,0)))))))</f>
        <v>B1</v>
      </c>
      <c r="BF18" s="43" t="n"/>
      <c r="BG18" s="41" t="str">
        <f>IF(BF18&lt;&gt;"",BF18,BE18)</f>
        <v>B1</v>
      </c>
      <c r="BH18" s="40" t="str">
        <f>IFERROR(CHOOSE(INDEX(B_RANK,MATCH(BG18,B_LVL,0)),"Band A","Band B","B+ · Player-Coach","Band C","C+ · Player-Coach","Band D","Band E"),"Band X · Consultant")</f>
        <v>Band B</v>
      </c>
      <c r="BI18" s="40" t="str">
        <f>IF(BG18=AY18,"• Same",IF(INDEX(B_VAL,MATCH(BG18,B_LVL,0))&gt;INDEX(B_VAL,MATCH(AY18,B_LVL,0)),"▲ Up","▼ Down"))</f>
        <v>• Same</v>
      </c>
      <c r="BJ18" s="40" t="str">
        <f>IF(OR($M18="",$M18="—",$M18="Not in this file"),"",IFERROR(INDEX($BG$7:$BG$592,MATCH($M18,$D$7:$D$592,0)),""))</f>
        <v>B3</v>
      </c>
      <c r="BK18" s="40" t="str">
        <f>IFERROR(IF(BJ18="","—",IF(OR(LEFT(BG18,1)="X",LEFT(BJ18,1)="X"),"—",IF(AND(LEFT(BG18,1)="E",LEFT(BJ18,1)="E"),"Exception · Band E",IF(AND(INDEX(B_VAL,MATCH(BJ18,B_LVL,0))&gt;=7,INDEX(B_RANK,MATCH(BG18,B_LVL,0))&gt;=INDEX(B_RANK,MATCH(BJ18,B_LVL,0))),"⚠ Same band as a head manager",IF(INDEX(B_VAL,MATCH(BG18,B_LVL,0))&gt;=INDEX(B_VAL,MATCH(BJ18,B_LVL,0)),"⚠ At or above the manager's level","OK"))))),"—")</f>
        <v>OK</v>
      </c>
      <c r="BL18" s="43" t="n"/>
      <c r="BM18" s="44">
        <f>IFERROR(INDEX(LMH_PTS,MATCH(Y18,LMH_KEY,0)),0)</f>
        <v>9</v>
      </c>
      <c r="BN18" s="38">
        <f>IFERROR(INDEX(LMH_PTS,MATCH(Z18,LMH_KEY,0)),0)</f>
        <v>3</v>
      </c>
      <c r="BO18" s="38">
        <f>IFERROR(INDEX(LMH_PTS,MATCH(AA18,LMH_KEY,0)),0)</f>
        <v>3</v>
      </c>
      <c r="BP18" s="38">
        <f>IFERROR(INDEX(LMH_PTS,MATCH(AB18,LMH_KEY,0)),0)</f>
        <v>1</v>
      </c>
      <c r="BQ18" s="38">
        <f>IFERROR(INDEX(LMH_PTS,MATCH(AC18,LMH_KEY,0)),0)</f>
        <v>3</v>
      </c>
      <c r="BR18" s="38">
        <f>IFERROR(INDEX(LMH_PTS,MATCH(AD18,LMH_KEY,0)),0)</f>
        <v>1</v>
      </c>
      <c r="BS18" s="38">
        <f>IFERROR(INDEX(LMH_PTS,MATCH(AE18,LMH_KEY,0)),0)</f>
        <v>1</v>
      </c>
      <c r="BT18" s="38">
        <f>IFERROR(INDEX(LMH_STEP,MATCH(AF18,LMH_KEY,0)),0)</f>
        <v>0</v>
      </c>
      <c r="BU18" s="38">
        <f>IFERROR(INDEX(LMH_STEP,MATCH(AG18,LMH_KEY,0)),0)</f>
        <v>0</v>
      </c>
      <c r="BV18" s="38">
        <f>IFERROR(INDEX(LMH_STEP,MATCH(AH18,LMH_KEY,0)),0)</f>
        <v>0</v>
      </c>
      <c r="BW18" s="38">
        <f>IFERROR(INDEX(LMH_STEP,MATCH(AI18,LMH_KEY,0)),0)</f>
        <v>0</v>
      </c>
      <c r="BX18" s="38">
        <f>IFERROR(INDEX(LMH_STEP,MATCH(AJ18,LMH_KEY,0)),0)</f>
        <v>0</v>
      </c>
      <c r="BY18" s="38">
        <f>IFERROR(INDEX(LMH_STEP,MATCH(AK18,LMH_KEY,0)),0)</f>
        <v>0</v>
      </c>
      <c r="BZ18" s="38">
        <f>IFERROR(INDEX(LMH_STEP,MATCH(AL18,LMH_KEY,0)),0)</f>
        <v>0</v>
      </c>
      <c r="CA18" s="38" t="inlineStr">
        <is>
          <t>CARBON|Support|Senior Customer Success Specialist|B1|B-IC</t>
        </is>
      </c>
    </row>
    <row r="19" ht="110" customHeight="1">
      <c r="A19" s="28" t="inlineStr">
        <is>
          <t>CARBON</t>
        </is>
      </c>
      <c r="B19" s="29" t="inlineStr">
        <is>
          <t>Support</t>
        </is>
      </c>
      <c r="C19" s="29" t="n">
        <v>5</v>
      </c>
      <c r="D19" s="29" t="inlineStr">
        <is>
          <t>IRIS2448</t>
        </is>
      </c>
      <c r="E19" s="29" t="inlineStr">
        <is>
          <t>Samiksha Kadam</t>
        </is>
      </c>
      <c r="F19" s="29" t="inlineStr">
        <is>
          <t>Customer Engagement Executive</t>
        </is>
      </c>
      <c r="G19" s="29" t="inlineStr">
        <is>
          <t>Senior Customer Success Executive</t>
        </is>
      </c>
      <c r="H19" s="29" t="inlineStr">
        <is>
          <t>Customer Success &amp; Support</t>
        </is>
      </c>
      <c r="I19" s="29" t="inlineStr">
        <is>
          <t>Customer Success &amp; Account Management</t>
        </is>
      </c>
      <c r="J19" s="29" t="inlineStr">
        <is>
          <t>IC</t>
        </is>
      </c>
      <c r="K19" s="29" t="inlineStr">
        <is>
          <t>RC-034</t>
        </is>
      </c>
      <c r="L19" s="29" t="inlineStr">
        <is>
          <t>Anushree Aparajit</t>
        </is>
      </c>
      <c r="M19" s="29" t="inlineStr">
        <is>
          <t>IRIS1335</t>
        </is>
      </c>
      <c r="N19" s="29" t="n">
        <v>9.800000000000001</v>
      </c>
      <c r="O19" s="29" t="n">
        <v>0.8</v>
      </c>
      <c r="P19" s="29" t="inlineStr">
        <is>
          <t>BMS</t>
        </is>
      </c>
      <c r="Q19" s="29" t="inlineStr">
        <is>
          <t>L3 – Professional / Associate</t>
        </is>
      </c>
      <c r="R19" s="29" t="inlineStr">
        <is>
          <t>A3</t>
        </is>
      </c>
      <c r="S19" s="30" t="inlineStr">
        <is>
          <t>20 of 20</t>
        </is>
      </c>
      <c r="T19" s="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t>
        </is>
      </c>
      <c r="U19" s="31" t="inlineStr">
        <is>
          <t>Received · manager annual · 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t>
        </is>
      </c>
      <c r="V19" s="31" t="inlineStr">
        <is>
          <t>Latest rating: 3 · Potential: Medium · 9-box: Core Contributor · Readiness: Develop in role</t>
        </is>
      </c>
      <c r="W19" s="31" t="inlineStr">
        <is>
          <t>C M · Au L · Ac M · L L · BI M · Exp H · 9.8 yrs vs 2–4 yrs · Edu M · BMS</t>
        </is>
      </c>
      <c r="X19" s="33" t="inlineStr">
        <is>
          <t>Open ▸</t>
        </is>
      </c>
      <c r="Y19" s="34" t="str">
        <f>IFERROR(INDEX(DL_C,MATCH($CA19,DL_KEY,0)),"M")</f>
        <v>H</v>
      </c>
      <c r="Z19" s="35" t="str">
        <f>IFERROR(INDEX(DL_Au,MATCH($CA19,DL_KEY,0)),"M")</f>
        <v>M</v>
      </c>
      <c r="AA19" s="35" t="str">
        <f>IFERROR(INDEX(DL_Ac,MATCH($CA19,DL_KEY,0)),"M")</f>
        <v>M</v>
      </c>
      <c r="AB19" s="35" t="str">
        <f>IFERROR(INDEX(DL_L,MATCH($CA19,DL_KEY,0)),"M")</f>
        <v>L</v>
      </c>
      <c r="AC19" s="35" t="str">
        <f>IFERROR(INDEX(DL_BI,MATCH($CA19,DL_KEY,0)),"M")</f>
        <v>M</v>
      </c>
      <c r="AD19" s="35" t="str">
        <f>IFERROR(INDEX(DL_Exp,MATCH($CA19,DL_KEY,0)),"M")</f>
        <v>L</v>
      </c>
      <c r="AE19" s="35" t="str">
        <f>IFERROR(INDEX(DL_Edu,MATCH($CA19,DL_KEY,0)),"M")</f>
        <v>L</v>
      </c>
      <c r="AF19" s="34" t="inlineStr">
        <is>
          <t>M</t>
        </is>
      </c>
      <c r="AG19" s="35" t="inlineStr">
        <is>
          <t>M</t>
        </is>
      </c>
      <c r="AH19" s="35" t="inlineStr">
        <is>
          <t>M</t>
        </is>
      </c>
      <c r="AI19" s="35" t="inlineStr">
        <is>
          <t>M</t>
        </is>
      </c>
      <c r="AJ19" s="35" t="inlineStr">
        <is>
          <t>M</t>
        </is>
      </c>
      <c r="AK19" s="35" t="inlineStr">
        <is>
          <t>M</t>
        </is>
      </c>
      <c r="AL19" s="35" t="inlineStr">
        <is>
          <t>M</t>
        </is>
      </c>
      <c r="AM19" s="36" t="n">
        <v>0.583</v>
      </c>
      <c r="AN19" s="37" t="n">
        <v>0.16</v>
      </c>
      <c r="AO19" s="37" t="n">
        <v>0.09</v>
      </c>
      <c r="AP19" s="37" t="n">
        <v>0</v>
      </c>
      <c r="AQ19" s="37" t="n">
        <v>0.063</v>
      </c>
      <c r="AR19" s="37" t="n">
        <v>0.06</v>
      </c>
      <c r="AS19" s="37" t="n">
        <v>0.04</v>
      </c>
      <c r="AT19" s="38" t="inlineStr">
        <is>
          <t>2–5</t>
        </is>
      </c>
      <c r="AU19" s="38" t="inlineStr">
        <is>
          <t>Graduate; relevant certification preferred</t>
        </is>
      </c>
      <c r="AV19" s="38" t="inlineStr">
        <is>
          <t>None · guides 1–3 juniors informally</t>
        </is>
      </c>
      <c r="AW19" s="38" t="inlineStr">
        <is>
          <t>P2 · SFIA 3 Apply</t>
        </is>
      </c>
      <c r="AX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 s="39" t="inlineStr">
        <is>
          <t>A3</t>
        </is>
      </c>
      <c r="AZ19" s="40" t="inlineStr">
        <is>
          <t>Band A · Practitioner · Senior Associate</t>
        </is>
      </c>
      <c r="BA19" s="40" t="inlineStr">
        <is>
          <t>Model A3 from the six ratings, the market-derived weights and rules R1–R13 · then No change · already below the manager</t>
        </is>
      </c>
      <c r="BB19" s="41" t="inlineStr">
        <is>
          <t>A3</t>
        </is>
      </c>
      <c r="BC19" s="40" t="inlineStr">
        <is>
          <t>The six ratings on the market-average weights of Band A · all tracks score 2.88 → A3 · Hay, Mercer IPE and public plans · experience 9.8 yrs vs the A3 market range 2–5</t>
        </is>
      </c>
      <c r="BD19" s="42">
        <f>IF(SUM(BM19,BN19,BO19,BP19,BQ19,BR19,BS19)=0,0,(BM19*BT19+BN19*BU19+BO19*BV19+BP19*BW19+BQ19*BX19+BR19*BY19+BS19*BZ19)/SUM(BM19,BN19,BO19,BP19,BQ19,BR19,BS19))</f>
        <v>0</v>
      </c>
      <c r="BE19" s="41" t="str">
        <f>IF(LEFT(AY19,1)="X",AY19,IF(OR(AY19="B+",AY19="C+"),INDEX(LAD_PC,MAX(1,MIN(14,MATCH(AY19,LAD_PC,0)+IF(BD19&gt;=0.5,1,IF(BD19&lt;=-0.5,-1,0))))),INDEX(LAD_STD,MAX(1,MIN(12,MATCH(AY19,LAD_STD,0)+IF(BD19&gt;=0.5,1,IF(BD19&lt;=-0.5,-1,0)))))))</f>
        <v>A3</v>
      </c>
      <c r="BF19" s="43" t="n"/>
      <c r="BG19" s="41" t="str">
        <f>IF(BF19&lt;&gt;"",BF19,BE19)</f>
        <v>A3</v>
      </c>
      <c r="BH19" s="40" t="str">
        <f>IFERROR(CHOOSE(INDEX(B_RANK,MATCH(BG19,B_LVL,0)),"Band A","Band B","B+ · Player-Coach","Band C","C+ · Player-Coach","Band D","Band E"),"Band X · Consultant")</f>
        <v>Band A</v>
      </c>
      <c r="BI19" s="40" t="str">
        <f>IF(BG19=AY19,"• Same",IF(INDEX(B_VAL,MATCH(BG19,B_LVL,0))&gt;INDEX(B_VAL,MATCH(AY19,B_LVL,0)),"▲ Up","▼ Down"))</f>
        <v>• Same</v>
      </c>
      <c r="BJ19" s="40" t="str">
        <f>IF(OR($M19="",$M19="—",$M19="Not in this file"),"",IFERROR(INDEX($BG$7:$BG$592,MATCH($M19,$D$7:$D$592,0)),""))</f>
        <v>B3</v>
      </c>
      <c r="BK19" s="40" t="str">
        <f>IFERROR(IF(BJ19="","—",IF(OR(LEFT(BG19,1)="X",LEFT(BJ19,1)="X"),"—",IF(AND(LEFT(BG19,1)="E",LEFT(BJ19,1)="E"),"Exception · Band E",IF(AND(INDEX(B_VAL,MATCH(BJ19,B_LVL,0))&gt;=7,INDEX(B_RANK,MATCH(BG19,B_LVL,0))&gt;=INDEX(B_RANK,MATCH(BJ19,B_LVL,0))),"⚠ Same band as a head manager",IF(INDEX(B_VAL,MATCH(BG19,B_LVL,0))&gt;=INDEX(B_VAL,MATCH(BJ19,B_LVL,0)),"⚠ At or above the manager's level","OK"))))),"—")</f>
        <v>OK</v>
      </c>
      <c r="BL19" s="43" t="n"/>
      <c r="BM19" s="44">
        <f>IFERROR(INDEX(LMH_PTS,MATCH(Y19,LMH_KEY,0)),0)</f>
        <v>9</v>
      </c>
      <c r="BN19" s="38">
        <f>IFERROR(INDEX(LMH_PTS,MATCH(Z19,LMH_KEY,0)),0)</f>
        <v>3</v>
      </c>
      <c r="BO19" s="38">
        <f>IFERROR(INDEX(LMH_PTS,MATCH(AA19,LMH_KEY,0)),0)</f>
        <v>3</v>
      </c>
      <c r="BP19" s="38">
        <f>IFERROR(INDEX(LMH_PTS,MATCH(AB19,LMH_KEY,0)),0)</f>
        <v>1</v>
      </c>
      <c r="BQ19" s="38">
        <f>IFERROR(INDEX(LMH_PTS,MATCH(AC19,LMH_KEY,0)),0)</f>
        <v>3</v>
      </c>
      <c r="BR19" s="38">
        <f>IFERROR(INDEX(LMH_PTS,MATCH(AD19,LMH_KEY,0)),0)</f>
        <v>1</v>
      </c>
      <c r="BS19" s="38">
        <f>IFERROR(INDEX(LMH_PTS,MATCH(AE19,LMH_KEY,0)),0)</f>
        <v>1</v>
      </c>
      <c r="BT19" s="38">
        <f>IFERROR(INDEX(LMH_STEP,MATCH(AF19,LMH_KEY,0)),0)</f>
        <v>0</v>
      </c>
      <c r="BU19" s="38">
        <f>IFERROR(INDEX(LMH_STEP,MATCH(AG19,LMH_KEY,0)),0)</f>
        <v>0</v>
      </c>
      <c r="BV19" s="38">
        <f>IFERROR(INDEX(LMH_STEP,MATCH(AH19,LMH_KEY,0)),0)</f>
        <v>0</v>
      </c>
      <c r="BW19" s="38">
        <f>IFERROR(INDEX(LMH_STEP,MATCH(AI19,LMH_KEY,0)),0)</f>
        <v>0</v>
      </c>
      <c r="BX19" s="38">
        <f>IFERROR(INDEX(LMH_STEP,MATCH(AJ19,LMH_KEY,0)),0)</f>
        <v>0</v>
      </c>
      <c r="BY19" s="38">
        <f>IFERROR(INDEX(LMH_STEP,MATCH(AK19,LMH_KEY,0)),0)</f>
        <v>0</v>
      </c>
      <c r="BZ19" s="38">
        <f>IFERROR(INDEX(LMH_STEP,MATCH(AL19,LMH_KEY,0)),0)</f>
        <v>0</v>
      </c>
      <c r="CA19" s="38" t="inlineStr">
        <is>
          <t>CARBON|Support|Senior Customer Success Executive|A3|A</t>
        </is>
      </c>
    </row>
    <row r="20" ht="110" customHeight="1">
      <c r="A20" s="28" t="inlineStr">
        <is>
          <t>CARBON</t>
        </is>
      </c>
      <c r="B20" s="29" t="inlineStr">
        <is>
          <t>Services</t>
        </is>
      </c>
      <c r="C20" s="29" t="n">
        <v>4</v>
      </c>
      <c r="D20" s="29" t="inlineStr">
        <is>
          <t>IRIS0018</t>
        </is>
      </c>
      <c r="E20" s="29" t="inlineStr">
        <is>
          <t>K Ashok Kumar</t>
        </is>
      </c>
      <c r="F20" s="29" t="inlineStr">
        <is>
          <t>Manager Financial Analyst</t>
        </is>
      </c>
      <c r="G20" s="29" t="inlineStr">
        <is>
          <t>Associate Head – Assisted Services</t>
        </is>
      </c>
      <c r="H20" s="29" t="inlineStr">
        <is>
          <t>Executive Leadership</t>
        </is>
      </c>
      <c r="I20" s="29" t="inlineStr">
        <is>
          <t>Business Head</t>
        </is>
      </c>
      <c r="J20" s="29" t="inlineStr">
        <is>
          <t>People Manager</t>
        </is>
      </c>
      <c r="K20" s="29" t="inlineStr">
        <is>
          <t>RC-EL-BH-C1</t>
        </is>
      </c>
      <c r="L20" s="29" t="inlineStr">
        <is>
          <t>Suman Adhikary</t>
        </is>
      </c>
      <c r="M20" s="29" t="inlineStr">
        <is>
          <t>IRIS2359</t>
        </is>
      </c>
      <c r="N20" s="29" t="n">
        <v>21.9</v>
      </c>
      <c r="O20" s="29" t="n">
        <v>21.9</v>
      </c>
      <c r="P20" s="29" t="inlineStr">
        <is>
          <t>M.Com</t>
        </is>
      </c>
      <c r="Q20" s="29" t="inlineStr">
        <is>
          <t>L5 – Manager</t>
        </is>
      </c>
      <c r="R20" s="29" t="inlineStr">
        <is>
          <t>C1</t>
        </is>
      </c>
      <c r="S20" s="30" t="inlineStr">
        <is>
          <t>20 of 20</t>
        </is>
      </c>
      <c r="T20" s="31"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t>
        </is>
      </c>
      <c r="U20" s="31" t="inlineStr">
        <is>
          <t>Received · manager annual · 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V20" s="31" t="inlineStr">
        <is>
          <t>Latest rating: 3 · Potential: Medium · 9-box: Core Contributor · Readiness: Develop in role</t>
        </is>
      </c>
      <c r="W20" s="31" t="inlineStr">
        <is>
          <t>C M · Au M · Ac H · L H · BI H · Exp H · 21.9 yrs vs 8–12 yrs · Edu M · M.Com</t>
        </is>
      </c>
      <c r="X20" s="33" t="inlineStr">
        <is>
          <t>Open ▸</t>
        </is>
      </c>
      <c r="Y20" s="34" t="str">
        <f>IFERROR(INDEX(DL_C,MATCH($CA20,DL_KEY,0)),"M")</f>
        <v>H</v>
      </c>
      <c r="Z20" s="35" t="str">
        <f>IFERROR(INDEX(DL_Au,MATCH($CA20,DL_KEY,0)),"M")</f>
        <v>M</v>
      </c>
      <c r="AA20" s="35" t="str">
        <f>IFERROR(INDEX(DL_Ac,MATCH($CA20,DL_KEY,0)),"M")</f>
        <v>M</v>
      </c>
      <c r="AB20" s="35" t="str">
        <f>IFERROR(INDEX(DL_L,MATCH($CA20,DL_KEY,0)),"M")</f>
        <v>M</v>
      </c>
      <c r="AC20" s="35" t="str">
        <f>IFERROR(INDEX(DL_BI,MATCH($CA20,DL_KEY,0)),"M")</f>
        <v>L</v>
      </c>
      <c r="AD20" s="35" t="str">
        <f>IFERROR(INDEX(DL_Exp,MATCH($CA20,DL_KEY,0)),"M")</f>
        <v>L</v>
      </c>
      <c r="AE20" s="35" t="str">
        <f>IFERROR(INDEX(DL_Edu,MATCH($CA20,DL_KEY,0)),"M")</f>
        <v>L</v>
      </c>
      <c r="AF20" s="34" t="inlineStr">
        <is>
          <t>M</t>
        </is>
      </c>
      <c r="AG20" s="35" t="inlineStr">
        <is>
          <t>M</t>
        </is>
      </c>
      <c r="AH20" s="35" t="inlineStr">
        <is>
          <t>M</t>
        </is>
      </c>
      <c r="AI20" s="35" t="inlineStr">
        <is>
          <t>M</t>
        </is>
      </c>
      <c r="AJ20" s="35" t="inlineStr">
        <is>
          <t>M</t>
        </is>
      </c>
      <c r="AK20" s="35" t="inlineStr">
        <is>
          <t>M</t>
        </is>
      </c>
      <c r="AL20" s="35" t="inlineStr">
        <is>
          <t>M</t>
        </is>
      </c>
      <c r="AM20" s="36" t="n">
        <v>0.37</v>
      </c>
      <c r="AN20" s="37" t="n">
        <v>0.183</v>
      </c>
      <c r="AO20" s="37" t="n">
        <v>0.113</v>
      </c>
      <c r="AP20" s="37" t="n">
        <v>0.15</v>
      </c>
      <c r="AQ20" s="37" t="n">
        <v>0.08699999999999999</v>
      </c>
      <c r="AR20" s="37" t="n">
        <v>0.06</v>
      </c>
      <c r="AS20" s="37" t="n">
        <v>0.04</v>
      </c>
      <c r="AT20" s="38" t="inlineStr">
        <is>
          <t>8–13</t>
        </is>
      </c>
      <c r="AU20" s="38" t="inlineStr">
        <is>
          <t>Postgraduate or professional qualification preferred</t>
        </is>
      </c>
      <c r="AV20" s="38" t="inlineStr">
        <is>
          <t>IC: none · People: 5–8 incl. team leads</t>
        </is>
      </c>
      <c r="AW20" s="38" t="inlineStr">
        <is>
          <t>P5 / M4 · SFIA 5 Ensure, advise</t>
        </is>
      </c>
      <c r="AX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 s="39" t="inlineStr">
        <is>
          <t>B3</t>
        </is>
      </c>
      <c r="AZ20" s="40" t="inlineStr">
        <is>
          <t>Band B · Specialist / Manager · Senior Manager</t>
        </is>
      </c>
      <c r="BA20" s="40" t="inlineStr">
        <is>
          <t>Model C1 from the six ratings, the market-derived weights and rules R1–R13 · then Band rule: manager C2 is a head in Band C · Principal / Head; a reportee sits in a lower band · C1 → B3 · move down · pay and title protected for one cycle</t>
        </is>
      </c>
      <c r="BB20" s="41" t="inlineStr">
        <is>
          <t>C1</t>
        </is>
      </c>
      <c r="BC20" s="40" t="inlineStr">
        <is>
          <t>The six ratings on the market-average weights of Band B · People Manager score 7.02 → C1 · Hay, Mercer IPE and public plans · experience 21.9 yrs vs the C1 market range 12–17</t>
        </is>
      </c>
      <c r="BD20" s="42">
        <f>IF(SUM(BM20,BN20,BO20,BP20,BQ20,BR20,BS20)=0,0,(BM20*BT20+BN20*BU20+BO20*BV20+BP20*BW20+BQ20*BX20+BR20*BY20+BS20*BZ20)/SUM(BM20,BN20,BO20,BP20,BQ20,BR20,BS20))</f>
        <v>0</v>
      </c>
      <c r="BE20" s="41" t="str">
        <f>IF(LEFT(AY20,1)="X",AY20,IF(OR(AY20="B+",AY20="C+"),INDEX(LAD_PC,MAX(1,MIN(14,MATCH(AY20,LAD_PC,0)+IF(BD20&gt;=0.5,1,IF(BD20&lt;=-0.5,-1,0))))),INDEX(LAD_STD,MAX(1,MIN(12,MATCH(AY20,LAD_STD,0)+IF(BD20&gt;=0.5,1,IF(BD20&lt;=-0.5,-1,0)))))))</f>
        <v>B3</v>
      </c>
      <c r="BF20" s="43" t="n"/>
      <c r="BG20" s="41" t="str">
        <f>IF(BF20&lt;&gt;"",BF20,BE20)</f>
        <v>B3</v>
      </c>
      <c r="BH20" s="40" t="str">
        <f>IFERROR(CHOOSE(INDEX(B_RANK,MATCH(BG20,B_LVL,0)),"Band A","Band B","B+ · Player-Coach","Band C","C+ · Player-Coach","Band D","Band E"),"Band X · Consultant")</f>
        <v>Band B</v>
      </c>
      <c r="BI20" s="40" t="str">
        <f>IF(BG20=AY20,"• Same",IF(INDEX(B_VAL,MATCH(BG20,B_LVL,0))&gt;INDEX(B_VAL,MATCH(AY20,B_LVL,0)),"▲ Up","▼ Down"))</f>
        <v>• Same</v>
      </c>
      <c r="BJ20" s="40" t="str">
        <f>IF(OR($M20="",$M20="—",$M20="Not in this file"),"",IFERROR(INDEX($BG$7:$BG$592,MATCH($M20,$D$7:$D$592,0)),""))</f>
        <v>C2</v>
      </c>
      <c r="BK20" s="40" t="str">
        <f>IFERROR(IF(BJ20="","—",IF(OR(LEFT(BG20,1)="X",LEFT(BJ20,1)="X"),"—",IF(AND(LEFT(BG20,1)="E",LEFT(BJ20,1)="E"),"Exception · Band E",IF(AND(INDEX(B_VAL,MATCH(BJ20,B_LVL,0))&gt;=7,INDEX(B_RANK,MATCH(BG20,B_LVL,0))&gt;=INDEX(B_RANK,MATCH(BJ20,B_LVL,0))),"⚠ Same band as a head manager",IF(INDEX(B_VAL,MATCH(BG20,B_LVL,0))&gt;=INDEX(B_VAL,MATCH(BJ20,B_LVL,0)),"⚠ At or above the manager's level","OK"))))),"—")</f>
        <v>OK</v>
      </c>
      <c r="BL20" s="43" t="n"/>
      <c r="BM20" s="44">
        <f>IFERROR(INDEX(LMH_PTS,MATCH(Y20,LMH_KEY,0)),0)</f>
        <v>9</v>
      </c>
      <c r="BN20" s="38">
        <f>IFERROR(INDEX(LMH_PTS,MATCH(Z20,LMH_KEY,0)),0)</f>
        <v>3</v>
      </c>
      <c r="BO20" s="38">
        <f>IFERROR(INDEX(LMH_PTS,MATCH(AA20,LMH_KEY,0)),0)</f>
        <v>3</v>
      </c>
      <c r="BP20" s="38">
        <f>IFERROR(INDEX(LMH_PTS,MATCH(AB20,LMH_KEY,0)),0)</f>
        <v>3</v>
      </c>
      <c r="BQ20" s="38">
        <f>IFERROR(INDEX(LMH_PTS,MATCH(AC20,LMH_KEY,0)),0)</f>
        <v>1</v>
      </c>
      <c r="BR20" s="38">
        <f>IFERROR(INDEX(LMH_PTS,MATCH(AD20,LMH_KEY,0)),0)</f>
        <v>1</v>
      </c>
      <c r="BS20" s="38">
        <f>IFERROR(INDEX(LMH_PTS,MATCH(AE20,LMH_KEY,0)),0)</f>
        <v>1</v>
      </c>
      <c r="BT20" s="38">
        <f>IFERROR(INDEX(LMH_STEP,MATCH(AF20,LMH_KEY,0)),0)</f>
        <v>0</v>
      </c>
      <c r="BU20" s="38">
        <f>IFERROR(INDEX(LMH_STEP,MATCH(AG20,LMH_KEY,0)),0)</f>
        <v>0</v>
      </c>
      <c r="BV20" s="38">
        <f>IFERROR(INDEX(LMH_STEP,MATCH(AH20,LMH_KEY,0)),0)</f>
        <v>0</v>
      </c>
      <c r="BW20" s="38">
        <f>IFERROR(INDEX(LMH_STEP,MATCH(AI20,LMH_KEY,0)),0)</f>
        <v>0</v>
      </c>
      <c r="BX20" s="38">
        <f>IFERROR(INDEX(LMH_STEP,MATCH(AJ20,LMH_KEY,0)),0)</f>
        <v>0</v>
      </c>
      <c r="BY20" s="38">
        <f>IFERROR(INDEX(LMH_STEP,MATCH(AK20,LMH_KEY,0)),0)</f>
        <v>0</v>
      </c>
      <c r="BZ20" s="38">
        <f>IFERROR(INDEX(LMH_STEP,MATCH(AL20,LMH_KEY,0)),0)</f>
        <v>0</v>
      </c>
      <c r="CA20" s="38" t="inlineStr">
        <is>
          <t>CARBON|Services|Associate Head – Assisted Services|B3|B-M</t>
        </is>
      </c>
    </row>
    <row r="21" ht="110" customHeight="1">
      <c r="A21" s="28" t="inlineStr">
        <is>
          <t>CARBON</t>
        </is>
      </c>
      <c r="B21" s="29" t="inlineStr">
        <is>
          <t>Services</t>
        </is>
      </c>
      <c r="C21" s="29" t="n">
        <v>5</v>
      </c>
      <c r="D21" s="29" t="inlineStr">
        <is>
          <t>IRIS0786</t>
        </is>
      </c>
      <c r="E21" s="29" t="inlineStr">
        <is>
          <t>Shashikant Mudaliar</t>
        </is>
      </c>
      <c r="F21" s="29" t="inlineStr">
        <is>
          <t>Head - XBRL Assisted Services</t>
        </is>
      </c>
      <c r="G21" s="29" t="inlineStr">
        <is>
          <t>Associate Head – XBRL Assisted Services</t>
        </is>
      </c>
      <c r="H21" s="29" t="inlineStr">
        <is>
          <t>Consulting &amp; Professional Services</t>
        </is>
      </c>
      <c r="I21" s="29" t="inlineStr">
        <is>
          <t>Professional Services Leadership</t>
        </is>
      </c>
      <c r="J21" s="29" t="inlineStr">
        <is>
          <t>People Manager</t>
        </is>
      </c>
      <c r="K21" s="29" t="inlineStr">
        <is>
          <t>RC-013</t>
        </is>
      </c>
      <c r="L21" s="29" t="inlineStr">
        <is>
          <t>K Ashok Kumar</t>
        </is>
      </c>
      <c r="M21" s="29" t="inlineStr">
        <is>
          <t>IRIS0018</t>
        </is>
      </c>
      <c r="N21" s="29" t="n">
        <v>15.2</v>
      </c>
      <c r="O21" s="29" t="n">
        <v>15.2</v>
      </c>
      <c r="P21" s="29" t="inlineStr">
        <is>
          <t>CMA</t>
        </is>
      </c>
      <c r="Q21" s="29" t="inlineStr">
        <is>
          <t>L7 – Head / Sr Director</t>
        </is>
      </c>
      <c r="R21" s="29" t="inlineStr">
        <is>
          <t>C1</t>
        </is>
      </c>
      <c r="S21" s="30" t="inlineStr">
        <is>
          <t>20 of 20</t>
        </is>
      </c>
      <c r="T21" s="31" t="inlineStr">
        <is>
          <t>• Role / sub-team: Assisted Services</t>
        </is>
      </c>
      <c r="U21"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21" s="31" t="inlineStr">
        <is>
          <t>Latest rating: 5 · Potential: High · 9-box: Future Leader · Readiness: Ready now</t>
        </is>
      </c>
      <c r="W21" s="31" t="inlineStr">
        <is>
          <t>C H · Au H · Ac H · L H · BI H · Exp H · 15.2 yrs vs 6–9 yrs · Edu H · CMA</t>
        </is>
      </c>
      <c r="X21" s="33" t="inlineStr">
        <is>
          <t>Open ▸</t>
        </is>
      </c>
      <c r="Y21" s="34" t="str">
        <f>IFERROR(INDEX(DL_C,MATCH($CA21,DL_KEY,0)),"M")</f>
        <v>H</v>
      </c>
      <c r="Z21" s="35" t="str">
        <f>IFERROR(INDEX(DL_Au,MATCH($CA21,DL_KEY,0)),"M")</f>
        <v>M</v>
      </c>
      <c r="AA21" s="35" t="str">
        <f>IFERROR(INDEX(DL_Ac,MATCH($CA21,DL_KEY,0)),"M")</f>
        <v>M</v>
      </c>
      <c r="AB21" s="35" t="str">
        <f>IFERROR(INDEX(DL_L,MATCH($CA21,DL_KEY,0)),"M")</f>
        <v>M</v>
      </c>
      <c r="AC21" s="35" t="str">
        <f>IFERROR(INDEX(DL_BI,MATCH($CA21,DL_KEY,0)),"M")</f>
        <v>L</v>
      </c>
      <c r="AD21" s="35" t="str">
        <f>IFERROR(INDEX(DL_Exp,MATCH($CA21,DL_KEY,0)),"M")</f>
        <v>L</v>
      </c>
      <c r="AE21" s="35" t="str">
        <f>IFERROR(INDEX(DL_Edu,MATCH($CA21,DL_KEY,0)),"M")</f>
        <v>L</v>
      </c>
      <c r="AF21" s="34" t="inlineStr">
        <is>
          <t>M</t>
        </is>
      </c>
      <c r="AG21" s="35" t="inlineStr">
        <is>
          <t>M</t>
        </is>
      </c>
      <c r="AH21" s="35" t="inlineStr">
        <is>
          <t>M</t>
        </is>
      </c>
      <c r="AI21" s="35" t="inlineStr">
        <is>
          <t>M</t>
        </is>
      </c>
      <c r="AJ21" s="35" t="inlineStr">
        <is>
          <t>M</t>
        </is>
      </c>
      <c r="AK21" s="35" t="inlineStr">
        <is>
          <t>M</t>
        </is>
      </c>
      <c r="AL21" s="35" t="inlineStr">
        <is>
          <t>M</t>
        </is>
      </c>
      <c r="AM21" s="36" t="n">
        <v>0.37</v>
      </c>
      <c r="AN21" s="37" t="n">
        <v>0.183</v>
      </c>
      <c r="AO21" s="37" t="n">
        <v>0.113</v>
      </c>
      <c r="AP21" s="37" t="n">
        <v>0.15</v>
      </c>
      <c r="AQ21" s="37" t="n">
        <v>0.08699999999999999</v>
      </c>
      <c r="AR21" s="37" t="n">
        <v>0.06</v>
      </c>
      <c r="AS21" s="37" t="n">
        <v>0.04</v>
      </c>
      <c r="AT21" s="38" t="inlineStr">
        <is>
          <t>6–10</t>
        </is>
      </c>
      <c r="AU21" s="38" t="inlineStr">
        <is>
          <t>Graduate or postgraduate; professional qualification preferred</t>
        </is>
      </c>
      <c r="AV21" s="38" t="inlineStr">
        <is>
          <t>IC: none · People: 6–8 knowledge work, 8–12 standardised delivery</t>
        </is>
      </c>
      <c r="AW21" s="38" t="inlineStr">
        <is>
          <t>P4 / M3 · SFIA 4–5</t>
        </is>
      </c>
      <c r="AX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 s="39" t="inlineStr">
        <is>
          <t>B2</t>
        </is>
      </c>
      <c r="AZ21" s="40" t="inlineStr">
        <is>
          <t>Band B · Specialist / Manager · Manager</t>
        </is>
      </c>
      <c r="BA21" s="40" t="inlineStr">
        <is>
          <t>Model C1 from the six ratings, the market-derived weights and rules R1–R13 · then Level rule: manager B3; a reportee sits at least one level below · C1 → B2 · move down · pay and title protected for one cycle</t>
        </is>
      </c>
      <c r="BB21" s="41" t="inlineStr">
        <is>
          <t>C1</t>
        </is>
      </c>
      <c r="BC21" s="40" t="inlineStr">
        <is>
          <t>The six ratings on the market-average weights of Band B · People Manager score 7.24 → C1 · Hay, Mercer IPE and public plans · experience 15.2 yrs vs the C1 market range 12–17</t>
        </is>
      </c>
      <c r="BD21" s="42">
        <f>IF(SUM(BM21,BN21,BO21,BP21,BQ21,BR21,BS21)=0,0,(BM21*BT21+BN21*BU21+BO21*BV21+BP21*BW21+BQ21*BX21+BR21*BY21+BS21*BZ21)/SUM(BM21,BN21,BO21,BP21,BQ21,BR21,BS21))</f>
        <v>0</v>
      </c>
      <c r="BE21" s="41" t="str">
        <f>IF(LEFT(AY21,1)="X",AY21,IF(OR(AY21="B+",AY21="C+"),INDEX(LAD_PC,MAX(1,MIN(14,MATCH(AY21,LAD_PC,0)+IF(BD21&gt;=0.5,1,IF(BD21&lt;=-0.5,-1,0))))),INDEX(LAD_STD,MAX(1,MIN(12,MATCH(AY21,LAD_STD,0)+IF(BD21&gt;=0.5,1,IF(BD21&lt;=-0.5,-1,0)))))))</f>
        <v>B2</v>
      </c>
      <c r="BF21" s="43" t="n"/>
      <c r="BG21" s="41" t="str">
        <f>IF(BF21&lt;&gt;"",BF21,BE21)</f>
        <v>B2</v>
      </c>
      <c r="BH21" s="40" t="str">
        <f>IFERROR(CHOOSE(INDEX(B_RANK,MATCH(BG21,B_LVL,0)),"Band A","Band B","B+ · Player-Coach","Band C","C+ · Player-Coach","Band D","Band E"),"Band X · Consultant")</f>
        <v>Band B</v>
      </c>
      <c r="BI21" s="40" t="str">
        <f>IF(BG21=AY21,"• Same",IF(INDEX(B_VAL,MATCH(BG21,B_LVL,0))&gt;INDEX(B_VAL,MATCH(AY21,B_LVL,0)),"▲ Up","▼ Down"))</f>
        <v>• Same</v>
      </c>
      <c r="BJ21" s="40" t="str">
        <f>IF(OR($M21="",$M21="—",$M21="Not in this file"),"",IFERROR(INDEX($BG$7:$BG$592,MATCH($M21,$D$7:$D$592,0)),""))</f>
        <v>B3</v>
      </c>
      <c r="BK21" s="40" t="str">
        <f>IFERROR(IF(BJ21="","—",IF(OR(LEFT(BG21,1)="X",LEFT(BJ21,1)="X"),"—",IF(AND(LEFT(BG21,1)="E",LEFT(BJ21,1)="E"),"Exception · Band E",IF(AND(INDEX(B_VAL,MATCH(BJ21,B_LVL,0))&gt;=7,INDEX(B_RANK,MATCH(BG21,B_LVL,0))&gt;=INDEX(B_RANK,MATCH(BJ21,B_LVL,0))),"⚠ Same band as a head manager",IF(INDEX(B_VAL,MATCH(BG21,B_LVL,0))&gt;=INDEX(B_VAL,MATCH(BJ21,B_LVL,0)),"⚠ At or above the manager's level","OK"))))),"—")</f>
        <v>OK</v>
      </c>
      <c r="BL21" s="43" t="n"/>
      <c r="BM21" s="44">
        <f>IFERROR(INDEX(LMH_PTS,MATCH(Y21,LMH_KEY,0)),0)</f>
        <v>9</v>
      </c>
      <c r="BN21" s="38">
        <f>IFERROR(INDEX(LMH_PTS,MATCH(Z21,LMH_KEY,0)),0)</f>
        <v>3</v>
      </c>
      <c r="BO21" s="38">
        <f>IFERROR(INDEX(LMH_PTS,MATCH(AA21,LMH_KEY,0)),0)</f>
        <v>3</v>
      </c>
      <c r="BP21" s="38">
        <f>IFERROR(INDEX(LMH_PTS,MATCH(AB21,LMH_KEY,0)),0)</f>
        <v>3</v>
      </c>
      <c r="BQ21" s="38">
        <f>IFERROR(INDEX(LMH_PTS,MATCH(AC21,LMH_KEY,0)),0)</f>
        <v>1</v>
      </c>
      <c r="BR21" s="38">
        <f>IFERROR(INDEX(LMH_PTS,MATCH(AD21,LMH_KEY,0)),0)</f>
        <v>1</v>
      </c>
      <c r="BS21" s="38">
        <f>IFERROR(INDEX(LMH_PTS,MATCH(AE21,LMH_KEY,0)),0)</f>
        <v>1</v>
      </c>
      <c r="BT21" s="38">
        <f>IFERROR(INDEX(LMH_STEP,MATCH(AF21,LMH_KEY,0)),0)</f>
        <v>0</v>
      </c>
      <c r="BU21" s="38">
        <f>IFERROR(INDEX(LMH_STEP,MATCH(AG21,LMH_KEY,0)),0)</f>
        <v>0</v>
      </c>
      <c r="BV21" s="38">
        <f>IFERROR(INDEX(LMH_STEP,MATCH(AH21,LMH_KEY,0)),0)</f>
        <v>0</v>
      </c>
      <c r="BW21" s="38">
        <f>IFERROR(INDEX(LMH_STEP,MATCH(AI21,LMH_KEY,0)),0)</f>
        <v>0</v>
      </c>
      <c r="BX21" s="38">
        <f>IFERROR(INDEX(LMH_STEP,MATCH(AJ21,LMH_KEY,0)),0)</f>
        <v>0</v>
      </c>
      <c r="BY21" s="38">
        <f>IFERROR(INDEX(LMH_STEP,MATCH(AK21,LMH_KEY,0)),0)</f>
        <v>0</v>
      </c>
      <c r="BZ21" s="38">
        <f>IFERROR(INDEX(LMH_STEP,MATCH(AL21,LMH_KEY,0)),0)</f>
        <v>0</v>
      </c>
      <c r="CA21" s="38" t="inlineStr">
        <is>
          <t>CARBON|Services|Associate Head – XBRL Assisted Services|B2|B-M</t>
        </is>
      </c>
    </row>
    <row r="22" ht="110" customHeight="1">
      <c r="A22" s="28" t="inlineStr">
        <is>
          <t>CARBON</t>
        </is>
      </c>
      <c r="B22" s="29" t="inlineStr">
        <is>
          <t>Services</t>
        </is>
      </c>
      <c r="C22" s="29" t="n">
        <v>6</v>
      </c>
      <c r="D22" s="29" t="inlineStr">
        <is>
          <t>IRIS0511</t>
        </is>
      </c>
      <c r="E22" s="29" t="inlineStr">
        <is>
          <t>Jinesh Kumar S</t>
        </is>
      </c>
      <c r="F22" s="29" t="inlineStr">
        <is>
          <t>Lead - Assisted Services</t>
        </is>
      </c>
      <c r="G22" s="29" t="inlineStr">
        <is>
          <t>Manager – Assisted Services</t>
        </is>
      </c>
      <c r="H22" s="29" t="inlineStr">
        <is>
          <t>Consulting &amp; Professional Services</t>
        </is>
      </c>
      <c r="I22" s="29" t="inlineStr">
        <is>
          <t>XBRL Tagging, Conversion &amp; Filing</t>
        </is>
      </c>
      <c r="J22" s="29" t="inlineStr">
        <is>
          <t>People Manager</t>
        </is>
      </c>
      <c r="K22" s="29" t="inlineStr">
        <is>
          <t>RC-028</t>
        </is>
      </c>
      <c r="L22" s="29" t="inlineStr">
        <is>
          <t>Shashikant Mudaliar</t>
        </is>
      </c>
      <c r="M22" s="29" t="inlineStr">
        <is>
          <t>IRIS0786</t>
        </is>
      </c>
      <c r="N22" s="29" t="n">
        <v>16.1</v>
      </c>
      <c r="O22" s="29" t="n">
        <v>15.7</v>
      </c>
      <c r="P22" s="29" t="inlineStr">
        <is>
          <t>M.Com</t>
        </is>
      </c>
      <c r="Q22" s="29" t="inlineStr">
        <is>
          <t>L5 – Lead · IC</t>
        </is>
      </c>
      <c r="R22" s="29" t="inlineStr">
        <is>
          <t>B2</t>
        </is>
      </c>
      <c r="S22" s="30" t="inlineStr">
        <is>
          <t>20 of 20</t>
        </is>
      </c>
      <c r="T22" s="31" t="inlineStr">
        <is>
          <t>• Role / sub-team: XBRL Tagging - US SEC.</t>
        </is>
      </c>
      <c r="U22"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22" s="31" t="inlineStr">
        <is>
          <t>Latest rating: 4 · Potential: High · 9-box: Emerging Talent · Readiness: Ready now</t>
        </is>
      </c>
      <c r="W22" s="31" t="inlineStr">
        <is>
          <t>C M · Au M · Ac H · L H · BI H · Exp H · 16.1 yrs vs 4–7 yrs · Edu H · M.Com</t>
        </is>
      </c>
      <c r="X22" s="33" t="inlineStr">
        <is>
          <t>Open ▸</t>
        </is>
      </c>
      <c r="Y22" s="34" t="str">
        <f>IFERROR(INDEX(DL_C,MATCH($CA22,DL_KEY,0)),"M")</f>
        <v>H</v>
      </c>
      <c r="Z22" s="35" t="str">
        <f>IFERROR(INDEX(DL_Au,MATCH($CA22,DL_KEY,0)),"M")</f>
        <v>M</v>
      </c>
      <c r="AA22" s="35" t="str">
        <f>IFERROR(INDEX(DL_Ac,MATCH($CA22,DL_KEY,0)),"M")</f>
        <v>M</v>
      </c>
      <c r="AB22" s="35" t="str">
        <f>IFERROR(INDEX(DL_L,MATCH($CA22,DL_KEY,0)),"M")</f>
        <v>M</v>
      </c>
      <c r="AC22" s="35" t="str">
        <f>IFERROR(INDEX(DL_BI,MATCH($CA22,DL_KEY,0)),"M")</f>
        <v>L</v>
      </c>
      <c r="AD22" s="35" t="str">
        <f>IFERROR(INDEX(DL_Exp,MATCH($CA22,DL_KEY,0)),"M")</f>
        <v>L</v>
      </c>
      <c r="AE22" s="35" t="str">
        <f>IFERROR(INDEX(DL_Edu,MATCH($CA22,DL_KEY,0)),"M")</f>
        <v>L</v>
      </c>
      <c r="AF22" s="34" t="inlineStr">
        <is>
          <t>M</t>
        </is>
      </c>
      <c r="AG22" s="35" t="inlineStr">
        <is>
          <t>M</t>
        </is>
      </c>
      <c r="AH22" s="35" t="inlineStr">
        <is>
          <t>M</t>
        </is>
      </c>
      <c r="AI22" s="35" t="inlineStr">
        <is>
          <t>M</t>
        </is>
      </c>
      <c r="AJ22" s="35" t="inlineStr">
        <is>
          <t>M</t>
        </is>
      </c>
      <c r="AK22" s="35" t="inlineStr">
        <is>
          <t>M</t>
        </is>
      </c>
      <c r="AL22" s="35" t="inlineStr">
        <is>
          <t>M</t>
        </is>
      </c>
      <c r="AM22" s="36" t="n">
        <v>0.37</v>
      </c>
      <c r="AN22" s="37" t="n">
        <v>0.183</v>
      </c>
      <c r="AO22" s="37" t="n">
        <v>0.113</v>
      </c>
      <c r="AP22" s="37" t="n">
        <v>0.15</v>
      </c>
      <c r="AQ22" s="37" t="n">
        <v>0.08699999999999999</v>
      </c>
      <c r="AR22" s="37" t="n">
        <v>0.06</v>
      </c>
      <c r="AS22" s="37" t="n">
        <v>0.04</v>
      </c>
      <c r="AT22" s="38" t="inlineStr">
        <is>
          <t>4–8</t>
        </is>
      </c>
      <c r="AU22" s="38" t="inlineStr">
        <is>
          <t>Graduate + relevant qualification or certification preferred</t>
        </is>
      </c>
      <c r="AV22" s="38" t="inlineStr">
        <is>
          <t>IC: none · Team Lead: 3–5</t>
        </is>
      </c>
      <c r="AW22" s="38" t="inlineStr">
        <is>
          <t>P3 / M2 · SFIA 4 Enable</t>
        </is>
      </c>
      <c r="AX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 s="39" t="inlineStr">
        <is>
          <t>B1</t>
        </is>
      </c>
      <c r="AZ22" s="40" t="inlineStr">
        <is>
          <t>Band B · Specialist / Manager · Team Lead / Asst Manager</t>
        </is>
      </c>
      <c r="BA22" s="40" t="inlineStr">
        <is>
          <t>Model B2 from the six ratings, the market-derived weights and rules R1–R13 · then Level rule: manager B2; a reportee sits at least one level below · B2 → B1 · move down · pay and title protected for one cycle</t>
        </is>
      </c>
      <c r="BB22" s="41" t="inlineStr">
        <is>
          <t>B2</t>
        </is>
      </c>
      <c r="BC22" s="40" t="inlineStr">
        <is>
          <t>The six ratings on the market-average weights of Band B · People Manager score 4.98 → B2 · Hay, Mercer IPE and public plans · experience 16.1 yrs vs the B2 market range 6–10</t>
        </is>
      </c>
      <c r="BD22" s="42">
        <f>IF(SUM(BM22,BN22,BO22,BP22,BQ22,BR22,BS22)=0,0,(BM22*BT22+BN22*BU22+BO22*BV22+BP22*BW22+BQ22*BX22+BR22*BY22+BS22*BZ22)/SUM(BM22,BN22,BO22,BP22,BQ22,BR22,BS22))</f>
        <v>0</v>
      </c>
      <c r="BE22" s="41" t="str">
        <f>IF(LEFT(AY22,1)="X",AY22,IF(OR(AY22="B+",AY22="C+"),INDEX(LAD_PC,MAX(1,MIN(14,MATCH(AY22,LAD_PC,0)+IF(BD22&gt;=0.5,1,IF(BD22&lt;=-0.5,-1,0))))),INDEX(LAD_STD,MAX(1,MIN(12,MATCH(AY22,LAD_STD,0)+IF(BD22&gt;=0.5,1,IF(BD22&lt;=-0.5,-1,0)))))))</f>
        <v>B1</v>
      </c>
      <c r="BF22" s="43" t="n"/>
      <c r="BG22" s="41" t="str">
        <f>IF(BF22&lt;&gt;"",BF22,BE22)</f>
        <v>B1</v>
      </c>
      <c r="BH22" s="40" t="str">
        <f>IFERROR(CHOOSE(INDEX(B_RANK,MATCH(BG22,B_LVL,0)),"Band A","Band B","B+ · Player-Coach","Band C","C+ · Player-Coach","Band D","Band E"),"Band X · Consultant")</f>
        <v>Band B</v>
      </c>
      <c r="BI22" s="40" t="str">
        <f>IF(BG22=AY22,"• Same",IF(INDEX(B_VAL,MATCH(BG22,B_LVL,0))&gt;INDEX(B_VAL,MATCH(AY22,B_LVL,0)),"▲ Up","▼ Down"))</f>
        <v>• Same</v>
      </c>
      <c r="BJ22" s="40" t="str">
        <f>IF(OR($M22="",$M22="—",$M22="Not in this file"),"",IFERROR(INDEX($BG$7:$BG$592,MATCH($M22,$D$7:$D$592,0)),""))</f>
        <v>B2</v>
      </c>
      <c r="BK22" s="40" t="str">
        <f>IFERROR(IF(BJ22="","—",IF(OR(LEFT(BG22,1)="X",LEFT(BJ22,1)="X"),"—",IF(AND(LEFT(BG22,1)="E",LEFT(BJ22,1)="E"),"Exception · Band E",IF(AND(INDEX(B_VAL,MATCH(BJ22,B_LVL,0))&gt;=7,INDEX(B_RANK,MATCH(BG22,B_LVL,0))&gt;=INDEX(B_RANK,MATCH(BJ22,B_LVL,0))),"⚠ Same band as a head manager",IF(INDEX(B_VAL,MATCH(BG22,B_LVL,0))&gt;=INDEX(B_VAL,MATCH(BJ22,B_LVL,0)),"⚠ At or above the manager's level","OK"))))),"—")</f>
        <v>OK</v>
      </c>
      <c r="BL22" s="43" t="n"/>
      <c r="BM22" s="44">
        <f>IFERROR(INDEX(LMH_PTS,MATCH(Y22,LMH_KEY,0)),0)</f>
        <v>9</v>
      </c>
      <c r="BN22" s="38">
        <f>IFERROR(INDEX(LMH_PTS,MATCH(Z22,LMH_KEY,0)),0)</f>
        <v>3</v>
      </c>
      <c r="BO22" s="38">
        <f>IFERROR(INDEX(LMH_PTS,MATCH(AA22,LMH_KEY,0)),0)</f>
        <v>3</v>
      </c>
      <c r="BP22" s="38">
        <f>IFERROR(INDEX(LMH_PTS,MATCH(AB22,LMH_KEY,0)),0)</f>
        <v>3</v>
      </c>
      <c r="BQ22" s="38">
        <f>IFERROR(INDEX(LMH_PTS,MATCH(AC22,LMH_KEY,0)),0)</f>
        <v>1</v>
      </c>
      <c r="BR22" s="38">
        <f>IFERROR(INDEX(LMH_PTS,MATCH(AD22,LMH_KEY,0)),0)</f>
        <v>1</v>
      </c>
      <c r="BS22" s="38">
        <f>IFERROR(INDEX(LMH_PTS,MATCH(AE22,LMH_KEY,0)),0)</f>
        <v>1</v>
      </c>
      <c r="BT22" s="38">
        <f>IFERROR(INDEX(LMH_STEP,MATCH(AF22,LMH_KEY,0)),0)</f>
        <v>0</v>
      </c>
      <c r="BU22" s="38">
        <f>IFERROR(INDEX(LMH_STEP,MATCH(AG22,LMH_KEY,0)),0)</f>
        <v>0</v>
      </c>
      <c r="BV22" s="38">
        <f>IFERROR(INDEX(LMH_STEP,MATCH(AH22,LMH_KEY,0)),0)</f>
        <v>0</v>
      </c>
      <c r="BW22" s="38">
        <f>IFERROR(INDEX(LMH_STEP,MATCH(AI22,LMH_KEY,0)),0)</f>
        <v>0</v>
      </c>
      <c r="BX22" s="38">
        <f>IFERROR(INDEX(LMH_STEP,MATCH(AJ22,LMH_KEY,0)),0)</f>
        <v>0</v>
      </c>
      <c r="BY22" s="38">
        <f>IFERROR(INDEX(LMH_STEP,MATCH(AK22,LMH_KEY,0)),0)</f>
        <v>0</v>
      </c>
      <c r="BZ22" s="38">
        <f>IFERROR(INDEX(LMH_STEP,MATCH(AL22,LMH_KEY,0)),0)</f>
        <v>0</v>
      </c>
      <c r="CA22" s="38" t="inlineStr">
        <is>
          <t>CARBON|Services|Manager – Assisted Services|B1|B-M</t>
        </is>
      </c>
    </row>
    <row r="23" ht="110" customHeight="1">
      <c r="A23" s="28" t="inlineStr">
        <is>
          <t>CARBON</t>
        </is>
      </c>
      <c r="B23" s="29" t="inlineStr">
        <is>
          <t>Services</t>
        </is>
      </c>
      <c r="C23" s="29" t="n">
        <v>7</v>
      </c>
      <c r="D23" s="29" t="inlineStr">
        <is>
          <t>IRIS2163</t>
        </is>
      </c>
      <c r="E23" s="29" t="inlineStr">
        <is>
          <t>Abhijit Bhagwan Patil</t>
        </is>
      </c>
      <c r="F23" s="29" t="inlineStr">
        <is>
          <t>Financial Analyst</t>
        </is>
      </c>
      <c r="G23" s="29" t="inlineStr">
        <is>
          <t>Senior Financial Analyst</t>
        </is>
      </c>
      <c r="H23" s="29" t="inlineStr">
        <is>
          <t>Consulting &amp; Professional Services</t>
        </is>
      </c>
      <c r="I23" s="29" t="inlineStr">
        <is>
          <t>XBRL Tagging, Conversion &amp; Filing</t>
        </is>
      </c>
      <c r="J23" s="29" t="inlineStr">
        <is>
          <t>IC</t>
        </is>
      </c>
      <c r="K23" s="29" t="inlineStr">
        <is>
          <t>RC-025</t>
        </is>
      </c>
      <c r="L23" s="29" t="inlineStr">
        <is>
          <t>Jinesh Kumar S</t>
        </is>
      </c>
      <c r="M23" s="29" t="inlineStr">
        <is>
          <t>IRIS0511</t>
        </is>
      </c>
      <c r="N23" s="29" t="n">
        <v>3.1</v>
      </c>
      <c r="O23" s="29" t="n">
        <v>3.1</v>
      </c>
      <c r="P23" s="29" t="inlineStr">
        <is>
          <t>BAF</t>
        </is>
      </c>
      <c r="Q23" s="29" t="inlineStr">
        <is>
          <t>L3 – Professional / Associate</t>
        </is>
      </c>
      <c r="R23" s="29" t="inlineStr">
        <is>
          <t>A3</t>
        </is>
      </c>
      <c r="S23" s="30" t="inlineStr">
        <is>
          <t>20 of 20</t>
        </is>
      </c>
      <c r="T23" s="31" t="inlineStr">
        <is>
          <t>• Role / sub-team: XBRL Tagging and Quality check analyst in Us team.</t>
        </is>
      </c>
      <c r="U2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3" s="31" t="inlineStr">
        <is>
          <t>Latest rating: 4 · Potential: High · 9-box: Core Contributor · Readiness: Ready now</t>
        </is>
      </c>
      <c r="W23" s="31" t="inlineStr">
        <is>
          <t>C M · Au M · Ac M · L L · BI M · Exp M · 3.1 yrs vs 2–4 yrs · Edu M · BAF</t>
        </is>
      </c>
      <c r="X23" s="33" t="inlineStr">
        <is>
          <t>Open ▸</t>
        </is>
      </c>
      <c r="Y23" s="34" t="str">
        <f>IFERROR(INDEX(DL_C,MATCH($CA23,DL_KEY,0)),"M")</f>
        <v>H</v>
      </c>
      <c r="Z23" s="35" t="str">
        <f>IFERROR(INDEX(DL_Au,MATCH($CA23,DL_KEY,0)),"M")</f>
        <v>M</v>
      </c>
      <c r="AA23" s="35" t="str">
        <f>IFERROR(INDEX(DL_Ac,MATCH($CA23,DL_KEY,0)),"M")</f>
        <v>M</v>
      </c>
      <c r="AB23" s="35" t="str">
        <f>IFERROR(INDEX(DL_L,MATCH($CA23,DL_KEY,0)),"M")</f>
        <v>L</v>
      </c>
      <c r="AC23" s="35" t="str">
        <f>IFERROR(INDEX(DL_BI,MATCH($CA23,DL_KEY,0)),"M")</f>
        <v>L</v>
      </c>
      <c r="AD23" s="35" t="str">
        <f>IFERROR(INDEX(DL_Exp,MATCH($CA23,DL_KEY,0)),"M")</f>
        <v>L</v>
      </c>
      <c r="AE23" s="35" t="str">
        <f>IFERROR(INDEX(DL_Edu,MATCH($CA23,DL_KEY,0)),"M")</f>
        <v>L</v>
      </c>
      <c r="AF23" s="34" t="inlineStr">
        <is>
          <t>M</t>
        </is>
      </c>
      <c r="AG23" s="35" t="inlineStr">
        <is>
          <t>M</t>
        </is>
      </c>
      <c r="AH23" s="35" t="inlineStr">
        <is>
          <t>M</t>
        </is>
      </c>
      <c r="AI23" s="35" t="inlineStr">
        <is>
          <t>M</t>
        </is>
      </c>
      <c r="AJ23" s="35" t="inlineStr">
        <is>
          <t>M</t>
        </is>
      </c>
      <c r="AK23" s="35" t="inlineStr">
        <is>
          <t>M</t>
        </is>
      </c>
      <c r="AL23" s="35" t="inlineStr">
        <is>
          <t>M</t>
        </is>
      </c>
      <c r="AM23" s="36" t="n">
        <v>0.583</v>
      </c>
      <c r="AN23" s="37" t="n">
        <v>0.16</v>
      </c>
      <c r="AO23" s="37" t="n">
        <v>0.09</v>
      </c>
      <c r="AP23" s="37" t="n">
        <v>0</v>
      </c>
      <c r="AQ23" s="37" t="n">
        <v>0.063</v>
      </c>
      <c r="AR23" s="37" t="n">
        <v>0.06</v>
      </c>
      <c r="AS23" s="37" t="n">
        <v>0.04</v>
      </c>
      <c r="AT23" s="38" t="inlineStr">
        <is>
          <t>2–5</t>
        </is>
      </c>
      <c r="AU23" s="38" t="inlineStr">
        <is>
          <t>Graduate; relevant certification preferred</t>
        </is>
      </c>
      <c r="AV23" s="38" t="inlineStr">
        <is>
          <t>None · guides 1–3 juniors informally</t>
        </is>
      </c>
      <c r="AW23" s="38" t="inlineStr">
        <is>
          <t>P2 · SFIA 3 Apply</t>
        </is>
      </c>
      <c r="AX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 s="39" t="inlineStr">
        <is>
          <t>A3</t>
        </is>
      </c>
      <c r="AZ23" s="40" t="inlineStr">
        <is>
          <t>Band A · Practitioner · Senior Associate</t>
        </is>
      </c>
      <c r="BA23" s="40" t="inlineStr">
        <is>
          <t>Model A3 from the six ratings, the market-derived weights and rules R1–R13 · then No change · already below the manager</t>
        </is>
      </c>
      <c r="BB23" s="41" t="inlineStr">
        <is>
          <t>A3</t>
        </is>
      </c>
      <c r="BC23" s="40" t="inlineStr">
        <is>
          <t>The six ratings on the market-average weights of Band A · all tracks score 2.66 → A3 · Hay, Mercer IPE and public plans · experience 3.1 yrs vs the A3 market range 2–5</t>
        </is>
      </c>
      <c r="BD23" s="42">
        <f>IF(SUM(BM23,BN23,BO23,BP23,BQ23,BR23,BS23)=0,0,(BM23*BT23+BN23*BU23+BO23*BV23+BP23*BW23+BQ23*BX23+BR23*BY23+BS23*BZ23)/SUM(BM23,BN23,BO23,BP23,BQ23,BR23,BS23))</f>
        <v>0</v>
      </c>
      <c r="BE23" s="41" t="str">
        <f>IF(LEFT(AY23,1)="X",AY23,IF(OR(AY23="B+",AY23="C+"),INDEX(LAD_PC,MAX(1,MIN(14,MATCH(AY23,LAD_PC,0)+IF(BD23&gt;=0.5,1,IF(BD23&lt;=-0.5,-1,0))))),INDEX(LAD_STD,MAX(1,MIN(12,MATCH(AY23,LAD_STD,0)+IF(BD23&gt;=0.5,1,IF(BD23&lt;=-0.5,-1,0)))))))</f>
        <v>A3</v>
      </c>
      <c r="BF23" s="43" t="n"/>
      <c r="BG23" s="41" t="str">
        <f>IF(BF23&lt;&gt;"",BF23,BE23)</f>
        <v>A3</v>
      </c>
      <c r="BH23" s="40" t="str">
        <f>IFERROR(CHOOSE(INDEX(B_RANK,MATCH(BG23,B_LVL,0)),"Band A","Band B","B+ · Player-Coach","Band C","C+ · Player-Coach","Band D","Band E"),"Band X · Consultant")</f>
        <v>Band A</v>
      </c>
      <c r="BI23" s="40" t="str">
        <f>IF(BG23=AY23,"• Same",IF(INDEX(B_VAL,MATCH(BG23,B_LVL,0))&gt;INDEX(B_VAL,MATCH(AY23,B_LVL,0)),"▲ Up","▼ Down"))</f>
        <v>• Same</v>
      </c>
      <c r="BJ23" s="40" t="str">
        <f>IF(OR($M23="",$M23="—",$M23="Not in this file"),"",IFERROR(INDEX($BG$7:$BG$592,MATCH($M23,$D$7:$D$592,0)),""))</f>
        <v>B1</v>
      </c>
      <c r="BK23" s="40" t="str">
        <f>IFERROR(IF(BJ23="","—",IF(OR(LEFT(BG23,1)="X",LEFT(BJ23,1)="X"),"—",IF(AND(LEFT(BG23,1)="E",LEFT(BJ23,1)="E"),"Exception · Band E",IF(AND(INDEX(B_VAL,MATCH(BJ23,B_LVL,0))&gt;=7,INDEX(B_RANK,MATCH(BG23,B_LVL,0))&gt;=INDEX(B_RANK,MATCH(BJ23,B_LVL,0))),"⚠ Same band as a head manager",IF(INDEX(B_VAL,MATCH(BG23,B_LVL,0))&gt;=INDEX(B_VAL,MATCH(BJ23,B_LVL,0)),"⚠ At or above the manager's level","OK"))))),"—")</f>
        <v>OK</v>
      </c>
      <c r="BL23" s="43" t="n"/>
      <c r="BM23" s="44">
        <f>IFERROR(INDEX(LMH_PTS,MATCH(Y23,LMH_KEY,0)),0)</f>
        <v>9</v>
      </c>
      <c r="BN23" s="38">
        <f>IFERROR(INDEX(LMH_PTS,MATCH(Z23,LMH_KEY,0)),0)</f>
        <v>3</v>
      </c>
      <c r="BO23" s="38">
        <f>IFERROR(INDEX(LMH_PTS,MATCH(AA23,LMH_KEY,0)),0)</f>
        <v>3</v>
      </c>
      <c r="BP23" s="38">
        <f>IFERROR(INDEX(LMH_PTS,MATCH(AB23,LMH_KEY,0)),0)</f>
        <v>1</v>
      </c>
      <c r="BQ23" s="38">
        <f>IFERROR(INDEX(LMH_PTS,MATCH(AC23,LMH_KEY,0)),0)</f>
        <v>1</v>
      </c>
      <c r="BR23" s="38">
        <f>IFERROR(INDEX(LMH_PTS,MATCH(AD23,LMH_KEY,0)),0)</f>
        <v>1</v>
      </c>
      <c r="BS23" s="38">
        <f>IFERROR(INDEX(LMH_PTS,MATCH(AE23,LMH_KEY,0)),0)</f>
        <v>1</v>
      </c>
      <c r="BT23" s="38">
        <f>IFERROR(INDEX(LMH_STEP,MATCH(AF23,LMH_KEY,0)),0)</f>
        <v>0</v>
      </c>
      <c r="BU23" s="38">
        <f>IFERROR(INDEX(LMH_STEP,MATCH(AG23,LMH_KEY,0)),0)</f>
        <v>0</v>
      </c>
      <c r="BV23" s="38">
        <f>IFERROR(INDEX(LMH_STEP,MATCH(AH23,LMH_KEY,0)),0)</f>
        <v>0</v>
      </c>
      <c r="BW23" s="38">
        <f>IFERROR(INDEX(LMH_STEP,MATCH(AI23,LMH_KEY,0)),0)</f>
        <v>0</v>
      </c>
      <c r="BX23" s="38">
        <f>IFERROR(INDEX(LMH_STEP,MATCH(AJ23,LMH_KEY,0)),0)</f>
        <v>0</v>
      </c>
      <c r="BY23" s="38">
        <f>IFERROR(INDEX(LMH_STEP,MATCH(AK23,LMH_KEY,0)),0)</f>
        <v>0</v>
      </c>
      <c r="BZ23" s="38">
        <f>IFERROR(INDEX(LMH_STEP,MATCH(AL23,LMH_KEY,0)),0)</f>
        <v>0</v>
      </c>
      <c r="CA23" s="38" t="inlineStr">
        <is>
          <t>CARBON|Services|Senior Financial Analyst|A3|A</t>
        </is>
      </c>
    </row>
    <row r="24" ht="110" customHeight="1">
      <c r="A24" s="28" t="inlineStr">
        <is>
          <t>CARBON</t>
        </is>
      </c>
      <c r="B24" s="29" t="inlineStr">
        <is>
          <t>Services</t>
        </is>
      </c>
      <c r="C24" s="29" t="n">
        <v>7</v>
      </c>
      <c r="D24" s="29" t="inlineStr">
        <is>
          <t>IRIS0135</t>
        </is>
      </c>
      <c r="E24" s="29" t="inlineStr">
        <is>
          <t>Ashok Yadav</t>
        </is>
      </c>
      <c r="F24" s="29" t="inlineStr">
        <is>
          <t>Senior Financial Analyst</t>
        </is>
      </c>
      <c r="G24" s="29" t="inlineStr">
        <is>
          <t>Senior Financial Analyst</t>
        </is>
      </c>
      <c r="H24" s="29" t="inlineStr">
        <is>
          <t>Consulting &amp; Professional Services</t>
        </is>
      </c>
      <c r="I24" s="29" t="inlineStr">
        <is>
          <t>XBRL Tagging, Conversion &amp; Filing</t>
        </is>
      </c>
      <c r="J24" s="29" t="inlineStr">
        <is>
          <t>IC</t>
        </is>
      </c>
      <c r="K24" s="29" t="inlineStr">
        <is>
          <t>RC-025</t>
        </is>
      </c>
      <c r="L24" s="29" t="inlineStr">
        <is>
          <t>Jinesh Kumar S</t>
        </is>
      </c>
      <c r="M24" s="29" t="inlineStr">
        <is>
          <t>IRIS0511</t>
        </is>
      </c>
      <c r="N24" s="29" t="n">
        <v>18.9</v>
      </c>
      <c r="O24" s="29" t="n">
        <v>18.9</v>
      </c>
      <c r="P24" s="29" t="inlineStr">
        <is>
          <t>B.Com</t>
        </is>
      </c>
      <c r="Q24" s="29" t="inlineStr">
        <is>
          <t>L4 – Senior</t>
        </is>
      </c>
      <c r="R24" s="29" t="inlineStr">
        <is>
          <t>A3</t>
        </is>
      </c>
      <c r="S24" s="30" t="inlineStr">
        <is>
          <t>19 of 20</t>
        </is>
      </c>
      <c r="T24" s="31" t="inlineStr">
        <is>
          <t>• Role / sub-team: XBRL Tagging and QC in US Service Team.</t>
        </is>
      </c>
      <c r="U2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4" s="31" t="inlineStr">
        <is>
          <t>Latest rating: 3 · Potential: Medium · 9-box: Core Contributor · Readiness: Develop in role</t>
        </is>
      </c>
      <c r="W24" s="31" t="inlineStr">
        <is>
          <t>C M · Au M · Ac M · L L · BI M · Exp H · 18.9 yrs vs 2–4 yrs · Edu M · B.Com</t>
        </is>
      </c>
      <c r="X24" s="33" t="inlineStr">
        <is>
          <t>Open ▸</t>
        </is>
      </c>
      <c r="Y24" s="34" t="str">
        <f>IFERROR(INDEX(DL_C,MATCH($CA24,DL_KEY,0)),"M")</f>
        <v>H</v>
      </c>
      <c r="Z24" s="35" t="str">
        <f>IFERROR(INDEX(DL_Au,MATCH($CA24,DL_KEY,0)),"M")</f>
        <v>M</v>
      </c>
      <c r="AA24" s="35" t="str">
        <f>IFERROR(INDEX(DL_Ac,MATCH($CA24,DL_KEY,0)),"M")</f>
        <v>M</v>
      </c>
      <c r="AB24" s="35" t="str">
        <f>IFERROR(INDEX(DL_L,MATCH($CA24,DL_KEY,0)),"M")</f>
        <v>L</v>
      </c>
      <c r="AC24" s="35" t="str">
        <f>IFERROR(INDEX(DL_BI,MATCH($CA24,DL_KEY,0)),"M")</f>
        <v>L</v>
      </c>
      <c r="AD24" s="35" t="str">
        <f>IFERROR(INDEX(DL_Exp,MATCH($CA24,DL_KEY,0)),"M")</f>
        <v>L</v>
      </c>
      <c r="AE24" s="35" t="str">
        <f>IFERROR(INDEX(DL_Edu,MATCH($CA24,DL_KEY,0)),"M")</f>
        <v>L</v>
      </c>
      <c r="AF24" s="34" t="inlineStr">
        <is>
          <t>M</t>
        </is>
      </c>
      <c r="AG24" s="35" t="inlineStr">
        <is>
          <t>M</t>
        </is>
      </c>
      <c r="AH24" s="35" t="inlineStr">
        <is>
          <t>M</t>
        </is>
      </c>
      <c r="AI24" s="35" t="inlineStr">
        <is>
          <t>M</t>
        </is>
      </c>
      <c r="AJ24" s="35" t="inlineStr">
        <is>
          <t>M</t>
        </is>
      </c>
      <c r="AK24" s="35" t="inlineStr">
        <is>
          <t>M</t>
        </is>
      </c>
      <c r="AL24" s="35" t="inlineStr">
        <is>
          <t>M</t>
        </is>
      </c>
      <c r="AM24" s="36" t="n">
        <v>0.583</v>
      </c>
      <c r="AN24" s="37" t="n">
        <v>0.16</v>
      </c>
      <c r="AO24" s="37" t="n">
        <v>0.09</v>
      </c>
      <c r="AP24" s="37" t="n">
        <v>0</v>
      </c>
      <c r="AQ24" s="37" t="n">
        <v>0.063</v>
      </c>
      <c r="AR24" s="37" t="n">
        <v>0.06</v>
      </c>
      <c r="AS24" s="37" t="n">
        <v>0.04</v>
      </c>
      <c r="AT24" s="38" t="inlineStr">
        <is>
          <t>2–5</t>
        </is>
      </c>
      <c r="AU24" s="38" t="inlineStr">
        <is>
          <t>Graduate; relevant certification preferred</t>
        </is>
      </c>
      <c r="AV24" s="38" t="inlineStr">
        <is>
          <t>None · guides 1–3 juniors informally</t>
        </is>
      </c>
      <c r="AW24" s="38" t="inlineStr">
        <is>
          <t>P2 · SFIA 3 Apply</t>
        </is>
      </c>
      <c r="AX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 s="39" t="inlineStr">
        <is>
          <t>A3</t>
        </is>
      </c>
      <c r="AZ24" s="40" t="inlineStr">
        <is>
          <t>Band A · Practitioner · Senior Associate</t>
        </is>
      </c>
      <c r="BA24" s="40" t="inlineStr">
        <is>
          <t>Model A3 from the six ratings, the market-derived weights and rules R1–R13 · then No change · already below the manager</t>
        </is>
      </c>
      <c r="BB24" s="41" t="inlineStr">
        <is>
          <t>B1</t>
        </is>
      </c>
      <c r="BC24" s="40" t="inlineStr">
        <is>
          <t>The six ratings on the market-average weights of Band A · all tracks score 3.53 → B1 · Hay, Mercer IPE and public plans · experience 18.9 yrs vs the B1 market range 4–8</t>
        </is>
      </c>
      <c r="BD24" s="42">
        <f>IF(SUM(BM24,BN24,BO24,BP24,BQ24,BR24,BS24)=0,0,(BM24*BT24+BN24*BU24+BO24*BV24+BP24*BW24+BQ24*BX24+BR24*BY24+BS24*BZ24)/SUM(BM24,BN24,BO24,BP24,BQ24,BR24,BS24))</f>
        <v>0</v>
      </c>
      <c r="BE24" s="41" t="str">
        <f>IF(LEFT(AY24,1)="X",AY24,IF(OR(AY24="B+",AY24="C+"),INDEX(LAD_PC,MAX(1,MIN(14,MATCH(AY24,LAD_PC,0)+IF(BD24&gt;=0.5,1,IF(BD24&lt;=-0.5,-1,0))))),INDEX(LAD_STD,MAX(1,MIN(12,MATCH(AY24,LAD_STD,0)+IF(BD24&gt;=0.5,1,IF(BD24&lt;=-0.5,-1,0)))))))</f>
        <v>A3</v>
      </c>
      <c r="BF24" s="43" t="n"/>
      <c r="BG24" s="41" t="str">
        <f>IF(BF24&lt;&gt;"",BF24,BE24)</f>
        <v>A3</v>
      </c>
      <c r="BH24" s="40" t="str">
        <f>IFERROR(CHOOSE(INDEX(B_RANK,MATCH(BG24,B_LVL,0)),"Band A","Band B","B+ · Player-Coach","Band C","C+ · Player-Coach","Band D","Band E"),"Band X · Consultant")</f>
        <v>Band A</v>
      </c>
      <c r="BI24" s="40" t="str">
        <f>IF(BG24=AY24,"• Same",IF(INDEX(B_VAL,MATCH(BG24,B_LVL,0))&gt;INDEX(B_VAL,MATCH(AY24,B_LVL,0)),"▲ Up","▼ Down"))</f>
        <v>• Same</v>
      </c>
      <c r="BJ24" s="40" t="str">
        <f>IF(OR($M24="",$M24="—",$M24="Not in this file"),"",IFERROR(INDEX($BG$7:$BG$592,MATCH($M24,$D$7:$D$592,0)),""))</f>
        <v>B1</v>
      </c>
      <c r="BK24" s="40" t="str">
        <f>IFERROR(IF(BJ24="","—",IF(OR(LEFT(BG24,1)="X",LEFT(BJ24,1)="X"),"—",IF(AND(LEFT(BG24,1)="E",LEFT(BJ24,1)="E"),"Exception · Band E",IF(AND(INDEX(B_VAL,MATCH(BJ24,B_LVL,0))&gt;=7,INDEX(B_RANK,MATCH(BG24,B_LVL,0))&gt;=INDEX(B_RANK,MATCH(BJ24,B_LVL,0))),"⚠ Same band as a head manager",IF(INDEX(B_VAL,MATCH(BG24,B_LVL,0))&gt;=INDEX(B_VAL,MATCH(BJ24,B_LVL,0)),"⚠ At or above the manager's level","OK"))))),"—")</f>
        <v>OK</v>
      </c>
      <c r="BL24" s="43" t="n"/>
      <c r="BM24" s="44">
        <f>IFERROR(INDEX(LMH_PTS,MATCH(Y24,LMH_KEY,0)),0)</f>
        <v>9</v>
      </c>
      <c r="BN24" s="38">
        <f>IFERROR(INDEX(LMH_PTS,MATCH(Z24,LMH_KEY,0)),0)</f>
        <v>3</v>
      </c>
      <c r="BO24" s="38">
        <f>IFERROR(INDEX(LMH_PTS,MATCH(AA24,LMH_KEY,0)),0)</f>
        <v>3</v>
      </c>
      <c r="BP24" s="38">
        <f>IFERROR(INDEX(LMH_PTS,MATCH(AB24,LMH_KEY,0)),0)</f>
        <v>1</v>
      </c>
      <c r="BQ24" s="38">
        <f>IFERROR(INDEX(LMH_PTS,MATCH(AC24,LMH_KEY,0)),0)</f>
        <v>1</v>
      </c>
      <c r="BR24" s="38">
        <f>IFERROR(INDEX(LMH_PTS,MATCH(AD24,LMH_KEY,0)),0)</f>
        <v>1</v>
      </c>
      <c r="BS24" s="38">
        <f>IFERROR(INDEX(LMH_PTS,MATCH(AE24,LMH_KEY,0)),0)</f>
        <v>1</v>
      </c>
      <c r="BT24" s="38">
        <f>IFERROR(INDEX(LMH_STEP,MATCH(AF24,LMH_KEY,0)),0)</f>
        <v>0</v>
      </c>
      <c r="BU24" s="38">
        <f>IFERROR(INDEX(LMH_STEP,MATCH(AG24,LMH_KEY,0)),0)</f>
        <v>0</v>
      </c>
      <c r="BV24" s="38">
        <f>IFERROR(INDEX(LMH_STEP,MATCH(AH24,LMH_KEY,0)),0)</f>
        <v>0</v>
      </c>
      <c r="BW24" s="38">
        <f>IFERROR(INDEX(LMH_STEP,MATCH(AI24,LMH_KEY,0)),0)</f>
        <v>0</v>
      </c>
      <c r="BX24" s="38">
        <f>IFERROR(INDEX(LMH_STEP,MATCH(AJ24,LMH_KEY,0)),0)</f>
        <v>0</v>
      </c>
      <c r="BY24" s="38">
        <f>IFERROR(INDEX(LMH_STEP,MATCH(AK24,LMH_KEY,0)),0)</f>
        <v>0</v>
      </c>
      <c r="BZ24" s="38">
        <f>IFERROR(INDEX(LMH_STEP,MATCH(AL24,LMH_KEY,0)),0)</f>
        <v>0</v>
      </c>
      <c r="CA24" s="38" t="inlineStr">
        <is>
          <t>CARBON|Services|Senior Financial Analyst|A3|A</t>
        </is>
      </c>
    </row>
    <row r="25" ht="110" customHeight="1">
      <c r="A25" s="28" t="inlineStr">
        <is>
          <t>CARBON</t>
        </is>
      </c>
      <c r="B25" s="29" t="inlineStr">
        <is>
          <t>Services</t>
        </is>
      </c>
      <c r="C25" s="29" t="n">
        <v>7</v>
      </c>
      <c r="D25" s="29" t="inlineStr">
        <is>
          <t>IRIS0830</t>
        </is>
      </c>
      <c r="E25" s="29" t="inlineStr">
        <is>
          <t>Bhavik Raparka</t>
        </is>
      </c>
      <c r="F25" s="29" t="inlineStr">
        <is>
          <t>Senior Financial Analyst</t>
        </is>
      </c>
      <c r="G25" s="29" t="inlineStr">
        <is>
          <t>Senior Financial Analyst</t>
        </is>
      </c>
      <c r="H25" s="29" t="inlineStr">
        <is>
          <t>Consulting &amp; Professional Services</t>
        </is>
      </c>
      <c r="I25" s="29" t="inlineStr">
        <is>
          <t>XBRL Tagging, Conversion &amp; Filing</t>
        </is>
      </c>
      <c r="J25" s="29" t="inlineStr">
        <is>
          <t>IC</t>
        </is>
      </c>
      <c r="K25" s="29" t="inlineStr">
        <is>
          <t>RC-025</t>
        </is>
      </c>
      <c r="L25" s="29" t="inlineStr">
        <is>
          <t>Jinesh Kumar S</t>
        </is>
      </c>
      <c r="M25" s="29" t="inlineStr">
        <is>
          <t>IRIS0511</t>
        </is>
      </c>
      <c r="N25" s="29" t="n">
        <v>15.1</v>
      </c>
      <c r="O25" s="29" t="n">
        <v>15.1</v>
      </c>
      <c r="P25" s="29" t="inlineStr">
        <is>
          <t>B.Com</t>
        </is>
      </c>
      <c r="Q25" s="29" t="inlineStr">
        <is>
          <t>L4 – Senior</t>
        </is>
      </c>
      <c r="R25" s="29" t="inlineStr">
        <is>
          <t>A3</t>
        </is>
      </c>
      <c r="S25" s="30" t="inlineStr">
        <is>
          <t>20 of 20</t>
        </is>
      </c>
      <c r="T25" s="31" t="inlineStr">
        <is>
          <t>• Role / sub-team: XBRL Tagging &amp; QC in US Service Team.</t>
        </is>
      </c>
      <c r="U2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5" s="31" t="inlineStr">
        <is>
          <t>Latest rating: 3 · Potential: Medium · 9-box: Core Contributor · Readiness: Develop in role</t>
        </is>
      </c>
      <c r="W25" s="31" t="inlineStr">
        <is>
          <t>C M · Au M · Ac M · L L · BI M · Exp H · 15.1 yrs vs 2–4 yrs · Edu M · B.Com</t>
        </is>
      </c>
      <c r="X25" s="33" t="inlineStr">
        <is>
          <t>Open ▸</t>
        </is>
      </c>
      <c r="Y25" s="34" t="str">
        <f>IFERROR(INDEX(DL_C,MATCH($CA25,DL_KEY,0)),"M")</f>
        <v>H</v>
      </c>
      <c r="Z25" s="35" t="str">
        <f>IFERROR(INDEX(DL_Au,MATCH($CA25,DL_KEY,0)),"M")</f>
        <v>M</v>
      </c>
      <c r="AA25" s="35" t="str">
        <f>IFERROR(INDEX(DL_Ac,MATCH($CA25,DL_KEY,0)),"M")</f>
        <v>M</v>
      </c>
      <c r="AB25" s="35" t="str">
        <f>IFERROR(INDEX(DL_L,MATCH($CA25,DL_KEY,0)),"M")</f>
        <v>L</v>
      </c>
      <c r="AC25" s="35" t="str">
        <f>IFERROR(INDEX(DL_BI,MATCH($CA25,DL_KEY,0)),"M")</f>
        <v>L</v>
      </c>
      <c r="AD25" s="35" t="str">
        <f>IFERROR(INDEX(DL_Exp,MATCH($CA25,DL_KEY,0)),"M")</f>
        <v>L</v>
      </c>
      <c r="AE25" s="35" t="str">
        <f>IFERROR(INDEX(DL_Edu,MATCH($CA25,DL_KEY,0)),"M")</f>
        <v>L</v>
      </c>
      <c r="AF25" s="34" t="inlineStr">
        <is>
          <t>M</t>
        </is>
      </c>
      <c r="AG25" s="35" t="inlineStr">
        <is>
          <t>M</t>
        </is>
      </c>
      <c r="AH25" s="35" t="inlineStr">
        <is>
          <t>M</t>
        </is>
      </c>
      <c r="AI25" s="35" t="inlineStr">
        <is>
          <t>M</t>
        </is>
      </c>
      <c r="AJ25" s="35" t="inlineStr">
        <is>
          <t>M</t>
        </is>
      </c>
      <c r="AK25" s="35" t="inlineStr">
        <is>
          <t>M</t>
        </is>
      </c>
      <c r="AL25" s="35" t="inlineStr">
        <is>
          <t>M</t>
        </is>
      </c>
      <c r="AM25" s="36" t="n">
        <v>0.583</v>
      </c>
      <c r="AN25" s="37" t="n">
        <v>0.16</v>
      </c>
      <c r="AO25" s="37" t="n">
        <v>0.09</v>
      </c>
      <c r="AP25" s="37" t="n">
        <v>0</v>
      </c>
      <c r="AQ25" s="37" t="n">
        <v>0.063</v>
      </c>
      <c r="AR25" s="37" t="n">
        <v>0.06</v>
      </c>
      <c r="AS25" s="37" t="n">
        <v>0.04</v>
      </c>
      <c r="AT25" s="38" t="inlineStr">
        <is>
          <t>2–5</t>
        </is>
      </c>
      <c r="AU25" s="38" t="inlineStr">
        <is>
          <t>Graduate; relevant certification preferred</t>
        </is>
      </c>
      <c r="AV25" s="38" t="inlineStr">
        <is>
          <t>None · guides 1–3 juniors informally</t>
        </is>
      </c>
      <c r="AW25" s="38" t="inlineStr">
        <is>
          <t>P2 · SFIA 3 Apply</t>
        </is>
      </c>
      <c r="AX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 s="39" t="inlineStr">
        <is>
          <t>A3</t>
        </is>
      </c>
      <c r="AZ25" s="40" t="inlineStr">
        <is>
          <t>Band A · Practitioner · Senior Associate</t>
        </is>
      </c>
      <c r="BA25" s="40" t="inlineStr">
        <is>
          <t>Model A3 from the six ratings, the market-derived weights and rules R1–R13 · then No change · already below the manager</t>
        </is>
      </c>
      <c r="BB25" s="41" t="inlineStr">
        <is>
          <t>A3</t>
        </is>
      </c>
      <c r="BC25" s="40" t="inlineStr">
        <is>
          <t>The six ratings on the market-average weights of Band A · all tracks score 3.38 → A3 · Hay, Mercer IPE and public plans · experience 15.1 yrs vs the A3 market range 2–5</t>
        </is>
      </c>
      <c r="BD25" s="42">
        <f>IF(SUM(BM25,BN25,BO25,BP25,BQ25,BR25,BS25)=0,0,(BM25*BT25+BN25*BU25+BO25*BV25+BP25*BW25+BQ25*BX25+BR25*BY25+BS25*BZ25)/SUM(BM25,BN25,BO25,BP25,BQ25,BR25,BS25))</f>
        <v>0</v>
      </c>
      <c r="BE25" s="41" t="str">
        <f>IF(LEFT(AY25,1)="X",AY25,IF(OR(AY25="B+",AY25="C+"),INDEX(LAD_PC,MAX(1,MIN(14,MATCH(AY25,LAD_PC,0)+IF(BD25&gt;=0.5,1,IF(BD25&lt;=-0.5,-1,0))))),INDEX(LAD_STD,MAX(1,MIN(12,MATCH(AY25,LAD_STD,0)+IF(BD25&gt;=0.5,1,IF(BD25&lt;=-0.5,-1,0)))))))</f>
        <v>A3</v>
      </c>
      <c r="BF25" s="43" t="n"/>
      <c r="BG25" s="41" t="str">
        <f>IF(BF25&lt;&gt;"",BF25,BE25)</f>
        <v>A3</v>
      </c>
      <c r="BH25" s="40" t="str">
        <f>IFERROR(CHOOSE(INDEX(B_RANK,MATCH(BG25,B_LVL,0)),"Band A","Band B","B+ · Player-Coach","Band C","C+ · Player-Coach","Band D","Band E"),"Band X · Consultant")</f>
        <v>Band A</v>
      </c>
      <c r="BI25" s="40" t="str">
        <f>IF(BG25=AY25,"• Same",IF(INDEX(B_VAL,MATCH(BG25,B_LVL,0))&gt;INDEX(B_VAL,MATCH(AY25,B_LVL,0)),"▲ Up","▼ Down"))</f>
        <v>• Same</v>
      </c>
      <c r="BJ25" s="40" t="str">
        <f>IF(OR($M25="",$M25="—",$M25="Not in this file"),"",IFERROR(INDEX($BG$7:$BG$592,MATCH($M25,$D$7:$D$592,0)),""))</f>
        <v>B1</v>
      </c>
      <c r="BK25" s="40" t="str">
        <f>IFERROR(IF(BJ25="","—",IF(OR(LEFT(BG25,1)="X",LEFT(BJ25,1)="X"),"—",IF(AND(LEFT(BG25,1)="E",LEFT(BJ25,1)="E"),"Exception · Band E",IF(AND(INDEX(B_VAL,MATCH(BJ25,B_LVL,0))&gt;=7,INDEX(B_RANK,MATCH(BG25,B_LVL,0))&gt;=INDEX(B_RANK,MATCH(BJ25,B_LVL,0))),"⚠ Same band as a head manager",IF(INDEX(B_VAL,MATCH(BG25,B_LVL,0))&gt;=INDEX(B_VAL,MATCH(BJ25,B_LVL,0)),"⚠ At or above the manager's level","OK"))))),"—")</f>
        <v>OK</v>
      </c>
      <c r="BL25" s="43" t="n"/>
      <c r="BM25" s="44">
        <f>IFERROR(INDEX(LMH_PTS,MATCH(Y25,LMH_KEY,0)),0)</f>
        <v>9</v>
      </c>
      <c r="BN25" s="38">
        <f>IFERROR(INDEX(LMH_PTS,MATCH(Z25,LMH_KEY,0)),0)</f>
        <v>3</v>
      </c>
      <c r="BO25" s="38">
        <f>IFERROR(INDEX(LMH_PTS,MATCH(AA25,LMH_KEY,0)),0)</f>
        <v>3</v>
      </c>
      <c r="BP25" s="38">
        <f>IFERROR(INDEX(LMH_PTS,MATCH(AB25,LMH_KEY,0)),0)</f>
        <v>1</v>
      </c>
      <c r="BQ25" s="38">
        <f>IFERROR(INDEX(LMH_PTS,MATCH(AC25,LMH_KEY,0)),0)</f>
        <v>1</v>
      </c>
      <c r="BR25" s="38">
        <f>IFERROR(INDEX(LMH_PTS,MATCH(AD25,LMH_KEY,0)),0)</f>
        <v>1</v>
      </c>
      <c r="BS25" s="38">
        <f>IFERROR(INDEX(LMH_PTS,MATCH(AE25,LMH_KEY,0)),0)</f>
        <v>1</v>
      </c>
      <c r="BT25" s="38">
        <f>IFERROR(INDEX(LMH_STEP,MATCH(AF25,LMH_KEY,0)),0)</f>
        <v>0</v>
      </c>
      <c r="BU25" s="38">
        <f>IFERROR(INDEX(LMH_STEP,MATCH(AG25,LMH_KEY,0)),0)</f>
        <v>0</v>
      </c>
      <c r="BV25" s="38">
        <f>IFERROR(INDEX(LMH_STEP,MATCH(AH25,LMH_KEY,0)),0)</f>
        <v>0</v>
      </c>
      <c r="BW25" s="38">
        <f>IFERROR(INDEX(LMH_STEP,MATCH(AI25,LMH_KEY,0)),0)</f>
        <v>0</v>
      </c>
      <c r="BX25" s="38">
        <f>IFERROR(INDEX(LMH_STEP,MATCH(AJ25,LMH_KEY,0)),0)</f>
        <v>0</v>
      </c>
      <c r="BY25" s="38">
        <f>IFERROR(INDEX(LMH_STEP,MATCH(AK25,LMH_KEY,0)),0)</f>
        <v>0</v>
      </c>
      <c r="BZ25" s="38">
        <f>IFERROR(INDEX(LMH_STEP,MATCH(AL25,LMH_KEY,0)),0)</f>
        <v>0</v>
      </c>
      <c r="CA25" s="38" t="inlineStr">
        <is>
          <t>CARBON|Services|Senior Financial Analyst|A3|A</t>
        </is>
      </c>
    </row>
    <row r="26" ht="110" customHeight="1">
      <c r="A26" s="28" t="inlineStr">
        <is>
          <t>CARBON</t>
        </is>
      </c>
      <c r="B26" s="29" t="inlineStr">
        <is>
          <t>Services</t>
        </is>
      </c>
      <c r="C26" s="29" t="n">
        <v>7</v>
      </c>
      <c r="D26" s="29" t="inlineStr">
        <is>
          <t>IRIS1124</t>
        </is>
      </c>
      <c r="E26" s="29" t="inlineStr">
        <is>
          <t>Kamlesh Bomble</t>
        </is>
      </c>
      <c r="F26" s="29" t="inlineStr">
        <is>
          <t>Senior Financial Analyst</t>
        </is>
      </c>
      <c r="G26" s="29" t="inlineStr">
        <is>
          <t>Senior Financial Analyst</t>
        </is>
      </c>
      <c r="H26" s="29" t="inlineStr">
        <is>
          <t>Consulting &amp; Professional Services</t>
        </is>
      </c>
      <c r="I26" s="29" t="inlineStr">
        <is>
          <t>XBRL Tagging, Conversion &amp; Filing</t>
        </is>
      </c>
      <c r="J26" s="29" t="inlineStr">
        <is>
          <t>IC</t>
        </is>
      </c>
      <c r="K26" s="29" t="inlineStr">
        <is>
          <t>RC-025</t>
        </is>
      </c>
      <c r="L26" s="29" t="inlineStr">
        <is>
          <t>Jinesh Kumar S</t>
        </is>
      </c>
      <c r="M26" s="29" t="inlineStr">
        <is>
          <t>IRIS0511</t>
        </is>
      </c>
      <c r="N26" s="29" t="n">
        <v>14.4</v>
      </c>
      <c r="O26" s="29" t="n">
        <v>14.4</v>
      </c>
      <c r="P26" s="29" t="inlineStr">
        <is>
          <t>B.Com</t>
        </is>
      </c>
      <c r="Q26" s="29" t="inlineStr">
        <is>
          <t>L4 – Senior</t>
        </is>
      </c>
      <c r="R26" s="29" t="inlineStr">
        <is>
          <t>A3</t>
        </is>
      </c>
      <c r="S26" s="30" t="inlineStr">
        <is>
          <t>20 of 20</t>
        </is>
      </c>
      <c r="T26" s="31" t="inlineStr">
        <is>
          <t>• Role / sub-team: XBRL tagging - US SEC; XBRL Tagging &amp; Qc.</t>
        </is>
      </c>
      <c r="U2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6" s="31" t="inlineStr">
        <is>
          <t>Latest rating: 3 · Potential: Medium · 9-box: Core Contributor · Readiness: Develop in role</t>
        </is>
      </c>
      <c r="W26" s="31" t="inlineStr">
        <is>
          <t>C M · Au M · Ac M · L L · BI M · Exp H · 14.4 yrs vs 2–4 yrs · Edu M · B.Com</t>
        </is>
      </c>
      <c r="X26" s="33" t="inlineStr">
        <is>
          <t>Open ▸</t>
        </is>
      </c>
      <c r="Y26" s="34" t="str">
        <f>IFERROR(INDEX(DL_C,MATCH($CA26,DL_KEY,0)),"M")</f>
        <v>H</v>
      </c>
      <c r="Z26" s="35" t="str">
        <f>IFERROR(INDEX(DL_Au,MATCH($CA26,DL_KEY,0)),"M")</f>
        <v>M</v>
      </c>
      <c r="AA26" s="35" t="str">
        <f>IFERROR(INDEX(DL_Ac,MATCH($CA26,DL_KEY,0)),"M")</f>
        <v>M</v>
      </c>
      <c r="AB26" s="35" t="str">
        <f>IFERROR(INDEX(DL_L,MATCH($CA26,DL_KEY,0)),"M")</f>
        <v>L</v>
      </c>
      <c r="AC26" s="35" t="str">
        <f>IFERROR(INDEX(DL_BI,MATCH($CA26,DL_KEY,0)),"M")</f>
        <v>L</v>
      </c>
      <c r="AD26" s="35" t="str">
        <f>IFERROR(INDEX(DL_Exp,MATCH($CA26,DL_KEY,0)),"M")</f>
        <v>L</v>
      </c>
      <c r="AE26" s="35" t="str">
        <f>IFERROR(INDEX(DL_Edu,MATCH($CA26,DL_KEY,0)),"M")</f>
        <v>L</v>
      </c>
      <c r="AF26" s="34" t="inlineStr">
        <is>
          <t>M</t>
        </is>
      </c>
      <c r="AG26" s="35" t="inlineStr">
        <is>
          <t>M</t>
        </is>
      </c>
      <c r="AH26" s="35" t="inlineStr">
        <is>
          <t>M</t>
        </is>
      </c>
      <c r="AI26" s="35" t="inlineStr">
        <is>
          <t>M</t>
        </is>
      </c>
      <c r="AJ26" s="35" t="inlineStr">
        <is>
          <t>M</t>
        </is>
      </c>
      <c r="AK26" s="35" t="inlineStr">
        <is>
          <t>M</t>
        </is>
      </c>
      <c r="AL26" s="35" t="inlineStr">
        <is>
          <t>M</t>
        </is>
      </c>
      <c r="AM26" s="36" t="n">
        <v>0.583</v>
      </c>
      <c r="AN26" s="37" t="n">
        <v>0.16</v>
      </c>
      <c r="AO26" s="37" t="n">
        <v>0.09</v>
      </c>
      <c r="AP26" s="37" t="n">
        <v>0</v>
      </c>
      <c r="AQ26" s="37" t="n">
        <v>0.063</v>
      </c>
      <c r="AR26" s="37" t="n">
        <v>0.06</v>
      </c>
      <c r="AS26" s="37" t="n">
        <v>0.04</v>
      </c>
      <c r="AT26" s="38" t="inlineStr">
        <is>
          <t>2–5</t>
        </is>
      </c>
      <c r="AU26" s="38" t="inlineStr">
        <is>
          <t>Graduate; relevant certification preferred</t>
        </is>
      </c>
      <c r="AV26" s="38" t="inlineStr">
        <is>
          <t>None · guides 1–3 juniors informally</t>
        </is>
      </c>
      <c r="AW26" s="38" t="inlineStr">
        <is>
          <t>P2 · SFIA 3 Apply</t>
        </is>
      </c>
      <c r="AX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 s="39" t="inlineStr">
        <is>
          <t>A3</t>
        </is>
      </c>
      <c r="AZ26" s="40" t="inlineStr">
        <is>
          <t>Band A · Practitioner · Senior Associate</t>
        </is>
      </c>
      <c r="BA26" s="40" t="inlineStr">
        <is>
          <t>Model A3 from the six ratings, the market-derived weights and rules R1–R13 · then No change · already below the manager</t>
        </is>
      </c>
      <c r="BB26" s="41" t="inlineStr">
        <is>
          <t>A3</t>
        </is>
      </c>
      <c r="BC26" s="40" t="inlineStr">
        <is>
          <t>The six ratings on the market-average weights of Band A · all tracks score 3.08 → A3 · Hay, Mercer IPE and public plans · experience 14.4 yrs vs the A3 market range 2–5</t>
        </is>
      </c>
      <c r="BD26" s="42">
        <f>IF(SUM(BM26,BN26,BO26,BP26,BQ26,BR26,BS26)=0,0,(BM26*BT26+BN26*BU26+BO26*BV26+BP26*BW26+BQ26*BX26+BR26*BY26+BS26*BZ26)/SUM(BM26,BN26,BO26,BP26,BQ26,BR26,BS26))</f>
        <v>0</v>
      </c>
      <c r="BE26" s="41" t="str">
        <f>IF(LEFT(AY26,1)="X",AY26,IF(OR(AY26="B+",AY26="C+"),INDEX(LAD_PC,MAX(1,MIN(14,MATCH(AY26,LAD_PC,0)+IF(BD26&gt;=0.5,1,IF(BD26&lt;=-0.5,-1,0))))),INDEX(LAD_STD,MAX(1,MIN(12,MATCH(AY26,LAD_STD,0)+IF(BD26&gt;=0.5,1,IF(BD26&lt;=-0.5,-1,0)))))))</f>
        <v>A3</v>
      </c>
      <c r="BF26" s="43" t="n"/>
      <c r="BG26" s="41" t="str">
        <f>IF(BF26&lt;&gt;"",BF26,BE26)</f>
        <v>A3</v>
      </c>
      <c r="BH26" s="40" t="str">
        <f>IFERROR(CHOOSE(INDEX(B_RANK,MATCH(BG26,B_LVL,0)),"Band A","Band B","B+ · Player-Coach","Band C","C+ · Player-Coach","Band D","Band E"),"Band X · Consultant")</f>
        <v>Band A</v>
      </c>
      <c r="BI26" s="40" t="str">
        <f>IF(BG26=AY26,"• Same",IF(INDEX(B_VAL,MATCH(BG26,B_LVL,0))&gt;INDEX(B_VAL,MATCH(AY26,B_LVL,0)),"▲ Up","▼ Down"))</f>
        <v>• Same</v>
      </c>
      <c r="BJ26" s="40" t="str">
        <f>IF(OR($M26="",$M26="—",$M26="Not in this file"),"",IFERROR(INDEX($BG$7:$BG$592,MATCH($M26,$D$7:$D$592,0)),""))</f>
        <v>B1</v>
      </c>
      <c r="BK26" s="40" t="str">
        <f>IFERROR(IF(BJ26="","—",IF(OR(LEFT(BG26,1)="X",LEFT(BJ26,1)="X"),"—",IF(AND(LEFT(BG26,1)="E",LEFT(BJ26,1)="E"),"Exception · Band E",IF(AND(INDEX(B_VAL,MATCH(BJ26,B_LVL,0))&gt;=7,INDEX(B_RANK,MATCH(BG26,B_LVL,0))&gt;=INDEX(B_RANK,MATCH(BJ26,B_LVL,0))),"⚠ Same band as a head manager",IF(INDEX(B_VAL,MATCH(BG26,B_LVL,0))&gt;=INDEX(B_VAL,MATCH(BJ26,B_LVL,0)),"⚠ At or above the manager's level","OK"))))),"—")</f>
        <v>OK</v>
      </c>
      <c r="BL26" s="43" t="n"/>
      <c r="BM26" s="44">
        <f>IFERROR(INDEX(LMH_PTS,MATCH(Y26,LMH_KEY,0)),0)</f>
        <v>9</v>
      </c>
      <c r="BN26" s="38">
        <f>IFERROR(INDEX(LMH_PTS,MATCH(Z26,LMH_KEY,0)),0)</f>
        <v>3</v>
      </c>
      <c r="BO26" s="38">
        <f>IFERROR(INDEX(LMH_PTS,MATCH(AA26,LMH_KEY,0)),0)</f>
        <v>3</v>
      </c>
      <c r="BP26" s="38">
        <f>IFERROR(INDEX(LMH_PTS,MATCH(AB26,LMH_KEY,0)),0)</f>
        <v>1</v>
      </c>
      <c r="BQ26" s="38">
        <f>IFERROR(INDEX(LMH_PTS,MATCH(AC26,LMH_KEY,0)),0)</f>
        <v>1</v>
      </c>
      <c r="BR26" s="38">
        <f>IFERROR(INDEX(LMH_PTS,MATCH(AD26,LMH_KEY,0)),0)</f>
        <v>1</v>
      </c>
      <c r="BS26" s="38">
        <f>IFERROR(INDEX(LMH_PTS,MATCH(AE26,LMH_KEY,0)),0)</f>
        <v>1</v>
      </c>
      <c r="BT26" s="38">
        <f>IFERROR(INDEX(LMH_STEP,MATCH(AF26,LMH_KEY,0)),0)</f>
        <v>0</v>
      </c>
      <c r="BU26" s="38">
        <f>IFERROR(INDEX(LMH_STEP,MATCH(AG26,LMH_KEY,0)),0)</f>
        <v>0</v>
      </c>
      <c r="BV26" s="38">
        <f>IFERROR(INDEX(LMH_STEP,MATCH(AH26,LMH_KEY,0)),0)</f>
        <v>0</v>
      </c>
      <c r="BW26" s="38">
        <f>IFERROR(INDEX(LMH_STEP,MATCH(AI26,LMH_KEY,0)),0)</f>
        <v>0</v>
      </c>
      <c r="BX26" s="38">
        <f>IFERROR(INDEX(LMH_STEP,MATCH(AJ26,LMH_KEY,0)),0)</f>
        <v>0</v>
      </c>
      <c r="BY26" s="38">
        <f>IFERROR(INDEX(LMH_STEP,MATCH(AK26,LMH_KEY,0)),0)</f>
        <v>0</v>
      </c>
      <c r="BZ26" s="38">
        <f>IFERROR(INDEX(LMH_STEP,MATCH(AL26,LMH_KEY,0)),0)</f>
        <v>0</v>
      </c>
      <c r="CA26" s="38" t="inlineStr">
        <is>
          <t>CARBON|Services|Senior Financial Analyst|A3|A</t>
        </is>
      </c>
    </row>
    <row r="27" ht="110" customHeight="1">
      <c r="A27" s="28" t="inlineStr">
        <is>
          <t>CARBON</t>
        </is>
      </c>
      <c r="B27" s="29" t="inlineStr">
        <is>
          <t>Services</t>
        </is>
      </c>
      <c r="C27" s="29" t="n">
        <v>7</v>
      </c>
      <c r="D27" s="29" t="inlineStr">
        <is>
          <t>IRIS2328</t>
        </is>
      </c>
      <c r="E27" s="29" t="inlineStr">
        <is>
          <t>Namrata Juvekar</t>
        </is>
      </c>
      <c r="F27" s="29" t="inlineStr">
        <is>
          <t>Financial Analyst</t>
        </is>
      </c>
      <c r="G27" s="29" t="inlineStr">
        <is>
          <t>Senior Financial Analyst</t>
        </is>
      </c>
      <c r="H27" s="29" t="inlineStr">
        <is>
          <t>Consulting &amp; Professional Services</t>
        </is>
      </c>
      <c r="I27" s="29" t="inlineStr">
        <is>
          <t>XBRL Tagging, Conversion &amp; Filing</t>
        </is>
      </c>
      <c r="J27" s="29" t="inlineStr">
        <is>
          <t>IC</t>
        </is>
      </c>
      <c r="K27" s="29" t="inlineStr">
        <is>
          <t>RC-025</t>
        </is>
      </c>
      <c r="L27" s="29" t="inlineStr">
        <is>
          <t>Jinesh Kumar S</t>
        </is>
      </c>
      <c r="M27" s="29" t="inlineStr">
        <is>
          <t>IRIS0511</t>
        </is>
      </c>
      <c r="N27" s="29" t="n">
        <v>1.7</v>
      </c>
      <c r="O27" s="29" t="n">
        <v>1.7</v>
      </c>
      <c r="P27" s="29" t="inlineStr">
        <is>
          <t>B.Com</t>
        </is>
      </c>
      <c r="Q27" s="29" t="inlineStr">
        <is>
          <t>L3 – Professional / Associate</t>
        </is>
      </c>
      <c r="R27" s="29" t="inlineStr">
        <is>
          <t>A3</t>
        </is>
      </c>
      <c r="S27" s="30" t="inlineStr">
        <is>
          <t>20 of 20</t>
        </is>
      </c>
      <c r="T27" s="31" t="inlineStr">
        <is>
          <t>• Role / sub-team: Xbrl tagging and Quality Check in US Service Team.</t>
        </is>
      </c>
      <c r="U2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7" s="31" t="inlineStr">
        <is>
          <t>Latest rating: 4 · Potential: High · 9-box: Core Contributor · Readiness: Ready now</t>
        </is>
      </c>
      <c r="W27" s="31" t="inlineStr">
        <is>
          <t>C M · Au M · Ac M · L L · BI M · Exp L · 1.7 yrs vs 2–4 yrs · Edu M · B.Com</t>
        </is>
      </c>
      <c r="X27" s="33" t="inlineStr">
        <is>
          <t>Open ▸</t>
        </is>
      </c>
      <c r="Y27" s="34" t="str">
        <f>IFERROR(INDEX(DL_C,MATCH($CA27,DL_KEY,0)),"M")</f>
        <v>H</v>
      </c>
      <c r="Z27" s="35" t="str">
        <f>IFERROR(INDEX(DL_Au,MATCH($CA27,DL_KEY,0)),"M")</f>
        <v>M</v>
      </c>
      <c r="AA27" s="35" t="str">
        <f>IFERROR(INDEX(DL_Ac,MATCH($CA27,DL_KEY,0)),"M")</f>
        <v>M</v>
      </c>
      <c r="AB27" s="35" t="str">
        <f>IFERROR(INDEX(DL_L,MATCH($CA27,DL_KEY,0)),"M")</f>
        <v>L</v>
      </c>
      <c r="AC27" s="35" t="str">
        <f>IFERROR(INDEX(DL_BI,MATCH($CA27,DL_KEY,0)),"M")</f>
        <v>L</v>
      </c>
      <c r="AD27" s="35" t="str">
        <f>IFERROR(INDEX(DL_Exp,MATCH($CA27,DL_KEY,0)),"M")</f>
        <v>L</v>
      </c>
      <c r="AE27" s="35" t="str">
        <f>IFERROR(INDEX(DL_Edu,MATCH($CA27,DL_KEY,0)),"M")</f>
        <v>L</v>
      </c>
      <c r="AF27" s="34" t="inlineStr">
        <is>
          <t>M</t>
        </is>
      </c>
      <c r="AG27" s="35" t="inlineStr">
        <is>
          <t>M</t>
        </is>
      </c>
      <c r="AH27" s="35" t="inlineStr">
        <is>
          <t>M</t>
        </is>
      </c>
      <c r="AI27" s="35" t="inlineStr">
        <is>
          <t>M</t>
        </is>
      </c>
      <c r="AJ27" s="35" t="inlineStr">
        <is>
          <t>M</t>
        </is>
      </c>
      <c r="AK27" s="35" t="inlineStr">
        <is>
          <t>M</t>
        </is>
      </c>
      <c r="AL27" s="35" t="inlineStr">
        <is>
          <t>M</t>
        </is>
      </c>
      <c r="AM27" s="36" t="n">
        <v>0.583</v>
      </c>
      <c r="AN27" s="37" t="n">
        <v>0.16</v>
      </c>
      <c r="AO27" s="37" t="n">
        <v>0.09</v>
      </c>
      <c r="AP27" s="37" t="n">
        <v>0</v>
      </c>
      <c r="AQ27" s="37" t="n">
        <v>0.063</v>
      </c>
      <c r="AR27" s="37" t="n">
        <v>0.06</v>
      </c>
      <c r="AS27" s="37" t="n">
        <v>0.04</v>
      </c>
      <c r="AT27" s="38" t="inlineStr">
        <is>
          <t>2–5</t>
        </is>
      </c>
      <c r="AU27" s="38" t="inlineStr">
        <is>
          <t>Graduate; relevant certification preferred</t>
        </is>
      </c>
      <c r="AV27" s="38" t="inlineStr">
        <is>
          <t>None · guides 1–3 juniors informally</t>
        </is>
      </c>
      <c r="AW27" s="38" t="inlineStr">
        <is>
          <t>P2 · SFIA 3 Apply</t>
        </is>
      </c>
      <c r="AX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 s="39" t="inlineStr">
        <is>
          <t>A3</t>
        </is>
      </c>
      <c r="AZ27" s="40" t="inlineStr">
        <is>
          <t>Band A · Practitioner · Senior Associate</t>
        </is>
      </c>
      <c r="BA27" s="40" t="inlineStr">
        <is>
          <t>Model A3 from the six ratings, the market-derived weights and rules R1–R13 · then No change · already below the manager</t>
        </is>
      </c>
      <c r="BB27" s="41" t="inlineStr">
        <is>
          <t>A3</t>
        </is>
      </c>
      <c r="BC27" s="40" t="inlineStr">
        <is>
          <t>The six ratings on the market-average weights of Band A · all tracks score 2.61 → A3 · Hay, Mercer IPE and public plans · experience 1.7 yrs vs the A3 market range 2–5</t>
        </is>
      </c>
      <c r="BD27" s="42">
        <f>IF(SUM(BM27,BN27,BO27,BP27,BQ27,BR27,BS27)=0,0,(BM27*BT27+BN27*BU27+BO27*BV27+BP27*BW27+BQ27*BX27+BR27*BY27+BS27*BZ27)/SUM(BM27,BN27,BO27,BP27,BQ27,BR27,BS27))</f>
        <v>0</v>
      </c>
      <c r="BE27" s="41" t="str">
        <f>IF(LEFT(AY27,1)="X",AY27,IF(OR(AY27="B+",AY27="C+"),INDEX(LAD_PC,MAX(1,MIN(14,MATCH(AY27,LAD_PC,0)+IF(BD27&gt;=0.5,1,IF(BD27&lt;=-0.5,-1,0))))),INDEX(LAD_STD,MAX(1,MIN(12,MATCH(AY27,LAD_STD,0)+IF(BD27&gt;=0.5,1,IF(BD27&lt;=-0.5,-1,0)))))))</f>
        <v>A3</v>
      </c>
      <c r="BF27" s="43" t="n"/>
      <c r="BG27" s="41" t="str">
        <f>IF(BF27&lt;&gt;"",BF27,BE27)</f>
        <v>A3</v>
      </c>
      <c r="BH27" s="40" t="str">
        <f>IFERROR(CHOOSE(INDEX(B_RANK,MATCH(BG27,B_LVL,0)),"Band A","Band B","B+ · Player-Coach","Band C","C+ · Player-Coach","Band D","Band E"),"Band X · Consultant")</f>
        <v>Band A</v>
      </c>
      <c r="BI27" s="40" t="str">
        <f>IF(BG27=AY27,"• Same",IF(INDEX(B_VAL,MATCH(BG27,B_LVL,0))&gt;INDEX(B_VAL,MATCH(AY27,B_LVL,0)),"▲ Up","▼ Down"))</f>
        <v>• Same</v>
      </c>
      <c r="BJ27" s="40" t="str">
        <f>IF(OR($M27="",$M27="—",$M27="Not in this file"),"",IFERROR(INDEX($BG$7:$BG$592,MATCH($M27,$D$7:$D$592,0)),""))</f>
        <v>B1</v>
      </c>
      <c r="BK27" s="40" t="str">
        <f>IFERROR(IF(BJ27="","—",IF(OR(LEFT(BG27,1)="X",LEFT(BJ27,1)="X"),"—",IF(AND(LEFT(BG27,1)="E",LEFT(BJ27,1)="E"),"Exception · Band E",IF(AND(INDEX(B_VAL,MATCH(BJ27,B_LVL,0))&gt;=7,INDEX(B_RANK,MATCH(BG27,B_LVL,0))&gt;=INDEX(B_RANK,MATCH(BJ27,B_LVL,0))),"⚠ Same band as a head manager",IF(INDEX(B_VAL,MATCH(BG27,B_LVL,0))&gt;=INDEX(B_VAL,MATCH(BJ27,B_LVL,0)),"⚠ At or above the manager's level","OK"))))),"—")</f>
        <v>OK</v>
      </c>
      <c r="BL27" s="43" t="n"/>
      <c r="BM27" s="44">
        <f>IFERROR(INDEX(LMH_PTS,MATCH(Y27,LMH_KEY,0)),0)</f>
        <v>9</v>
      </c>
      <c r="BN27" s="38">
        <f>IFERROR(INDEX(LMH_PTS,MATCH(Z27,LMH_KEY,0)),0)</f>
        <v>3</v>
      </c>
      <c r="BO27" s="38">
        <f>IFERROR(INDEX(LMH_PTS,MATCH(AA27,LMH_KEY,0)),0)</f>
        <v>3</v>
      </c>
      <c r="BP27" s="38">
        <f>IFERROR(INDEX(LMH_PTS,MATCH(AB27,LMH_KEY,0)),0)</f>
        <v>1</v>
      </c>
      <c r="BQ27" s="38">
        <f>IFERROR(INDEX(LMH_PTS,MATCH(AC27,LMH_KEY,0)),0)</f>
        <v>1</v>
      </c>
      <c r="BR27" s="38">
        <f>IFERROR(INDEX(LMH_PTS,MATCH(AD27,LMH_KEY,0)),0)</f>
        <v>1</v>
      </c>
      <c r="BS27" s="38">
        <f>IFERROR(INDEX(LMH_PTS,MATCH(AE27,LMH_KEY,0)),0)</f>
        <v>1</v>
      </c>
      <c r="BT27" s="38">
        <f>IFERROR(INDEX(LMH_STEP,MATCH(AF27,LMH_KEY,0)),0)</f>
        <v>0</v>
      </c>
      <c r="BU27" s="38">
        <f>IFERROR(INDEX(LMH_STEP,MATCH(AG27,LMH_KEY,0)),0)</f>
        <v>0</v>
      </c>
      <c r="BV27" s="38">
        <f>IFERROR(INDEX(LMH_STEP,MATCH(AH27,LMH_KEY,0)),0)</f>
        <v>0</v>
      </c>
      <c r="BW27" s="38">
        <f>IFERROR(INDEX(LMH_STEP,MATCH(AI27,LMH_KEY,0)),0)</f>
        <v>0</v>
      </c>
      <c r="BX27" s="38">
        <f>IFERROR(INDEX(LMH_STEP,MATCH(AJ27,LMH_KEY,0)),0)</f>
        <v>0</v>
      </c>
      <c r="BY27" s="38">
        <f>IFERROR(INDEX(LMH_STEP,MATCH(AK27,LMH_KEY,0)),0)</f>
        <v>0</v>
      </c>
      <c r="BZ27" s="38">
        <f>IFERROR(INDEX(LMH_STEP,MATCH(AL27,LMH_KEY,0)),0)</f>
        <v>0</v>
      </c>
      <c r="CA27" s="38" t="inlineStr">
        <is>
          <t>CARBON|Services|Senior Financial Analyst|A3|A</t>
        </is>
      </c>
    </row>
    <row r="28" ht="110" customHeight="1">
      <c r="A28" s="28" t="inlineStr">
        <is>
          <t>CARBON</t>
        </is>
      </c>
      <c r="B28" s="29" t="inlineStr">
        <is>
          <t>Services</t>
        </is>
      </c>
      <c r="C28" s="29" t="n">
        <v>7</v>
      </c>
      <c r="D28" s="29" t="inlineStr">
        <is>
          <t>IRISC330</t>
        </is>
      </c>
      <c r="E28" s="29" t="inlineStr">
        <is>
          <t>Raj Ratnakar Kumbhar</t>
        </is>
      </c>
      <c r="F28" s="29" t="inlineStr">
        <is>
          <t>Consultant</t>
        </is>
      </c>
      <c r="G28" s="29" t="inlineStr">
        <is>
          <t>Senior Financial Analyst</t>
        </is>
      </c>
      <c r="H28" s="29" t="inlineStr">
        <is>
          <t>Consulting &amp; Professional Services</t>
        </is>
      </c>
      <c r="I28" s="29" t="inlineStr">
        <is>
          <t>XBRL Tagging, Conversion &amp; Filing</t>
        </is>
      </c>
      <c r="J28" s="29" t="inlineStr">
        <is>
          <t>IC</t>
        </is>
      </c>
      <c r="K28" s="29" t="inlineStr">
        <is>
          <t>RC-025</t>
        </is>
      </c>
      <c r="L28" s="29" t="inlineStr">
        <is>
          <t>Jinesh Kumar S</t>
        </is>
      </c>
      <c r="M28" s="29" t="inlineStr">
        <is>
          <t>IRIS0511</t>
        </is>
      </c>
      <c r="N28" s="29" t="n">
        <v>4.4</v>
      </c>
      <c r="O28" s="29" t="n">
        <v>0.7</v>
      </c>
      <c r="P28" s="29" t="inlineStr">
        <is>
          <t>B.Com</t>
        </is>
      </c>
      <c r="Q28" s="29" t="inlineStr">
        <is>
          <t>L3 – Professional / Associate</t>
        </is>
      </c>
      <c r="R28" s="29" t="inlineStr">
        <is>
          <t>A3</t>
        </is>
      </c>
      <c r="S28" s="30" t="inlineStr">
        <is>
          <t>20 of 20</t>
        </is>
      </c>
      <c r="T28" s="31" t="inlineStr">
        <is>
          <t>• Role / sub-team: XBRL-Tagging in Us Service team.</t>
        </is>
      </c>
      <c r="U2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8" s="31" t="inlineStr">
        <is>
          <t>Latest rating: 3 · Potential: Medium · 9-box: Core Contributor · Readiness: Develop in role</t>
        </is>
      </c>
      <c r="W28" s="31" t="inlineStr">
        <is>
          <t>C M · Au M · Ac M · L L · BI M · Exp H · 4.4 yrs vs 2–4 yrs · Edu M · B.Com</t>
        </is>
      </c>
      <c r="X28" s="33" t="inlineStr">
        <is>
          <t>Open ▸</t>
        </is>
      </c>
      <c r="Y28" s="34" t="str">
        <f>IFERROR(INDEX(DL_C,MATCH($CA28,DL_KEY,0)),"M")</f>
        <v>H</v>
      </c>
      <c r="Z28" s="35" t="str">
        <f>IFERROR(INDEX(DL_Au,MATCH($CA28,DL_KEY,0)),"M")</f>
        <v>M</v>
      </c>
      <c r="AA28" s="35" t="str">
        <f>IFERROR(INDEX(DL_Ac,MATCH($CA28,DL_KEY,0)),"M")</f>
        <v>M</v>
      </c>
      <c r="AB28" s="35" t="str">
        <f>IFERROR(INDEX(DL_L,MATCH($CA28,DL_KEY,0)),"M")</f>
        <v>L</v>
      </c>
      <c r="AC28" s="35" t="str">
        <f>IFERROR(INDEX(DL_BI,MATCH($CA28,DL_KEY,0)),"M")</f>
        <v>L</v>
      </c>
      <c r="AD28" s="35" t="str">
        <f>IFERROR(INDEX(DL_Exp,MATCH($CA28,DL_KEY,0)),"M")</f>
        <v>L</v>
      </c>
      <c r="AE28" s="35" t="str">
        <f>IFERROR(INDEX(DL_Edu,MATCH($CA28,DL_KEY,0)),"M")</f>
        <v>L</v>
      </c>
      <c r="AF28" s="34" t="inlineStr">
        <is>
          <t>M</t>
        </is>
      </c>
      <c r="AG28" s="35" t="inlineStr">
        <is>
          <t>M</t>
        </is>
      </c>
      <c r="AH28" s="35" t="inlineStr">
        <is>
          <t>M</t>
        </is>
      </c>
      <c r="AI28" s="35" t="inlineStr">
        <is>
          <t>M</t>
        </is>
      </c>
      <c r="AJ28" s="35" t="inlineStr">
        <is>
          <t>M</t>
        </is>
      </c>
      <c r="AK28" s="35" t="inlineStr">
        <is>
          <t>M</t>
        </is>
      </c>
      <c r="AL28" s="35" t="inlineStr">
        <is>
          <t>M</t>
        </is>
      </c>
      <c r="AM28" s="36" t="n">
        <v>0.583</v>
      </c>
      <c r="AN28" s="37" t="n">
        <v>0.16</v>
      </c>
      <c r="AO28" s="37" t="n">
        <v>0.09</v>
      </c>
      <c r="AP28" s="37" t="n">
        <v>0</v>
      </c>
      <c r="AQ28" s="37" t="n">
        <v>0.063</v>
      </c>
      <c r="AR28" s="37" t="n">
        <v>0.06</v>
      </c>
      <c r="AS28" s="37" t="n">
        <v>0.04</v>
      </c>
      <c r="AT28" s="38" t="inlineStr">
        <is>
          <t>2–5</t>
        </is>
      </c>
      <c r="AU28" s="38" t="inlineStr">
        <is>
          <t>Graduate; relevant certification preferred</t>
        </is>
      </c>
      <c r="AV28" s="38" t="inlineStr">
        <is>
          <t>None · guides 1–3 juniors informally</t>
        </is>
      </c>
      <c r="AW28" s="38" t="inlineStr">
        <is>
          <t>P2 · SFIA 3 Apply</t>
        </is>
      </c>
      <c r="AX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 s="39" t="inlineStr">
        <is>
          <t>A3</t>
        </is>
      </c>
      <c r="AZ28" s="40" t="inlineStr">
        <is>
          <t>Band A · Practitioner · Senior Associate</t>
        </is>
      </c>
      <c r="BA28" s="40" t="inlineStr">
        <is>
          <t>Model A3 from the six ratings, the market-derived weights and rules R1–R13 · then No change · already below the manager</t>
        </is>
      </c>
      <c r="BB28" s="41" t="inlineStr">
        <is>
          <t>A3</t>
        </is>
      </c>
      <c r="BC28" s="40" t="inlineStr">
        <is>
          <t>The six ratings on the market-average weights of Band A · all tracks score 2.63 → A3 · Hay, Mercer IPE and public plans · experience 4.4 yrs vs the A3 market range 2–5</t>
        </is>
      </c>
      <c r="BD28" s="42">
        <f>IF(SUM(BM28,BN28,BO28,BP28,BQ28,BR28,BS28)=0,0,(BM28*BT28+BN28*BU28+BO28*BV28+BP28*BW28+BQ28*BX28+BR28*BY28+BS28*BZ28)/SUM(BM28,BN28,BO28,BP28,BQ28,BR28,BS28))</f>
        <v>0</v>
      </c>
      <c r="BE28" s="41" t="str">
        <f>IF(LEFT(AY28,1)="X",AY28,IF(OR(AY28="B+",AY28="C+"),INDEX(LAD_PC,MAX(1,MIN(14,MATCH(AY28,LAD_PC,0)+IF(BD28&gt;=0.5,1,IF(BD28&lt;=-0.5,-1,0))))),INDEX(LAD_STD,MAX(1,MIN(12,MATCH(AY28,LAD_STD,0)+IF(BD28&gt;=0.5,1,IF(BD28&lt;=-0.5,-1,0)))))))</f>
        <v>A3</v>
      </c>
      <c r="BF28" s="43" t="n"/>
      <c r="BG28" s="41" t="str">
        <f>IF(BF28&lt;&gt;"",BF28,BE28)</f>
        <v>A3</v>
      </c>
      <c r="BH28" s="40" t="str">
        <f>IFERROR(CHOOSE(INDEX(B_RANK,MATCH(BG28,B_LVL,0)),"Band A","Band B","B+ · Player-Coach","Band C","C+ · Player-Coach","Band D","Band E"),"Band X · Consultant")</f>
        <v>Band A</v>
      </c>
      <c r="BI28" s="40" t="str">
        <f>IF(BG28=AY28,"• Same",IF(INDEX(B_VAL,MATCH(BG28,B_LVL,0))&gt;INDEX(B_VAL,MATCH(AY28,B_LVL,0)),"▲ Up","▼ Down"))</f>
        <v>• Same</v>
      </c>
      <c r="BJ28" s="40" t="str">
        <f>IF(OR($M28="",$M28="—",$M28="Not in this file"),"",IFERROR(INDEX($BG$7:$BG$592,MATCH($M28,$D$7:$D$592,0)),""))</f>
        <v>B1</v>
      </c>
      <c r="BK28" s="40" t="str">
        <f>IFERROR(IF(BJ28="","—",IF(OR(LEFT(BG28,1)="X",LEFT(BJ28,1)="X"),"—",IF(AND(LEFT(BG28,1)="E",LEFT(BJ28,1)="E"),"Exception · Band E",IF(AND(INDEX(B_VAL,MATCH(BJ28,B_LVL,0))&gt;=7,INDEX(B_RANK,MATCH(BG28,B_LVL,0))&gt;=INDEX(B_RANK,MATCH(BJ28,B_LVL,0))),"⚠ Same band as a head manager",IF(INDEX(B_VAL,MATCH(BG28,B_LVL,0))&gt;=INDEX(B_VAL,MATCH(BJ28,B_LVL,0)),"⚠ At or above the manager's level","OK"))))),"—")</f>
        <v>OK</v>
      </c>
      <c r="BL28" s="43" t="n"/>
      <c r="BM28" s="44">
        <f>IFERROR(INDEX(LMH_PTS,MATCH(Y28,LMH_KEY,0)),0)</f>
        <v>9</v>
      </c>
      <c r="BN28" s="38">
        <f>IFERROR(INDEX(LMH_PTS,MATCH(Z28,LMH_KEY,0)),0)</f>
        <v>3</v>
      </c>
      <c r="BO28" s="38">
        <f>IFERROR(INDEX(LMH_PTS,MATCH(AA28,LMH_KEY,0)),0)</f>
        <v>3</v>
      </c>
      <c r="BP28" s="38">
        <f>IFERROR(INDEX(LMH_PTS,MATCH(AB28,LMH_KEY,0)),0)</f>
        <v>1</v>
      </c>
      <c r="BQ28" s="38">
        <f>IFERROR(INDEX(LMH_PTS,MATCH(AC28,LMH_KEY,0)),0)</f>
        <v>1</v>
      </c>
      <c r="BR28" s="38">
        <f>IFERROR(INDEX(LMH_PTS,MATCH(AD28,LMH_KEY,0)),0)</f>
        <v>1</v>
      </c>
      <c r="BS28" s="38">
        <f>IFERROR(INDEX(LMH_PTS,MATCH(AE28,LMH_KEY,0)),0)</f>
        <v>1</v>
      </c>
      <c r="BT28" s="38">
        <f>IFERROR(INDEX(LMH_STEP,MATCH(AF28,LMH_KEY,0)),0)</f>
        <v>0</v>
      </c>
      <c r="BU28" s="38">
        <f>IFERROR(INDEX(LMH_STEP,MATCH(AG28,LMH_KEY,0)),0)</f>
        <v>0</v>
      </c>
      <c r="BV28" s="38">
        <f>IFERROR(INDEX(LMH_STEP,MATCH(AH28,LMH_KEY,0)),0)</f>
        <v>0</v>
      </c>
      <c r="BW28" s="38">
        <f>IFERROR(INDEX(LMH_STEP,MATCH(AI28,LMH_KEY,0)),0)</f>
        <v>0</v>
      </c>
      <c r="BX28" s="38">
        <f>IFERROR(INDEX(LMH_STEP,MATCH(AJ28,LMH_KEY,0)),0)</f>
        <v>0</v>
      </c>
      <c r="BY28" s="38">
        <f>IFERROR(INDEX(LMH_STEP,MATCH(AK28,LMH_KEY,0)),0)</f>
        <v>0</v>
      </c>
      <c r="BZ28" s="38">
        <f>IFERROR(INDEX(LMH_STEP,MATCH(AL28,LMH_KEY,0)),0)</f>
        <v>0</v>
      </c>
      <c r="CA28" s="38" t="inlineStr">
        <is>
          <t>CARBON|Services|Senior Financial Analyst|A3|A</t>
        </is>
      </c>
    </row>
    <row r="29" ht="110" customHeight="1">
      <c r="A29" s="28" t="inlineStr">
        <is>
          <t>CARBON</t>
        </is>
      </c>
      <c r="B29" s="29" t="inlineStr">
        <is>
          <t>Services</t>
        </is>
      </c>
      <c r="C29" s="29" t="n">
        <v>7</v>
      </c>
      <c r="D29" s="29" t="inlineStr">
        <is>
          <t>IRISC240</t>
        </is>
      </c>
      <c r="E29" s="29" t="inlineStr">
        <is>
          <t>Sakina Dholkawala</t>
        </is>
      </c>
      <c r="F29" s="29" t="inlineStr">
        <is>
          <t>Consultant</t>
        </is>
      </c>
      <c r="G29" s="29" t="inlineStr">
        <is>
          <t>Senior Financial Analyst</t>
        </is>
      </c>
      <c r="H29" s="29" t="inlineStr">
        <is>
          <t>Consulting &amp; Professional Services</t>
        </is>
      </c>
      <c r="I29" s="29" t="inlineStr">
        <is>
          <t>XBRL Tagging, Conversion &amp; Filing</t>
        </is>
      </c>
      <c r="J29" s="29" t="inlineStr">
        <is>
          <t>IC</t>
        </is>
      </c>
      <c r="K29" s="29" t="inlineStr">
        <is>
          <t>RC-025</t>
        </is>
      </c>
      <c r="L29" s="29" t="inlineStr">
        <is>
          <t>Jinesh Kumar S</t>
        </is>
      </c>
      <c r="M29" s="29" t="inlineStr">
        <is>
          <t>IRIS0511</t>
        </is>
      </c>
      <c r="N29" s="29" t="n">
        <v>3.8</v>
      </c>
      <c r="O29" s="29" t="n">
        <v>3.8</v>
      </c>
      <c r="P29" s="29" t="inlineStr">
        <is>
          <t>B.Com</t>
        </is>
      </c>
      <c r="Q29" s="29" t="inlineStr">
        <is>
          <t>L3 – Professional / Associate</t>
        </is>
      </c>
      <c r="R29" s="29" t="inlineStr">
        <is>
          <t>A3</t>
        </is>
      </c>
      <c r="S29" s="30" t="inlineStr">
        <is>
          <t>19 of 20</t>
        </is>
      </c>
      <c r="T29" s="31" t="inlineStr">
        <is>
          <t>• Role / sub-team: Xbrl tagging in US Service team.</t>
        </is>
      </c>
      <c r="U2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9" s="31" t="inlineStr">
        <is>
          <t>Latest rating: 3 · Potential: Medium · 9-box: Core Contributor · Readiness: Develop in role</t>
        </is>
      </c>
      <c r="W29" s="31" t="inlineStr">
        <is>
          <t>C M · Au M · Ac M · L L · BI M · Exp M · 3.8 yrs vs 2–4 yrs · Edu M · B.Com</t>
        </is>
      </c>
      <c r="X29" s="33" t="inlineStr">
        <is>
          <t>Open ▸</t>
        </is>
      </c>
      <c r="Y29" s="34" t="str">
        <f>IFERROR(INDEX(DL_C,MATCH($CA29,DL_KEY,0)),"M")</f>
        <v>H</v>
      </c>
      <c r="Z29" s="35" t="str">
        <f>IFERROR(INDEX(DL_Au,MATCH($CA29,DL_KEY,0)),"M")</f>
        <v>M</v>
      </c>
      <c r="AA29" s="35" t="str">
        <f>IFERROR(INDEX(DL_Ac,MATCH($CA29,DL_KEY,0)),"M")</f>
        <v>M</v>
      </c>
      <c r="AB29" s="35" t="str">
        <f>IFERROR(INDEX(DL_L,MATCH($CA29,DL_KEY,0)),"M")</f>
        <v>L</v>
      </c>
      <c r="AC29" s="35" t="str">
        <f>IFERROR(INDEX(DL_BI,MATCH($CA29,DL_KEY,0)),"M")</f>
        <v>L</v>
      </c>
      <c r="AD29" s="35" t="str">
        <f>IFERROR(INDEX(DL_Exp,MATCH($CA29,DL_KEY,0)),"M")</f>
        <v>L</v>
      </c>
      <c r="AE29" s="35" t="str">
        <f>IFERROR(INDEX(DL_Edu,MATCH($CA29,DL_KEY,0)),"M")</f>
        <v>L</v>
      </c>
      <c r="AF29" s="34" t="inlineStr">
        <is>
          <t>M</t>
        </is>
      </c>
      <c r="AG29" s="35" t="inlineStr">
        <is>
          <t>M</t>
        </is>
      </c>
      <c r="AH29" s="35" t="inlineStr">
        <is>
          <t>M</t>
        </is>
      </c>
      <c r="AI29" s="35" t="inlineStr">
        <is>
          <t>M</t>
        </is>
      </c>
      <c r="AJ29" s="35" t="inlineStr">
        <is>
          <t>M</t>
        </is>
      </c>
      <c r="AK29" s="35" t="inlineStr">
        <is>
          <t>M</t>
        </is>
      </c>
      <c r="AL29" s="35" t="inlineStr">
        <is>
          <t>M</t>
        </is>
      </c>
      <c r="AM29" s="36" t="n">
        <v>0.583</v>
      </c>
      <c r="AN29" s="37" t="n">
        <v>0.16</v>
      </c>
      <c r="AO29" s="37" t="n">
        <v>0.09</v>
      </c>
      <c r="AP29" s="37" t="n">
        <v>0</v>
      </c>
      <c r="AQ29" s="37" t="n">
        <v>0.063</v>
      </c>
      <c r="AR29" s="37" t="n">
        <v>0.06</v>
      </c>
      <c r="AS29" s="37" t="n">
        <v>0.04</v>
      </c>
      <c r="AT29" s="38" t="inlineStr">
        <is>
          <t>2–5</t>
        </is>
      </c>
      <c r="AU29" s="38" t="inlineStr">
        <is>
          <t>Graduate; relevant certification preferred</t>
        </is>
      </c>
      <c r="AV29" s="38" t="inlineStr">
        <is>
          <t>None · guides 1–3 juniors informally</t>
        </is>
      </c>
      <c r="AW29" s="38" t="inlineStr">
        <is>
          <t>P2 · SFIA 3 Apply</t>
        </is>
      </c>
      <c r="AX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 s="39" t="inlineStr">
        <is>
          <t>A3</t>
        </is>
      </c>
      <c r="AZ29" s="40" t="inlineStr">
        <is>
          <t>Band A · Practitioner · Senior Associate</t>
        </is>
      </c>
      <c r="BA29" s="40" t="inlineStr">
        <is>
          <t>Model A3 from the six ratings, the market-derived weights and rules R1–R13 · then No change · already below the manager</t>
        </is>
      </c>
      <c r="BB29" s="41" t="inlineStr">
        <is>
          <t>A3</t>
        </is>
      </c>
      <c r="BC29" s="40" t="inlineStr">
        <is>
          <t>The six ratings on the market-average weights of Band A · all tracks score 2.63 → A3 · Hay, Mercer IPE and public plans · experience 3.8 yrs vs the A3 market range 2–5</t>
        </is>
      </c>
      <c r="BD29" s="42">
        <f>IF(SUM(BM29,BN29,BO29,BP29,BQ29,BR29,BS29)=0,0,(BM29*BT29+BN29*BU29+BO29*BV29+BP29*BW29+BQ29*BX29+BR29*BY29+BS29*BZ29)/SUM(BM29,BN29,BO29,BP29,BQ29,BR29,BS29))</f>
        <v>0</v>
      </c>
      <c r="BE29" s="41" t="str">
        <f>IF(LEFT(AY29,1)="X",AY29,IF(OR(AY29="B+",AY29="C+"),INDEX(LAD_PC,MAX(1,MIN(14,MATCH(AY29,LAD_PC,0)+IF(BD29&gt;=0.5,1,IF(BD29&lt;=-0.5,-1,0))))),INDEX(LAD_STD,MAX(1,MIN(12,MATCH(AY29,LAD_STD,0)+IF(BD29&gt;=0.5,1,IF(BD29&lt;=-0.5,-1,0)))))))</f>
        <v>A3</v>
      </c>
      <c r="BF29" s="43" t="n"/>
      <c r="BG29" s="41" t="str">
        <f>IF(BF29&lt;&gt;"",BF29,BE29)</f>
        <v>A3</v>
      </c>
      <c r="BH29" s="40" t="str">
        <f>IFERROR(CHOOSE(INDEX(B_RANK,MATCH(BG29,B_LVL,0)),"Band A","Band B","B+ · Player-Coach","Band C","C+ · Player-Coach","Band D","Band E"),"Band X · Consultant")</f>
        <v>Band A</v>
      </c>
      <c r="BI29" s="40" t="str">
        <f>IF(BG29=AY29,"• Same",IF(INDEX(B_VAL,MATCH(BG29,B_LVL,0))&gt;INDEX(B_VAL,MATCH(AY29,B_LVL,0)),"▲ Up","▼ Down"))</f>
        <v>• Same</v>
      </c>
      <c r="BJ29" s="40" t="str">
        <f>IF(OR($M29="",$M29="—",$M29="Not in this file"),"",IFERROR(INDEX($BG$7:$BG$592,MATCH($M29,$D$7:$D$592,0)),""))</f>
        <v>B1</v>
      </c>
      <c r="BK29" s="40" t="str">
        <f>IFERROR(IF(BJ29="","—",IF(OR(LEFT(BG29,1)="X",LEFT(BJ29,1)="X"),"—",IF(AND(LEFT(BG29,1)="E",LEFT(BJ29,1)="E"),"Exception · Band E",IF(AND(INDEX(B_VAL,MATCH(BJ29,B_LVL,0))&gt;=7,INDEX(B_RANK,MATCH(BG29,B_LVL,0))&gt;=INDEX(B_RANK,MATCH(BJ29,B_LVL,0))),"⚠ Same band as a head manager",IF(INDEX(B_VAL,MATCH(BG29,B_LVL,0))&gt;=INDEX(B_VAL,MATCH(BJ29,B_LVL,0)),"⚠ At or above the manager's level","OK"))))),"—")</f>
        <v>OK</v>
      </c>
      <c r="BL29" s="43" t="n"/>
      <c r="BM29" s="44">
        <f>IFERROR(INDEX(LMH_PTS,MATCH(Y29,LMH_KEY,0)),0)</f>
        <v>9</v>
      </c>
      <c r="BN29" s="38">
        <f>IFERROR(INDEX(LMH_PTS,MATCH(Z29,LMH_KEY,0)),0)</f>
        <v>3</v>
      </c>
      <c r="BO29" s="38">
        <f>IFERROR(INDEX(LMH_PTS,MATCH(AA29,LMH_KEY,0)),0)</f>
        <v>3</v>
      </c>
      <c r="BP29" s="38">
        <f>IFERROR(INDEX(LMH_PTS,MATCH(AB29,LMH_KEY,0)),0)</f>
        <v>1</v>
      </c>
      <c r="BQ29" s="38">
        <f>IFERROR(INDEX(LMH_PTS,MATCH(AC29,LMH_KEY,0)),0)</f>
        <v>1</v>
      </c>
      <c r="BR29" s="38">
        <f>IFERROR(INDEX(LMH_PTS,MATCH(AD29,LMH_KEY,0)),0)</f>
        <v>1</v>
      </c>
      <c r="BS29" s="38">
        <f>IFERROR(INDEX(LMH_PTS,MATCH(AE29,LMH_KEY,0)),0)</f>
        <v>1</v>
      </c>
      <c r="BT29" s="38">
        <f>IFERROR(INDEX(LMH_STEP,MATCH(AF29,LMH_KEY,0)),0)</f>
        <v>0</v>
      </c>
      <c r="BU29" s="38">
        <f>IFERROR(INDEX(LMH_STEP,MATCH(AG29,LMH_KEY,0)),0)</f>
        <v>0</v>
      </c>
      <c r="BV29" s="38">
        <f>IFERROR(INDEX(LMH_STEP,MATCH(AH29,LMH_KEY,0)),0)</f>
        <v>0</v>
      </c>
      <c r="BW29" s="38">
        <f>IFERROR(INDEX(LMH_STEP,MATCH(AI29,LMH_KEY,0)),0)</f>
        <v>0</v>
      </c>
      <c r="BX29" s="38">
        <f>IFERROR(INDEX(LMH_STEP,MATCH(AJ29,LMH_KEY,0)),0)</f>
        <v>0</v>
      </c>
      <c r="BY29" s="38">
        <f>IFERROR(INDEX(LMH_STEP,MATCH(AK29,LMH_KEY,0)),0)</f>
        <v>0</v>
      </c>
      <c r="BZ29" s="38">
        <f>IFERROR(INDEX(LMH_STEP,MATCH(AL29,LMH_KEY,0)),0)</f>
        <v>0</v>
      </c>
      <c r="CA29" s="38" t="inlineStr">
        <is>
          <t>CARBON|Services|Senior Financial Analyst|A3|A</t>
        </is>
      </c>
    </row>
    <row r="30" ht="110" customHeight="1">
      <c r="A30" s="28" t="inlineStr">
        <is>
          <t>CARBON</t>
        </is>
      </c>
      <c r="B30" s="29" t="inlineStr">
        <is>
          <t>Services</t>
        </is>
      </c>
      <c r="C30" s="29" t="n">
        <v>6</v>
      </c>
      <c r="D30" s="29" t="inlineStr">
        <is>
          <t>IRIS0977</t>
        </is>
      </c>
      <c r="E30" s="29" t="inlineStr">
        <is>
          <t>Mohammed Dholkawala</t>
        </is>
      </c>
      <c r="F30" s="29" t="inlineStr">
        <is>
          <t>Lead - Assisted Services</t>
        </is>
      </c>
      <c r="G30" s="29" t="inlineStr">
        <is>
          <t>Manager – Assisted Services</t>
        </is>
      </c>
      <c r="H30" s="29" t="inlineStr">
        <is>
          <t>Consulting &amp; Professional Services</t>
        </is>
      </c>
      <c r="I30" s="29" t="inlineStr">
        <is>
          <t>XBRL Tagging, Conversion &amp; Filing</t>
        </is>
      </c>
      <c r="J30" s="29" t="inlineStr">
        <is>
          <t>People Manager</t>
        </is>
      </c>
      <c r="K30" s="29" t="inlineStr">
        <is>
          <t>RC-028</t>
        </is>
      </c>
      <c r="L30" s="29" t="inlineStr">
        <is>
          <t>Shashikant Mudaliar</t>
        </is>
      </c>
      <c r="M30" s="29" t="inlineStr">
        <is>
          <t>IRIS0786</t>
        </is>
      </c>
      <c r="N30" s="29" t="n">
        <v>15</v>
      </c>
      <c r="O30" s="29" t="n">
        <v>15</v>
      </c>
      <c r="P30" s="29" t="inlineStr">
        <is>
          <t>B.Com</t>
        </is>
      </c>
      <c r="Q30" s="29" t="inlineStr">
        <is>
          <t>L5 – Lead · IC</t>
        </is>
      </c>
      <c r="R30" s="29" t="inlineStr">
        <is>
          <t>B2</t>
        </is>
      </c>
      <c r="S30" s="30" t="inlineStr">
        <is>
          <t>20 of 20</t>
        </is>
      </c>
      <c r="T30" s="31" t="inlineStr">
        <is>
          <t>• Role / sub-team: Services - Disclosure management for US Region.</t>
        </is>
      </c>
      <c r="U30"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0" s="31" t="inlineStr">
        <is>
          <t>Latest rating: 4 · Potential: High · 9-box: Emerging Talent · Readiness: Ready now</t>
        </is>
      </c>
      <c r="W30" s="31" t="inlineStr">
        <is>
          <t>C M · Au M · Ac M · L M · BI M · Exp H · 15 yrs vs 4–7 yrs · Edu M · B.Com</t>
        </is>
      </c>
      <c r="X30" s="33" t="inlineStr">
        <is>
          <t>Open ▸</t>
        </is>
      </c>
      <c r="Y30" s="34" t="str">
        <f>IFERROR(INDEX(DL_C,MATCH($CA30,DL_KEY,0)),"M")</f>
        <v>H</v>
      </c>
      <c r="Z30" s="35" t="str">
        <f>IFERROR(INDEX(DL_Au,MATCH($CA30,DL_KEY,0)),"M")</f>
        <v>M</v>
      </c>
      <c r="AA30" s="35" t="str">
        <f>IFERROR(INDEX(DL_Ac,MATCH($CA30,DL_KEY,0)),"M")</f>
        <v>M</v>
      </c>
      <c r="AB30" s="35" t="str">
        <f>IFERROR(INDEX(DL_L,MATCH($CA30,DL_KEY,0)),"M")</f>
        <v>M</v>
      </c>
      <c r="AC30" s="35" t="str">
        <f>IFERROR(INDEX(DL_BI,MATCH($CA30,DL_KEY,0)),"M")</f>
        <v>L</v>
      </c>
      <c r="AD30" s="35" t="str">
        <f>IFERROR(INDEX(DL_Exp,MATCH($CA30,DL_KEY,0)),"M")</f>
        <v>L</v>
      </c>
      <c r="AE30" s="35" t="str">
        <f>IFERROR(INDEX(DL_Edu,MATCH($CA30,DL_KEY,0)),"M")</f>
        <v>L</v>
      </c>
      <c r="AF30" s="34" t="inlineStr">
        <is>
          <t>M</t>
        </is>
      </c>
      <c r="AG30" s="35" t="inlineStr">
        <is>
          <t>M</t>
        </is>
      </c>
      <c r="AH30" s="35" t="inlineStr">
        <is>
          <t>M</t>
        </is>
      </c>
      <c r="AI30" s="35" t="inlineStr">
        <is>
          <t>M</t>
        </is>
      </c>
      <c r="AJ30" s="35" t="inlineStr">
        <is>
          <t>M</t>
        </is>
      </c>
      <c r="AK30" s="35" t="inlineStr">
        <is>
          <t>M</t>
        </is>
      </c>
      <c r="AL30" s="35" t="inlineStr">
        <is>
          <t>M</t>
        </is>
      </c>
      <c r="AM30" s="36" t="n">
        <v>0.37</v>
      </c>
      <c r="AN30" s="37" t="n">
        <v>0.183</v>
      </c>
      <c r="AO30" s="37" t="n">
        <v>0.113</v>
      </c>
      <c r="AP30" s="37" t="n">
        <v>0.15</v>
      </c>
      <c r="AQ30" s="37" t="n">
        <v>0.08699999999999999</v>
      </c>
      <c r="AR30" s="37" t="n">
        <v>0.06</v>
      </c>
      <c r="AS30" s="37" t="n">
        <v>0.04</v>
      </c>
      <c r="AT30" s="38" t="inlineStr">
        <is>
          <t>4–8</t>
        </is>
      </c>
      <c r="AU30" s="38" t="inlineStr">
        <is>
          <t>Graduate + relevant qualification or certification preferred</t>
        </is>
      </c>
      <c r="AV30" s="38" t="inlineStr">
        <is>
          <t>IC: none · Team Lead: 3–5</t>
        </is>
      </c>
      <c r="AW30" s="38" t="inlineStr">
        <is>
          <t>P3 / M2 · SFIA 4 Enable</t>
        </is>
      </c>
      <c r="AX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 s="39" t="inlineStr">
        <is>
          <t>B1</t>
        </is>
      </c>
      <c r="AZ30" s="40" t="inlineStr">
        <is>
          <t>Band B · Specialist / Manager · Team Lead / Asst Manager</t>
        </is>
      </c>
      <c r="BA30" s="40" t="inlineStr">
        <is>
          <t>Model B2 from the six ratings, the market-derived weights and rules R1–R13 · then Level rule: manager B2; a reportee sits at least one level below · B2 → B1 · move down · pay and title protected for one cycle</t>
        </is>
      </c>
      <c r="BB30" s="41" t="inlineStr">
        <is>
          <t>B2</t>
        </is>
      </c>
      <c r="BC30" s="40" t="inlineStr">
        <is>
          <t>The six ratings on the market-average weights of Band B · People Manager score 4.53 → B2 · Hay, Mercer IPE and public plans · experience 15 yrs vs the B2 market range 6–10</t>
        </is>
      </c>
      <c r="BD30" s="42">
        <f>IF(SUM(BM30,BN30,BO30,BP30,BQ30,BR30,BS30)=0,0,(BM30*BT30+BN30*BU30+BO30*BV30+BP30*BW30+BQ30*BX30+BR30*BY30+BS30*BZ30)/SUM(BM30,BN30,BO30,BP30,BQ30,BR30,BS30))</f>
        <v>0</v>
      </c>
      <c r="BE30" s="41" t="str">
        <f>IF(LEFT(AY30,1)="X",AY30,IF(OR(AY30="B+",AY30="C+"),INDEX(LAD_PC,MAX(1,MIN(14,MATCH(AY30,LAD_PC,0)+IF(BD30&gt;=0.5,1,IF(BD30&lt;=-0.5,-1,0))))),INDEX(LAD_STD,MAX(1,MIN(12,MATCH(AY30,LAD_STD,0)+IF(BD30&gt;=0.5,1,IF(BD30&lt;=-0.5,-1,0)))))))</f>
        <v>B1</v>
      </c>
      <c r="BF30" s="43" t="n"/>
      <c r="BG30" s="41" t="str">
        <f>IF(BF30&lt;&gt;"",BF30,BE30)</f>
        <v>B1</v>
      </c>
      <c r="BH30" s="40" t="str">
        <f>IFERROR(CHOOSE(INDEX(B_RANK,MATCH(BG30,B_LVL,0)),"Band A","Band B","B+ · Player-Coach","Band C","C+ · Player-Coach","Band D","Band E"),"Band X · Consultant")</f>
        <v>Band B</v>
      </c>
      <c r="BI30" s="40" t="str">
        <f>IF(BG30=AY30,"• Same",IF(INDEX(B_VAL,MATCH(BG30,B_LVL,0))&gt;INDEX(B_VAL,MATCH(AY30,B_LVL,0)),"▲ Up","▼ Down"))</f>
        <v>• Same</v>
      </c>
      <c r="BJ30" s="40" t="str">
        <f>IF(OR($M30="",$M30="—",$M30="Not in this file"),"",IFERROR(INDEX($BG$7:$BG$592,MATCH($M30,$D$7:$D$592,0)),""))</f>
        <v>B2</v>
      </c>
      <c r="BK30" s="40" t="str">
        <f>IFERROR(IF(BJ30="","—",IF(OR(LEFT(BG30,1)="X",LEFT(BJ30,1)="X"),"—",IF(AND(LEFT(BG30,1)="E",LEFT(BJ30,1)="E"),"Exception · Band E",IF(AND(INDEX(B_VAL,MATCH(BJ30,B_LVL,0))&gt;=7,INDEX(B_RANK,MATCH(BG30,B_LVL,0))&gt;=INDEX(B_RANK,MATCH(BJ30,B_LVL,0))),"⚠ Same band as a head manager",IF(INDEX(B_VAL,MATCH(BG30,B_LVL,0))&gt;=INDEX(B_VAL,MATCH(BJ30,B_LVL,0)),"⚠ At or above the manager's level","OK"))))),"—")</f>
        <v>OK</v>
      </c>
      <c r="BL30" s="43" t="n"/>
      <c r="BM30" s="44">
        <f>IFERROR(INDEX(LMH_PTS,MATCH(Y30,LMH_KEY,0)),0)</f>
        <v>9</v>
      </c>
      <c r="BN30" s="38">
        <f>IFERROR(INDEX(LMH_PTS,MATCH(Z30,LMH_KEY,0)),0)</f>
        <v>3</v>
      </c>
      <c r="BO30" s="38">
        <f>IFERROR(INDEX(LMH_PTS,MATCH(AA30,LMH_KEY,0)),0)</f>
        <v>3</v>
      </c>
      <c r="BP30" s="38">
        <f>IFERROR(INDEX(LMH_PTS,MATCH(AB30,LMH_KEY,0)),0)</f>
        <v>3</v>
      </c>
      <c r="BQ30" s="38">
        <f>IFERROR(INDEX(LMH_PTS,MATCH(AC30,LMH_KEY,0)),0)</f>
        <v>1</v>
      </c>
      <c r="BR30" s="38">
        <f>IFERROR(INDEX(LMH_PTS,MATCH(AD30,LMH_KEY,0)),0)</f>
        <v>1</v>
      </c>
      <c r="BS30" s="38">
        <f>IFERROR(INDEX(LMH_PTS,MATCH(AE30,LMH_KEY,0)),0)</f>
        <v>1</v>
      </c>
      <c r="BT30" s="38">
        <f>IFERROR(INDEX(LMH_STEP,MATCH(AF30,LMH_KEY,0)),0)</f>
        <v>0</v>
      </c>
      <c r="BU30" s="38">
        <f>IFERROR(INDEX(LMH_STEP,MATCH(AG30,LMH_KEY,0)),0)</f>
        <v>0</v>
      </c>
      <c r="BV30" s="38">
        <f>IFERROR(INDEX(LMH_STEP,MATCH(AH30,LMH_KEY,0)),0)</f>
        <v>0</v>
      </c>
      <c r="BW30" s="38">
        <f>IFERROR(INDEX(LMH_STEP,MATCH(AI30,LMH_KEY,0)),0)</f>
        <v>0</v>
      </c>
      <c r="BX30" s="38">
        <f>IFERROR(INDEX(LMH_STEP,MATCH(AJ30,LMH_KEY,0)),0)</f>
        <v>0</v>
      </c>
      <c r="BY30" s="38">
        <f>IFERROR(INDEX(LMH_STEP,MATCH(AK30,LMH_KEY,0)),0)</f>
        <v>0</v>
      </c>
      <c r="BZ30" s="38">
        <f>IFERROR(INDEX(LMH_STEP,MATCH(AL30,LMH_KEY,0)),0)</f>
        <v>0</v>
      </c>
      <c r="CA30" s="38" t="inlineStr">
        <is>
          <t>CARBON|Services|Manager – Assisted Services|B1|B-M</t>
        </is>
      </c>
    </row>
    <row r="31" ht="110" customHeight="1">
      <c r="A31" s="28" t="inlineStr">
        <is>
          <t>CARBON</t>
        </is>
      </c>
      <c r="B31" s="29" t="inlineStr">
        <is>
          <t>Services</t>
        </is>
      </c>
      <c r="C31" s="29" t="n">
        <v>7</v>
      </c>
      <c r="D31" s="29" t="inlineStr">
        <is>
          <t>IRIS1950</t>
        </is>
      </c>
      <c r="E31" s="29" t="inlineStr">
        <is>
          <t>Manish Lipcha</t>
        </is>
      </c>
      <c r="F31" s="29" t="inlineStr">
        <is>
          <t>Senior Financial Analyst</t>
        </is>
      </c>
      <c r="G31" s="29" t="inlineStr">
        <is>
          <t>XBRL Specialist</t>
        </is>
      </c>
      <c r="H31" s="29" t="inlineStr">
        <is>
          <t>Consulting &amp; Professional Services</t>
        </is>
      </c>
      <c r="I31" s="29" t="inlineStr">
        <is>
          <t>XBRL Tagging, Conversion &amp; Filing</t>
        </is>
      </c>
      <c r="J31" s="29" t="inlineStr">
        <is>
          <t>IC</t>
        </is>
      </c>
      <c r="K31" s="29" t="inlineStr">
        <is>
          <t>RC-026</t>
        </is>
      </c>
      <c r="L31" s="29" t="inlineStr">
        <is>
          <t>Mohammed Dholkawala</t>
        </is>
      </c>
      <c r="M31" s="29" t="inlineStr">
        <is>
          <t>IRIS0977</t>
        </is>
      </c>
      <c r="N31" s="29" t="n">
        <v>8.300000000000001</v>
      </c>
      <c r="O31" s="29" t="n">
        <v>5</v>
      </c>
      <c r="P31" s="29" t="inlineStr">
        <is>
          <t>MMS</t>
        </is>
      </c>
      <c r="Q31" s="29" t="inlineStr">
        <is>
          <t>L4 – Senior</t>
        </is>
      </c>
      <c r="R31" s="29" t="inlineStr">
        <is>
          <t>B1</t>
        </is>
      </c>
      <c r="S31" s="30" t="inlineStr">
        <is>
          <t>20 of 20</t>
        </is>
      </c>
      <c r="T31" s="31" t="inlineStr">
        <is>
          <t>• Role / sub-team: Shift lead, XBRL tagging, Quality check, Validation, R&amp;D for US team.</t>
        </is>
      </c>
      <c r="U3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1" s="31" t="inlineStr">
        <is>
          <t>Latest rating: 4 · Potential: High · 9-box: Core Contributor · Readiness: Ready now</t>
        </is>
      </c>
      <c r="W31" s="31" t="inlineStr">
        <is>
          <t>C M · Au M · Ac M · L M · BI M · Exp H · 8.3 yrs vs 2–4 yrs · Edu H · MMS</t>
        </is>
      </c>
      <c r="X31" s="33" t="inlineStr">
        <is>
          <t>Open ▸</t>
        </is>
      </c>
      <c r="Y31" s="34" t="str">
        <f>IFERROR(INDEX(DL_C,MATCH($CA31,DL_KEY,0)),"M")</f>
        <v>H</v>
      </c>
      <c r="Z31" s="35" t="str">
        <f>IFERROR(INDEX(DL_Au,MATCH($CA31,DL_KEY,0)),"M")</f>
        <v>M</v>
      </c>
      <c r="AA31" s="35" t="str">
        <f>IFERROR(INDEX(DL_Ac,MATCH($CA31,DL_KEY,0)),"M")</f>
        <v>M</v>
      </c>
      <c r="AB31" s="35" t="str">
        <f>IFERROR(INDEX(DL_L,MATCH($CA31,DL_KEY,0)),"M")</f>
        <v>L</v>
      </c>
      <c r="AC31" s="35" t="str">
        <f>IFERROR(INDEX(DL_BI,MATCH($CA31,DL_KEY,0)),"M")</f>
        <v>L</v>
      </c>
      <c r="AD31" s="35" t="str">
        <f>IFERROR(INDEX(DL_Exp,MATCH($CA31,DL_KEY,0)),"M")</f>
        <v>L</v>
      </c>
      <c r="AE31" s="35" t="str">
        <f>IFERROR(INDEX(DL_Edu,MATCH($CA31,DL_KEY,0)),"M")</f>
        <v>L</v>
      </c>
      <c r="AF31" s="34" t="inlineStr">
        <is>
          <t>M</t>
        </is>
      </c>
      <c r="AG31" s="35" t="inlineStr">
        <is>
          <t>M</t>
        </is>
      </c>
      <c r="AH31" s="35" t="inlineStr">
        <is>
          <t>M</t>
        </is>
      </c>
      <c r="AI31" s="35" t="inlineStr">
        <is>
          <t>M</t>
        </is>
      </c>
      <c r="AJ31" s="35" t="inlineStr">
        <is>
          <t>M</t>
        </is>
      </c>
      <c r="AK31" s="35" t="inlineStr">
        <is>
          <t>M</t>
        </is>
      </c>
      <c r="AL31" s="35" t="inlineStr">
        <is>
          <t>M</t>
        </is>
      </c>
      <c r="AM31" s="36" t="n">
        <v>0.583</v>
      </c>
      <c r="AN31" s="37" t="n">
        <v>0.16</v>
      </c>
      <c r="AO31" s="37" t="n">
        <v>0.09</v>
      </c>
      <c r="AP31" s="37" t="n">
        <v>0</v>
      </c>
      <c r="AQ31" s="37" t="n">
        <v>0.063</v>
      </c>
      <c r="AR31" s="37" t="n">
        <v>0.06</v>
      </c>
      <c r="AS31" s="37" t="n">
        <v>0.04</v>
      </c>
      <c r="AT31" s="38" t="inlineStr">
        <is>
          <t>2–5</t>
        </is>
      </c>
      <c r="AU31" s="38" t="inlineStr">
        <is>
          <t>Graduate; relevant certification preferred</t>
        </is>
      </c>
      <c r="AV31" s="38" t="inlineStr">
        <is>
          <t>None · guides 1–3 juniors informally</t>
        </is>
      </c>
      <c r="AW31" s="38" t="inlineStr">
        <is>
          <t>P2 · SFIA 3 Apply</t>
        </is>
      </c>
      <c r="AX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 s="39" t="inlineStr">
        <is>
          <t>A3</t>
        </is>
      </c>
      <c r="AZ31" s="40" t="inlineStr">
        <is>
          <t>Band A · Practitioner · Senior Associate</t>
        </is>
      </c>
      <c r="BA31" s="40" t="inlineStr">
        <is>
          <t>Model B1 from the six ratings, the market-derived weights and rules R1–R13 · then Level rule: manager B1; a reportee sits at least one level below · B1 → A3 · move down · pay and title protected for one cycle</t>
        </is>
      </c>
      <c r="BB31" s="41" t="inlineStr">
        <is>
          <t>B1</t>
        </is>
      </c>
      <c r="BC31" s="40" t="inlineStr">
        <is>
          <t>The six ratings on the market-average weights of Band A · all tracks score 3.71 → B1 · Hay, Mercer IPE and public plans · experience 8.3 yrs vs the B1 market range 4–8</t>
        </is>
      </c>
      <c r="BD31" s="42">
        <f>IF(SUM(BM31,BN31,BO31,BP31,BQ31,BR31,BS31)=0,0,(BM31*BT31+BN31*BU31+BO31*BV31+BP31*BW31+BQ31*BX31+BR31*BY31+BS31*BZ31)/SUM(BM31,BN31,BO31,BP31,BQ31,BR31,BS31))</f>
        <v>0</v>
      </c>
      <c r="BE31" s="41" t="str">
        <f>IF(LEFT(AY31,1)="X",AY31,IF(OR(AY31="B+",AY31="C+"),INDEX(LAD_PC,MAX(1,MIN(14,MATCH(AY31,LAD_PC,0)+IF(BD31&gt;=0.5,1,IF(BD31&lt;=-0.5,-1,0))))),INDEX(LAD_STD,MAX(1,MIN(12,MATCH(AY31,LAD_STD,0)+IF(BD31&gt;=0.5,1,IF(BD31&lt;=-0.5,-1,0)))))))</f>
        <v>A3</v>
      </c>
      <c r="BF31" s="43" t="n"/>
      <c r="BG31" s="41" t="str">
        <f>IF(BF31&lt;&gt;"",BF31,BE31)</f>
        <v>A3</v>
      </c>
      <c r="BH31" s="40" t="str">
        <f>IFERROR(CHOOSE(INDEX(B_RANK,MATCH(BG31,B_LVL,0)),"Band A","Band B","B+ · Player-Coach","Band C","C+ · Player-Coach","Band D","Band E"),"Band X · Consultant")</f>
        <v>Band A</v>
      </c>
      <c r="BI31" s="40" t="str">
        <f>IF(BG31=AY31,"• Same",IF(INDEX(B_VAL,MATCH(BG31,B_LVL,0))&gt;INDEX(B_VAL,MATCH(AY31,B_LVL,0)),"▲ Up","▼ Down"))</f>
        <v>• Same</v>
      </c>
      <c r="BJ31" s="40" t="str">
        <f>IF(OR($M31="",$M31="—",$M31="Not in this file"),"",IFERROR(INDEX($BG$7:$BG$592,MATCH($M31,$D$7:$D$592,0)),""))</f>
        <v>B1</v>
      </c>
      <c r="BK31" s="40" t="str">
        <f>IFERROR(IF(BJ31="","—",IF(OR(LEFT(BG31,1)="X",LEFT(BJ31,1)="X"),"—",IF(AND(LEFT(BG31,1)="E",LEFT(BJ31,1)="E"),"Exception · Band E",IF(AND(INDEX(B_VAL,MATCH(BJ31,B_LVL,0))&gt;=7,INDEX(B_RANK,MATCH(BG31,B_LVL,0))&gt;=INDEX(B_RANK,MATCH(BJ31,B_LVL,0))),"⚠ Same band as a head manager",IF(INDEX(B_VAL,MATCH(BG31,B_LVL,0))&gt;=INDEX(B_VAL,MATCH(BJ31,B_LVL,0)),"⚠ At or above the manager's level","OK"))))),"—")</f>
        <v>OK</v>
      </c>
      <c r="BL31" s="43" t="n"/>
      <c r="BM31" s="44">
        <f>IFERROR(INDEX(LMH_PTS,MATCH(Y31,LMH_KEY,0)),0)</f>
        <v>9</v>
      </c>
      <c r="BN31" s="38">
        <f>IFERROR(INDEX(LMH_PTS,MATCH(Z31,LMH_KEY,0)),0)</f>
        <v>3</v>
      </c>
      <c r="BO31" s="38">
        <f>IFERROR(INDEX(LMH_PTS,MATCH(AA31,LMH_KEY,0)),0)</f>
        <v>3</v>
      </c>
      <c r="BP31" s="38">
        <f>IFERROR(INDEX(LMH_PTS,MATCH(AB31,LMH_KEY,0)),0)</f>
        <v>1</v>
      </c>
      <c r="BQ31" s="38">
        <f>IFERROR(INDEX(LMH_PTS,MATCH(AC31,LMH_KEY,0)),0)</f>
        <v>1</v>
      </c>
      <c r="BR31" s="38">
        <f>IFERROR(INDEX(LMH_PTS,MATCH(AD31,LMH_KEY,0)),0)</f>
        <v>1</v>
      </c>
      <c r="BS31" s="38">
        <f>IFERROR(INDEX(LMH_PTS,MATCH(AE31,LMH_KEY,0)),0)</f>
        <v>1</v>
      </c>
      <c r="BT31" s="38">
        <f>IFERROR(INDEX(LMH_STEP,MATCH(AF31,LMH_KEY,0)),0)</f>
        <v>0</v>
      </c>
      <c r="BU31" s="38">
        <f>IFERROR(INDEX(LMH_STEP,MATCH(AG31,LMH_KEY,0)),0)</f>
        <v>0</v>
      </c>
      <c r="BV31" s="38">
        <f>IFERROR(INDEX(LMH_STEP,MATCH(AH31,LMH_KEY,0)),0)</f>
        <v>0</v>
      </c>
      <c r="BW31" s="38">
        <f>IFERROR(INDEX(LMH_STEP,MATCH(AI31,LMH_KEY,0)),0)</f>
        <v>0</v>
      </c>
      <c r="BX31" s="38">
        <f>IFERROR(INDEX(LMH_STEP,MATCH(AJ31,LMH_KEY,0)),0)</f>
        <v>0</v>
      </c>
      <c r="BY31" s="38">
        <f>IFERROR(INDEX(LMH_STEP,MATCH(AK31,LMH_KEY,0)),0)</f>
        <v>0</v>
      </c>
      <c r="BZ31" s="38">
        <f>IFERROR(INDEX(LMH_STEP,MATCH(AL31,LMH_KEY,0)),0)</f>
        <v>0</v>
      </c>
      <c r="CA31" s="38" t="inlineStr">
        <is>
          <t>CARBON|Services|XBRL Specialist|A3|A</t>
        </is>
      </c>
    </row>
    <row r="32" ht="110" customHeight="1">
      <c r="A32" s="28" t="inlineStr">
        <is>
          <t>CARBON</t>
        </is>
      </c>
      <c r="B32" s="29" t="inlineStr">
        <is>
          <t>Services</t>
        </is>
      </c>
      <c r="C32" s="29" t="n">
        <v>7</v>
      </c>
      <c r="D32" s="29" t="inlineStr">
        <is>
          <t>IRIS0027</t>
        </is>
      </c>
      <c r="E32" s="29" t="inlineStr">
        <is>
          <t>Haresh Misal</t>
        </is>
      </c>
      <c r="F32" s="29" t="inlineStr">
        <is>
          <t>Senior Financial Analyst</t>
        </is>
      </c>
      <c r="G32" s="29" t="inlineStr">
        <is>
          <t>Senior Financial Analyst</t>
        </is>
      </c>
      <c r="H32" s="29" t="inlineStr">
        <is>
          <t>Consulting &amp; Professional Services</t>
        </is>
      </c>
      <c r="I32" s="29" t="inlineStr">
        <is>
          <t>XBRL Tagging, Conversion &amp; Filing</t>
        </is>
      </c>
      <c r="J32" s="29" t="inlineStr">
        <is>
          <t>IC</t>
        </is>
      </c>
      <c r="K32" s="29" t="inlineStr">
        <is>
          <t>RC-025</t>
        </is>
      </c>
      <c r="L32" s="29" t="inlineStr">
        <is>
          <t>Mohammed Dholkawala</t>
        </is>
      </c>
      <c r="M32" s="29" t="inlineStr">
        <is>
          <t>IRIS0977</t>
        </is>
      </c>
      <c r="N32" s="29" t="n">
        <v>21.2</v>
      </c>
      <c r="O32" s="29" t="n">
        <v>21.2</v>
      </c>
      <c r="P32" s="29" t="inlineStr">
        <is>
          <t>B.Com</t>
        </is>
      </c>
      <c r="Q32" s="29" t="inlineStr">
        <is>
          <t>L4 – Senior</t>
        </is>
      </c>
      <c r="R32" s="29" t="inlineStr">
        <is>
          <t>A3</t>
        </is>
      </c>
      <c r="S32" s="30" t="inlineStr">
        <is>
          <t>20 of 20</t>
        </is>
      </c>
      <c r="T32" s="31" t="inlineStr">
        <is>
          <t>• Role / sub-team: XBRL Tagging - US Service Team.</t>
        </is>
      </c>
      <c r="U3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2" s="31" t="inlineStr">
        <is>
          <t>Latest rating: 2 · Potential: Low · 9-box: Reliable Specialist · Readiness: Performance first</t>
        </is>
      </c>
      <c r="W32" s="31" t="inlineStr">
        <is>
          <t>C M · Au M · Ac M · L L · BI M · Exp H · 21.2 yrs vs 2–4 yrs · Edu M · B.Com</t>
        </is>
      </c>
      <c r="X32" s="33" t="inlineStr">
        <is>
          <t>Open ▸</t>
        </is>
      </c>
      <c r="Y32" s="34" t="str">
        <f>IFERROR(INDEX(DL_C,MATCH($CA32,DL_KEY,0)),"M")</f>
        <v>H</v>
      </c>
      <c r="Z32" s="35" t="str">
        <f>IFERROR(INDEX(DL_Au,MATCH($CA32,DL_KEY,0)),"M")</f>
        <v>M</v>
      </c>
      <c r="AA32" s="35" t="str">
        <f>IFERROR(INDEX(DL_Ac,MATCH($CA32,DL_KEY,0)),"M")</f>
        <v>M</v>
      </c>
      <c r="AB32" s="35" t="str">
        <f>IFERROR(INDEX(DL_L,MATCH($CA32,DL_KEY,0)),"M")</f>
        <v>L</v>
      </c>
      <c r="AC32" s="35" t="str">
        <f>IFERROR(INDEX(DL_BI,MATCH($CA32,DL_KEY,0)),"M")</f>
        <v>L</v>
      </c>
      <c r="AD32" s="35" t="str">
        <f>IFERROR(INDEX(DL_Exp,MATCH($CA32,DL_KEY,0)),"M")</f>
        <v>L</v>
      </c>
      <c r="AE32" s="35" t="str">
        <f>IFERROR(INDEX(DL_Edu,MATCH($CA32,DL_KEY,0)),"M")</f>
        <v>L</v>
      </c>
      <c r="AF32" s="34" t="inlineStr">
        <is>
          <t>M</t>
        </is>
      </c>
      <c r="AG32" s="35" t="inlineStr">
        <is>
          <t>M</t>
        </is>
      </c>
      <c r="AH32" s="35" t="inlineStr">
        <is>
          <t>M</t>
        </is>
      </c>
      <c r="AI32" s="35" t="inlineStr">
        <is>
          <t>M</t>
        </is>
      </c>
      <c r="AJ32" s="35" t="inlineStr">
        <is>
          <t>M</t>
        </is>
      </c>
      <c r="AK32" s="35" t="inlineStr">
        <is>
          <t>M</t>
        </is>
      </c>
      <c r="AL32" s="35" t="inlineStr">
        <is>
          <t>M</t>
        </is>
      </c>
      <c r="AM32" s="36" t="n">
        <v>0.583</v>
      </c>
      <c r="AN32" s="37" t="n">
        <v>0.16</v>
      </c>
      <c r="AO32" s="37" t="n">
        <v>0.09</v>
      </c>
      <c r="AP32" s="37" t="n">
        <v>0</v>
      </c>
      <c r="AQ32" s="37" t="n">
        <v>0.063</v>
      </c>
      <c r="AR32" s="37" t="n">
        <v>0.06</v>
      </c>
      <c r="AS32" s="37" t="n">
        <v>0.04</v>
      </c>
      <c r="AT32" s="38" t="inlineStr">
        <is>
          <t>2–5</t>
        </is>
      </c>
      <c r="AU32" s="38" t="inlineStr">
        <is>
          <t>Graduate; relevant certification preferred</t>
        </is>
      </c>
      <c r="AV32" s="38" t="inlineStr">
        <is>
          <t>None · guides 1–3 juniors informally</t>
        </is>
      </c>
      <c r="AW32" s="38" t="inlineStr">
        <is>
          <t>P2 · SFIA 3 Apply</t>
        </is>
      </c>
      <c r="AX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 s="39" t="inlineStr">
        <is>
          <t>A3</t>
        </is>
      </c>
      <c r="AZ32" s="40" t="inlineStr">
        <is>
          <t>Band A · Practitioner · Senior Associate</t>
        </is>
      </c>
      <c r="BA32" s="40" t="inlineStr">
        <is>
          <t>Model A3 from the six ratings, the market-derived weights and rules R1–R13 · then No change · already below the manager</t>
        </is>
      </c>
      <c r="BB32" s="41" t="inlineStr">
        <is>
          <t>A3</t>
        </is>
      </c>
      <c r="BC32" s="40" t="inlineStr">
        <is>
          <t>The six ratings on the market-average weights of Band A · all tracks score 3.28 → A3 · Hay, Mercer IPE and public plans · experience 21.2 yrs vs the A3 market range 2–5</t>
        </is>
      </c>
      <c r="BD32" s="42">
        <f>IF(SUM(BM32,BN32,BO32,BP32,BQ32,BR32,BS32)=0,0,(BM32*BT32+BN32*BU32+BO32*BV32+BP32*BW32+BQ32*BX32+BR32*BY32+BS32*BZ32)/SUM(BM32,BN32,BO32,BP32,BQ32,BR32,BS32))</f>
        <v>0</v>
      </c>
      <c r="BE32" s="41" t="str">
        <f>IF(LEFT(AY32,1)="X",AY32,IF(OR(AY32="B+",AY32="C+"),INDEX(LAD_PC,MAX(1,MIN(14,MATCH(AY32,LAD_PC,0)+IF(BD32&gt;=0.5,1,IF(BD32&lt;=-0.5,-1,0))))),INDEX(LAD_STD,MAX(1,MIN(12,MATCH(AY32,LAD_STD,0)+IF(BD32&gt;=0.5,1,IF(BD32&lt;=-0.5,-1,0)))))))</f>
        <v>A3</v>
      </c>
      <c r="BF32" s="43" t="n"/>
      <c r="BG32" s="41" t="str">
        <f>IF(BF32&lt;&gt;"",BF32,BE32)</f>
        <v>A3</v>
      </c>
      <c r="BH32" s="40" t="str">
        <f>IFERROR(CHOOSE(INDEX(B_RANK,MATCH(BG32,B_LVL,0)),"Band A","Band B","B+ · Player-Coach","Band C","C+ · Player-Coach","Band D","Band E"),"Band X · Consultant")</f>
        <v>Band A</v>
      </c>
      <c r="BI32" s="40" t="str">
        <f>IF(BG32=AY32,"• Same",IF(INDEX(B_VAL,MATCH(BG32,B_LVL,0))&gt;INDEX(B_VAL,MATCH(AY32,B_LVL,0)),"▲ Up","▼ Down"))</f>
        <v>• Same</v>
      </c>
      <c r="BJ32" s="40" t="str">
        <f>IF(OR($M32="",$M32="—",$M32="Not in this file"),"",IFERROR(INDEX($BG$7:$BG$592,MATCH($M32,$D$7:$D$592,0)),""))</f>
        <v>B1</v>
      </c>
      <c r="BK32" s="40" t="str">
        <f>IFERROR(IF(BJ32="","—",IF(OR(LEFT(BG32,1)="X",LEFT(BJ32,1)="X"),"—",IF(AND(LEFT(BG32,1)="E",LEFT(BJ32,1)="E"),"Exception · Band E",IF(AND(INDEX(B_VAL,MATCH(BJ32,B_LVL,0))&gt;=7,INDEX(B_RANK,MATCH(BG32,B_LVL,0))&gt;=INDEX(B_RANK,MATCH(BJ32,B_LVL,0))),"⚠ Same band as a head manager",IF(INDEX(B_VAL,MATCH(BG32,B_LVL,0))&gt;=INDEX(B_VAL,MATCH(BJ32,B_LVL,0)),"⚠ At or above the manager's level","OK"))))),"—")</f>
        <v>OK</v>
      </c>
      <c r="BL32" s="43" t="n"/>
      <c r="BM32" s="44">
        <f>IFERROR(INDEX(LMH_PTS,MATCH(Y32,LMH_KEY,0)),0)</f>
        <v>9</v>
      </c>
      <c r="BN32" s="38">
        <f>IFERROR(INDEX(LMH_PTS,MATCH(Z32,LMH_KEY,0)),0)</f>
        <v>3</v>
      </c>
      <c r="BO32" s="38">
        <f>IFERROR(INDEX(LMH_PTS,MATCH(AA32,LMH_KEY,0)),0)</f>
        <v>3</v>
      </c>
      <c r="BP32" s="38">
        <f>IFERROR(INDEX(LMH_PTS,MATCH(AB32,LMH_KEY,0)),0)</f>
        <v>1</v>
      </c>
      <c r="BQ32" s="38">
        <f>IFERROR(INDEX(LMH_PTS,MATCH(AC32,LMH_KEY,0)),0)</f>
        <v>1</v>
      </c>
      <c r="BR32" s="38">
        <f>IFERROR(INDEX(LMH_PTS,MATCH(AD32,LMH_KEY,0)),0)</f>
        <v>1</v>
      </c>
      <c r="BS32" s="38">
        <f>IFERROR(INDEX(LMH_PTS,MATCH(AE32,LMH_KEY,0)),0)</f>
        <v>1</v>
      </c>
      <c r="BT32" s="38">
        <f>IFERROR(INDEX(LMH_STEP,MATCH(AF32,LMH_KEY,0)),0)</f>
        <v>0</v>
      </c>
      <c r="BU32" s="38">
        <f>IFERROR(INDEX(LMH_STEP,MATCH(AG32,LMH_KEY,0)),0)</f>
        <v>0</v>
      </c>
      <c r="BV32" s="38">
        <f>IFERROR(INDEX(LMH_STEP,MATCH(AH32,LMH_KEY,0)),0)</f>
        <v>0</v>
      </c>
      <c r="BW32" s="38">
        <f>IFERROR(INDEX(LMH_STEP,MATCH(AI32,LMH_KEY,0)),0)</f>
        <v>0</v>
      </c>
      <c r="BX32" s="38">
        <f>IFERROR(INDEX(LMH_STEP,MATCH(AJ32,LMH_KEY,0)),0)</f>
        <v>0</v>
      </c>
      <c r="BY32" s="38">
        <f>IFERROR(INDEX(LMH_STEP,MATCH(AK32,LMH_KEY,0)),0)</f>
        <v>0</v>
      </c>
      <c r="BZ32" s="38">
        <f>IFERROR(INDEX(LMH_STEP,MATCH(AL32,LMH_KEY,0)),0)</f>
        <v>0</v>
      </c>
      <c r="CA32" s="38" t="inlineStr">
        <is>
          <t>CARBON|Services|Senior Financial Analyst|A3|A</t>
        </is>
      </c>
    </row>
    <row r="33" ht="110" customHeight="1">
      <c r="A33" s="28" t="inlineStr">
        <is>
          <t>CARBON</t>
        </is>
      </c>
      <c r="B33" s="29" t="inlineStr">
        <is>
          <t>Services</t>
        </is>
      </c>
      <c r="C33" s="29" t="n">
        <v>7</v>
      </c>
      <c r="D33" s="29" t="inlineStr">
        <is>
          <t>IRIS2056</t>
        </is>
      </c>
      <c r="E33" s="29" t="inlineStr">
        <is>
          <t>Monica Patel</t>
        </is>
      </c>
      <c r="F33" s="29" t="inlineStr">
        <is>
          <t>Senior Financial Analyst</t>
        </is>
      </c>
      <c r="G33" s="29" t="inlineStr">
        <is>
          <t>Senior Financial Analyst</t>
        </is>
      </c>
      <c r="H33" s="29" t="inlineStr">
        <is>
          <t>Consulting &amp; Professional Services</t>
        </is>
      </c>
      <c r="I33" s="29" t="inlineStr">
        <is>
          <t>XBRL Tagging, Conversion &amp; Filing</t>
        </is>
      </c>
      <c r="J33" s="29" t="inlineStr">
        <is>
          <t>IC</t>
        </is>
      </c>
      <c r="K33" s="29" t="inlineStr">
        <is>
          <t>RC-025</t>
        </is>
      </c>
      <c r="L33" s="29" t="inlineStr">
        <is>
          <t>Mohammed Dholkawala</t>
        </is>
      </c>
      <c r="M33" s="29" t="inlineStr">
        <is>
          <t>IRIS0977</t>
        </is>
      </c>
      <c r="N33" s="29" t="n">
        <v>11.3</v>
      </c>
      <c r="O33" s="29" t="n">
        <v>4.1</v>
      </c>
      <c r="P33" s="29" t="inlineStr">
        <is>
          <t>BMS</t>
        </is>
      </c>
      <c r="Q33" s="29" t="inlineStr">
        <is>
          <t>L4 – Senior</t>
        </is>
      </c>
      <c r="R33" s="29" t="inlineStr">
        <is>
          <t>A3</t>
        </is>
      </c>
      <c r="S33" s="30" t="inlineStr">
        <is>
          <t>20 of 20</t>
        </is>
      </c>
      <c r="T33" s="31" t="inlineStr">
        <is>
          <t>• Role / sub-team: XBRL tagging in Us service team; US XBRL tagging.</t>
        </is>
      </c>
      <c r="U3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3" s="31" t="inlineStr">
        <is>
          <t>Latest rating: 3 · Potential: High · 9-box: Core Contributor · Readiness: Ready in 6–12 months</t>
        </is>
      </c>
      <c r="W33" s="31" t="inlineStr">
        <is>
          <t>C M · Au M · Ac M · L L · BI M · Exp H · 11.3 yrs vs 2–4 yrs · Edu M · BMS</t>
        </is>
      </c>
      <c r="X33" s="33" t="inlineStr">
        <is>
          <t>Open ▸</t>
        </is>
      </c>
      <c r="Y33" s="34" t="str">
        <f>IFERROR(INDEX(DL_C,MATCH($CA33,DL_KEY,0)),"M")</f>
        <v>H</v>
      </c>
      <c r="Z33" s="35" t="str">
        <f>IFERROR(INDEX(DL_Au,MATCH($CA33,DL_KEY,0)),"M")</f>
        <v>M</v>
      </c>
      <c r="AA33" s="35" t="str">
        <f>IFERROR(INDEX(DL_Ac,MATCH($CA33,DL_KEY,0)),"M")</f>
        <v>M</v>
      </c>
      <c r="AB33" s="35" t="str">
        <f>IFERROR(INDEX(DL_L,MATCH($CA33,DL_KEY,0)),"M")</f>
        <v>L</v>
      </c>
      <c r="AC33" s="35" t="str">
        <f>IFERROR(INDEX(DL_BI,MATCH($CA33,DL_KEY,0)),"M")</f>
        <v>L</v>
      </c>
      <c r="AD33" s="35" t="str">
        <f>IFERROR(INDEX(DL_Exp,MATCH($CA33,DL_KEY,0)),"M")</f>
        <v>L</v>
      </c>
      <c r="AE33" s="35" t="str">
        <f>IFERROR(INDEX(DL_Edu,MATCH($CA33,DL_KEY,0)),"M")</f>
        <v>L</v>
      </c>
      <c r="AF33" s="34" t="inlineStr">
        <is>
          <t>M</t>
        </is>
      </c>
      <c r="AG33" s="35" t="inlineStr">
        <is>
          <t>M</t>
        </is>
      </c>
      <c r="AH33" s="35" t="inlineStr">
        <is>
          <t>M</t>
        </is>
      </c>
      <c r="AI33" s="35" t="inlineStr">
        <is>
          <t>M</t>
        </is>
      </c>
      <c r="AJ33" s="35" t="inlineStr">
        <is>
          <t>M</t>
        </is>
      </c>
      <c r="AK33" s="35" t="inlineStr">
        <is>
          <t>M</t>
        </is>
      </c>
      <c r="AL33" s="35" t="inlineStr">
        <is>
          <t>M</t>
        </is>
      </c>
      <c r="AM33" s="36" t="n">
        <v>0.583</v>
      </c>
      <c r="AN33" s="37" t="n">
        <v>0.16</v>
      </c>
      <c r="AO33" s="37" t="n">
        <v>0.09</v>
      </c>
      <c r="AP33" s="37" t="n">
        <v>0</v>
      </c>
      <c r="AQ33" s="37" t="n">
        <v>0.063</v>
      </c>
      <c r="AR33" s="37" t="n">
        <v>0.06</v>
      </c>
      <c r="AS33" s="37" t="n">
        <v>0.04</v>
      </c>
      <c r="AT33" s="38" t="inlineStr">
        <is>
          <t>2–5</t>
        </is>
      </c>
      <c r="AU33" s="38" t="inlineStr">
        <is>
          <t>Graduate; relevant certification preferred</t>
        </is>
      </c>
      <c r="AV33" s="38" t="inlineStr">
        <is>
          <t>None · guides 1–3 juniors informally</t>
        </is>
      </c>
      <c r="AW33" s="38" t="inlineStr">
        <is>
          <t>P2 · SFIA 3 Apply</t>
        </is>
      </c>
      <c r="AX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 s="39" t="inlineStr">
        <is>
          <t>A3</t>
        </is>
      </c>
      <c r="AZ33" s="40" t="inlineStr">
        <is>
          <t>Band A · Practitioner · Senior Associate</t>
        </is>
      </c>
      <c r="BA33" s="40" t="inlineStr">
        <is>
          <t>Model A3 from the six ratings, the market-derived weights and rules R1–R13 · then No change · already below the manager</t>
        </is>
      </c>
      <c r="BB33" s="41" t="inlineStr">
        <is>
          <t>A3</t>
        </is>
      </c>
      <c r="BC33" s="40" t="inlineStr">
        <is>
          <t>The six ratings on the market-average weights of Band A · all tracks score 3.31 → A3 · Hay, Mercer IPE and public plans · experience 11.3 yrs vs the A3 market range 2–5</t>
        </is>
      </c>
      <c r="BD33" s="42">
        <f>IF(SUM(BM33,BN33,BO33,BP33,BQ33,BR33,BS33)=0,0,(BM33*BT33+BN33*BU33+BO33*BV33+BP33*BW33+BQ33*BX33+BR33*BY33+BS33*BZ33)/SUM(BM33,BN33,BO33,BP33,BQ33,BR33,BS33))</f>
        <v>0</v>
      </c>
      <c r="BE33" s="41" t="str">
        <f>IF(LEFT(AY33,1)="X",AY33,IF(OR(AY33="B+",AY33="C+"),INDEX(LAD_PC,MAX(1,MIN(14,MATCH(AY33,LAD_PC,0)+IF(BD33&gt;=0.5,1,IF(BD33&lt;=-0.5,-1,0))))),INDEX(LAD_STD,MAX(1,MIN(12,MATCH(AY33,LAD_STD,0)+IF(BD33&gt;=0.5,1,IF(BD33&lt;=-0.5,-1,0)))))))</f>
        <v>A3</v>
      </c>
      <c r="BF33" s="43" t="n"/>
      <c r="BG33" s="41" t="str">
        <f>IF(BF33&lt;&gt;"",BF33,BE33)</f>
        <v>A3</v>
      </c>
      <c r="BH33" s="40" t="str">
        <f>IFERROR(CHOOSE(INDEX(B_RANK,MATCH(BG33,B_LVL,0)),"Band A","Band B","B+ · Player-Coach","Band C","C+ · Player-Coach","Band D","Band E"),"Band X · Consultant")</f>
        <v>Band A</v>
      </c>
      <c r="BI33" s="40" t="str">
        <f>IF(BG33=AY33,"• Same",IF(INDEX(B_VAL,MATCH(BG33,B_LVL,0))&gt;INDEX(B_VAL,MATCH(AY33,B_LVL,0)),"▲ Up","▼ Down"))</f>
        <v>• Same</v>
      </c>
      <c r="BJ33" s="40" t="str">
        <f>IF(OR($M33="",$M33="—",$M33="Not in this file"),"",IFERROR(INDEX($BG$7:$BG$592,MATCH($M33,$D$7:$D$592,0)),""))</f>
        <v>B1</v>
      </c>
      <c r="BK33" s="40" t="str">
        <f>IFERROR(IF(BJ33="","—",IF(OR(LEFT(BG33,1)="X",LEFT(BJ33,1)="X"),"—",IF(AND(LEFT(BG33,1)="E",LEFT(BJ33,1)="E"),"Exception · Band E",IF(AND(INDEX(B_VAL,MATCH(BJ33,B_LVL,0))&gt;=7,INDEX(B_RANK,MATCH(BG33,B_LVL,0))&gt;=INDEX(B_RANK,MATCH(BJ33,B_LVL,0))),"⚠ Same band as a head manager",IF(INDEX(B_VAL,MATCH(BG33,B_LVL,0))&gt;=INDEX(B_VAL,MATCH(BJ33,B_LVL,0)),"⚠ At or above the manager's level","OK"))))),"—")</f>
        <v>OK</v>
      </c>
      <c r="BL33" s="43" t="n"/>
      <c r="BM33" s="44">
        <f>IFERROR(INDEX(LMH_PTS,MATCH(Y33,LMH_KEY,0)),0)</f>
        <v>9</v>
      </c>
      <c r="BN33" s="38">
        <f>IFERROR(INDEX(LMH_PTS,MATCH(Z33,LMH_KEY,0)),0)</f>
        <v>3</v>
      </c>
      <c r="BO33" s="38">
        <f>IFERROR(INDEX(LMH_PTS,MATCH(AA33,LMH_KEY,0)),0)</f>
        <v>3</v>
      </c>
      <c r="BP33" s="38">
        <f>IFERROR(INDEX(LMH_PTS,MATCH(AB33,LMH_KEY,0)),0)</f>
        <v>1</v>
      </c>
      <c r="BQ33" s="38">
        <f>IFERROR(INDEX(LMH_PTS,MATCH(AC33,LMH_KEY,0)),0)</f>
        <v>1</v>
      </c>
      <c r="BR33" s="38">
        <f>IFERROR(INDEX(LMH_PTS,MATCH(AD33,LMH_KEY,0)),0)</f>
        <v>1</v>
      </c>
      <c r="BS33" s="38">
        <f>IFERROR(INDEX(LMH_PTS,MATCH(AE33,LMH_KEY,0)),0)</f>
        <v>1</v>
      </c>
      <c r="BT33" s="38">
        <f>IFERROR(INDEX(LMH_STEP,MATCH(AF33,LMH_KEY,0)),0)</f>
        <v>0</v>
      </c>
      <c r="BU33" s="38">
        <f>IFERROR(INDEX(LMH_STEP,MATCH(AG33,LMH_KEY,0)),0)</f>
        <v>0</v>
      </c>
      <c r="BV33" s="38">
        <f>IFERROR(INDEX(LMH_STEP,MATCH(AH33,LMH_KEY,0)),0)</f>
        <v>0</v>
      </c>
      <c r="BW33" s="38">
        <f>IFERROR(INDEX(LMH_STEP,MATCH(AI33,LMH_KEY,0)),0)</f>
        <v>0</v>
      </c>
      <c r="BX33" s="38">
        <f>IFERROR(INDEX(LMH_STEP,MATCH(AJ33,LMH_KEY,0)),0)</f>
        <v>0</v>
      </c>
      <c r="BY33" s="38">
        <f>IFERROR(INDEX(LMH_STEP,MATCH(AK33,LMH_KEY,0)),0)</f>
        <v>0</v>
      </c>
      <c r="BZ33" s="38">
        <f>IFERROR(INDEX(LMH_STEP,MATCH(AL33,LMH_KEY,0)),0)</f>
        <v>0</v>
      </c>
      <c r="CA33" s="38" t="inlineStr">
        <is>
          <t>CARBON|Services|Senior Financial Analyst|A3|A</t>
        </is>
      </c>
    </row>
    <row r="34" ht="110" customHeight="1">
      <c r="A34" s="28" t="inlineStr">
        <is>
          <t>CARBON</t>
        </is>
      </c>
      <c r="B34" s="29" t="inlineStr">
        <is>
          <t>Services</t>
        </is>
      </c>
      <c r="C34" s="29" t="n">
        <v>7</v>
      </c>
      <c r="D34" s="29" t="inlineStr">
        <is>
          <t>IRIS2120</t>
        </is>
      </c>
      <c r="E34" s="29" t="inlineStr">
        <is>
          <t>Rohit Sawant</t>
        </is>
      </c>
      <c r="F34" s="29" t="inlineStr">
        <is>
          <t>Financial Analyst</t>
        </is>
      </c>
      <c r="G34" s="29" t="inlineStr">
        <is>
          <t>Senior Financial Analyst</t>
        </is>
      </c>
      <c r="H34" s="29" t="inlineStr">
        <is>
          <t>Consulting &amp; Professional Services</t>
        </is>
      </c>
      <c r="I34" s="29" t="inlineStr">
        <is>
          <t>XBRL Tagging, Conversion &amp; Filing</t>
        </is>
      </c>
      <c r="J34" s="29" t="inlineStr">
        <is>
          <t>IC</t>
        </is>
      </c>
      <c r="K34" s="29" t="inlineStr">
        <is>
          <t>RC-025</t>
        </is>
      </c>
      <c r="L34" s="29" t="inlineStr">
        <is>
          <t>Mohammed Dholkawala</t>
        </is>
      </c>
      <c r="M34" s="29" t="inlineStr">
        <is>
          <t>IRIS0977</t>
        </is>
      </c>
      <c r="N34" s="29" t="n">
        <v>7.4</v>
      </c>
      <c r="O34" s="29" t="n">
        <v>3.4</v>
      </c>
      <c r="P34" s="29" t="inlineStr">
        <is>
          <t>B.Com</t>
        </is>
      </c>
      <c r="Q34" s="29" t="inlineStr">
        <is>
          <t>L3 – Professional / Associate</t>
        </is>
      </c>
      <c r="R34" s="29" t="inlineStr">
        <is>
          <t>A3</t>
        </is>
      </c>
      <c r="S34" s="30" t="inlineStr">
        <is>
          <t>19 of 20</t>
        </is>
      </c>
      <c r="T34" s="31" t="inlineStr">
        <is>
          <t>• Role / sub-team: XBRL tagging in Us service team; US XBRL tagging.</t>
        </is>
      </c>
      <c r="U3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4" s="31" t="inlineStr">
        <is>
          <t>Latest rating: 2 · Potential: Low · 9-box: Reliable Specialist · Readiness: Performance first</t>
        </is>
      </c>
      <c r="W34" s="31" t="inlineStr">
        <is>
          <t>C L · Au L · Ac L · L L · BI M · Exp H · 7.4 yrs vs 2–4 yrs · Edu M · B.Com</t>
        </is>
      </c>
      <c r="X34" s="33" t="inlineStr">
        <is>
          <t>Open ▸</t>
        </is>
      </c>
      <c r="Y34" s="34" t="str">
        <f>IFERROR(INDEX(DL_C,MATCH($CA34,DL_KEY,0)),"M")</f>
        <v>H</v>
      </c>
      <c r="Z34" s="35" t="str">
        <f>IFERROR(INDEX(DL_Au,MATCH($CA34,DL_KEY,0)),"M")</f>
        <v>M</v>
      </c>
      <c r="AA34" s="35" t="str">
        <f>IFERROR(INDEX(DL_Ac,MATCH($CA34,DL_KEY,0)),"M")</f>
        <v>M</v>
      </c>
      <c r="AB34" s="35" t="str">
        <f>IFERROR(INDEX(DL_L,MATCH($CA34,DL_KEY,0)),"M")</f>
        <v>L</v>
      </c>
      <c r="AC34" s="35" t="str">
        <f>IFERROR(INDEX(DL_BI,MATCH($CA34,DL_KEY,0)),"M")</f>
        <v>L</v>
      </c>
      <c r="AD34" s="35" t="str">
        <f>IFERROR(INDEX(DL_Exp,MATCH($CA34,DL_KEY,0)),"M")</f>
        <v>L</v>
      </c>
      <c r="AE34" s="35" t="str">
        <f>IFERROR(INDEX(DL_Edu,MATCH($CA34,DL_KEY,0)),"M")</f>
        <v>L</v>
      </c>
      <c r="AF34" s="34" t="inlineStr">
        <is>
          <t>M</t>
        </is>
      </c>
      <c r="AG34" s="35" t="inlineStr">
        <is>
          <t>M</t>
        </is>
      </c>
      <c r="AH34" s="35" t="inlineStr">
        <is>
          <t>M</t>
        </is>
      </c>
      <c r="AI34" s="35" t="inlineStr">
        <is>
          <t>M</t>
        </is>
      </c>
      <c r="AJ34" s="35" t="inlineStr">
        <is>
          <t>M</t>
        </is>
      </c>
      <c r="AK34" s="35" t="inlineStr">
        <is>
          <t>M</t>
        </is>
      </c>
      <c r="AL34" s="35" t="inlineStr">
        <is>
          <t>M</t>
        </is>
      </c>
      <c r="AM34" s="36" t="n">
        <v>0.583</v>
      </c>
      <c r="AN34" s="37" t="n">
        <v>0.16</v>
      </c>
      <c r="AO34" s="37" t="n">
        <v>0.09</v>
      </c>
      <c r="AP34" s="37" t="n">
        <v>0</v>
      </c>
      <c r="AQ34" s="37" t="n">
        <v>0.063</v>
      </c>
      <c r="AR34" s="37" t="n">
        <v>0.06</v>
      </c>
      <c r="AS34" s="37" t="n">
        <v>0.04</v>
      </c>
      <c r="AT34" s="38" t="inlineStr">
        <is>
          <t>2–5</t>
        </is>
      </c>
      <c r="AU34" s="38" t="inlineStr">
        <is>
          <t>Graduate; relevant certification preferred</t>
        </is>
      </c>
      <c r="AV34" s="38" t="inlineStr">
        <is>
          <t>None · guides 1–3 juniors informally</t>
        </is>
      </c>
      <c r="AW34" s="38" t="inlineStr">
        <is>
          <t>P2 · SFIA 3 Apply</t>
        </is>
      </c>
      <c r="AX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 s="39" t="inlineStr">
        <is>
          <t>A3</t>
        </is>
      </c>
      <c r="AZ34" s="40" t="inlineStr">
        <is>
          <t>Band A · Practitioner · Senior Associate</t>
        </is>
      </c>
      <c r="BA34" s="40" t="inlineStr">
        <is>
          <t>Model A3 from the six ratings, the market-derived weights and rules R1–R13 · then No change · already below the manager</t>
        </is>
      </c>
      <c r="BB34" s="41" t="inlineStr">
        <is>
          <t>A2</t>
        </is>
      </c>
      <c r="BC34" s="40" t="inlineStr">
        <is>
          <t>The six ratings on the market-average weights of Band A · all tracks score 2.33 → A2 · Hay, Mercer IPE and public plans · experience 7.4 yrs vs the A2 market range 0–3</t>
        </is>
      </c>
      <c r="BD34" s="42">
        <f>IF(SUM(BM34,BN34,BO34,BP34,BQ34,BR34,BS34)=0,0,(BM34*BT34+BN34*BU34+BO34*BV34+BP34*BW34+BQ34*BX34+BR34*BY34+BS34*BZ34)/SUM(BM34,BN34,BO34,BP34,BQ34,BR34,BS34))</f>
        <v>0</v>
      </c>
      <c r="BE34" s="41" t="str">
        <f>IF(LEFT(AY34,1)="X",AY34,IF(OR(AY34="B+",AY34="C+"),INDEX(LAD_PC,MAX(1,MIN(14,MATCH(AY34,LAD_PC,0)+IF(BD34&gt;=0.5,1,IF(BD34&lt;=-0.5,-1,0))))),INDEX(LAD_STD,MAX(1,MIN(12,MATCH(AY34,LAD_STD,0)+IF(BD34&gt;=0.5,1,IF(BD34&lt;=-0.5,-1,0)))))))</f>
        <v>A3</v>
      </c>
      <c r="BF34" s="43" t="n"/>
      <c r="BG34" s="41" t="str">
        <f>IF(BF34&lt;&gt;"",BF34,BE34)</f>
        <v>A3</v>
      </c>
      <c r="BH34" s="40" t="str">
        <f>IFERROR(CHOOSE(INDEX(B_RANK,MATCH(BG34,B_LVL,0)),"Band A","Band B","B+ · Player-Coach","Band C","C+ · Player-Coach","Band D","Band E"),"Band X · Consultant")</f>
        <v>Band A</v>
      </c>
      <c r="BI34" s="40" t="str">
        <f>IF(BG34=AY34,"• Same",IF(INDEX(B_VAL,MATCH(BG34,B_LVL,0))&gt;INDEX(B_VAL,MATCH(AY34,B_LVL,0)),"▲ Up","▼ Down"))</f>
        <v>• Same</v>
      </c>
      <c r="BJ34" s="40" t="str">
        <f>IF(OR($M34="",$M34="—",$M34="Not in this file"),"",IFERROR(INDEX($BG$7:$BG$592,MATCH($M34,$D$7:$D$592,0)),""))</f>
        <v>B1</v>
      </c>
      <c r="BK34" s="40" t="str">
        <f>IFERROR(IF(BJ34="","—",IF(OR(LEFT(BG34,1)="X",LEFT(BJ34,1)="X"),"—",IF(AND(LEFT(BG34,1)="E",LEFT(BJ34,1)="E"),"Exception · Band E",IF(AND(INDEX(B_VAL,MATCH(BJ34,B_LVL,0))&gt;=7,INDEX(B_RANK,MATCH(BG34,B_LVL,0))&gt;=INDEX(B_RANK,MATCH(BJ34,B_LVL,0))),"⚠ Same band as a head manager",IF(INDEX(B_VAL,MATCH(BG34,B_LVL,0))&gt;=INDEX(B_VAL,MATCH(BJ34,B_LVL,0)),"⚠ At or above the manager's level","OK"))))),"—")</f>
        <v>OK</v>
      </c>
      <c r="BL34" s="43" t="n"/>
      <c r="BM34" s="44">
        <f>IFERROR(INDEX(LMH_PTS,MATCH(Y34,LMH_KEY,0)),0)</f>
        <v>9</v>
      </c>
      <c r="BN34" s="38">
        <f>IFERROR(INDEX(LMH_PTS,MATCH(Z34,LMH_KEY,0)),0)</f>
        <v>3</v>
      </c>
      <c r="BO34" s="38">
        <f>IFERROR(INDEX(LMH_PTS,MATCH(AA34,LMH_KEY,0)),0)</f>
        <v>3</v>
      </c>
      <c r="BP34" s="38">
        <f>IFERROR(INDEX(LMH_PTS,MATCH(AB34,LMH_KEY,0)),0)</f>
        <v>1</v>
      </c>
      <c r="BQ34" s="38">
        <f>IFERROR(INDEX(LMH_PTS,MATCH(AC34,LMH_KEY,0)),0)</f>
        <v>1</v>
      </c>
      <c r="BR34" s="38">
        <f>IFERROR(INDEX(LMH_PTS,MATCH(AD34,LMH_KEY,0)),0)</f>
        <v>1</v>
      </c>
      <c r="BS34" s="38">
        <f>IFERROR(INDEX(LMH_PTS,MATCH(AE34,LMH_KEY,0)),0)</f>
        <v>1</v>
      </c>
      <c r="BT34" s="38">
        <f>IFERROR(INDEX(LMH_STEP,MATCH(AF34,LMH_KEY,0)),0)</f>
        <v>0</v>
      </c>
      <c r="BU34" s="38">
        <f>IFERROR(INDEX(LMH_STEP,MATCH(AG34,LMH_KEY,0)),0)</f>
        <v>0</v>
      </c>
      <c r="BV34" s="38">
        <f>IFERROR(INDEX(LMH_STEP,MATCH(AH34,LMH_KEY,0)),0)</f>
        <v>0</v>
      </c>
      <c r="BW34" s="38">
        <f>IFERROR(INDEX(LMH_STEP,MATCH(AI34,LMH_KEY,0)),0)</f>
        <v>0</v>
      </c>
      <c r="BX34" s="38">
        <f>IFERROR(INDEX(LMH_STEP,MATCH(AJ34,LMH_KEY,0)),0)</f>
        <v>0</v>
      </c>
      <c r="BY34" s="38">
        <f>IFERROR(INDEX(LMH_STEP,MATCH(AK34,LMH_KEY,0)),0)</f>
        <v>0</v>
      </c>
      <c r="BZ34" s="38">
        <f>IFERROR(INDEX(LMH_STEP,MATCH(AL34,LMH_KEY,0)),0)</f>
        <v>0</v>
      </c>
      <c r="CA34" s="38" t="inlineStr">
        <is>
          <t>CARBON|Services|Senior Financial Analyst|A3|A</t>
        </is>
      </c>
    </row>
    <row r="35" ht="110" customHeight="1">
      <c r="A35" s="28" t="inlineStr">
        <is>
          <t>CARBON</t>
        </is>
      </c>
      <c r="B35" s="29" t="inlineStr">
        <is>
          <t>Services</t>
        </is>
      </c>
      <c r="C35" s="29" t="n">
        <v>7</v>
      </c>
      <c r="D35" s="29" t="inlineStr">
        <is>
          <t>IRIS1934</t>
        </is>
      </c>
      <c r="E35" s="29" t="inlineStr">
        <is>
          <t>Sagar Barbade</t>
        </is>
      </c>
      <c r="F35" s="29" t="inlineStr">
        <is>
          <t>Senior Financial Analyst</t>
        </is>
      </c>
      <c r="G35" s="29" t="inlineStr">
        <is>
          <t>XBRL Specialist</t>
        </is>
      </c>
      <c r="H35" s="29" t="inlineStr">
        <is>
          <t>Consulting &amp; Professional Services</t>
        </is>
      </c>
      <c r="I35" s="29" t="inlineStr">
        <is>
          <t>XBRL Tagging, Conversion &amp; Filing</t>
        </is>
      </c>
      <c r="J35" s="29" t="inlineStr">
        <is>
          <t>IC</t>
        </is>
      </c>
      <c r="K35" s="29" t="inlineStr">
        <is>
          <t>RC-025</t>
        </is>
      </c>
      <c r="L35" s="29" t="inlineStr">
        <is>
          <t>Mohammed Dholkawala</t>
        </is>
      </c>
      <c r="M35" s="29" t="inlineStr">
        <is>
          <t>IRIS0977</t>
        </is>
      </c>
      <c r="N35" s="29" t="n">
        <v>9.199999999999999</v>
      </c>
      <c r="O35" s="29" t="n">
        <v>5.2</v>
      </c>
      <c r="P35" s="29" t="inlineStr">
        <is>
          <t>MBA</t>
        </is>
      </c>
      <c r="Q35" s="29" t="inlineStr">
        <is>
          <t>L4 – Senior</t>
        </is>
      </c>
      <c r="R35" s="29" t="inlineStr">
        <is>
          <t>A3</t>
        </is>
      </c>
      <c r="S35" s="30" t="inlineStr">
        <is>
          <t>20 of 20</t>
        </is>
      </c>
      <c r="T35" s="31" t="inlineStr">
        <is>
          <t>• Role / sub-team: XBRL tagging in Us service team; US XBRL tagging.</t>
        </is>
      </c>
      <c r="U3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5" s="31" t="inlineStr">
        <is>
          <t>Latest rating: 4 · Potential: High · 9-box: Core Contributor · Readiness: Ready now</t>
        </is>
      </c>
      <c r="W35" s="31" t="inlineStr">
        <is>
          <t>C M · Au M · Ac M · L M · BI M · Exp H · 9.2 yrs vs 2–4 yrs · Edu H · MBA</t>
        </is>
      </c>
      <c r="X35" s="33" t="inlineStr">
        <is>
          <t>Open ▸</t>
        </is>
      </c>
      <c r="Y35" s="34" t="str">
        <f>IFERROR(INDEX(DL_C,MATCH($CA35,DL_KEY,0)),"M")</f>
        <v>H</v>
      </c>
      <c r="Z35" s="35" t="str">
        <f>IFERROR(INDEX(DL_Au,MATCH($CA35,DL_KEY,0)),"M")</f>
        <v>M</v>
      </c>
      <c r="AA35" s="35" t="str">
        <f>IFERROR(INDEX(DL_Ac,MATCH($CA35,DL_KEY,0)),"M")</f>
        <v>M</v>
      </c>
      <c r="AB35" s="35" t="str">
        <f>IFERROR(INDEX(DL_L,MATCH($CA35,DL_KEY,0)),"M")</f>
        <v>L</v>
      </c>
      <c r="AC35" s="35" t="str">
        <f>IFERROR(INDEX(DL_BI,MATCH($CA35,DL_KEY,0)),"M")</f>
        <v>L</v>
      </c>
      <c r="AD35" s="35" t="str">
        <f>IFERROR(INDEX(DL_Exp,MATCH($CA35,DL_KEY,0)),"M")</f>
        <v>L</v>
      </c>
      <c r="AE35" s="35" t="str">
        <f>IFERROR(INDEX(DL_Edu,MATCH($CA35,DL_KEY,0)),"M")</f>
        <v>L</v>
      </c>
      <c r="AF35" s="34" t="inlineStr">
        <is>
          <t>M</t>
        </is>
      </c>
      <c r="AG35" s="35" t="inlineStr">
        <is>
          <t>M</t>
        </is>
      </c>
      <c r="AH35" s="35" t="inlineStr">
        <is>
          <t>M</t>
        </is>
      </c>
      <c r="AI35" s="35" t="inlineStr">
        <is>
          <t>M</t>
        </is>
      </c>
      <c r="AJ35" s="35" t="inlineStr">
        <is>
          <t>M</t>
        </is>
      </c>
      <c r="AK35" s="35" t="inlineStr">
        <is>
          <t>M</t>
        </is>
      </c>
      <c r="AL35" s="35" t="inlineStr">
        <is>
          <t>M</t>
        </is>
      </c>
      <c r="AM35" s="36" t="n">
        <v>0.583</v>
      </c>
      <c r="AN35" s="37" t="n">
        <v>0.16</v>
      </c>
      <c r="AO35" s="37" t="n">
        <v>0.09</v>
      </c>
      <c r="AP35" s="37" t="n">
        <v>0</v>
      </c>
      <c r="AQ35" s="37" t="n">
        <v>0.063</v>
      </c>
      <c r="AR35" s="37" t="n">
        <v>0.06</v>
      </c>
      <c r="AS35" s="37" t="n">
        <v>0.04</v>
      </c>
      <c r="AT35" s="38" t="inlineStr">
        <is>
          <t>2–5</t>
        </is>
      </c>
      <c r="AU35" s="38" t="inlineStr">
        <is>
          <t>Graduate; relevant certification preferred</t>
        </is>
      </c>
      <c r="AV35" s="38" t="inlineStr">
        <is>
          <t>None · guides 1–3 juniors informally</t>
        </is>
      </c>
      <c r="AW35" s="38" t="inlineStr">
        <is>
          <t>P2 · SFIA 3 Apply</t>
        </is>
      </c>
      <c r="AX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 s="39" t="inlineStr">
        <is>
          <t>A3</t>
        </is>
      </c>
      <c r="AZ35" s="40" t="inlineStr">
        <is>
          <t>Band A · Practitioner · Senior Associate</t>
        </is>
      </c>
      <c r="BA35" s="40" t="inlineStr">
        <is>
          <t>Model A3 from the six ratings, the market-derived weights and rules R1–R13 · then No change · already below the manager</t>
        </is>
      </c>
      <c r="BB35" s="41" t="inlineStr">
        <is>
          <t>A3</t>
        </is>
      </c>
      <c r="BC35" s="40" t="inlineStr">
        <is>
          <t>The six ratings on the market-average weights of Band A · all tracks score 3.41 → A3 · Hay, Mercer IPE and public plans · experience 9.2 yrs vs the A3 market range 2–5</t>
        </is>
      </c>
      <c r="BD35" s="42">
        <f>IF(SUM(BM35,BN35,BO35,BP35,BQ35,BR35,BS35)=0,0,(BM35*BT35+BN35*BU35+BO35*BV35+BP35*BW35+BQ35*BX35+BR35*BY35+BS35*BZ35)/SUM(BM35,BN35,BO35,BP35,BQ35,BR35,BS35))</f>
        <v>0</v>
      </c>
      <c r="BE35" s="41" t="str">
        <f>IF(LEFT(AY35,1)="X",AY35,IF(OR(AY35="B+",AY35="C+"),INDEX(LAD_PC,MAX(1,MIN(14,MATCH(AY35,LAD_PC,0)+IF(BD35&gt;=0.5,1,IF(BD35&lt;=-0.5,-1,0))))),INDEX(LAD_STD,MAX(1,MIN(12,MATCH(AY35,LAD_STD,0)+IF(BD35&gt;=0.5,1,IF(BD35&lt;=-0.5,-1,0)))))))</f>
        <v>A3</v>
      </c>
      <c r="BF35" s="43" t="n"/>
      <c r="BG35" s="41" t="str">
        <f>IF(BF35&lt;&gt;"",BF35,BE35)</f>
        <v>A3</v>
      </c>
      <c r="BH35" s="40" t="str">
        <f>IFERROR(CHOOSE(INDEX(B_RANK,MATCH(BG35,B_LVL,0)),"Band A","Band B","B+ · Player-Coach","Band C","C+ · Player-Coach","Band D","Band E"),"Band X · Consultant")</f>
        <v>Band A</v>
      </c>
      <c r="BI35" s="40" t="str">
        <f>IF(BG35=AY35,"• Same",IF(INDEX(B_VAL,MATCH(BG35,B_LVL,0))&gt;INDEX(B_VAL,MATCH(AY35,B_LVL,0)),"▲ Up","▼ Down"))</f>
        <v>• Same</v>
      </c>
      <c r="BJ35" s="40" t="str">
        <f>IF(OR($M35="",$M35="—",$M35="Not in this file"),"",IFERROR(INDEX($BG$7:$BG$592,MATCH($M35,$D$7:$D$592,0)),""))</f>
        <v>B1</v>
      </c>
      <c r="BK35" s="40" t="str">
        <f>IFERROR(IF(BJ35="","—",IF(OR(LEFT(BG35,1)="X",LEFT(BJ35,1)="X"),"—",IF(AND(LEFT(BG35,1)="E",LEFT(BJ35,1)="E"),"Exception · Band E",IF(AND(INDEX(B_VAL,MATCH(BJ35,B_LVL,0))&gt;=7,INDEX(B_RANK,MATCH(BG35,B_LVL,0))&gt;=INDEX(B_RANK,MATCH(BJ35,B_LVL,0))),"⚠ Same band as a head manager",IF(INDEX(B_VAL,MATCH(BG35,B_LVL,0))&gt;=INDEX(B_VAL,MATCH(BJ35,B_LVL,0)),"⚠ At or above the manager's level","OK"))))),"—")</f>
        <v>OK</v>
      </c>
      <c r="BL35" s="43" t="n"/>
      <c r="BM35" s="44">
        <f>IFERROR(INDEX(LMH_PTS,MATCH(Y35,LMH_KEY,0)),0)</f>
        <v>9</v>
      </c>
      <c r="BN35" s="38">
        <f>IFERROR(INDEX(LMH_PTS,MATCH(Z35,LMH_KEY,0)),0)</f>
        <v>3</v>
      </c>
      <c r="BO35" s="38">
        <f>IFERROR(INDEX(LMH_PTS,MATCH(AA35,LMH_KEY,0)),0)</f>
        <v>3</v>
      </c>
      <c r="BP35" s="38">
        <f>IFERROR(INDEX(LMH_PTS,MATCH(AB35,LMH_KEY,0)),0)</f>
        <v>1</v>
      </c>
      <c r="BQ35" s="38">
        <f>IFERROR(INDEX(LMH_PTS,MATCH(AC35,LMH_KEY,0)),0)</f>
        <v>1</v>
      </c>
      <c r="BR35" s="38">
        <f>IFERROR(INDEX(LMH_PTS,MATCH(AD35,LMH_KEY,0)),0)</f>
        <v>1</v>
      </c>
      <c r="BS35" s="38">
        <f>IFERROR(INDEX(LMH_PTS,MATCH(AE35,LMH_KEY,0)),0)</f>
        <v>1</v>
      </c>
      <c r="BT35" s="38">
        <f>IFERROR(INDEX(LMH_STEP,MATCH(AF35,LMH_KEY,0)),0)</f>
        <v>0</v>
      </c>
      <c r="BU35" s="38">
        <f>IFERROR(INDEX(LMH_STEP,MATCH(AG35,LMH_KEY,0)),0)</f>
        <v>0</v>
      </c>
      <c r="BV35" s="38">
        <f>IFERROR(INDEX(LMH_STEP,MATCH(AH35,LMH_KEY,0)),0)</f>
        <v>0</v>
      </c>
      <c r="BW35" s="38">
        <f>IFERROR(INDEX(LMH_STEP,MATCH(AI35,LMH_KEY,0)),0)</f>
        <v>0</v>
      </c>
      <c r="BX35" s="38">
        <f>IFERROR(INDEX(LMH_STEP,MATCH(AJ35,LMH_KEY,0)),0)</f>
        <v>0</v>
      </c>
      <c r="BY35" s="38">
        <f>IFERROR(INDEX(LMH_STEP,MATCH(AK35,LMH_KEY,0)),0)</f>
        <v>0</v>
      </c>
      <c r="BZ35" s="38">
        <f>IFERROR(INDEX(LMH_STEP,MATCH(AL35,LMH_KEY,0)),0)</f>
        <v>0</v>
      </c>
      <c r="CA35" s="38" t="inlineStr">
        <is>
          <t>CARBON|Services|XBRL Specialist|A3|A</t>
        </is>
      </c>
    </row>
    <row r="36" ht="110" customHeight="1">
      <c r="A36" s="28" t="inlineStr">
        <is>
          <t>CARBON</t>
        </is>
      </c>
      <c r="B36" s="29" t="inlineStr">
        <is>
          <t>Services</t>
        </is>
      </c>
      <c r="C36" s="29" t="n">
        <v>6</v>
      </c>
      <c r="D36" s="29" t="inlineStr">
        <is>
          <t>IRIS0589</t>
        </is>
      </c>
      <c r="E36" s="29" t="inlineStr">
        <is>
          <t>Mohammed Sameer Shamsudin</t>
        </is>
      </c>
      <c r="F36" s="29" t="inlineStr">
        <is>
          <t>Lead - Assisted Services</t>
        </is>
      </c>
      <c r="G36" s="29" t="inlineStr">
        <is>
          <t>Senior QA Specialist – POD Lead</t>
        </is>
      </c>
      <c r="H36" s="29" t="inlineStr">
        <is>
          <t>Quality Assurance</t>
        </is>
      </c>
      <c r="I36" s="29" t="inlineStr">
        <is>
          <t>Functional &amp; Domain Testing</t>
        </is>
      </c>
      <c r="J36" s="29" t="inlineStr">
        <is>
          <t>POD Lead</t>
        </is>
      </c>
      <c r="K36" s="29" t="inlineStr">
        <is>
          <t>RC-144</t>
        </is>
      </c>
      <c r="L36" s="29" t="inlineStr">
        <is>
          <t>Shashikant Mudaliar</t>
        </is>
      </c>
      <c r="M36" s="29" t="inlineStr">
        <is>
          <t>IRIS0786</t>
        </is>
      </c>
      <c r="N36" s="29" t="n">
        <v>15.5</v>
      </c>
      <c r="O36" s="29" t="n">
        <v>15.5</v>
      </c>
      <c r="P36" s="29" t="inlineStr">
        <is>
          <t>B.Com</t>
        </is>
      </c>
      <c r="Q36" s="29" t="inlineStr">
        <is>
          <t>L5 – Lead · IC</t>
        </is>
      </c>
      <c r="R36" s="29" t="inlineStr">
        <is>
          <t>B2</t>
        </is>
      </c>
      <c r="S36" s="30" t="inlineStr">
        <is>
          <t>20 of 20</t>
        </is>
      </c>
      <c r="T36" s="31" t="inlineStr">
        <is>
          <t>• Role / sub-team: AI Testing.</t>
        </is>
      </c>
      <c r="U36"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6" s="31" t="inlineStr">
        <is>
          <t>Latest rating: 3 · Potential: Medium · 9-box: Core Contributor · Readiness: Develop in role</t>
        </is>
      </c>
      <c r="W36" s="31" t="inlineStr">
        <is>
          <t>C M · Au M · Ac M · L M · BI M · Exp H · 15.5 yrs vs 4–7 yrs · Edu M · B.Com</t>
        </is>
      </c>
      <c r="X36" s="33" t="inlineStr">
        <is>
          <t>Open ▸</t>
        </is>
      </c>
      <c r="Y36" s="34" t="str">
        <f>IFERROR(INDEX(DL_C,MATCH($CA36,DL_KEY,0)),"M")</f>
        <v>H</v>
      </c>
      <c r="Z36" s="35" t="str">
        <f>IFERROR(INDEX(DL_Au,MATCH($CA36,DL_KEY,0)),"M")</f>
        <v>M</v>
      </c>
      <c r="AA36" s="35" t="str">
        <f>IFERROR(INDEX(DL_Ac,MATCH($CA36,DL_KEY,0)),"M")</f>
        <v>L</v>
      </c>
      <c r="AB36" s="35" t="str">
        <f>IFERROR(INDEX(DL_L,MATCH($CA36,DL_KEY,0)),"M")</f>
        <v>L</v>
      </c>
      <c r="AC36" s="35" t="str">
        <f>IFERROR(INDEX(DL_BI,MATCH($CA36,DL_KEY,0)),"M")</f>
        <v>L</v>
      </c>
      <c r="AD36" s="35" t="str">
        <f>IFERROR(INDEX(DL_Exp,MATCH($CA36,DL_KEY,0)),"M")</f>
        <v>L</v>
      </c>
      <c r="AE36" s="35" t="str">
        <f>IFERROR(INDEX(DL_Edu,MATCH($CA36,DL_KEY,0)),"M")</f>
        <v>L</v>
      </c>
      <c r="AF36" s="34" t="inlineStr">
        <is>
          <t>M</t>
        </is>
      </c>
      <c r="AG36" s="35" t="inlineStr">
        <is>
          <t>M</t>
        </is>
      </c>
      <c r="AH36" s="35" t="inlineStr">
        <is>
          <t>M</t>
        </is>
      </c>
      <c r="AI36" s="35" t="inlineStr">
        <is>
          <t>M</t>
        </is>
      </c>
      <c r="AJ36" s="35" t="inlineStr">
        <is>
          <t>M</t>
        </is>
      </c>
      <c r="AK36" s="35" t="inlineStr">
        <is>
          <t>M</t>
        </is>
      </c>
      <c r="AL36" s="35" t="inlineStr">
        <is>
          <t>M</t>
        </is>
      </c>
      <c r="AM36" s="36" t="n">
        <v>0.513</v>
      </c>
      <c r="AN36" s="37" t="n">
        <v>0.173</v>
      </c>
      <c r="AO36" s="37" t="n">
        <v>0.09699999999999999</v>
      </c>
      <c r="AP36" s="37" t="n">
        <v>0.05</v>
      </c>
      <c r="AQ36" s="37" t="n">
        <v>0.07000000000000001</v>
      </c>
      <c r="AR36" s="37" t="n">
        <v>0.06</v>
      </c>
      <c r="AS36" s="37" t="n">
        <v>0.04</v>
      </c>
      <c r="AT36" s="38" t="inlineStr">
        <is>
          <t>4–8</t>
        </is>
      </c>
      <c r="AU36" s="38" t="inlineStr">
        <is>
          <t>Graduate + relevant qualification or certification preferred</t>
        </is>
      </c>
      <c r="AV36" s="38" t="inlineStr">
        <is>
          <t>IC: none · Team Lead: 3–5</t>
        </is>
      </c>
      <c r="AW36" s="38" t="inlineStr">
        <is>
          <t>P3 / M2 · SFIA 4 Enable</t>
        </is>
      </c>
      <c r="AX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 s="39" t="inlineStr">
        <is>
          <t>B1</t>
        </is>
      </c>
      <c r="AZ36" s="40" t="inlineStr">
        <is>
          <t>Band B · Specialist / Manager · Team Lead / Asst Manager</t>
        </is>
      </c>
      <c r="BA36" s="40" t="inlineStr">
        <is>
          <t>Model B2 from the six ratings, the market-derived weights and rules R1–R13 · then Level rule: manager B2; a reportee sits at least one level below · B2 → B1 · move down · pay and title protected for one cycle</t>
        </is>
      </c>
      <c r="BB36" s="41" t="inlineStr">
        <is>
          <t>B2</t>
        </is>
      </c>
      <c r="BC36" s="40" t="inlineStr">
        <is>
          <t>The six ratings on the market-average weights of Band B · Specialist / POD Lead score 4.57 → B2 · Hay, Mercer IPE and public plans · experience 15.5 yrs vs the B2 market range 6–10</t>
        </is>
      </c>
      <c r="BD36" s="42">
        <f>IF(SUM(BM36,BN36,BO36,BP36,BQ36,BR36,BS36)=0,0,(BM36*BT36+BN36*BU36+BO36*BV36+BP36*BW36+BQ36*BX36+BR36*BY36+BS36*BZ36)/SUM(BM36,BN36,BO36,BP36,BQ36,BR36,BS36))</f>
        <v>0</v>
      </c>
      <c r="BE36" s="41" t="str">
        <f>IF(LEFT(AY36,1)="X",AY36,IF(OR(AY36="B+",AY36="C+"),INDEX(LAD_PC,MAX(1,MIN(14,MATCH(AY36,LAD_PC,0)+IF(BD36&gt;=0.5,1,IF(BD36&lt;=-0.5,-1,0))))),INDEX(LAD_STD,MAX(1,MIN(12,MATCH(AY36,LAD_STD,0)+IF(BD36&gt;=0.5,1,IF(BD36&lt;=-0.5,-1,0)))))))</f>
        <v>B1</v>
      </c>
      <c r="BF36" s="43" t="n"/>
      <c r="BG36" s="41" t="str">
        <f>IF(BF36&lt;&gt;"",BF36,BE36)</f>
        <v>B1</v>
      </c>
      <c r="BH36" s="40" t="str">
        <f>IFERROR(CHOOSE(INDEX(B_RANK,MATCH(BG36,B_LVL,0)),"Band A","Band B","B+ · Player-Coach","Band C","C+ · Player-Coach","Band D","Band E"),"Band X · Consultant")</f>
        <v>Band B</v>
      </c>
      <c r="BI36" s="40" t="str">
        <f>IF(BG36=AY36,"• Same",IF(INDEX(B_VAL,MATCH(BG36,B_LVL,0))&gt;INDEX(B_VAL,MATCH(AY36,B_LVL,0)),"▲ Up","▼ Down"))</f>
        <v>• Same</v>
      </c>
      <c r="BJ36" s="40" t="str">
        <f>IF(OR($M36="",$M36="—",$M36="Not in this file"),"",IFERROR(INDEX($BG$7:$BG$592,MATCH($M36,$D$7:$D$592,0)),""))</f>
        <v>B2</v>
      </c>
      <c r="BK36" s="40" t="str">
        <f>IFERROR(IF(BJ36="","—",IF(OR(LEFT(BG36,1)="X",LEFT(BJ36,1)="X"),"—",IF(AND(LEFT(BG36,1)="E",LEFT(BJ36,1)="E"),"Exception · Band E",IF(AND(INDEX(B_VAL,MATCH(BJ36,B_LVL,0))&gt;=7,INDEX(B_RANK,MATCH(BG36,B_LVL,0))&gt;=INDEX(B_RANK,MATCH(BJ36,B_LVL,0))),"⚠ Same band as a head manager",IF(INDEX(B_VAL,MATCH(BG36,B_LVL,0))&gt;=INDEX(B_VAL,MATCH(BJ36,B_LVL,0)),"⚠ At or above the manager's level","OK"))))),"—")</f>
        <v>OK</v>
      </c>
      <c r="BL36" s="43" t="n"/>
      <c r="BM36" s="44">
        <f>IFERROR(INDEX(LMH_PTS,MATCH(Y36,LMH_KEY,0)),0)</f>
        <v>9</v>
      </c>
      <c r="BN36" s="38">
        <f>IFERROR(INDEX(LMH_PTS,MATCH(Z36,LMH_KEY,0)),0)</f>
        <v>3</v>
      </c>
      <c r="BO36" s="38">
        <f>IFERROR(INDEX(LMH_PTS,MATCH(AA36,LMH_KEY,0)),0)</f>
        <v>1</v>
      </c>
      <c r="BP36" s="38">
        <f>IFERROR(INDEX(LMH_PTS,MATCH(AB36,LMH_KEY,0)),0)</f>
        <v>1</v>
      </c>
      <c r="BQ36" s="38">
        <f>IFERROR(INDEX(LMH_PTS,MATCH(AC36,LMH_KEY,0)),0)</f>
        <v>1</v>
      </c>
      <c r="BR36" s="38">
        <f>IFERROR(INDEX(LMH_PTS,MATCH(AD36,LMH_KEY,0)),0)</f>
        <v>1</v>
      </c>
      <c r="BS36" s="38">
        <f>IFERROR(INDEX(LMH_PTS,MATCH(AE36,LMH_KEY,0)),0)</f>
        <v>1</v>
      </c>
      <c r="BT36" s="38">
        <f>IFERROR(INDEX(LMH_STEP,MATCH(AF36,LMH_KEY,0)),0)</f>
        <v>0</v>
      </c>
      <c r="BU36" s="38">
        <f>IFERROR(INDEX(LMH_STEP,MATCH(AG36,LMH_KEY,0)),0)</f>
        <v>0</v>
      </c>
      <c r="BV36" s="38">
        <f>IFERROR(INDEX(LMH_STEP,MATCH(AH36,LMH_KEY,0)),0)</f>
        <v>0</v>
      </c>
      <c r="BW36" s="38">
        <f>IFERROR(INDEX(LMH_STEP,MATCH(AI36,LMH_KEY,0)),0)</f>
        <v>0</v>
      </c>
      <c r="BX36" s="38">
        <f>IFERROR(INDEX(LMH_STEP,MATCH(AJ36,LMH_KEY,0)),0)</f>
        <v>0</v>
      </c>
      <c r="BY36" s="38">
        <f>IFERROR(INDEX(LMH_STEP,MATCH(AK36,LMH_KEY,0)),0)</f>
        <v>0</v>
      </c>
      <c r="BZ36" s="38">
        <f>IFERROR(INDEX(LMH_STEP,MATCH(AL36,LMH_KEY,0)),0)</f>
        <v>0</v>
      </c>
      <c r="CA36" s="38" t="inlineStr">
        <is>
          <t>CARBON|Services|Senior QA Specialist – POD Lead|B1|B-IC</t>
        </is>
      </c>
    </row>
    <row r="37" ht="110" customHeight="1">
      <c r="A37" s="28" t="inlineStr">
        <is>
          <t>CARBON</t>
        </is>
      </c>
      <c r="B37" s="29" t="inlineStr">
        <is>
          <t>Services</t>
        </is>
      </c>
      <c r="C37" s="29" t="n">
        <v>7</v>
      </c>
      <c r="D37" s="29" t="inlineStr">
        <is>
          <t>IRIS0621</t>
        </is>
      </c>
      <c r="E37" s="29" t="inlineStr">
        <is>
          <t>Anjum Shaikh</t>
        </is>
      </c>
      <c r="F37" s="29" t="inlineStr">
        <is>
          <t>Senior Financial Analyst</t>
        </is>
      </c>
      <c r="G37" s="29" t="inlineStr">
        <is>
          <t>Senior Financial Analyst</t>
        </is>
      </c>
      <c r="H37" s="29" t="inlineStr">
        <is>
          <t>Consulting &amp; Professional Services</t>
        </is>
      </c>
      <c r="I37" s="29" t="inlineStr">
        <is>
          <t>XBRL Tagging, Conversion &amp; Filing</t>
        </is>
      </c>
      <c r="J37" s="29" t="inlineStr">
        <is>
          <t>IC</t>
        </is>
      </c>
      <c r="K37" s="29" t="inlineStr">
        <is>
          <t>RC-025</t>
        </is>
      </c>
      <c r="L37" s="29" t="inlineStr">
        <is>
          <t>Mohammed Sameer Shamsudin</t>
        </is>
      </c>
      <c r="M37" s="29" t="inlineStr">
        <is>
          <t>IRIS0589</t>
        </is>
      </c>
      <c r="N37" s="29" t="n">
        <v>17</v>
      </c>
      <c r="O37" s="29" t="n">
        <v>15.4</v>
      </c>
      <c r="P37" s="29" t="inlineStr">
        <is>
          <t>B.Com</t>
        </is>
      </c>
      <c r="Q37" s="29" t="inlineStr">
        <is>
          <t>L4 – Senior</t>
        </is>
      </c>
      <c r="R37" s="29" t="inlineStr">
        <is>
          <t>A3</t>
        </is>
      </c>
      <c r="S37" s="30" t="inlineStr">
        <is>
          <t>20 of 20</t>
        </is>
      </c>
      <c r="T37" s="31" t="inlineStr">
        <is>
          <t>• Role / sub-team: XBRL Conversion Service.</t>
        </is>
      </c>
      <c r="U3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7" s="31" t="inlineStr">
        <is>
          <t>Latest rating: 3 · Potential: Medium · 9-box: Core Contributor · Readiness: Develop in role</t>
        </is>
      </c>
      <c r="W37" s="31" t="inlineStr">
        <is>
          <t>C M · Au M · Ac M · L L · BI M · Exp H · 17 yrs vs 2–4 yrs · Edu M · B.Com</t>
        </is>
      </c>
      <c r="X37" s="33" t="inlineStr">
        <is>
          <t>Open ▸</t>
        </is>
      </c>
      <c r="Y37" s="34" t="str">
        <f>IFERROR(INDEX(DL_C,MATCH($CA37,DL_KEY,0)),"M")</f>
        <v>H</v>
      </c>
      <c r="Z37" s="35" t="str">
        <f>IFERROR(INDEX(DL_Au,MATCH($CA37,DL_KEY,0)),"M")</f>
        <v>M</v>
      </c>
      <c r="AA37" s="35" t="str">
        <f>IFERROR(INDEX(DL_Ac,MATCH($CA37,DL_KEY,0)),"M")</f>
        <v>M</v>
      </c>
      <c r="AB37" s="35" t="str">
        <f>IFERROR(INDEX(DL_L,MATCH($CA37,DL_KEY,0)),"M")</f>
        <v>L</v>
      </c>
      <c r="AC37" s="35" t="str">
        <f>IFERROR(INDEX(DL_BI,MATCH($CA37,DL_KEY,0)),"M")</f>
        <v>L</v>
      </c>
      <c r="AD37" s="35" t="str">
        <f>IFERROR(INDEX(DL_Exp,MATCH($CA37,DL_KEY,0)),"M")</f>
        <v>L</v>
      </c>
      <c r="AE37" s="35" t="str">
        <f>IFERROR(INDEX(DL_Edu,MATCH($CA37,DL_KEY,0)),"M")</f>
        <v>L</v>
      </c>
      <c r="AF37" s="34" t="inlineStr">
        <is>
          <t>M</t>
        </is>
      </c>
      <c r="AG37" s="35" t="inlineStr">
        <is>
          <t>M</t>
        </is>
      </c>
      <c r="AH37" s="35" t="inlineStr">
        <is>
          <t>M</t>
        </is>
      </c>
      <c r="AI37" s="35" t="inlineStr">
        <is>
          <t>M</t>
        </is>
      </c>
      <c r="AJ37" s="35" t="inlineStr">
        <is>
          <t>M</t>
        </is>
      </c>
      <c r="AK37" s="35" t="inlineStr">
        <is>
          <t>M</t>
        </is>
      </c>
      <c r="AL37" s="35" t="inlineStr">
        <is>
          <t>M</t>
        </is>
      </c>
      <c r="AM37" s="36" t="n">
        <v>0.583</v>
      </c>
      <c r="AN37" s="37" t="n">
        <v>0.16</v>
      </c>
      <c r="AO37" s="37" t="n">
        <v>0.09</v>
      </c>
      <c r="AP37" s="37" t="n">
        <v>0</v>
      </c>
      <c r="AQ37" s="37" t="n">
        <v>0.063</v>
      </c>
      <c r="AR37" s="37" t="n">
        <v>0.06</v>
      </c>
      <c r="AS37" s="37" t="n">
        <v>0.04</v>
      </c>
      <c r="AT37" s="38" t="inlineStr">
        <is>
          <t>2–5</t>
        </is>
      </c>
      <c r="AU37" s="38" t="inlineStr">
        <is>
          <t>Graduate; relevant certification preferred</t>
        </is>
      </c>
      <c r="AV37" s="38" t="inlineStr">
        <is>
          <t>None · guides 1–3 juniors informally</t>
        </is>
      </c>
      <c r="AW37" s="38" t="inlineStr">
        <is>
          <t>P2 · SFIA 3 Apply</t>
        </is>
      </c>
      <c r="AX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 s="39" t="inlineStr">
        <is>
          <t>A3</t>
        </is>
      </c>
      <c r="AZ37" s="40" t="inlineStr">
        <is>
          <t>Band A · Practitioner · Senior Associate</t>
        </is>
      </c>
      <c r="BA37" s="40" t="inlineStr">
        <is>
          <t>Model A3 from the six ratings, the market-derived weights and rules R1–R13 · then No change · already below the manager</t>
        </is>
      </c>
      <c r="BB37" s="41" t="inlineStr">
        <is>
          <t>A3</t>
        </is>
      </c>
      <c r="BC37" s="40" t="inlineStr">
        <is>
          <t>The six ratings on the market-average weights of Band A · all tracks score 3.48 → A3 · Hay, Mercer IPE and public plans · experience 17 yrs vs the A3 market range 2–5</t>
        </is>
      </c>
      <c r="BD37" s="42">
        <f>IF(SUM(BM37,BN37,BO37,BP37,BQ37,BR37,BS37)=0,0,(BM37*BT37+BN37*BU37+BO37*BV37+BP37*BW37+BQ37*BX37+BR37*BY37+BS37*BZ37)/SUM(BM37,BN37,BO37,BP37,BQ37,BR37,BS37))</f>
        <v>0</v>
      </c>
      <c r="BE37" s="41" t="str">
        <f>IF(LEFT(AY37,1)="X",AY37,IF(OR(AY37="B+",AY37="C+"),INDEX(LAD_PC,MAX(1,MIN(14,MATCH(AY37,LAD_PC,0)+IF(BD37&gt;=0.5,1,IF(BD37&lt;=-0.5,-1,0))))),INDEX(LAD_STD,MAX(1,MIN(12,MATCH(AY37,LAD_STD,0)+IF(BD37&gt;=0.5,1,IF(BD37&lt;=-0.5,-1,0)))))))</f>
        <v>A3</v>
      </c>
      <c r="BF37" s="43" t="n"/>
      <c r="BG37" s="41" t="str">
        <f>IF(BF37&lt;&gt;"",BF37,BE37)</f>
        <v>A3</v>
      </c>
      <c r="BH37" s="40" t="str">
        <f>IFERROR(CHOOSE(INDEX(B_RANK,MATCH(BG37,B_LVL,0)),"Band A","Band B","B+ · Player-Coach","Band C","C+ · Player-Coach","Band D","Band E"),"Band X · Consultant")</f>
        <v>Band A</v>
      </c>
      <c r="BI37" s="40" t="str">
        <f>IF(BG37=AY37,"• Same",IF(INDEX(B_VAL,MATCH(BG37,B_LVL,0))&gt;INDEX(B_VAL,MATCH(AY37,B_LVL,0)),"▲ Up","▼ Down"))</f>
        <v>• Same</v>
      </c>
      <c r="BJ37" s="40" t="str">
        <f>IF(OR($M37="",$M37="—",$M37="Not in this file"),"",IFERROR(INDEX($BG$7:$BG$592,MATCH($M37,$D$7:$D$592,0)),""))</f>
        <v>B1</v>
      </c>
      <c r="BK37" s="40" t="str">
        <f>IFERROR(IF(BJ37="","—",IF(OR(LEFT(BG37,1)="X",LEFT(BJ37,1)="X"),"—",IF(AND(LEFT(BG37,1)="E",LEFT(BJ37,1)="E"),"Exception · Band E",IF(AND(INDEX(B_VAL,MATCH(BJ37,B_LVL,0))&gt;=7,INDEX(B_RANK,MATCH(BG37,B_LVL,0))&gt;=INDEX(B_RANK,MATCH(BJ37,B_LVL,0))),"⚠ Same band as a head manager",IF(INDEX(B_VAL,MATCH(BG37,B_LVL,0))&gt;=INDEX(B_VAL,MATCH(BJ37,B_LVL,0)),"⚠ At or above the manager's level","OK"))))),"—")</f>
        <v>OK</v>
      </c>
      <c r="BL37" s="43" t="n"/>
      <c r="BM37" s="44">
        <f>IFERROR(INDEX(LMH_PTS,MATCH(Y37,LMH_KEY,0)),0)</f>
        <v>9</v>
      </c>
      <c r="BN37" s="38">
        <f>IFERROR(INDEX(LMH_PTS,MATCH(Z37,LMH_KEY,0)),0)</f>
        <v>3</v>
      </c>
      <c r="BO37" s="38">
        <f>IFERROR(INDEX(LMH_PTS,MATCH(AA37,LMH_KEY,0)),0)</f>
        <v>3</v>
      </c>
      <c r="BP37" s="38">
        <f>IFERROR(INDEX(LMH_PTS,MATCH(AB37,LMH_KEY,0)),0)</f>
        <v>1</v>
      </c>
      <c r="BQ37" s="38">
        <f>IFERROR(INDEX(LMH_PTS,MATCH(AC37,LMH_KEY,0)),0)</f>
        <v>1</v>
      </c>
      <c r="BR37" s="38">
        <f>IFERROR(INDEX(LMH_PTS,MATCH(AD37,LMH_KEY,0)),0)</f>
        <v>1</v>
      </c>
      <c r="BS37" s="38">
        <f>IFERROR(INDEX(LMH_PTS,MATCH(AE37,LMH_KEY,0)),0)</f>
        <v>1</v>
      </c>
      <c r="BT37" s="38">
        <f>IFERROR(INDEX(LMH_STEP,MATCH(AF37,LMH_KEY,0)),0)</f>
        <v>0</v>
      </c>
      <c r="BU37" s="38">
        <f>IFERROR(INDEX(LMH_STEP,MATCH(AG37,LMH_KEY,0)),0)</f>
        <v>0</v>
      </c>
      <c r="BV37" s="38">
        <f>IFERROR(INDEX(LMH_STEP,MATCH(AH37,LMH_KEY,0)),0)</f>
        <v>0</v>
      </c>
      <c r="BW37" s="38">
        <f>IFERROR(INDEX(LMH_STEP,MATCH(AI37,LMH_KEY,0)),0)</f>
        <v>0</v>
      </c>
      <c r="BX37" s="38">
        <f>IFERROR(INDEX(LMH_STEP,MATCH(AJ37,LMH_KEY,0)),0)</f>
        <v>0</v>
      </c>
      <c r="BY37" s="38">
        <f>IFERROR(INDEX(LMH_STEP,MATCH(AK37,LMH_KEY,0)),0)</f>
        <v>0</v>
      </c>
      <c r="BZ37" s="38">
        <f>IFERROR(INDEX(LMH_STEP,MATCH(AL37,LMH_KEY,0)),0)</f>
        <v>0</v>
      </c>
      <c r="CA37" s="38" t="inlineStr">
        <is>
          <t>CARBON|Services|Senior Financial Analyst|A3|A</t>
        </is>
      </c>
    </row>
    <row r="38" ht="110" customHeight="1">
      <c r="A38" s="28" t="inlineStr">
        <is>
          <t>CARBON</t>
        </is>
      </c>
      <c r="B38" s="29" t="inlineStr">
        <is>
          <t>Services</t>
        </is>
      </c>
      <c r="C38" s="29" t="n">
        <v>7</v>
      </c>
      <c r="D38" s="29" t="inlineStr">
        <is>
          <t>IRIS0508</t>
        </is>
      </c>
      <c r="E38" s="29" t="inlineStr">
        <is>
          <t>Dhananjay Bavkar</t>
        </is>
      </c>
      <c r="F38" s="29" t="inlineStr">
        <is>
          <t>Senior Financial Analyst</t>
        </is>
      </c>
      <c r="G38" s="29" t="inlineStr">
        <is>
          <t>Senior Financial Analyst</t>
        </is>
      </c>
      <c r="H38" s="29" t="inlineStr">
        <is>
          <t>Consulting &amp; Professional Services</t>
        </is>
      </c>
      <c r="I38" s="29" t="inlineStr">
        <is>
          <t>XBRL Tagging, Conversion &amp; Filing</t>
        </is>
      </c>
      <c r="J38" s="29" t="inlineStr">
        <is>
          <t>IC</t>
        </is>
      </c>
      <c r="K38" s="29" t="inlineStr">
        <is>
          <t>RC-025</t>
        </is>
      </c>
      <c r="L38" s="29" t="inlineStr">
        <is>
          <t>Mohammed Sameer Shamsudin</t>
        </is>
      </c>
      <c r="M38" s="29" t="inlineStr">
        <is>
          <t>IRIS0589</t>
        </is>
      </c>
      <c r="N38" s="29" t="n">
        <v>15.7</v>
      </c>
      <c r="O38" s="29" t="n">
        <v>15.7</v>
      </c>
      <c r="P38" s="29" t="inlineStr">
        <is>
          <t>B.Com</t>
        </is>
      </c>
      <c r="Q38" s="29" t="inlineStr">
        <is>
          <t>L4 – Senior</t>
        </is>
      </c>
      <c r="R38" s="29" t="inlineStr">
        <is>
          <t>A3</t>
        </is>
      </c>
      <c r="S38" s="30" t="inlineStr">
        <is>
          <t>18 of 20</t>
        </is>
      </c>
      <c r="T38" s="31" t="inlineStr">
        <is>
          <t>• Role / sub-team: Quality check Analyst And disclosure management processing.</t>
        </is>
      </c>
      <c r="U3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8" s="31" t="inlineStr">
        <is>
          <t>Latest rating: 3 · Potential: Medium · 9-box: Core Contributor · Readiness: Develop in role</t>
        </is>
      </c>
      <c r="W38" s="31" t="inlineStr">
        <is>
          <t>C M · Au M · Ac M · L L · BI M · Exp H · 15.7 yrs vs 2–4 yrs · Edu M · B.Com</t>
        </is>
      </c>
      <c r="X38" s="33" t="inlineStr">
        <is>
          <t>Open ▸</t>
        </is>
      </c>
      <c r="Y38" s="34" t="str">
        <f>IFERROR(INDEX(DL_C,MATCH($CA38,DL_KEY,0)),"M")</f>
        <v>H</v>
      </c>
      <c r="Z38" s="35" t="str">
        <f>IFERROR(INDEX(DL_Au,MATCH($CA38,DL_KEY,0)),"M")</f>
        <v>M</v>
      </c>
      <c r="AA38" s="35" t="str">
        <f>IFERROR(INDEX(DL_Ac,MATCH($CA38,DL_KEY,0)),"M")</f>
        <v>M</v>
      </c>
      <c r="AB38" s="35" t="str">
        <f>IFERROR(INDEX(DL_L,MATCH($CA38,DL_KEY,0)),"M")</f>
        <v>L</v>
      </c>
      <c r="AC38" s="35" t="str">
        <f>IFERROR(INDEX(DL_BI,MATCH($CA38,DL_KEY,0)),"M")</f>
        <v>L</v>
      </c>
      <c r="AD38" s="35" t="str">
        <f>IFERROR(INDEX(DL_Exp,MATCH($CA38,DL_KEY,0)),"M")</f>
        <v>L</v>
      </c>
      <c r="AE38" s="35" t="str">
        <f>IFERROR(INDEX(DL_Edu,MATCH($CA38,DL_KEY,0)),"M")</f>
        <v>L</v>
      </c>
      <c r="AF38" s="34" t="inlineStr">
        <is>
          <t>M</t>
        </is>
      </c>
      <c r="AG38" s="35" t="inlineStr">
        <is>
          <t>M</t>
        </is>
      </c>
      <c r="AH38" s="35" t="inlineStr">
        <is>
          <t>M</t>
        </is>
      </c>
      <c r="AI38" s="35" t="inlineStr">
        <is>
          <t>M</t>
        </is>
      </c>
      <c r="AJ38" s="35" t="inlineStr">
        <is>
          <t>M</t>
        </is>
      </c>
      <c r="AK38" s="35" t="inlineStr">
        <is>
          <t>M</t>
        </is>
      </c>
      <c r="AL38" s="35" t="inlineStr">
        <is>
          <t>M</t>
        </is>
      </c>
      <c r="AM38" s="36" t="n">
        <v>0.583</v>
      </c>
      <c r="AN38" s="37" t="n">
        <v>0.16</v>
      </c>
      <c r="AO38" s="37" t="n">
        <v>0.09</v>
      </c>
      <c r="AP38" s="37" t="n">
        <v>0</v>
      </c>
      <c r="AQ38" s="37" t="n">
        <v>0.063</v>
      </c>
      <c r="AR38" s="37" t="n">
        <v>0.06</v>
      </c>
      <c r="AS38" s="37" t="n">
        <v>0.04</v>
      </c>
      <c r="AT38" s="38" t="inlineStr">
        <is>
          <t>2–5</t>
        </is>
      </c>
      <c r="AU38" s="38" t="inlineStr">
        <is>
          <t>Graduate; relevant certification preferred</t>
        </is>
      </c>
      <c r="AV38" s="38" t="inlineStr">
        <is>
          <t>None · guides 1–3 juniors informally</t>
        </is>
      </c>
      <c r="AW38" s="38" t="inlineStr">
        <is>
          <t>P2 · SFIA 3 Apply</t>
        </is>
      </c>
      <c r="AX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 s="39" t="inlineStr">
        <is>
          <t>A3</t>
        </is>
      </c>
      <c r="AZ38" s="40" t="inlineStr">
        <is>
          <t>Band A · Practitioner · Senior Associate</t>
        </is>
      </c>
      <c r="BA38" s="40" t="inlineStr">
        <is>
          <t>Model A3 from the six ratings, the market-derived weights and rules R1–R13 · then No change · already below the manager</t>
        </is>
      </c>
      <c r="BB38" s="41" t="inlineStr">
        <is>
          <t>B1</t>
        </is>
      </c>
      <c r="BC38" s="40" t="inlineStr">
        <is>
          <t>The six ratings on the market-average weights of Band A · all tracks score 3.51 → B1 · Hay, Mercer IPE and public plans · experience 15.7 yrs vs the B1 market range 4–8</t>
        </is>
      </c>
      <c r="BD38" s="42">
        <f>IF(SUM(BM38,BN38,BO38,BP38,BQ38,BR38,BS38)=0,0,(BM38*BT38+BN38*BU38+BO38*BV38+BP38*BW38+BQ38*BX38+BR38*BY38+BS38*BZ38)/SUM(BM38,BN38,BO38,BP38,BQ38,BR38,BS38))</f>
        <v>0</v>
      </c>
      <c r="BE38" s="41" t="str">
        <f>IF(LEFT(AY38,1)="X",AY38,IF(OR(AY38="B+",AY38="C+"),INDEX(LAD_PC,MAX(1,MIN(14,MATCH(AY38,LAD_PC,0)+IF(BD38&gt;=0.5,1,IF(BD38&lt;=-0.5,-1,0))))),INDEX(LAD_STD,MAX(1,MIN(12,MATCH(AY38,LAD_STD,0)+IF(BD38&gt;=0.5,1,IF(BD38&lt;=-0.5,-1,0)))))))</f>
        <v>A3</v>
      </c>
      <c r="BF38" s="43" t="n"/>
      <c r="BG38" s="41" t="str">
        <f>IF(BF38&lt;&gt;"",BF38,BE38)</f>
        <v>A3</v>
      </c>
      <c r="BH38" s="40" t="str">
        <f>IFERROR(CHOOSE(INDEX(B_RANK,MATCH(BG38,B_LVL,0)),"Band A","Band B","B+ · Player-Coach","Band C","C+ · Player-Coach","Band D","Band E"),"Band X · Consultant")</f>
        <v>Band A</v>
      </c>
      <c r="BI38" s="40" t="str">
        <f>IF(BG38=AY38,"• Same",IF(INDEX(B_VAL,MATCH(BG38,B_LVL,0))&gt;INDEX(B_VAL,MATCH(AY38,B_LVL,0)),"▲ Up","▼ Down"))</f>
        <v>• Same</v>
      </c>
      <c r="BJ38" s="40" t="str">
        <f>IF(OR($M38="",$M38="—",$M38="Not in this file"),"",IFERROR(INDEX($BG$7:$BG$592,MATCH($M38,$D$7:$D$592,0)),""))</f>
        <v>B1</v>
      </c>
      <c r="BK38" s="40" t="str">
        <f>IFERROR(IF(BJ38="","—",IF(OR(LEFT(BG38,1)="X",LEFT(BJ38,1)="X"),"—",IF(AND(LEFT(BG38,1)="E",LEFT(BJ38,1)="E"),"Exception · Band E",IF(AND(INDEX(B_VAL,MATCH(BJ38,B_LVL,0))&gt;=7,INDEX(B_RANK,MATCH(BG38,B_LVL,0))&gt;=INDEX(B_RANK,MATCH(BJ38,B_LVL,0))),"⚠ Same band as a head manager",IF(INDEX(B_VAL,MATCH(BG38,B_LVL,0))&gt;=INDEX(B_VAL,MATCH(BJ38,B_LVL,0)),"⚠ At or above the manager's level","OK"))))),"—")</f>
        <v>OK</v>
      </c>
      <c r="BL38" s="43" t="n"/>
      <c r="BM38" s="44">
        <f>IFERROR(INDEX(LMH_PTS,MATCH(Y38,LMH_KEY,0)),0)</f>
        <v>9</v>
      </c>
      <c r="BN38" s="38">
        <f>IFERROR(INDEX(LMH_PTS,MATCH(Z38,LMH_KEY,0)),0)</f>
        <v>3</v>
      </c>
      <c r="BO38" s="38">
        <f>IFERROR(INDEX(LMH_PTS,MATCH(AA38,LMH_KEY,0)),0)</f>
        <v>3</v>
      </c>
      <c r="BP38" s="38">
        <f>IFERROR(INDEX(LMH_PTS,MATCH(AB38,LMH_KEY,0)),0)</f>
        <v>1</v>
      </c>
      <c r="BQ38" s="38">
        <f>IFERROR(INDEX(LMH_PTS,MATCH(AC38,LMH_KEY,0)),0)</f>
        <v>1</v>
      </c>
      <c r="BR38" s="38">
        <f>IFERROR(INDEX(LMH_PTS,MATCH(AD38,LMH_KEY,0)),0)</f>
        <v>1</v>
      </c>
      <c r="BS38" s="38">
        <f>IFERROR(INDEX(LMH_PTS,MATCH(AE38,LMH_KEY,0)),0)</f>
        <v>1</v>
      </c>
      <c r="BT38" s="38">
        <f>IFERROR(INDEX(LMH_STEP,MATCH(AF38,LMH_KEY,0)),0)</f>
        <v>0</v>
      </c>
      <c r="BU38" s="38">
        <f>IFERROR(INDEX(LMH_STEP,MATCH(AG38,LMH_KEY,0)),0)</f>
        <v>0</v>
      </c>
      <c r="BV38" s="38">
        <f>IFERROR(INDEX(LMH_STEP,MATCH(AH38,LMH_KEY,0)),0)</f>
        <v>0</v>
      </c>
      <c r="BW38" s="38">
        <f>IFERROR(INDEX(LMH_STEP,MATCH(AI38,LMH_KEY,0)),0)</f>
        <v>0</v>
      </c>
      <c r="BX38" s="38">
        <f>IFERROR(INDEX(LMH_STEP,MATCH(AJ38,LMH_KEY,0)),0)</f>
        <v>0</v>
      </c>
      <c r="BY38" s="38">
        <f>IFERROR(INDEX(LMH_STEP,MATCH(AK38,LMH_KEY,0)),0)</f>
        <v>0</v>
      </c>
      <c r="BZ38" s="38">
        <f>IFERROR(INDEX(LMH_STEP,MATCH(AL38,LMH_KEY,0)),0)</f>
        <v>0</v>
      </c>
      <c r="CA38" s="38" t="inlineStr">
        <is>
          <t>CARBON|Services|Senior Financial Analyst|A3|A</t>
        </is>
      </c>
    </row>
    <row r="39" ht="110" customHeight="1">
      <c r="A39" s="28" t="inlineStr">
        <is>
          <t>CARBON</t>
        </is>
      </c>
      <c r="B39" s="29" t="inlineStr">
        <is>
          <t>Services</t>
        </is>
      </c>
      <c r="C39" s="29" t="n">
        <v>6</v>
      </c>
      <c r="D39" s="29" t="inlineStr">
        <is>
          <t>IRIS0616</t>
        </is>
      </c>
      <c r="E39" s="29" t="inlineStr">
        <is>
          <t>Priyanka Jadhav</t>
        </is>
      </c>
      <c r="F39" s="29" t="inlineStr">
        <is>
          <t>Lead - Assisted Services</t>
        </is>
      </c>
      <c r="G39" s="29" t="inlineStr">
        <is>
          <t>Manager – Assisted Services</t>
        </is>
      </c>
      <c r="H39" s="29" t="inlineStr">
        <is>
          <t>Consulting &amp; Professional Services</t>
        </is>
      </c>
      <c r="I39" s="29" t="inlineStr">
        <is>
          <t>XBRL Tagging, Conversion &amp; Filing</t>
        </is>
      </c>
      <c r="J39" s="29" t="inlineStr">
        <is>
          <t>People Manager</t>
        </is>
      </c>
      <c r="K39" s="29" t="inlineStr">
        <is>
          <t>RC-028</t>
        </is>
      </c>
      <c r="L39" s="29" t="inlineStr">
        <is>
          <t>Shashikant Mudaliar</t>
        </is>
      </c>
      <c r="M39" s="29" t="inlineStr">
        <is>
          <t>IRIS0786</t>
        </is>
      </c>
      <c r="N39" s="29" t="n">
        <v>15.4</v>
      </c>
      <c r="O39" s="29" t="n">
        <v>15.4</v>
      </c>
      <c r="P39" s="29" t="inlineStr">
        <is>
          <t>BCAF</t>
        </is>
      </c>
      <c r="Q39" s="29" t="inlineStr">
        <is>
          <t>L5 – Lead · IC</t>
        </is>
      </c>
      <c r="R39" s="29" t="inlineStr">
        <is>
          <t>B2</t>
        </is>
      </c>
      <c r="S39" s="30" t="inlineStr">
        <is>
          <t>20 of 20</t>
        </is>
      </c>
      <c r="T39" s="31" t="inlineStr">
        <is>
          <t>• Role / sub-team: EU Assisted Services · ixbl Filing.</t>
        </is>
      </c>
      <c r="U39"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9" s="31" t="inlineStr">
        <is>
          <t>Latest rating: 4 · Potential: High · 9-box: Emerging Talent · Readiness: Ready now</t>
        </is>
      </c>
      <c r="W39" s="31" t="inlineStr">
        <is>
          <t>C M · Au M · Ac H · L H · BI H · Exp H · 15.4 yrs vs 4–7 yrs · Edu M · BCAF</t>
        </is>
      </c>
      <c r="X39" s="33" t="inlineStr">
        <is>
          <t>Open ▸</t>
        </is>
      </c>
      <c r="Y39" s="34" t="str">
        <f>IFERROR(INDEX(DL_C,MATCH($CA39,DL_KEY,0)),"M")</f>
        <v>H</v>
      </c>
      <c r="Z39" s="35" t="str">
        <f>IFERROR(INDEX(DL_Au,MATCH($CA39,DL_KEY,0)),"M")</f>
        <v>M</v>
      </c>
      <c r="AA39" s="35" t="str">
        <f>IFERROR(INDEX(DL_Ac,MATCH($CA39,DL_KEY,0)),"M")</f>
        <v>M</v>
      </c>
      <c r="AB39" s="35" t="str">
        <f>IFERROR(INDEX(DL_L,MATCH($CA39,DL_KEY,0)),"M")</f>
        <v>M</v>
      </c>
      <c r="AC39" s="35" t="str">
        <f>IFERROR(INDEX(DL_BI,MATCH($CA39,DL_KEY,0)),"M")</f>
        <v>L</v>
      </c>
      <c r="AD39" s="35" t="str">
        <f>IFERROR(INDEX(DL_Exp,MATCH($CA39,DL_KEY,0)),"M")</f>
        <v>L</v>
      </c>
      <c r="AE39" s="35" t="str">
        <f>IFERROR(INDEX(DL_Edu,MATCH($CA39,DL_KEY,0)),"M")</f>
        <v>L</v>
      </c>
      <c r="AF39" s="34" t="inlineStr">
        <is>
          <t>M</t>
        </is>
      </c>
      <c r="AG39" s="35" t="inlineStr">
        <is>
          <t>M</t>
        </is>
      </c>
      <c r="AH39" s="35" t="inlineStr">
        <is>
          <t>M</t>
        </is>
      </c>
      <c r="AI39" s="35" t="inlineStr">
        <is>
          <t>M</t>
        </is>
      </c>
      <c r="AJ39" s="35" t="inlineStr">
        <is>
          <t>M</t>
        </is>
      </c>
      <c r="AK39" s="35" t="inlineStr">
        <is>
          <t>M</t>
        </is>
      </c>
      <c r="AL39" s="35" t="inlineStr">
        <is>
          <t>M</t>
        </is>
      </c>
      <c r="AM39" s="36" t="n">
        <v>0.37</v>
      </c>
      <c r="AN39" s="37" t="n">
        <v>0.183</v>
      </c>
      <c r="AO39" s="37" t="n">
        <v>0.113</v>
      </c>
      <c r="AP39" s="37" t="n">
        <v>0.15</v>
      </c>
      <c r="AQ39" s="37" t="n">
        <v>0.08699999999999999</v>
      </c>
      <c r="AR39" s="37" t="n">
        <v>0.06</v>
      </c>
      <c r="AS39" s="37" t="n">
        <v>0.04</v>
      </c>
      <c r="AT39" s="38" t="inlineStr">
        <is>
          <t>4–8</t>
        </is>
      </c>
      <c r="AU39" s="38" t="inlineStr">
        <is>
          <t>Graduate + relevant qualification or certification preferred</t>
        </is>
      </c>
      <c r="AV39" s="38" t="inlineStr">
        <is>
          <t>IC: none · Team Lead: 3–5</t>
        </is>
      </c>
      <c r="AW39" s="38" t="inlineStr">
        <is>
          <t>P3 / M2 · SFIA 4 Enable</t>
        </is>
      </c>
      <c r="AX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 s="39" t="inlineStr">
        <is>
          <t>B1</t>
        </is>
      </c>
      <c r="AZ39" s="40" t="inlineStr">
        <is>
          <t>Band B · Specialist / Manager · Team Lead / Asst Manager</t>
        </is>
      </c>
      <c r="BA39" s="40" t="inlineStr">
        <is>
          <t>Model B2 from the six ratings, the market-derived weights and rules R1–R13 · then Level rule: manager B2; a reportee sits at least one level below · B2 → B1 · move down · pay and title protected for one cycle</t>
        </is>
      </c>
      <c r="BB39" s="41" t="inlineStr">
        <is>
          <t>B2</t>
        </is>
      </c>
      <c r="BC39" s="40" t="inlineStr">
        <is>
          <t>The six ratings on the market-average weights of Band B · People Manager score 5.12 → B2 · Hay, Mercer IPE and public plans · experience 15.4 yrs vs the B2 market range 6–10</t>
        </is>
      </c>
      <c r="BD39" s="42">
        <f>IF(SUM(BM39,BN39,BO39,BP39,BQ39,BR39,BS39)=0,0,(BM39*BT39+BN39*BU39+BO39*BV39+BP39*BW39+BQ39*BX39+BR39*BY39+BS39*BZ39)/SUM(BM39,BN39,BO39,BP39,BQ39,BR39,BS39))</f>
        <v>0</v>
      </c>
      <c r="BE39" s="41" t="str">
        <f>IF(LEFT(AY39,1)="X",AY39,IF(OR(AY39="B+",AY39="C+"),INDEX(LAD_PC,MAX(1,MIN(14,MATCH(AY39,LAD_PC,0)+IF(BD39&gt;=0.5,1,IF(BD39&lt;=-0.5,-1,0))))),INDEX(LAD_STD,MAX(1,MIN(12,MATCH(AY39,LAD_STD,0)+IF(BD39&gt;=0.5,1,IF(BD39&lt;=-0.5,-1,0)))))))</f>
        <v>B1</v>
      </c>
      <c r="BF39" s="43" t="n"/>
      <c r="BG39" s="41" t="str">
        <f>IF(BF39&lt;&gt;"",BF39,BE39)</f>
        <v>B1</v>
      </c>
      <c r="BH39" s="40" t="str">
        <f>IFERROR(CHOOSE(INDEX(B_RANK,MATCH(BG39,B_LVL,0)),"Band A","Band B","B+ · Player-Coach","Band C","C+ · Player-Coach","Band D","Band E"),"Band X · Consultant")</f>
        <v>Band B</v>
      </c>
      <c r="BI39" s="40" t="str">
        <f>IF(BG39=AY39,"• Same",IF(INDEX(B_VAL,MATCH(BG39,B_LVL,0))&gt;INDEX(B_VAL,MATCH(AY39,B_LVL,0)),"▲ Up","▼ Down"))</f>
        <v>• Same</v>
      </c>
      <c r="BJ39" s="40" t="str">
        <f>IF(OR($M39="",$M39="—",$M39="Not in this file"),"",IFERROR(INDEX($BG$7:$BG$592,MATCH($M39,$D$7:$D$592,0)),""))</f>
        <v>B2</v>
      </c>
      <c r="BK39" s="40" t="str">
        <f>IFERROR(IF(BJ39="","—",IF(OR(LEFT(BG39,1)="X",LEFT(BJ39,1)="X"),"—",IF(AND(LEFT(BG39,1)="E",LEFT(BJ39,1)="E"),"Exception · Band E",IF(AND(INDEX(B_VAL,MATCH(BJ39,B_LVL,0))&gt;=7,INDEX(B_RANK,MATCH(BG39,B_LVL,0))&gt;=INDEX(B_RANK,MATCH(BJ39,B_LVL,0))),"⚠ Same band as a head manager",IF(INDEX(B_VAL,MATCH(BG39,B_LVL,0))&gt;=INDEX(B_VAL,MATCH(BJ39,B_LVL,0)),"⚠ At or above the manager's level","OK"))))),"—")</f>
        <v>OK</v>
      </c>
      <c r="BL39" s="43" t="n"/>
      <c r="BM39" s="44">
        <f>IFERROR(INDEX(LMH_PTS,MATCH(Y39,LMH_KEY,0)),0)</f>
        <v>9</v>
      </c>
      <c r="BN39" s="38">
        <f>IFERROR(INDEX(LMH_PTS,MATCH(Z39,LMH_KEY,0)),0)</f>
        <v>3</v>
      </c>
      <c r="BO39" s="38">
        <f>IFERROR(INDEX(LMH_PTS,MATCH(AA39,LMH_KEY,0)),0)</f>
        <v>3</v>
      </c>
      <c r="BP39" s="38">
        <f>IFERROR(INDEX(LMH_PTS,MATCH(AB39,LMH_KEY,0)),0)</f>
        <v>3</v>
      </c>
      <c r="BQ39" s="38">
        <f>IFERROR(INDEX(LMH_PTS,MATCH(AC39,LMH_KEY,0)),0)</f>
        <v>1</v>
      </c>
      <c r="BR39" s="38">
        <f>IFERROR(INDEX(LMH_PTS,MATCH(AD39,LMH_KEY,0)),0)</f>
        <v>1</v>
      </c>
      <c r="BS39" s="38">
        <f>IFERROR(INDEX(LMH_PTS,MATCH(AE39,LMH_KEY,0)),0)</f>
        <v>1</v>
      </c>
      <c r="BT39" s="38">
        <f>IFERROR(INDEX(LMH_STEP,MATCH(AF39,LMH_KEY,0)),0)</f>
        <v>0</v>
      </c>
      <c r="BU39" s="38">
        <f>IFERROR(INDEX(LMH_STEP,MATCH(AG39,LMH_KEY,0)),0)</f>
        <v>0</v>
      </c>
      <c r="BV39" s="38">
        <f>IFERROR(INDEX(LMH_STEP,MATCH(AH39,LMH_KEY,0)),0)</f>
        <v>0</v>
      </c>
      <c r="BW39" s="38">
        <f>IFERROR(INDEX(LMH_STEP,MATCH(AI39,LMH_KEY,0)),0)</f>
        <v>0</v>
      </c>
      <c r="BX39" s="38">
        <f>IFERROR(INDEX(LMH_STEP,MATCH(AJ39,LMH_KEY,0)),0)</f>
        <v>0</v>
      </c>
      <c r="BY39" s="38">
        <f>IFERROR(INDEX(LMH_STEP,MATCH(AK39,LMH_KEY,0)),0)</f>
        <v>0</v>
      </c>
      <c r="BZ39" s="38">
        <f>IFERROR(INDEX(LMH_STEP,MATCH(AL39,LMH_KEY,0)),0)</f>
        <v>0</v>
      </c>
      <c r="CA39" s="38" t="inlineStr">
        <is>
          <t>CARBON|Services|Manager – Assisted Services|B1|B-M</t>
        </is>
      </c>
    </row>
    <row r="40" ht="110" customHeight="1">
      <c r="A40" s="28" t="inlineStr">
        <is>
          <t>CARBON</t>
        </is>
      </c>
      <c r="B40" s="29" t="inlineStr">
        <is>
          <t>Services</t>
        </is>
      </c>
      <c r="C40" s="29" t="n">
        <v>7</v>
      </c>
      <c r="D40" s="29" t="inlineStr">
        <is>
          <t>IRIS0567</t>
        </is>
      </c>
      <c r="E40" s="29" t="inlineStr">
        <is>
          <t>Amruta Mirashi</t>
        </is>
      </c>
      <c r="F40" s="29" t="inlineStr">
        <is>
          <t>Financial Analyst</t>
        </is>
      </c>
      <c r="G40" s="29" t="inlineStr">
        <is>
          <t>XBRL Specialist</t>
        </is>
      </c>
      <c r="H40" s="29" t="inlineStr">
        <is>
          <t>Consulting &amp; Professional Services</t>
        </is>
      </c>
      <c r="I40" s="29" t="inlineStr">
        <is>
          <t>XBRL Tagging, Conversion &amp; Filing</t>
        </is>
      </c>
      <c r="J40" s="29" t="inlineStr">
        <is>
          <t>IC</t>
        </is>
      </c>
      <c r="K40" s="29" t="inlineStr">
        <is>
          <t>RC-026</t>
        </is>
      </c>
      <c r="L40" s="29" t="inlineStr">
        <is>
          <t>Priyanka Jadhav</t>
        </is>
      </c>
      <c r="M40" s="29" t="inlineStr">
        <is>
          <t>IRIS0616</t>
        </is>
      </c>
      <c r="N40" s="29" t="n">
        <v>15.5</v>
      </c>
      <c r="O40" s="29" t="n">
        <v>15.5</v>
      </c>
      <c r="P40" s="29" t="inlineStr">
        <is>
          <t>M.Com</t>
        </is>
      </c>
      <c r="Q40" s="29" t="inlineStr">
        <is>
          <t>L3 – Professional / Associate</t>
        </is>
      </c>
      <c r="R40" s="29" t="inlineStr">
        <is>
          <t>B1</t>
        </is>
      </c>
      <c r="S40" s="30" t="inlineStr">
        <is>
          <t>20 of 20</t>
        </is>
      </c>
      <c r="T40" s="31" t="inlineStr">
        <is>
          <t>• Role / sub-team: Service - Tagging and shift leading.</t>
        </is>
      </c>
      <c r="U4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0" s="31" t="inlineStr">
        <is>
          <t>Latest rating: 4 · Potential: High · 9-box: Core Contributor · Readiness: Ready now</t>
        </is>
      </c>
      <c r="W40" s="31" t="inlineStr">
        <is>
          <t>C M · Au M · Ac M · L L · BI M · Exp H · 15.5 yrs vs 2–4 yrs · Edu H · M.Com</t>
        </is>
      </c>
      <c r="X40" s="33" t="inlineStr">
        <is>
          <t>Open ▸</t>
        </is>
      </c>
      <c r="Y40" s="34" t="str">
        <f>IFERROR(INDEX(DL_C,MATCH($CA40,DL_KEY,0)),"M")</f>
        <v>H</v>
      </c>
      <c r="Z40" s="35" t="str">
        <f>IFERROR(INDEX(DL_Au,MATCH($CA40,DL_KEY,0)),"M")</f>
        <v>M</v>
      </c>
      <c r="AA40" s="35" t="str">
        <f>IFERROR(INDEX(DL_Ac,MATCH($CA40,DL_KEY,0)),"M")</f>
        <v>M</v>
      </c>
      <c r="AB40" s="35" t="str">
        <f>IFERROR(INDEX(DL_L,MATCH($CA40,DL_KEY,0)),"M")</f>
        <v>L</v>
      </c>
      <c r="AC40" s="35" t="str">
        <f>IFERROR(INDEX(DL_BI,MATCH($CA40,DL_KEY,0)),"M")</f>
        <v>L</v>
      </c>
      <c r="AD40" s="35" t="str">
        <f>IFERROR(INDEX(DL_Exp,MATCH($CA40,DL_KEY,0)),"M")</f>
        <v>L</v>
      </c>
      <c r="AE40" s="35" t="str">
        <f>IFERROR(INDEX(DL_Edu,MATCH($CA40,DL_KEY,0)),"M")</f>
        <v>L</v>
      </c>
      <c r="AF40" s="34" t="inlineStr">
        <is>
          <t>M</t>
        </is>
      </c>
      <c r="AG40" s="35" t="inlineStr">
        <is>
          <t>M</t>
        </is>
      </c>
      <c r="AH40" s="35" t="inlineStr">
        <is>
          <t>M</t>
        </is>
      </c>
      <c r="AI40" s="35" t="inlineStr">
        <is>
          <t>M</t>
        </is>
      </c>
      <c r="AJ40" s="35" t="inlineStr">
        <is>
          <t>M</t>
        </is>
      </c>
      <c r="AK40" s="35" t="inlineStr">
        <is>
          <t>M</t>
        </is>
      </c>
      <c r="AL40" s="35" t="inlineStr">
        <is>
          <t>M</t>
        </is>
      </c>
      <c r="AM40" s="36" t="n">
        <v>0.583</v>
      </c>
      <c r="AN40" s="37" t="n">
        <v>0.16</v>
      </c>
      <c r="AO40" s="37" t="n">
        <v>0.09</v>
      </c>
      <c r="AP40" s="37" t="n">
        <v>0</v>
      </c>
      <c r="AQ40" s="37" t="n">
        <v>0.063</v>
      </c>
      <c r="AR40" s="37" t="n">
        <v>0.06</v>
      </c>
      <c r="AS40" s="37" t="n">
        <v>0.04</v>
      </c>
      <c r="AT40" s="38" t="inlineStr">
        <is>
          <t>2–5</t>
        </is>
      </c>
      <c r="AU40" s="38" t="inlineStr">
        <is>
          <t>Graduate; relevant certification preferred</t>
        </is>
      </c>
      <c r="AV40" s="38" t="inlineStr">
        <is>
          <t>None · guides 1–3 juniors informally</t>
        </is>
      </c>
      <c r="AW40" s="38" t="inlineStr">
        <is>
          <t>P2 · SFIA 3 Apply</t>
        </is>
      </c>
      <c r="AX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 s="39" t="inlineStr">
        <is>
          <t>A3</t>
        </is>
      </c>
      <c r="AZ40" s="40" t="inlineStr">
        <is>
          <t>Band A · Practitioner · Senior Associate</t>
        </is>
      </c>
      <c r="BA40" s="40" t="inlineStr">
        <is>
          <t>Model B1 from the six ratings, the market-derived weights and rules R1–R13 · then Level rule: manager B1; a reportee sits at least one level below · B1 → A3 · move down · pay and title protected for one cycle</t>
        </is>
      </c>
      <c r="BB40" s="41" t="inlineStr">
        <is>
          <t>B1</t>
        </is>
      </c>
      <c r="BC40" s="40" t="inlineStr">
        <is>
          <t>The six ratings on the market-average weights of Band A · all tracks score 3.63 → B1 · Hay, Mercer IPE and public plans · experience 15.5 yrs vs the B1 market range 4–8</t>
        </is>
      </c>
      <c r="BD40" s="42">
        <f>IF(SUM(BM40,BN40,BO40,BP40,BQ40,BR40,BS40)=0,0,(BM40*BT40+BN40*BU40+BO40*BV40+BP40*BW40+BQ40*BX40+BR40*BY40+BS40*BZ40)/SUM(BM40,BN40,BO40,BP40,BQ40,BR40,BS40))</f>
        <v>0</v>
      </c>
      <c r="BE40" s="41" t="str">
        <f>IF(LEFT(AY40,1)="X",AY40,IF(OR(AY40="B+",AY40="C+"),INDEX(LAD_PC,MAX(1,MIN(14,MATCH(AY40,LAD_PC,0)+IF(BD40&gt;=0.5,1,IF(BD40&lt;=-0.5,-1,0))))),INDEX(LAD_STD,MAX(1,MIN(12,MATCH(AY40,LAD_STD,0)+IF(BD40&gt;=0.5,1,IF(BD40&lt;=-0.5,-1,0)))))))</f>
        <v>A3</v>
      </c>
      <c r="BF40" s="43" t="n"/>
      <c r="BG40" s="41" t="str">
        <f>IF(BF40&lt;&gt;"",BF40,BE40)</f>
        <v>A3</v>
      </c>
      <c r="BH40" s="40" t="str">
        <f>IFERROR(CHOOSE(INDEX(B_RANK,MATCH(BG40,B_LVL,0)),"Band A","Band B","B+ · Player-Coach","Band C","C+ · Player-Coach","Band D","Band E"),"Band X · Consultant")</f>
        <v>Band A</v>
      </c>
      <c r="BI40" s="40" t="str">
        <f>IF(BG40=AY40,"• Same",IF(INDEX(B_VAL,MATCH(BG40,B_LVL,0))&gt;INDEX(B_VAL,MATCH(AY40,B_LVL,0)),"▲ Up","▼ Down"))</f>
        <v>• Same</v>
      </c>
      <c r="BJ40" s="40" t="str">
        <f>IF(OR($M40="",$M40="—",$M40="Not in this file"),"",IFERROR(INDEX($BG$7:$BG$592,MATCH($M40,$D$7:$D$592,0)),""))</f>
        <v>B1</v>
      </c>
      <c r="BK40" s="40" t="str">
        <f>IFERROR(IF(BJ40="","—",IF(OR(LEFT(BG40,1)="X",LEFT(BJ40,1)="X"),"—",IF(AND(LEFT(BG40,1)="E",LEFT(BJ40,1)="E"),"Exception · Band E",IF(AND(INDEX(B_VAL,MATCH(BJ40,B_LVL,0))&gt;=7,INDEX(B_RANK,MATCH(BG40,B_LVL,0))&gt;=INDEX(B_RANK,MATCH(BJ40,B_LVL,0))),"⚠ Same band as a head manager",IF(INDEX(B_VAL,MATCH(BG40,B_LVL,0))&gt;=INDEX(B_VAL,MATCH(BJ40,B_LVL,0)),"⚠ At or above the manager's level","OK"))))),"—")</f>
        <v>OK</v>
      </c>
      <c r="BL40" s="43" t="n"/>
      <c r="BM40" s="44">
        <f>IFERROR(INDEX(LMH_PTS,MATCH(Y40,LMH_KEY,0)),0)</f>
        <v>9</v>
      </c>
      <c r="BN40" s="38">
        <f>IFERROR(INDEX(LMH_PTS,MATCH(Z40,LMH_KEY,0)),0)</f>
        <v>3</v>
      </c>
      <c r="BO40" s="38">
        <f>IFERROR(INDEX(LMH_PTS,MATCH(AA40,LMH_KEY,0)),0)</f>
        <v>3</v>
      </c>
      <c r="BP40" s="38">
        <f>IFERROR(INDEX(LMH_PTS,MATCH(AB40,LMH_KEY,0)),0)</f>
        <v>1</v>
      </c>
      <c r="BQ40" s="38">
        <f>IFERROR(INDEX(LMH_PTS,MATCH(AC40,LMH_KEY,0)),0)</f>
        <v>1</v>
      </c>
      <c r="BR40" s="38">
        <f>IFERROR(INDEX(LMH_PTS,MATCH(AD40,LMH_KEY,0)),0)</f>
        <v>1</v>
      </c>
      <c r="BS40" s="38">
        <f>IFERROR(INDEX(LMH_PTS,MATCH(AE40,LMH_KEY,0)),0)</f>
        <v>1</v>
      </c>
      <c r="BT40" s="38">
        <f>IFERROR(INDEX(LMH_STEP,MATCH(AF40,LMH_KEY,0)),0)</f>
        <v>0</v>
      </c>
      <c r="BU40" s="38">
        <f>IFERROR(INDEX(LMH_STEP,MATCH(AG40,LMH_KEY,0)),0)</f>
        <v>0</v>
      </c>
      <c r="BV40" s="38">
        <f>IFERROR(INDEX(LMH_STEP,MATCH(AH40,LMH_KEY,0)),0)</f>
        <v>0</v>
      </c>
      <c r="BW40" s="38">
        <f>IFERROR(INDEX(LMH_STEP,MATCH(AI40,LMH_KEY,0)),0)</f>
        <v>0</v>
      </c>
      <c r="BX40" s="38">
        <f>IFERROR(INDEX(LMH_STEP,MATCH(AJ40,LMH_KEY,0)),0)</f>
        <v>0</v>
      </c>
      <c r="BY40" s="38">
        <f>IFERROR(INDEX(LMH_STEP,MATCH(AK40,LMH_KEY,0)),0)</f>
        <v>0</v>
      </c>
      <c r="BZ40" s="38">
        <f>IFERROR(INDEX(LMH_STEP,MATCH(AL40,LMH_KEY,0)),0)</f>
        <v>0</v>
      </c>
      <c r="CA40" s="38" t="inlineStr">
        <is>
          <t>CARBON|Services|XBRL Specialist|A3|A</t>
        </is>
      </c>
    </row>
    <row r="41" ht="110" customHeight="1">
      <c r="A41" s="28" t="inlineStr">
        <is>
          <t>CARBON</t>
        </is>
      </c>
      <c r="B41" s="29" t="inlineStr">
        <is>
          <t>Services</t>
        </is>
      </c>
      <c r="C41" s="29" t="n">
        <v>7</v>
      </c>
      <c r="D41" s="29" t="inlineStr">
        <is>
          <t>IRIS0547</t>
        </is>
      </c>
      <c r="E41" s="29" t="inlineStr">
        <is>
          <t>Pradul Meshram</t>
        </is>
      </c>
      <c r="F41" s="29" t="inlineStr">
        <is>
          <t>Senior Financial Analyst</t>
        </is>
      </c>
      <c r="G41" s="29" t="inlineStr">
        <is>
          <t>XBRL Specialist</t>
        </is>
      </c>
      <c r="H41" s="29" t="inlineStr">
        <is>
          <t>Consulting &amp; Professional Services</t>
        </is>
      </c>
      <c r="I41" s="29" t="inlineStr">
        <is>
          <t>XBRL Tagging, Conversion &amp; Filing</t>
        </is>
      </c>
      <c r="J41" s="29" t="inlineStr">
        <is>
          <t>IC</t>
        </is>
      </c>
      <c r="K41" s="29" t="inlineStr">
        <is>
          <t>RC-026</t>
        </is>
      </c>
      <c r="L41" s="29" t="inlineStr">
        <is>
          <t>Priyanka Jadhav</t>
        </is>
      </c>
      <c r="M41" s="29" t="inlineStr">
        <is>
          <t>IRIS0616</t>
        </is>
      </c>
      <c r="N41" s="29" t="n">
        <v>15.6</v>
      </c>
      <c r="O41" s="29" t="n">
        <v>15.6</v>
      </c>
      <c r="P41" s="29" t="inlineStr">
        <is>
          <t>M.Com</t>
        </is>
      </c>
      <c r="Q41" s="29" t="inlineStr">
        <is>
          <t>L4 – Senior</t>
        </is>
      </c>
      <c r="R41" s="29" t="inlineStr">
        <is>
          <t>B1</t>
        </is>
      </c>
      <c r="S41" s="30" t="inlineStr">
        <is>
          <t>20 of 20</t>
        </is>
      </c>
      <c r="T41" s="31" t="inlineStr">
        <is>
          <t>• Role / sub-team: Services team Disclosure Manageme for Europe countries.</t>
        </is>
      </c>
      <c r="U4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1" s="31" t="inlineStr">
        <is>
          <t>Latest rating: 4 · Potential: High · 9-box: Core Contributor · Readiness: Ready now</t>
        </is>
      </c>
      <c r="W41" s="31" t="inlineStr">
        <is>
          <t>C M · Au M · Ac M · L L · BI H · Exp H · 15.6 yrs vs 2–4 yrs · Edu H · M.Com</t>
        </is>
      </c>
      <c r="X41" s="33" t="inlineStr">
        <is>
          <t>Open ▸</t>
        </is>
      </c>
      <c r="Y41" s="34" t="str">
        <f>IFERROR(INDEX(DL_C,MATCH($CA41,DL_KEY,0)),"M")</f>
        <v>H</v>
      </c>
      <c r="Z41" s="35" t="str">
        <f>IFERROR(INDEX(DL_Au,MATCH($CA41,DL_KEY,0)),"M")</f>
        <v>M</v>
      </c>
      <c r="AA41" s="35" t="str">
        <f>IFERROR(INDEX(DL_Ac,MATCH($CA41,DL_KEY,0)),"M")</f>
        <v>M</v>
      </c>
      <c r="AB41" s="35" t="str">
        <f>IFERROR(INDEX(DL_L,MATCH($CA41,DL_KEY,0)),"M")</f>
        <v>L</v>
      </c>
      <c r="AC41" s="35" t="str">
        <f>IFERROR(INDEX(DL_BI,MATCH($CA41,DL_KEY,0)),"M")</f>
        <v>L</v>
      </c>
      <c r="AD41" s="35" t="str">
        <f>IFERROR(INDEX(DL_Exp,MATCH($CA41,DL_KEY,0)),"M")</f>
        <v>L</v>
      </c>
      <c r="AE41" s="35" t="str">
        <f>IFERROR(INDEX(DL_Edu,MATCH($CA41,DL_KEY,0)),"M")</f>
        <v>L</v>
      </c>
      <c r="AF41" s="34" t="inlineStr">
        <is>
          <t>M</t>
        </is>
      </c>
      <c r="AG41" s="35" t="inlineStr">
        <is>
          <t>M</t>
        </is>
      </c>
      <c r="AH41" s="35" t="inlineStr">
        <is>
          <t>M</t>
        </is>
      </c>
      <c r="AI41" s="35" t="inlineStr">
        <is>
          <t>M</t>
        </is>
      </c>
      <c r="AJ41" s="35" t="inlineStr">
        <is>
          <t>M</t>
        </is>
      </c>
      <c r="AK41" s="35" t="inlineStr">
        <is>
          <t>M</t>
        </is>
      </c>
      <c r="AL41" s="35" t="inlineStr">
        <is>
          <t>M</t>
        </is>
      </c>
      <c r="AM41" s="36" t="n">
        <v>0.583</v>
      </c>
      <c r="AN41" s="37" t="n">
        <v>0.16</v>
      </c>
      <c r="AO41" s="37" t="n">
        <v>0.09</v>
      </c>
      <c r="AP41" s="37" t="n">
        <v>0</v>
      </c>
      <c r="AQ41" s="37" t="n">
        <v>0.063</v>
      </c>
      <c r="AR41" s="37" t="n">
        <v>0.06</v>
      </c>
      <c r="AS41" s="37" t="n">
        <v>0.04</v>
      </c>
      <c r="AT41" s="38" t="inlineStr">
        <is>
          <t>2–5</t>
        </is>
      </c>
      <c r="AU41" s="38" t="inlineStr">
        <is>
          <t>Graduate; relevant certification preferred</t>
        </is>
      </c>
      <c r="AV41" s="38" t="inlineStr">
        <is>
          <t>None · guides 1–3 juniors informally</t>
        </is>
      </c>
      <c r="AW41" s="38" t="inlineStr">
        <is>
          <t>P2 · SFIA 3 Apply</t>
        </is>
      </c>
      <c r="AX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 s="39" t="inlineStr">
        <is>
          <t>A3</t>
        </is>
      </c>
      <c r="AZ41" s="40" t="inlineStr">
        <is>
          <t>Band A · Practitioner · Senior Associate</t>
        </is>
      </c>
      <c r="BA41" s="40" t="inlineStr">
        <is>
          <t>Model B1 from the six ratings, the market-derived weights and rules R1–R13 · then Level rule: manager B1; a reportee sits at least one level below · B1 → A3 · move down · pay and title protected for one cycle</t>
        </is>
      </c>
      <c r="BB41" s="41" t="inlineStr">
        <is>
          <t>B1</t>
        </is>
      </c>
      <c r="BC41" s="40" t="inlineStr">
        <is>
          <t>The six ratings on the market-average weights of Band A · all tracks score 3.67 → B1 · Hay, Mercer IPE and public plans · experience 15.6 yrs vs the B1 market range 4–8</t>
        </is>
      </c>
      <c r="BD41" s="42">
        <f>IF(SUM(BM41,BN41,BO41,BP41,BQ41,BR41,BS41)=0,0,(BM41*BT41+BN41*BU41+BO41*BV41+BP41*BW41+BQ41*BX41+BR41*BY41+BS41*BZ41)/SUM(BM41,BN41,BO41,BP41,BQ41,BR41,BS41))</f>
        <v>0</v>
      </c>
      <c r="BE41" s="41" t="str">
        <f>IF(LEFT(AY41,1)="X",AY41,IF(OR(AY41="B+",AY41="C+"),INDEX(LAD_PC,MAX(1,MIN(14,MATCH(AY41,LAD_PC,0)+IF(BD41&gt;=0.5,1,IF(BD41&lt;=-0.5,-1,0))))),INDEX(LAD_STD,MAX(1,MIN(12,MATCH(AY41,LAD_STD,0)+IF(BD41&gt;=0.5,1,IF(BD41&lt;=-0.5,-1,0)))))))</f>
        <v>A3</v>
      </c>
      <c r="BF41" s="43" t="n"/>
      <c r="BG41" s="41" t="str">
        <f>IF(BF41&lt;&gt;"",BF41,BE41)</f>
        <v>A3</v>
      </c>
      <c r="BH41" s="40" t="str">
        <f>IFERROR(CHOOSE(INDEX(B_RANK,MATCH(BG41,B_LVL,0)),"Band A","Band B","B+ · Player-Coach","Band C","C+ · Player-Coach","Band D","Band E"),"Band X · Consultant")</f>
        <v>Band A</v>
      </c>
      <c r="BI41" s="40" t="str">
        <f>IF(BG41=AY41,"• Same",IF(INDEX(B_VAL,MATCH(BG41,B_LVL,0))&gt;INDEX(B_VAL,MATCH(AY41,B_LVL,0)),"▲ Up","▼ Down"))</f>
        <v>• Same</v>
      </c>
      <c r="BJ41" s="40" t="str">
        <f>IF(OR($M41="",$M41="—",$M41="Not in this file"),"",IFERROR(INDEX($BG$7:$BG$592,MATCH($M41,$D$7:$D$592,0)),""))</f>
        <v>B1</v>
      </c>
      <c r="BK41" s="40" t="str">
        <f>IFERROR(IF(BJ41="","—",IF(OR(LEFT(BG41,1)="X",LEFT(BJ41,1)="X"),"—",IF(AND(LEFT(BG41,1)="E",LEFT(BJ41,1)="E"),"Exception · Band E",IF(AND(INDEX(B_VAL,MATCH(BJ41,B_LVL,0))&gt;=7,INDEX(B_RANK,MATCH(BG41,B_LVL,0))&gt;=INDEX(B_RANK,MATCH(BJ41,B_LVL,0))),"⚠ Same band as a head manager",IF(INDEX(B_VAL,MATCH(BG41,B_LVL,0))&gt;=INDEX(B_VAL,MATCH(BJ41,B_LVL,0)),"⚠ At or above the manager's level","OK"))))),"—")</f>
        <v>OK</v>
      </c>
      <c r="BL41" s="43" t="n"/>
      <c r="BM41" s="44">
        <f>IFERROR(INDEX(LMH_PTS,MATCH(Y41,LMH_KEY,0)),0)</f>
        <v>9</v>
      </c>
      <c r="BN41" s="38">
        <f>IFERROR(INDEX(LMH_PTS,MATCH(Z41,LMH_KEY,0)),0)</f>
        <v>3</v>
      </c>
      <c r="BO41" s="38">
        <f>IFERROR(INDEX(LMH_PTS,MATCH(AA41,LMH_KEY,0)),0)</f>
        <v>3</v>
      </c>
      <c r="BP41" s="38">
        <f>IFERROR(INDEX(LMH_PTS,MATCH(AB41,LMH_KEY,0)),0)</f>
        <v>1</v>
      </c>
      <c r="BQ41" s="38">
        <f>IFERROR(INDEX(LMH_PTS,MATCH(AC41,LMH_KEY,0)),0)</f>
        <v>1</v>
      </c>
      <c r="BR41" s="38">
        <f>IFERROR(INDEX(LMH_PTS,MATCH(AD41,LMH_KEY,0)),0)</f>
        <v>1</v>
      </c>
      <c r="BS41" s="38">
        <f>IFERROR(INDEX(LMH_PTS,MATCH(AE41,LMH_KEY,0)),0)</f>
        <v>1</v>
      </c>
      <c r="BT41" s="38">
        <f>IFERROR(INDEX(LMH_STEP,MATCH(AF41,LMH_KEY,0)),0)</f>
        <v>0</v>
      </c>
      <c r="BU41" s="38">
        <f>IFERROR(INDEX(LMH_STEP,MATCH(AG41,LMH_KEY,0)),0)</f>
        <v>0</v>
      </c>
      <c r="BV41" s="38">
        <f>IFERROR(INDEX(LMH_STEP,MATCH(AH41,LMH_KEY,0)),0)</f>
        <v>0</v>
      </c>
      <c r="BW41" s="38">
        <f>IFERROR(INDEX(LMH_STEP,MATCH(AI41,LMH_KEY,0)),0)</f>
        <v>0</v>
      </c>
      <c r="BX41" s="38">
        <f>IFERROR(INDEX(LMH_STEP,MATCH(AJ41,LMH_KEY,0)),0)</f>
        <v>0</v>
      </c>
      <c r="BY41" s="38">
        <f>IFERROR(INDEX(LMH_STEP,MATCH(AK41,LMH_KEY,0)),0)</f>
        <v>0</v>
      </c>
      <c r="BZ41" s="38">
        <f>IFERROR(INDEX(LMH_STEP,MATCH(AL41,LMH_KEY,0)),0)</f>
        <v>0</v>
      </c>
      <c r="CA41" s="38" t="inlineStr">
        <is>
          <t>CARBON|Services|XBRL Specialist|A3|A</t>
        </is>
      </c>
    </row>
    <row r="42" ht="110" customHeight="1">
      <c r="A42" s="28" t="inlineStr">
        <is>
          <t>CARBON</t>
        </is>
      </c>
      <c r="B42" s="29" t="inlineStr">
        <is>
          <t>Services</t>
        </is>
      </c>
      <c r="C42" s="29" t="n">
        <v>7</v>
      </c>
      <c r="D42" s="29" t="inlineStr">
        <is>
          <t>IRIS0812</t>
        </is>
      </c>
      <c r="E42" s="29" t="inlineStr">
        <is>
          <t>Purva Shrivastava</t>
        </is>
      </c>
      <c r="F42" s="29" t="inlineStr">
        <is>
          <t>Senior Financial Analyst</t>
        </is>
      </c>
      <c r="G42" s="29" t="inlineStr">
        <is>
          <t>XBRL Specialist</t>
        </is>
      </c>
      <c r="H42" s="29" t="inlineStr">
        <is>
          <t>Consulting &amp; Professional Services</t>
        </is>
      </c>
      <c r="I42" s="29" t="inlineStr">
        <is>
          <t>XBRL Tagging, Conversion &amp; Filing</t>
        </is>
      </c>
      <c r="J42" s="29" t="inlineStr">
        <is>
          <t>IC</t>
        </is>
      </c>
      <c r="K42" s="29" t="inlineStr">
        <is>
          <t>RC-026</t>
        </is>
      </c>
      <c r="L42" s="29" t="inlineStr">
        <is>
          <t>Priyanka Jadhav</t>
        </is>
      </c>
      <c r="M42" s="29" t="inlineStr">
        <is>
          <t>IRIS0616</t>
        </is>
      </c>
      <c r="N42" s="29" t="n">
        <v>16.1</v>
      </c>
      <c r="O42" s="29" t="n">
        <v>15.1</v>
      </c>
      <c r="P42" s="29" t="inlineStr">
        <is>
          <t>MBA</t>
        </is>
      </c>
      <c r="Q42" s="29" t="inlineStr">
        <is>
          <t>L4 – Senior</t>
        </is>
      </c>
      <c r="R42" s="29" t="inlineStr">
        <is>
          <t>B1</t>
        </is>
      </c>
      <c r="S42" s="30" t="inlineStr">
        <is>
          <t>19 of 20</t>
        </is>
      </c>
      <c r="T42" s="31" t="inlineStr">
        <is>
          <t>• Role / sub-team: Quality check analyst, Disclosure management, Infocamere, KVK, ESG documents processing.</t>
        </is>
      </c>
      <c r="U4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2" s="31" t="inlineStr">
        <is>
          <t>Latest rating: 3 · Potential: Medium · 9-box: Core Contributor · Readiness: Develop in role</t>
        </is>
      </c>
      <c r="W42" s="31" t="inlineStr">
        <is>
          <t>C M · Au M · Ac M · L M · BI M · Exp H · 16.1 yrs vs 2–4 yrs · Edu H · MBA</t>
        </is>
      </c>
      <c r="X42" s="33" t="inlineStr">
        <is>
          <t>Open ▸</t>
        </is>
      </c>
      <c r="Y42" s="34" t="str">
        <f>IFERROR(INDEX(DL_C,MATCH($CA42,DL_KEY,0)),"M")</f>
        <v>H</v>
      </c>
      <c r="Z42" s="35" t="str">
        <f>IFERROR(INDEX(DL_Au,MATCH($CA42,DL_KEY,0)),"M")</f>
        <v>M</v>
      </c>
      <c r="AA42" s="35" t="str">
        <f>IFERROR(INDEX(DL_Ac,MATCH($CA42,DL_KEY,0)),"M")</f>
        <v>M</v>
      </c>
      <c r="AB42" s="35" t="str">
        <f>IFERROR(INDEX(DL_L,MATCH($CA42,DL_KEY,0)),"M")</f>
        <v>L</v>
      </c>
      <c r="AC42" s="35" t="str">
        <f>IFERROR(INDEX(DL_BI,MATCH($CA42,DL_KEY,0)),"M")</f>
        <v>L</v>
      </c>
      <c r="AD42" s="35" t="str">
        <f>IFERROR(INDEX(DL_Exp,MATCH($CA42,DL_KEY,0)),"M")</f>
        <v>L</v>
      </c>
      <c r="AE42" s="35" t="str">
        <f>IFERROR(INDEX(DL_Edu,MATCH($CA42,DL_KEY,0)),"M")</f>
        <v>L</v>
      </c>
      <c r="AF42" s="34" t="inlineStr">
        <is>
          <t>M</t>
        </is>
      </c>
      <c r="AG42" s="35" t="inlineStr">
        <is>
          <t>M</t>
        </is>
      </c>
      <c r="AH42" s="35" t="inlineStr">
        <is>
          <t>M</t>
        </is>
      </c>
      <c r="AI42" s="35" t="inlineStr">
        <is>
          <t>M</t>
        </is>
      </c>
      <c r="AJ42" s="35" t="inlineStr">
        <is>
          <t>M</t>
        </is>
      </c>
      <c r="AK42" s="35" t="inlineStr">
        <is>
          <t>M</t>
        </is>
      </c>
      <c r="AL42" s="35" t="inlineStr">
        <is>
          <t>M</t>
        </is>
      </c>
      <c r="AM42" s="36" t="n">
        <v>0.583</v>
      </c>
      <c r="AN42" s="37" t="n">
        <v>0.16</v>
      </c>
      <c r="AO42" s="37" t="n">
        <v>0.09</v>
      </c>
      <c r="AP42" s="37" t="n">
        <v>0</v>
      </c>
      <c r="AQ42" s="37" t="n">
        <v>0.063</v>
      </c>
      <c r="AR42" s="37" t="n">
        <v>0.06</v>
      </c>
      <c r="AS42" s="37" t="n">
        <v>0.04</v>
      </c>
      <c r="AT42" s="38" t="inlineStr">
        <is>
          <t>2–5</t>
        </is>
      </c>
      <c r="AU42" s="38" t="inlineStr">
        <is>
          <t>Graduate; relevant certification preferred</t>
        </is>
      </c>
      <c r="AV42" s="38" t="inlineStr">
        <is>
          <t>None · guides 1–3 juniors informally</t>
        </is>
      </c>
      <c r="AW42" s="38" t="inlineStr">
        <is>
          <t>P2 · SFIA 3 Apply</t>
        </is>
      </c>
      <c r="AX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 s="39" t="inlineStr">
        <is>
          <t>A3</t>
        </is>
      </c>
      <c r="AZ42" s="40" t="inlineStr">
        <is>
          <t>Band A · Practitioner · Senior Associate</t>
        </is>
      </c>
      <c r="BA42" s="40" t="inlineStr">
        <is>
          <t>Model B1 from the six ratings, the market-derived weights and rules R1–R13 · then Level rule: manager B1; a reportee sits at least one level below · B1 → A3 · move down · pay and title protected for one cycle</t>
        </is>
      </c>
      <c r="BB42" s="41" t="inlineStr">
        <is>
          <t>B1</t>
        </is>
      </c>
      <c r="BC42" s="40" t="inlineStr">
        <is>
          <t>The six ratings on the market-average weights of Band A · all tracks score 3.55 → B1 · Hay, Mercer IPE and public plans · experience 16.1 yrs vs the B1 market range 4–8</t>
        </is>
      </c>
      <c r="BD42" s="42">
        <f>IF(SUM(BM42,BN42,BO42,BP42,BQ42,BR42,BS42)=0,0,(BM42*BT42+BN42*BU42+BO42*BV42+BP42*BW42+BQ42*BX42+BR42*BY42+BS42*BZ42)/SUM(BM42,BN42,BO42,BP42,BQ42,BR42,BS42))</f>
        <v>0</v>
      </c>
      <c r="BE42" s="41" t="str">
        <f>IF(LEFT(AY42,1)="X",AY42,IF(OR(AY42="B+",AY42="C+"),INDEX(LAD_PC,MAX(1,MIN(14,MATCH(AY42,LAD_PC,0)+IF(BD42&gt;=0.5,1,IF(BD42&lt;=-0.5,-1,0))))),INDEX(LAD_STD,MAX(1,MIN(12,MATCH(AY42,LAD_STD,0)+IF(BD42&gt;=0.5,1,IF(BD42&lt;=-0.5,-1,0)))))))</f>
        <v>A3</v>
      </c>
      <c r="BF42" s="43" t="n"/>
      <c r="BG42" s="41" t="str">
        <f>IF(BF42&lt;&gt;"",BF42,BE42)</f>
        <v>A3</v>
      </c>
      <c r="BH42" s="40" t="str">
        <f>IFERROR(CHOOSE(INDEX(B_RANK,MATCH(BG42,B_LVL,0)),"Band A","Band B","B+ · Player-Coach","Band C","C+ · Player-Coach","Band D","Band E"),"Band X · Consultant")</f>
        <v>Band A</v>
      </c>
      <c r="BI42" s="40" t="str">
        <f>IF(BG42=AY42,"• Same",IF(INDEX(B_VAL,MATCH(BG42,B_LVL,0))&gt;INDEX(B_VAL,MATCH(AY42,B_LVL,0)),"▲ Up","▼ Down"))</f>
        <v>• Same</v>
      </c>
      <c r="BJ42" s="40" t="str">
        <f>IF(OR($M42="",$M42="—",$M42="Not in this file"),"",IFERROR(INDEX($BG$7:$BG$592,MATCH($M42,$D$7:$D$592,0)),""))</f>
        <v>B1</v>
      </c>
      <c r="BK42" s="40" t="str">
        <f>IFERROR(IF(BJ42="","—",IF(OR(LEFT(BG42,1)="X",LEFT(BJ42,1)="X"),"—",IF(AND(LEFT(BG42,1)="E",LEFT(BJ42,1)="E"),"Exception · Band E",IF(AND(INDEX(B_VAL,MATCH(BJ42,B_LVL,0))&gt;=7,INDEX(B_RANK,MATCH(BG42,B_LVL,0))&gt;=INDEX(B_RANK,MATCH(BJ42,B_LVL,0))),"⚠ Same band as a head manager",IF(INDEX(B_VAL,MATCH(BG42,B_LVL,0))&gt;=INDEX(B_VAL,MATCH(BJ42,B_LVL,0)),"⚠ At or above the manager's level","OK"))))),"—")</f>
        <v>OK</v>
      </c>
      <c r="BL42" s="43" t="n"/>
      <c r="BM42" s="44">
        <f>IFERROR(INDEX(LMH_PTS,MATCH(Y42,LMH_KEY,0)),0)</f>
        <v>9</v>
      </c>
      <c r="BN42" s="38">
        <f>IFERROR(INDEX(LMH_PTS,MATCH(Z42,LMH_KEY,0)),0)</f>
        <v>3</v>
      </c>
      <c r="BO42" s="38">
        <f>IFERROR(INDEX(LMH_PTS,MATCH(AA42,LMH_KEY,0)),0)</f>
        <v>3</v>
      </c>
      <c r="BP42" s="38">
        <f>IFERROR(INDEX(LMH_PTS,MATCH(AB42,LMH_KEY,0)),0)</f>
        <v>1</v>
      </c>
      <c r="BQ42" s="38">
        <f>IFERROR(INDEX(LMH_PTS,MATCH(AC42,LMH_KEY,0)),0)</f>
        <v>1</v>
      </c>
      <c r="BR42" s="38">
        <f>IFERROR(INDEX(LMH_PTS,MATCH(AD42,LMH_KEY,0)),0)</f>
        <v>1</v>
      </c>
      <c r="BS42" s="38">
        <f>IFERROR(INDEX(LMH_PTS,MATCH(AE42,LMH_KEY,0)),0)</f>
        <v>1</v>
      </c>
      <c r="BT42" s="38">
        <f>IFERROR(INDEX(LMH_STEP,MATCH(AF42,LMH_KEY,0)),0)</f>
        <v>0</v>
      </c>
      <c r="BU42" s="38">
        <f>IFERROR(INDEX(LMH_STEP,MATCH(AG42,LMH_KEY,0)),0)</f>
        <v>0</v>
      </c>
      <c r="BV42" s="38">
        <f>IFERROR(INDEX(LMH_STEP,MATCH(AH42,LMH_KEY,0)),0)</f>
        <v>0</v>
      </c>
      <c r="BW42" s="38">
        <f>IFERROR(INDEX(LMH_STEP,MATCH(AI42,LMH_KEY,0)),0)</f>
        <v>0</v>
      </c>
      <c r="BX42" s="38">
        <f>IFERROR(INDEX(LMH_STEP,MATCH(AJ42,LMH_KEY,0)),0)</f>
        <v>0</v>
      </c>
      <c r="BY42" s="38">
        <f>IFERROR(INDEX(LMH_STEP,MATCH(AK42,LMH_KEY,0)),0)</f>
        <v>0</v>
      </c>
      <c r="BZ42" s="38">
        <f>IFERROR(INDEX(LMH_STEP,MATCH(AL42,LMH_KEY,0)),0)</f>
        <v>0</v>
      </c>
      <c r="CA42" s="38" t="inlineStr">
        <is>
          <t>CARBON|Services|XBRL Specialist|A3|A</t>
        </is>
      </c>
    </row>
    <row r="43" ht="110" customHeight="1">
      <c r="A43" s="28" t="inlineStr">
        <is>
          <t>CARBON</t>
        </is>
      </c>
      <c r="B43" s="29" t="inlineStr">
        <is>
          <t>Services</t>
        </is>
      </c>
      <c r="C43" s="29" t="n">
        <v>7</v>
      </c>
      <c r="D43" s="29" t="inlineStr">
        <is>
          <t>IRIS0882</t>
        </is>
      </c>
      <c r="E43" s="29" t="inlineStr">
        <is>
          <t>Rupesh Gaikwad</t>
        </is>
      </c>
      <c r="F43" s="29" t="inlineStr">
        <is>
          <t>Senior Financial Analyst</t>
        </is>
      </c>
      <c r="G43" s="29" t="inlineStr">
        <is>
          <t>Service Delivery Specialist</t>
        </is>
      </c>
      <c r="H43" s="29" t="inlineStr">
        <is>
          <t>Consulting &amp; Professional Services</t>
        </is>
      </c>
      <c r="I43" s="29" t="inlineStr">
        <is>
          <t>Service Delivery Operations</t>
        </is>
      </c>
      <c r="J43" s="29" t="inlineStr">
        <is>
          <t>IC</t>
        </is>
      </c>
      <c r="K43" s="29" t="inlineStr">
        <is>
          <t>RC-016</t>
        </is>
      </c>
      <c r="L43" s="29" t="inlineStr">
        <is>
          <t>Priyanka Jadhav</t>
        </is>
      </c>
      <c r="M43" s="29" t="inlineStr">
        <is>
          <t>IRIS0616</t>
        </is>
      </c>
      <c r="N43" s="29" t="n">
        <v>15.1</v>
      </c>
      <c r="O43" s="29" t="n">
        <v>15.1</v>
      </c>
      <c r="P43" s="29" t="inlineStr">
        <is>
          <t>B.Com</t>
        </is>
      </c>
      <c r="Q43" s="29" t="inlineStr">
        <is>
          <t>L4 – Senior</t>
        </is>
      </c>
      <c r="R43" s="29" t="inlineStr">
        <is>
          <t>B1</t>
        </is>
      </c>
      <c r="S43" s="30" t="inlineStr">
        <is>
          <t>18 of 20</t>
        </is>
      </c>
      <c r="T43" s="31" t="inlineStr">
        <is>
          <t>• Role / sub-team: Shift handling and XBRL tagging for EU, Mauritius and MCA market.</t>
        </is>
      </c>
      <c r="U4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3" s="31" t="inlineStr">
        <is>
          <t>Latest rating: 4 · Potential: High · 9-box: Core Contributor · Readiness: Ready now</t>
        </is>
      </c>
      <c r="W43" s="31" t="inlineStr">
        <is>
          <t>C M · Au M · Ac M · L M · BI H · Exp H · 15.1 yrs vs 2–4 yrs · Edu M · B.Com</t>
        </is>
      </c>
      <c r="X43" s="33" t="inlineStr">
        <is>
          <t>Open ▸</t>
        </is>
      </c>
      <c r="Y43" s="34" t="str">
        <f>IFERROR(INDEX(DL_C,MATCH($CA43,DL_KEY,0)),"M")</f>
        <v>H</v>
      </c>
      <c r="Z43" s="35" t="str">
        <f>IFERROR(INDEX(DL_Au,MATCH($CA43,DL_KEY,0)),"M")</f>
        <v>M</v>
      </c>
      <c r="AA43" s="35" t="str">
        <f>IFERROR(INDEX(DL_Ac,MATCH($CA43,DL_KEY,0)),"M")</f>
        <v>M</v>
      </c>
      <c r="AB43" s="35" t="str">
        <f>IFERROR(INDEX(DL_L,MATCH($CA43,DL_KEY,0)),"M")</f>
        <v>L</v>
      </c>
      <c r="AC43" s="35" t="str">
        <f>IFERROR(INDEX(DL_BI,MATCH($CA43,DL_KEY,0)),"M")</f>
        <v>L</v>
      </c>
      <c r="AD43" s="35" t="str">
        <f>IFERROR(INDEX(DL_Exp,MATCH($CA43,DL_KEY,0)),"M")</f>
        <v>L</v>
      </c>
      <c r="AE43" s="35" t="str">
        <f>IFERROR(INDEX(DL_Edu,MATCH($CA43,DL_KEY,0)),"M")</f>
        <v>L</v>
      </c>
      <c r="AF43" s="34" t="inlineStr">
        <is>
          <t>M</t>
        </is>
      </c>
      <c r="AG43" s="35" t="inlineStr">
        <is>
          <t>M</t>
        </is>
      </c>
      <c r="AH43" s="35" t="inlineStr">
        <is>
          <t>M</t>
        </is>
      </c>
      <c r="AI43" s="35" t="inlineStr">
        <is>
          <t>M</t>
        </is>
      </c>
      <c r="AJ43" s="35" t="inlineStr">
        <is>
          <t>M</t>
        </is>
      </c>
      <c r="AK43" s="35" t="inlineStr">
        <is>
          <t>M</t>
        </is>
      </c>
      <c r="AL43" s="35" t="inlineStr">
        <is>
          <t>M</t>
        </is>
      </c>
      <c r="AM43" s="36" t="n">
        <v>0.583</v>
      </c>
      <c r="AN43" s="37" t="n">
        <v>0.16</v>
      </c>
      <c r="AO43" s="37" t="n">
        <v>0.09</v>
      </c>
      <c r="AP43" s="37" t="n">
        <v>0</v>
      </c>
      <c r="AQ43" s="37" t="n">
        <v>0.063</v>
      </c>
      <c r="AR43" s="37" t="n">
        <v>0.06</v>
      </c>
      <c r="AS43" s="37" t="n">
        <v>0.04</v>
      </c>
      <c r="AT43" s="38" t="inlineStr">
        <is>
          <t>2–5</t>
        </is>
      </c>
      <c r="AU43" s="38" t="inlineStr">
        <is>
          <t>Graduate; relevant certification preferred</t>
        </is>
      </c>
      <c r="AV43" s="38" t="inlineStr">
        <is>
          <t>None · guides 1–3 juniors informally</t>
        </is>
      </c>
      <c r="AW43" s="38" t="inlineStr">
        <is>
          <t>P2 · SFIA 3 Apply</t>
        </is>
      </c>
      <c r="AX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 s="39" t="inlineStr">
        <is>
          <t>A3</t>
        </is>
      </c>
      <c r="AZ43" s="40" t="inlineStr">
        <is>
          <t>Band A · Practitioner · Senior Associate</t>
        </is>
      </c>
      <c r="BA43" s="40" t="inlineStr">
        <is>
          <t>Model B1 from the six ratings, the market-derived weights and rules R1–R13 · then Level rule: manager B1; a reportee sits at least one level below · B1 → A3 · move down · pay and title protected for one cycle</t>
        </is>
      </c>
      <c r="BB43" s="41" t="inlineStr">
        <is>
          <t>B1</t>
        </is>
      </c>
      <c r="BC43" s="40" t="inlineStr">
        <is>
          <t>The six ratings on the market-average weights of Band A · all tracks score 3.69 → B1 · Hay, Mercer IPE and public plans · experience 15.1 yrs vs the B1 market range 4–8</t>
        </is>
      </c>
      <c r="BD43" s="42">
        <f>IF(SUM(BM43,BN43,BO43,BP43,BQ43,BR43,BS43)=0,0,(BM43*BT43+BN43*BU43+BO43*BV43+BP43*BW43+BQ43*BX43+BR43*BY43+BS43*BZ43)/SUM(BM43,BN43,BO43,BP43,BQ43,BR43,BS43))</f>
        <v>0</v>
      </c>
      <c r="BE43" s="41" t="str">
        <f>IF(LEFT(AY43,1)="X",AY43,IF(OR(AY43="B+",AY43="C+"),INDEX(LAD_PC,MAX(1,MIN(14,MATCH(AY43,LAD_PC,0)+IF(BD43&gt;=0.5,1,IF(BD43&lt;=-0.5,-1,0))))),INDEX(LAD_STD,MAX(1,MIN(12,MATCH(AY43,LAD_STD,0)+IF(BD43&gt;=0.5,1,IF(BD43&lt;=-0.5,-1,0)))))))</f>
        <v>A3</v>
      </c>
      <c r="BF43" s="43" t="n"/>
      <c r="BG43" s="41" t="str">
        <f>IF(BF43&lt;&gt;"",BF43,BE43)</f>
        <v>A3</v>
      </c>
      <c r="BH43" s="40" t="str">
        <f>IFERROR(CHOOSE(INDEX(B_RANK,MATCH(BG43,B_LVL,0)),"Band A","Band B","B+ · Player-Coach","Band C","C+ · Player-Coach","Band D","Band E"),"Band X · Consultant")</f>
        <v>Band A</v>
      </c>
      <c r="BI43" s="40" t="str">
        <f>IF(BG43=AY43,"• Same",IF(INDEX(B_VAL,MATCH(BG43,B_LVL,0))&gt;INDEX(B_VAL,MATCH(AY43,B_LVL,0)),"▲ Up","▼ Down"))</f>
        <v>• Same</v>
      </c>
      <c r="BJ43" s="40" t="str">
        <f>IF(OR($M43="",$M43="—",$M43="Not in this file"),"",IFERROR(INDEX($BG$7:$BG$592,MATCH($M43,$D$7:$D$592,0)),""))</f>
        <v>B1</v>
      </c>
      <c r="BK43" s="40" t="str">
        <f>IFERROR(IF(BJ43="","—",IF(OR(LEFT(BG43,1)="X",LEFT(BJ43,1)="X"),"—",IF(AND(LEFT(BG43,1)="E",LEFT(BJ43,1)="E"),"Exception · Band E",IF(AND(INDEX(B_VAL,MATCH(BJ43,B_LVL,0))&gt;=7,INDEX(B_RANK,MATCH(BG43,B_LVL,0))&gt;=INDEX(B_RANK,MATCH(BJ43,B_LVL,0))),"⚠ Same band as a head manager",IF(INDEX(B_VAL,MATCH(BG43,B_LVL,0))&gt;=INDEX(B_VAL,MATCH(BJ43,B_LVL,0)),"⚠ At or above the manager's level","OK"))))),"—")</f>
        <v>OK</v>
      </c>
      <c r="BL43" s="43" t="n"/>
      <c r="BM43" s="44">
        <f>IFERROR(INDEX(LMH_PTS,MATCH(Y43,LMH_KEY,0)),0)</f>
        <v>9</v>
      </c>
      <c r="BN43" s="38">
        <f>IFERROR(INDEX(LMH_PTS,MATCH(Z43,LMH_KEY,0)),0)</f>
        <v>3</v>
      </c>
      <c r="BO43" s="38">
        <f>IFERROR(INDEX(LMH_PTS,MATCH(AA43,LMH_KEY,0)),0)</f>
        <v>3</v>
      </c>
      <c r="BP43" s="38">
        <f>IFERROR(INDEX(LMH_PTS,MATCH(AB43,LMH_KEY,0)),0)</f>
        <v>1</v>
      </c>
      <c r="BQ43" s="38">
        <f>IFERROR(INDEX(LMH_PTS,MATCH(AC43,LMH_KEY,0)),0)</f>
        <v>1</v>
      </c>
      <c r="BR43" s="38">
        <f>IFERROR(INDEX(LMH_PTS,MATCH(AD43,LMH_KEY,0)),0)</f>
        <v>1</v>
      </c>
      <c r="BS43" s="38">
        <f>IFERROR(INDEX(LMH_PTS,MATCH(AE43,LMH_KEY,0)),0)</f>
        <v>1</v>
      </c>
      <c r="BT43" s="38">
        <f>IFERROR(INDEX(LMH_STEP,MATCH(AF43,LMH_KEY,0)),0)</f>
        <v>0</v>
      </c>
      <c r="BU43" s="38">
        <f>IFERROR(INDEX(LMH_STEP,MATCH(AG43,LMH_KEY,0)),0)</f>
        <v>0</v>
      </c>
      <c r="BV43" s="38">
        <f>IFERROR(INDEX(LMH_STEP,MATCH(AH43,LMH_KEY,0)),0)</f>
        <v>0</v>
      </c>
      <c r="BW43" s="38">
        <f>IFERROR(INDEX(LMH_STEP,MATCH(AI43,LMH_KEY,0)),0)</f>
        <v>0</v>
      </c>
      <c r="BX43" s="38">
        <f>IFERROR(INDEX(LMH_STEP,MATCH(AJ43,LMH_KEY,0)),0)</f>
        <v>0</v>
      </c>
      <c r="BY43" s="38">
        <f>IFERROR(INDEX(LMH_STEP,MATCH(AK43,LMH_KEY,0)),0)</f>
        <v>0</v>
      </c>
      <c r="BZ43" s="38">
        <f>IFERROR(INDEX(LMH_STEP,MATCH(AL43,LMH_KEY,0)),0)</f>
        <v>0</v>
      </c>
      <c r="CA43" s="38" t="inlineStr">
        <is>
          <t>CARBON|Services|Service Delivery Specialist|A3|A</t>
        </is>
      </c>
    </row>
    <row r="44" ht="110" customHeight="1">
      <c r="A44" s="28" t="inlineStr">
        <is>
          <t>CARBON</t>
        </is>
      </c>
      <c r="B44" s="29" t="inlineStr">
        <is>
          <t>Services</t>
        </is>
      </c>
      <c r="C44" s="29" t="n">
        <v>7</v>
      </c>
      <c r="D44" s="29" t="inlineStr">
        <is>
          <t>IRIS0145</t>
        </is>
      </c>
      <c r="E44" s="29" t="inlineStr">
        <is>
          <t>Sunita Ram Singh</t>
        </is>
      </c>
      <c r="F44" s="29" t="inlineStr">
        <is>
          <t>Senior Financial Analyst</t>
        </is>
      </c>
      <c r="G44" s="29" t="inlineStr">
        <is>
          <t>Senior Financial Analyst</t>
        </is>
      </c>
      <c r="H44" s="29" t="inlineStr">
        <is>
          <t>Consulting &amp; Professional Services</t>
        </is>
      </c>
      <c r="I44" s="29" t="inlineStr">
        <is>
          <t>XBRL Tagging, Conversion &amp; Filing</t>
        </is>
      </c>
      <c r="J44" s="29" t="inlineStr">
        <is>
          <t>IC</t>
        </is>
      </c>
      <c r="K44" s="29" t="inlineStr">
        <is>
          <t>RC-025</t>
        </is>
      </c>
      <c r="L44" s="29" t="inlineStr">
        <is>
          <t>Priyanka Jadhav</t>
        </is>
      </c>
      <c r="M44" s="29" t="inlineStr">
        <is>
          <t>IRIS0616</t>
        </is>
      </c>
      <c r="N44" s="29" t="n">
        <v>18.8</v>
      </c>
      <c r="O44" s="29" t="n">
        <v>18.8</v>
      </c>
      <c r="P44" s="29" t="inlineStr">
        <is>
          <t>B.Com</t>
        </is>
      </c>
      <c r="Q44" s="29" t="inlineStr">
        <is>
          <t>L4 – Senior</t>
        </is>
      </c>
      <c r="R44" s="29" t="inlineStr">
        <is>
          <t>A3</t>
        </is>
      </c>
      <c r="S44" s="30" t="inlineStr">
        <is>
          <t>20 of 20</t>
        </is>
      </c>
      <c r="T44" s="31" t="inlineStr">
        <is>
          <t>• No input received.</t>
        </is>
      </c>
      <c r="U4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4" s="31" t="inlineStr">
        <is>
          <t>Latest rating: 3 · Potential: Medium · 9-box: Core Contributor · Readiness: Develop in role</t>
        </is>
      </c>
      <c r="W44" s="31" t="inlineStr">
        <is>
          <t>C M · Au M · Ac M · L L · BI M · Exp H · 18.8 yrs vs 2–4 yrs · Edu M · B.Com</t>
        </is>
      </c>
      <c r="X44" s="33" t="inlineStr">
        <is>
          <t>Open ▸</t>
        </is>
      </c>
      <c r="Y44" s="34" t="str">
        <f>IFERROR(INDEX(DL_C,MATCH($CA44,DL_KEY,0)),"M")</f>
        <v>H</v>
      </c>
      <c r="Z44" s="35" t="str">
        <f>IFERROR(INDEX(DL_Au,MATCH($CA44,DL_KEY,0)),"M")</f>
        <v>M</v>
      </c>
      <c r="AA44" s="35" t="str">
        <f>IFERROR(INDEX(DL_Ac,MATCH($CA44,DL_KEY,0)),"M")</f>
        <v>M</v>
      </c>
      <c r="AB44" s="35" t="str">
        <f>IFERROR(INDEX(DL_L,MATCH($CA44,DL_KEY,0)),"M")</f>
        <v>L</v>
      </c>
      <c r="AC44" s="35" t="str">
        <f>IFERROR(INDEX(DL_BI,MATCH($CA44,DL_KEY,0)),"M")</f>
        <v>L</v>
      </c>
      <c r="AD44" s="35" t="str">
        <f>IFERROR(INDEX(DL_Exp,MATCH($CA44,DL_KEY,0)),"M")</f>
        <v>L</v>
      </c>
      <c r="AE44" s="35" t="str">
        <f>IFERROR(INDEX(DL_Edu,MATCH($CA44,DL_KEY,0)),"M")</f>
        <v>L</v>
      </c>
      <c r="AF44" s="34" t="inlineStr">
        <is>
          <t>M</t>
        </is>
      </c>
      <c r="AG44" s="35" t="inlineStr">
        <is>
          <t>M</t>
        </is>
      </c>
      <c r="AH44" s="35" t="inlineStr">
        <is>
          <t>M</t>
        </is>
      </c>
      <c r="AI44" s="35" t="inlineStr">
        <is>
          <t>M</t>
        </is>
      </c>
      <c r="AJ44" s="35" t="inlineStr">
        <is>
          <t>M</t>
        </is>
      </c>
      <c r="AK44" s="35" t="inlineStr">
        <is>
          <t>M</t>
        </is>
      </c>
      <c r="AL44" s="35" t="inlineStr">
        <is>
          <t>M</t>
        </is>
      </c>
      <c r="AM44" s="36" t="n">
        <v>0.583</v>
      </c>
      <c r="AN44" s="37" t="n">
        <v>0.16</v>
      </c>
      <c r="AO44" s="37" t="n">
        <v>0.09</v>
      </c>
      <c r="AP44" s="37" t="n">
        <v>0</v>
      </c>
      <c r="AQ44" s="37" t="n">
        <v>0.063</v>
      </c>
      <c r="AR44" s="37" t="n">
        <v>0.06</v>
      </c>
      <c r="AS44" s="37" t="n">
        <v>0.04</v>
      </c>
      <c r="AT44" s="38" t="inlineStr">
        <is>
          <t>2–5</t>
        </is>
      </c>
      <c r="AU44" s="38" t="inlineStr">
        <is>
          <t>Graduate; relevant certification preferred</t>
        </is>
      </c>
      <c r="AV44" s="38" t="inlineStr">
        <is>
          <t>None · guides 1–3 juniors informally</t>
        </is>
      </c>
      <c r="AW44" s="38" t="inlineStr">
        <is>
          <t>P2 · SFIA 3 Apply</t>
        </is>
      </c>
      <c r="AX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 s="39" t="inlineStr">
        <is>
          <t>A3</t>
        </is>
      </c>
      <c r="AZ44" s="40" t="inlineStr">
        <is>
          <t>Band A · Practitioner · Senior Associate</t>
        </is>
      </c>
      <c r="BA44" s="40" t="inlineStr">
        <is>
          <t>Model A3 from the six ratings, the market-derived weights and rules R1–R13 · then No change · already below the manager</t>
        </is>
      </c>
      <c r="BB44" s="41" t="inlineStr">
        <is>
          <t>B1</t>
        </is>
      </c>
      <c r="BC44" s="40" t="inlineStr">
        <is>
          <t>The six ratings on the market-average weights of Band A · all tracks score 3.53 → B1 · Hay, Mercer IPE and public plans · experience 18.8 yrs vs the B1 market range 4–8</t>
        </is>
      </c>
      <c r="BD44" s="42">
        <f>IF(SUM(BM44,BN44,BO44,BP44,BQ44,BR44,BS44)=0,0,(BM44*BT44+BN44*BU44+BO44*BV44+BP44*BW44+BQ44*BX44+BR44*BY44+BS44*BZ44)/SUM(BM44,BN44,BO44,BP44,BQ44,BR44,BS44))</f>
        <v>0</v>
      </c>
      <c r="BE44" s="41" t="str">
        <f>IF(LEFT(AY44,1)="X",AY44,IF(OR(AY44="B+",AY44="C+"),INDEX(LAD_PC,MAX(1,MIN(14,MATCH(AY44,LAD_PC,0)+IF(BD44&gt;=0.5,1,IF(BD44&lt;=-0.5,-1,0))))),INDEX(LAD_STD,MAX(1,MIN(12,MATCH(AY44,LAD_STD,0)+IF(BD44&gt;=0.5,1,IF(BD44&lt;=-0.5,-1,0)))))))</f>
        <v>A3</v>
      </c>
      <c r="BF44" s="43" t="n"/>
      <c r="BG44" s="41" t="str">
        <f>IF(BF44&lt;&gt;"",BF44,BE44)</f>
        <v>A3</v>
      </c>
      <c r="BH44" s="40" t="str">
        <f>IFERROR(CHOOSE(INDEX(B_RANK,MATCH(BG44,B_LVL,0)),"Band A","Band B","B+ · Player-Coach","Band C","C+ · Player-Coach","Band D","Band E"),"Band X · Consultant")</f>
        <v>Band A</v>
      </c>
      <c r="BI44" s="40" t="str">
        <f>IF(BG44=AY44,"• Same",IF(INDEX(B_VAL,MATCH(BG44,B_LVL,0))&gt;INDEX(B_VAL,MATCH(AY44,B_LVL,0)),"▲ Up","▼ Down"))</f>
        <v>• Same</v>
      </c>
      <c r="BJ44" s="40" t="str">
        <f>IF(OR($M44="",$M44="—",$M44="Not in this file"),"",IFERROR(INDEX($BG$7:$BG$592,MATCH($M44,$D$7:$D$592,0)),""))</f>
        <v>B1</v>
      </c>
      <c r="BK44" s="40" t="str">
        <f>IFERROR(IF(BJ44="","—",IF(OR(LEFT(BG44,1)="X",LEFT(BJ44,1)="X"),"—",IF(AND(LEFT(BG44,1)="E",LEFT(BJ44,1)="E"),"Exception · Band E",IF(AND(INDEX(B_VAL,MATCH(BJ44,B_LVL,0))&gt;=7,INDEX(B_RANK,MATCH(BG44,B_LVL,0))&gt;=INDEX(B_RANK,MATCH(BJ44,B_LVL,0))),"⚠ Same band as a head manager",IF(INDEX(B_VAL,MATCH(BG44,B_LVL,0))&gt;=INDEX(B_VAL,MATCH(BJ44,B_LVL,0)),"⚠ At or above the manager's level","OK"))))),"—")</f>
        <v>OK</v>
      </c>
      <c r="BL44" s="43" t="n"/>
      <c r="BM44" s="44">
        <f>IFERROR(INDEX(LMH_PTS,MATCH(Y44,LMH_KEY,0)),0)</f>
        <v>9</v>
      </c>
      <c r="BN44" s="38">
        <f>IFERROR(INDEX(LMH_PTS,MATCH(Z44,LMH_KEY,0)),0)</f>
        <v>3</v>
      </c>
      <c r="BO44" s="38">
        <f>IFERROR(INDEX(LMH_PTS,MATCH(AA44,LMH_KEY,0)),0)</f>
        <v>3</v>
      </c>
      <c r="BP44" s="38">
        <f>IFERROR(INDEX(LMH_PTS,MATCH(AB44,LMH_KEY,0)),0)</f>
        <v>1</v>
      </c>
      <c r="BQ44" s="38">
        <f>IFERROR(INDEX(LMH_PTS,MATCH(AC44,LMH_KEY,0)),0)</f>
        <v>1</v>
      </c>
      <c r="BR44" s="38">
        <f>IFERROR(INDEX(LMH_PTS,MATCH(AD44,LMH_KEY,0)),0)</f>
        <v>1</v>
      </c>
      <c r="BS44" s="38">
        <f>IFERROR(INDEX(LMH_PTS,MATCH(AE44,LMH_KEY,0)),0)</f>
        <v>1</v>
      </c>
      <c r="BT44" s="38">
        <f>IFERROR(INDEX(LMH_STEP,MATCH(AF44,LMH_KEY,0)),0)</f>
        <v>0</v>
      </c>
      <c r="BU44" s="38">
        <f>IFERROR(INDEX(LMH_STEP,MATCH(AG44,LMH_KEY,0)),0)</f>
        <v>0</v>
      </c>
      <c r="BV44" s="38">
        <f>IFERROR(INDEX(LMH_STEP,MATCH(AH44,LMH_KEY,0)),0)</f>
        <v>0</v>
      </c>
      <c r="BW44" s="38">
        <f>IFERROR(INDEX(LMH_STEP,MATCH(AI44,LMH_KEY,0)),0)</f>
        <v>0</v>
      </c>
      <c r="BX44" s="38">
        <f>IFERROR(INDEX(LMH_STEP,MATCH(AJ44,LMH_KEY,0)),0)</f>
        <v>0</v>
      </c>
      <c r="BY44" s="38">
        <f>IFERROR(INDEX(LMH_STEP,MATCH(AK44,LMH_KEY,0)),0)</f>
        <v>0</v>
      </c>
      <c r="BZ44" s="38">
        <f>IFERROR(INDEX(LMH_STEP,MATCH(AL44,LMH_KEY,0)),0)</f>
        <v>0</v>
      </c>
      <c r="CA44" s="38" t="inlineStr">
        <is>
          <t>CARBON|Services|Senior Financial Analyst|A3|A</t>
        </is>
      </c>
    </row>
    <row r="45" ht="110" customHeight="1">
      <c r="A45" s="28" t="inlineStr">
        <is>
          <t>CARBON</t>
        </is>
      </c>
      <c r="B45" s="29" t="inlineStr">
        <is>
          <t>Services</t>
        </is>
      </c>
      <c r="C45" s="29" t="n">
        <v>7</v>
      </c>
      <c r="D45" s="29" t="inlineStr">
        <is>
          <t>IRIS0128</t>
        </is>
      </c>
      <c r="E45" s="29" t="inlineStr">
        <is>
          <t>Supriya Thakur</t>
        </is>
      </c>
      <c r="F45" s="29" t="inlineStr">
        <is>
          <t>Financial Analyst</t>
        </is>
      </c>
      <c r="G45" s="29" t="inlineStr">
        <is>
          <t>Senior Financial Analyst</t>
        </is>
      </c>
      <c r="H45" s="29" t="inlineStr">
        <is>
          <t>Consulting &amp; Professional Services</t>
        </is>
      </c>
      <c r="I45" s="29" t="inlineStr">
        <is>
          <t>XBRL Tagging, Conversion &amp; Filing</t>
        </is>
      </c>
      <c r="J45" s="29" t="inlineStr">
        <is>
          <t>IC</t>
        </is>
      </c>
      <c r="K45" s="29" t="inlineStr">
        <is>
          <t>RC-025</t>
        </is>
      </c>
      <c r="L45" s="29" t="inlineStr">
        <is>
          <t>Priyanka Jadhav</t>
        </is>
      </c>
      <c r="M45" s="29" t="inlineStr">
        <is>
          <t>IRIS0616</t>
        </is>
      </c>
      <c r="N45" s="29" t="n">
        <v>18.9</v>
      </c>
      <c r="O45" s="29" t="n">
        <v>18.9</v>
      </c>
      <c r="P45" s="29" t="inlineStr">
        <is>
          <t>B.Com</t>
        </is>
      </c>
      <c r="Q45" s="29" t="inlineStr">
        <is>
          <t>L3 – Professional / Associate</t>
        </is>
      </c>
      <c r="R45" s="29" t="inlineStr">
        <is>
          <t>A3</t>
        </is>
      </c>
      <c r="S45" s="30" t="inlineStr">
        <is>
          <t>19 of 20</t>
        </is>
      </c>
      <c r="T45" s="31" t="inlineStr">
        <is>
          <t>• Role / sub-team: XBRL Conversion Service.</t>
        </is>
      </c>
      <c r="U4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5" s="31" t="inlineStr">
        <is>
          <t>Latest rating: 3 · Potential: Medium · 9-box: Core Contributor · Readiness: Develop in role</t>
        </is>
      </c>
      <c r="W45" s="31" t="inlineStr">
        <is>
          <t>C M · Au L · Ac M · L L · BI M · Exp H · 18.9 yrs vs 2–4 yrs · Edu M · B.Com</t>
        </is>
      </c>
      <c r="X45" s="33" t="inlineStr">
        <is>
          <t>Open ▸</t>
        </is>
      </c>
      <c r="Y45" s="34" t="str">
        <f>IFERROR(INDEX(DL_C,MATCH($CA45,DL_KEY,0)),"M")</f>
        <v>H</v>
      </c>
      <c r="Z45" s="35" t="str">
        <f>IFERROR(INDEX(DL_Au,MATCH($CA45,DL_KEY,0)),"M")</f>
        <v>M</v>
      </c>
      <c r="AA45" s="35" t="str">
        <f>IFERROR(INDEX(DL_Ac,MATCH($CA45,DL_KEY,0)),"M")</f>
        <v>M</v>
      </c>
      <c r="AB45" s="35" t="str">
        <f>IFERROR(INDEX(DL_L,MATCH($CA45,DL_KEY,0)),"M")</f>
        <v>L</v>
      </c>
      <c r="AC45" s="35" t="str">
        <f>IFERROR(INDEX(DL_BI,MATCH($CA45,DL_KEY,0)),"M")</f>
        <v>L</v>
      </c>
      <c r="AD45" s="35" t="str">
        <f>IFERROR(INDEX(DL_Exp,MATCH($CA45,DL_KEY,0)),"M")</f>
        <v>L</v>
      </c>
      <c r="AE45" s="35" t="str">
        <f>IFERROR(INDEX(DL_Edu,MATCH($CA45,DL_KEY,0)),"M")</f>
        <v>L</v>
      </c>
      <c r="AF45" s="34" t="inlineStr">
        <is>
          <t>M</t>
        </is>
      </c>
      <c r="AG45" s="35" t="inlineStr">
        <is>
          <t>M</t>
        </is>
      </c>
      <c r="AH45" s="35" t="inlineStr">
        <is>
          <t>M</t>
        </is>
      </c>
      <c r="AI45" s="35" t="inlineStr">
        <is>
          <t>M</t>
        </is>
      </c>
      <c r="AJ45" s="35" t="inlineStr">
        <is>
          <t>M</t>
        </is>
      </c>
      <c r="AK45" s="35" t="inlineStr">
        <is>
          <t>M</t>
        </is>
      </c>
      <c r="AL45" s="35" t="inlineStr">
        <is>
          <t>M</t>
        </is>
      </c>
      <c r="AM45" s="36" t="n">
        <v>0.583</v>
      </c>
      <c r="AN45" s="37" t="n">
        <v>0.16</v>
      </c>
      <c r="AO45" s="37" t="n">
        <v>0.09</v>
      </c>
      <c r="AP45" s="37" t="n">
        <v>0</v>
      </c>
      <c r="AQ45" s="37" t="n">
        <v>0.063</v>
      </c>
      <c r="AR45" s="37" t="n">
        <v>0.06</v>
      </c>
      <c r="AS45" s="37" t="n">
        <v>0.04</v>
      </c>
      <c r="AT45" s="38" t="inlineStr">
        <is>
          <t>2–5</t>
        </is>
      </c>
      <c r="AU45" s="38" t="inlineStr">
        <is>
          <t>Graduate; relevant certification preferred</t>
        </is>
      </c>
      <c r="AV45" s="38" t="inlineStr">
        <is>
          <t>None · guides 1–3 juniors informally</t>
        </is>
      </c>
      <c r="AW45" s="38" t="inlineStr">
        <is>
          <t>P2 · SFIA 3 Apply</t>
        </is>
      </c>
      <c r="AX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 s="39" t="inlineStr">
        <is>
          <t>A3</t>
        </is>
      </c>
      <c r="AZ45" s="40" t="inlineStr">
        <is>
          <t>Band A · Practitioner · Senior Associate</t>
        </is>
      </c>
      <c r="BA45" s="40" t="inlineStr">
        <is>
          <t>Model A3 from the six ratings, the market-derived weights and rules R1–R13 · then No change · already below the manager</t>
        </is>
      </c>
      <c r="BB45" s="41" t="inlineStr">
        <is>
          <t>A3</t>
        </is>
      </c>
      <c r="BC45" s="40" t="inlineStr">
        <is>
          <t>The six ratings on the market-average weights of Band A · all tracks score 3.15 → A3 · Hay, Mercer IPE and public plans · experience 18.9 yrs vs the A3 market range 2–5</t>
        </is>
      </c>
      <c r="BD45" s="42">
        <f>IF(SUM(BM45,BN45,BO45,BP45,BQ45,BR45,BS45)=0,0,(BM45*BT45+BN45*BU45+BO45*BV45+BP45*BW45+BQ45*BX45+BR45*BY45+BS45*BZ45)/SUM(BM45,BN45,BO45,BP45,BQ45,BR45,BS45))</f>
        <v>0</v>
      </c>
      <c r="BE45" s="41" t="str">
        <f>IF(LEFT(AY45,1)="X",AY45,IF(OR(AY45="B+",AY45="C+"),INDEX(LAD_PC,MAX(1,MIN(14,MATCH(AY45,LAD_PC,0)+IF(BD45&gt;=0.5,1,IF(BD45&lt;=-0.5,-1,0))))),INDEX(LAD_STD,MAX(1,MIN(12,MATCH(AY45,LAD_STD,0)+IF(BD45&gt;=0.5,1,IF(BD45&lt;=-0.5,-1,0)))))))</f>
        <v>A3</v>
      </c>
      <c r="BF45" s="43" t="n"/>
      <c r="BG45" s="41" t="str">
        <f>IF(BF45&lt;&gt;"",BF45,BE45)</f>
        <v>A3</v>
      </c>
      <c r="BH45" s="40" t="str">
        <f>IFERROR(CHOOSE(INDEX(B_RANK,MATCH(BG45,B_LVL,0)),"Band A","Band B","B+ · Player-Coach","Band C","C+ · Player-Coach","Band D","Band E"),"Band X · Consultant")</f>
        <v>Band A</v>
      </c>
      <c r="BI45" s="40" t="str">
        <f>IF(BG45=AY45,"• Same",IF(INDEX(B_VAL,MATCH(BG45,B_LVL,0))&gt;INDEX(B_VAL,MATCH(AY45,B_LVL,0)),"▲ Up","▼ Down"))</f>
        <v>• Same</v>
      </c>
      <c r="BJ45" s="40" t="str">
        <f>IF(OR($M45="",$M45="—",$M45="Not in this file"),"",IFERROR(INDEX($BG$7:$BG$592,MATCH($M45,$D$7:$D$592,0)),""))</f>
        <v>B1</v>
      </c>
      <c r="BK45" s="40" t="str">
        <f>IFERROR(IF(BJ45="","—",IF(OR(LEFT(BG45,1)="X",LEFT(BJ45,1)="X"),"—",IF(AND(LEFT(BG45,1)="E",LEFT(BJ45,1)="E"),"Exception · Band E",IF(AND(INDEX(B_VAL,MATCH(BJ45,B_LVL,0))&gt;=7,INDEX(B_RANK,MATCH(BG45,B_LVL,0))&gt;=INDEX(B_RANK,MATCH(BJ45,B_LVL,0))),"⚠ Same band as a head manager",IF(INDEX(B_VAL,MATCH(BG45,B_LVL,0))&gt;=INDEX(B_VAL,MATCH(BJ45,B_LVL,0)),"⚠ At or above the manager's level","OK"))))),"—")</f>
        <v>OK</v>
      </c>
      <c r="BL45" s="43" t="n"/>
      <c r="BM45" s="44">
        <f>IFERROR(INDEX(LMH_PTS,MATCH(Y45,LMH_KEY,0)),0)</f>
        <v>9</v>
      </c>
      <c r="BN45" s="38">
        <f>IFERROR(INDEX(LMH_PTS,MATCH(Z45,LMH_KEY,0)),0)</f>
        <v>3</v>
      </c>
      <c r="BO45" s="38">
        <f>IFERROR(INDEX(LMH_PTS,MATCH(AA45,LMH_KEY,0)),0)</f>
        <v>3</v>
      </c>
      <c r="BP45" s="38">
        <f>IFERROR(INDEX(LMH_PTS,MATCH(AB45,LMH_KEY,0)),0)</f>
        <v>1</v>
      </c>
      <c r="BQ45" s="38">
        <f>IFERROR(INDEX(LMH_PTS,MATCH(AC45,LMH_KEY,0)),0)</f>
        <v>1</v>
      </c>
      <c r="BR45" s="38">
        <f>IFERROR(INDEX(LMH_PTS,MATCH(AD45,LMH_KEY,0)),0)</f>
        <v>1</v>
      </c>
      <c r="BS45" s="38">
        <f>IFERROR(INDEX(LMH_PTS,MATCH(AE45,LMH_KEY,0)),0)</f>
        <v>1</v>
      </c>
      <c r="BT45" s="38">
        <f>IFERROR(INDEX(LMH_STEP,MATCH(AF45,LMH_KEY,0)),0)</f>
        <v>0</v>
      </c>
      <c r="BU45" s="38">
        <f>IFERROR(INDEX(LMH_STEP,MATCH(AG45,LMH_KEY,0)),0)</f>
        <v>0</v>
      </c>
      <c r="BV45" s="38">
        <f>IFERROR(INDEX(LMH_STEP,MATCH(AH45,LMH_KEY,0)),0)</f>
        <v>0</v>
      </c>
      <c r="BW45" s="38">
        <f>IFERROR(INDEX(LMH_STEP,MATCH(AI45,LMH_KEY,0)),0)</f>
        <v>0</v>
      </c>
      <c r="BX45" s="38">
        <f>IFERROR(INDEX(LMH_STEP,MATCH(AJ45,LMH_KEY,0)),0)</f>
        <v>0</v>
      </c>
      <c r="BY45" s="38">
        <f>IFERROR(INDEX(LMH_STEP,MATCH(AK45,LMH_KEY,0)),0)</f>
        <v>0</v>
      </c>
      <c r="BZ45" s="38">
        <f>IFERROR(INDEX(LMH_STEP,MATCH(AL45,LMH_KEY,0)),0)</f>
        <v>0</v>
      </c>
      <c r="CA45" s="38" t="inlineStr">
        <is>
          <t>CARBON|Services|Senior Financial Analyst|A3|A</t>
        </is>
      </c>
    </row>
    <row r="46" ht="110" customHeight="1">
      <c r="A46" s="28" t="inlineStr">
        <is>
          <t>CARBON</t>
        </is>
      </c>
      <c r="B46" s="29" t="inlineStr">
        <is>
          <t>Services</t>
        </is>
      </c>
      <c r="C46" s="29" t="n">
        <v>7</v>
      </c>
      <c r="D46" s="29" t="inlineStr">
        <is>
          <t>IRIS0819</t>
        </is>
      </c>
      <c r="E46" s="29" t="inlineStr">
        <is>
          <t>Vikram Bangera</t>
        </is>
      </c>
      <c r="F46" s="29" t="inlineStr">
        <is>
          <t>Senior Financial Analyst</t>
        </is>
      </c>
      <c r="G46" s="29" t="inlineStr">
        <is>
          <t>Senior Financial Analyst</t>
        </is>
      </c>
      <c r="H46" s="29" t="inlineStr">
        <is>
          <t>Consulting &amp; Professional Services</t>
        </is>
      </c>
      <c r="I46" s="29" t="inlineStr">
        <is>
          <t>XBRL Tagging, Conversion &amp; Filing</t>
        </is>
      </c>
      <c r="J46" s="29" t="inlineStr">
        <is>
          <t>IC</t>
        </is>
      </c>
      <c r="K46" s="29" t="inlineStr">
        <is>
          <t>RC-025</t>
        </is>
      </c>
      <c r="L46" s="29" t="inlineStr">
        <is>
          <t>Priyanka Jadhav</t>
        </is>
      </c>
      <c r="M46" s="29" t="inlineStr">
        <is>
          <t>IRIS0616</t>
        </is>
      </c>
      <c r="N46" s="29" t="n">
        <v>15.6</v>
      </c>
      <c r="O46" s="29" t="n">
        <v>15.1</v>
      </c>
      <c r="P46" s="29" t="inlineStr">
        <is>
          <t>B.Com</t>
        </is>
      </c>
      <c r="Q46" s="29" t="inlineStr">
        <is>
          <t>L4 – Senior</t>
        </is>
      </c>
      <c r="R46" s="29" t="inlineStr">
        <is>
          <t>A3</t>
        </is>
      </c>
      <c r="S46" s="30" t="inlineStr">
        <is>
          <t>18 of 20</t>
        </is>
      </c>
      <c r="T46" s="31" t="inlineStr">
        <is>
          <t>• Role / sub-team: Tagging Analyst, Disclosure management.</t>
        </is>
      </c>
      <c r="U4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6" s="31" t="inlineStr">
        <is>
          <t>Latest rating: 3 · Potential: High · 9-box: Core Contributor · Readiness: Ready in 6–12 months</t>
        </is>
      </c>
      <c r="W46" s="31" t="inlineStr">
        <is>
          <t>C M · Au M · Ac M · L M · BI M · Exp H · 15.6 yrs vs 2–4 yrs · Edu M · B.Com</t>
        </is>
      </c>
      <c r="X46" s="33" t="inlineStr">
        <is>
          <t>Open ▸</t>
        </is>
      </c>
      <c r="Y46" s="34" t="str">
        <f>IFERROR(INDEX(DL_C,MATCH($CA46,DL_KEY,0)),"M")</f>
        <v>H</v>
      </c>
      <c r="Z46" s="35" t="str">
        <f>IFERROR(INDEX(DL_Au,MATCH($CA46,DL_KEY,0)),"M")</f>
        <v>M</v>
      </c>
      <c r="AA46" s="35" t="str">
        <f>IFERROR(INDEX(DL_Ac,MATCH($CA46,DL_KEY,0)),"M")</f>
        <v>M</v>
      </c>
      <c r="AB46" s="35" t="str">
        <f>IFERROR(INDEX(DL_L,MATCH($CA46,DL_KEY,0)),"M")</f>
        <v>L</v>
      </c>
      <c r="AC46" s="35" t="str">
        <f>IFERROR(INDEX(DL_BI,MATCH($CA46,DL_KEY,0)),"M")</f>
        <v>L</v>
      </c>
      <c r="AD46" s="35" t="str">
        <f>IFERROR(INDEX(DL_Exp,MATCH($CA46,DL_KEY,0)),"M")</f>
        <v>L</v>
      </c>
      <c r="AE46" s="35" t="str">
        <f>IFERROR(INDEX(DL_Edu,MATCH($CA46,DL_KEY,0)),"M")</f>
        <v>L</v>
      </c>
      <c r="AF46" s="34" t="inlineStr">
        <is>
          <t>M</t>
        </is>
      </c>
      <c r="AG46" s="35" t="inlineStr">
        <is>
          <t>M</t>
        </is>
      </c>
      <c r="AH46" s="35" t="inlineStr">
        <is>
          <t>M</t>
        </is>
      </c>
      <c r="AI46" s="35" t="inlineStr">
        <is>
          <t>M</t>
        </is>
      </c>
      <c r="AJ46" s="35" t="inlineStr">
        <is>
          <t>M</t>
        </is>
      </c>
      <c r="AK46" s="35" t="inlineStr">
        <is>
          <t>M</t>
        </is>
      </c>
      <c r="AL46" s="35" t="inlineStr">
        <is>
          <t>M</t>
        </is>
      </c>
      <c r="AM46" s="36" t="n">
        <v>0.583</v>
      </c>
      <c r="AN46" s="37" t="n">
        <v>0.16</v>
      </c>
      <c r="AO46" s="37" t="n">
        <v>0.09</v>
      </c>
      <c r="AP46" s="37" t="n">
        <v>0</v>
      </c>
      <c r="AQ46" s="37" t="n">
        <v>0.063</v>
      </c>
      <c r="AR46" s="37" t="n">
        <v>0.06</v>
      </c>
      <c r="AS46" s="37" t="n">
        <v>0.04</v>
      </c>
      <c r="AT46" s="38" t="inlineStr">
        <is>
          <t>2–5</t>
        </is>
      </c>
      <c r="AU46" s="38" t="inlineStr">
        <is>
          <t>Graduate; relevant certification preferred</t>
        </is>
      </c>
      <c r="AV46" s="38" t="inlineStr">
        <is>
          <t>None · guides 1–3 juniors informally</t>
        </is>
      </c>
      <c r="AW46" s="38" t="inlineStr">
        <is>
          <t>P2 · SFIA 3 Apply</t>
        </is>
      </c>
      <c r="AX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 s="39" t="inlineStr">
        <is>
          <t>A3</t>
        </is>
      </c>
      <c r="AZ46" s="40" t="inlineStr">
        <is>
          <t>Band A · Practitioner · Senior Associate</t>
        </is>
      </c>
      <c r="BA46" s="40" t="inlineStr">
        <is>
          <t>Model A3 from the six ratings, the market-derived weights and rules R1–R13 · then No change · already below the manager</t>
        </is>
      </c>
      <c r="BB46" s="41" t="inlineStr">
        <is>
          <t>B1</t>
        </is>
      </c>
      <c r="BC46" s="40" t="inlineStr">
        <is>
          <t>The six ratings on the market-average weights of Band A · all tracks score 3.51 → B1 · Hay, Mercer IPE and public plans · experience 15.6 yrs vs the B1 market range 4–8</t>
        </is>
      </c>
      <c r="BD46" s="42">
        <f>IF(SUM(BM46,BN46,BO46,BP46,BQ46,BR46,BS46)=0,0,(BM46*BT46+BN46*BU46+BO46*BV46+BP46*BW46+BQ46*BX46+BR46*BY46+BS46*BZ46)/SUM(BM46,BN46,BO46,BP46,BQ46,BR46,BS46))</f>
        <v>0</v>
      </c>
      <c r="BE46" s="41" t="str">
        <f>IF(LEFT(AY46,1)="X",AY46,IF(OR(AY46="B+",AY46="C+"),INDEX(LAD_PC,MAX(1,MIN(14,MATCH(AY46,LAD_PC,0)+IF(BD46&gt;=0.5,1,IF(BD46&lt;=-0.5,-1,0))))),INDEX(LAD_STD,MAX(1,MIN(12,MATCH(AY46,LAD_STD,0)+IF(BD46&gt;=0.5,1,IF(BD46&lt;=-0.5,-1,0)))))))</f>
        <v>A3</v>
      </c>
      <c r="BF46" s="43" t="n"/>
      <c r="BG46" s="41" t="str">
        <f>IF(BF46&lt;&gt;"",BF46,BE46)</f>
        <v>A3</v>
      </c>
      <c r="BH46" s="40" t="str">
        <f>IFERROR(CHOOSE(INDEX(B_RANK,MATCH(BG46,B_LVL,0)),"Band A","Band B","B+ · Player-Coach","Band C","C+ · Player-Coach","Band D","Band E"),"Band X · Consultant")</f>
        <v>Band A</v>
      </c>
      <c r="BI46" s="40" t="str">
        <f>IF(BG46=AY46,"• Same",IF(INDEX(B_VAL,MATCH(BG46,B_LVL,0))&gt;INDEX(B_VAL,MATCH(AY46,B_LVL,0)),"▲ Up","▼ Down"))</f>
        <v>• Same</v>
      </c>
      <c r="BJ46" s="40" t="str">
        <f>IF(OR($M46="",$M46="—",$M46="Not in this file"),"",IFERROR(INDEX($BG$7:$BG$592,MATCH($M46,$D$7:$D$592,0)),""))</f>
        <v>B1</v>
      </c>
      <c r="BK46" s="40" t="str">
        <f>IFERROR(IF(BJ46="","—",IF(OR(LEFT(BG46,1)="X",LEFT(BJ46,1)="X"),"—",IF(AND(LEFT(BG46,1)="E",LEFT(BJ46,1)="E"),"Exception · Band E",IF(AND(INDEX(B_VAL,MATCH(BJ46,B_LVL,0))&gt;=7,INDEX(B_RANK,MATCH(BG46,B_LVL,0))&gt;=INDEX(B_RANK,MATCH(BJ46,B_LVL,0))),"⚠ Same band as a head manager",IF(INDEX(B_VAL,MATCH(BG46,B_LVL,0))&gt;=INDEX(B_VAL,MATCH(BJ46,B_LVL,0)),"⚠ At or above the manager's level","OK"))))),"—")</f>
        <v>OK</v>
      </c>
      <c r="BL46" s="43" t="n"/>
      <c r="BM46" s="44">
        <f>IFERROR(INDEX(LMH_PTS,MATCH(Y46,LMH_KEY,0)),0)</f>
        <v>9</v>
      </c>
      <c r="BN46" s="38">
        <f>IFERROR(INDEX(LMH_PTS,MATCH(Z46,LMH_KEY,0)),0)</f>
        <v>3</v>
      </c>
      <c r="BO46" s="38">
        <f>IFERROR(INDEX(LMH_PTS,MATCH(AA46,LMH_KEY,0)),0)</f>
        <v>3</v>
      </c>
      <c r="BP46" s="38">
        <f>IFERROR(INDEX(LMH_PTS,MATCH(AB46,LMH_KEY,0)),0)</f>
        <v>1</v>
      </c>
      <c r="BQ46" s="38">
        <f>IFERROR(INDEX(LMH_PTS,MATCH(AC46,LMH_KEY,0)),0)</f>
        <v>1</v>
      </c>
      <c r="BR46" s="38">
        <f>IFERROR(INDEX(LMH_PTS,MATCH(AD46,LMH_KEY,0)),0)</f>
        <v>1</v>
      </c>
      <c r="BS46" s="38">
        <f>IFERROR(INDEX(LMH_PTS,MATCH(AE46,LMH_KEY,0)),0)</f>
        <v>1</v>
      </c>
      <c r="BT46" s="38">
        <f>IFERROR(INDEX(LMH_STEP,MATCH(AF46,LMH_KEY,0)),0)</f>
        <v>0</v>
      </c>
      <c r="BU46" s="38">
        <f>IFERROR(INDEX(LMH_STEP,MATCH(AG46,LMH_KEY,0)),0)</f>
        <v>0</v>
      </c>
      <c r="BV46" s="38">
        <f>IFERROR(INDEX(LMH_STEP,MATCH(AH46,LMH_KEY,0)),0)</f>
        <v>0</v>
      </c>
      <c r="BW46" s="38">
        <f>IFERROR(INDEX(LMH_STEP,MATCH(AI46,LMH_KEY,0)),0)</f>
        <v>0</v>
      </c>
      <c r="BX46" s="38">
        <f>IFERROR(INDEX(LMH_STEP,MATCH(AJ46,LMH_KEY,0)),0)</f>
        <v>0</v>
      </c>
      <c r="BY46" s="38">
        <f>IFERROR(INDEX(LMH_STEP,MATCH(AK46,LMH_KEY,0)),0)</f>
        <v>0</v>
      </c>
      <c r="BZ46" s="38">
        <f>IFERROR(INDEX(LMH_STEP,MATCH(AL46,LMH_KEY,0)),0)</f>
        <v>0</v>
      </c>
      <c r="CA46" s="38" t="inlineStr">
        <is>
          <t>CARBON|Services|Senior Financial Analyst|A3|A</t>
        </is>
      </c>
    </row>
    <row r="47" ht="110" customHeight="1">
      <c r="A47" s="28" t="inlineStr">
        <is>
          <t>CARBON</t>
        </is>
      </c>
      <c r="B47" s="29" t="inlineStr">
        <is>
          <t>Services</t>
        </is>
      </c>
      <c r="C47" s="29" t="n">
        <v>6</v>
      </c>
      <c r="D47" s="29" t="inlineStr">
        <is>
          <t>IRIS0506</t>
        </is>
      </c>
      <c r="E47" s="29" t="inlineStr">
        <is>
          <t>Shailesh Kumar Sharma</t>
        </is>
      </c>
      <c r="F47" s="29" t="inlineStr">
        <is>
          <t>Process Manager</t>
        </is>
      </c>
      <c r="G47" s="29" t="inlineStr">
        <is>
          <t>Senior Manager – Service Delivery</t>
        </is>
      </c>
      <c r="H47" s="29" t="inlineStr">
        <is>
          <t>Consulting &amp; Professional Services</t>
        </is>
      </c>
      <c r="I47" s="29" t="inlineStr">
        <is>
          <t>Service Delivery Operations</t>
        </is>
      </c>
      <c r="J47" s="29" t="inlineStr">
        <is>
          <t>People Manager</t>
        </is>
      </c>
      <c r="K47" s="29" t="inlineStr">
        <is>
          <t>RC-017</t>
        </is>
      </c>
      <c r="L47" s="29" t="inlineStr">
        <is>
          <t>Shashikant Mudaliar</t>
        </is>
      </c>
      <c r="M47" s="29" t="inlineStr">
        <is>
          <t>IRIS0786</t>
        </is>
      </c>
      <c r="N47" s="29" t="n">
        <v>16</v>
      </c>
      <c r="O47" s="29" t="n">
        <v>15.7</v>
      </c>
      <c r="P47" s="29" t="inlineStr">
        <is>
          <t>B.Com</t>
        </is>
      </c>
      <c r="Q47" s="29" t="inlineStr">
        <is>
          <t>L5 – Manager</t>
        </is>
      </c>
      <c r="R47" s="29" t="inlineStr">
        <is>
          <t>B2</t>
        </is>
      </c>
      <c r="S47" s="30" t="inlineStr">
        <is>
          <t>20 of 20</t>
        </is>
      </c>
      <c r="T47" s="31" t="inlineStr">
        <is>
          <t>• Role / sub-team: XBRL Service as Pmo.</t>
        </is>
      </c>
      <c r="U47"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47" s="31" t="inlineStr">
        <is>
          <t>Latest rating: 3 · Potential: Medium · 9-box: Core Contributor · Readiness: Develop in role</t>
        </is>
      </c>
      <c r="W47" s="31" t="inlineStr">
        <is>
          <t>C M · Au H · Ac H · L H · BI H · Exp H · 16 yrs vs 4–7 yrs · Edu M · B.Com</t>
        </is>
      </c>
      <c r="X47" s="33" t="inlineStr">
        <is>
          <t>Open ▸</t>
        </is>
      </c>
      <c r="Y47" s="34" t="str">
        <f>IFERROR(INDEX(DL_C,MATCH($CA47,DL_KEY,0)),"M")</f>
        <v>H</v>
      </c>
      <c r="Z47" s="35" t="str">
        <f>IFERROR(INDEX(DL_Au,MATCH($CA47,DL_KEY,0)),"M")</f>
        <v>M</v>
      </c>
      <c r="AA47" s="35" t="str">
        <f>IFERROR(INDEX(DL_Ac,MATCH($CA47,DL_KEY,0)),"M")</f>
        <v>M</v>
      </c>
      <c r="AB47" s="35" t="str">
        <f>IFERROR(INDEX(DL_L,MATCH($CA47,DL_KEY,0)),"M")</f>
        <v>M</v>
      </c>
      <c r="AC47" s="35" t="str">
        <f>IFERROR(INDEX(DL_BI,MATCH($CA47,DL_KEY,0)),"M")</f>
        <v>L</v>
      </c>
      <c r="AD47" s="35" t="str">
        <f>IFERROR(INDEX(DL_Exp,MATCH($CA47,DL_KEY,0)),"M")</f>
        <v>L</v>
      </c>
      <c r="AE47" s="35" t="str">
        <f>IFERROR(INDEX(DL_Edu,MATCH($CA47,DL_KEY,0)),"M")</f>
        <v>L</v>
      </c>
      <c r="AF47" s="34" t="inlineStr">
        <is>
          <t>M</t>
        </is>
      </c>
      <c r="AG47" s="35" t="inlineStr">
        <is>
          <t>M</t>
        </is>
      </c>
      <c r="AH47" s="35" t="inlineStr">
        <is>
          <t>M</t>
        </is>
      </c>
      <c r="AI47" s="35" t="inlineStr">
        <is>
          <t>M</t>
        </is>
      </c>
      <c r="AJ47" s="35" t="inlineStr">
        <is>
          <t>M</t>
        </is>
      </c>
      <c r="AK47" s="35" t="inlineStr">
        <is>
          <t>M</t>
        </is>
      </c>
      <c r="AL47" s="35" t="inlineStr">
        <is>
          <t>M</t>
        </is>
      </c>
      <c r="AM47" s="36" t="n">
        <v>0.37</v>
      </c>
      <c r="AN47" s="37" t="n">
        <v>0.183</v>
      </c>
      <c r="AO47" s="37" t="n">
        <v>0.113</v>
      </c>
      <c r="AP47" s="37" t="n">
        <v>0.15</v>
      </c>
      <c r="AQ47" s="37" t="n">
        <v>0.08699999999999999</v>
      </c>
      <c r="AR47" s="37" t="n">
        <v>0.06</v>
      </c>
      <c r="AS47" s="37" t="n">
        <v>0.04</v>
      </c>
      <c r="AT47" s="38" t="inlineStr">
        <is>
          <t>4–8</t>
        </is>
      </c>
      <c r="AU47" s="38" t="inlineStr">
        <is>
          <t>Graduate + relevant qualification or certification preferred</t>
        </is>
      </c>
      <c r="AV47" s="38" t="inlineStr">
        <is>
          <t>IC: none · Team Lead: 3–5</t>
        </is>
      </c>
      <c r="AW47" s="38" t="inlineStr">
        <is>
          <t>P3 / M2 · SFIA 4 Enable</t>
        </is>
      </c>
      <c r="AX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 s="39" t="inlineStr">
        <is>
          <t>B1</t>
        </is>
      </c>
      <c r="AZ47" s="40" t="inlineStr">
        <is>
          <t>Band B · Specialist / Manager · Team Lead / Asst Manager</t>
        </is>
      </c>
      <c r="BA47" s="40" t="inlineStr">
        <is>
          <t>Model B2 from the six ratings, the market-derived weights and rules R1–R13 · then Level rule: manager B2; a reportee sits at least one level below · B2 → B1 · move down · pay and title protected for one cycle</t>
        </is>
      </c>
      <c r="BB47" s="41" t="inlineStr">
        <is>
          <t>B2</t>
        </is>
      </c>
      <c r="BC47" s="40" t="inlineStr">
        <is>
          <t>The six ratings on the market-average weights of Band B · People Manager score 5.12 → B2 · Hay, Mercer IPE and public plans · experience 16 yrs vs the B2 market range 6–10</t>
        </is>
      </c>
      <c r="BD47" s="42">
        <f>IF(SUM(BM47,BN47,BO47,BP47,BQ47,BR47,BS47)=0,0,(BM47*BT47+BN47*BU47+BO47*BV47+BP47*BW47+BQ47*BX47+BR47*BY47+BS47*BZ47)/SUM(BM47,BN47,BO47,BP47,BQ47,BR47,BS47))</f>
        <v>0</v>
      </c>
      <c r="BE47" s="41" t="str">
        <f>IF(LEFT(AY47,1)="X",AY47,IF(OR(AY47="B+",AY47="C+"),INDEX(LAD_PC,MAX(1,MIN(14,MATCH(AY47,LAD_PC,0)+IF(BD47&gt;=0.5,1,IF(BD47&lt;=-0.5,-1,0))))),INDEX(LAD_STD,MAX(1,MIN(12,MATCH(AY47,LAD_STD,0)+IF(BD47&gt;=0.5,1,IF(BD47&lt;=-0.5,-1,0)))))))</f>
        <v>B1</v>
      </c>
      <c r="BF47" s="43" t="n"/>
      <c r="BG47" s="41" t="str">
        <f>IF(BF47&lt;&gt;"",BF47,BE47)</f>
        <v>B1</v>
      </c>
      <c r="BH47" s="40" t="str">
        <f>IFERROR(CHOOSE(INDEX(B_RANK,MATCH(BG47,B_LVL,0)),"Band A","Band B","B+ · Player-Coach","Band C","C+ · Player-Coach","Band D","Band E"),"Band X · Consultant")</f>
        <v>Band B</v>
      </c>
      <c r="BI47" s="40" t="str">
        <f>IF(BG47=AY47,"• Same",IF(INDEX(B_VAL,MATCH(BG47,B_LVL,0))&gt;INDEX(B_VAL,MATCH(AY47,B_LVL,0)),"▲ Up","▼ Down"))</f>
        <v>• Same</v>
      </c>
      <c r="BJ47" s="40" t="str">
        <f>IF(OR($M47="",$M47="—",$M47="Not in this file"),"",IFERROR(INDEX($BG$7:$BG$592,MATCH($M47,$D$7:$D$592,0)),""))</f>
        <v>B2</v>
      </c>
      <c r="BK47" s="40" t="str">
        <f>IFERROR(IF(BJ47="","—",IF(OR(LEFT(BG47,1)="X",LEFT(BJ47,1)="X"),"—",IF(AND(LEFT(BG47,1)="E",LEFT(BJ47,1)="E"),"Exception · Band E",IF(AND(INDEX(B_VAL,MATCH(BJ47,B_LVL,0))&gt;=7,INDEX(B_RANK,MATCH(BG47,B_LVL,0))&gt;=INDEX(B_RANK,MATCH(BJ47,B_LVL,0))),"⚠ Same band as a head manager",IF(INDEX(B_VAL,MATCH(BG47,B_LVL,0))&gt;=INDEX(B_VAL,MATCH(BJ47,B_LVL,0)),"⚠ At or above the manager's level","OK"))))),"—")</f>
        <v>OK</v>
      </c>
      <c r="BL47" s="43" t="n"/>
      <c r="BM47" s="44">
        <f>IFERROR(INDEX(LMH_PTS,MATCH(Y47,LMH_KEY,0)),0)</f>
        <v>9</v>
      </c>
      <c r="BN47" s="38">
        <f>IFERROR(INDEX(LMH_PTS,MATCH(Z47,LMH_KEY,0)),0)</f>
        <v>3</v>
      </c>
      <c r="BO47" s="38">
        <f>IFERROR(INDEX(LMH_PTS,MATCH(AA47,LMH_KEY,0)),0)</f>
        <v>3</v>
      </c>
      <c r="BP47" s="38">
        <f>IFERROR(INDEX(LMH_PTS,MATCH(AB47,LMH_KEY,0)),0)</f>
        <v>3</v>
      </c>
      <c r="BQ47" s="38">
        <f>IFERROR(INDEX(LMH_PTS,MATCH(AC47,LMH_KEY,0)),0)</f>
        <v>1</v>
      </c>
      <c r="BR47" s="38">
        <f>IFERROR(INDEX(LMH_PTS,MATCH(AD47,LMH_KEY,0)),0)</f>
        <v>1</v>
      </c>
      <c r="BS47" s="38">
        <f>IFERROR(INDEX(LMH_PTS,MATCH(AE47,LMH_KEY,0)),0)</f>
        <v>1</v>
      </c>
      <c r="BT47" s="38">
        <f>IFERROR(INDEX(LMH_STEP,MATCH(AF47,LMH_KEY,0)),0)</f>
        <v>0</v>
      </c>
      <c r="BU47" s="38">
        <f>IFERROR(INDEX(LMH_STEP,MATCH(AG47,LMH_KEY,0)),0)</f>
        <v>0</v>
      </c>
      <c r="BV47" s="38">
        <f>IFERROR(INDEX(LMH_STEP,MATCH(AH47,LMH_KEY,0)),0)</f>
        <v>0</v>
      </c>
      <c r="BW47" s="38">
        <f>IFERROR(INDEX(LMH_STEP,MATCH(AI47,LMH_KEY,0)),0)</f>
        <v>0</v>
      </c>
      <c r="BX47" s="38">
        <f>IFERROR(INDEX(LMH_STEP,MATCH(AJ47,LMH_KEY,0)),0)</f>
        <v>0</v>
      </c>
      <c r="BY47" s="38">
        <f>IFERROR(INDEX(LMH_STEP,MATCH(AK47,LMH_KEY,0)),0)</f>
        <v>0</v>
      </c>
      <c r="BZ47" s="38">
        <f>IFERROR(INDEX(LMH_STEP,MATCH(AL47,LMH_KEY,0)),0)</f>
        <v>0</v>
      </c>
      <c r="CA47" s="38" t="inlineStr">
        <is>
          <t>CARBON|Services|Senior Manager – Service Delivery|B1|B-M</t>
        </is>
      </c>
    </row>
    <row r="48" ht="110" customHeight="1">
      <c r="A48" s="28" t="inlineStr">
        <is>
          <t>CARBON</t>
        </is>
      </c>
      <c r="B48" s="29" t="inlineStr">
        <is>
          <t>Services</t>
        </is>
      </c>
      <c r="C48" s="29" t="n">
        <v>7</v>
      </c>
      <c r="D48" s="29" t="inlineStr">
        <is>
          <t>IRIS0530</t>
        </is>
      </c>
      <c r="E48" s="29" t="inlineStr">
        <is>
          <t>Vipul Kurhade</t>
        </is>
      </c>
      <c r="F48" s="29" t="inlineStr">
        <is>
          <t>Senior Financial Analyst</t>
        </is>
      </c>
      <c r="G48" s="29" t="inlineStr">
        <is>
          <t>Team Lead – Assisted Services</t>
        </is>
      </c>
      <c r="H48" s="29" t="inlineStr">
        <is>
          <t>Consulting &amp; Professional Services</t>
        </is>
      </c>
      <c r="I48" s="29" t="inlineStr">
        <is>
          <t>XBRL Tagging, Conversion &amp; Filing</t>
        </is>
      </c>
      <c r="J48" s="29" t="inlineStr">
        <is>
          <t>People Manager</t>
        </is>
      </c>
      <c r="K48" s="29" t="inlineStr">
        <is>
          <t>RC-027</t>
        </is>
      </c>
      <c r="L48" s="29" t="inlineStr">
        <is>
          <t>Shailesh Kumar Sharma</t>
        </is>
      </c>
      <c r="M48" s="29" t="inlineStr">
        <is>
          <t>IRIS0506</t>
        </is>
      </c>
      <c r="N48" s="29" t="n">
        <v>16.6</v>
      </c>
      <c r="O48" s="29" t="n">
        <v>15.6</v>
      </c>
      <c r="P48" s="29" t="inlineStr">
        <is>
          <t>B.Com</t>
        </is>
      </c>
      <c r="Q48" s="29" t="inlineStr">
        <is>
          <t>L4 – Senior</t>
        </is>
      </c>
      <c r="R48" s="29" t="inlineStr">
        <is>
          <t>B1</t>
        </is>
      </c>
      <c r="S48" s="30" t="inlineStr">
        <is>
          <t>20 of 20</t>
        </is>
      </c>
      <c r="T48" s="31" t="inlineStr">
        <is>
          <t>• Role / sub-team: Team Lead / PMO - UK conversion team · role inferred from description.</t>
        </is>
      </c>
      <c r="U4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8" s="31" t="inlineStr">
        <is>
          <t>Latest rating: 4 · Potential: High · 9-box: Core Contributor · Readiness: Ready now</t>
        </is>
      </c>
      <c r="W48" s="31" t="inlineStr">
        <is>
          <t>C M · Au M · Ac M · L M · BI H · Exp H · 16.6 yrs vs 2–4 yrs · Edu M · B.Com</t>
        </is>
      </c>
      <c r="X48" s="33" t="inlineStr">
        <is>
          <t>Open ▸</t>
        </is>
      </c>
      <c r="Y48" s="34" t="str">
        <f>IFERROR(INDEX(DL_C,MATCH($CA48,DL_KEY,0)),"M")</f>
        <v>H</v>
      </c>
      <c r="Z48" s="35" t="str">
        <f>IFERROR(INDEX(DL_Au,MATCH($CA48,DL_KEY,0)),"M")</f>
        <v>M</v>
      </c>
      <c r="AA48" s="35" t="str">
        <f>IFERROR(INDEX(DL_Ac,MATCH($CA48,DL_KEY,0)),"M")</f>
        <v>M</v>
      </c>
      <c r="AB48" s="35" t="str">
        <f>IFERROR(INDEX(DL_L,MATCH($CA48,DL_KEY,0)),"M")</f>
        <v>L</v>
      </c>
      <c r="AC48" s="35" t="str">
        <f>IFERROR(INDEX(DL_BI,MATCH($CA48,DL_KEY,0)),"M")</f>
        <v>L</v>
      </c>
      <c r="AD48" s="35" t="str">
        <f>IFERROR(INDEX(DL_Exp,MATCH($CA48,DL_KEY,0)),"M")</f>
        <v>L</v>
      </c>
      <c r="AE48" s="35" t="str">
        <f>IFERROR(INDEX(DL_Edu,MATCH($CA48,DL_KEY,0)),"M")</f>
        <v>L</v>
      </c>
      <c r="AF48" s="34" t="inlineStr">
        <is>
          <t>M</t>
        </is>
      </c>
      <c r="AG48" s="35" t="inlineStr">
        <is>
          <t>M</t>
        </is>
      </c>
      <c r="AH48" s="35" t="inlineStr">
        <is>
          <t>M</t>
        </is>
      </c>
      <c r="AI48" s="35" t="inlineStr">
        <is>
          <t>M</t>
        </is>
      </c>
      <c r="AJ48" s="35" t="inlineStr">
        <is>
          <t>M</t>
        </is>
      </c>
      <c r="AK48" s="35" t="inlineStr">
        <is>
          <t>M</t>
        </is>
      </c>
      <c r="AL48" s="35" t="inlineStr">
        <is>
          <t>M</t>
        </is>
      </c>
      <c r="AM48" s="36" t="n">
        <v>0.583</v>
      </c>
      <c r="AN48" s="37" t="n">
        <v>0.16</v>
      </c>
      <c r="AO48" s="37" t="n">
        <v>0.09</v>
      </c>
      <c r="AP48" s="37" t="n">
        <v>0</v>
      </c>
      <c r="AQ48" s="37" t="n">
        <v>0.063</v>
      </c>
      <c r="AR48" s="37" t="n">
        <v>0.06</v>
      </c>
      <c r="AS48" s="37" t="n">
        <v>0.04</v>
      </c>
      <c r="AT48" s="38" t="inlineStr">
        <is>
          <t>2–5</t>
        </is>
      </c>
      <c r="AU48" s="38" t="inlineStr">
        <is>
          <t>Graduate; relevant certification preferred</t>
        </is>
      </c>
      <c r="AV48" s="38" t="inlineStr">
        <is>
          <t>None · guides 1–3 juniors informally</t>
        </is>
      </c>
      <c r="AW48" s="38" t="inlineStr">
        <is>
          <t>P2 · SFIA 3 Apply</t>
        </is>
      </c>
      <c r="AX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 s="39" t="inlineStr">
        <is>
          <t>A3</t>
        </is>
      </c>
      <c r="AZ48" s="40" t="inlineStr">
        <is>
          <t>Band A · Practitioner · Senior Associate</t>
        </is>
      </c>
      <c r="BA48" s="40" t="inlineStr">
        <is>
          <t>Model B1 from the six ratings, the market-derived weights and rules R1–R13 · then Level rule: manager B1; a reportee sits at least one level below · B1 → A3 · move down · pay and title protected for one cycle</t>
        </is>
      </c>
      <c r="BB48" s="41" t="inlineStr">
        <is>
          <t>B1</t>
        </is>
      </c>
      <c r="BC48" s="40" t="inlineStr">
        <is>
          <t>The six ratings on the market-average weights of Band A · all tracks score 3.58 → B1 · Hay, Mercer IPE and public plans · experience 16.6 yrs vs the B1 market range 4–8</t>
        </is>
      </c>
      <c r="BD48" s="42">
        <f>IF(SUM(BM48,BN48,BO48,BP48,BQ48,BR48,BS48)=0,0,(BM48*BT48+BN48*BU48+BO48*BV48+BP48*BW48+BQ48*BX48+BR48*BY48+BS48*BZ48)/SUM(BM48,BN48,BO48,BP48,BQ48,BR48,BS48))</f>
        <v>0</v>
      </c>
      <c r="BE48" s="41" t="str">
        <f>IF(LEFT(AY48,1)="X",AY48,IF(OR(AY48="B+",AY48="C+"),INDEX(LAD_PC,MAX(1,MIN(14,MATCH(AY48,LAD_PC,0)+IF(BD48&gt;=0.5,1,IF(BD48&lt;=-0.5,-1,0))))),INDEX(LAD_STD,MAX(1,MIN(12,MATCH(AY48,LAD_STD,0)+IF(BD48&gt;=0.5,1,IF(BD48&lt;=-0.5,-1,0)))))))</f>
        <v>A3</v>
      </c>
      <c r="BF48" s="43" t="n"/>
      <c r="BG48" s="41" t="str">
        <f>IF(BF48&lt;&gt;"",BF48,BE48)</f>
        <v>A3</v>
      </c>
      <c r="BH48" s="40" t="str">
        <f>IFERROR(CHOOSE(INDEX(B_RANK,MATCH(BG48,B_LVL,0)),"Band A","Band B","B+ · Player-Coach","Band C","C+ · Player-Coach","Band D","Band E"),"Band X · Consultant")</f>
        <v>Band A</v>
      </c>
      <c r="BI48" s="40" t="str">
        <f>IF(BG48=AY48,"• Same",IF(INDEX(B_VAL,MATCH(BG48,B_LVL,0))&gt;INDEX(B_VAL,MATCH(AY48,B_LVL,0)),"▲ Up","▼ Down"))</f>
        <v>• Same</v>
      </c>
      <c r="BJ48" s="40" t="str">
        <f>IF(OR($M48="",$M48="—",$M48="Not in this file"),"",IFERROR(INDEX($BG$7:$BG$592,MATCH($M48,$D$7:$D$592,0)),""))</f>
        <v>B1</v>
      </c>
      <c r="BK48" s="40" t="str">
        <f>IFERROR(IF(BJ48="","—",IF(OR(LEFT(BG48,1)="X",LEFT(BJ48,1)="X"),"—",IF(AND(LEFT(BG48,1)="E",LEFT(BJ48,1)="E"),"Exception · Band E",IF(AND(INDEX(B_VAL,MATCH(BJ48,B_LVL,0))&gt;=7,INDEX(B_RANK,MATCH(BG48,B_LVL,0))&gt;=INDEX(B_RANK,MATCH(BJ48,B_LVL,0))),"⚠ Same band as a head manager",IF(INDEX(B_VAL,MATCH(BG48,B_LVL,0))&gt;=INDEX(B_VAL,MATCH(BJ48,B_LVL,0)),"⚠ At or above the manager's level","OK"))))),"—")</f>
        <v>OK</v>
      </c>
      <c r="BL48" s="43" t="n"/>
      <c r="BM48" s="44">
        <f>IFERROR(INDEX(LMH_PTS,MATCH(Y48,LMH_KEY,0)),0)</f>
        <v>9</v>
      </c>
      <c r="BN48" s="38">
        <f>IFERROR(INDEX(LMH_PTS,MATCH(Z48,LMH_KEY,0)),0)</f>
        <v>3</v>
      </c>
      <c r="BO48" s="38">
        <f>IFERROR(INDEX(LMH_PTS,MATCH(AA48,LMH_KEY,0)),0)</f>
        <v>3</v>
      </c>
      <c r="BP48" s="38">
        <f>IFERROR(INDEX(LMH_PTS,MATCH(AB48,LMH_KEY,0)),0)</f>
        <v>1</v>
      </c>
      <c r="BQ48" s="38">
        <f>IFERROR(INDEX(LMH_PTS,MATCH(AC48,LMH_KEY,0)),0)</f>
        <v>1</v>
      </c>
      <c r="BR48" s="38">
        <f>IFERROR(INDEX(LMH_PTS,MATCH(AD48,LMH_KEY,0)),0)</f>
        <v>1</v>
      </c>
      <c r="BS48" s="38">
        <f>IFERROR(INDEX(LMH_PTS,MATCH(AE48,LMH_KEY,0)),0)</f>
        <v>1</v>
      </c>
      <c r="BT48" s="38">
        <f>IFERROR(INDEX(LMH_STEP,MATCH(AF48,LMH_KEY,0)),0)</f>
        <v>0</v>
      </c>
      <c r="BU48" s="38">
        <f>IFERROR(INDEX(LMH_STEP,MATCH(AG48,LMH_KEY,0)),0)</f>
        <v>0</v>
      </c>
      <c r="BV48" s="38">
        <f>IFERROR(INDEX(LMH_STEP,MATCH(AH48,LMH_KEY,0)),0)</f>
        <v>0</v>
      </c>
      <c r="BW48" s="38">
        <f>IFERROR(INDEX(LMH_STEP,MATCH(AI48,LMH_KEY,0)),0)</f>
        <v>0</v>
      </c>
      <c r="BX48" s="38">
        <f>IFERROR(INDEX(LMH_STEP,MATCH(AJ48,LMH_KEY,0)),0)</f>
        <v>0</v>
      </c>
      <c r="BY48" s="38">
        <f>IFERROR(INDEX(LMH_STEP,MATCH(AK48,LMH_KEY,0)),0)</f>
        <v>0</v>
      </c>
      <c r="BZ48" s="38">
        <f>IFERROR(INDEX(LMH_STEP,MATCH(AL48,LMH_KEY,0)),0)</f>
        <v>0</v>
      </c>
      <c r="CA48" s="38" t="inlineStr">
        <is>
          <t>CARBON|Services|Team Lead – Assisted Services|A3|A</t>
        </is>
      </c>
    </row>
    <row r="49" ht="110" customHeight="1">
      <c r="A49" s="28" t="inlineStr">
        <is>
          <t>CARBON</t>
        </is>
      </c>
      <c r="B49" s="29" t="inlineStr">
        <is>
          <t>Services</t>
        </is>
      </c>
      <c r="C49" s="29" t="n">
        <v>8</v>
      </c>
      <c r="D49" s="29" t="inlineStr">
        <is>
          <t>IRIS0415</t>
        </is>
      </c>
      <c r="E49" s="29" t="inlineStr">
        <is>
          <t>Amol Keskar</t>
        </is>
      </c>
      <c r="F49" s="29" t="inlineStr">
        <is>
          <t>Financial Analyst</t>
        </is>
      </c>
      <c r="G49" s="29" t="inlineStr">
        <is>
          <t>Senior Financial Analyst</t>
        </is>
      </c>
      <c r="H49" s="29" t="inlineStr">
        <is>
          <t>Consulting &amp; Professional Services</t>
        </is>
      </c>
      <c r="I49" s="29" t="inlineStr">
        <is>
          <t>XBRL Tagging, Conversion &amp; Filing</t>
        </is>
      </c>
      <c r="J49" s="29" t="inlineStr">
        <is>
          <t>IC</t>
        </is>
      </c>
      <c r="K49" s="29" t="inlineStr">
        <is>
          <t>RC-025</t>
        </is>
      </c>
      <c r="L49" s="29" t="inlineStr">
        <is>
          <t>Vipul Kurhade</t>
        </is>
      </c>
      <c r="M49" s="29" t="inlineStr">
        <is>
          <t>IRIS0530</t>
        </is>
      </c>
      <c r="N49" s="29" t="n">
        <v>16</v>
      </c>
      <c r="O49" s="29" t="n">
        <v>16</v>
      </c>
      <c r="P49" s="29" t="inlineStr">
        <is>
          <t>B.Com</t>
        </is>
      </c>
      <c r="Q49" s="29" t="inlineStr">
        <is>
          <t>L3 – Professional / Associate</t>
        </is>
      </c>
      <c r="R49" s="29" t="inlineStr">
        <is>
          <t>A3</t>
        </is>
      </c>
      <c r="S49" s="30" t="inlineStr">
        <is>
          <t>19 of 20</t>
        </is>
      </c>
      <c r="T49" s="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U4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9" s="31" t="inlineStr">
        <is>
          <t>Latest rating: 3 · Potential: Medium · 9-box: Core Contributor · Readiness: Develop in role</t>
        </is>
      </c>
      <c r="W49" s="31" t="inlineStr">
        <is>
          <t>C M · Au M · Ac M · L L · BI M · Exp H · 16 yrs vs 0–2 yrs · Edu M · B.Com</t>
        </is>
      </c>
      <c r="X49" s="33" t="inlineStr">
        <is>
          <t>Open ▸</t>
        </is>
      </c>
      <c r="Y49" s="34" t="str">
        <f>IFERROR(INDEX(DL_C,MATCH($CA49,DL_KEY,0)),"M")</f>
        <v>H</v>
      </c>
      <c r="Z49" s="35" t="str">
        <f>IFERROR(INDEX(DL_Au,MATCH($CA49,DL_KEY,0)),"M")</f>
        <v>M</v>
      </c>
      <c r="AA49" s="35" t="str">
        <f>IFERROR(INDEX(DL_Ac,MATCH($CA49,DL_KEY,0)),"M")</f>
        <v>M</v>
      </c>
      <c r="AB49" s="35" t="str">
        <f>IFERROR(INDEX(DL_L,MATCH($CA49,DL_KEY,0)),"M")</f>
        <v>L</v>
      </c>
      <c r="AC49" s="35" t="str">
        <f>IFERROR(INDEX(DL_BI,MATCH($CA49,DL_KEY,0)),"M")</f>
        <v>L</v>
      </c>
      <c r="AD49" s="35" t="str">
        <f>IFERROR(INDEX(DL_Exp,MATCH($CA49,DL_KEY,0)),"M")</f>
        <v>L</v>
      </c>
      <c r="AE49" s="35" t="str">
        <f>IFERROR(INDEX(DL_Edu,MATCH($CA49,DL_KEY,0)),"M")</f>
        <v>L</v>
      </c>
      <c r="AF49" s="34" t="inlineStr">
        <is>
          <t>M</t>
        </is>
      </c>
      <c r="AG49" s="35" t="inlineStr">
        <is>
          <t>M</t>
        </is>
      </c>
      <c r="AH49" s="35" t="inlineStr">
        <is>
          <t>M</t>
        </is>
      </c>
      <c r="AI49" s="35" t="inlineStr">
        <is>
          <t>M</t>
        </is>
      </c>
      <c r="AJ49" s="35" t="inlineStr">
        <is>
          <t>M</t>
        </is>
      </c>
      <c r="AK49" s="35" t="inlineStr">
        <is>
          <t>M</t>
        </is>
      </c>
      <c r="AL49" s="35" t="inlineStr">
        <is>
          <t>M</t>
        </is>
      </c>
      <c r="AM49" s="36" t="n">
        <v>0.583</v>
      </c>
      <c r="AN49" s="37" t="n">
        <v>0.16</v>
      </c>
      <c r="AO49" s="37" t="n">
        <v>0.09</v>
      </c>
      <c r="AP49" s="37" t="n">
        <v>0</v>
      </c>
      <c r="AQ49" s="37" t="n">
        <v>0.063</v>
      </c>
      <c r="AR49" s="37" t="n">
        <v>0.06</v>
      </c>
      <c r="AS49" s="37" t="n">
        <v>0.04</v>
      </c>
      <c r="AT49" s="38" t="inlineStr">
        <is>
          <t>0–3</t>
        </is>
      </c>
      <c r="AU49" s="38" t="inlineStr">
        <is>
          <t>Graduate · or diploma with experience</t>
        </is>
      </c>
      <c r="AV49" s="38" t="inlineStr">
        <is>
          <t>No direct reports</t>
        </is>
      </c>
      <c r="AW49" s="38" t="inlineStr">
        <is>
          <t>P1–P2 · SFIA 2 Assist</t>
        </is>
      </c>
      <c r="AX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 s="39" t="inlineStr">
        <is>
          <t>A2</t>
        </is>
      </c>
      <c r="AZ49" s="40" t="inlineStr">
        <is>
          <t>Band A · Practitioner · Associate</t>
        </is>
      </c>
      <c r="BA49" s="40" t="inlineStr">
        <is>
          <t>Model A3 from the six ratings, the market-derived weights and rules R1–R13 · then Level rule: manager A3; a reportee sits at least one level below · A3 → A2 · move down · pay and title protected for one cycle</t>
        </is>
      </c>
      <c r="BB49" s="41" t="inlineStr">
        <is>
          <t>A3</t>
        </is>
      </c>
      <c r="BC49" s="40" t="inlineStr">
        <is>
          <t>The six ratings on the market-average weights of Band A · all tracks score 2.68 → A3 · Hay, Mercer IPE and public plans · experience 16 yrs vs the A3 market range 2–5</t>
        </is>
      </c>
      <c r="BD49" s="42">
        <f>IF(SUM(BM49,BN49,BO49,BP49,BQ49,BR49,BS49)=0,0,(BM49*BT49+BN49*BU49+BO49*BV49+BP49*BW49+BQ49*BX49+BR49*BY49+BS49*BZ49)/SUM(BM49,BN49,BO49,BP49,BQ49,BR49,BS49))</f>
        <v>0</v>
      </c>
      <c r="BE49" s="41" t="str">
        <f>IF(LEFT(AY49,1)="X",AY49,IF(OR(AY49="B+",AY49="C+"),INDEX(LAD_PC,MAX(1,MIN(14,MATCH(AY49,LAD_PC,0)+IF(BD49&gt;=0.5,1,IF(BD49&lt;=-0.5,-1,0))))),INDEX(LAD_STD,MAX(1,MIN(12,MATCH(AY49,LAD_STD,0)+IF(BD49&gt;=0.5,1,IF(BD49&lt;=-0.5,-1,0)))))))</f>
        <v>A2</v>
      </c>
      <c r="BF49" s="43" t="n"/>
      <c r="BG49" s="41" t="str">
        <f>IF(BF49&lt;&gt;"",BF49,BE49)</f>
        <v>A2</v>
      </c>
      <c r="BH49" s="40" t="str">
        <f>IFERROR(CHOOSE(INDEX(B_RANK,MATCH(BG49,B_LVL,0)),"Band A","Band B","B+ · Player-Coach","Band C","C+ · Player-Coach","Band D","Band E"),"Band X · Consultant")</f>
        <v>Band A</v>
      </c>
      <c r="BI49" s="40" t="str">
        <f>IF(BG49=AY49,"• Same",IF(INDEX(B_VAL,MATCH(BG49,B_LVL,0))&gt;INDEX(B_VAL,MATCH(AY49,B_LVL,0)),"▲ Up","▼ Down"))</f>
        <v>• Same</v>
      </c>
      <c r="BJ49" s="40" t="str">
        <f>IF(OR($M49="",$M49="—",$M49="Not in this file"),"",IFERROR(INDEX($BG$7:$BG$592,MATCH($M49,$D$7:$D$592,0)),""))</f>
        <v>A3</v>
      </c>
      <c r="BK49" s="40" t="str">
        <f>IFERROR(IF(BJ49="","—",IF(OR(LEFT(BG49,1)="X",LEFT(BJ49,1)="X"),"—",IF(AND(LEFT(BG49,1)="E",LEFT(BJ49,1)="E"),"Exception · Band E",IF(AND(INDEX(B_VAL,MATCH(BJ49,B_LVL,0))&gt;=7,INDEX(B_RANK,MATCH(BG49,B_LVL,0))&gt;=INDEX(B_RANK,MATCH(BJ49,B_LVL,0))),"⚠ Same band as a head manager",IF(INDEX(B_VAL,MATCH(BG49,B_LVL,0))&gt;=INDEX(B_VAL,MATCH(BJ49,B_LVL,0)),"⚠ At or above the manager's level","OK"))))),"—")</f>
        <v>OK</v>
      </c>
      <c r="BL49" s="43" t="n"/>
      <c r="BM49" s="44">
        <f>IFERROR(INDEX(LMH_PTS,MATCH(Y49,LMH_KEY,0)),0)</f>
        <v>9</v>
      </c>
      <c r="BN49" s="38">
        <f>IFERROR(INDEX(LMH_PTS,MATCH(Z49,LMH_KEY,0)),0)</f>
        <v>3</v>
      </c>
      <c r="BO49" s="38">
        <f>IFERROR(INDEX(LMH_PTS,MATCH(AA49,LMH_KEY,0)),0)</f>
        <v>3</v>
      </c>
      <c r="BP49" s="38">
        <f>IFERROR(INDEX(LMH_PTS,MATCH(AB49,LMH_KEY,0)),0)</f>
        <v>1</v>
      </c>
      <c r="BQ49" s="38">
        <f>IFERROR(INDEX(LMH_PTS,MATCH(AC49,LMH_KEY,0)),0)</f>
        <v>1</v>
      </c>
      <c r="BR49" s="38">
        <f>IFERROR(INDEX(LMH_PTS,MATCH(AD49,LMH_KEY,0)),0)</f>
        <v>1</v>
      </c>
      <c r="BS49" s="38">
        <f>IFERROR(INDEX(LMH_PTS,MATCH(AE49,LMH_KEY,0)),0)</f>
        <v>1</v>
      </c>
      <c r="BT49" s="38">
        <f>IFERROR(INDEX(LMH_STEP,MATCH(AF49,LMH_KEY,0)),0)</f>
        <v>0</v>
      </c>
      <c r="BU49" s="38">
        <f>IFERROR(INDEX(LMH_STEP,MATCH(AG49,LMH_KEY,0)),0)</f>
        <v>0</v>
      </c>
      <c r="BV49" s="38">
        <f>IFERROR(INDEX(LMH_STEP,MATCH(AH49,LMH_KEY,0)),0)</f>
        <v>0</v>
      </c>
      <c r="BW49" s="38">
        <f>IFERROR(INDEX(LMH_STEP,MATCH(AI49,LMH_KEY,0)),0)</f>
        <v>0</v>
      </c>
      <c r="BX49" s="38">
        <f>IFERROR(INDEX(LMH_STEP,MATCH(AJ49,LMH_KEY,0)),0)</f>
        <v>0</v>
      </c>
      <c r="BY49" s="38">
        <f>IFERROR(INDEX(LMH_STEP,MATCH(AK49,LMH_KEY,0)),0)</f>
        <v>0</v>
      </c>
      <c r="BZ49" s="38">
        <f>IFERROR(INDEX(LMH_STEP,MATCH(AL49,LMH_KEY,0)),0)</f>
        <v>0</v>
      </c>
      <c r="CA49" s="38" t="inlineStr">
        <is>
          <t>CARBON|Services|Senior Financial Analyst|A2|A</t>
        </is>
      </c>
    </row>
    <row r="50" ht="110" customHeight="1">
      <c r="A50" s="28" t="inlineStr">
        <is>
          <t>CARBON</t>
        </is>
      </c>
      <c r="B50" s="29" t="inlineStr">
        <is>
          <t>Services</t>
        </is>
      </c>
      <c r="C50" s="29" t="n">
        <v>8</v>
      </c>
      <c r="D50" s="29" t="inlineStr">
        <is>
          <t>IRIS0566</t>
        </is>
      </c>
      <c r="E50" s="29" t="inlineStr">
        <is>
          <t>Dipak Warkhade</t>
        </is>
      </c>
      <c r="F50" s="29" t="inlineStr">
        <is>
          <t>Financial Analyst</t>
        </is>
      </c>
      <c r="G50" s="29" t="inlineStr">
        <is>
          <t>Senior Financial Analyst</t>
        </is>
      </c>
      <c r="H50" s="29" t="inlineStr">
        <is>
          <t>Consulting &amp; Professional Services</t>
        </is>
      </c>
      <c r="I50" s="29" t="inlineStr">
        <is>
          <t>XBRL Tagging, Conversion &amp; Filing</t>
        </is>
      </c>
      <c r="J50" s="29" t="inlineStr">
        <is>
          <t>IC</t>
        </is>
      </c>
      <c r="K50" s="29" t="inlineStr">
        <is>
          <t>RC-025</t>
        </is>
      </c>
      <c r="L50" s="29" t="inlineStr">
        <is>
          <t>Vipul Kurhade</t>
        </is>
      </c>
      <c r="M50" s="29" t="inlineStr">
        <is>
          <t>IRIS0530</t>
        </is>
      </c>
      <c r="N50" s="29" t="n">
        <v>15.5</v>
      </c>
      <c r="O50" s="29" t="n">
        <v>15.5</v>
      </c>
      <c r="P50" s="29" t="inlineStr">
        <is>
          <t>B.Com</t>
        </is>
      </c>
      <c r="Q50" s="29" t="inlineStr">
        <is>
          <t>L3 – Professional / Associate</t>
        </is>
      </c>
      <c r="R50" s="29" t="inlineStr">
        <is>
          <t>A3</t>
        </is>
      </c>
      <c r="S50" s="30" t="inlineStr">
        <is>
          <t>20 of 20</t>
        </is>
      </c>
      <c r="T50" s="31" t="inlineStr">
        <is>
          <t>• Role / sub-team: ESMA and CIPC.</t>
        </is>
      </c>
      <c r="U5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0" s="31" t="inlineStr">
        <is>
          <t>Latest rating: 3 · Potential: Medium · 9-box: Core Contributor · Readiness: Develop in role</t>
        </is>
      </c>
      <c r="W50" s="31" t="inlineStr">
        <is>
          <t>C M · Au M · Ac M · L L · BI M · Exp H · 15.5 yrs vs 0–2 yrs · Edu M · B.Com</t>
        </is>
      </c>
      <c r="X50" s="33" t="inlineStr">
        <is>
          <t>Open ▸</t>
        </is>
      </c>
      <c r="Y50" s="34" t="str">
        <f>IFERROR(INDEX(DL_C,MATCH($CA50,DL_KEY,0)),"M")</f>
        <v>H</v>
      </c>
      <c r="Z50" s="35" t="str">
        <f>IFERROR(INDEX(DL_Au,MATCH($CA50,DL_KEY,0)),"M")</f>
        <v>M</v>
      </c>
      <c r="AA50" s="35" t="str">
        <f>IFERROR(INDEX(DL_Ac,MATCH($CA50,DL_KEY,0)),"M")</f>
        <v>M</v>
      </c>
      <c r="AB50" s="35" t="str">
        <f>IFERROR(INDEX(DL_L,MATCH($CA50,DL_KEY,0)),"M")</f>
        <v>L</v>
      </c>
      <c r="AC50" s="35" t="str">
        <f>IFERROR(INDEX(DL_BI,MATCH($CA50,DL_KEY,0)),"M")</f>
        <v>L</v>
      </c>
      <c r="AD50" s="35" t="str">
        <f>IFERROR(INDEX(DL_Exp,MATCH($CA50,DL_KEY,0)),"M")</f>
        <v>L</v>
      </c>
      <c r="AE50" s="35" t="str">
        <f>IFERROR(INDEX(DL_Edu,MATCH($CA50,DL_KEY,0)),"M")</f>
        <v>L</v>
      </c>
      <c r="AF50" s="34" t="inlineStr">
        <is>
          <t>M</t>
        </is>
      </c>
      <c r="AG50" s="35" t="inlineStr">
        <is>
          <t>M</t>
        </is>
      </c>
      <c r="AH50" s="35" t="inlineStr">
        <is>
          <t>M</t>
        </is>
      </c>
      <c r="AI50" s="35" t="inlineStr">
        <is>
          <t>M</t>
        </is>
      </c>
      <c r="AJ50" s="35" t="inlineStr">
        <is>
          <t>M</t>
        </is>
      </c>
      <c r="AK50" s="35" t="inlineStr">
        <is>
          <t>M</t>
        </is>
      </c>
      <c r="AL50" s="35" t="inlineStr">
        <is>
          <t>M</t>
        </is>
      </c>
      <c r="AM50" s="36" t="n">
        <v>0.583</v>
      </c>
      <c r="AN50" s="37" t="n">
        <v>0.16</v>
      </c>
      <c r="AO50" s="37" t="n">
        <v>0.09</v>
      </c>
      <c r="AP50" s="37" t="n">
        <v>0</v>
      </c>
      <c r="AQ50" s="37" t="n">
        <v>0.063</v>
      </c>
      <c r="AR50" s="37" t="n">
        <v>0.06</v>
      </c>
      <c r="AS50" s="37" t="n">
        <v>0.04</v>
      </c>
      <c r="AT50" s="38" t="inlineStr">
        <is>
          <t>0–3</t>
        </is>
      </c>
      <c r="AU50" s="38" t="inlineStr">
        <is>
          <t>Graduate · or diploma with experience</t>
        </is>
      </c>
      <c r="AV50" s="38" t="inlineStr">
        <is>
          <t>No direct reports</t>
        </is>
      </c>
      <c r="AW50" s="38" t="inlineStr">
        <is>
          <t>P1–P2 · SFIA 2 Assist</t>
        </is>
      </c>
      <c r="AX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 s="39" t="inlineStr">
        <is>
          <t>A2</t>
        </is>
      </c>
      <c r="AZ50" s="40" t="inlineStr">
        <is>
          <t>Band A · Practitioner · Associate</t>
        </is>
      </c>
      <c r="BA50" s="40" t="inlineStr">
        <is>
          <t>Model A3 from the six ratings, the market-derived weights and rules R1–R13 · then Level rule: manager A3; a reportee sits at least one level below · A3 → A2 · move down · pay and title protected for one cycle</t>
        </is>
      </c>
      <c r="BB50" s="41" t="inlineStr">
        <is>
          <t>A3</t>
        </is>
      </c>
      <c r="BC50" s="40" t="inlineStr">
        <is>
          <t>The six ratings on the market-average weights of Band A · all tracks score 2.68 → A3 · Hay, Mercer IPE and public plans · experience 15.5 yrs vs the A3 market range 2–5</t>
        </is>
      </c>
      <c r="BD50" s="42">
        <f>IF(SUM(BM50,BN50,BO50,BP50,BQ50,BR50,BS50)=0,0,(BM50*BT50+BN50*BU50+BO50*BV50+BP50*BW50+BQ50*BX50+BR50*BY50+BS50*BZ50)/SUM(BM50,BN50,BO50,BP50,BQ50,BR50,BS50))</f>
        <v>0</v>
      </c>
      <c r="BE50" s="41" t="str">
        <f>IF(LEFT(AY50,1)="X",AY50,IF(OR(AY50="B+",AY50="C+"),INDEX(LAD_PC,MAX(1,MIN(14,MATCH(AY50,LAD_PC,0)+IF(BD50&gt;=0.5,1,IF(BD50&lt;=-0.5,-1,0))))),INDEX(LAD_STD,MAX(1,MIN(12,MATCH(AY50,LAD_STD,0)+IF(BD50&gt;=0.5,1,IF(BD50&lt;=-0.5,-1,0)))))))</f>
        <v>A2</v>
      </c>
      <c r="BF50" s="43" t="n"/>
      <c r="BG50" s="41" t="str">
        <f>IF(BF50&lt;&gt;"",BF50,BE50)</f>
        <v>A2</v>
      </c>
      <c r="BH50" s="40" t="str">
        <f>IFERROR(CHOOSE(INDEX(B_RANK,MATCH(BG50,B_LVL,0)),"Band A","Band B","B+ · Player-Coach","Band C","C+ · Player-Coach","Band D","Band E"),"Band X · Consultant")</f>
        <v>Band A</v>
      </c>
      <c r="BI50" s="40" t="str">
        <f>IF(BG50=AY50,"• Same",IF(INDEX(B_VAL,MATCH(BG50,B_LVL,0))&gt;INDEX(B_VAL,MATCH(AY50,B_LVL,0)),"▲ Up","▼ Down"))</f>
        <v>• Same</v>
      </c>
      <c r="BJ50" s="40" t="str">
        <f>IF(OR($M50="",$M50="—",$M50="Not in this file"),"",IFERROR(INDEX($BG$7:$BG$592,MATCH($M50,$D$7:$D$592,0)),""))</f>
        <v>A3</v>
      </c>
      <c r="BK50" s="40" t="str">
        <f>IFERROR(IF(BJ50="","—",IF(OR(LEFT(BG50,1)="X",LEFT(BJ50,1)="X"),"—",IF(AND(LEFT(BG50,1)="E",LEFT(BJ50,1)="E"),"Exception · Band E",IF(AND(INDEX(B_VAL,MATCH(BJ50,B_LVL,0))&gt;=7,INDEX(B_RANK,MATCH(BG50,B_LVL,0))&gt;=INDEX(B_RANK,MATCH(BJ50,B_LVL,0))),"⚠ Same band as a head manager",IF(INDEX(B_VAL,MATCH(BG50,B_LVL,0))&gt;=INDEX(B_VAL,MATCH(BJ50,B_LVL,0)),"⚠ At or above the manager's level","OK"))))),"—")</f>
        <v>OK</v>
      </c>
      <c r="BL50" s="43" t="n"/>
      <c r="BM50" s="44">
        <f>IFERROR(INDEX(LMH_PTS,MATCH(Y50,LMH_KEY,0)),0)</f>
        <v>9</v>
      </c>
      <c r="BN50" s="38">
        <f>IFERROR(INDEX(LMH_PTS,MATCH(Z50,LMH_KEY,0)),0)</f>
        <v>3</v>
      </c>
      <c r="BO50" s="38">
        <f>IFERROR(INDEX(LMH_PTS,MATCH(AA50,LMH_KEY,0)),0)</f>
        <v>3</v>
      </c>
      <c r="BP50" s="38">
        <f>IFERROR(INDEX(LMH_PTS,MATCH(AB50,LMH_KEY,0)),0)</f>
        <v>1</v>
      </c>
      <c r="BQ50" s="38">
        <f>IFERROR(INDEX(LMH_PTS,MATCH(AC50,LMH_KEY,0)),0)</f>
        <v>1</v>
      </c>
      <c r="BR50" s="38">
        <f>IFERROR(INDEX(LMH_PTS,MATCH(AD50,LMH_KEY,0)),0)</f>
        <v>1</v>
      </c>
      <c r="BS50" s="38">
        <f>IFERROR(INDEX(LMH_PTS,MATCH(AE50,LMH_KEY,0)),0)</f>
        <v>1</v>
      </c>
      <c r="BT50" s="38">
        <f>IFERROR(INDEX(LMH_STEP,MATCH(AF50,LMH_KEY,0)),0)</f>
        <v>0</v>
      </c>
      <c r="BU50" s="38">
        <f>IFERROR(INDEX(LMH_STEP,MATCH(AG50,LMH_KEY,0)),0)</f>
        <v>0</v>
      </c>
      <c r="BV50" s="38">
        <f>IFERROR(INDEX(LMH_STEP,MATCH(AH50,LMH_KEY,0)),0)</f>
        <v>0</v>
      </c>
      <c r="BW50" s="38">
        <f>IFERROR(INDEX(LMH_STEP,MATCH(AI50,LMH_KEY,0)),0)</f>
        <v>0</v>
      </c>
      <c r="BX50" s="38">
        <f>IFERROR(INDEX(LMH_STEP,MATCH(AJ50,LMH_KEY,0)),0)</f>
        <v>0</v>
      </c>
      <c r="BY50" s="38">
        <f>IFERROR(INDEX(LMH_STEP,MATCH(AK50,LMH_KEY,0)),0)</f>
        <v>0</v>
      </c>
      <c r="BZ50" s="38">
        <f>IFERROR(INDEX(LMH_STEP,MATCH(AL50,LMH_KEY,0)),0)</f>
        <v>0</v>
      </c>
      <c r="CA50" s="38" t="inlineStr">
        <is>
          <t>CARBON|Services|Senior Financial Analyst|A2|A</t>
        </is>
      </c>
    </row>
    <row r="51" ht="110" customHeight="1">
      <c r="A51" s="28" t="inlineStr">
        <is>
          <t>CARBON</t>
        </is>
      </c>
      <c r="B51" s="29" t="inlineStr">
        <is>
          <t>Services</t>
        </is>
      </c>
      <c r="C51" s="29" t="n">
        <v>8</v>
      </c>
      <c r="D51" s="29" t="inlineStr">
        <is>
          <t>IRIS1607</t>
        </is>
      </c>
      <c r="E51" s="29" t="inlineStr">
        <is>
          <t>Payal Gala</t>
        </is>
      </c>
      <c r="F51" s="29" t="inlineStr">
        <is>
          <t>Senior Financial Analyst</t>
        </is>
      </c>
      <c r="G51" s="29" t="inlineStr">
        <is>
          <t>Senior Financial Analyst</t>
        </is>
      </c>
      <c r="H51" s="29" t="inlineStr">
        <is>
          <t>Consulting &amp; Professional Services</t>
        </is>
      </c>
      <c r="I51" s="29" t="inlineStr">
        <is>
          <t>XBRL Tagging, Conversion &amp; Filing</t>
        </is>
      </c>
      <c r="J51" s="29" t="inlineStr">
        <is>
          <t>IC</t>
        </is>
      </c>
      <c r="K51" s="29" t="inlineStr">
        <is>
          <t>RC-025</t>
        </is>
      </c>
      <c r="L51" s="29" t="inlineStr">
        <is>
          <t>Vipul Kurhade</t>
        </is>
      </c>
      <c r="M51" s="29" t="inlineStr">
        <is>
          <t>IRIS0530</t>
        </is>
      </c>
      <c r="N51" s="29" t="n">
        <v>15.8</v>
      </c>
      <c r="O51" s="29" t="n">
        <v>9.800000000000001</v>
      </c>
      <c r="P51" s="29" t="inlineStr">
        <is>
          <t>B.Com</t>
        </is>
      </c>
      <c r="Q51" s="29" t="inlineStr">
        <is>
          <t>L4 – Senior</t>
        </is>
      </c>
      <c r="R51" s="29" t="inlineStr">
        <is>
          <t>A3</t>
        </is>
      </c>
      <c r="S51" s="30" t="inlineStr">
        <is>
          <t>20 of 20</t>
        </is>
      </c>
      <c r="T51" s="31" t="inlineStr">
        <is>
          <t>• No input received.</t>
        </is>
      </c>
      <c r="U5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1" s="31" t="inlineStr">
        <is>
          <t>Latest rating: 3 · Potential: Medium · 9-box: Core Contributor · Readiness: Develop in role</t>
        </is>
      </c>
      <c r="W51" s="31" t="inlineStr">
        <is>
          <t>C H · Au M · Ac M · L M · BI H · Exp H · 15.8 yrs vs 0–2 yrs · Edu M · B.Com</t>
        </is>
      </c>
      <c r="X51" s="33" t="inlineStr">
        <is>
          <t>Open ▸</t>
        </is>
      </c>
      <c r="Y51" s="34" t="str">
        <f>IFERROR(INDEX(DL_C,MATCH($CA51,DL_KEY,0)),"M")</f>
        <v>H</v>
      </c>
      <c r="Z51" s="35" t="str">
        <f>IFERROR(INDEX(DL_Au,MATCH($CA51,DL_KEY,0)),"M")</f>
        <v>M</v>
      </c>
      <c r="AA51" s="35" t="str">
        <f>IFERROR(INDEX(DL_Ac,MATCH($CA51,DL_KEY,0)),"M")</f>
        <v>M</v>
      </c>
      <c r="AB51" s="35" t="str">
        <f>IFERROR(INDEX(DL_L,MATCH($CA51,DL_KEY,0)),"M")</f>
        <v>L</v>
      </c>
      <c r="AC51" s="35" t="str">
        <f>IFERROR(INDEX(DL_BI,MATCH($CA51,DL_KEY,0)),"M")</f>
        <v>L</v>
      </c>
      <c r="AD51" s="35" t="str">
        <f>IFERROR(INDEX(DL_Exp,MATCH($CA51,DL_KEY,0)),"M")</f>
        <v>L</v>
      </c>
      <c r="AE51" s="35" t="str">
        <f>IFERROR(INDEX(DL_Edu,MATCH($CA51,DL_KEY,0)),"M")</f>
        <v>L</v>
      </c>
      <c r="AF51" s="34" t="inlineStr">
        <is>
          <t>M</t>
        </is>
      </c>
      <c r="AG51" s="35" t="inlineStr">
        <is>
          <t>M</t>
        </is>
      </c>
      <c r="AH51" s="35" t="inlineStr">
        <is>
          <t>M</t>
        </is>
      </c>
      <c r="AI51" s="35" t="inlineStr">
        <is>
          <t>M</t>
        </is>
      </c>
      <c r="AJ51" s="35" t="inlineStr">
        <is>
          <t>M</t>
        </is>
      </c>
      <c r="AK51" s="35" t="inlineStr">
        <is>
          <t>M</t>
        </is>
      </c>
      <c r="AL51" s="35" t="inlineStr">
        <is>
          <t>M</t>
        </is>
      </c>
      <c r="AM51" s="36" t="n">
        <v>0.583</v>
      </c>
      <c r="AN51" s="37" t="n">
        <v>0.16</v>
      </c>
      <c r="AO51" s="37" t="n">
        <v>0.09</v>
      </c>
      <c r="AP51" s="37" t="n">
        <v>0</v>
      </c>
      <c r="AQ51" s="37" t="n">
        <v>0.063</v>
      </c>
      <c r="AR51" s="37" t="n">
        <v>0.06</v>
      </c>
      <c r="AS51" s="37" t="n">
        <v>0.04</v>
      </c>
      <c r="AT51" s="38" t="inlineStr">
        <is>
          <t>0–3</t>
        </is>
      </c>
      <c r="AU51" s="38" t="inlineStr">
        <is>
          <t>Graduate · or diploma with experience</t>
        </is>
      </c>
      <c r="AV51" s="38" t="inlineStr">
        <is>
          <t>No direct reports</t>
        </is>
      </c>
      <c r="AW51" s="38" t="inlineStr">
        <is>
          <t>P1–P2 · SFIA 2 Assist</t>
        </is>
      </c>
      <c r="AX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 s="39" t="inlineStr">
        <is>
          <t>A2</t>
        </is>
      </c>
      <c r="AZ51" s="40" t="inlineStr">
        <is>
          <t>Band A · Practitioner · Associate</t>
        </is>
      </c>
      <c r="BA51" s="40" t="inlineStr">
        <is>
          <t>Model A3 from the six ratings, the market-derived weights and rules R1–R13 · then Level rule: manager A3; a reportee sits at least one level below · A3 → A2 · move down · pay and title protected for one cycle</t>
        </is>
      </c>
      <c r="BB51" s="41" t="inlineStr">
        <is>
          <t>A3</t>
        </is>
      </c>
      <c r="BC51" s="40" t="inlineStr">
        <is>
          <t>The six ratings on the market-average weights of Band A · all tracks score 3.43 → A3 · Hay, Mercer IPE and public plans · experience 15.8 yrs vs the A3 market range 2–5</t>
        </is>
      </c>
      <c r="BD51" s="42">
        <f>IF(SUM(BM51,BN51,BO51,BP51,BQ51,BR51,BS51)=0,0,(BM51*BT51+BN51*BU51+BO51*BV51+BP51*BW51+BQ51*BX51+BR51*BY51+BS51*BZ51)/SUM(BM51,BN51,BO51,BP51,BQ51,BR51,BS51))</f>
        <v>0</v>
      </c>
      <c r="BE51" s="41" t="str">
        <f>IF(LEFT(AY51,1)="X",AY51,IF(OR(AY51="B+",AY51="C+"),INDEX(LAD_PC,MAX(1,MIN(14,MATCH(AY51,LAD_PC,0)+IF(BD51&gt;=0.5,1,IF(BD51&lt;=-0.5,-1,0))))),INDEX(LAD_STD,MAX(1,MIN(12,MATCH(AY51,LAD_STD,0)+IF(BD51&gt;=0.5,1,IF(BD51&lt;=-0.5,-1,0)))))))</f>
        <v>A2</v>
      </c>
      <c r="BF51" s="43" t="n"/>
      <c r="BG51" s="41" t="str">
        <f>IF(BF51&lt;&gt;"",BF51,BE51)</f>
        <v>A2</v>
      </c>
      <c r="BH51" s="40" t="str">
        <f>IFERROR(CHOOSE(INDEX(B_RANK,MATCH(BG51,B_LVL,0)),"Band A","Band B","B+ · Player-Coach","Band C","C+ · Player-Coach","Band D","Band E"),"Band X · Consultant")</f>
        <v>Band A</v>
      </c>
      <c r="BI51" s="40" t="str">
        <f>IF(BG51=AY51,"• Same",IF(INDEX(B_VAL,MATCH(BG51,B_LVL,0))&gt;INDEX(B_VAL,MATCH(AY51,B_LVL,0)),"▲ Up","▼ Down"))</f>
        <v>• Same</v>
      </c>
      <c r="BJ51" s="40" t="str">
        <f>IF(OR($M51="",$M51="—",$M51="Not in this file"),"",IFERROR(INDEX($BG$7:$BG$592,MATCH($M51,$D$7:$D$592,0)),""))</f>
        <v>A3</v>
      </c>
      <c r="BK51" s="40" t="str">
        <f>IFERROR(IF(BJ51="","—",IF(OR(LEFT(BG51,1)="X",LEFT(BJ51,1)="X"),"—",IF(AND(LEFT(BG51,1)="E",LEFT(BJ51,1)="E"),"Exception · Band E",IF(AND(INDEX(B_VAL,MATCH(BJ51,B_LVL,0))&gt;=7,INDEX(B_RANK,MATCH(BG51,B_LVL,0))&gt;=INDEX(B_RANK,MATCH(BJ51,B_LVL,0))),"⚠ Same band as a head manager",IF(INDEX(B_VAL,MATCH(BG51,B_LVL,0))&gt;=INDEX(B_VAL,MATCH(BJ51,B_LVL,0)),"⚠ At or above the manager's level","OK"))))),"—")</f>
        <v>OK</v>
      </c>
      <c r="BL51" s="43" t="n"/>
      <c r="BM51" s="44">
        <f>IFERROR(INDEX(LMH_PTS,MATCH(Y51,LMH_KEY,0)),0)</f>
        <v>9</v>
      </c>
      <c r="BN51" s="38">
        <f>IFERROR(INDEX(LMH_PTS,MATCH(Z51,LMH_KEY,0)),0)</f>
        <v>3</v>
      </c>
      <c r="BO51" s="38">
        <f>IFERROR(INDEX(LMH_PTS,MATCH(AA51,LMH_KEY,0)),0)</f>
        <v>3</v>
      </c>
      <c r="BP51" s="38">
        <f>IFERROR(INDEX(LMH_PTS,MATCH(AB51,LMH_KEY,0)),0)</f>
        <v>1</v>
      </c>
      <c r="BQ51" s="38">
        <f>IFERROR(INDEX(LMH_PTS,MATCH(AC51,LMH_KEY,0)),0)</f>
        <v>1</v>
      </c>
      <c r="BR51" s="38">
        <f>IFERROR(INDEX(LMH_PTS,MATCH(AD51,LMH_KEY,0)),0)</f>
        <v>1</v>
      </c>
      <c r="BS51" s="38">
        <f>IFERROR(INDEX(LMH_PTS,MATCH(AE51,LMH_KEY,0)),0)</f>
        <v>1</v>
      </c>
      <c r="BT51" s="38">
        <f>IFERROR(INDEX(LMH_STEP,MATCH(AF51,LMH_KEY,0)),0)</f>
        <v>0</v>
      </c>
      <c r="BU51" s="38">
        <f>IFERROR(INDEX(LMH_STEP,MATCH(AG51,LMH_KEY,0)),0)</f>
        <v>0</v>
      </c>
      <c r="BV51" s="38">
        <f>IFERROR(INDEX(LMH_STEP,MATCH(AH51,LMH_KEY,0)),0)</f>
        <v>0</v>
      </c>
      <c r="BW51" s="38">
        <f>IFERROR(INDEX(LMH_STEP,MATCH(AI51,LMH_KEY,0)),0)</f>
        <v>0</v>
      </c>
      <c r="BX51" s="38">
        <f>IFERROR(INDEX(LMH_STEP,MATCH(AJ51,LMH_KEY,0)),0)</f>
        <v>0</v>
      </c>
      <c r="BY51" s="38">
        <f>IFERROR(INDEX(LMH_STEP,MATCH(AK51,LMH_KEY,0)),0)</f>
        <v>0</v>
      </c>
      <c r="BZ51" s="38">
        <f>IFERROR(INDEX(LMH_STEP,MATCH(AL51,LMH_KEY,0)),0)</f>
        <v>0</v>
      </c>
      <c r="CA51" s="38" t="inlineStr">
        <is>
          <t>CARBON|Services|Senior Financial Analyst|A2|A</t>
        </is>
      </c>
    </row>
    <row r="52" ht="110" customHeight="1">
      <c r="A52" s="28" t="inlineStr">
        <is>
          <t>CARBON</t>
        </is>
      </c>
      <c r="B52" s="29" t="inlineStr">
        <is>
          <t>Services</t>
        </is>
      </c>
      <c r="C52" s="29" t="n">
        <v>8</v>
      </c>
      <c r="D52" s="29" t="inlineStr">
        <is>
          <t>IRIS0222</t>
        </is>
      </c>
      <c r="E52" s="29" t="inlineStr">
        <is>
          <t>Prerna Savaratkar</t>
        </is>
      </c>
      <c r="F52" s="29" t="inlineStr">
        <is>
          <t>Financial Analyst</t>
        </is>
      </c>
      <c r="G52" s="29" t="inlineStr">
        <is>
          <t>Senior Financial Analyst</t>
        </is>
      </c>
      <c r="H52" s="29" t="inlineStr">
        <is>
          <t>Consulting &amp; Professional Services</t>
        </is>
      </c>
      <c r="I52" s="29" t="inlineStr">
        <is>
          <t>XBRL Tagging, Conversion &amp; Filing</t>
        </is>
      </c>
      <c r="J52" s="29" t="inlineStr">
        <is>
          <t>IC</t>
        </is>
      </c>
      <c r="K52" s="29" t="inlineStr">
        <is>
          <t>RC-025</t>
        </is>
      </c>
      <c r="L52" s="29" t="inlineStr">
        <is>
          <t>Vipul Kurhade</t>
        </is>
      </c>
      <c r="M52" s="29" t="inlineStr">
        <is>
          <t>IRIS0530</t>
        </is>
      </c>
      <c r="N52" s="29" t="n">
        <v>18</v>
      </c>
      <c r="O52" s="29" t="n">
        <v>18</v>
      </c>
      <c r="P52" s="29" t="inlineStr">
        <is>
          <t>B.Com</t>
        </is>
      </c>
      <c r="Q52" s="29" t="inlineStr">
        <is>
          <t>L3 – Professional / Associate</t>
        </is>
      </c>
      <c r="R52" s="29" t="inlineStr">
        <is>
          <t>A3</t>
        </is>
      </c>
      <c r="S52" s="30" t="inlineStr">
        <is>
          <t>19 of 20</t>
        </is>
      </c>
      <c r="T52" s="31" t="inlineStr">
        <is>
          <t>• Role / sub-team: Tagging Ixbrl - uk.</t>
        </is>
      </c>
      <c r="U5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2" s="31" t="inlineStr">
        <is>
          <t>Latest rating: 3 · Potential: Medium · 9-box: Core Contributor · Readiness: Develop in role</t>
        </is>
      </c>
      <c r="W52" s="31" t="inlineStr">
        <is>
          <t>C M · Au M · Ac M · L L · BI M · Exp H · 18 yrs vs 0–2 yrs · Edu M · B.Com</t>
        </is>
      </c>
      <c r="X52" s="33" t="inlineStr">
        <is>
          <t>Open ▸</t>
        </is>
      </c>
      <c r="Y52" s="34" t="str">
        <f>IFERROR(INDEX(DL_C,MATCH($CA52,DL_KEY,0)),"M")</f>
        <v>H</v>
      </c>
      <c r="Z52" s="35" t="str">
        <f>IFERROR(INDEX(DL_Au,MATCH($CA52,DL_KEY,0)),"M")</f>
        <v>M</v>
      </c>
      <c r="AA52" s="35" t="str">
        <f>IFERROR(INDEX(DL_Ac,MATCH($CA52,DL_KEY,0)),"M")</f>
        <v>M</v>
      </c>
      <c r="AB52" s="35" t="str">
        <f>IFERROR(INDEX(DL_L,MATCH($CA52,DL_KEY,0)),"M")</f>
        <v>L</v>
      </c>
      <c r="AC52" s="35" t="str">
        <f>IFERROR(INDEX(DL_BI,MATCH($CA52,DL_KEY,0)),"M")</f>
        <v>L</v>
      </c>
      <c r="AD52" s="35" t="str">
        <f>IFERROR(INDEX(DL_Exp,MATCH($CA52,DL_KEY,0)),"M")</f>
        <v>L</v>
      </c>
      <c r="AE52" s="35" t="str">
        <f>IFERROR(INDEX(DL_Edu,MATCH($CA52,DL_KEY,0)),"M")</f>
        <v>L</v>
      </c>
      <c r="AF52" s="34" t="inlineStr">
        <is>
          <t>M</t>
        </is>
      </c>
      <c r="AG52" s="35" t="inlineStr">
        <is>
          <t>M</t>
        </is>
      </c>
      <c r="AH52" s="35" t="inlineStr">
        <is>
          <t>M</t>
        </is>
      </c>
      <c r="AI52" s="35" t="inlineStr">
        <is>
          <t>M</t>
        </is>
      </c>
      <c r="AJ52" s="35" t="inlineStr">
        <is>
          <t>M</t>
        </is>
      </c>
      <c r="AK52" s="35" t="inlineStr">
        <is>
          <t>M</t>
        </is>
      </c>
      <c r="AL52" s="35" t="inlineStr">
        <is>
          <t>M</t>
        </is>
      </c>
      <c r="AM52" s="36" t="n">
        <v>0.583</v>
      </c>
      <c r="AN52" s="37" t="n">
        <v>0.16</v>
      </c>
      <c r="AO52" s="37" t="n">
        <v>0.09</v>
      </c>
      <c r="AP52" s="37" t="n">
        <v>0</v>
      </c>
      <c r="AQ52" s="37" t="n">
        <v>0.063</v>
      </c>
      <c r="AR52" s="37" t="n">
        <v>0.06</v>
      </c>
      <c r="AS52" s="37" t="n">
        <v>0.04</v>
      </c>
      <c r="AT52" s="38" t="inlineStr">
        <is>
          <t>0–3</t>
        </is>
      </c>
      <c r="AU52" s="38" t="inlineStr">
        <is>
          <t>Graduate · or diploma with experience</t>
        </is>
      </c>
      <c r="AV52" s="38" t="inlineStr">
        <is>
          <t>No direct reports</t>
        </is>
      </c>
      <c r="AW52" s="38" t="inlineStr">
        <is>
          <t>P1–P2 · SFIA 2 Assist</t>
        </is>
      </c>
      <c r="AX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 s="39" t="inlineStr">
        <is>
          <t>A2</t>
        </is>
      </c>
      <c r="AZ52" s="40" t="inlineStr">
        <is>
          <t>Band A · Practitioner · Associate</t>
        </is>
      </c>
      <c r="BA52" s="40" t="inlineStr">
        <is>
          <t>Model A3 from the six ratings, the market-derived weights and rules R1–R13 · then Level rule: manager A3; a reportee sits at least one level below · A3 → A2 · move down · pay and title protected for one cycle</t>
        </is>
      </c>
      <c r="BB52" s="41" t="inlineStr">
        <is>
          <t>A3</t>
        </is>
      </c>
      <c r="BC52" s="40" t="inlineStr">
        <is>
          <t>The six ratings on the market-average weights of Band A · all tracks score 3.03 → A3 · Hay, Mercer IPE and public plans · experience 18 yrs vs the A3 market range 2–5</t>
        </is>
      </c>
      <c r="BD52" s="42">
        <f>IF(SUM(BM52,BN52,BO52,BP52,BQ52,BR52,BS52)=0,0,(BM52*BT52+BN52*BU52+BO52*BV52+BP52*BW52+BQ52*BX52+BR52*BY52+BS52*BZ52)/SUM(BM52,BN52,BO52,BP52,BQ52,BR52,BS52))</f>
        <v>0</v>
      </c>
      <c r="BE52" s="41" t="str">
        <f>IF(LEFT(AY52,1)="X",AY52,IF(OR(AY52="B+",AY52="C+"),INDEX(LAD_PC,MAX(1,MIN(14,MATCH(AY52,LAD_PC,0)+IF(BD52&gt;=0.5,1,IF(BD52&lt;=-0.5,-1,0))))),INDEX(LAD_STD,MAX(1,MIN(12,MATCH(AY52,LAD_STD,0)+IF(BD52&gt;=0.5,1,IF(BD52&lt;=-0.5,-1,0)))))))</f>
        <v>A2</v>
      </c>
      <c r="BF52" s="43" t="n"/>
      <c r="BG52" s="41" t="str">
        <f>IF(BF52&lt;&gt;"",BF52,BE52)</f>
        <v>A2</v>
      </c>
      <c r="BH52" s="40" t="str">
        <f>IFERROR(CHOOSE(INDEX(B_RANK,MATCH(BG52,B_LVL,0)),"Band A","Band B","B+ · Player-Coach","Band C","C+ · Player-Coach","Band D","Band E"),"Band X · Consultant")</f>
        <v>Band A</v>
      </c>
      <c r="BI52" s="40" t="str">
        <f>IF(BG52=AY52,"• Same",IF(INDEX(B_VAL,MATCH(BG52,B_LVL,0))&gt;INDEX(B_VAL,MATCH(AY52,B_LVL,0)),"▲ Up","▼ Down"))</f>
        <v>• Same</v>
      </c>
      <c r="BJ52" s="40" t="str">
        <f>IF(OR($M52="",$M52="—",$M52="Not in this file"),"",IFERROR(INDEX($BG$7:$BG$592,MATCH($M52,$D$7:$D$592,0)),""))</f>
        <v>A3</v>
      </c>
      <c r="BK52" s="40" t="str">
        <f>IFERROR(IF(BJ52="","—",IF(OR(LEFT(BG52,1)="X",LEFT(BJ52,1)="X"),"—",IF(AND(LEFT(BG52,1)="E",LEFT(BJ52,1)="E"),"Exception · Band E",IF(AND(INDEX(B_VAL,MATCH(BJ52,B_LVL,0))&gt;=7,INDEX(B_RANK,MATCH(BG52,B_LVL,0))&gt;=INDEX(B_RANK,MATCH(BJ52,B_LVL,0))),"⚠ Same band as a head manager",IF(INDEX(B_VAL,MATCH(BG52,B_LVL,0))&gt;=INDEX(B_VAL,MATCH(BJ52,B_LVL,0)),"⚠ At or above the manager's level","OK"))))),"—")</f>
        <v>OK</v>
      </c>
      <c r="BL52" s="43" t="n"/>
      <c r="BM52" s="44">
        <f>IFERROR(INDEX(LMH_PTS,MATCH(Y52,LMH_KEY,0)),0)</f>
        <v>9</v>
      </c>
      <c r="BN52" s="38">
        <f>IFERROR(INDEX(LMH_PTS,MATCH(Z52,LMH_KEY,0)),0)</f>
        <v>3</v>
      </c>
      <c r="BO52" s="38">
        <f>IFERROR(INDEX(LMH_PTS,MATCH(AA52,LMH_KEY,0)),0)</f>
        <v>3</v>
      </c>
      <c r="BP52" s="38">
        <f>IFERROR(INDEX(LMH_PTS,MATCH(AB52,LMH_KEY,0)),0)</f>
        <v>1</v>
      </c>
      <c r="BQ52" s="38">
        <f>IFERROR(INDEX(LMH_PTS,MATCH(AC52,LMH_KEY,0)),0)</f>
        <v>1</v>
      </c>
      <c r="BR52" s="38">
        <f>IFERROR(INDEX(LMH_PTS,MATCH(AD52,LMH_KEY,0)),0)</f>
        <v>1</v>
      </c>
      <c r="BS52" s="38">
        <f>IFERROR(INDEX(LMH_PTS,MATCH(AE52,LMH_KEY,0)),0)</f>
        <v>1</v>
      </c>
      <c r="BT52" s="38">
        <f>IFERROR(INDEX(LMH_STEP,MATCH(AF52,LMH_KEY,0)),0)</f>
        <v>0</v>
      </c>
      <c r="BU52" s="38">
        <f>IFERROR(INDEX(LMH_STEP,MATCH(AG52,LMH_KEY,0)),0)</f>
        <v>0</v>
      </c>
      <c r="BV52" s="38">
        <f>IFERROR(INDEX(LMH_STEP,MATCH(AH52,LMH_KEY,0)),0)</f>
        <v>0</v>
      </c>
      <c r="BW52" s="38">
        <f>IFERROR(INDEX(LMH_STEP,MATCH(AI52,LMH_KEY,0)),0)</f>
        <v>0</v>
      </c>
      <c r="BX52" s="38">
        <f>IFERROR(INDEX(LMH_STEP,MATCH(AJ52,LMH_KEY,0)),0)</f>
        <v>0</v>
      </c>
      <c r="BY52" s="38">
        <f>IFERROR(INDEX(LMH_STEP,MATCH(AK52,LMH_KEY,0)),0)</f>
        <v>0</v>
      </c>
      <c r="BZ52" s="38">
        <f>IFERROR(INDEX(LMH_STEP,MATCH(AL52,LMH_KEY,0)),0)</f>
        <v>0</v>
      </c>
      <c r="CA52" s="38" t="inlineStr">
        <is>
          <t>CARBON|Services|Senior Financial Analyst|A2|A</t>
        </is>
      </c>
    </row>
    <row r="53" ht="110" customHeight="1">
      <c r="A53" s="28" t="inlineStr">
        <is>
          <t>CARBON</t>
        </is>
      </c>
      <c r="B53" s="29" t="inlineStr">
        <is>
          <t>Services</t>
        </is>
      </c>
      <c r="C53" s="29" t="n">
        <v>7</v>
      </c>
      <c r="D53" s="29" t="inlineStr">
        <is>
          <t>IRIS0474</t>
        </is>
      </c>
      <c r="E53" s="29" t="inlineStr">
        <is>
          <t>Kiran Mane</t>
        </is>
      </c>
      <c r="F53" s="29" t="inlineStr">
        <is>
          <t>Financial Analyst</t>
        </is>
      </c>
      <c r="G53" s="29" t="inlineStr">
        <is>
          <t>Senior Financial Analyst</t>
        </is>
      </c>
      <c r="H53" s="29" t="inlineStr">
        <is>
          <t>Consulting &amp; Professional Services</t>
        </is>
      </c>
      <c r="I53" s="29" t="inlineStr">
        <is>
          <t>XBRL Tagging, Conversion &amp; Filing</t>
        </is>
      </c>
      <c r="J53" s="29" t="inlineStr">
        <is>
          <t>IC</t>
        </is>
      </c>
      <c r="K53" s="29" t="inlineStr">
        <is>
          <t>RC-025</t>
        </is>
      </c>
      <c r="L53" s="29" t="inlineStr">
        <is>
          <t>Shailesh Kumar Sharma</t>
        </is>
      </c>
      <c r="M53" s="29" t="inlineStr">
        <is>
          <t>IRIS0506</t>
        </is>
      </c>
      <c r="N53" s="29" t="n">
        <v>15.8</v>
      </c>
      <c r="O53" s="29" t="n">
        <v>15.8</v>
      </c>
      <c r="P53" s="29" t="inlineStr">
        <is>
          <t>B.Com</t>
        </is>
      </c>
      <c r="Q53" s="29" t="inlineStr">
        <is>
          <t>L3 – Professional / Associate</t>
        </is>
      </c>
      <c r="R53" s="29" t="inlineStr">
        <is>
          <t>A3</t>
        </is>
      </c>
      <c r="S53" s="30" t="inlineStr">
        <is>
          <t>20 of 20</t>
        </is>
      </c>
      <c r="T53" s="31" t="inlineStr">
        <is>
          <t>• Role / sub-team: XBRL Conversion Services.</t>
        </is>
      </c>
      <c r="U5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3" s="31" t="inlineStr">
        <is>
          <t>Latest rating: 3 · Potential: Medium · 9-box: Core Contributor · Readiness: Develop in role</t>
        </is>
      </c>
      <c r="W53" s="31" t="inlineStr">
        <is>
          <t>C M · Au L · Ac M · L L · BI M · Exp H · 15.8 yrs vs 2–4 yrs · Edu M · B.Com</t>
        </is>
      </c>
      <c r="X53" s="33" t="inlineStr">
        <is>
          <t>Open ▸</t>
        </is>
      </c>
      <c r="Y53" s="34" t="str">
        <f>IFERROR(INDEX(DL_C,MATCH($CA53,DL_KEY,0)),"M")</f>
        <v>H</v>
      </c>
      <c r="Z53" s="35" t="str">
        <f>IFERROR(INDEX(DL_Au,MATCH($CA53,DL_KEY,0)),"M")</f>
        <v>M</v>
      </c>
      <c r="AA53" s="35" t="str">
        <f>IFERROR(INDEX(DL_Ac,MATCH($CA53,DL_KEY,0)),"M")</f>
        <v>M</v>
      </c>
      <c r="AB53" s="35" t="str">
        <f>IFERROR(INDEX(DL_L,MATCH($CA53,DL_KEY,0)),"M")</f>
        <v>L</v>
      </c>
      <c r="AC53" s="35" t="str">
        <f>IFERROR(INDEX(DL_BI,MATCH($CA53,DL_KEY,0)),"M")</f>
        <v>L</v>
      </c>
      <c r="AD53" s="35" t="str">
        <f>IFERROR(INDEX(DL_Exp,MATCH($CA53,DL_KEY,0)),"M")</f>
        <v>L</v>
      </c>
      <c r="AE53" s="35" t="str">
        <f>IFERROR(INDEX(DL_Edu,MATCH($CA53,DL_KEY,0)),"M")</f>
        <v>L</v>
      </c>
      <c r="AF53" s="34" t="inlineStr">
        <is>
          <t>M</t>
        </is>
      </c>
      <c r="AG53" s="35" t="inlineStr">
        <is>
          <t>M</t>
        </is>
      </c>
      <c r="AH53" s="35" t="inlineStr">
        <is>
          <t>M</t>
        </is>
      </c>
      <c r="AI53" s="35" t="inlineStr">
        <is>
          <t>M</t>
        </is>
      </c>
      <c r="AJ53" s="35" t="inlineStr">
        <is>
          <t>M</t>
        </is>
      </c>
      <c r="AK53" s="35" t="inlineStr">
        <is>
          <t>M</t>
        </is>
      </c>
      <c r="AL53" s="35" t="inlineStr">
        <is>
          <t>M</t>
        </is>
      </c>
      <c r="AM53" s="36" t="n">
        <v>0.583</v>
      </c>
      <c r="AN53" s="37" t="n">
        <v>0.16</v>
      </c>
      <c r="AO53" s="37" t="n">
        <v>0.09</v>
      </c>
      <c r="AP53" s="37" t="n">
        <v>0</v>
      </c>
      <c r="AQ53" s="37" t="n">
        <v>0.063</v>
      </c>
      <c r="AR53" s="37" t="n">
        <v>0.06</v>
      </c>
      <c r="AS53" s="37" t="n">
        <v>0.04</v>
      </c>
      <c r="AT53" s="38" t="inlineStr">
        <is>
          <t>2–5</t>
        </is>
      </c>
      <c r="AU53" s="38" t="inlineStr">
        <is>
          <t>Graduate; relevant certification preferred</t>
        </is>
      </c>
      <c r="AV53" s="38" t="inlineStr">
        <is>
          <t>None · guides 1–3 juniors informally</t>
        </is>
      </c>
      <c r="AW53" s="38" t="inlineStr">
        <is>
          <t>P2 · SFIA 3 Apply</t>
        </is>
      </c>
      <c r="AX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 s="39" t="inlineStr">
        <is>
          <t>A3</t>
        </is>
      </c>
      <c r="AZ53" s="40" t="inlineStr">
        <is>
          <t>Band A · Practitioner · Senior Associate</t>
        </is>
      </c>
      <c r="BA53" s="40" t="inlineStr">
        <is>
          <t>Model A3 from the six ratings, the market-derived weights and rules R1–R13 · then No change · already below the manager</t>
        </is>
      </c>
      <c r="BB53" s="41" t="inlineStr">
        <is>
          <t>A3</t>
        </is>
      </c>
      <c r="BC53" s="40" t="inlineStr">
        <is>
          <t>The six ratings on the market-average weights of Band A · all tracks score 3.05 → A3 · Hay, Mercer IPE and public plans · experience 15.8 yrs vs the A3 market range 2–5</t>
        </is>
      </c>
      <c r="BD53" s="42">
        <f>IF(SUM(BM53,BN53,BO53,BP53,BQ53,BR53,BS53)=0,0,(BM53*BT53+BN53*BU53+BO53*BV53+BP53*BW53+BQ53*BX53+BR53*BY53+BS53*BZ53)/SUM(BM53,BN53,BO53,BP53,BQ53,BR53,BS53))</f>
        <v>0</v>
      </c>
      <c r="BE53" s="41" t="str">
        <f>IF(LEFT(AY53,1)="X",AY53,IF(OR(AY53="B+",AY53="C+"),INDEX(LAD_PC,MAX(1,MIN(14,MATCH(AY53,LAD_PC,0)+IF(BD53&gt;=0.5,1,IF(BD53&lt;=-0.5,-1,0))))),INDEX(LAD_STD,MAX(1,MIN(12,MATCH(AY53,LAD_STD,0)+IF(BD53&gt;=0.5,1,IF(BD53&lt;=-0.5,-1,0)))))))</f>
        <v>A3</v>
      </c>
      <c r="BF53" s="43" t="n"/>
      <c r="BG53" s="41" t="str">
        <f>IF(BF53&lt;&gt;"",BF53,BE53)</f>
        <v>A3</v>
      </c>
      <c r="BH53" s="40" t="str">
        <f>IFERROR(CHOOSE(INDEX(B_RANK,MATCH(BG53,B_LVL,0)),"Band A","Band B","B+ · Player-Coach","Band C","C+ · Player-Coach","Band D","Band E"),"Band X · Consultant")</f>
        <v>Band A</v>
      </c>
      <c r="BI53" s="40" t="str">
        <f>IF(BG53=AY53,"• Same",IF(INDEX(B_VAL,MATCH(BG53,B_LVL,0))&gt;INDEX(B_VAL,MATCH(AY53,B_LVL,0)),"▲ Up","▼ Down"))</f>
        <v>• Same</v>
      </c>
      <c r="BJ53" s="40" t="str">
        <f>IF(OR($M53="",$M53="—",$M53="Not in this file"),"",IFERROR(INDEX($BG$7:$BG$592,MATCH($M53,$D$7:$D$592,0)),""))</f>
        <v>B1</v>
      </c>
      <c r="BK53" s="40" t="str">
        <f>IFERROR(IF(BJ53="","—",IF(OR(LEFT(BG53,1)="X",LEFT(BJ53,1)="X"),"—",IF(AND(LEFT(BG53,1)="E",LEFT(BJ53,1)="E"),"Exception · Band E",IF(AND(INDEX(B_VAL,MATCH(BJ53,B_LVL,0))&gt;=7,INDEX(B_RANK,MATCH(BG53,B_LVL,0))&gt;=INDEX(B_RANK,MATCH(BJ53,B_LVL,0))),"⚠ Same band as a head manager",IF(INDEX(B_VAL,MATCH(BG53,B_LVL,0))&gt;=INDEX(B_VAL,MATCH(BJ53,B_LVL,0)),"⚠ At or above the manager's level","OK"))))),"—")</f>
        <v>OK</v>
      </c>
      <c r="BL53" s="43" t="n"/>
      <c r="BM53" s="44">
        <f>IFERROR(INDEX(LMH_PTS,MATCH(Y53,LMH_KEY,0)),0)</f>
        <v>9</v>
      </c>
      <c r="BN53" s="38">
        <f>IFERROR(INDEX(LMH_PTS,MATCH(Z53,LMH_KEY,0)),0)</f>
        <v>3</v>
      </c>
      <c r="BO53" s="38">
        <f>IFERROR(INDEX(LMH_PTS,MATCH(AA53,LMH_KEY,0)),0)</f>
        <v>3</v>
      </c>
      <c r="BP53" s="38">
        <f>IFERROR(INDEX(LMH_PTS,MATCH(AB53,LMH_KEY,0)),0)</f>
        <v>1</v>
      </c>
      <c r="BQ53" s="38">
        <f>IFERROR(INDEX(LMH_PTS,MATCH(AC53,LMH_KEY,0)),0)</f>
        <v>1</v>
      </c>
      <c r="BR53" s="38">
        <f>IFERROR(INDEX(LMH_PTS,MATCH(AD53,LMH_KEY,0)),0)</f>
        <v>1</v>
      </c>
      <c r="BS53" s="38">
        <f>IFERROR(INDEX(LMH_PTS,MATCH(AE53,LMH_KEY,0)),0)</f>
        <v>1</v>
      </c>
      <c r="BT53" s="38">
        <f>IFERROR(INDEX(LMH_STEP,MATCH(AF53,LMH_KEY,0)),0)</f>
        <v>0</v>
      </c>
      <c r="BU53" s="38">
        <f>IFERROR(INDEX(LMH_STEP,MATCH(AG53,LMH_KEY,0)),0)</f>
        <v>0</v>
      </c>
      <c r="BV53" s="38">
        <f>IFERROR(INDEX(LMH_STEP,MATCH(AH53,LMH_KEY,0)),0)</f>
        <v>0</v>
      </c>
      <c r="BW53" s="38">
        <f>IFERROR(INDEX(LMH_STEP,MATCH(AI53,LMH_KEY,0)),0)</f>
        <v>0</v>
      </c>
      <c r="BX53" s="38">
        <f>IFERROR(INDEX(LMH_STEP,MATCH(AJ53,LMH_KEY,0)),0)</f>
        <v>0</v>
      </c>
      <c r="BY53" s="38">
        <f>IFERROR(INDEX(LMH_STEP,MATCH(AK53,LMH_KEY,0)),0)</f>
        <v>0</v>
      </c>
      <c r="BZ53" s="38">
        <f>IFERROR(INDEX(LMH_STEP,MATCH(AL53,LMH_KEY,0)),0)</f>
        <v>0</v>
      </c>
      <c r="CA53" s="38" t="inlineStr">
        <is>
          <t>CARBON|Services|Senior Financial Analyst|A3|A</t>
        </is>
      </c>
    </row>
    <row r="54" ht="110" customHeight="1">
      <c r="A54" s="28" t="inlineStr">
        <is>
          <t>CARBON</t>
        </is>
      </c>
      <c r="B54" s="29" t="inlineStr">
        <is>
          <t>Services</t>
        </is>
      </c>
      <c r="C54" s="29" t="n">
        <v>7</v>
      </c>
      <c r="D54" s="29" t="inlineStr">
        <is>
          <t>IRIS0520</t>
        </is>
      </c>
      <c r="E54" s="29" t="inlineStr">
        <is>
          <t>Mandar Vatare</t>
        </is>
      </c>
      <c r="F54" s="29" t="inlineStr">
        <is>
          <t>Financial Analyst</t>
        </is>
      </c>
      <c r="G54" s="29" t="inlineStr">
        <is>
          <t>Senior Financial Analyst</t>
        </is>
      </c>
      <c r="H54" s="29" t="inlineStr">
        <is>
          <t>Consulting &amp; Professional Services</t>
        </is>
      </c>
      <c r="I54" s="29" t="inlineStr">
        <is>
          <t>XBRL Tagging, Conversion &amp; Filing</t>
        </is>
      </c>
      <c r="J54" s="29" t="inlineStr">
        <is>
          <t>IC</t>
        </is>
      </c>
      <c r="K54" s="29" t="inlineStr">
        <is>
          <t>RC-025</t>
        </is>
      </c>
      <c r="L54" s="29" t="inlineStr">
        <is>
          <t>Shailesh Kumar Sharma</t>
        </is>
      </c>
      <c r="M54" s="29" t="inlineStr">
        <is>
          <t>IRIS0506</t>
        </is>
      </c>
      <c r="N54" s="29" t="n">
        <v>17.3</v>
      </c>
      <c r="O54" s="29" t="n">
        <v>16.3</v>
      </c>
      <c r="P54" s="29" t="inlineStr">
        <is>
          <t>B.Com</t>
        </is>
      </c>
      <c r="Q54" s="29" t="inlineStr">
        <is>
          <t>L3 – Professional / Associate</t>
        </is>
      </c>
      <c r="R54" s="29" t="inlineStr">
        <is>
          <t>A3</t>
        </is>
      </c>
      <c r="S54" s="30" t="inlineStr">
        <is>
          <t>20 of 20</t>
        </is>
      </c>
      <c r="T54" s="31" t="inlineStr">
        <is>
          <t>• Role / sub-team: Quality Check analyst XCS- Uk, XBRL Tagging in EU &amp; KVK.</t>
        </is>
      </c>
      <c r="U5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4" s="31" t="inlineStr">
        <is>
          <t>Latest rating: 3 · Potential: Medium · 9-box: Core Contributor · Readiness: Develop in role</t>
        </is>
      </c>
      <c r="W54" s="31" t="inlineStr">
        <is>
          <t>C M · Au L · Ac M · L L · BI M · Exp H · 17.3 yrs vs 2–4 yrs · Edu M · B.Com</t>
        </is>
      </c>
      <c r="X54" s="33" t="inlineStr">
        <is>
          <t>Open ▸</t>
        </is>
      </c>
      <c r="Y54" s="34" t="str">
        <f>IFERROR(INDEX(DL_C,MATCH($CA54,DL_KEY,0)),"M")</f>
        <v>H</v>
      </c>
      <c r="Z54" s="35" t="str">
        <f>IFERROR(INDEX(DL_Au,MATCH($CA54,DL_KEY,0)),"M")</f>
        <v>M</v>
      </c>
      <c r="AA54" s="35" t="str">
        <f>IFERROR(INDEX(DL_Ac,MATCH($CA54,DL_KEY,0)),"M")</f>
        <v>M</v>
      </c>
      <c r="AB54" s="35" t="str">
        <f>IFERROR(INDEX(DL_L,MATCH($CA54,DL_KEY,0)),"M")</f>
        <v>L</v>
      </c>
      <c r="AC54" s="35" t="str">
        <f>IFERROR(INDEX(DL_BI,MATCH($CA54,DL_KEY,0)),"M")</f>
        <v>L</v>
      </c>
      <c r="AD54" s="35" t="str">
        <f>IFERROR(INDEX(DL_Exp,MATCH($CA54,DL_KEY,0)),"M")</f>
        <v>L</v>
      </c>
      <c r="AE54" s="35" t="str">
        <f>IFERROR(INDEX(DL_Edu,MATCH($CA54,DL_KEY,0)),"M")</f>
        <v>L</v>
      </c>
      <c r="AF54" s="34" t="inlineStr">
        <is>
          <t>M</t>
        </is>
      </c>
      <c r="AG54" s="35" t="inlineStr">
        <is>
          <t>M</t>
        </is>
      </c>
      <c r="AH54" s="35" t="inlineStr">
        <is>
          <t>M</t>
        </is>
      </c>
      <c r="AI54" s="35" t="inlineStr">
        <is>
          <t>M</t>
        </is>
      </c>
      <c r="AJ54" s="35" t="inlineStr">
        <is>
          <t>M</t>
        </is>
      </c>
      <c r="AK54" s="35" t="inlineStr">
        <is>
          <t>M</t>
        </is>
      </c>
      <c r="AL54" s="35" t="inlineStr">
        <is>
          <t>M</t>
        </is>
      </c>
      <c r="AM54" s="36" t="n">
        <v>0.583</v>
      </c>
      <c r="AN54" s="37" t="n">
        <v>0.16</v>
      </c>
      <c r="AO54" s="37" t="n">
        <v>0.09</v>
      </c>
      <c r="AP54" s="37" t="n">
        <v>0</v>
      </c>
      <c r="AQ54" s="37" t="n">
        <v>0.063</v>
      </c>
      <c r="AR54" s="37" t="n">
        <v>0.06</v>
      </c>
      <c r="AS54" s="37" t="n">
        <v>0.04</v>
      </c>
      <c r="AT54" s="38" t="inlineStr">
        <is>
          <t>2–5</t>
        </is>
      </c>
      <c r="AU54" s="38" t="inlineStr">
        <is>
          <t>Graduate; relevant certification preferred</t>
        </is>
      </c>
      <c r="AV54" s="38" t="inlineStr">
        <is>
          <t>None · guides 1–3 juniors informally</t>
        </is>
      </c>
      <c r="AW54" s="38" t="inlineStr">
        <is>
          <t>P2 · SFIA 3 Apply</t>
        </is>
      </c>
      <c r="AX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 s="39" t="inlineStr">
        <is>
          <t>A3</t>
        </is>
      </c>
      <c r="AZ54" s="40" t="inlineStr">
        <is>
          <t>Band A · Practitioner · Senior Associate</t>
        </is>
      </c>
      <c r="BA54" s="40" t="inlineStr">
        <is>
          <t>Model A3 from the six ratings, the market-derived weights and rules R1–R13 · then No change · already below the manager</t>
        </is>
      </c>
      <c r="BB54" s="41" t="inlineStr">
        <is>
          <t>A3</t>
        </is>
      </c>
      <c r="BC54" s="40" t="inlineStr">
        <is>
          <t>The six ratings on the market-average weights of Band A · all tracks score 3.10 → A3 · Hay, Mercer IPE and public plans · experience 17.3 yrs vs the A3 market range 2–5</t>
        </is>
      </c>
      <c r="BD54" s="42">
        <f>IF(SUM(BM54,BN54,BO54,BP54,BQ54,BR54,BS54)=0,0,(BM54*BT54+BN54*BU54+BO54*BV54+BP54*BW54+BQ54*BX54+BR54*BY54+BS54*BZ54)/SUM(BM54,BN54,BO54,BP54,BQ54,BR54,BS54))</f>
        <v>0</v>
      </c>
      <c r="BE54" s="41" t="str">
        <f>IF(LEFT(AY54,1)="X",AY54,IF(OR(AY54="B+",AY54="C+"),INDEX(LAD_PC,MAX(1,MIN(14,MATCH(AY54,LAD_PC,0)+IF(BD54&gt;=0.5,1,IF(BD54&lt;=-0.5,-1,0))))),INDEX(LAD_STD,MAX(1,MIN(12,MATCH(AY54,LAD_STD,0)+IF(BD54&gt;=0.5,1,IF(BD54&lt;=-0.5,-1,0)))))))</f>
        <v>A3</v>
      </c>
      <c r="BF54" s="43" t="n"/>
      <c r="BG54" s="41" t="str">
        <f>IF(BF54&lt;&gt;"",BF54,BE54)</f>
        <v>A3</v>
      </c>
      <c r="BH54" s="40" t="str">
        <f>IFERROR(CHOOSE(INDEX(B_RANK,MATCH(BG54,B_LVL,0)),"Band A","Band B","B+ · Player-Coach","Band C","C+ · Player-Coach","Band D","Band E"),"Band X · Consultant")</f>
        <v>Band A</v>
      </c>
      <c r="BI54" s="40" t="str">
        <f>IF(BG54=AY54,"• Same",IF(INDEX(B_VAL,MATCH(BG54,B_LVL,0))&gt;INDEX(B_VAL,MATCH(AY54,B_LVL,0)),"▲ Up","▼ Down"))</f>
        <v>• Same</v>
      </c>
      <c r="BJ54" s="40" t="str">
        <f>IF(OR($M54="",$M54="—",$M54="Not in this file"),"",IFERROR(INDEX($BG$7:$BG$592,MATCH($M54,$D$7:$D$592,0)),""))</f>
        <v>B1</v>
      </c>
      <c r="BK54" s="40" t="str">
        <f>IFERROR(IF(BJ54="","—",IF(OR(LEFT(BG54,1)="X",LEFT(BJ54,1)="X"),"—",IF(AND(LEFT(BG54,1)="E",LEFT(BJ54,1)="E"),"Exception · Band E",IF(AND(INDEX(B_VAL,MATCH(BJ54,B_LVL,0))&gt;=7,INDEX(B_RANK,MATCH(BG54,B_LVL,0))&gt;=INDEX(B_RANK,MATCH(BJ54,B_LVL,0))),"⚠ Same band as a head manager",IF(INDEX(B_VAL,MATCH(BG54,B_LVL,0))&gt;=INDEX(B_VAL,MATCH(BJ54,B_LVL,0)),"⚠ At or above the manager's level","OK"))))),"—")</f>
        <v>OK</v>
      </c>
      <c r="BL54" s="43" t="n"/>
      <c r="BM54" s="44">
        <f>IFERROR(INDEX(LMH_PTS,MATCH(Y54,LMH_KEY,0)),0)</f>
        <v>9</v>
      </c>
      <c r="BN54" s="38">
        <f>IFERROR(INDEX(LMH_PTS,MATCH(Z54,LMH_KEY,0)),0)</f>
        <v>3</v>
      </c>
      <c r="BO54" s="38">
        <f>IFERROR(INDEX(LMH_PTS,MATCH(AA54,LMH_KEY,0)),0)</f>
        <v>3</v>
      </c>
      <c r="BP54" s="38">
        <f>IFERROR(INDEX(LMH_PTS,MATCH(AB54,LMH_KEY,0)),0)</f>
        <v>1</v>
      </c>
      <c r="BQ54" s="38">
        <f>IFERROR(INDEX(LMH_PTS,MATCH(AC54,LMH_KEY,0)),0)</f>
        <v>1</v>
      </c>
      <c r="BR54" s="38">
        <f>IFERROR(INDEX(LMH_PTS,MATCH(AD54,LMH_KEY,0)),0)</f>
        <v>1</v>
      </c>
      <c r="BS54" s="38">
        <f>IFERROR(INDEX(LMH_PTS,MATCH(AE54,LMH_KEY,0)),0)</f>
        <v>1</v>
      </c>
      <c r="BT54" s="38">
        <f>IFERROR(INDEX(LMH_STEP,MATCH(AF54,LMH_KEY,0)),0)</f>
        <v>0</v>
      </c>
      <c r="BU54" s="38">
        <f>IFERROR(INDEX(LMH_STEP,MATCH(AG54,LMH_KEY,0)),0)</f>
        <v>0</v>
      </c>
      <c r="BV54" s="38">
        <f>IFERROR(INDEX(LMH_STEP,MATCH(AH54,LMH_KEY,0)),0)</f>
        <v>0</v>
      </c>
      <c r="BW54" s="38">
        <f>IFERROR(INDEX(LMH_STEP,MATCH(AI54,LMH_KEY,0)),0)</f>
        <v>0</v>
      </c>
      <c r="BX54" s="38">
        <f>IFERROR(INDEX(LMH_STEP,MATCH(AJ54,LMH_KEY,0)),0)</f>
        <v>0</v>
      </c>
      <c r="BY54" s="38">
        <f>IFERROR(INDEX(LMH_STEP,MATCH(AK54,LMH_KEY,0)),0)</f>
        <v>0</v>
      </c>
      <c r="BZ54" s="38">
        <f>IFERROR(INDEX(LMH_STEP,MATCH(AL54,LMH_KEY,0)),0)</f>
        <v>0</v>
      </c>
      <c r="CA54" s="38" t="inlineStr">
        <is>
          <t>CARBON|Services|Senior Financial Analyst|A3|A</t>
        </is>
      </c>
    </row>
    <row r="55" ht="110" customHeight="1">
      <c r="A55" s="28" t="inlineStr">
        <is>
          <t>CARBON</t>
        </is>
      </c>
      <c r="B55" s="29" t="inlineStr">
        <is>
          <t>Services</t>
        </is>
      </c>
      <c r="C55" s="29" t="n">
        <v>7</v>
      </c>
      <c r="D55" s="29" t="inlineStr">
        <is>
          <t>IRIS0466</t>
        </is>
      </c>
      <c r="E55" s="29" t="inlineStr">
        <is>
          <t>Nirmala Kalyadappu</t>
        </is>
      </c>
      <c r="F55" s="29" t="inlineStr">
        <is>
          <t>Financial Analyst</t>
        </is>
      </c>
      <c r="G55" s="29" t="inlineStr">
        <is>
          <t>Senior Financial Analyst</t>
        </is>
      </c>
      <c r="H55" s="29" t="inlineStr">
        <is>
          <t>Consulting &amp; Professional Services</t>
        </is>
      </c>
      <c r="I55" s="29" t="inlineStr">
        <is>
          <t>XBRL Tagging, Conversion &amp; Filing</t>
        </is>
      </c>
      <c r="J55" s="29" t="inlineStr">
        <is>
          <t>IC</t>
        </is>
      </c>
      <c r="K55" s="29" t="inlineStr">
        <is>
          <t>RC-025</t>
        </is>
      </c>
      <c r="L55" s="29" t="inlineStr">
        <is>
          <t>Shailesh Kumar Sharma</t>
        </is>
      </c>
      <c r="M55" s="29" t="inlineStr">
        <is>
          <t>IRIS0506</t>
        </is>
      </c>
      <c r="N55" s="29" t="n">
        <v>16.9</v>
      </c>
      <c r="O55" s="29" t="n">
        <v>15.8</v>
      </c>
      <c r="P55" s="29" t="inlineStr">
        <is>
          <t>B.Com</t>
        </is>
      </c>
      <c r="Q55" s="29" t="inlineStr">
        <is>
          <t>L3 – Professional / Associate</t>
        </is>
      </c>
      <c r="R55" s="29" t="inlineStr">
        <is>
          <t>A3</t>
        </is>
      </c>
      <c r="S55" s="30" t="inlineStr">
        <is>
          <t>20 of 20</t>
        </is>
      </c>
      <c r="T55" s="31" t="inlineStr">
        <is>
          <t>• Role / sub-team: XBRL Conversion Services.</t>
        </is>
      </c>
      <c r="U5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5" s="31" t="inlineStr">
        <is>
          <t>Latest rating: 4 · Potential: High · 9-box: Core Contributor · Readiness: Ready now</t>
        </is>
      </c>
      <c r="W55" s="31" t="inlineStr">
        <is>
          <t>C M · Au L · Ac M · L L · BI M · Exp H · 16.9 yrs vs 2–4 yrs · Edu M · B.Com</t>
        </is>
      </c>
      <c r="X55" s="33" t="inlineStr">
        <is>
          <t>Open ▸</t>
        </is>
      </c>
      <c r="Y55" s="34" t="str">
        <f>IFERROR(INDEX(DL_C,MATCH($CA55,DL_KEY,0)),"M")</f>
        <v>H</v>
      </c>
      <c r="Z55" s="35" t="str">
        <f>IFERROR(INDEX(DL_Au,MATCH($CA55,DL_KEY,0)),"M")</f>
        <v>M</v>
      </c>
      <c r="AA55" s="35" t="str">
        <f>IFERROR(INDEX(DL_Ac,MATCH($CA55,DL_KEY,0)),"M")</f>
        <v>M</v>
      </c>
      <c r="AB55" s="35" t="str">
        <f>IFERROR(INDEX(DL_L,MATCH($CA55,DL_KEY,0)),"M")</f>
        <v>L</v>
      </c>
      <c r="AC55" s="35" t="str">
        <f>IFERROR(INDEX(DL_BI,MATCH($CA55,DL_KEY,0)),"M")</f>
        <v>L</v>
      </c>
      <c r="AD55" s="35" t="str">
        <f>IFERROR(INDEX(DL_Exp,MATCH($CA55,DL_KEY,0)),"M")</f>
        <v>L</v>
      </c>
      <c r="AE55" s="35" t="str">
        <f>IFERROR(INDEX(DL_Edu,MATCH($CA55,DL_KEY,0)),"M")</f>
        <v>L</v>
      </c>
      <c r="AF55" s="34" t="inlineStr">
        <is>
          <t>M</t>
        </is>
      </c>
      <c r="AG55" s="35" t="inlineStr">
        <is>
          <t>M</t>
        </is>
      </c>
      <c r="AH55" s="35" t="inlineStr">
        <is>
          <t>M</t>
        </is>
      </c>
      <c r="AI55" s="35" t="inlineStr">
        <is>
          <t>M</t>
        </is>
      </c>
      <c r="AJ55" s="35" t="inlineStr">
        <is>
          <t>M</t>
        </is>
      </c>
      <c r="AK55" s="35" t="inlineStr">
        <is>
          <t>M</t>
        </is>
      </c>
      <c r="AL55" s="35" t="inlineStr">
        <is>
          <t>M</t>
        </is>
      </c>
      <c r="AM55" s="36" t="n">
        <v>0.583</v>
      </c>
      <c r="AN55" s="37" t="n">
        <v>0.16</v>
      </c>
      <c r="AO55" s="37" t="n">
        <v>0.09</v>
      </c>
      <c r="AP55" s="37" t="n">
        <v>0</v>
      </c>
      <c r="AQ55" s="37" t="n">
        <v>0.063</v>
      </c>
      <c r="AR55" s="37" t="n">
        <v>0.06</v>
      </c>
      <c r="AS55" s="37" t="n">
        <v>0.04</v>
      </c>
      <c r="AT55" s="38" t="inlineStr">
        <is>
          <t>2–5</t>
        </is>
      </c>
      <c r="AU55" s="38" t="inlineStr">
        <is>
          <t>Graduate; relevant certification preferred</t>
        </is>
      </c>
      <c r="AV55" s="38" t="inlineStr">
        <is>
          <t>None · guides 1–3 juniors informally</t>
        </is>
      </c>
      <c r="AW55" s="38" t="inlineStr">
        <is>
          <t>P2 · SFIA 3 Apply</t>
        </is>
      </c>
      <c r="AX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 s="39" t="inlineStr">
        <is>
          <t>A3</t>
        </is>
      </c>
      <c r="AZ55" s="40" t="inlineStr">
        <is>
          <t>Band A · Practitioner · Senior Associate</t>
        </is>
      </c>
      <c r="BA55" s="40" t="inlineStr">
        <is>
          <t>Model A3 from the six ratings, the market-derived weights and rules R1–R13 · then No change · already below the manager</t>
        </is>
      </c>
      <c r="BB55" s="41" t="inlineStr">
        <is>
          <t>A3</t>
        </is>
      </c>
      <c r="BC55" s="40" t="inlineStr">
        <is>
          <t>The six ratings on the market-average weights of Band A · all tracks score 3.10 → A3 · Hay, Mercer IPE and public plans · experience 16.9 yrs vs the A3 market range 2–5</t>
        </is>
      </c>
      <c r="BD55" s="42">
        <f>IF(SUM(BM55,BN55,BO55,BP55,BQ55,BR55,BS55)=0,0,(BM55*BT55+BN55*BU55+BO55*BV55+BP55*BW55+BQ55*BX55+BR55*BY55+BS55*BZ55)/SUM(BM55,BN55,BO55,BP55,BQ55,BR55,BS55))</f>
        <v>0</v>
      </c>
      <c r="BE55" s="41" t="str">
        <f>IF(LEFT(AY55,1)="X",AY55,IF(OR(AY55="B+",AY55="C+"),INDEX(LAD_PC,MAX(1,MIN(14,MATCH(AY55,LAD_PC,0)+IF(BD55&gt;=0.5,1,IF(BD55&lt;=-0.5,-1,0))))),INDEX(LAD_STD,MAX(1,MIN(12,MATCH(AY55,LAD_STD,0)+IF(BD55&gt;=0.5,1,IF(BD55&lt;=-0.5,-1,0)))))))</f>
        <v>A3</v>
      </c>
      <c r="BF55" s="43" t="n"/>
      <c r="BG55" s="41" t="str">
        <f>IF(BF55&lt;&gt;"",BF55,BE55)</f>
        <v>A3</v>
      </c>
      <c r="BH55" s="40" t="str">
        <f>IFERROR(CHOOSE(INDEX(B_RANK,MATCH(BG55,B_LVL,0)),"Band A","Band B","B+ · Player-Coach","Band C","C+ · Player-Coach","Band D","Band E"),"Band X · Consultant")</f>
        <v>Band A</v>
      </c>
      <c r="BI55" s="40" t="str">
        <f>IF(BG55=AY55,"• Same",IF(INDEX(B_VAL,MATCH(BG55,B_LVL,0))&gt;INDEX(B_VAL,MATCH(AY55,B_LVL,0)),"▲ Up","▼ Down"))</f>
        <v>• Same</v>
      </c>
      <c r="BJ55" s="40" t="str">
        <f>IF(OR($M55="",$M55="—",$M55="Not in this file"),"",IFERROR(INDEX($BG$7:$BG$592,MATCH($M55,$D$7:$D$592,0)),""))</f>
        <v>B1</v>
      </c>
      <c r="BK55" s="40" t="str">
        <f>IFERROR(IF(BJ55="","—",IF(OR(LEFT(BG55,1)="X",LEFT(BJ55,1)="X"),"—",IF(AND(LEFT(BG55,1)="E",LEFT(BJ55,1)="E"),"Exception · Band E",IF(AND(INDEX(B_VAL,MATCH(BJ55,B_LVL,0))&gt;=7,INDEX(B_RANK,MATCH(BG55,B_LVL,0))&gt;=INDEX(B_RANK,MATCH(BJ55,B_LVL,0))),"⚠ Same band as a head manager",IF(INDEX(B_VAL,MATCH(BG55,B_LVL,0))&gt;=INDEX(B_VAL,MATCH(BJ55,B_LVL,0)),"⚠ At or above the manager's level","OK"))))),"—")</f>
        <v>OK</v>
      </c>
      <c r="BL55" s="43" t="n"/>
      <c r="BM55" s="44">
        <f>IFERROR(INDEX(LMH_PTS,MATCH(Y55,LMH_KEY,0)),0)</f>
        <v>9</v>
      </c>
      <c r="BN55" s="38">
        <f>IFERROR(INDEX(LMH_PTS,MATCH(Z55,LMH_KEY,0)),0)</f>
        <v>3</v>
      </c>
      <c r="BO55" s="38">
        <f>IFERROR(INDEX(LMH_PTS,MATCH(AA55,LMH_KEY,0)),0)</f>
        <v>3</v>
      </c>
      <c r="BP55" s="38">
        <f>IFERROR(INDEX(LMH_PTS,MATCH(AB55,LMH_KEY,0)),0)</f>
        <v>1</v>
      </c>
      <c r="BQ55" s="38">
        <f>IFERROR(INDEX(LMH_PTS,MATCH(AC55,LMH_KEY,0)),0)</f>
        <v>1</v>
      </c>
      <c r="BR55" s="38">
        <f>IFERROR(INDEX(LMH_PTS,MATCH(AD55,LMH_KEY,0)),0)</f>
        <v>1</v>
      </c>
      <c r="BS55" s="38">
        <f>IFERROR(INDEX(LMH_PTS,MATCH(AE55,LMH_KEY,0)),0)</f>
        <v>1</v>
      </c>
      <c r="BT55" s="38">
        <f>IFERROR(INDEX(LMH_STEP,MATCH(AF55,LMH_KEY,0)),0)</f>
        <v>0</v>
      </c>
      <c r="BU55" s="38">
        <f>IFERROR(INDEX(LMH_STEP,MATCH(AG55,LMH_KEY,0)),0)</f>
        <v>0</v>
      </c>
      <c r="BV55" s="38">
        <f>IFERROR(INDEX(LMH_STEP,MATCH(AH55,LMH_KEY,0)),0)</f>
        <v>0</v>
      </c>
      <c r="BW55" s="38">
        <f>IFERROR(INDEX(LMH_STEP,MATCH(AI55,LMH_KEY,0)),0)</f>
        <v>0</v>
      </c>
      <c r="BX55" s="38">
        <f>IFERROR(INDEX(LMH_STEP,MATCH(AJ55,LMH_KEY,0)),0)</f>
        <v>0</v>
      </c>
      <c r="BY55" s="38">
        <f>IFERROR(INDEX(LMH_STEP,MATCH(AK55,LMH_KEY,0)),0)</f>
        <v>0</v>
      </c>
      <c r="BZ55" s="38">
        <f>IFERROR(INDEX(LMH_STEP,MATCH(AL55,LMH_KEY,0)),0)</f>
        <v>0</v>
      </c>
      <c r="CA55" s="38" t="inlineStr">
        <is>
          <t>CARBON|Services|Senior Financial Analyst|A3|A</t>
        </is>
      </c>
    </row>
    <row r="56" ht="110" customHeight="1">
      <c r="A56" s="28" t="inlineStr">
        <is>
          <t>CARBON</t>
        </is>
      </c>
      <c r="B56" s="29" t="inlineStr">
        <is>
          <t>Services</t>
        </is>
      </c>
      <c r="C56" s="29" t="n">
        <v>7</v>
      </c>
      <c r="D56" s="29" t="inlineStr">
        <is>
          <t>IRIS0149</t>
        </is>
      </c>
      <c r="E56" s="29" t="inlineStr">
        <is>
          <t>Sunny Kirtane</t>
        </is>
      </c>
      <c r="F56" s="29" t="inlineStr">
        <is>
          <t>Senior Financial Analyst</t>
        </is>
      </c>
      <c r="G56" s="29" t="inlineStr">
        <is>
          <t>Senior Financial Analyst</t>
        </is>
      </c>
      <c r="H56" s="29" t="inlineStr">
        <is>
          <t>Consulting &amp; Professional Services</t>
        </is>
      </c>
      <c r="I56" s="29" t="inlineStr">
        <is>
          <t>XBRL Tagging, Conversion &amp; Filing</t>
        </is>
      </c>
      <c r="J56" s="29" t="inlineStr">
        <is>
          <t>IC</t>
        </is>
      </c>
      <c r="K56" s="29" t="inlineStr">
        <is>
          <t>RC-025</t>
        </is>
      </c>
      <c r="L56" s="29" t="inlineStr">
        <is>
          <t>Shailesh Kumar Sharma</t>
        </is>
      </c>
      <c r="M56" s="29" t="inlineStr">
        <is>
          <t>IRIS0506</t>
        </is>
      </c>
      <c r="N56" s="29" t="n">
        <v>18.8</v>
      </c>
      <c r="O56" s="29" t="n">
        <v>18.8</v>
      </c>
      <c r="P56" s="29" t="inlineStr">
        <is>
          <t>B.Com</t>
        </is>
      </c>
      <c r="Q56" s="29" t="inlineStr">
        <is>
          <t>L4 – Senior</t>
        </is>
      </c>
      <c r="R56" s="29" t="inlineStr">
        <is>
          <t>A3</t>
        </is>
      </c>
      <c r="S56" s="30" t="inlineStr">
        <is>
          <t>20 of 20</t>
        </is>
      </c>
      <c r="T56" s="31" t="inlineStr">
        <is>
          <t>• Role / sub-team: UK ESMA CIPC.</t>
        </is>
      </c>
      <c r="U5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6" s="31" t="inlineStr">
        <is>
          <t>Latest rating: 3 · Potential: Medium · 9-box: Core Contributor · Readiness: Develop in role</t>
        </is>
      </c>
      <c r="W56" s="31" t="inlineStr">
        <is>
          <t>C M · Au M · Ac M · L L · BI M · Exp H · 18.8 yrs vs 2–4 yrs · Edu M · B.Com</t>
        </is>
      </c>
      <c r="X56" s="33" t="inlineStr">
        <is>
          <t>Open ▸</t>
        </is>
      </c>
      <c r="Y56" s="34" t="str">
        <f>IFERROR(INDEX(DL_C,MATCH($CA56,DL_KEY,0)),"M")</f>
        <v>H</v>
      </c>
      <c r="Z56" s="35" t="str">
        <f>IFERROR(INDEX(DL_Au,MATCH($CA56,DL_KEY,0)),"M")</f>
        <v>M</v>
      </c>
      <c r="AA56" s="35" t="str">
        <f>IFERROR(INDEX(DL_Ac,MATCH($CA56,DL_KEY,0)),"M")</f>
        <v>M</v>
      </c>
      <c r="AB56" s="35" t="str">
        <f>IFERROR(INDEX(DL_L,MATCH($CA56,DL_KEY,0)),"M")</f>
        <v>L</v>
      </c>
      <c r="AC56" s="35" t="str">
        <f>IFERROR(INDEX(DL_BI,MATCH($CA56,DL_KEY,0)),"M")</f>
        <v>L</v>
      </c>
      <c r="AD56" s="35" t="str">
        <f>IFERROR(INDEX(DL_Exp,MATCH($CA56,DL_KEY,0)),"M")</f>
        <v>L</v>
      </c>
      <c r="AE56" s="35" t="str">
        <f>IFERROR(INDEX(DL_Edu,MATCH($CA56,DL_KEY,0)),"M")</f>
        <v>L</v>
      </c>
      <c r="AF56" s="34" t="inlineStr">
        <is>
          <t>M</t>
        </is>
      </c>
      <c r="AG56" s="35" t="inlineStr">
        <is>
          <t>M</t>
        </is>
      </c>
      <c r="AH56" s="35" t="inlineStr">
        <is>
          <t>M</t>
        </is>
      </c>
      <c r="AI56" s="35" t="inlineStr">
        <is>
          <t>M</t>
        </is>
      </c>
      <c r="AJ56" s="35" t="inlineStr">
        <is>
          <t>M</t>
        </is>
      </c>
      <c r="AK56" s="35" t="inlineStr">
        <is>
          <t>M</t>
        </is>
      </c>
      <c r="AL56" s="35" t="inlineStr">
        <is>
          <t>M</t>
        </is>
      </c>
      <c r="AM56" s="36" t="n">
        <v>0.583</v>
      </c>
      <c r="AN56" s="37" t="n">
        <v>0.16</v>
      </c>
      <c r="AO56" s="37" t="n">
        <v>0.09</v>
      </c>
      <c r="AP56" s="37" t="n">
        <v>0</v>
      </c>
      <c r="AQ56" s="37" t="n">
        <v>0.063</v>
      </c>
      <c r="AR56" s="37" t="n">
        <v>0.06</v>
      </c>
      <c r="AS56" s="37" t="n">
        <v>0.04</v>
      </c>
      <c r="AT56" s="38" t="inlineStr">
        <is>
          <t>2–5</t>
        </is>
      </c>
      <c r="AU56" s="38" t="inlineStr">
        <is>
          <t>Graduate; relevant certification preferred</t>
        </is>
      </c>
      <c r="AV56" s="38" t="inlineStr">
        <is>
          <t>None · guides 1–3 juniors informally</t>
        </is>
      </c>
      <c r="AW56" s="38" t="inlineStr">
        <is>
          <t>P2 · SFIA 3 Apply</t>
        </is>
      </c>
      <c r="AX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 s="39" t="inlineStr">
        <is>
          <t>A3</t>
        </is>
      </c>
      <c r="AZ56" s="40" t="inlineStr">
        <is>
          <t>Band A · Practitioner · Senior Associate</t>
        </is>
      </c>
      <c r="BA56" s="40" t="inlineStr">
        <is>
          <t>Model A3 from the six ratings, the market-derived weights and rules R1–R13 · then No change · already below the manager</t>
        </is>
      </c>
      <c r="BB56" s="41" t="inlineStr">
        <is>
          <t>B1</t>
        </is>
      </c>
      <c r="BC56" s="40" t="inlineStr">
        <is>
          <t>The six ratings on the market-average weights of Band A · all tracks score 3.53 → B1 · Hay, Mercer IPE and public plans · experience 18.8 yrs vs the B1 market range 4–8</t>
        </is>
      </c>
      <c r="BD56" s="42">
        <f>IF(SUM(BM56,BN56,BO56,BP56,BQ56,BR56,BS56)=0,0,(BM56*BT56+BN56*BU56+BO56*BV56+BP56*BW56+BQ56*BX56+BR56*BY56+BS56*BZ56)/SUM(BM56,BN56,BO56,BP56,BQ56,BR56,BS56))</f>
        <v>0</v>
      </c>
      <c r="BE56" s="41" t="str">
        <f>IF(LEFT(AY56,1)="X",AY56,IF(OR(AY56="B+",AY56="C+"),INDEX(LAD_PC,MAX(1,MIN(14,MATCH(AY56,LAD_PC,0)+IF(BD56&gt;=0.5,1,IF(BD56&lt;=-0.5,-1,0))))),INDEX(LAD_STD,MAX(1,MIN(12,MATCH(AY56,LAD_STD,0)+IF(BD56&gt;=0.5,1,IF(BD56&lt;=-0.5,-1,0)))))))</f>
        <v>A3</v>
      </c>
      <c r="BF56" s="43" t="n"/>
      <c r="BG56" s="41" t="str">
        <f>IF(BF56&lt;&gt;"",BF56,BE56)</f>
        <v>A3</v>
      </c>
      <c r="BH56" s="40" t="str">
        <f>IFERROR(CHOOSE(INDEX(B_RANK,MATCH(BG56,B_LVL,0)),"Band A","Band B","B+ · Player-Coach","Band C","C+ · Player-Coach","Band D","Band E"),"Band X · Consultant")</f>
        <v>Band A</v>
      </c>
      <c r="BI56" s="40" t="str">
        <f>IF(BG56=AY56,"• Same",IF(INDEX(B_VAL,MATCH(BG56,B_LVL,0))&gt;INDEX(B_VAL,MATCH(AY56,B_LVL,0)),"▲ Up","▼ Down"))</f>
        <v>• Same</v>
      </c>
      <c r="BJ56" s="40" t="str">
        <f>IF(OR($M56="",$M56="—",$M56="Not in this file"),"",IFERROR(INDEX($BG$7:$BG$592,MATCH($M56,$D$7:$D$592,0)),""))</f>
        <v>B1</v>
      </c>
      <c r="BK56" s="40" t="str">
        <f>IFERROR(IF(BJ56="","—",IF(OR(LEFT(BG56,1)="X",LEFT(BJ56,1)="X"),"—",IF(AND(LEFT(BG56,1)="E",LEFT(BJ56,1)="E"),"Exception · Band E",IF(AND(INDEX(B_VAL,MATCH(BJ56,B_LVL,0))&gt;=7,INDEX(B_RANK,MATCH(BG56,B_LVL,0))&gt;=INDEX(B_RANK,MATCH(BJ56,B_LVL,0))),"⚠ Same band as a head manager",IF(INDEX(B_VAL,MATCH(BG56,B_LVL,0))&gt;=INDEX(B_VAL,MATCH(BJ56,B_LVL,0)),"⚠ At or above the manager's level","OK"))))),"—")</f>
        <v>OK</v>
      </c>
      <c r="BL56" s="43" t="n"/>
      <c r="BM56" s="44">
        <f>IFERROR(INDEX(LMH_PTS,MATCH(Y56,LMH_KEY,0)),0)</f>
        <v>9</v>
      </c>
      <c r="BN56" s="38">
        <f>IFERROR(INDEX(LMH_PTS,MATCH(Z56,LMH_KEY,0)),0)</f>
        <v>3</v>
      </c>
      <c r="BO56" s="38">
        <f>IFERROR(INDEX(LMH_PTS,MATCH(AA56,LMH_KEY,0)),0)</f>
        <v>3</v>
      </c>
      <c r="BP56" s="38">
        <f>IFERROR(INDEX(LMH_PTS,MATCH(AB56,LMH_KEY,0)),0)</f>
        <v>1</v>
      </c>
      <c r="BQ56" s="38">
        <f>IFERROR(INDEX(LMH_PTS,MATCH(AC56,LMH_KEY,0)),0)</f>
        <v>1</v>
      </c>
      <c r="BR56" s="38">
        <f>IFERROR(INDEX(LMH_PTS,MATCH(AD56,LMH_KEY,0)),0)</f>
        <v>1</v>
      </c>
      <c r="BS56" s="38">
        <f>IFERROR(INDEX(LMH_PTS,MATCH(AE56,LMH_KEY,0)),0)</f>
        <v>1</v>
      </c>
      <c r="BT56" s="38">
        <f>IFERROR(INDEX(LMH_STEP,MATCH(AF56,LMH_KEY,0)),0)</f>
        <v>0</v>
      </c>
      <c r="BU56" s="38">
        <f>IFERROR(INDEX(LMH_STEP,MATCH(AG56,LMH_KEY,0)),0)</f>
        <v>0</v>
      </c>
      <c r="BV56" s="38">
        <f>IFERROR(INDEX(LMH_STEP,MATCH(AH56,LMH_KEY,0)),0)</f>
        <v>0</v>
      </c>
      <c r="BW56" s="38">
        <f>IFERROR(INDEX(LMH_STEP,MATCH(AI56,LMH_KEY,0)),0)</f>
        <v>0</v>
      </c>
      <c r="BX56" s="38">
        <f>IFERROR(INDEX(LMH_STEP,MATCH(AJ56,LMH_KEY,0)),0)</f>
        <v>0</v>
      </c>
      <c r="BY56" s="38">
        <f>IFERROR(INDEX(LMH_STEP,MATCH(AK56,LMH_KEY,0)),0)</f>
        <v>0</v>
      </c>
      <c r="BZ56" s="38">
        <f>IFERROR(INDEX(LMH_STEP,MATCH(AL56,LMH_KEY,0)),0)</f>
        <v>0</v>
      </c>
      <c r="CA56" s="38" t="inlineStr">
        <is>
          <t>CARBON|Services|Senior Financial Analyst|A3|A</t>
        </is>
      </c>
    </row>
    <row r="57" ht="110" customHeight="1">
      <c r="A57" s="28" t="inlineStr">
        <is>
          <t>CARBON</t>
        </is>
      </c>
      <c r="B57" s="29" t="inlineStr">
        <is>
          <t>Services</t>
        </is>
      </c>
      <c r="C57" s="29" t="n">
        <v>6</v>
      </c>
      <c r="D57" s="29" t="inlineStr">
        <is>
          <t>IRIS0558</t>
        </is>
      </c>
      <c r="E57" s="29" t="inlineStr">
        <is>
          <t>Jayaprakash Arumugam</t>
        </is>
      </c>
      <c r="F57" s="29" t="inlineStr">
        <is>
          <t>Senior Financial Analyst</t>
        </is>
      </c>
      <c r="G57" s="29" t="inlineStr">
        <is>
          <t>XBRL Specialist</t>
        </is>
      </c>
      <c r="H57" s="29" t="inlineStr">
        <is>
          <t>Consulting &amp; Professional Services</t>
        </is>
      </c>
      <c r="I57" s="29" t="inlineStr">
        <is>
          <t>XBRL Tagging, Conversion &amp; Filing</t>
        </is>
      </c>
      <c r="J57" s="29" t="inlineStr">
        <is>
          <t>IC</t>
        </is>
      </c>
      <c r="K57" s="29" t="inlineStr">
        <is>
          <t>RC-026</t>
        </is>
      </c>
      <c r="L57" s="29" t="inlineStr">
        <is>
          <t>Shashikant Mudaliar</t>
        </is>
      </c>
      <c r="M57" s="29" t="inlineStr">
        <is>
          <t>IRIS0786</t>
        </is>
      </c>
      <c r="N57" s="29" t="n">
        <v>19</v>
      </c>
      <c r="O57" s="29" t="n">
        <v>15.6</v>
      </c>
      <c r="P57" s="29" t="inlineStr">
        <is>
          <t>B.Com</t>
        </is>
      </c>
      <c r="Q57" s="29" t="inlineStr">
        <is>
          <t>L4 – Senior</t>
        </is>
      </c>
      <c r="R57" s="29" t="inlineStr">
        <is>
          <t>B1</t>
        </is>
      </c>
      <c r="S57" s="30" t="inlineStr">
        <is>
          <t>18 of 20</t>
        </is>
      </c>
      <c r="T57" s="31" t="inlineStr">
        <is>
          <t>• Role / sub-team: XBRL Convertion Services; XBRL Convertion Services as a Excel Mapper.</t>
        </is>
      </c>
      <c r="U57"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7" s="31" t="inlineStr">
        <is>
          <t>Latest rating: 4 · Potential: High · 9-box: Core Contributor · Readiness: Ready now</t>
        </is>
      </c>
      <c r="W57" s="31" t="inlineStr">
        <is>
          <t>C M · Au M · Ac L · L L · BI M · Exp H · 19 yrs vs 4–7 yrs · Edu M · B.Com</t>
        </is>
      </c>
      <c r="X57" s="33" t="inlineStr">
        <is>
          <t>Open ▸</t>
        </is>
      </c>
      <c r="Y57" s="34" t="str">
        <f>IFERROR(INDEX(DL_C,MATCH($CA57,DL_KEY,0)),"M")</f>
        <v>H</v>
      </c>
      <c r="Z57" s="35" t="str">
        <f>IFERROR(INDEX(DL_Au,MATCH($CA57,DL_KEY,0)),"M")</f>
        <v>M</v>
      </c>
      <c r="AA57" s="35" t="str">
        <f>IFERROR(INDEX(DL_Ac,MATCH($CA57,DL_KEY,0)),"M")</f>
        <v>M</v>
      </c>
      <c r="AB57" s="35" t="str">
        <f>IFERROR(INDEX(DL_L,MATCH($CA57,DL_KEY,0)),"M")</f>
        <v>L</v>
      </c>
      <c r="AC57" s="35" t="str">
        <f>IFERROR(INDEX(DL_BI,MATCH($CA57,DL_KEY,0)),"M")</f>
        <v>L</v>
      </c>
      <c r="AD57" s="35" t="str">
        <f>IFERROR(INDEX(DL_Exp,MATCH($CA57,DL_KEY,0)),"M")</f>
        <v>L</v>
      </c>
      <c r="AE57" s="35" t="str">
        <f>IFERROR(INDEX(DL_Edu,MATCH($CA57,DL_KEY,0)),"M")</f>
        <v>L</v>
      </c>
      <c r="AF57" s="34" t="inlineStr">
        <is>
          <t>M</t>
        </is>
      </c>
      <c r="AG57" s="35" t="inlineStr">
        <is>
          <t>M</t>
        </is>
      </c>
      <c r="AH57" s="35" t="inlineStr">
        <is>
          <t>M</t>
        </is>
      </c>
      <c r="AI57" s="35" t="inlineStr">
        <is>
          <t>M</t>
        </is>
      </c>
      <c r="AJ57" s="35" t="inlineStr">
        <is>
          <t>M</t>
        </is>
      </c>
      <c r="AK57" s="35" t="inlineStr">
        <is>
          <t>M</t>
        </is>
      </c>
      <c r="AL57" s="35" t="inlineStr">
        <is>
          <t>M</t>
        </is>
      </c>
      <c r="AM57" s="36" t="n">
        <v>0.513</v>
      </c>
      <c r="AN57" s="37" t="n">
        <v>0.173</v>
      </c>
      <c r="AO57" s="37" t="n">
        <v>0.09699999999999999</v>
      </c>
      <c r="AP57" s="37" t="n">
        <v>0.05</v>
      </c>
      <c r="AQ57" s="37" t="n">
        <v>0.07000000000000001</v>
      </c>
      <c r="AR57" s="37" t="n">
        <v>0.06</v>
      </c>
      <c r="AS57" s="37" t="n">
        <v>0.04</v>
      </c>
      <c r="AT57" s="38" t="inlineStr">
        <is>
          <t>4–8</t>
        </is>
      </c>
      <c r="AU57" s="38" t="inlineStr">
        <is>
          <t>Graduate + relevant qualification or certification preferred</t>
        </is>
      </c>
      <c r="AV57" s="38" t="inlineStr">
        <is>
          <t>IC: none · Team Lead: 3–5</t>
        </is>
      </c>
      <c r="AW57" s="38" t="inlineStr">
        <is>
          <t>P3 / M2 · SFIA 4 Enable</t>
        </is>
      </c>
      <c r="AX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 s="39" t="inlineStr">
        <is>
          <t>B1</t>
        </is>
      </c>
      <c r="AZ57" s="40" t="inlineStr">
        <is>
          <t>Band B · Specialist / Manager · Specialist</t>
        </is>
      </c>
      <c r="BA57" s="40" t="inlineStr">
        <is>
          <t>Model B1 from the six ratings, the market-derived weights and rules R1–R13 · then No change · already below the manager</t>
        </is>
      </c>
      <c r="BB57" s="41" t="inlineStr">
        <is>
          <t>B1</t>
        </is>
      </c>
      <c r="BC57" s="40" t="inlineStr">
        <is>
          <t>The six ratings on the market-average weights of Band B · Specialist / POD Lead score 4.28 → B1 · Hay, Mercer IPE and public plans · experience 19 yrs vs the B1 market range 4–8</t>
        </is>
      </c>
      <c r="BD57" s="42">
        <f>IF(SUM(BM57,BN57,BO57,BP57,BQ57,BR57,BS57)=0,0,(BM57*BT57+BN57*BU57+BO57*BV57+BP57*BW57+BQ57*BX57+BR57*BY57+BS57*BZ57)/SUM(BM57,BN57,BO57,BP57,BQ57,BR57,BS57))</f>
        <v>0</v>
      </c>
      <c r="BE57" s="41" t="str">
        <f>IF(LEFT(AY57,1)="X",AY57,IF(OR(AY57="B+",AY57="C+"),INDEX(LAD_PC,MAX(1,MIN(14,MATCH(AY57,LAD_PC,0)+IF(BD57&gt;=0.5,1,IF(BD57&lt;=-0.5,-1,0))))),INDEX(LAD_STD,MAX(1,MIN(12,MATCH(AY57,LAD_STD,0)+IF(BD57&gt;=0.5,1,IF(BD57&lt;=-0.5,-1,0)))))))</f>
        <v>B1</v>
      </c>
      <c r="BF57" s="43" t="n"/>
      <c r="BG57" s="41" t="str">
        <f>IF(BF57&lt;&gt;"",BF57,BE57)</f>
        <v>B1</v>
      </c>
      <c r="BH57" s="40" t="str">
        <f>IFERROR(CHOOSE(INDEX(B_RANK,MATCH(BG57,B_LVL,0)),"Band A","Band B","B+ · Player-Coach","Band C","C+ · Player-Coach","Band D","Band E"),"Band X · Consultant")</f>
        <v>Band B</v>
      </c>
      <c r="BI57" s="40" t="str">
        <f>IF(BG57=AY57,"• Same",IF(INDEX(B_VAL,MATCH(BG57,B_LVL,0))&gt;INDEX(B_VAL,MATCH(AY57,B_LVL,0)),"▲ Up","▼ Down"))</f>
        <v>• Same</v>
      </c>
      <c r="BJ57" s="40" t="str">
        <f>IF(OR($M57="",$M57="—",$M57="Not in this file"),"",IFERROR(INDEX($BG$7:$BG$592,MATCH($M57,$D$7:$D$592,0)),""))</f>
        <v>B2</v>
      </c>
      <c r="BK57" s="40" t="str">
        <f>IFERROR(IF(BJ57="","—",IF(OR(LEFT(BG57,1)="X",LEFT(BJ57,1)="X"),"—",IF(AND(LEFT(BG57,1)="E",LEFT(BJ57,1)="E"),"Exception · Band E",IF(AND(INDEX(B_VAL,MATCH(BJ57,B_LVL,0))&gt;=7,INDEX(B_RANK,MATCH(BG57,B_LVL,0))&gt;=INDEX(B_RANK,MATCH(BJ57,B_LVL,0))),"⚠ Same band as a head manager",IF(INDEX(B_VAL,MATCH(BG57,B_LVL,0))&gt;=INDEX(B_VAL,MATCH(BJ57,B_LVL,0)),"⚠ At or above the manager's level","OK"))))),"—")</f>
        <v>OK</v>
      </c>
      <c r="BL57" s="43" t="n"/>
      <c r="BM57" s="44">
        <f>IFERROR(INDEX(LMH_PTS,MATCH(Y57,LMH_KEY,0)),0)</f>
        <v>9</v>
      </c>
      <c r="BN57" s="38">
        <f>IFERROR(INDEX(LMH_PTS,MATCH(Z57,LMH_KEY,0)),0)</f>
        <v>3</v>
      </c>
      <c r="BO57" s="38">
        <f>IFERROR(INDEX(LMH_PTS,MATCH(AA57,LMH_KEY,0)),0)</f>
        <v>3</v>
      </c>
      <c r="BP57" s="38">
        <f>IFERROR(INDEX(LMH_PTS,MATCH(AB57,LMH_KEY,0)),0)</f>
        <v>1</v>
      </c>
      <c r="BQ57" s="38">
        <f>IFERROR(INDEX(LMH_PTS,MATCH(AC57,LMH_KEY,0)),0)</f>
        <v>1</v>
      </c>
      <c r="BR57" s="38">
        <f>IFERROR(INDEX(LMH_PTS,MATCH(AD57,LMH_KEY,0)),0)</f>
        <v>1</v>
      </c>
      <c r="BS57" s="38">
        <f>IFERROR(INDEX(LMH_PTS,MATCH(AE57,LMH_KEY,0)),0)</f>
        <v>1</v>
      </c>
      <c r="BT57" s="38">
        <f>IFERROR(INDEX(LMH_STEP,MATCH(AF57,LMH_KEY,0)),0)</f>
        <v>0</v>
      </c>
      <c r="BU57" s="38">
        <f>IFERROR(INDEX(LMH_STEP,MATCH(AG57,LMH_KEY,0)),0)</f>
        <v>0</v>
      </c>
      <c r="BV57" s="38">
        <f>IFERROR(INDEX(LMH_STEP,MATCH(AH57,LMH_KEY,0)),0)</f>
        <v>0</v>
      </c>
      <c r="BW57" s="38">
        <f>IFERROR(INDEX(LMH_STEP,MATCH(AI57,LMH_KEY,0)),0)</f>
        <v>0</v>
      </c>
      <c r="BX57" s="38">
        <f>IFERROR(INDEX(LMH_STEP,MATCH(AJ57,LMH_KEY,0)),0)</f>
        <v>0</v>
      </c>
      <c r="BY57" s="38">
        <f>IFERROR(INDEX(LMH_STEP,MATCH(AK57,LMH_KEY,0)),0)</f>
        <v>0</v>
      </c>
      <c r="BZ57" s="38">
        <f>IFERROR(INDEX(LMH_STEP,MATCH(AL57,LMH_KEY,0)),0)</f>
        <v>0</v>
      </c>
      <c r="CA57" s="38" t="inlineStr">
        <is>
          <t>CARBON|Services|XBRL Specialist|B1|B-IC</t>
        </is>
      </c>
    </row>
    <row r="58" ht="110" customHeight="1">
      <c r="A58" s="28" t="inlineStr">
        <is>
          <t>CARBON</t>
        </is>
      </c>
      <c r="B58" s="29" t="inlineStr">
        <is>
          <t>Services</t>
        </is>
      </c>
      <c r="C58" s="29" t="n">
        <v>6</v>
      </c>
      <c r="D58" s="29" t="inlineStr">
        <is>
          <t>IRIS0704</t>
        </is>
      </c>
      <c r="E58" s="29" t="inlineStr">
        <is>
          <t>Jivika Wadhwani</t>
        </is>
      </c>
      <c r="F58" s="29" t="inlineStr">
        <is>
          <t>Senior Financial Analyst</t>
        </is>
      </c>
      <c r="G58" s="29" t="inlineStr">
        <is>
          <t>XBRL Specialist – POD Lead</t>
        </is>
      </c>
      <c r="H58" s="29" t="inlineStr">
        <is>
          <t>Consulting &amp; Professional Services</t>
        </is>
      </c>
      <c r="I58" s="29" t="inlineStr">
        <is>
          <t>XBRL Tagging, Conversion &amp; Filing</t>
        </is>
      </c>
      <c r="J58" s="29" t="inlineStr">
        <is>
          <t>POD Lead</t>
        </is>
      </c>
      <c r="K58" s="29" t="inlineStr">
        <is>
          <t>RC-026</t>
        </is>
      </c>
      <c r="L58" s="29" t="inlineStr">
        <is>
          <t>Shashikant Mudaliar</t>
        </is>
      </c>
      <c r="M58" s="29" t="inlineStr">
        <is>
          <t>IRIS0786</t>
        </is>
      </c>
      <c r="N58" s="29" t="n">
        <v>15.3</v>
      </c>
      <c r="O58" s="29" t="n">
        <v>15.3</v>
      </c>
      <c r="P58" s="29" t="inlineStr">
        <is>
          <t>MBA</t>
        </is>
      </c>
      <c r="Q58" s="29" t="inlineStr">
        <is>
          <t>L4 – Senior</t>
        </is>
      </c>
      <c r="R58" s="29" t="inlineStr">
        <is>
          <t>B1</t>
        </is>
      </c>
      <c r="S58" s="30" t="inlineStr">
        <is>
          <t>20 of 20</t>
        </is>
      </c>
      <c r="T58" s="31" t="inlineStr">
        <is>
          <t>• Role / sub-team: Mapping under Service Team.</t>
        </is>
      </c>
      <c r="U58"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8" s="31" t="inlineStr">
        <is>
          <t>Latest rating: 4 · Potential: High · 9-box: Core Contributor · Readiness: Ready now</t>
        </is>
      </c>
      <c r="W58" s="31" t="inlineStr">
        <is>
          <t>C M · Au L · Ac M · L L · BI M · Exp H · 15.3 yrs vs 4–7 yrs · Edu H · MBA</t>
        </is>
      </c>
      <c r="X58" s="33" t="inlineStr">
        <is>
          <t>Open ▸</t>
        </is>
      </c>
      <c r="Y58" s="34" t="str">
        <f>IFERROR(INDEX(DL_C,MATCH($CA58,DL_KEY,0)),"M")</f>
        <v>H</v>
      </c>
      <c r="Z58" s="35" t="str">
        <f>IFERROR(INDEX(DL_Au,MATCH($CA58,DL_KEY,0)),"M")</f>
        <v>M</v>
      </c>
      <c r="AA58" s="35" t="str">
        <f>IFERROR(INDEX(DL_Ac,MATCH($CA58,DL_KEY,0)),"M")</f>
        <v>M</v>
      </c>
      <c r="AB58" s="35" t="str">
        <f>IFERROR(INDEX(DL_L,MATCH($CA58,DL_KEY,0)),"M")</f>
        <v>L</v>
      </c>
      <c r="AC58" s="35" t="str">
        <f>IFERROR(INDEX(DL_BI,MATCH($CA58,DL_KEY,0)),"M")</f>
        <v>L</v>
      </c>
      <c r="AD58" s="35" t="str">
        <f>IFERROR(INDEX(DL_Exp,MATCH($CA58,DL_KEY,0)),"M")</f>
        <v>L</v>
      </c>
      <c r="AE58" s="35" t="str">
        <f>IFERROR(INDEX(DL_Edu,MATCH($CA58,DL_KEY,0)),"M")</f>
        <v>L</v>
      </c>
      <c r="AF58" s="34" t="inlineStr">
        <is>
          <t>M</t>
        </is>
      </c>
      <c r="AG58" s="35" t="inlineStr">
        <is>
          <t>M</t>
        </is>
      </c>
      <c r="AH58" s="35" t="inlineStr">
        <is>
          <t>M</t>
        </is>
      </c>
      <c r="AI58" s="35" t="inlineStr">
        <is>
          <t>M</t>
        </is>
      </c>
      <c r="AJ58" s="35" t="inlineStr">
        <is>
          <t>M</t>
        </is>
      </c>
      <c r="AK58" s="35" t="inlineStr">
        <is>
          <t>M</t>
        </is>
      </c>
      <c r="AL58" s="35" t="inlineStr">
        <is>
          <t>M</t>
        </is>
      </c>
      <c r="AM58" s="36" t="n">
        <v>0.513</v>
      </c>
      <c r="AN58" s="37" t="n">
        <v>0.173</v>
      </c>
      <c r="AO58" s="37" t="n">
        <v>0.09699999999999999</v>
      </c>
      <c r="AP58" s="37" t="n">
        <v>0.05</v>
      </c>
      <c r="AQ58" s="37" t="n">
        <v>0.07000000000000001</v>
      </c>
      <c r="AR58" s="37" t="n">
        <v>0.06</v>
      </c>
      <c r="AS58" s="37" t="n">
        <v>0.04</v>
      </c>
      <c r="AT58" s="38" t="inlineStr">
        <is>
          <t>4–8</t>
        </is>
      </c>
      <c r="AU58" s="38" t="inlineStr">
        <is>
          <t>Graduate + relevant qualification or certification preferred</t>
        </is>
      </c>
      <c r="AV58" s="38" t="inlineStr">
        <is>
          <t>IC: none · Team Lead: 3–5</t>
        </is>
      </c>
      <c r="AW58" s="38" t="inlineStr">
        <is>
          <t>P3 / M2 · SFIA 4 Enable</t>
        </is>
      </c>
      <c r="AX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 s="39" t="inlineStr">
        <is>
          <t>B1</t>
        </is>
      </c>
      <c r="AZ58" s="40" t="inlineStr">
        <is>
          <t>Band B · Specialist / Manager · Team Lead / Asst Manager</t>
        </is>
      </c>
      <c r="BA58" s="40" t="inlineStr">
        <is>
          <t>Model B1 from the six ratings, the market-derived weights and rules R1–R13 · then No change · already below the manager</t>
        </is>
      </c>
      <c r="BB58" s="41" t="inlineStr">
        <is>
          <t>B1</t>
        </is>
      </c>
      <c r="BC58" s="40" t="inlineStr">
        <is>
          <t>The six ratings on the market-average weights of Band B · Specialist / POD Lead score 3.97 → B1 · Hay, Mercer IPE and public plans · experience 15.3 yrs vs the B1 market range 4–8</t>
        </is>
      </c>
      <c r="BD58" s="42">
        <f>IF(SUM(BM58,BN58,BO58,BP58,BQ58,BR58,BS58)=0,0,(BM58*BT58+BN58*BU58+BO58*BV58+BP58*BW58+BQ58*BX58+BR58*BY58+BS58*BZ58)/SUM(BM58,BN58,BO58,BP58,BQ58,BR58,BS58))</f>
        <v>0</v>
      </c>
      <c r="BE58" s="41" t="str">
        <f>IF(LEFT(AY58,1)="X",AY58,IF(OR(AY58="B+",AY58="C+"),INDEX(LAD_PC,MAX(1,MIN(14,MATCH(AY58,LAD_PC,0)+IF(BD58&gt;=0.5,1,IF(BD58&lt;=-0.5,-1,0))))),INDEX(LAD_STD,MAX(1,MIN(12,MATCH(AY58,LAD_STD,0)+IF(BD58&gt;=0.5,1,IF(BD58&lt;=-0.5,-1,0)))))))</f>
        <v>B1</v>
      </c>
      <c r="BF58" s="43" t="n"/>
      <c r="BG58" s="41" t="str">
        <f>IF(BF58&lt;&gt;"",BF58,BE58)</f>
        <v>B1</v>
      </c>
      <c r="BH58" s="40" t="str">
        <f>IFERROR(CHOOSE(INDEX(B_RANK,MATCH(BG58,B_LVL,0)),"Band A","Band B","B+ · Player-Coach","Band C","C+ · Player-Coach","Band D","Band E"),"Band X · Consultant")</f>
        <v>Band B</v>
      </c>
      <c r="BI58" s="40" t="str">
        <f>IF(BG58=AY58,"• Same",IF(INDEX(B_VAL,MATCH(BG58,B_LVL,0))&gt;INDEX(B_VAL,MATCH(AY58,B_LVL,0)),"▲ Up","▼ Down"))</f>
        <v>• Same</v>
      </c>
      <c r="BJ58" s="40" t="str">
        <f>IF(OR($M58="",$M58="—",$M58="Not in this file"),"",IFERROR(INDEX($BG$7:$BG$592,MATCH($M58,$D$7:$D$592,0)),""))</f>
        <v>B2</v>
      </c>
      <c r="BK58" s="40" t="str">
        <f>IFERROR(IF(BJ58="","—",IF(OR(LEFT(BG58,1)="X",LEFT(BJ58,1)="X"),"—",IF(AND(LEFT(BG58,1)="E",LEFT(BJ58,1)="E"),"Exception · Band E",IF(AND(INDEX(B_VAL,MATCH(BJ58,B_LVL,0))&gt;=7,INDEX(B_RANK,MATCH(BG58,B_LVL,0))&gt;=INDEX(B_RANK,MATCH(BJ58,B_LVL,0))),"⚠ Same band as a head manager",IF(INDEX(B_VAL,MATCH(BG58,B_LVL,0))&gt;=INDEX(B_VAL,MATCH(BJ58,B_LVL,0)),"⚠ At or above the manager's level","OK"))))),"—")</f>
        <v>OK</v>
      </c>
      <c r="BL58" s="43" t="n"/>
      <c r="BM58" s="44">
        <f>IFERROR(INDEX(LMH_PTS,MATCH(Y58,LMH_KEY,0)),0)</f>
        <v>9</v>
      </c>
      <c r="BN58" s="38">
        <f>IFERROR(INDEX(LMH_PTS,MATCH(Z58,LMH_KEY,0)),0)</f>
        <v>3</v>
      </c>
      <c r="BO58" s="38">
        <f>IFERROR(INDEX(LMH_PTS,MATCH(AA58,LMH_KEY,0)),0)</f>
        <v>3</v>
      </c>
      <c r="BP58" s="38">
        <f>IFERROR(INDEX(LMH_PTS,MATCH(AB58,LMH_KEY,0)),0)</f>
        <v>1</v>
      </c>
      <c r="BQ58" s="38">
        <f>IFERROR(INDEX(LMH_PTS,MATCH(AC58,LMH_KEY,0)),0)</f>
        <v>1</v>
      </c>
      <c r="BR58" s="38">
        <f>IFERROR(INDEX(LMH_PTS,MATCH(AD58,LMH_KEY,0)),0)</f>
        <v>1</v>
      </c>
      <c r="BS58" s="38">
        <f>IFERROR(INDEX(LMH_PTS,MATCH(AE58,LMH_KEY,0)),0)</f>
        <v>1</v>
      </c>
      <c r="BT58" s="38">
        <f>IFERROR(INDEX(LMH_STEP,MATCH(AF58,LMH_KEY,0)),0)</f>
        <v>0</v>
      </c>
      <c r="BU58" s="38">
        <f>IFERROR(INDEX(LMH_STEP,MATCH(AG58,LMH_KEY,0)),0)</f>
        <v>0</v>
      </c>
      <c r="BV58" s="38">
        <f>IFERROR(INDEX(LMH_STEP,MATCH(AH58,LMH_KEY,0)),0)</f>
        <v>0</v>
      </c>
      <c r="BW58" s="38">
        <f>IFERROR(INDEX(LMH_STEP,MATCH(AI58,LMH_KEY,0)),0)</f>
        <v>0</v>
      </c>
      <c r="BX58" s="38">
        <f>IFERROR(INDEX(LMH_STEP,MATCH(AJ58,LMH_KEY,0)),0)</f>
        <v>0</v>
      </c>
      <c r="BY58" s="38">
        <f>IFERROR(INDEX(LMH_STEP,MATCH(AK58,LMH_KEY,0)),0)</f>
        <v>0</v>
      </c>
      <c r="BZ58" s="38">
        <f>IFERROR(INDEX(LMH_STEP,MATCH(AL58,LMH_KEY,0)),0)</f>
        <v>0</v>
      </c>
      <c r="CA58" s="38" t="inlineStr">
        <is>
          <t>CARBON|Services|XBRL Specialist – POD Lead|B1|B-IC</t>
        </is>
      </c>
    </row>
    <row r="59" ht="110" customHeight="1">
      <c r="A59" s="28" t="inlineStr">
        <is>
          <t>CARBON</t>
        </is>
      </c>
      <c r="B59" s="29" t="inlineStr">
        <is>
          <t>Services</t>
        </is>
      </c>
      <c r="C59" s="29" t="n">
        <v>7</v>
      </c>
      <c r="D59" s="29" t="inlineStr">
        <is>
          <t>IRIS2169</t>
        </is>
      </c>
      <c r="E59" s="29" t="inlineStr">
        <is>
          <t>Chetan Newase</t>
        </is>
      </c>
      <c r="F59" s="29" t="inlineStr">
        <is>
          <t>Senior Financial Analyst</t>
        </is>
      </c>
      <c r="G59" s="29" t="inlineStr">
        <is>
          <t>XBRL Specialist</t>
        </is>
      </c>
      <c r="H59" s="29" t="inlineStr">
        <is>
          <t>Consulting &amp; Professional Services</t>
        </is>
      </c>
      <c r="I59" s="29" t="inlineStr">
        <is>
          <t>XBRL Tagging, Conversion &amp; Filing</t>
        </is>
      </c>
      <c r="J59" s="29" t="inlineStr">
        <is>
          <t>IC</t>
        </is>
      </c>
      <c r="K59" s="29" t="inlineStr">
        <is>
          <t>RC-026</t>
        </is>
      </c>
      <c r="L59" s="29" t="inlineStr">
        <is>
          <t>Jivika Wadhwani</t>
        </is>
      </c>
      <c r="M59" s="29" t="inlineStr">
        <is>
          <t>IRIS0704</t>
        </is>
      </c>
      <c r="N59" s="29" t="n">
        <v>16.1</v>
      </c>
      <c r="O59" s="29" t="n">
        <v>3.1</v>
      </c>
      <c r="P59" s="29" t="inlineStr">
        <is>
          <t>MBA</t>
        </is>
      </c>
      <c r="Q59" s="29" t="inlineStr">
        <is>
          <t>L4 – Senior</t>
        </is>
      </c>
      <c r="R59" s="29" t="inlineStr">
        <is>
          <t>B1</t>
        </is>
      </c>
      <c r="S59" s="30" t="inlineStr">
        <is>
          <t>18 of 20</t>
        </is>
      </c>
      <c r="T59" s="31" t="inlineStr">
        <is>
          <t>• Role / sub-team: XBRL mapping.</t>
        </is>
      </c>
      <c r="U59"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9" s="31" t="inlineStr">
        <is>
          <t>Latest rating: 3 · Potential: Medium · 9-box: Core Contributor · Readiness: Develop in role</t>
        </is>
      </c>
      <c r="W59" s="31" t="inlineStr">
        <is>
          <t>C M · Au M · Ac M · L L · BI M · Exp H · 16.1 yrs vs 2–4 yrs · Edu H · MBA</t>
        </is>
      </c>
      <c r="X59" s="33" t="inlineStr">
        <is>
          <t>Open ▸</t>
        </is>
      </c>
      <c r="Y59" s="34" t="str">
        <f>IFERROR(INDEX(DL_C,MATCH($CA59,DL_KEY,0)),"M")</f>
        <v>H</v>
      </c>
      <c r="Z59" s="35" t="str">
        <f>IFERROR(INDEX(DL_Au,MATCH($CA59,DL_KEY,0)),"M")</f>
        <v>M</v>
      </c>
      <c r="AA59" s="35" t="str">
        <f>IFERROR(INDEX(DL_Ac,MATCH($CA59,DL_KEY,0)),"M")</f>
        <v>M</v>
      </c>
      <c r="AB59" s="35" t="str">
        <f>IFERROR(INDEX(DL_L,MATCH($CA59,DL_KEY,0)),"M")</f>
        <v>L</v>
      </c>
      <c r="AC59" s="35" t="str">
        <f>IFERROR(INDEX(DL_BI,MATCH($CA59,DL_KEY,0)),"M")</f>
        <v>L</v>
      </c>
      <c r="AD59" s="35" t="str">
        <f>IFERROR(INDEX(DL_Exp,MATCH($CA59,DL_KEY,0)),"M")</f>
        <v>L</v>
      </c>
      <c r="AE59" s="35" t="str">
        <f>IFERROR(INDEX(DL_Edu,MATCH($CA59,DL_KEY,0)),"M")</f>
        <v>L</v>
      </c>
      <c r="AF59" s="34" t="inlineStr">
        <is>
          <t>M</t>
        </is>
      </c>
      <c r="AG59" s="35" t="inlineStr">
        <is>
          <t>M</t>
        </is>
      </c>
      <c r="AH59" s="35" t="inlineStr">
        <is>
          <t>M</t>
        </is>
      </c>
      <c r="AI59" s="35" t="inlineStr">
        <is>
          <t>M</t>
        </is>
      </c>
      <c r="AJ59" s="35" t="inlineStr">
        <is>
          <t>M</t>
        </is>
      </c>
      <c r="AK59" s="35" t="inlineStr">
        <is>
          <t>M</t>
        </is>
      </c>
      <c r="AL59" s="35" t="inlineStr">
        <is>
          <t>M</t>
        </is>
      </c>
      <c r="AM59" s="36" t="n">
        <v>0.583</v>
      </c>
      <c r="AN59" s="37" t="n">
        <v>0.16</v>
      </c>
      <c r="AO59" s="37" t="n">
        <v>0.09</v>
      </c>
      <c r="AP59" s="37" t="n">
        <v>0</v>
      </c>
      <c r="AQ59" s="37" t="n">
        <v>0.063</v>
      </c>
      <c r="AR59" s="37" t="n">
        <v>0.06</v>
      </c>
      <c r="AS59" s="37" t="n">
        <v>0.04</v>
      </c>
      <c r="AT59" s="38" t="inlineStr">
        <is>
          <t>2–5</t>
        </is>
      </c>
      <c r="AU59" s="38" t="inlineStr">
        <is>
          <t>Graduate; relevant certification preferred</t>
        </is>
      </c>
      <c r="AV59" s="38" t="inlineStr">
        <is>
          <t>None · guides 1–3 juniors informally</t>
        </is>
      </c>
      <c r="AW59" s="38" t="inlineStr">
        <is>
          <t>P2 · SFIA 3 Apply</t>
        </is>
      </c>
      <c r="AX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 s="39" t="inlineStr">
        <is>
          <t>A3</t>
        </is>
      </c>
      <c r="AZ59" s="40" t="inlineStr">
        <is>
          <t>Band A · Practitioner · Senior Associate</t>
        </is>
      </c>
      <c r="BA59" s="40" t="inlineStr">
        <is>
          <t>Model B1 from the six ratings, the market-derived weights and rules R1–R13 · then Level rule: manager B1; a reportee sits at least one level below · B1 → A3 · move down · pay and title protected for one cycle</t>
        </is>
      </c>
      <c r="BB59" s="41" t="inlineStr">
        <is>
          <t>B1</t>
        </is>
      </c>
      <c r="BC59" s="40" t="inlineStr">
        <is>
          <t>The six ratings on the market-average weights of Band A · all tracks score 3.93 → B1 · Hay, Mercer IPE and public plans · experience 16.1 yrs vs the B1 market range 4–8</t>
        </is>
      </c>
      <c r="BD59" s="42">
        <f>IF(SUM(BM59,BN59,BO59,BP59,BQ59,BR59,BS59)=0,0,(BM59*BT59+BN59*BU59+BO59*BV59+BP59*BW59+BQ59*BX59+BR59*BY59+BS59*BZ59)/SUM(BM59,BN59,BO59,BP59,BQ59,BR59,BS59))</f>
        <v>0</v>
      </c>
      <c r="BE59" s="41" t="str">
        <f>IF(LEFT(AY59,1)="X",AY59,IF(OR(AY59="B+",AY59="C+"),INDEX(LAD_PC,MAX(1,MIN(14,MATCH(AY59,LAD_PC,0)+IF(BD59&gt;=0.5,1,IF(BD59&lt;=-0.5,-1,0))))),INDEX(LAD_STD,MAX(1,MIN(12,MATCH(AY59,LAD_STD,0)+IF(BD59&gt;=0.5,1,IF(BD59&lt;=-0.5,-1,0)))))))</f>
        <v>A3</v>
      </c>
      <c r="BF59" s="43" t="n"/>
      <c r="BG59" s="41" t="str">
        <f>IF(BF59&lt;&gt;"",BF59,BE59)</f>
        <v>A3</v>
      </c>
      <c r="BH59" s="40" t="str">
        <f>IFERROR(CHOOSE(INDEX(B_RANK,MATCH(BG59,B_LVL,0)),"Band A","Band B","B+ · Player-Coach","Band C","C+ · Player-Coach","Band D","Band E"),"Band X · Consultant")</f>
        <v>Band A</v>
      </c>
      <c r="BI59" s="40" t="str">
        <f>IF(BG59=AY59,"• Same",IF(INDEX(B_VAL,MATCH(BG59,B_LVL,0))&gt;INDEX(B_VAL,MATCH(AY59,B_LVL,0)),"▲ Up","▼ Down"))</f>
        <v>• Same</v>
      </c>
      <c r="BJ59" s="40" t="str">
        <f>IF(OR($M59="",$M59="—",$M59="Not in this file"),"",IFERROR(INDEX($BG$7:$BG$592,MATCH($M59,$D$7:$D$592,0)),""))</f>
        <v>B1</v>
      </c>
      <c r="BK59" s="40" t="str">
        <f>IFERROR(IF(BJ59="","—",IF(OR(LEFT(BG59,1)="X",LEFT(BJ59,1)="X"),"—",IF(AND(LEFT(BG59,1)="E",LEFT(BJ59,1)="E"),"Exception · Band E",IF(AND(INDEX(B_VAL,MATCH(BJ59,B_LVL,0))&gt;=7,INDEX(B_RANK,MATCH(BG59,B_LVL,0))&gt;=INDEX(B_RANK,MATCH(BJ59,B_LVL,0))),"⚠ Same band as a head manager",IF(INDEX(B_VAL,MATCH(BG59,B_LVL,0))&gt;=INDEX(B_VAL,MATCH(BJ59,B_LVL,0)),"⚠ At or above the manager's level","OK"))))),"—")</f>
        <v>OK</v>
      </c>
      <c r="BL59" s="43" t="n"/>
      <c r="BM59" s="44">
        <f>IFERROR(INDEX(LMH_PTS,MATCH(Y59,LMH_KEY,0)),0)</f>
        <v>9</v>
      </c>
      <c r="BN59" s="38">
        <f>IFERROR(INDEX(LMH_PTS,MATCH(Z59,LMH_KEY,0)),0)</f>
        <v>3</v>
      </c>
      <c r="BO59" s="38">
        <f>IFERROR(INDEX(LMH_PTS,MATCH(AA59,LMH_KEY,0)),0)</f>
        <v>3</v>
      </c>
      <c r="BP59" s="38">
        <f>IFERROR(INDEX(LMH_PTS,MATCH(AB59,LMH_KEY,0)),0)</f>
        <v>1</v>
      </c>
      <c r="BQ59" s="38">
        <f>IFERROR(INDEX(LMH_PTS,MATCH(AC59,LMH_KEY,0)),0)</f>
        <v>1</v>
      </c>
      <c r="BR59" s="38">
        <f>IFERROR(INDEX(LMH_PTS,MATCH(AD59,LMH_KEY,0)),0)</f>
        <v>1</v>
      </c>
      <c r="BS59" s="38">
        <f>IFERROR(INDEX(LMH_PTS,MATCH(AE59,LMH_KEY,0)),0)</f>
        <v>1</v>
      </c>
      <c r="BT59" s="38">
        <f>IFERROR(INDEX(LMH_STEP,MATCH(AF59,LMH_KEY,0)),0)</f>
        <v>0</v>
      </c>
      <c r="BU59" s="38">
        <f>IFERROR(INDEX(LMH_STEP,MATCH(AG59,LMH_KEY,0)),0)</f>
        <v>0</v>
      </c>
      <c r="BV59" s="38">
        <f>IFERROR(INDEX(LMH_STEP,MATCH(AH59,LMH_KEY,0)),0)</f>
        <v>0</v>
      </c>
      <c r="BW59" s="38">
        <f>IFERROR(INDEX(LMH_STEP,MATCH(AI59,LMH_KEY,0)),0)</f>
        <v>0</v>
      </c>
      <c r="BX59" s="38">
        <f>IFERROR(INDEX(LMH_STEP,MATCH(AJ59,LMH_KEY,0)),0)</f>
        <v>0</v>
      </c>
      <c r="BY59" s="38">
        <f>IFERROR(INDEX(LMH_STEP,MATCH(AK59,LMH_KEY,0)),0)</f>
        <v>0</v>
      </c>
      <c r="BZ59" s="38">
        <f>IFERROR(INDEX(LMH_STEP,MATCH(AL59,LMH_KEY,0)),0)</f>
        <v>0</v>
      </c>
      <c r="CA59" s="38" t="inlineStr">
        <is>
          <t>CARBON|Services|XBRL Specialist|A3|A</t>
        </is>
      </c>
    </row>
    <row r="60" ht="110" customHeight="1">
      <c r="A60" s="28" t="inlineStr">
        <is>
          <t>CARBON</t>
        </is>
      </c>
      <c r="B60" s="29" t="inlineStr">
        <is>
          <t>Services</t>
        </is>
      </c>
      <c r="C60" s="29" t="n">
        <v>7</v>
      </c>
      <c r="D60" s="29" t="inlineStr">
        <is>
          <t>IRIS2050</t>
        </is>
      </c>
      <c r="E60" s="29" t="inlineStr">
        <is>
          <t>Ruhee Chita</t>
        </is>
      </c>
      <c r="F60" s="29" t="inlineStr">
        <is>
          <t>Senior Financial Analyst</t>
        </is>
      </c>
      <c r="G60" s="29" t="inlineStr">
        <is>
          <t>XBRL Specialist</t>
        </is>
      </c>
      <c r="H60" s="29" t="inlineStr">
        <is>
          <t>Consulting &amp; Professional Services</t>
        </is>
      </c>
      <c r="I60" s="29" t="inlineStr">
        <is>
          <t>XBRL Tagging, Conversion &amp; Filing</t>
        </is>
      </c>
      <c r="J60" s="29" t="inlineStr">
        <is>
          <t>IC</t>
        </is>
      </c>
      <c r="K60" s="29" t="inlineStr">
        <is>
          <t>RC-025</t>
        </is>
      </c>
      <c r="L60" s="29" t="inlineStr">
        <is>
          <t>Jivika Wadhwani</t>
        </is>
      </c>
      <c r="M60" s="29" t="inlineStr">
        <is>
          <t>IRIS0704</t>
        </is>
      </c>
      <c r="N60" s="29" t="n">
        <v>7.7</v>
      </c>
      <c r="O60" s="29" t="n">
        <v>4.1</v>
      </c>
      <c r="P60" s="29" t="inlineStr">
        <is>
          <t>CMA</t>
        </is>
      </c>
      <c r="Q60" s="29" t="inlineStr">
        <is>
          <t>L4 – Senior</t>
        </is>
      </c>
      <c r="R60" s="29" t="inlineStr">
        <is>
          <t>A3</t>
        </is>
      </c>
      <c r="S60" s="30" t="inlineStr">
        <is>
          <t>20 of 20</t>
        </is>
      </c>
      <c r="T60" s="31" t="inlineStr">
        <is>
          <t>• Role / sub-team: Service team: Mapping.</t>
        </is>
      </c>
      <c r="U60"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60" s="31" t="inlineStr">
        <is>
          <t>Latest rating: 3 · Potential: Medium · 9-box: Core Contributor · Readiness: Develop in role</t>
        </is>
      </c>
      <c r="W60" s="31" t="inlineStr">
        <is>
          <t>C M · Au M · Ac M · L L · BI M · Exp H · 7.7 yrs vs 2–4 yrs · Edu H · CMA</t>
        </is>
      </c>
      <c r="X60" s="33" t="inlineStr">
        <is>
          <t>Open ▸</t>
        </is>
      </c>
      <c r="Y60" s="34" t="str">
        <f>IFERROR(INDEX(DL_C,MATCH($CA60,DL_KEY,0)),"M")</f>
        <v>H</v>
      </c>
      <c r="Z60" s="35" t="str">
        <f>IFERROR(INDEX(DL_Au,MATCH($CA60,DL_KEY,0)),"M")</f>
        <v>M</v>
      </c>
      <c r="AA60" s="35" t="str">
        <f>IFERROR(INDEX(DL_Ac,MATCH($CA60,DL_KEY,0)),"M")</f>
        <v>M</v>
      </c>
      <c r="AB60" s="35" t="str">
        <f>IFERROR(INDEX(DL_L,MATCH($CA60,DL_KEY,0)),"M")</f>
        <v>L</v>
      </c>
      <c r="AC60" s="35" t="str">
        <f>IFERROR(INDEX(DL_BI,MATCH($CA60,DL_KEY,0)),"M")</f>
        <v>L</v>
      </c>
      <c r="AD60" s="35" t="str">
        <f>IFERROR(INDEX(DL_Exp,MATCH($CA60,DL_KEY,0)),"M")</f>
        <v>L</v>
      </c>
      <c r="AE60" s="35" t="str">
        <f>IFERROR(INDEX(DL_Edu,MATCH($CA60,DL_KEY,0)),"M")</f>
        <v>L</v>
      </c>
      <c r="AF60" s="34" t="inlineStr">
        <is>
          <t>M</t>
        </is>
      </c>
      <c r="AG60" s="35" t="inlineStr">
        <is>
          <t>M</t>
        </is>
      </c>
      <c r="AH60" s="35" t="inlineStr">
        <is>
          <t>M</t>
        </is>
      </c>
      <c r="AI60" s="35" t="inlineStr">
        <is>
          <t>M</t>
        </is>
      </c>
      <c r="AJ60" s="35" t="inlineStr">
        <is>
          <t>M</t>
        </is>
      </c>
      <c r="AK60" s="35" t="inlineStr">
        <is>
          <t>M</t>
        </is>
      </c>
      <c r="AL60" s="35" t="inlineStr">
        <is>
          <t>M</t>
        </is>
      </c>
      <c r="AM60" s="36" t="n">
        <v>0.583</v>
      </c>
      <c r="AN60" s="37" t="n">
        <v>0.16</v>
      </c>
      <c r="AO60" s="37" t="n">
        <v>0.09</v>
      </c>
      <c r="AP60" s="37" t="n">
        <v>0</v>
      </c>
      <c r="AQ60" s="37" t="n">
        <v>0.063</v>
      </c>
      <c r="AR60" s="37" t="n">
        <v>0.06</v>
      </c>
      <c r="AS60" s="37" t="n">
        <v>0.04</v>
      </c>
      <c r="AT60" s="38" t="inlineStr">
        <is>
          <t>2–5</t>
        </is>
      </c>
      <c r="AU60" s="38" t="inlineStr">
        <is>
          <t>Graduate; relevant certification preferred</t>
        </is>
      </c>
      <c r="AV60" s="38" t="inlineStr">
        <is>
          <t>None · guides 1–3 juniors informally</t>
        </is>
      </c>
      <c r="AW60" s="38" t="inlineStr">
        <is>
          <t>P2 · SFIA 3 Apply</t>
        </is>
      </c>
      <c r="AX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0" s="39" t="inlineStr">
        <is>
          <t>A3</t>
        </is>
      </c>
      <c r="AZ60" s="40" t="inlineStr">
        <is>
          <t>Band A · Practitioner · Senior Associate</t>
        </is>
      </c>
      <c r="BA60" s="40" t="inlineStr">
        <is>
          <t>Model A3 from the six ratings, the market-derived weights and rules R1–R13 · then No change · already below the manager</t>
        </is>
      </c>
      <c r="BB60" s="41" t="inlineStr">
        <is>
          <t>B1</t>
        </is>
      </c>
      <c r="BC60" s="40" t="inlineStr">
        <is>
          <t>The six ratings on the market-average weights of Band A · all tracks score 3.63 → B1 · Hay, Mercer IPE and public plans · experience 7.7 yrs vs the B1 market range 4–8</t>
        </is>
      </c>
      <c r="BD60" s="42">
        <f>IF(SUM(BM60,BN60,BO60,BP60,BQ60,BR60,BS60)=0,0,(BM60*BT60+BN60*BU60+BO60*BV60+BP60*BW60+BQ60*BX60+BR60*BY60+BS60*BZ60)/SUM(BM60,BN60,BO60,BP60,BQ60,BR60,BS60))</f>
        <v>0</v>
      </c>
      <c r="BE60" s="41" t="str">
        <f>IF(LEFT(AY60,1)="X",AY60,IF(OR(AY60="B+",AY60="C+"),INDEX(LAD_PC,MAX(1,MIN(14,MATCH(AY60,LAD_PC,0)+IF(BD60&gt;=0.5,1,IF(BD60&lt;=-0.5,-1,0))))),INDEX(LAD_STD,MAX(1,MIN(12,MATCH(AY60,LAD_STD,0)+IF(BD60&gt;=0.5,1,IF(BD60&lt;=-0.5,-1,0)))))))</f>
        <v>A3</v>
      </c>
      <c r="BF60" s="43" t="n"/>
      <c r="BG60" s="41" t="str">
        <f>IF(BF60&lt;&gt;"",BF60,BE60)</f>
        <v>A3</v>
      </c>
      <c r="BH60" s="40" t="str">
        <f>IFERROR(CHOOSE(INDEX(B_RANK,MATCH(BG60,B_LVL,0)),"Band A","Band B","B+ · Player-Coach","Band C","C+ · Player-Coach","Band D","Band E"),"Band X · Consultant")</f>
        <v>Band A</v>
      </c>
      <c r="BI60" s="40" t="str">
        <f>IF(BG60=AY60,"• Same",IF(INDEX(B_VAL,MATCH(BG60,B_LVL,0))&gt;INDEX(B_VAL,MATCH(AY60,B_LVL,0)),"▲ Up","▼ Down"))</f>
        <v>• Same</v>
      </c>
      <c r="BJ60" s="40" t="str">
        <f>IF(OR($M60="",$M60="—",$M60="Not in this file"),"",IFERROR(INDEX($BG$7:$BG$592,MATCH($M60,$D$7:$D$592,0)),""))</f>
        <v>B1</v>
      </c>
      <c r="BK60" s="40" t="str">
        <f>IFERROR(IF(BJ60="","—",IF(OR(LEFT(BG60,1)="X",LEFT(BJ60,1)="X"),"—",IF(AND(LEFT(BG60,1)="E",LEFT(BJ60,1)="E"),"Exception · Band E",IF(AND(INDEX(B_VAL,MATCH(BJ60,B_LVL,0))&gt;=7,INDEX(B_RANK,MATCH(BG60,B_LVL,0))&gt;=INDEX(B_RANK,MATCH(BJ60,B_LVL,0))),"⚠ Same band as a head manager",IF(INDEX(B_VAL,MATCH(BG60,B_LVL,0))&gt;=INDEX(B_VAL,MATCH(BJ60,B_LVL,0)),"⚠ At or above the manager's level","OK"))))),"—")</f>
        <v>OK</v>
      </c>
      <c r="BL60" s="43" t="n"/>
      <c r="BM60" s="44">
        <f>IFERROR(INDEX(LMH_PTS,MATCH(Y60,LMH_KEY,0)),0)</f>
        <v>9</v>
      </c>
      <c r="BN60" s="38">
        <f>IFERROR(INDEX(LMH_PTS,MATCH(Z60,LMH_KEY,0)),0)</f>
        <v>3</v>
      </c>
      <c r="BO60" s="38">
        <f>IFERROR(INDEX(LMH_PTS,MATCH(AA60,LMH_KEY,0)),0)</f>
        <v>3</v>
      </c>
      <c r="BP60" s="38">
        <f>IFERROR(INDEX(LMH_PTS,MATCH(AB60,LMH_KEY,0)),0)</f>
        <v>1</v>
      </c>
      <c r="BQ60" s="38">
        <f>IFERROR(INDEX(LMH_PTS,MATCH(AC60,LMH_KEY,0)),0)</f>
        <v>1</v>
      </c>
      <c r="BR60" s="38">
        <f>IFERROR(INDEX(LMH_PTS,MATCH(AD60,LMH_KEY,0)),0)</f>
        <v>1</v>
      </c>
      <c r="BS60" s="38">
        <f>IFERROR(INDEX(LMH_PTS,MATCH(AE60,LMH_KEY,0)),0)</f>
        <v>1</v>
      </c>
      <c r="BT60" s="38">
        <f>IFERROR(INDEX(LMH_STEP,MATCH(AF60,LMH_KEY,0)),0)</f>
        <v>0</v>
      </c>
      <c r="BU60" s="38">
        <f>IFERROR(INDEX(LMH_STEP,MATCH(AG60,LMH_KEY,0)),0)</f>
        <v>0</v>
      </c>
      <c r="BV60" s="38">
        <f>IFERROR(INDEX(LMH_STEP,MATCH(AH60,LMH_KEY,0)),0)</f>
        <v>0</v>
      </c>
      <c r="BW60" s="38">
        <f>IFERROR(INDEX(LMH_STEP,MATCH(AI60,LMH_KEY,0)),0)</f>
        <v>0</v>
      </c>
      <c r="BX60" s="38">
        <f>IFERROR(INDEX(LMH_STEP,MATCH(AJ60,LMH_KEY,0)),0)</f>
        <v>0</v>
      </c>
      <c r="BY60" s="38">
        <f>IFERROR(INDEX(LMH_STEP,MATCH(AK60,LMH_KEY,0)),0)</f>
        <v>0</v>
      </c>
      <c r="BZ60" s="38">
        <f>IFERROR(INDEX(LMH_STEP,MATCH(AL60,LMH_KEY,0)),0)</f>
        <v>0</v>
      </c>
      <c r="CA60" s="38" t="inlineStr">
        <is>
          <t>CARBON|Services|XBRL Specialist|A3|A</t>
        </is>
      </c>
    </row>
    <row r="61" ht="110" customHeight="1">
      <c r="A61" s="28" t="inlineStr">
        <is>
          <t>CARBON</t>
        </is>
      </c>
      <c r="B61" s="29" t="inlineStr">
        <is>
          <t>Services</t>
        </is>
      </c>
      <c r="C61" s="29" t="n">
        <v>6</v>
      </c>
      <c r="D61" s="29" t="inlineStr">
        <is>
          <t>IRIS0305</t>
        </is>
      </c>
      <c r="E61" s="29" t="inlineStr">
        <is>
          <t>Vivek Patil</t>
        </is>
      </c>
      <c r="F61" s="29" t="inlineStr">
        <is>
          <t>Senior Financial Analyst</t>
        </is>
      </c>
      <c r="G61" s="29" t="inlineStr">
        <is>
          <t>XBRL Specialist</t>
        </is>
      </c>
      <c r="H61" s="29" t="inlineStr">
        <is>
          <t>Consulting &amp; Professional Services</t>
        </is>
      </c>
      <c r="I61" s="29" t="inlineStr">
        <is>
          <t>XBRL Tagging, Conversion &amp; Filing</t>
        </is>
      </c>
      <c r="J61" s="29" t="inlineStr">
        <is>
          <t>IC</t>
        </is>
      </c>
      <c r="K61" s="29" t="inlineStr">
        <is>
          <t>RC-026</t>
        </is>
      </c>
      <c r="L61" s="29" t="inlineStr">
        <is>
          <t>Shashikant Mudaliar</t>
        </is>
      </c>
      <c r="M61" s="29" t="inlineStr">
        <is>
          <t>IRIS0786</t>
        </is>
      </c>
      <c r="N61" s="29" t="n">
        <v>16.6</v>
      </c>
      <c r="O61" s="29" t="n">
        <v>16.6</v>
      </c>
      <c r="P61" s="29" t="inlineStr">
        <is>
          <t>B.Com</t>
        </is>
      </c>
      <c r="Q61" s="29" t="inlineStr">
        <is>
          <t>L4 – Senior</t>
        </is>
      </c>
      <c r="R61" s="29" t="inlineStr">
        <is>
          <t>B1</t>
        </is>
      </c>
      <c r="S61" s="30" t="inlineStr">
        <is>
          <t>20 of 20</t>
        </is>
      </c>
      <c r="T61" s="31" t="inlineStr">
        <is>
          <t>• Role / sub-team: Quality check analyst and shift leading - US-Service team.</t>
        </is>
      </c>
      <c r="U6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61" s="31" t="inlineStr">
        <is>
          <t>Latest rating: 3 · Potential: High · 9-box: Core Contributor · Readiness: Ready in 6–12 months</t>
        </is>
      </c>
      <c r="W61" s="31" t="inlineStr">
        <is>
          <t>C L · Au M · Ac M · L L · BI M · Exp H · 16.6 yrs vs 4–7 yrs · Edu M · B.Com</t>
        </is>
      </c>
      <c r="X61" s="33" t="inlineStr">
        <is>
          <t>Open ▸</t>
        </is>
      </c>
      <c r="Y61" s="34" t="str">
        <f>IFERROR(INDEX(DL_C,MATCH($CA61,DL_KEY,0)),"M")</f>
        <v>H</v>
      </c>
      <c r="Z61" s="35" t="str">
        <f>IFERROR(INDEX(DL_Au,MATCH($CA61,DL_KEY,0)),"M")</f>
        <v>M</v>
      </c>
      <c r="AA61" s="35" t="str">
        <f>IFERROR(INDEX(DL_Ac,MATCH($CA61,DL_KEY,0)),"M")</f>
        <v>M</v>
      </c>
      <c r="AB61" s="35" t="str">
        <f>IFERROR(INDEX(DL_L,MATCH($CA61,DL_KEY,0)),"M")</f>
        <v>L</v>
      </c>
      <c r="AC61" s="35" t="str">
        <f>IFERROR(INDEX(DL_BI,MATCH($CA61,DL_KEY,0)),"M")</f>
        <v>L</v>
      </c>
      <c r="AD61" s="35" t="str">
        <f>IFERROR(INDEX(DL_Exp,MATCH($CA61,DL_KEY,0)),"M")</f>
        <v>L</v>
      </c>
      <c r="AE61" s="35" t="str">
        <f>IFERROR(INDEX(DL_Edu,MATCH($CA61,DL_KEY,0)),"M")</f>
        <v>L</v>
      </c>
      <c r="AF61" s="34" t="inlineStr">
        <is>
          <t>M</t>
        </is>
      </c>
      <c r="AG61" s="35" t="inlineStr">
        <is>
          <t>M</t>
        </is>
      </c>
      <c r="AH61" s="35" t="inlineStr">
        <is>
          <t>M</t>
        </is>
      </c>
      <c r="AI61" s="35" t="inlineStr">
        <is>
          <t>M</t>
        </is>
      </c>
      <c r="AJ61" s="35" t="inlineStr">
        <is>
          <t>M</t>
        </is>
      </c>
      <c r="AK61" s="35" t="inlineStr">
        <is>
          <t>M</t>
        </is>
      </c>
      <c r="AL61" s="35" t="inlineStr">
        <is>
          <t>M</t>
        </is>
      </c>
      <c r="AM61" s="36" t="n">
        <v>0.513</v>
      </c>
      <c r="AN61" s="37" t="n">
        <v>0.173</v>
      </c>
      <c r="AO61" s="37" t="n">
        <v>0.09699999999999999</v>
      </c>
      <c r="AP61" s="37" t="n">
        <v>0.05</v>
      </c>
      <c r="AQ61" s="37" t="n">
        <v>0.07000000000000001</v>
      </c>
      <c r="AR61" s="37" t="n">
        <v>0.06</v>
      </c>
      <c r="AS61" s="37" t="n">
        <v>0.04</v>
      </c>
      <c r="AT61" s="38" t="inlineStr">
        <is>
          <t>4–8</t>
        </is>
      </c>
      <c r="AU61" s="38" t="inlineStr">
        <is>
          <t>Graduate + relevant qualification or certification preferred</t>
        </is>
      </c>
      <c r="AV61" s="38" t="inlineStr">
        <is>
          <t>IC: none · Team Lead: 3–5</t>
        </is>
      </c>
      <c r="AW61" s="38" t="inlineStr">
        <is>
          <t>P3 / M2 · SFIA 4 Enable</t>
        </is>
      </c>
      <c r="AX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1" s="39" t="inlineStr">
        <is>
          <t>B1</t>
        </is>
      </c>
      <c r="AZ61" s="40" t="inlineStr">
        <is>
          <t>Band B · Specialist / Manager · Specialist</t>
        </is>
      </c>
      <c r="BA61" s="40" t="inlineStr">
        <is>
          <t>Model B1 from the six ratings, the market-derived weights and rules R1–R13 · then No change · already below the manager</t>
        </is>
      </c>
      <c r="BB61" s="41" t="inlineStr">
        <is>
          <t>B1</t>
        </is>
      </c>
      <c r="BC61" s="40" t="inlineStr">
        <is>
          <t>The six ratings on the market-average weights of Band B · Specialist / POD Lead score 3.75 → B1 · Hay, Mercer IPE and public plans · experience 16.6 yrs vs the B1 market range 4–8</t>
        </is>
      </c>
      <c r="BD61" s="42">
        <f>IF(SUM(BM61,BN61,BO61,BP61,BQ61,BR61,BS61)=0,0,(BM61*BT61+BN61*BU61+BO61*BV61+BP61*BW61+BQ61*BX61+BR61*BY61+BS61*BZ61)/SUM(BM61,BN61,BO61,BP61,BQ61,BR61,BS61))</f>
        <v>0</v>
      </c>
      <c r="BE61" s="41" t="str">
        <f>IF(LEFT(AY61,1)="X",AY61,IF(OR(AY61="B+",AY61="C+"),INDEX(LAD_PC,MAX(1,MIN(14,MATCH(AY61,LAD_PC,0)+IF(BD61&gt;=0.5,1,IF(BD61&lt;=-0.5,-1,0))))),INDEX(LAD_STD,MAX(1,MIN(12,MATCH(AY61,LAD_STD,0)+IF(BD61&gt;=0.5,1,IF(BD61&lt;=-0.5,-1,0)))))))</f>
        <v>B1</v>
      </c>
      <c r="BF61" s="43" t="n"/>
      <c r="BG61" s="41" t="str">
        <f>IF(BF61&lt;&gt;"",BF61,BE61)</f>
        <v>B1</v>
      </c>
      <c r="BH61" s="40" t="str">
        <f>IFERROR(CHOOSE(INDEX(B_RANK,MATCH(BG61,B_LVL,0)),"Band A","Band B","B+ · Player-Coach","Band C","C+ · Player-Coach","Band D","Band E"),"Band X · Consultant")</f>
        <v>Band B</v>
      </c>
      <c r="BI61" s="40" t="str">
        <f>IF(BG61=AY61,"• Same",IF(INDEX(B_VAL,MATCH(BG61,B_LVL,0))&gt;INDEX(B_VAL,MATCH(AY61,B_LVL,0)),"▲ Up","▼ Down"))</f>
        <v>• Same</v>
      </c>
      <c r="BJ61" s="40" t="str">
        <f>IF(OR($M61="",$M61="—",$M61="Not in this file"),"",IFERROR(INDEX($BG$7:$BG$592,MATCH($M61,$D$7:$D$592,0)),""))</f>
        <v>B2</v>
      </c>
      <c r="BK61" s="40" t="str">
        <f>IFERROR(IF(BJ61="","—",IF(OR(LEFT(BG61,1)="X",LEFT(BJ61,1)="X"),"—",IF(AND(LEFT(BG61,1)="E",LEFT(BJ61,1)="E"),"Exception · Band E",IF(AND(INDEX(B_VAL,MATCH(BJ61,B_LVL,0))&gt;=7,INDEX(B_RANK,MATCH(BG61,B_LVL,0))&gt;=INDEX(B_RANK,MATCH(BJ61,B_LVL,0))),"⚠ Same band as a head manager",IF(INDEX(B_VAL,MATCH(BG61,B_LVL,0))&gt;=INDEX(B_VAL,MATCH(BJ61,B_LVL,0)),"⚠ At or above the manager's level","OK"))))),"—")</f>
        <v>OK</v>
      </c>
      <c r="BL61" s="43" t="n"/>
      <c r="BM61" s="44">
        <f>IFERROR(INDEX(LMH_PTS,MATCH(Y61,LMH_KEY,0)),0)</f>
        <v>9</v>
      </c>
      <c r="BN61" s="38">
        <f>IFERROR(INDEX(LMH_PTS,MATCH(Z61,LMH_KEY,0)),0)</f>
        <v>3</v>
      </c>
      <c r="BO61" s="38">
        <f>IFERROR(INDEX(LMH_PTS,MATCH(AA61,LMH_KEY,0)),0)</f>
        <v>3</v>
      </c>
      <c r="BP61" s="38">
        <f>IFERROR(INDEX(LMH_PTS,MATCH(AB61,LMH_KEY,0)),0)</f>
        <v>1</v>
      </c>
      <c r="BQ61" s="38">
        <f>IFERROR(INDEX(LMH_PTS,MATCH(AC61,LMH_KEY,0)),0)</f>
        <v>1</v>
      </c>
      <c r="BR61" s="38">
        <f>IFERROR(INDEX(LMH_PTS,MATCH(AD61,LMH_KEY,0)),0)</f>
        <v>1</v>
      </c>
      <c r="BS61" s="38">
        <f>IFERROR(INDEX(LMH_PTS,MATCH(AE61,LMH_KEY,0)),0)</f>
        <v>1</v>
      </c>
      <c r="BT61" s="38">
        <f>IFERROR(INDEX(LMH_STEP,MATCH(AF61,LMH_KEY,0)),0)</f>
        <v>0</v>
      </c>
      <c r="BU61" s="38">
        <f>IFERROR(INDEX(LMH_STEP,MATCH(AG61,LMH_KEY,0)),0)</f>
        <v>0</v>
      </c>
      <c r="BV61" s="38">
        <f>IFERROR(INDEX(LMH_STEP,MATCH(AH61,LMH_KEY,0)),0)</f>
        <v>0</v>
      </c>
      <c r="BW61" s="38">
        <f>IFERROR(INDEX(LMH_STEP,MATCH(AI61,LMH_KEY,0)),0)</f>
        <v>0</v>
      </c>
      <c r="BX61" s="38">
        <f>IFERROR(INDEX(LMH_STEP,MATCH(AJ61,LMH_KEY,0)),0)</f>
        <v>0</v>
      </c>
      <c r="BY61" s="38">
        <f>IFERROR(INDEX(LMH_STEP,MATCH(AK61,LMH_KEY,0)),0)</f>
        <v>0</v>
      </c>
      <c r="BZ61" s="38">
        <f>IFERROR(INDEX(LMH_STEP,MATCH(AL61,LMH_KEY,0)),0)</f>
        <v>0</v>
      </c>
      <c r="CA61" s="38" t="inlineStr">
        <is>
          <t>CARBON|Services|XBRL Specialist|B1|B-IC</t>
        </is>
      </c>
    </row>
    <row r="62" ht="110" customHeight="1">
      <c r="A62" s="28" t="inlineStr">
        <is>
          <t>CARBON</t>
        </is>
      </c>
      <c r="B62" s="29" t="inlineStr">
        <is>
          <t>Digitizing</t>
        </is>
      </c>
      <c r="C62" s="29" t="n">
        <v>5</v>
      </c>
      <c r="D62" s="29" t="inlineStr">
        <is>
          <t>IRIS0055</t>
        </is>
      </c>
      <c r="E62" s="29" t="inlineStr">
        <is>
          <t>Vijay Parulekar</t>
        </is>
      </c>
      <c r="F62" s="29" t="inlineStr">
        <is>
          <t>Head Image Processing</t>
        </is>
      </c>
      <c r="G62" s="29" t="inlineStr">
        <is>
          <t>Associate Head – Digitization</t>
        </is>
      </c>
      <c r="H62" s="29" t="inlineStr">
        <is>
          <t>Executive Leadership</t>
        </is>
      </c>
      <c r="I62" s="29" t="inlineStr">
        <is>
          <t>Business Head</t>
        </is>
      </c>
      <c r="J62" s="29" t="inlineStr">
        <is>
          <t>People Manager</t>
        </is>
      </c>
      <c r="K62" s="29" t="inlineStr">
        <is>
          <t>RC-EL-BH-C1</t>
        </is>
      </c>
      <c r="L62" s="29" t="inlineStr">
        <is>
          <t>K Ashok Kumar</t>
        </is>
      </c>
      <c r="M62" s="29" t="inlineStr">
        <is>
          <t>IRIS0018</t>
        </is>
      </c>
      <c r="N62" s="29" t="n">
        <v>26.4</v>
      </c>
      <c r="O62" s="29" t="n">
        <v>19.9</v>
      </c>
      <c r="P62" s="29" t="inlineStr">
        <is>
          <t>B.Com</t>
        </is>
      </c>
      <c r="Q62" s="29" t="inlineStr">
        <is>
          <t>L7 – Head / Sr Director</t>
        </is>
      </c>
      <c r="R62" s="29" t="inlineStr">
        <is>
          <t>C1</t>
        </is>
      </c>
      <c r="S62" s="30" t="inlineStr">
        <is>
          <t>20 of 20</t>
        </is>
      </c>
      <c r="T62" s="31" t="inlineStr">
        <is>
          <t>• Role / sub-team: Digitizing Assisted Services.</t>
        </is>
      </c>
      <c r="U62"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62" s="31" t="inlineStr">
        <is>
          <t>Latest rating: 4 · Potential: High · 9-box: Core Contributor · Readiness: Ready now</t>
        </is>
      </c>
      <c r="W62" s="31" t="inlineStr">
        <is>
          <t>C H · Au H · Ac H · L H · BI H · Exp H · 26.4 yrs vs 6–9 yrs · Edu M · B.Com</t>
        </is>
      </c>
      <c r="X62" s="33" t="inlineStr">
        <is>
          <t>Open ▸</t>
        </is>
      </c>
      <c r="Y62" s="34" t="str">
        <f>IFERROR(INDEX(DL_C,MATCH($CA62,DL_KEY,0)),"M")</f>
        <v>H</v>
      </c>
      <c r="Z62" s="35" t="str">
        <f>IFERROR(INDEX(DL_Au,MATCH($CA62,DL_KEY,0)),"M")</f>
        <v>M</v>
      </c>
      <c r="AA62" s="35" t="str">
        <f>IFERROR(INDEX(DL_Ac,MATCH($CA62,DL_KEY,0)),"M")</f>
        <v>M</v>
      </c>
      <c r="AB62" s="35" t="str">
        <f>IFERROR(INDEX(DL_L,MATCH($CA62,DL_KEY,0)),"M")</f>
        <v>M</v>
      </c>
      <c r="AC62" s="35" t="str">
        <f>IFERROR(INDEX(DL_BI,MATCH($CA62,DL_KEY,0)),"M")</f>
        <v>L</v>
      </c>
      <c r="AD62" s="35" t="str">
        <f>IFERROR(INDEX(DL_Exp,MATCH($CA62,DL_KEY,0)),"M")</f>
        <v>L</v>
      </c>
      <c r="AE62" s="35" t="str">
        <f>IFERROR(INDEX(DL_Edu,MATCH($CA62,DL_KEY,0)),"M")</f>
        <v>L</v>
      </c>
      <c r="AF62" s="34" t="inlineStr">
        <is>
          <t>M</t>
        </is>
      </c>
      <c r="AG62" s="35" t="inlineStr">
        <is>
          <t>M</t>
        </is>
      </c>
      <c r="AH62" s="35" t="inlineStr">
        <is>
          <t>M</t>
        </is>
      </c>
      <c r="AI62" s="35" t="inlineStr">
        <is>
          <t>M</t>
        </is>
      </c>
      <c r="AJ62" s="35" t="inlineStr">
        <is>
          <t>M</t>
        </is>
      </c>
      <c r="AK62" s="35" t="inlineStr">
        <is>
          <t>M</t>
        </is>
      </c>
      <c r="AL62" s="35" t="inlineStr">
        <is>
          <t>M</t>
        </is>
      </c>
      <c r="AM62" s="36" t="n">
        <v>0.37</v>
      </c>
      <c r="AN62" s="37" t="n">
        <v>0.183</v>
      </c>
      <c r="AO62" s="37" t="n">
        <v>0.113</v>
      </c>
      <c r="AP62" s="37" t="n">
        <v>0.15</v>
      </c>
      <c r="AQ62" s="37" t="n">
        <v>0.08699999999999999</v>
      </c>
      <c r="AR62" s="37" t="n">
        <v>0.06</v>
      </c>
      <c r="AS62" s="37" t="n">
        <v>0.04</v>
      </c>
      <c r="AT62" s="38" t="inlineStr">
        <is>
          <t>6–10</t>
        </is>
      </c>
      <c r="AU62" s="38" t="inlineStr">
        <is>
          <t>Graduate or postgraduate; professional qualification preferred</t>
        </is>
      </c>
      <c r="AV62" s="38" t="inlineStr">
        <is>
          <t>IC: none · People: 6–8 knowledge work, 8–12 standardised delivery</t>
        </is>
      </c>
      <c r="AW62" s="38" t="inlineStr">
        <is>
          <t>P4 / M3 · SFIA 4–5</t>
        </is>
      </c>
      <c r="AX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2" s="39" t="inlineStr">
        <is>
          <t>B2</t>
        </is>
      </c>
      <c r="AZ62" s="40" t="inlineStr">
        <is>
          <t>Band B · Specialist / Manager · Manager</t>
        </is>
      </c>
      <c r="BA62" s="40" t="inlineStr">
        <is>
          <t>Model C1 from the six ratings, the market-derived weights and rules R1–R13 · then Level rule: manager B3; a reportee sits at least one level below · C1 → B2 · move down · pay and title protected for one cycle</t>
        </is>
      </c>
      <c r="BB62" s="41" t="inlineStr">
        <is>
          <t>C1</t>
        </is>
      </c>
      <c r="BC62" s="40" t="inlineStr">
        <is>
          <t>The six ratings on the market-average weights of Band B · People Manager score 7.24 → C1 · Hay, Mercer IPE and public plans · experience 26.4 yrs vs the C1 market range 12–17</t>
        </is>
      </c>
      <c r="BD62" s="42">
        <f>IF(SUM(BM62,BN62,BO62,BP62,BQ62,BR62,BS62)=0,0,(BM62*BT62+BN62*BU62+BO62*BV62+BP62*BW62+BQ62*BX62+BR62*BY62+BS62*BZ62)/SUM(BM62,BN62,BO62,BP62,BQ62,BR62,BS62))</f>
        <v>0</v>
      </c>
      <c r="BE62" s="41" t="str">
        <f>IF(LEFT(AY62,1)="X",AY62,IF(OR(AY62="B+",AY62="C+"),INDEX(LAD_PC,MAX(1,MIN(14,MATCH(AY62,LAD_PC,0)+IF(BD62&gt;=0.5,1,IF(BD62&lt;=-0.5,-1,0))))),INDEX(LAD_STD,MAX(1,MIN(12,MATCH(AY62,LAD_STD,0)+IF(BD62&gt;=0.5,1,IF(BD62&lt;=-0.5,-1,0)))))))</f>
        <v>B2</v>
      </c>
      <c r="BF62" s="43" t="n"/>
      <c r="BG62" s="41" t="str">
        <f>IF(BF62&lt;&gt;"",BF62,BE62)</f>
        <v>B2</v>
      </c>
      <c r="BH62" s="40" t="str">
        <f>IFERROR(CHOOSE(INDEX(B_RANK,MATCH(BG62,B_LVL,0)),"Band A","Band B","B+ · Player-Coach","Band C","C+ · Player-Coach","Band D","Band E"),"Band X · Consultant")</f>
        <v>Band B</v>
      </c>
      <c r="BI62" s="40" t="str">
        <f>IF(BG62=AY62,"• Same",IF(INDEX(B_VAL,MATCH(BG62,B_LVL,0))&gt;INDEX(B_VAL,MATCH(AY62,B_LVL,0)),"▲ Up","▼ Down"))</f>
        <v>• Same</v>
      </c>
      <c r="BJ62" s="40" t="str">
        <f>IF(OR($M62="",$M62="—",$M62="Not in this file"),"",IFERROR(INDEX($BG$7:$BG$592,MATCH($M62,$D$7:$D$592,0)),""))</f>
        <v>B3</v>
      </c>
      <c r="BK62" s="40" t="str">
        <f>IFERROR(IF(BJ62="","—",IF(OR(LEFT(BG62,1)="X",LEFT(BJ62,1)="X"),"—",IF(AND(LEFT(BG62,1)="E",LEFT(BJ62,1)="E"),"Exception · Band E",IF(AND(INDEX(B_VAL,MATCH(BJ62,B_LVL,0))&gt;=7,INDEX(B_RANK,MATCH(BG62,B_LVL,0))&gt;=INDEX(B_RANK,MATCH(BJ62,B_LVL,0))),"⚠ Same band as a head manager",IF(INDEX(B_VAL,MATCH(BG62,B_LVL,0))&gt;=INDEX(B_VAL,MATCH(BJ62,B_LVL,0)),"⚠ At or above the manager's level","OK"))))),"—")</f>
        <v>OK</v>
      </c>
      <c r="BL62" s="43" t="n"/>
      <c r="BM62" s="44">
        <f>IFERROR(INDEX(LMH_PTS,MATCH(Y62,LMH_KEY,0)),0)</f>
        <v>9</v>
      </c>
      <c r="BN62" s="38">
        <f>IFERROR(INDEX(LMH_PTS,MATCH(Z62,LMH_KEY,0)),0)</f>
        <v>3</v>
      </c>
      <c r="BO62" s="38">
        <f>IFERROR(INDEX(LMH_PTS,MATCH(AA62,LMH_KEY,0)),0)</f>
        <v>3</v>
      </c>
      <c r="BP62" s="38">
        <f>IFERROR(INDEX(LMH_PTS,MATCH(AB62,LMH_KEY,0)),0)</f>
        <v>3</v>
      </c>
      <c r="BQ62" s="38">
        <f>IFERROR(INDEX(LMH_PTS,MATCH(AC62,LMH_KEY,0)),0)</f>
        <v>1</v>
      </c>
      <c r="BR62" s="38">
        <f>IFERROR(INDEX(LMH_PTS,MATCH(AD62,LMH_KEY,0)),0)</f>
        <v>1</v>
      </c>
      <c r="BS62" s="38">
        <f>IFERROR(INDEX(LMH_PTS,MATCH(AE62,LMH_KEY,0)),0)</f>
        <v>1</v>
      </c>
      <c r="BT62" s="38">
        <f>IFERROR(INDEX(LMH_STEP,MATCH(AF62,LMH_KEY,0)),0)</f>
        <v>0</v>
      </c>
      <c r="BU62" s="38">
        <f>IFERROR(INDEX(LMH_STEP,MATCH(AG62,LMH_KEY,0)),0)</f>
        <v>0</v>
      </c>
      <c r="BV62" s="38">
        <f>IFERROR(INDEX(LMH_STEP,MATCH(AH62,LMH_KEY,0)),0)</f>
        <v>0</v>
      </c>
      <c r="BW62" s="38">
        <f>IFERROR(INDEX(LMH_STEP,MATCH(AI62,LMH_KEY,0)),0)</f>
        <v>0</v>
      </c>
      <c r="BX62" s="38">
        <f>IFERROR(INDEX(LMH_STEP,MATCH(AJ62,LMH_KEY,0)),0)</f>
        <v>0</v>
      </c>
      <c r="BY62" s="38">
        <f>IFERROR(INDEX(LMH_STEP,MATCH(AK62,LMH_KEY,0)),0)</f>
        <v>0</v>
      </c>
      <c r="BZ62" s="38">
        <f>IFERROR(INDEX(LMH_STEP,MATCH(AL62,LMH_KEY,0)),0)</f>
        <v>0</v>
      </c>
      <c r="CA62" s="38" t="inlineStr">
        <is>
          <t>CARBON|Digitizing|Associate Head – Digitization|B2|B-M</t>
        </is>
      </c>
    </row>
    <row r="63" ht="110" customHeight="1">
      <c r="A63" s="28" t="inlineStr">
        <is>
          <t>CARBON</t>
        </is>
      </c>
      <c r="B63" s="29" t="inlineStr">
        <is>
          <t>Digitizing</t>
        </is>
      </c>
      <c r="C63" s="29" t="n">
        <v>6</v>
      </c>
      <c r="D63" s="29" t="inlineStr">
        <is>
          <t>IRIS0470</t>
        </is>
      </c>
      <c r="E63" s="29" t="inlineStr">
        <is>
          <t>Janardan Bale</t>
        </is>
      </c>
      <c r="F63" s="29" t="inlineStr">
        <is>
          <t>Image Processing Specialist</t>
        </is>
      </c>
      <c r="G63" s="29" t="inlineStr">
        <is>
          <t>Digitization Manager</t>
        </is>
      </c>
      <c r="H63" s="29" t="inlineStr">
        <is>
          <t>Data Operations &amp; Digitization</t>
        </is>
      </c>
      <c r="I63" s="29" t="inlineStr">
        <is>
          <t>Document Conversion, Formatting &amp; Web Publishing</t>
        </is>
      </c>
      <c r="J63" s="29" t="inlineStr">
        <is>
          <t>People Manager</t>
        </is>
      </c>
      <c r="K63" s="29" t="inlineStr">
        <is>
          <t>RC-050</t>
        </is>
      </c>
      <c r="L63" s="29" t="inlineStr">
        <is>
          <t>Vijay Parulekar</t>
        </is>
      </c>
      <c r="M63" s="29" t="inlineStr">
        <is>
          <t>IRIS0055</t>
        </is>
      </c>
      <c r="N63" s="29" t="n">
        <v>18</v>
      </c>
      <c r="O63" s="29" t="n">
        <v>18</v>
      </c>
      <c r="P63" s="29" t="inlineStr">
        <is>
          <t>B.Com</t>
        </is>
      </c>
      <c r="Q63" s="29" t="inlineStr">
        <is>
          <t>L3 – Professional / Associate</t>
        </is>
      </c>
      <c r="R63" s="29" t="inlineStr">
        <is>
          <t>B2</t>
        </is>
      </c>
      <c r="S63" s="30" t="inlineStr">
        <is>
          <t>20 of 20</t>
        </is>
      </c>
      <c r="T63" s="31" t="inlineStr">
        <is>
          <t>• Role / sub-team: Digitalizing Assisted Services Team.</t>
        </is>
      </c>
      <c r="U63"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63" s="31" t="inlineStr">
        <is>
          <t>Latest rating: 5 · Potential: High · 9-box: Core Contributor · Readiness: Ready now</t>
        </is>
      </c>
      <c r="W63" s="31" t="inlineStr">
        <is>
          <t>C M · Au M · Ac H · L H · BI H · Exp H · 18 yrs vs 4–7 yrs · Edu M · B.Com</t>
        </is>
      </c>
      <c r="X63" s="33" t="inlineStr">
        <is>
          <t>Open ▸</t>
        </is>
      </c>
      <c r="Y63" s="34" t="str">
        <f>IFERROR(INDEX(DL_C,MATCH($CA63,DL_KEY,0)),"M")</f>
        <v>H</v>
      </c>
      <c r="Z63" s="35" t="str">
        <f>IFERROR(INDEX(DL_Au,MATCH($CA63,DL_KEY,0)),"M")</f>
        <v>M</v>
      </c>
      <c r="AA63" s="35" t="str">
        <f>IFERROR(INDEX(DL_Ac,MATCH($CA63,DL_KEY,0)),"M")</f>
        <v>M</v>
      </c>
      <c r="AB63" s="35" t="str">
        <f>IFERROR(INDEX(DL_L,MATCH($CA63,DL_KEY,0)),"M")</f>
        <v>M</v>
      </c>
      <c r="AC63" s="35" t="str">
        <f>IFERROR(INDEX(DL_BI,MATCH($CA63,DL_KEY,0)),"M")</f>
        <v>L</v>
      </c>
      <c r="AD63" s="35" t="str">
        <f>IFERROR(INDEX(DL_Exp,MATCH($CA63,DL_KEY,0)),"M")</f>
        <v>L</v>
      </c>
      <c r="AE63" s="35" t="str">
        <f>IFERROR(INDEX(DL_Edu,MATCH($CA63,DL_KEY,0)),"M")</f>
        <v>L</v>
      </c>
      <c r="AF63" s="34" t="inlineStr">
        <is>
          <t>M</t>
        </is>
      </c>
      <c r="AG63" s="35" t="inlineStr">
        <is>
          <t>M</t>
        </is>
      </c>
      <c r="AH63" s="35" t="inlineStr">
        <is>
          <t>M</t>
        </is>
      </c>
      <c r="AI63" s="35" t="inlineStr">
        <is>
          <t>M</t>
        </is>
      </c>
      <c r="AJ63" s="35" t="inlineStr">
        <is>
          <t>M</t>
        </is>
      </c>
      <c r="AK63" s="35" t="inlineStr">
        <is>
          <t>M</t>
        </is>
      </c>
      <c r="AL63" s="35" t="inlineStr">
        <is>
          <t>M</t>
        </is>
      </c>
      <c r="AM63" s="36" t="n">
        <v>0.37</v>
      </c>
      <c r="AN63" s="37" t="n">
        <v>0.183</v>
      </c>
      <c r="AO63" s="37" t="n">
        <v>0.113</v>
      </c>
      <c r="AP63" s="37" t="n">
        <v>0.15</v>
      </c>
      <c r="AQ63" s="37" t="n">
        <v>0.08699999999999999</v>
      </c>
      <c r="AR63" s="37" t="n">
        <v>0.06</v>
      </c>
      <c r="AS63" s="37" t="n">
        <v>0.04</v>
      </c>
      <c r="AT63" s="38" t="inlineStr">
        <is>
          <t>4–8</t>
        </is>
      </c>
      <c r="AU63" s="38" t="inlineStr">
        <is>
          <t>Graduate + relevant qualification or certification preferred</t>
        </is>
      </c>
      <c r="AV63" s="38" t="inlineStr">
        <is>
          <t>IC: none · Team Lead: 3–5</t>
        </is>
      </c>
      <c r="AW63" s="38" t="inlineStr">
        <is>
          <t>P3 / M2 · SFIA 4 Enable</t>
        </is>
      </c>
      <c r="AX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3" s="39" t="inlineStr">
        <is>
          <t>B1</t>
        </is>
      </c>
      <c r="AZ63" s="40" t="inlineStr">
        <is>
          <t>Band B · Specialist / Manager · Team Lead / Asst Manager</t>
        </is>
      </c>
      <c r="BA63" s="40" t="inlineStr">
        <is>
          <t>Model B2 from the six ratings, the market-derived weights and rules R1–R13 · then Level rule: manager B2; a reportee sits at least one level below · B2 → B1 · move down · pay and title protected for one cycle</t>
        </is>
      </c>
      <c r="BB63" s="41" t="inlineStr">
        <is>
          <t>B2</t>
        </is>
      </c>
      <c r="BC63" s="40" t="inlineStr">
        <is>
          <t>The six ratings on the market-average weights of Band B · People Manager score 4.87 → B2 · Hay, Mercer IPE and public plans · experience 18 yrs vs the B2 market range 6–10</t>
        </is>
      </c>
      <c r="BD63" s="42">
        <f>IF(SUM(BM63,BN63,BO63,BP63,BQ63,BR63,BS63)=0,0,(BM63*BT63+BN63*BU63+BO63*BV63+BP63*BW63+BQ63*BX63+BR63*BY63+BS63*BZ63)/SUM(BM63,BN63,BO63,BP63,BQ63,BR63,BS63))</f>
        <v>0</v>
      </c>
      <c r="BE63" s="41" t="str">
        <f>IF(LEFT(AY63,1)="X",AY63,IF(OR(AY63="B+",AY63="C+"),INDEX(LAD_PC,MAX(1,MIN(14,MATCH(AY63,LAD_PC,0)+IF(BD63&gt;=0.5,1,IF(BD63&lt;=-0.5,-1,0))))),INDEX(LAD_STD,MAX(1,MIN(12,MATCH(AY63,LAD_STD,0)+IF(BD63&gt;=0.5,1,IF(BD63&lt;=-0.5,-1,0)))))))</f>
        <v>B1</v>
      </c>
      <c r="BF63" s="43" t="n"/>
      <c r="BG63" s="41" t="str">
        <f>IF(BF63&lt;&gt;"",BF63,BE63)</f>
        <v>B1</v>
      </c>
      <c r="BH63" s="40" t="str">
        <f>IFERROR(CHOOSE(INDEX(B_RANK,MATCH(BG63,B_LVL,0)),"Band A","Band B","B+ · Player-Coach","Band C","C+ · Player-Coach","Band D","Band E"),"Band X · Consultant")</f>
        <v>Band B</v>
      </c>
      <c r="BI63" s="40" t="str">
        <f>IF(BG63=AY63,"• Same",IF(INDEX(B_VAL,MATCH(BG63,B_LVL,0))&gt;INDEX(B_VAL,MATCH(AY63,B_LVL,0)),"▲ Up","▼ Down"))</f>
        <v>• Same</v>
      </c>
      <c r="BJ63" s="40" t="str">
        <f>IF(OR($M63="",$M63="—",$M63="Not in this file"),"",IFERROR(INDEX($BG$7:$BG$592,MATCH($M63,$D$7:$D$592,0)),""))</f>
        <v>B2</v>
      </c>
      <c r="BK63" s="40" t="str">
        <f>IFERROR(IF(BJ63="","—",IF(OR(LEFT(BG63,1)="X",LEFT(BJ63,1)="X"),"—",IF(AND(LEFT(BG63,1)="E",LEFT(BJ63,1)="E"),"Exception · Band E",IF(AND(INDEX(B_VAL,MATCH(BJ63,B_LVL,0))&gt;=7,INDEX(B_RANK,MATCH(BG63,B_LVL,0))&gt;=INDEX(B_RANK,MATCH(BJ63,B_LVL,0))),"⚠ Same band as a head manager",IF(INDEX(B_VAL,MATCH(BG63,B_LVL,0))&gt;=INDEX(B_VAL,MATCH(BJ63,B_LVL,0)),"⚠ At or above the manager's level","OK"))))),"—")</f>
        <v>OK</v>
      </c>
      <c r="BL63" s="43" t="n"/>
      <c r="BM63" s="44">
        <f>IFERROR(INDEX(LMH_PTS,MATCH(Y63,LMH_KEY,0)),0)</f>
        <v>9</v>
      </c>
      <c r="BN63" s="38">
        <f>IFERROR(INDEX(LMH_PTS,MATCH(Z63,LMH_KEY,0)),0)</f>
        <v>3</v>
      </c>
      <c r="BO63" s="38">
        <f>IFERROR(INDEX(LMH_PTS,MATCH(AA63,LMH_KEY,0)),0)</f>
        <v>3</v>
      </c>
      <c r="BP63" s="38">
        <f>IFERROR(INDEX(LMH_PTS,MATCH(AB63,LMH_KEY,0)),0)</f>
        <v>3</v>
      </c>
      <c r="BQ63" s="38">
        <f>IFERROR(INDEX(LMH_PTS,MATCH(AC63,LMH_KEY,0)),0)</f>
        <v>1</v>
      </c>
      <c r="BR63" s="38">
        <f>IFERROR(INDEX(LMH_PTS,MATCH(AD63,LMH_KEY,0)),0)</f>
        <v>1</v>
      </c>
      <c r="BS63" s="38">
        <f>IFERROR(INDEX(LMH_PTS,MATCH(AE63,LMH_KEY,0)),0)</f>
        <v>1</v>
      </c>
      <c r="BT63" s="38">
        <f>IFERROR(INDEX(LMH_STEP,MATCH(AF63,LMH_KEY,0)),0)</f>
        <v>0</v>
      </c>
      <c r="BU63" s="38">
        <f>IFERROR(INDEX(LMH_STEP,MATCH(AG63,LMH_KEY,0)),0)</f>
        <v>0</v>
      </c>
      <c r="BV63" s="38">
        <f>IFERROR(INDEX(LMH_STEP,MATCH(AH63,LMH_KEY,0)),0)</f>
        <v>0</v>
      </c>
      <c r="BW63" s="38">
        <f>IFERROR(INDEX(LMH_STEP,MATCH(AI63,LMH_KEY,0)),0)</f>
        <v>0</v>
      </c>
      <c r="BX63" s="38">
        <f>IFERROR(INDEX(LMH_STEP,MATCH(AJ63,LMH_KEY,0)),0)</f>
        <v>0</v>
      </c>
      <c r="BY63" s="38">
        <f>IFERROR(INDEX(LMH_STEP,MATCH(AK63,LMH_KEY,0)),0)</f>
        <v>0</v>
      </c>
      <c r="BZ63" s="38">
        <f>IFERROR(INDEX(LMH_STEP,MATCH(AL63,LMH_KEY,0)),0)</f>
        <v>0</v>
      </c>
      <c r="CA63" s="38" t="inlineStr">
        <is>
          <t>CARBON|Digitizing|Digitization Manager|B1|B-M</t>
        </is>
      </c>
    </row>
    <row r="64" ht="110" customHeight="1">
      <c r="A64" s="28" t="inlineStr">
        <is>
          <t>CARBON</t>
        </is>
      </c>
      <c r="B64" s="29" t="inlineStr">
        <is>
          <t>Digitizing</t>
        </is>
      </c>
      <c r="C64" s="29" t="n">
        <v>7</v>
      </c>
      <c r="D64" s="29" t="inlineStr">
        <is>
          <t>IRIS1210</t>
        </is>
      </c>
      <c r="E64" s="29" t="inlineStr">
        <is>
          <t>Tejas Kat</t>
        </is>
      </c>
      <c r="F64" s="29" t="inlineStr">
        <is>
          <t>Image Processing Specialist</t>
        </is>
      </c>
      <c r="G64" s="29" t="inlineStr">
        <is>
          <t>Digitization Specialist – POD Lead</t>
        </is>
      </c>
      <c r="H64" s="29" t="inlineStr">
        <is>
          <t>Data Operations &amp; Digitization</t>
        </is>
      </c>
      <c r="I64" s="29" t="inlineStr">
        <is>
          <t>Document Conversion, Formatting &amp; Web Publishing</t>
        </is>
      </c>
      <c r="J64" s="29" t="inlineStr">
        <is>
          <t>POD Lead</t>
        </is>
      </c>
      <c r="K64" s="29" t="inlineStr">
        <is>
          <t>RC-048</t>
        </is>
      </c>
      <c r="L64" s="29" t="inlineStr">
        <is>
          <t>Janardan Bale</t>
        </is>
      </c>
      <c r="M64" s="29" t="inlineStr">
        <is>
          <t>IRIS0470</t>
        </is>
      </c>
      <c r="N64" s="29" t="n">
        <v>17.4</v>
      </c>
      <c r="O64" s="29" t="n">
        <v>16.4</v>
      </c>
      <c r="P64" s="29" t="inlineStr">
        <is>
          <t>Undergraduate</t>
        </is>
      </c>
      <c r="Q64" s="29" t="inlineStr">
        <is>
          <t>L3 – Professional / Associate</t>
        </is>
      </c>
      <c r="R64" s="29" t="inlineStr">
        <is>
          <t>B1</t>
        </is>
      </c>
      <c r="S64" s="30" t="inlineStr">
        <is>
          <t>20 of 20</t>
        </is>
      </c>
      <c r="T64" s="31" t="inlineStr">
        <is>
          <t>• Role / sub-team: Digitizing Associte Service.</t>
        </is>
      </c>
      <c r="U64"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4" s="31" t="inlineStr">
        <is>
          <t>Latest rating: 4 · Potential: High · 9-box: Core Contributor · Readiness: Ready now</t>
        </is>
      </c>
      <c r="W64" s="31" t="inlineStr">
        <is>
          <t>C M · Au M · Ac M · L M · BI H · Exp H · 17.4 yrs vs 2–4 yrs · Edu L · Undergraduate</t>
        </is>
      </c>
      <c r="X64" s="33" t="inlineStr">
        <is>
          <t>Open ▸</t>
        </is>
      </c>
      <c r="Y64" s="34" t="str">
        <f>IFERROR(INDEX(DL_C,MATCH($CA64,DL_KEY,0)),"M")</f>
        <v>H</v>
      </c>
      <c r="Z64" s="35" t="str">
        <f>IFERROR(INDEX(DL_Au,MATCH($CA64,DL_KEY,0)),"M")</f>
        <v>M</v>
      </c>
      <c r="AA64" s="35" t="str">
        <f>IFERROR(INDEX(DL_Ac,MATCH($CA64,DL_KEY,0)),"M")</f>
        <v>M</v>
      </c>
      <c r="AB64" s="35" t="str">
        <f>IFERROR(INDEX(DL_L,MATCH($CA64,DL_KEY,0)),"M")</f>
        <v>L</v>
      </c>
      <c r="AC64" s="35" t="str">
        <f>IFERROR(INDEX(DL_BI,MATCH($CA64,DL_KEY,0)),"M")</f>
        <v>L</v>
      </c>
      <c r="AD64" s="35" t="str">
        <f>IFERROR(INDEX(DL_Exp,MATCH($CA64,DL_KEY,0)),"M")</f>
        <v>L</v>
      </c>
      <c r="AE64" s="35" t="str">
        <f>IFERROR(INDEX(DL_Edu,MATCH($CA64,DL_KEY,0)),"M")</f>
        <v>L</v>
      </c>
      <c r="AF64" s="34" t="inlineStr">
        <is>
          <t>M</t>
        </is>
      </c>
      <c r="AG64" s="35" t="inlineStr">
        <is>
          <t>M</t>
        </is>
      </c>
      <c r="AH64" s="35" t="inlineStr">
        <is>
          <t>M</t>
        </is>
      </c>
      <c r="AI64" s="35" t="inlineStr">
        <is>
          <t>M</t>
        </is>
      </c>
      <c r="AJ64" s="35" t="inlineStr">
        <is>
          <t>M</t>
        </is>
      </c>
      <c r="AK64" s="35" t="inlineStr">
        <is>
          <t>M</t>
        </is>
      </c>
      <c r="AL64" s="35" t="inlineStr">
        <is>
          <t>M</t>
        </is>
      </c>
      <c r="AM64" s="36" t="n">
        <v>0.583</v>
      </c>
      <c r="AN64" s="37" t="n">
        <v>0.16</v>
      </c>
      <c r="AO64" s="37" t="n">
        <v>0.09</v>
      </c>
      <c r="AP64" s="37" t="n">
        <v>0</v>
      </c>
      <c r="AQ64" s="37" t="n">
        <v>0.063</v>
      </c>
      <c r="AR64" s="37" t="n">
        <v>0.06</v>
      </c>
      <c r="AS64" s="37" t="n">
        <v>0.04</v>
      </c>
      <c r="AT64" s="38" t="inlineStr">
        <is>
          <t>2–5</t>
        </is>
      </c>
      <c r="AU64" s="38" t="inlineStr">
        <is>
          <t>Graduate; relevant certification preferred</t>
        </is>
      </c>
      <c r="AV64" s="38" t="inlineStr">
        <is>
          <t>None · guides 1–3 juniors informally</t>
        </is>
      </c>
      <c r="AW64" s="38" t="inlineStr">
        <is>
          <t>P2 · SFIA 3 Apply</t>
        </is>
      </c>
      <c r="AX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4" s="39" t="inlineStr">
        <is>
          <t>A3</t>
        </is>
      </c>
      <c r="AZ64" s="40" t="inlineStr">
        <is>
          <t>Band A · Practitioner · Senior Associate</t>
        </is>
      </c>
      <c r="BA64" s="40" t="inlineStr">
        <is>
          <t>Model B1 from the six ratings, the market-derived weights and rules R1–R13 · then Level rule: manager B1; a reportee sits at least one level below · B1 → A3 · move down · pay and title protected for one cycle</t>
        </is>
      </c>
      <c r="BB64" s="41" t="inlineStr">
        <is>
          <t>B1</t>
        </is>
      </c>
      <c r="BC64" s="40" t="inlineStr">
        <is>
          <t>The six ratings on the market-average weights of Band A · all tracks score 3.66 → B1 · Hay, Mercer IPE and public plans · experience 17.4 yrs vs the B1 market range 4–8</t>
        </is>
      </c>
      <c r="BD64" s="42">
        <f>IF(SUM(BM64,BN64,BO64,BP64,BQ64,BR64,BS64)=0,0,(BM64*BT64+BN64*BU64+BO64*BV64+BP64*BW64+BQ64*BX64+BR64*BY64+BS64*BZ64)/SUM(BM64,BN64,BO64,BP64,BQ64,BR64,BS64))</f>
        <v>0</v>
      </c>
      <c r="BE64" s="41" t="str">
        <f>IF(LEFT(AY64,1)="X",AY64,IF(OR(AY64="B+",AY64="C+"),INDEX(LAD_PC,MAX(1,MIN(14,MATCH(AY64,LAD_PC,0)+IF(BD64&gt;=0.5,1,IF(BD64&lt;=-0.5,-1,0))))),INDEX(LAD_STD,MAX(1,MIN(12,MATCH(AY64,LAD_STD,0)+IF(BD64&gt;=0.5,1,IF(BD64&lt;=-0.5,-1,0)))))))</f>
        <v>A3</v>
      </c>
      <c r="BF64" s="43" t="n"/>
      <c r="BG64" s="41" t="str">
        <f>IF(BF64&lt;&gt;"",BF64,BE64)</f>
        <v>A3</v>
      </c>
      <c r="BH64" s="40" t="str">
        <f>IFERROR(CHOOSE(INDEX(B_RANK,MATCH(BG64,B_LVL,0)),"Band A","Band B","B+ · Player-Coach","Band C","C+ · Player-Coach","Band D","Band E"),"Band X · Consultant")</f>
        <v>Band A</v>
      </c>
      <c r="BI64" s="40" t="str">
        <f>IF(BG64=AY64,"• Same",IF(INDEX(B_VAL,MATCH(BG64,B_LVL,0))&gt;INDEX(B_VAL,MATCH(AY64,B_LVL,0)),"▲ Up","▼ Down"))</f>
        <v>• Same</v>
      </c>
      <c r="BJ64" s="40" t="str">
        <f>IF(OR($M64="",$M64="—",$M64="Not in this file"),"",IFERROR(INDEX($BG$7:$BG$592,MATCH($M64,$D$7:$D$592,0)),""))</f>
        <v>B1</v>
      </c>
      <c r="BK64" s="40" t="str">
        <f>IFERROR(IF(BJ64="","—",IF(OR(LEFT(BG64,1)="X",LEFT(BJ64,1)="X"),"—",IF(AND(LEFT(BG64,1)="E",LEFT(BJ64,1)="E"),"Exception · Band E",IF(AND(INDEX(B_VAL,MATCH(BJ64,B_LVL,0))&gt;=7,INDEX(B_RANK,MATCH(BG64,B_LVL,0))&gt;=INDEX(B_RANK,MATCH(BJ64,B_LVL,0))),"⚠ Same band as a head manager",IF(INDEX(B_VAL,MATCH(BG64,B_LVL,0))&gt;=INDEX(B_VAL,MATCH(BJ64,B_LVL,0)),"⚠ At or above the manager's level","OK"))))),"—")</f>
        <v>OK</v>
      </c>
      <c r="BL64" s="43" t="n"/>
      <c r="BM64" s="44">
        <f>IFERROR(INDEX(LMH_PTS,MATCH(Y64,LMH_KEY,0)),0)</f>
        <v>9</v>
      </c>
      <c r="BN64" s="38">
        <f>IFERROR(INDEX(LMH_PTS,MATCH(Z64,LMH_KEY,0)),0)</f>
        <v>3</v>
      </c>
      <c r="BO64" s="38">
        <f>IFERROR(INDEX(LMH_PTS,MATCH(AA64,LMH_KEY,0)),0)</f>
        <v>3</v>
      </c>
      <c r="BP64" s="38">
        <f>IFERROR(INDEX(LMH_PTS,MATCH(AB64,LMH_KEY,0)),0)</f>
        <v>1</v>
      </c>
      <c r="BQ64" s="38">
        <f>IFERROR(INDEX(LMH_PTS,MATCH(AC64,LMH_KEY,0)),0)</f>
        <v>1</v>
      </c>
      <c r="BR64" s="38">
        <f>IFERROR(INDEX(LMH_PTS,MATCH(AD64,LMH_KEY,0)),0)</f>
        <v>1</v>
      </c>
      <c r="BS64" s="38">
        <f>IFERROR(INDEX(LMH_PTS,MATCH(AE64,LMH_KEY,0)),0)</f>
        <v>1</v>
      </c>
      <c r="BT64" s="38">
        <f>IFERROR(INDEX(LMH_STEP,MATCH(AF64,LMH_KEY,0)),0)</f>
        <v>0</v>
      </c>
      <c r="BU64" s="38">
        <f>IFERROR(INDEX(LMH_STEP,MATCH(AG64,LMH_KEY,0)),0)</f>
        <v>0</v>
      </c>
      <c r="BV64" s="38">
        <f>IFERROR(INDEX(LMH_STEP,MATCH(AH64,LMH_KEY,0)),0)</f>
        <v>0</v>
      </c>
      <c r="BW64" s="38">
        <f>IFERROR(INDEX(LMH_STEP,MATCH(AI64,LMH_KEY,0)),0)</f>
        <v>0</v>
      </c>
      <c r="BX64" s="38">
        <f>IFERROR(INDEX(LMH_STEP,MATCH(AJ64,LMH_KEY,0)),0)</f>
        <v>0</v>
      </c>
      <c r="BY64" s="38">
        <f>IFERROR(INDEX(LMH_STEP,MATCH(AK64,LMH_KEY,0)),0)</f>
        <v>0</v>
      </c>
      <c r="BZ64" s="38">
        <f>IFERROR(INDEX(LMH_STEP,MATCH(AL64,LMH_KEY,0)),0)</f>
        <v>0</v>
      </c>
      <c r="CA64" s="38" t="inlineStr">
        <is>
          <t>CARBON|Digitizing|Digitization Specialist – POD Lead|A3|A</t>
        </is>
      </c>
    </row>
    <row r="65" ht="110" customHeight="1">
      <c r="A65" s="28" t="inlineStr">
        <is>
          <t>CARBON</t>
        </is>
      </c>
      <c r="B65" s="29" t="inlineStr">
        <is>
          <t>Digitizing</t>
        </is>
      </c>
      <c r="C65" s="29" t="n">
        <v>8</v>
      </c>
      <c r="D65" s="29" t="inlineStr">
        <is>
          <t>IRISC224</t>
        </is>
      </c>
      <c r="E65" s="29" t="inlineStr">
        <is>
          <t>Dhanraj Patil</t>
        </is>
      </c>
      <c r="F65" s="29" t="inlineStr">
        <is>
          <t>Consultant</t>
        </is>
      </c>
      <c r="G65" s="29" t="inlineStr">
        <is>
          <t>Senior Digitization Associate</t>
        </is>
      </c>
      <c r="H65" s="29" t="inlineStr">
        <is>
          <t>Data Operations &amp; Digitization</t>
        </is>
      </c>
      <c r="I65" s="29" t="inlineStr">
        <is>
          <t>Document Conversion, Formatting &amp; Web Publishing</t>
        </is>
      </c>
      <c r="J65" s="29" t="inlineStr">
        <is>
          <t>IC</t>
        </is>
      </c>
      <c r="K65" s="29" t="inlineStr">
        <is>
          <t>RC-047</t>
        </is>
      </c>
      <c r="L65" s="29" t="inlineStr">
        <is>
          <t>Tejas Kat</t>
        </is>
      </c>
      <c r="M65" s="29" t="inlineStr">
        <is>
          <t>IRIS1210</t>
        </is>
      </c>
      <c r="N65" s="29" t="n">
        <v>13.1</v>
      </c>
      <c r="O65" s="29" t="n">
        <v>4.6</v>
      </c>
      <c r="P65" s="29" t="inlineStr">
        <is>
          <t>B.Com</t>
        </is>
      </c>
      <c r="Q65" s="29" t="inlineStr">
        <is>
          <t>L3 – Professional / Associate</t>
        </is>
      </c>
      <c r="R65" s="29" t="inlineStr">
        <is>
          <t>A3</t>
        </is>
      </c>
      <c r="S65" s="30" t="inlineStr">
        <is>
          <t>20 of 20</t>
        </is>
      </c>
      <c r="T65" s="31" t="inlineStr">
        <is>
          <t>• Role / sub-team: Digitizing Assited Services.</t>
        </is>
      </c>
      <c r="U65"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5" s="31" t="inlineStr">
        <is>
          <t>Latest rating: 3 · Potential: Medium · 9-box: Core Contributor · Readiness: Develop in role</t>
        </is>
      </c>
      <c r="W65" s="31" t="inlineStr">
        <is>
          <t>C M · Au M · Ac M · L L · BI M · Exp H · 13.1 yrs vs 0–2 yrs · Edu M · B.Com</t>
        </is>
      </c>
      <c r="X65" s="33" t="inlineStr">
        <is>
          <t>Open ▸</t>
        </is>
      </c>
      <c r="Y65" s="34" t="str">
        <f>IFERROR(INDEX(DL_C,MATCH($CA65,DL_KEY,0)),"M")</f>
        <v>H</v>
      </c>
      <c r="Z65" s="35" t="str">
        <f>IFERROR(INDEX(DL_Au,MATCH($CA65,DL_KEY,0)),"M")</f>
        <v>M</v>
      </c>
      <c r="AA65" s="35" t="str">
        <f>IFERROR(INDEX(DL_Ac,MATCH($CA65,DL_KEY,0)),"M")</f>
        <v>M</v>
      </c>
      <c r="AB65" s="35" t="str">
        <f>IFERROR(INDEX(DL_L,MATCH($CA65,DL_KEY,0)),"M")</f>
        <v>L</v>
      </c>
      <c r="AC65" s="35" t="str">
        <f>IFERROR(INDEX(DL_BI,MATCH($CA65,DL_KEY,0)),"M")</f>
        <v>L</v>
      </c>
      <c r="AD65" s="35" t="str">
        <f>IFERROR(INDEX(DL_Exp,MATCH($CA65,DL_KEY,0)),"M")</f>
        <v>L</v>
      </c>
      <c r="AE65" s="35" t="str">
        <f>IFERROR(INDEX(DL_Edu,MATCH($CA65,DL_KEY,0)),"M")</f>
        <v>L</v>
      </c>
      <c r="AF65" s="34" t="inlineStr">
        <is>
          <t>M</t>
        </is>
      </c>
      <c r="AG65" s="35" t="inlineStr">
        <is>
          <t>M</t>
        </is>
      </c>
      <c r="AH65" s="35" t="inlineStr">
        <is>
          <t>M</t>
        </is>
      </c>
      <c r="AI65" s="35" t="inlineStr">
        <is>
          <t>M</t>
        </is>
      </c>
      <c r="AJ65" s="35" t="inlineStr">
        <is>
          <t>M</t>
        </is>
      </c>
      <c r="AK65" s="35" t="inlineStr">
        <is>
          <t>M</t>
        </is>
      </c>
      <c r="AL65" s="35" t="inlineStr">
        <is>
          <t>M</t>
        </is>
      </c>
      <c r="AM65" s="36" t="n">
        <v>0.583</v>
      </c>
      <c r="AN65" s="37" t="n">
        <v>0.16</v>
      </c>
      <c r="AO65" s="37" t="n">
        <v>0.09</v>
      </c>
      <c r="AP65" s="37" t="n">
        <v>0</v>
      </c>
      <c r="AQ65" s="37" t="n">
        <v>0.063</v>
      </c>
      <c r="AR65" s="37" t="n">
        <v>0.06</v>
      </c>
      <c r="AS65" s="37" t="n">
        <v>0.04</v>
      </c>
      <c r="AT65" s="38" t="inlineStr">
        <is>
          <t>0–3</t>
        </is>
      </c>
      <c r="AU65" s="38" t="inlineStr">
        <is>
          <t>Graduate · or diploma with experience</t>
        </is>
      </c>
      <c r="AV65" s="38" t="inlineStr">
        <is>
          <t>No direct reports</t>
        </is>
      </c>
      <c r="AW65" s="38" t="inlineStr">
        <is>
          <t>P1–P2 · SFIA 2 Assist</t>
        </is>
      </c>
      <c r="AX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5" s="39" t="inlineStr">
        <is>
          <t>A2</t>
        </is>
      </c>
      <c r="AZ65" s="40" t="inlineStr">
        <is>
          <t>Band A · Practitioner · Associate</t>
        </is>
      </c>
      <c r="BA65" s="40" t="inlineStr">
        <is>
          <t>Model A3 from the six ratings, the market-derived weights and rules R1–R13 · then Level rule: manager A3; a reportee sits at least one level below · A3 → A2 · move down · pay and title protected for one cycle</t>
        </is>
      </c>
      <c r="BB65" s="41" t="inlineStr">
        <is>
          <t>A3</t>
        </is>
      </c>
      <c r="BC65" s="40" t="inlineStr">
        <is>
          <t>The six ratings on the market-average weights of Band A · all tracks score 2.50 → A3 · Hay, Mercer IPE and public plans · experience 13.1 yrs vs the A3 market range 2–5</t>
        </is>
      </c>
      <c r="BD65" s="42">
        <f>IF(SUM(BM65,BN65,BO65,BP65,BQ65,BR65,BS65)=0,0,(BM65*BT65+BN65*BU65+BO65*BV65+BP65*BW65+BQ65*BX65+BR65*BY65+BS65*BZ65)/SUM(BM65,BN65,BO65,BP65,BQ65,BR65,BS65))</f>
        <v>0</v>
      </c>
      <c r="BE65" s="41" t="str">
        <f>IF(LEFT(AY65,1)="X",AY65,IF(OR(AY65="B+",AY65="C+"),INDEX(LAD_PC,MAX(1,MIN(14,MATCH(AY65,LAD_PC,0)+IF(BD65&gt;=0.5,1,IF(BD65&lt;=-0.5,-1,0))))),INDEX(LAD_STD,MAX(1,MIN(12,MATCH(AY65,LAD_STD,0)+IF(BD65&gt;=0.5,1,IF(BD65&lt;=-0.5,-1,0)))))))</f>
        <v>A2</v>
      </c>
      <c r="BF65" s="43" t="n"/>
      <c r="BG65" s="41" t="str">
        <f>IF(BF65&lt;&gt;"",BF65,BE65)</f>
        <v>A2</v>
      </c>
      <c r="BH65" s="40" t="str">
        <f>IFERROR(CHOOSE(INDEX(B_RANK,MATCH(BG65,B_LVL,0)),"Band A","Band B","B+ · Player-Coach","Band C","C+ · Player-Coach","Band D","Band E"),"Band X · Consultant")</f>
        <v>Band A</v>
      </c>
      <c r="BI65" s="40" t="str">
        <f>IF(BG65=AY65,"• Same",IF(INDEX(B_VAL,MATCH(BG65,B_LVL,0))&gt;INDEX(B_VAL,MATCH(AY65,B_LVL,0)),"▲ Up","▼ Down"))</f>
        <v>• Same</v>
      </c>
      <c r="BJ65" s="40" t="str">
        <f>IF(OR($M65="",$M65="—",$M65="Not in this file"),"",IFERROR(INDEX($BG$7:$BG$592,MATCH($M65,$D$7:$D$592,0)),""))</f>
        <v>A3</v>
      </c>
      <c r="BK65" s="40" t="str">
        <f>IFERROR(IF(BJ65="","—",IF(OR(LEFT(BG65,1)="X",LEFT(BJ65,1)="X"),"—",IF(AND(LEFT(BG65,1)="E",LEFT(BJ65,1)="E"),"Exception · Band E",IF(AND(INDEX(B_VAL,MATCH(BJ65,B_LVL,0))&gt;=7,INDEX(B_RANK,MATCH(BG65,B_LVL,0))&gt;=INDEX(B_RANK,MATCH(BJ65,B_LVL,0))),"⚠ Same band as a head manager",IF(INDEX(B_VAL,MATCH(BG65,B_LVL,0))&gt;=INDEX(B_VAL,MATCH(BJ65,B_LVL,0)),"⚠ At or above the manager's level","OK"))))),"—")</f>
        <v>OK</v>
      </c>
      <c r="BL65" s="43" t="n"/>
      <c r="BM65" s="44">
        <f>IFERROR(INDEX(LMH_PTS,MATCH(Y65,LMH_KEY,0)),0)</f>
        <v>9</v>
      </c>
      <c r="BN65" s="38">
        <f>IFERROR(INDEX(LMH_PTS,MATCH(Z65,LMH_KEY,0)),0)</f>
        <v>3</v>
      </c>
      <c r="BO65" s="38">
        <f>IFERROR(INDEX(LMH_PTS,MATCH(AA65,LMH_KEY,0)),0)</f>
        <v>3</v>
      </c>
      <c r="BP65" s="38">
        <f>IFERROR(INDEX(LMH_PTS,MATCH(AB65,LMH_KEY,0)),0)</f>
        <v>1</v>
      </c>
      <c r="BQ65" s="38">
        <f>IFERROR(INDEX(LMH_PTS,MATCH(AC65,LMH_KEY,0)),0)</f>
        <v>1</v>
      </c>
      <c r="BR65" s="38">
        <f>IFERROR(INDEX(LMH_PTS,MATCH(AD65,LMH_KEY,0)),0)</f>
        <v>1</v>
      </c>
      <c r="BS65" s="38">
        <f>IFERROR(INDEX(LMH_PTS,MATCH(AE65,LMH_KEY,0)),0)</f>
        <v>1</v>
      </c>
      <c r="BT65" s="38">
        <f>IFERROR(INDEX(LMH_STEP,MATCH(AF65,LMH_KEY,0)),0)</f>
        <v>0</v>
      </c>
      <c r="BU65" s="38">
        <f>IFERROR(INDEX(LMH_STEP,MATCH(AG65,LMH_KEY,0)),0)</f>
        <v>0</v>
      </c>
      <c r="BV65" s="38">
        <f>IFERROR(INDEX(LMH_STEP,MATCH(AH65,LMH_KEY,0)),0)</f>
        <v>0</v>
      </c>
      <c r="BW65" s="38">
        <f>IFERROR(INDEX(LMH_STEP,MATCH(AI65,LMH_KEY,0)),0)</f>
        <v>0</v>
      </c>
      <c r="BX65" s="38">
        <f>IFERROR(INDEX(LMH_STEP,MATCH(AJ65,LMH_KEY,0)),0)</f>
        <v>0</v>
      </c>
      <c r="BY65" s="38">
        <f>IFERROR(INDEX(LMH_STEP,MATCH(AK65,LMH_KEY,0)),0)</f>
        <v>0</v>
      </c>
      <c r="BZ65" s="38">
        <f>IFERROR(INDEX(LMH_STEP,MATCH(AL65,LMH_KEY,0)),0)</f>
        <v>0</v>
      </c>
      <c r="CA65" s="38" t="inlineStr">
        <is>
          <t>CARBON|Digitizing|Senior Digitization Associate|A2|A</t>
        </is>
      </c>
    </row>
    <row r="66" ht="110" customHeight="1">
      <c r="A66" s="28" t="inlineStr">
        <is>
          <t>CARBON</t>
        </is>
      </c>
      <c r="B66" s="29" t="inlineStr">
        <is>
          <t>Digitizing</t>
        </is>
      </c>
      <c r="C66" s="29" t="n">
        <v>8</v>
      </c>
      <c r="D66" s="29" t="inlineStr">
        <is>
          <t>IRISC173</t>
        </is>
      </c>
      <c r="E66" s="29" t="inlineStr">
        <is>
          <t>Snehal Kardekar</t>
        </is>
      </c>
      <c r="F66" s="29" t="inlineStr">
        <is>
          <t>Consultant</t>
        </is>
      </c>
      <c r="G66" s="29" t="inlineStr">
        <is>
          <t>Senior Digitization Associate</t>
        </is>
      </c>
      <c r="H66" s="29" t="inlineStr">
        <is>
          <t>Data Operations &amp; Digitization</t>
        </is>
      </c>
      <c r="I66" s="29" t="inlineStr">
        <is>
          <t>Document Conversion, Formatting &amp; Web Publishing</t>
        </is>
      </c>
      <c r="J66" s="29" t="inlineStr">
        <is>
          <t>IC</t>
        </is>
      </c>
      <c r="K66" s="29" t="inlineStr">
        <is>
          <t>RC-047</t>
        </is>
      </c>
      <c r="L66" s="29" t="inlineStr">
        <is>
          <t>Tejas Kat</t>
        </is>
      </c>
      <c r="M66" s="29" t="inlineStr">
        <is>
          <t>IRIS1210</t>
        </is>
      </c>
      <c r="N66" s="29" t="n">
        <v>13.2</v>
      </c>
      <c r="O66" s="29" t="n">
        <v>6.2</v>
      </c>
      <c r="P66" s="29" t="inlineStr">
        <is>
          <t>BA</t>
        </is>
      </c>
      <c r="Q66" s="29" t="inlineStr">
        <is>
          <t>L3 – Professional / Associate</t>
        </is>
      </c>
      <c r="R66" s="29" t="inlineStr">
        <is>
          <t>A3</t>
        </is>
      </c>
      <c r="S66" s="30" t="inlineStr">
        <is>
          <t>19 of 20</t>
        </is>
      </c>
      <c r="T66" s="31" t="inlineStr">
        <is>
          <t>• Role / sub-team: Digitizing Assisted Services.</t>
        </is>
      </c>
      <c r="U66"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6" s="31" t="inlineStr">
        <is>
          <t>Latest rating: 3 · Potential: Medium · 9-box: Core Contributor · Readiness: Develop in role</t>
        </is>
      </c>
      <c r="W66" s="31" t="inlineStr">
        <is>
          <t>C M · Au M · Ac M · L M · BI M · Exp H · 13.2 yrs vs 0–2 yrs · Edu M · BA</t>
        </is>
      </c>
      <c r="X66" s="33" t="inlineStr">
        <is>
          <t>Open ▸</t>
        </is>
      </c>
      <c r="Y66" s="34" t="str">
        <f>IFERROR(INDEX(DL_C,MATCH($CA66,DL_KEY,0)),"M")</f>
        <v>H</v>
      </c>
      <c r="Z66" s="35" t="str">
        <f>IFERROR(INDEX(DL_Au,MATCH($CA66,DL_KEY,0)),"M")</f>
        <v>M</v>
      </c>
      <c r="AA66" s="35" t="str">
        <f>IFERROR(INDEX(DL_Ac,MATCH($CA66,DL_KEY,0)),"M")</f>
        <v>M</v>
      </c>
      <c r="AB66" s="35" t="str">
        <f>IFERROR(INDEX(DL_L,MATCH($CA66,DL_KEY,0)),"M")</f>
        <v>L</v>
      </c>
      <c r="AC66" s="35" t="str">
        <f>IFERROR(INDEX(DL_BI,MATCH($CA66,DL_KEY,0)),"M")</f>
        <v>L</v>
      </c>
      <c r="AD66" s="35" t="str">
        <f>IFERROR(INDEX(DL_Exp,MATCH($CA66,DL_KEY,0)),"M")</f>
        <v>L</v>
      </c>
      <c r="AE66" s="35" t="str">
        <f>IFERROR(INDEX(DL_Edu,MATCH($CA66,DL_KEY,0)),"M")</f>
        <v>L</v>
      </c>
      <c r="AF66" s="34" t="inlineStr">
        <is>
          <t>M</t>
        </is>
      </c>
      <c r="AG66" s="35" t="inlineStr">
        <is>
          <t>M</t>
        </is>
      </c>
      <c r="AH66" s="35" t="inlineStr">
        <is>
          <t>M</t>
        </is>
      </c>
      <c r="AI66" s="35" t="inlineStr">
        <is>
          <t>M</t>
        </is>
      </c>
      <c r="AJ66" s="35" t="inlineStr">
        <is>
          <t>M</t>
        </is>
      </c>
      <c r="AK66" s="35" t="inlineStr">
        <is>
          <t>M</t>
        </is>
      </c>
      <c r="AL66" s="35" t="inlineStr">
        <is>
          <t>M</t>
        </is>
      </c>
      <c r="AM66" s="36" t="n">
        <v>0.583</v>
      </c>
      <c r="AN66" s="37" t="n">
        <v>0.16</v>
      </c>
      <c r="AO66" s="37" t="n">
        <v>0.09</v>
      </c>
      <c r="AP66" s="37" t="n">
        <v>0</v>
      </c>
      <c r="AQ66" s="37" t="n">
        <v>0.063</v>
      </c>
      <c r="AR66" s="37" t="n">
        <v>0.06</v>
      </c>
      <c r="AS66" s="37" t="n">
        <v>0.04</v>
      </c>
      <c r="AT66" s="38" t="inlineStr">
        <is>
          <t>0–3</t>
        </is>
      </c>
      <c r="AU66" s="38" t="inlineStr">
        <is>
          <t>Graduate · or diploma with experience</t>
        </is>
      </c>
      <c r="AV66" s="38" t="inlineStr">
        <is>
          <t>No direct reports</t>
        </is>
      </c>
      <c r="AW66" s="38" t="inlineStr">
        <is>
          <t>P1–P2 · SFIA 2 Assist</t>
        </is>
      </c>
      <c r="AX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6" s="39" t="inlineStr">
        <is>
          <t>A2</t>
        </is>
      </c>
      <c r="AZ66" s="40" t="inlineStr">
        <is>
          <t>Band A · Practitioner · Associate</t>
        </is>
      </c>
      <c r="BA66" s="40" t="inlineStr">
        <is>
          <t>Model A3 from the six ratings, the market-derived weights and rules R1–R13 · then Level rule: manager A3; a reportee sits at least one level below · A3 → A2 · move down · pay and title protected for one cycle</t>
        </is>
      </c>
      <c r="BB66" s="41" t="inlineStr">
        <is>
          <t>A3</t>
        </is>
      </c>
      <c r="BC66" s="40" t="inlineStr">
        <is>
          <t>The six ratings on the market-average weights of Band A · all tracks score 2.88 → A3 · Hay, Mercer IPE and public plans · experience 13.2 yrs vs the A3 market range 2–5</t>
        </is>
      </c>
      <c r="BD66" s="42">
        <f>IF(SUM(BM66,BN66,BO66,BP66,BQ66,BR66,BS66)=0,0,(BM66*BT66+BN66*BU66+BO66*BV66+BP66*BW66+BQ66*BX66+BR66*BY66+BS66*BZ66)/SUM(BM66,BN66,BO66,BP66,BQ66,BR66,BS66))</f>
        <v>0</v>
      </c>
      <c r="BE66" s="41" t="str">
        <f>IF(LEFT(AY66,1)="X",AY66,IF(OR(AY66="B+",AY66="C+"),INDEX(LAD_PC,MAX(1,MIN(14,MATCH(AY66,LAD_PC,0)+IF(BD66&gt;=0.5,1,IF(BD66&lt;=-0.5,-1,0))))),INDEX(LAD_STD,MAX(1,MIN(12,MATCH(AY66,LAD_STD,0)+IF(BD66&gt;=0.5,1,IF(BD66&lt;=-0.5,-1,0)))))))</f>
        <v>A2</v>
      </c>
      <c r="BF66" s="43" t="n"/>
      <c r="BG66" s="41" t="str">
        <f>IF(BF66&lt;&gt;"",BF66,BE66)</f>
        <v>A2</v>
      </c>
      <c r="BH66" s="40" t="str">
        <f>IFERROR(CHOOSE(INDEX(B_RANK,MATCH(BG66,B_LVL,0)),"Band A","Band B","B+ · Player-Coach","Band C","C+ · Player-Coach","Band D","Band E"),"Band X · Consultant")</f>
        <v>Band A</v>
      </c>
      <c r="BI66" s="40" t="str">
        <f>IF(BG66=AY66,"• Same",IF(INDEX(B_VAL,MATCH(BG66,B_LVL,0))&gt;INDEX(B_VAL,MATCH(AY66,B_LVL,0)),"▲ Up","▼ Down"))</f>
        <v>• Same</v>
      </c>
      <c r="BJ66" s="40" t="str">
        <f>IF(OR($M66="",$M66="—",$M66="Not in this file"),"",IFERROR(INDEX($BG$7:$BG$592,MATCH($M66,$D$7:$D$592,0)),""))</f>
        <v>A3</v>
      </c>
      <c r="BK66" s="40" t="str">
        <f>IFERROR(IF(BJ66="","—",IF(OR(LEFT(BG66,1)="X",LEFT(BJ66,1)="X"),"—",IF(AND(LEFT(BG66,1)="E",LEFT(BJ66,1)="E"),"Exception · Band E",IF(AND(INDEX(B_VAL,MATCH(BJ66,B_LVL,0))&gt;=7,INDEX(B_RANK,MATCH(BG66,B_LVL,0))&gt;=INDEX(B_RANK,MATCH(BJ66,B_LVL,0))),"⚠ Same band as a head manager",IF(INDEX(B_VAL,MATCH(BG66,B_LVL,0))&gt;=INDEX(B_VAL,MATCH(BJ66,B_LVL,0)),"⚠ At or above the manager's level","OK"))))),"—")</f>
        <v>OK</v>
      </c>
      <c r="BL66" s="43" t="n"/>
      <c r="BM66" s="44">
        <f>IFERROR(INDEX(LMH_PTS,MATCH(Y66,LMH_KEY,0)),0)</f>
        <v>9</v>
      </c>
      <c r="BN66" s="38">
        <f>IFERROR(INDEX(LMH_PTS,MATCH(Z66,LMH_KEY,0)),0)</f>
        <v>3</v>
      </c>
      <c r="BO66" s="38">
        <f>IFERROR(INDEX(LMH_PTS,MATCH(AA66,LMH_KEY,0)),0)</f>
        <v>3</v>
      </c>
      <c r="BP66" s="38">
        <f>IFERROR(INDEX(LMH_PTS,MATCH(AB66,LMH_KEY,0)),0)</f>
        <v>1</v>
      </c>
      <c r="BQ66" s="38">
        <f>IFERROR(INDEX(LMH_PTS,MATCH(AC66,LMH_KEY,0)),0)</f>
        <v>1</v>
      </c>
      <c r="BR66" s="38">
        <f>IFERROR(INDEX(LMH_PTS,MATCH(AD66,LMH_KEY,0)),0)</f>
        <v>1</v>
      </c>
      <c r="BS66" s="38">
        <f>IFERROR(INDEX(LMH_PTS,MATCH(AE66,LMH_KEY,0)),0)</f>
        <v>1</v>
      </c>
      <c r="BT66" s="38">
        <f>IFERROR(INDEX(LMH_STEP,MATCH(AF66,LMH_KEY,0)),0)</f>
        <v>0</v>
      </c>
      <c r="BU66" s="38">
        <f>IFERROR(INDEX(LMH_STEP,MATCH(AG66,LMH_KEY,0)),0)</f>
        <v>0</v>
      </c>
      <c r="BV66" s="38">
        <f>IFERROR(INDEX(LMH_STEP,MATCH(AH66,LMH_KEY,0)),0)</f>
        <v>0</v>
      </c>
      <c r="BW66" s="38">
        <f>IFERROR(INDEX(LMH_STEP,MATCH(AI66,LMH_KEY,0)),0)</f>
        <v>0</v>
      </c>
      <c r="BX66" s="38">
        <f>IFERROR(INDEX(LMH_STEP,MATCH(AJ66,LMH_KEY,0)),0)</f>
        <v>0</v>
      </c>
      <c r="BY66" s="38">
        <f>IFERROR(INDEX(LMH_STEP,MATCH(AK66,LMH_KEY,0)),0)</f>
        <v>0</v>
      </c>
      <c r="BZ66" s="38">
        <f>IFERROR(INDEX(LMH_STEP,MATCH(AL66,LMH_KEY,0)),0)</f>
        <v>0</v>
      </c>
      <c r="CA66" s="38" t="inlineStr">
        <is>
          <t>CARBON|Digitizing|Senior Digitization Associate|A2|A</t>
        </is>
      </c>
    </row>
    <row r="67" ht="110" customHeight="1">
      <c r="A67" s="28" t="inlineStr">
        <is>
          <t>CARBON</t>
        </is>
      </c>
      <c r="B67" s="29" t="inlineStr">
        <is>
          <t>Digitizing</t>
        </is>
      </c>
      <c r="C67" s="29" t="n">
        <v>7</v>
      </c>
      <c r="D67" s="29" t="inlineStr">
        <is>
          <t>IRISC286</t>
        </is>
      </c>
      <c r="E67" s="29" t="inlineStr">
        <is>
          <t>Bhavesh Gusain</t>
        </is>
      </c>
      <c r="F67" s="29" t="inlineStr">
        <is>
          <t>Consultant</t>
        </is>
      </c>
      <c r="G67" s="29" t="inlineStr">
        <is>
          <t>Senior Digitization Associate</t>
        </is>
      </c>
      <c r="H67" s="29" t="inlineStr">
        <is>
          <t>Data Operations &amp; Digitization</t>
        </is>
      </c>
      <c r="I67" s="29" t="inlineStr">
        <is>
          <t>Document Conversion, Formatting &amp; Web Publishing</t>
        </is>
      </c>
      <c r="J67" s="29" t="inlineStr">
        <is>
          <t>IC</t>
        </is>
      </c>
      <c r="K67" s="29" t="inlineStr">
        <is>
          <t>RC-047</t>
        </is>
      </c>
      <c r="L67" s="29" t="inlineStr">
        <is>
          <t>Janardan Bale</t>
        </is>
      </c>
      <c r="M67" s="29" t="inlineStr">
        <is>
          <t>IRIS0470</t>
        </is>
      </c>
      <c r="N67" s="29" t="n">
        <v>2.6</v>
      </c>
      <c r="O67" s="29" t="n">
        <v>2.6</v>
      </c>
      <c r="P67" s="29" t="inlineStr">
        <is>
          <t>B.Com</t>
        </is>
      </c>
      <c r="Q67" s="29" t="inlineStr">
        <is>
          <t>L3 – Professional / Associate</t>
        </is>
      </c>
      <c r="R67" s="29" t="inlineStr">
        <is>
          <t>A3</t>
        </is>
      </c>
      <c r="S67" s="30" t="inlineStr">
        <is>
          <t>20 of 20</t>
        </is>
      </c>
      <c r="T67" s="31" t="inlineStr">
        <is>
          <t>• Role / sub-team: Digitizing Assited Services.</t>
        </is>
      </c>
      <c r="U67"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7" s="31" t="inlineStr">
        <is>
          <t>Latest rating: 3 · Potential: Medium · 9-box: Core Contributor · Readiness: Develop in role</t>
        </is>
      </c>
      <c r="W67" s="31" t="inlineStr">
        <is>
          <t>C L · Au L · Ac L · L L · BI M · Exp M · 2.6 yrs vs 2–4 yrs · Edu M · B.Com</t>
        </is>
      </c>
      <c r="X67" s="33" t="inlineStr">
        <is>
          <t>Open ▸</t>
        </is>
      </c>
      <c r="Y67" s="34" t="str">
        <f>IFERROR(INDEX(DL_C,MATCH($CA67,DL_KEY,0)),"M")</f>
        <v>H</v>
      </c>
      <c r="Z67" s="35" t="str">
        <f>IFERROR(INDEX(DL_Au,MATCH($CA67,DL_KEY,0)),"M")</f>
        <v>M</v>
      </c>
      <c r="AA67" s="35" t="str">
        <f>IFERROR(INDEX(DL_Ac,MATCH($CA67,DL_KEY,0)),"M")</f>
        <v>M</v>
      </c>
      <c r="AB67" s="35" t="str">
        <f>IFERROR(INDEX(DL_L,MATCH($CA67,DL_KEY,0)),"M")</f>
        <v>L</v>
      </c>
      <c r="AC67" s="35" t="str">
        <f>IFERROR(INDEX(DL_BI,MATCH($CA67,DL_KEY,0)),"M")</f>
        <v>L</v>
      </c>
      <c r="AD67" s="35" t="str">
        <f>IFERROR(INDEX(DL_Exp,MATCH($CA67,DL_KEY,0)),"M")</f>
        <v>L</v>
      </c>
      <c r="AE67" s="35" t="str">
        <f>IFERROR(INDEX(DL_Edu,MATCH($CA67,DL_KEY,0)),"M")</f>
        <v>L</v>
      </c>
      <c r="AF67" s="34" t="inlineStr">
        <is>
          <t>M</t>
        </is>
      </c>
      <c r="AG67" s="35" t="inlineStr">
        <is>
          <t>M</t>
        </is>
      </c>
      <c r="AH67" s="35" t="inlineStr">
        <is>
          <t>M</t>
        </is>
      </c>
      <c r="AI67" s="35" t="inlineStr">
        <is>
          <t>M</t>
        </is>
      </c>
      <c r="AJ67" s="35" t="inlineStr">
        <is>
          <t>M</t>
        </is>
      </c>
      <c r="AK67" s="35" t="inlineStr">
        <is>
          <t>M</t>
        </is>
      </c>
      <c r="AL67" s="35" t="inlineStr">
        <is>
          <t>M</t>
        </is>
      </c>
      <c r="AM67" s="36" t="n">
        <v>0.583</v>
      </c>
      <c r="AN67" s="37" t="n">
        <v>0.16</v>
      </c>
      <c r="AO67" s="37" t="n">
        <v>0.09</v>
      </c>
      <c r="AP67" s="37" t="n">
        <v>0</v>
      </c>
      <c r="AQ67" s="37" t="n">
        <v>0.063</v>
      </c>
      <c r="AR67" s="37" t="n">
        <v>0.06</v>
      </c>
      <c r="AS67" s="37" t="n">
        <v>0.04</v>
      </c>
      <c r="AT67" s="38" t="inlineStr">
        <is>
          <t>2–5</t>
        </is>
      </c>
      <c r="AU67" s="38" t="inlineStr">
        <is>
          <t>Graduate; relevant certification preferred</t>
        </is>
      </c>
      <c r="AV67" s="38" t="inlineStr">
        <is>
          <t>None · guides 1–3 juniors informally</t>
        </is>
      </c>
      <c r="AW67" s="38" t="inlineStr">
        <is>
          <t>P2 · SFIA 3 Apply</t>
        </is>
      </c>
      <c r="AX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7" s="39" t="inlineStr">
        <is>
          <t>A3</t>
        </is>
      </c>
      <c r="AZ67" s="40" t="inlineStr">
        <is>
          <t>Band A · Practitioner · Senior Associate</t>
        </is>
      </c>
      <c r="BA67" s="40" t="inlineStr">
        <is>
          <t>Model A3 from the six ratings, the market-derived weights and rules R1–R13 · then No change · already below the manager</t>
        </is>
      </c>
      <c r="BB67" s="41" t="inlineStr">
        <is>
          <t>A2</t>
        </is>
      </c>
      <c r="BC67" s="40" t="inlineStr">
        <is>
          <t>The six ratings on the market-average weights of Band A · all tracks score 2.13 → A2 · Hay, Mercer IPE and public plans · experience 2.6 yrs vs the A2 market range 0–3</t>
        </is>
      </c>
      <c r="BD67" s="42">
        <f>IF(SUM(BM67,BN67,BO67,BP67,BQ67,BR67,BS67)=0,0,(BM67*BT67+BN67*BU67+BO67*BV67+BP67*BW67+BQ67*BX67+BR67*BY67+BS67*BZ67)/SUM(BM67,BN67,BO67,BP67,BQ67,BR67,BS67))</f>
        <v>0</v>
      </c>
      <c r="BE67" s="41" t="str">
        <f>IF(LEFT(AY67,1)="X",AY67,IF(OR(AY67="B+",AY67="C+"),INDEX(LAD_PC,MAX(1,MIN(14,MATCH(AY67,LAD_PC,0)+IF(BD67&gt;=0.5,1,IF(BD67&lt;=-0.5,-1,0))))),INDEX(LAD_STD,MAX(1,MIN(12,MATCH(AY67,LAD_STD,0)+IF(BD67&gt;=0.5,1,IF(BD67&lt;=-0.5,-1,0)))))))</f>
        <v>A3</v>
      </c>
      <c r="BF67" s="43" t="n"/>
      <c r="BG67" s="41" t="str">
        <f>IF(BF67&lt;&gt;"",BF67,BE67)</f>
        <v>A3</v>
      </c>
      <c r="BH67" s="40" t="str">
        <f>IFERROR(CHOOSE(INDEX(B_RANK,MATCH(BG67,B_LVL,0)),"Band A","Band B","B+ · Player-Coach","Band C","C+ · Player-Coach","Band D","Band E"),"Band X · Consultant")</f>
        <v>Band A</v>
      </c>
      <c r="BI67" s="40" t="str">
        <f>IF(BG67=AY67,"• Same",IF(INDEX(B_VAL,MATCH(BG67,B_LVL,0))&gt;INDEX(B_VAL,MATCH(AY67,B_LVL,0)),"▲ Up","▼ Down"))</f>
        <v>• Same</v>
      </c>
      <c r="BJ67" s="40" t="str">
        <f>IF(OR($M67="",$M67="—",$M67="Not in this file"),"",IFERROR(INDEX($BG$7:$BG$592,MATCH($M67,$D$7:$D$592,0)),""))</f>
        <v>B1</v>
      </c>
      <c r="BK67" s="40" t="str">
        <f>IFERROR(IF(BJ67="","—",IF(OR(LEFT(BG67,1)="X",LEFT(BJ67,1)="X"),"—",IF(AND(LEFT(BG67,1)="E",LEFT(BJ67,1)="E"),"Exception · Band E",IF(AND(INDEX(B_VAL,MATCH(BJ67,B_LVL,0))&gt;=7,INDEX(B_RANK,MATCH(BG67,B_LVL,0))&gt;=INDEX(B_RANK,MATCH(BJ67,B_LVL,0))),"⚠ Same band as a head manager",IF(INDEX(B_VAL,MATCH(BG67,B_LVL,0))&gt;=INDEX(B_VAL,MATCH(BJ67,B_LVL,0)),"⚠ At or above the manager's level","OK"))))),"—")</f>
        <v>OK</v>
      </c>
      <c r="BL67" s="43" t="n"/>
      <c r="BM67" s="44">
        <f>IFERROR(INDEX(LMH_PTS,MATCH(Y67,LMH_KEY,0)),0)</f>
        <v>9</v>
      </c>
      <c r="BN67" s="38">
        <f>IFERROR(INDEX(LMH_PTS,MATCH(Z67,LMH_KEY,0)),0)</f>
        <v>3</v>
      </c>
      <c r="BO67" s="38">
        <f>IFERROR(INDEX(LMH_PTS,MATCH(AA67,LMH_KEY,0)),0)</f>
        <v>3</v>
      </c>
      <c r="BP67" s="38">
        <f>IFERROR(INDEX(LMH_PTS,MATCH(AB67,LMH_KEY,0)),0)</f>
        <v>1</v>
      </c>
      <c r="BQ67" s="38">
        <f>IFERROR(INDEX(LMH_PTS,MATCH(AC67,LMH_KEY,0)),0)</f>
        <v>1</v>
      </c>
      <c r="BR67" s="38">
        <f>IFERROR(INDEX(LMH_PTS,MATCH(AD67,LMH_KEY,0)),0)</f>
        <v>1</v>
      </c>
      <c r="BS67" s="38">
        <f>IFERROR(INDEX(LMH_PTS,MATCH(AE67,LMH_KEY,0)),0)</f>
        <v>1</v>
      </c>
      <c r="BT67" s="38">
        <f>IFERROR(INDEX(LMH_STEP,MATCH(AF67,LMH_KEY,0)),0)</f>
        <v>0</v>
      </c>
      <c r="BU67" s="38">
        <f>IFERROR(INDEX(LMH_STEP,MATCH(AG67,LMH_KEY,0)),0)</f>
        <v>0</v>
      </c>
      <c r="BV67" s="38">
        <f>IFERROR(INDEX(LMH_STEP,MATCH(AH67,LMH_KEY,0)),0)</f>
        <v>0</v>
      </c>
      <c r="BW67" s="38">
        <f>IFERROR(INDEX(LMH_STEP,MATCH(AI67,LMH_KEY,0)),0)</f>
        <v>0</v>
      </c>
      <c r="BX67" s="38">
        <f>IFERROR(INDEX(LMH_STEP,MATCH(AJ67,LMH_KEY,0)),0)</f>
        <v>0</v>
      </c>
      <c r="BY67" s="38">
        <f>IFERROR(INDEX(LMH_STEP,MATCH(AK67,LMH_KEY,0)),0)</f>
        <v>0</v>
      </c>
      <c r="BZ67" s="38">
        <f>IFERROR(INDEX(LMH_STEP,MATCH(AL67,LMH_KEY,0)),0)</f>
        <v>0</v>
      </c>
      <c r="CA67" s="38" t="inlineStr">
        <is>
          <t>CARBON|Digitizing|Senior Digitization Associate|A3|A</t>
        </is>
      </c>
    </row>
    <row r="68" ht="110" customHeight="1">
      <c r="A68" s="28" t="inlineStr">
        <is>
          <t>CARBON</t>
        </is>
      </c>
      <c r="B68" s="29" t="inlineStr">
        <is>
          <t>Digitizing</t>
        </is>
      </c>
      <c r="C68" s="29" t="n">
        <v>7</v>
      </c>
      <c r="D68" s="29" t="inlineStr">
        <is>
          <t>IRISC237</t>
        </is>
      </c>
      <c r="E68" s="29" t="inlineStr">
        <is>
          <t>Deepak Nirmal</t>
        </is>
      </c>
      <c r="F68" s="29" t="inlineStr">
        <is>
          <t>Consultant</t>
        </is>
      </c>
      <c r="G68" s="29" t="inlineStr">
        <is>
          <t>Senior Digitization Associate</t>
        </is>
      </c>
      <c r="H68" s="29" t="inlineStr">
        <is>
          <t>Data Operations &amp; Digitization</t>
        </is>
      </c>
      <c r="I68" s="29" t="inlineStr">
        <is>
          <t>Document Conversion, Formatting &amp; Web Publishing</t>
        </is>
      </c>
      <c r="J68" s="29" t="inlineStr">
        <is>
          <t>IC</t>
        </is>
      </c>
      <c r="K68" s="29" t="inlineStr">
        <is>
          <t>RC-047</t>
        </is>
      </c>
      <c r="L68" s="29" t="inlineStr">
        <is>
          <t>Janardan Bale</t>
        </is>
      </c>
      <c r="M68" s="29" t="inlineStr">
        <is>
          <t>IRIS0470</t>
        </is>
      </c>
      <c r="N68" s="29" t="n">
        <v>11</v>
      </c>
      <c r="O68" s="29" t="n">
        <v>4</v>
      </c>
      <c r="P68" s="29" t="inlineStr">
        <is>
          <t>Undergraduate</t>
        </is>
      </c>
      <c r="Q68" s="29" t="inlineStr">
        <is>
          <t>L3 – Professional / Associate</t>
        </is>
      </c>
      <c r="R68" s="29" t="inlineStr">
        <is>
          <t>A3</t>
        </is>
      </c>
      <c r="S68" s="30" t="inlineStr">
        <is>
          <t>20 of 20</t>
        </is>
      </c>
      <c r="T68" s="31" t="inlineStr">
        <is>
          <t>• Role / sub-team: Digitizing Assited Services.</t>
        </is>
      </c>
      <c r="U68"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8" s="31" t="inlineStr">
        <is>
          <t>Latest rating: 3 · Potential: Medium · 9-box: Core Contributor · Readiness: Develop in role</t>
        </is>
      </c>
      <c r="W68" s="31" t="inlineStr">
        <is>
          <t>C L · Au L · Ac L · L L · BI M · Exp H · 11 yrs vs 2–4 yrs · Edu L · Undergraduate</t>
        </is>
      </c>
      <c r="X68" s="33" t="inlineStr">
        <is>
          <t>Open ▸</t>
        </is>
      </c>
      <c r="Y68" s="34" t="str">
        <f>IFERROR(INDEX(DL_C,MATCH($CA68,DL_KEY,0)),"M")</f>
        <v>H</v>
      </c>
      <c r="Z68" s="35" t="str">
        <f>IFERROR(INDEX(DL_Au,MATCH($CA68,DL_KEY,0)),"M")</f>
        <v>M</v>
      </c>
      <c r="AA68" s="35" t="str">
        <f>IFERROR(INDEX(DL_Ac,MATCH($CA68,DL_KEY,0)),"M")</f>
        <v>M</v>
      </c>
      <c r="AB68" s="35" t="str">
        <f>IFERROR(INDEX(DL_L,MATCH($CA68,DL_KEY,0)),"M")</f>
        <v>L</v>
      </c>
      <c r="AC68" s="35" t="str">
        <f>IFERROR(INDEX(DL_BI,MATCH($CA68,DL_KEY,0)),"M")</f>
        <v>L</v>
      </c>
      <c r="AD68" s="35" t="str">
        <f>IFERROR(INDEX(DL_Exp,MATCH($CA68,DL_KEY,0)),"M")</f>
        <v>L</v>
      </c>
      <c r="AE68" s="35" t="str">
        <f>IFERROR(INDEX(DL_Edu,MATCH($CA68,DL_KEY,0)),"M")</f>
        <v>L</v>
      </c>
      <c r="AF68" s="34" t="inlineStr">
        <is>
          <t>M</t>
        </is>
      </c>
      <c r="AG68" s="35" t="inlineStr">
        <is>
          <t>M</t>
        </is>
      </c>
      <c r="AH68" s="35" t="inlineStr">
        <is>
          <t>M</t>
        </is>
      </c>
      <c r="AI68" s="35" t="inlineStr">
        <is>
          <t>M</t>
        </is>
      </c>
      <c r="AJ68" s="35" t="inlineStr">
        <is>
          <t>M</t>
        </is>
      </c>
      <c r="AK68" s="35" t="inlineStr">
        <is>
          <t>M</t>
        </is>
      </c>
      <c r="AL68" s="35" t="inlineStr">
        <is>
          <t>M</t>
        </is>
      </c>
      <c r="AM68" s="36" t="n">
        <v>0.583</v>
      </c>
      <c r="AN68" s="37" t="n">
        <v>0.16</v>
      </c>
      <c r="AO68" s="37" t="n">
        <v>0.09</v>
      </c>
      <c r="AP68" s="37" t="n">
        <v>0</v>
      </c>
      <c r="AQ68" s="37" t="n">
        <v>0.063</v>
      </c>
      <c r="AR68" s="37" t="n">
        <v>0.06</v>
      </c>
      <c r="AS68" s="37" t="n">
        <v>0.04</v>
      </c>
      <c r="AT68" s="38" t="inlineStr">
        <is>
          <t>2–5</t>
        </is>
      </c>
      <c r="AU68" s="38" t="inlineStr">
        <is>
          <t>Graduate; relevant certification preferred</t>
        </is>
      </c>
      <c r="AV68" s="38" t="inlineStr">
        <is>
          <t>None · guides 1–3 juniors informally</t>
        </is>
      </c>
      <c r="AW68" s="38" t="inlineStr">
        <is>
          <t>P2 · SFIA 3 Apply</t>
        </is>
      </c>
      <c r="AX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8" s="39" t="inlineStr">
        <is>
          <t>A3</t>
        </is>
      </c>
      <c r="AZ68" s="40" t="inlineStr">
        <is>
          <t>Band A · Practitioner · Senior Associate</t>
        </is>
      </c>
      <c r="BA68" s="40" t="inlineStr">
        <is>
          <t>Model A3 from the six ratings, the market-derived weights and rules R1–R13 · then No change · already below the manager</t>
        </is>
      </c>
      <c r="BB68" s="41" t="inlineStr">
        <is>
          <t>A2</t>
        </is>
      </c>
      <c r="BC68" s="40" t="inlineStr">
        <is>
          <t>The six ratings on the market-average weights of Band A · all tracks score 2.43 → A2 · Hay, Mercer IPE and public plans · experience 11 yrs vs the A2 market range 0–3</t>
        </is>
      </c>
      <c r="BD68" s="42">
        <f>IF(SUM(BM68,BN68,BO68,BP68,BQ68,BR68,BS68)=0,0,(BM68*BT68+BN68*BU68+BO68*BV68+BP68*BW68+BQ68*BX68+BR68*BY68+BS68*BZ68)/SUM(BM68,BN68,BO68,BP68,BQ68,BR68,BS68))</f>
        <v>0</v>
      </c>
      <c r="BE68" s="41" t="str">
        <f>IF(LEFT(AY68,1)="X",AY68,IF(OR(AY68="B+",AY68="C+"),INDEX(LAD_PC,MAX(1,MIN(14,MATCH(AY68,LAD_PC,0)+IF(BD68&gt;=0.5,1,IF(BD68&lt;=-0.5,-1,0))))),INDEX(LAD_STD,MAX(1,MIN(12,MATCH(AY68,LAD_STD,0)+IF(BD68&gt;=0.5,1,IF(BD68&lt;=-0.5,-1,0)))))))</f>
        <v>A3</v>
      </c>
      <c r="BF68" s="43" t="n"/>
      <c r="BG68" s="41" t="str">
        <f>IF(BF68&lt;&gt;"",BF68,BE68)</f>
        <v>A3</v>
      </c>
      <c r="BH68" s="40" t="str">
        <f>IFERROR(CHOOSE(INDEX(B_RANK,MATCH(BG68,B_LVL,0)),"Band A","Band B","B+ · Player-Coach","Band C","C+ · Player-Coach","Band D","Band E"),"Band X · Consultant")</f>
        <v>Band A</v>
      </c>
      <c r="BI68" s="40" t="str">
        <f>IF(BG68=AY68,"• Same",IF(INDEX(B_VAL,MATCH(BG68,B_LVL,0))&gt;INDEX(B_VAL,MATCH(AY68,B_LVL,0)),"▲ Up","▼ Down"))</f>
        <v>• Same</v>
      </c>
      <c r="BJ68" s="40" t="str">
        <f>IF(OR($M68="",$M68="—",$M68="Not in this file"),"",IFERROR(INDEX($BG$7:$BG$592,MATCH($M68,$D$7:$D$592,0)),""))</f>
        <v>B1</v>
      </c>
      <c r="BK68" s="40" t="str">
        <f>IFERROR(IF(BJ68="","—",IF(OR(LEFT(BG68,1)="X",LEFT(BJ68,1)="X"),"—",IF(AND(LEFT(BG68,1)="E",LEFT(BJ68,1)="E"),"Exception · Band E",IF(AND(INDEX(B_VAL,MATCH(BJ68,B_LVL,0))&gt;=7,INDEX(B_RANK,MATCH(BG68,B_LVL,0))&gt;=INDEX(B_RANK,MATCH(BJ68,B_LVL,0))),"⚠ Same band as a head manager",IF(INDEX(B_VAL,MATCH(BG68,B_LVL,0))&gt;=INDEX(B_VAL,MATCH(BJ68,B_LVL,0)),"⚠ At or above the manager's level","OK"))))),"—")</f>
        <v>OK</v>
      </c>
      <c r="BL68" s="43" t="n"/>
      <c r="BM68" s="44">
        <f>IFERROR(INDEX(LMH_PTS,MATCH(Y68,LMH_KEY,0)),0)</f>
        <v>9</v>
      </c>
      <c r="BN68" s="38">
        <f>IFERROR(INDEX(LMH_PTS,MATCH(Z68,LMH_KEY,0)),0)</f>
        <v>3</v>
      </c>
      <c r="BO68" s="38">
        <f>IFERROR(INDEX(LMH_PTS,MATCH(AA68,LMH_KEY,0)),0)</f>
        <v>3</v>
      </c>
      <c r="BP68" s="38">
        <f>IFERROR(INDEX(LMH_PTS,MATCH(AB68,LMH_KEY,0)),0)</f>
        <v>1</v>
      </c>
      <c r="BQ68" s="38">
        <f>IFERROR(INDEX(LMH_PTS,MATCH(AC68,LMH_KEY,0)),0)</f>
        <v>1</v>
      </c>
      <c r="BR68" s="38">
        <f>IFERROR(INDEX(LMH_PTS,MATCH(AD68,LMH_KEY,0)),0)</f>
        <v>1</v>
      </c>
      <c r="BS68" s="38">
        <f>IFERROR(INDEX(LMH_PTS,MATCH(AE68,LMH_KEY,0)),0)</f>
        <v>1</v>
      </c>
      <c r="BT68" s="38">
        <f>IFERROR(INDEX(LMH_STEP,MATCH(AF68,LMH_KEY,0)),0)</f>
        <v>0</v>
      </c>
      <c r="BU68" s="38">
        <f>IFERROR(INDEX(LMH_STEP,MATCH(AG68,LMH_KEY,0)),0)</f>
        <v>0</v>
      </c>
      <c r="BV68" s="38">
        <f>IFERROR(INDEX(LMH_STEP,MATCH(AH68,LMH_KEY,0)),0)</f>
        <v>0</v>
      </c>
      <c r="BW68" s="38">
        <f>IFERROR(INDEX(LMH_STEP,MATCH(AI68,LMH_KEY,0)),0)</f>
        <v>0</v>
      </c>
      <c r="BX68" s="38">
        <f>IFERROR(INDEX(LMH_STEP,MATCH(AJ68,LMH_KEY,0)),0)</f>
        <v>0</v>
      </c>
      <c r="BY68" s="38">
        <f>IFERROR(INDEX(LMH_STEP,MATCH(AK68,LMH_KEY,0)),0)</f>
        <v>0</v>
      </c>
      <c r="BZ68" s="38">
        <f>IFERROR(INDEX(LMH_STEP,MATCH(AL68,LMH_KEY,0)),0)</f>
        <v>0</v>
      </c>
      <c r="CA68" s="38" t="inlineStr">
        <is>
          <t>CARBON|Digitizing|Senior Digitization Associate|A3|A</t>
        </is>
      </c>
    </row>
    <row r="69" ht="110" customHeight="1">
      <c r="A69" s="28" t="inlineStr">
        <is>
          <t>CARBON</t>
        </is>
      </c>
      <c r="B69" s="29" t="inlineStr">
        <is>
          <t>Digitizing</t>
        </is>
      </c>
      <c r="C69" s="29" t="n">
        <v>7</v>
      </c>
      <c r="D69" s="29" t="inlineStr">
        <is>
          <t>IRISC325</t>
        </is>
      </c>
      <c r="E69" s="29" t="inlineStr">
        <is>
          <t>Gaurav Yashwant Chaulkar</t>
        </is>
      </c>
      <c r="F69" s="29" t="inlineStr">
        <is>
          <t>Consultant</t>
        </is>
      </c>
      <c r="G69" s="29" t="inlineStr">
        <is>
          <t>Senior Digitization Associate</t>
        </is>
      </c>
      <c r="H69" s="29" t="inlineStr">
        <is>
          <t>Data Operations &amp; Digitization</t>
        </is>
      </c>
      <c r="I69" s="29" t="inlineStr">
        <is>
          <t>Document Conversion, Formatting &amp; Web Publishing</t>
        </is>
      </c>
      <c r="J69" s="29" t="inlineStr">
        <is>
          <t>IC</t>
        </is>
      </c>
      <c r="K69" s="29" t="inlineStr">
        <is>
          <t>RC-047</t>
        </is>
      </c>
      <c r="L69" s="29" t="inlineStr">
        <is>
          <t>Janardan Bale</t>
        </is>
      </c>
      <c r="M69" s="29" t="inlineStr">
        <is>
          <t>IRIS0470</t>
        </is>
      </c>
      <c r="N69" s="29" t="n">
        <v>3</v>
      </c>
      <c r="O69" s="29" t="n">
        <v>0.8</v>
      </c>
      <c r="P69" s="29" t="inlineStr">
        <is>
          <t>Diploma Electronic Mechanic</t>
        </is>
      </c>
      <c r="Q69" s="29" t="inlineStr">
        <is>
          <t>L3 – Professional / Associate</t>
        </is>
      </c>
      <c r="R69" s="29" t="inlineStr">
        <is>
          <t>A3</t>
        </is>
      </c>
      <c r="S69" s="30" t="inlineStr">
        <is>
          <t>19 of 20</t>
        </is>
      </c>
      <c r="T69" s="31" t="inlineStr">
        <is>
          <t>• Role / sub-team: Digitizing Assisted service.</t>
        </is>
      </c>
      <c r="U69"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9" s="31" t="inlineStr">
        <is>
          <t>Latest rating: 3 · Potential: Medium · 9-box: Core Contributor · Readiness: Develop in role</t>
        </is>
      </c>
      <c r="W69" s="31" t="inlineStr">
        <is>
          <t>C L · Au L · Ac L · L L · BI M · Exp M · 3 yrs vs 2–4 yrs · Edu L · Diploma Electronic Mechanic</t>
        </is>
      </c>
      <c r="X69" s="33" t="inlineStr">
        <is>
          <t>Open ▸</t>
        </is>
      </c>
      <c r="Y69" s="34" t="str">
        <f>IFERROR(INDEX(DL_C,MATCH($CA69,DL_KEY,0)),"M")</f>
        <v>H</v>
      </c>
      <c r="Z69" s="35" t="str">
        <f>IFERROR(INDEX(DL_Au,MATCH($CA69,DL_KEY,0)),"M")</f>
        <v>M</v>
      </c>
      <c r="AA69" s="35" t="str">
        <f>IFERROR(INDEX(DL_Ac,MATCH($CA69,DL_KEY,0)),"M")</f>
        <v>M</v>
      </c>
      <c r="AB69" s="35" t="str">
        <f>IFERROR(INDEX(DL_L,MATCH($CA69,DL_KEY,0)),"M")</f>
        <v>L</v>
      </c>
      <c r="AC69" s="35" t="str">
        <f>IFERROR(INDEX(DL_BI,MATCH($CA69,DL_KEY,0)),"M")</f>
        <v>L</v>
      </c>
      <c r="AD69" s="35" t="str">
        <f>IFERROR(INDEX(DL_Exp,MATCH($CA69,DL_KEY,0)),"M")</f>
        <v>L</v>
      </c>
      <c r="AE69" s="35" t="str">
        <f>IFERROR(INDEX(DL_Edu,MATCH($CA69,DL_KEY,0)),"M")</f>
        <v>L</v>
      </c>
      <c r="AF69" s="34" t="inlineStr">
        <is>
          <t>M</t>
        </is>
      </c>
      <c r="AG69" s="35" t="inlineStr">
        <is>
          <t>M</t>
        </is>
      </c>
      <c r="AH69" s="35" t="inlineStr">
        <is>
          <t>M</t>
        </is>
      </c>
      <c r="AI69" s="35" t="inlineStr">
        <is>
          <t>M</t>
        </is>
      </c>
      <c r="AJ69" s="35" t="inlineStr">
        <is>
          <t>M</t>
        </is>
      </c>
      <c r="AK69" s="35" t="inlineStr">
        <is>
          <t>M</t>
        </is>
      </c>
      <c r="AL69" s="35" t="inlineStr">
        <is>
          <t>M</t>
        </is>
      </c>
      <c r="AM69" s="36" t="n">
        <v>0.583</v>
      </c>
      <c r="AN69" s="37" t="n">
        <v>0.16</v>
      </c>
      <c r="AO69" s="37" t="n">
        <v>0.09</v>
      </c>
      <c r="AP69" s="37" t="n">
        <v>0</v>
      </c>
      <c r="AQ69" s="37" t="n">
        <v>0.063</v>
      </c>
      <c r="AR69" s="37" t="n">
        <v>0.06</v>
      </c>
      <c r="AS69" s="37" t="n">
        <v>0.04</v>
      </c>
      <c r="AT69" s="38" t="inlineStr">
        <is>
          <t>2–5</t>
        </is>
      </c>
      <c r="AU69" s="38" t="inlineStr">
        <is>
          <t>Graduate; relevant certification preferred</t>
        </is>
      </c>
      <c r="AV69" s="38" t="inlineStr">
        <is>
          <t>None · guides 1–3 juniors informally</t>
        </is>
      </c>
      <c r="AW69" s="38" t="inlineStr">
        <is>
          <t>P2 · SFIA 3 Apply</t>
        </is>
      </c>
      <c r="AX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9" s="39" t="inlineStr">
        <is>
          <t>A3</t>
        </is>
      </c>
      <c r="AZ69" s="40" t="inlineStr">
        <is>
          <t>Band A · Practitioner · Senior Associate</t>
        </is>
      </c>
      <c r="BA69" s="40" t="inlineStr">
        <is>
          <t>Model A3 from the six ratings, the market-derived weights and rules R1–R13 · then No change · already below the manager</t>
        </is>
      </c>
      <c r="BB69" s="41" t="inlineStr">
        <is>
          <t>A2</t>
        </is>
      </c>
      <c r="BC69" s="40" t="inlineStr">
        <is>
          <t>The six ratings on the market-average weights of Band A · all tracks score 2.08 → A2 · Hay, Mercer IPE and public plans · experience 3 yrs vs the A2 market range 0–3</t>
        </is>
      </c>
      <c r="BD69" s="42">
        <f>IF(SUM(BM69,BN69,BO69,BP69,BQ69,BR69,BS69)=0,0,(BM69*BT69+BN69*BU69+BO69*BV69+BP69*BW69+BQ69*BX69+BR69*BY69+BS69*BZ69)/SUM(BM69,BN69,BO69,BP69,BQ69,BR69,BS69))</f>
        <v>0</v>
      </c>
      <c r="BE69" s="41" t="str">
        <f>IF(LEFT(AY69,1)="X",AY69,IF(OR(AY69="B+",AY69="C+"),INDEX(LAD_PC,MAX(1,MIN(14,MATCH(AY69,LAD_PC,0)+IF(BD69&gt;=0.5,1,IF(BD69&lt;=-0.5,-1,0))))),INDEX(LAD_STD,MAX(1,MIN(12,MATCH(AY69,LAD_STD,0)+IF(BD69&gt;=0.5,1,IF(BD69&lt;=-0.5,-1,0)))))))</f>
        <v>A3</v>
      </c>
      <c r="BF69" s="43" t="n"/>
      <c r="BG69" s="41" t="str">
        <f>IF(BF69&lt;&gt;"",BF69,BE69)</f>
        <v>A3</v>
      </c>
      <c r="BH69" s="40" t="str">
        <f>IFERROR(CHOOSE(INDEX(B_RANK,MATCH(BG69,B_LVL,0)),"Band A","Band B","B+ · Player-Coach","Band C","C+ · Player-Coach","Band D","Band E"),"Band X · Consultant")</f>
        <v>Band A</v>
      </c>
      <c r="BI69" s="40" t="str">
        <f>IF(BG69=AY69,"• Same",IF(INDEX(B_VAL,MATCH(BG69,B_LVL,0))&gt;INDEX(B_VAL,MATCH(AY69,B_LVL,0)),"▲ Up","▼ Down"))</f>
        <v>• Same</v>
      </c>
      <c r="BJ69" s="40" t="str">
        <f>IF(OR($M69="",$M69="—",$M69="Not in this file"),"",IFERROR(INDEX($BG$7:$BG$592,MATCH($M69,$D$7:$D$592,0)),""))</f>
        <v>B1</v>
      </c>
      <c r="BK69" s="40" t="str">
        <f>IFERROR(IF(BJ69="","—",IF(OR(LEFT(BG69,1)="X",LEFT(BJ69,1)="X"),"—",IF(AND(LEFT(BG69,1)="E",LEFT(BJ69,1)="E"),"Exception · Band E",IF(AND(INDEX(B_VAL,MATCH(BJ69,B_LVL,0))&gt;=7,INDEX(B_RANK,MATCH(BG69,B_LVL,0))&gt;=INDEX(B_RANK,MATCH(BJ69,B_LVL,0))),"⚠ Same band as a head manager",IF(INDEX(B_VAL,MATCH(BG69,B_LVL,0))&gt;=INDEX(B_VAL,MATCH(BJ69,B_LVL,0)),"⚠ At or above the manager's level","OK"))))),"—")</f>
        <v>OK</v>
      </c>
      <c r="BL69" s="43" t="n"/>
      <c r="BM69" s="44">
        <f>IFERROR(INDEX(LMH_PTS,MATCH(Y69,LMH_KEY,0)),0)</f>
        <v>9</v>
      </c>
      <c r="BN69" s="38">
        <f>IFERROR(INDEX(LMH_PTS,MATCH(Z69,LMH_KEY,0)),0)</f>
        <v>3</v>
      </c>
      <c r="BO69" s="38">
        <f>IFERROR(INDEX(LMH_PTS,MATCH(AA69,LMH_KEY,0)),0)</f>
        <v>3</v>
      </c>
      <c r="BP69" s="38">
        <f>IFERROR(INDEX(LMH_PTS,MATCH(AB69,LMH_KEY,0)),0)</f>
        <v>1</v>
      </c>
      <c r="BQ69" s="38">
        <f>IFERROR(INDEX(LMH_PTS,MATCH(AC69,LMH_KEY,0)),0)</f>
        <v>1</v>
      </c>
      <c r="BR69" s="38">
        <f>IFERROR(INDEX(LMH_PTS,MATCH(AD69,LMH_KEY,0)),0)</f>
        <v>1</v>
      </c>
      <c r="BS69" s="38">
        <f>IFERROR(INDEX(LMH_PTS,MATCH(AE69,LMH_KEY,0)),0)</f>
        <v>1</v>
      </c>
      <c r="BT69" s="38">
        <f>IFERROR(INDEX(LMH_STEP,MATCH(AF69,LMH_KEY,0)),0)</f>
        <v>0</v>
      </c>
      <c r="BU69" s="38">
        <f>IFERROR(INDEX(LMH_STEP,MATCH(AG69,LMH_KEY,0)),0)</f>
        <v>0</v>
      </c>
      <c r="BV69" s="38">
        <f>IFERROR(INDEX(LMH_STEP,MATCH(AH69,LMH_KEY,0)),0)</f>
        <v>0</v>
      </c>
      <c r="BW69" s="38">
        <f>IFERROR(INDEX(LMH_STEP,MATCH(AI69,LMH_KEY,0)),0)</f>
        <v>0</v>
      </c>
      <c r="BX69" s="38">
        <f>IFERROR(INDEX(LMH_STEP,MATCH(AJ69,LMH_KEY,0)),0)</f>
        <v>0</v>
      </c>
      <c r="BY69" s="38">
        <f>IFERROR(INDEX(LMH_STEP,MATCH(AK69,LMH_KEY,0)),0)</f>
        <v>0</v>
      </c>
      <c r="BZ69" s="38">
        <f>IFERROR(INDEX(LMH_STEP,MATCH(AL69,LMH_KEY,0)),0)</f>
        <v>0</v>
      </c>
      <c r="CA69" s="38" t="inlineStr">
        <is>
          <t>CARBON|Digitizing|Senior Digitization Associate|A3|A</t>
        </is>
      </c>
    </row>
    <row r="70" ht="110" customHeight="1">
      <c r="A70" s="28" t="inlineStr">
        <is>
          <t>CARBON</t>
        </is>
      </c>
      <c r="B70" s="29" t="inlineStr">
        <is>
          <t>Digitizing</t>
        </is>
      </c>
      <c r="C70" s="29" t="n">
        <v>7</v>
      </c>
      <c r="D70" s="29" t="inlineStr">
        <is>
          <t>IRISC316</t>
        </is>
      </c>
      <c r="E70" s="29" t="inlineStr">
        <is>
          <t>Samiksha Ramdas Bhabal</t>
        </is>
      </c>
      <c r="F70" s="29" t="inlineStr">
        <is>
          <t>Consultant</t>
        </is>
      </c>
      <c r="G70" s="29" t="inlineStr">
        <is>
          <t>Senior Digitization Associate</t>
        </is>
      </c>
      <c r="H70" s="29" t="inlineStr">
        <is>
          <t>Data Operations &amp; Digitization</t>
        </is>
      </c>
      <c r="I70" s="29" t="inlineStr">
        <is>
          <t>Document Conversion, Formatting &amp; Web Publishing</t>
        </is>
      </c>
      <c r="J70" s="29" t="inlineStr">
        <is>
          <t>IC</t>
        </is>
      </c>
      <c r="K70" s="29" t="inlineStr">
        <is>
          <t>RC-047</t>
        </is>
      </c>
      <c r="L70" s="29" t="inlineStr">
        <is>
          <t>Janardan Bale</t>
        </is>
      </c>
      <c r="M70" s="29" t="inlineStr">
        <is>
          <t>IRIS0470</t>
        </is>
      </c>
      <c r="N70" s="29" t="n">
        <v>3.1</v>
      </c>
      <c r="O70" s="29" t="n">
        <v>1.1</v>
      </c>
      <c r="P70" s="29" t="inlineStr">
        <is>
          <t>B.Com</t>
        </is>
      </c>
      <c r="Q70" s="29" t="inlineStr">
        <is>
          <t>L3 – Professional / Associate</t>
        </is>
      </c>
      <c r="R70" s="29" t="inlineStr">
        <is>
          <t>A3</t>
        </is>
      </c>
      <c r="S70" s="30" t="inlineStr">
        <is>
          <t>19 of 20</t>
        </is>
      </c>
      <c r="T70" s="31" t="inlineStr">
        <is>
          <t>• Role / sub-team: OCR Team; Digitizing Assisted Service.</t>
        </is>
      </c>
      <c r="U70"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70" s="31" t="inlineStr">
        <is>
          <t>Latest rating: 3 · Potential: Medium · 9-box: Core Contributor · Readiness: Develop in role</t>
        </is>
      </c>
      <c r="W70" s="31" t="inlineStr">
        <is>
          <t>C L · Au L · Ac L · L L · BI M · Exp M · 3.1 yrs vs 2–4 yrs · Edu M · B.Com</t>
        </is>
      </c>
      <c r="X70" s="33" t="inlineStr">
        <is>
          <t>Open ▸</t>
        </is>
      </c>
      <c r="Y70" s="34" t="str">
        <f>IFERROR(INDEX(DL_C,MATCH($CA70,DL_KEY,0)),"M")</f>
        <v>H</v>
      </c>
      <c r="Z70" s="35" t="str">
        <f>IFERROR(INDEX(DL_Au,MATCH($CA70,DL_KEY,0)),"M")</f>
        <v>M</v>
      </c>
      <c r="AA70" s="35" t="str">
        <f>IFERROR(INDEX(DL_Ac,MATCH($CA70,DL_KEY,0)),"M")</f>
        <v>M</v>
      </c>
      <c r="AB70" s="35" t="str">
        <f>IFERROR(INDEX(DL_L,MATCH($CA70,DL_KEY,0)),"M")</f>
        <v>L</v>
      </c>
      <c r="AC70" s="35" t="str">
        <f>IFERROR(INDEX(DL_BI,MATCH($CA70,DL_KEY,0)),"M")</f>
        <v>L</v>
      </c>
      <c r="AD70" s="35" t="str">
        <f>IFERROR(INDEX(DL_Exp,MATCH($CA70,DL_KEY,0)),"M")</f>
        <v>L</v>
      </c>
      <c r="AE70" s="35" t="str">
        <f>IFERROR(INDEX(DL_Edu,MATCH($CA70,DL_KEY,0)),"M")</f>
        <v>L</v>
      </c>
      <c r="AF70" s="34" t="inlineStr">
        <is>
          <t>M</t>
        </is>
      </c>
      <c r="AG70" s="35" t="inlineStr">
        <is>
          <t>M</t>
        </is>
      </c>
      <c r="AH70" s="35" t="inlineStr">
        <is>
          <t>M</t>
        </is>
      </c>
      <c r="AI70" s="35" t="inlineStr">
        <is>
          <t>M</t>
        </is>
      </c>
      <c r="AJ70" s="35" t="inlineStr">
        <is>
          <t>M</t>
        </is>
      </c>
      <c r="AK70" s="35" t="inlineStr">
        <is>
          <t>M</t>
        </is>
      </c>
      <c r="AL70" s="35" t="inlineStr">
        <is>
          <t>M</t>
        </is>
      </c>
      <c r="AM70" s="36" t="n">
        <v>0.583</v>
      </c>
      <c r="AN70" s="37" t="n">
        <v>0.16</v>
      </c>
      <c r="AO70" s="37" t="n">
        <v>0.09</v>
      </c>
      <c r="AP70" s="37" t="n">
        <v>0</v>
      </c>
      <c r="AQ70" s="37" t="n">
        <v>0.063</v>
      </c>
      <c r="AR70" s="37" t="n">
        <v>0.06</v>
      </c>
      <c r="AS70" s="37" t="n">
        <v>0.04</v>
      </c>
      <c r="AT70" s="38" t="inlineStr">
        <is>
          <t>2–5</t>
        </is>
      </c>
      <c r="AU70" s="38" t="inlineStr">
        <is>
          <t>Graduate; relevant certification preferred</t>
        </is>
      </c>
      <c r="AV70" s="38" t="inlineStr">
        <is>
          <t>None · guides 1–3 juniors informally</t>
        </is>
      </c>
      <c r="AW70" s="38" t="inlineStr">
        <is>
          <t>P2 · SFIA 3 Apply</t>
        </is>
      </c>
      <c r="AX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0" s="39" t="inlineStr">
        <is>
          <t>A3</t>
        </is>
      </c>
      <c r="AZ70" s="40" t="inlineStr">
        <is>
          <t>Band A · Practitioner · Senior Associate</t>
        </is>
      </c>
      <c r="BA70" s="40" t="inlineStr">
        <is>
          <t>Model A3 from the six ratings, the market-derived weights and rules R1–R13 · then No change · already below the manager</t>
        </is>
      </c>
      <c r="BB70" s="41" t="inlineStr">
        <is>
          <t>A2</t>
        </is>
      </c>
      <c r="BC70" s="40" t="inlineStr">
        <is>
          <t>The six ratings on the market-average weights of Band A · all tracks score 2.05 → A2 · Hay, Mercer IPE and public plans · experience 3.1 yrs vs the A2 market range 0–3</t>
        </is>
      </c>
      <c r="BD70" s="42">
        <f>IF(SUM(BM70,BN70,BO70,BP70,BQ70,BR70,BS70)=0,0,(BM70*BT70+BN70*BU70+BO70*BV70+BP70*BW70+BQ70*BX70+BR70*BY70+BS70*BZ70)/SUM(BM70,BN70,BO70,BP70,BQ70,BR70,BS70))</f>
        <v>0</v>
      </c>
      <c r="BE70" s="41" t="str">
        <f>IF(LEFT(AY70,1)="X",AY70,IF(OR(AY70="B+",AY70="C+"),INDEX(LAD_PC,MAX(1,MIN(14,MATCH(AY70,LAD_PC,0)+IF(BD70&gt;=0.5,1,IF(BD70&lt;=-0.5,-1,0))))),INDEX(LAD_STD,MAX(1,MIN(12,MATCH(AY70,LAD_STD,0)+IF(BD70&gt;=0.5,1,IF(BD70&lt;=-0.5,-1,0)))))))</f>
        <v>A3</v>
      </c>
      <c r="BF70" s="43" t="n"/>
      <c r="BG70" s="41" t="str">
        <f>IF(BF70&lt;&gt;"",BF70,BE70)</f>
        <v>A3</v>
      </c>
      <c r="BH70" s="40" t="str">
        <f>IFERROR(CHOOSE(INDEX(B_RANK,MATCH(BG70,B_LVL,0)),"Band A","Band B","B+ · Player-Coach","Band C","C+ · Player-Coach","Band D","Band E"),"Band X · Consultant")</f>
        <v>Band A</v>
      </c>
      <c r="BI70" s="40" t="str">
        <f>IF(BG70=AY70,"• Same",IF(INDEX(B_VAL,MATCH(BG70,B_LVL,0))&gt;INDEX(B_VAL,MATCH(AY70,B_LVL,0)),"▲ Up","▼ Down"))</f>
        <v>• Same</v>
      </c>
      <c r="BJ70" s="40" t="str">
        <f>IF(OR($M70="",$M70="—",$M70="Not in this file"),"",IFERROR(INDEX($BG$7:$BG$592,MATCH($M70,$D$7:$D$592,0)),""))</f>
        <v>B1</v>
      </c>
      <c r="BK70" s="40" t="str">
        <f>IFERROR(IF(BJ70="","—",IF(OR(LEFT(BG70,1)="X",LEFT(BJ70,1)="X"),"—",IF(AND(LEFT(BG70,1)="E",LEFT(BJ70,1)="E"),"Exception · Band E",IF(AND(INDEX(B_VAL,MATCH(BJ70,B_LVL,0))&gt;=7,INDEX(B_RANK,MATCH(BG70,B_LVL,0))&gt;=INDEX(B_RANK,MATCH(BJ70,B_LVL,0))),"⚠ Same band as a head manager",IF(INDEX(B_VAL,MATCH(BG70,B_LVL,0))&gt;=INDEX(B_VAL,MATCH(BJ70,B_LVL,0)),"⚠ At or above the manager's level","OK"))))),"—")</f>
        <v>OK</v>
      </c>
      <c r="BL70" s="43" t="n"/>
      <c r="BM70" s="44">
        <f>IFERROR(INDEX(LMH_PTS,MATCH(Y70,LMH_KEY,0)),0)</f>
        <v>9</v>
      </c>
      <c r="BN70" s="38">
        <f>IFERROR(INDEX(LMH_PTS,MATCH(Z70,LMH_KEY,0)),0)</f>
        <v>3</v>
      </c>
      <c r="BO70" s="38">
        <f>IFERROR(INDEX(LMH_PTS,MATCH(AA70,LMH_KEY,0)),0)</f>
        <v>3</v>
      </c>
      <c r="BP70" s="38">
        <f>IFERROR(INDEX(LMH_PTS,MATCH(AB70,LMH_KEY,0)),0)</f>
        <v>1</v>
      </c>
      <c r="BQ70" s="38">
        <f>IFERROR(INDEX(LMH_PTS,MATCH(AC70,LMH_KEY,0)),0)</f>
        <v>1</v>
      </c>
      <c r="BR70" s="38">
        <f>IFERROR(INDEX(LMH_PTS,MATCH(AD70,LMH_KEY,0)),0)</f>
        <v>1</v>
      </c>
      <c r="BS70" s="38">
        <f>IFERROR(INDEX(LMH_PTS,MATCH(AE70,LMH_KEY,0)),0)</f>
        <v>1</v>
      </c>
      <c r="BT70" s="38">
        <f>IFERROR(INDEX(LMH_STEP,MATCH(AF70,LMH_KEY,0)),0)</f>
        <v>0</v>
      </c>
      <c r="BU70" s="38">
        <f>IFERROR(INDEX(LMH_STEP,MATCH(AG70,LMH_KEY,0)),0)</f>
        <v>0</v>
      </c>
      <c r="BV70" s="38">
        <f>IFERROR(INDEX(LMH_STEP,MATCH(AH70,LMH_KEY,0)),0)</f>
        <v>0</v>
      </c>
      <c r="BW70" s="38">
        <f>IFERROR(INDEX(LMH_STEP,MATCH(AI70,LMH_KEY,0)),0)</f>
        <v>0</v>
      </c>
      <c r="BX70" s="38">
        <f>IFERROR(INDEX(LMH_STEP,MATCH(AJ70,LMH_KEY,0)),0)</f>
        <v>0</v>
      </c>
      <c r="BY70" s="38">
        <f>IFERROR(INDEX(LMH_STEP,MATCH(AK70,LMH_KEY,0)),0)</f>
        <v>0</v>
      </c>
      <c r="BZ70" s="38">
        <f>IFERROR(INDEX(LMH_STEP,MATCH(AL70,LMH_KEY,0)),0)</f>
        <v>0</v>
      </c>
      <c r="CA70" s="38" t="inlineStr">
        <is>
          <t>CARBON|Digitizing|Senior Digitization Associate|A3|A</t>
        </is>
      </c>
    </row>
    <row r="71" ht="110" customHeight="1">
      <c r="A71" s="28" t="inlineStr">
        <is>
          <t>CARBON</t>
        </is>
      </c>
      <c r="B71" s="29" t="inlineStr">
        <is>
          <t>Digitizing</t>
        </is>
      </c>
      <c r="C71" s="29" t="n">
        <v>7</v>
      </c>
      <c r="D71" s="29" t="inlineStr">
        <is>
          <t>IRISC327</t>
        </is>
      </c>
      <c r="E71" s="29" t="inlineStr">
        <is>
          <t>Satyajeet Patil</t>
        </is>
      </c>
      <c r="F71" s="29" t="inlineStr">
        <is>
          <t>Consultant</t>
        </is>
      </c>
      <c r="G71" s="29" t="inlineStr">
        <is>
          <t>Digitization Associate</t>
        </is>
      </c>
      <c r="H71" s="29" t="inlineStr">
        <is>
          <t>Data Operations &amp; Digitization</t>
        </is>
      </c>
      <c r="I71" s="29" t="inlineStr">
        <is>
          <t>Document Conversion, Formatting &amp; Web Publishing</t>
        </is>
      </c>
      <c r="J71" s="29" t="inlineStr">
        <is>
          <t>IC</t>
        </is>
      </c>
      <c r="K71" s="29" t="inlineStr">
        <is>
          <t>RC-046</t>
        </is>
      </c>
      <c r="L71" s="29" t="inlineStr">
        <is>
          <t>Janardan Bale</t>
        </is>
      </c>
      <c r="M71" s="29" t="inlineStr">
        <is>
          <t>IRIS0470</t>
        </is>
      </c>
      <c r="N71" s="29" t="n">
        <v>0.8</v>
      </c>
      <c r="O71" s="29" t="n">
        <v>0.8</v>
      </c>
      <c r="P71" s="29" t="inlineStr">
        <is>
          <t>BCA</t>
        </is>
      </c>
      <c r="Q71" s="29" t="inlineStr">
        <is>
          <t>L3 – Professional / Associate</t>
        </is>
      </c>
      <c r="R71" s="29" t="inlineStr">
        <is>
          <t>A2</t>
        </is>
      </c>
      <c r="S71" s="30" t="inlineStr">
        <is>
          <t>20 of 20</t>
        </is>
      </c>
      <c r="T71" s="31" t="inlineStr">
        <is>
          <t>• Role / sub-team: Digitizing Assisted Service.</t>
        </is>
      </c>
      <c r="U7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71" s="31" t="inlineStr">
        <is>
          <t>Latest rating: 3 · Potential: Medium · 9-box: Core Contributor · Readiness: Develop in role</t>
        </is>
      </c>
      <c r="W71" s="31" t="inlineStr">
        <is>
          <t>C M · Au M · Ac M · L L · BI M · Exp M · 0.8 yrs vs 0–2 yrs · Edu M · BCA</t>
        </is>
      </c>
      <c r="X71" s="33" t="inlineStr">
        <is>
          <t>Open ▸</t>
        </is>
      </c>
      <c r="Y71" s="34" t="str">
        <f>IFERROR(INDEX(DL_C,MATCH($CA71,DL_KEY,0)),"M")</f>
        <v>H</v>
      </c>
      <c r="Z71" s="35" t="str">
        <f>IFERROR(INDEX(DL_Au,MATCH($CA71,DL_KEY,0)),"M")</f>
        <v>M</v>
      </c>
      <c r="AA71" s="35" t="str">
        <f>IFERROR(INDEX(DL_Ac,MATCH($CA71,DL_KEY,0)),"M")</f>
        <v>M</v>
      </c>
      <c r="AB71" s="35" t="str">
        <f>IFERROR(INDEX(DL_L,MATCH($CA71,DL_KEY,0)),"M")</f>
        <v>L</v>
      </c>
      <c r="AC71" s="35" t="str">
        <f>IFERROR(INDEX(DL_BI,MATCH($CA71,DL_KEY,0)),"M")</f>
        <v>L</v>
      </c>
      <c r="AD71" s="35" t="str">
        <f>IFERROR(INDEX(DL_Exp,MATCH($CA71,DL_KEY,0)),"M")</f>
        <v>L</v>
      </c>
      <c r="AE71" s="35" t="str">
        <f>IFERROR(INDEX(DL_Edu,MATCH($CA71,DL_KEY,0)),"M")</f>
        <v>L</v>
      </c>
      <c r="AF71" s="34" t="inlineStr">
        <is>
          <t>M</t>
        </is>
      </c>
      <c r="AG71" s="35" t="inlineStr">
        <is>
          <t>M</t>
        </is>
      </c>
      <c r="AH71" s="35" t="inlineStr">
        <is>
          <t>M</t>
        </is>
      </c>
      <c r="AI71" s="35" t="inlineStr">
        <is>
          <t>M</t>
        </is>
      </c>
      <c r="AJ71" s="35" t="inlineStr">
        <is>
          <t>M</t>
        </is>
      </c>
      <c r="AK71" s="35" t="inlineStr">
        <is>
          <t>M</t>
        </is>
      </c>
      <c r="AL71" s="35" t="inlineStr">
        <is>
          <t>M</t>
        </is>
      </c>
      <c r="AM71" s="36" t="n">
        <v>0.583</v>
      </c>
      <c r="AN71" s="37" t="n">
        <v>0.16</v>
      </c>
      <c r="AO71" s="37" t="n">
        <v>0.09</v>
      </c>
      <c r="AP71" s="37" t="n">
        <v>0</v>
      </c>
      <c r="AQ71" s="37" t="n">
        <v>0.063</v>
      </c>
      <c r="AR71" s="37" t="n">
        <v>0.06</v>
      </c>
      <c r="AS71" s="37" t="n">
        <v>0.04</v>
      </c>
      <c r="AT71" s="38" t="inlineStr">
        <is>
          <t>0–3</t>
        </is>
      </c>
      <c r="AU71" s="38" t="inlineStr">
        <is>
          <t>Graduate · or diploma with experience</t>
        </is>
      </c>
      <c r="AV71" s="38" t="inlineStr">
        <is>
          <t>No direct reports</t>
        </is>
      </c>
      <c r="AW71" s="38" t="inlineStr">
        <is>
          <t>P1–P2 · SFIA 2 Assist</t>
        </is>
      </c>
      <c r="AX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1" s="39" t="inlineStr">
        <is>
          <t>A2</t>
        </is>
      </c>
      <c r="AZ71" s="40" t="inlineStr">
        <is>
          <t>Band A · Practitioner · Associate</t>
        </is>
      </c>
      <c r="BA71" s="40" t="inlineStr">
        <is>
          <t>Model A2 from the six ratings, the market-derived weights and rules R1–R13 · then No change · already below the manager</t>
        </is>
      </c>
      <c r="BB71" s="41" t="inlineStr">
        <is>
          <t>A2</t>
        </is>
      </c>
      <c r="BC71" s="40" t="inlineStr">
        <is>
          <t>The six ratings on the market-average weights of Band A · all tracks score 1.95 → A2 · Hay, Mercer IPE and public plans · experience 0.8 yrs vs the A2 market range 0–3</t>
        </is>
      </c>
      <c r="BD71" s="42">
        <f>IF(SUM(BM71,BN71,BO71,BP71,BQ71,BR71,BS71)=0,0,(BM71*BT71+BN71*BU71+BO71*BV71+BP71*BW71+BQ71*BX71+BR71*BY71+BS71*BZ71)/SUM(BM71,BN71,BO71,BP71,BQ71,BR71,BS71))</f>
        <v>0</v>
      </c>
      <c r="BE71" s="41" t="str">
        <f>IF(LEFT(AY71,1)="X",AY71,IF(OR(AY71="B+",AY71="C+"),INDEX(LAD_PC,MAX(1,MIN(14,MATCH(AY71,LAD_PC,0)+IF(BD71&gt;=0.5,1,IF(BD71&lt;=-0.5,-1,0))))),INDEX(LAD_STD,MAX(1,MIN(12,MATCH(AY71,LAD_STD,0)+IF(BD71&gt;=0.5,1,IF(BD71&lt;=-0.5,-1,0)))))))</f>
        <v>A2</v>
      </c>
      <c r="BF71" s="43" t="n"/>
      <c r="BG71" s="41" t="str">
        <f>IF(BF71&lt;&gt;"",BF71,BE71)</f>
        <v>A2</v>
      </c>
      <c r="BH71" s="40" t="str">
        <f>IFERROR(CHOOSE(INDEX(B_RANK,MATCH(BG71,B_LVL,0)),"Band A","Band B","B+ · Player-Coach","Band C","C+ · Player-Coach","Band D","Band E"),"Band X · Consultant")</f>
        <v>Band A</v>
      </c>
      <c r="BI71" s="40" t="str">
        <f>IF(BG71=AY71,"• Same",IF(INDEX(B_VAL,MATCH(BG71,B_LVL,0))&gt;INDEX(B_VAL,MATCH(AY71,B_LVL,0)),"▲ Up","▼ Down"))</f>
        <v>• Same</v>
      </c>
      <c r="BJ71" s="40" t="str">
        <f>IF(OR($M71="",$M71="—",$M71="Not in this file"),"",IFERROR(INDEX($BG$7:$BG$592,MATCH($M71,$D$7:$D$592,0)),""))</f>
        <v>B1</v>
      </c>
      <c r="BK71" s="40" t="str">
        <f>IFERROR(IF(BJ71="","—",IF(OR(LEFT(BG71,1)="X",LEFT(BJ71,1)="X"),"—",IF(AND(LEFT(BG71,1)="E",LEFT(BJ71,1)="E"),"Exception · Band E",IF(AND(INDEX(B_VAL,MATCH(BJ71,B_LVL,0))&gt;=7,INDEX(B_RANK,MATCH(BG71,B_LVL,0))&gt;=INDEX(B_RANK,MATCH(BJ71,B_LVL,0))),"⚠ Same band as a head manager",IF(INDEX(B_VAL,MATCH(BG71,B_LVL,0))&gt;=INDEX(B_VAL,MATCH(BJ71,B_LVL,0)),"⚠ At or above the manager's level","OK"))))),"—")</f>
        <v>OK</v>
      </c>
      <c r="BL71" s="43" t="n"/>
      <c r="BM71" s="44">
        <f>IFERROR(INDEX(LMH_PTS,MATCH(Y71,LMH_KEY,0)),0)</f>
        <v>9</v>
      </c>
      <c r="BN71" s="38">
        <f>IFERROR(INDEX(LMH_PTS,MATCH(Z71,LMH_KEY,0)),0)</f>
        <v>3</v>
      </c>
      <c r="BO71" s="38">
        <f>IFERROR(INDEX(LMH_PTS,MATCH(AA71,LMH_KEY,0)),0)</f>
        <v>3</v>
      </c>
      <c r="BP71" s="38">
        <f>IFERROR(INDEX(LMH_PTS,MATCH(AB71,LMH_KEY,0)),0)</f>
        <v>1</v>
      </c>
      <c r="BQ71" s="38">
        <f>IFERROR(INDEX(LMH_PTS,MATCH(AC71,LMH_KEY,0)),0)</f>
        <v>1</v>
      </c>
      <c r="BR71" s="38">
        <f>IFERROR(INDEX(LMH_PTS,MATCH(AD71,LMH_KEY,0)),0)</f>
        <v>1</v>
      </c>
      <c r="BS71" s="38">
        <f>IFERROR(INDEX(LMH_PTS,MATCH(AE71,LMH_KEY,0)),0)</f>
        <v>1</v>
      </c>
      <c r="BT71" s="38">
        <f>IFERROR(INDEX(LMH_STEP,MATCH(AF71,LMH_KEY,0)),0)</f>
        <v>0</v>
      </c>
      <c r="BU71" s="38">
        <f>IFERROR(INDEX(LMH_STEP,MATCH(AG71,LMH_KEY,0)),0)</f>
        <v>0</v>
      </c>
      <c r="BV71" s="38">
        <f>IFERROR(INDEX(LMH_STEP,MATCH(AH71,LMH_KEY,0)),0)</f>
        <v>0</v>
      </c>
      <c r="BW71" s="38">
        <f>IFERROR(INDEX(LMH_STEP,MATCH(AI71,LMH_KEY,0)),0)</f>
        <v>0</v>
      </c>
      <c r="BX71" s="38">
        <f>IFERROR(INDEX(LMH_STEP,MATCH(AJ71,LMH_KEY,0)),0)</f>
        <v>0</v>
      </c>
      <c r="BY71" s="38">
        <f>IFERROR(INDEX(LMH_STEP,MATCH(AK71,LMH_KEY,0)),0)</f>
        <v>0</v>
      </c>
      <c r="BZ71" s="38">
        <f>IFERROR(INDEX(LMH_STEP,MATCH(AL71,LMH_KEY,0)),0)</f>
        <v>0</v>
      </c>
      <c r="CA71" s="38" t="inlineStr">
        <is>
          <t>CARBON|Digitizing|Digitization Associate|A2|A</t>
        </is>
      </c>
    </row>
    <row r="72" ht="110" customHeight="1">
      <c r="A72" s="28" t="inlineStr">
        <is>
          <t>Consume</t>
        </is>
      </c>
      <c r="B72" s="29" t="inlineStr">
        <is>
          <t>Digitizing</t>
        </is>
      </c>
      <c r="C72" s="29" t="n">
        <v>6</v>
      </c>
      <c r="D72" s="29" t="inlineStr">
        <is>
          <t>IRIS0114</t>
        </is>
      </c>
      <c r="E72" s="29" t="inlineStr">
        <is>
          <t>Shraddha Patil</t>
        </is>
      </c>
      <c r="F72" s="29" t="inlineStr">
        <is>
          <t>Image Processing Specialist</t>
        </is>
      </c>
      <c r="G72" s="29" t="inlineStr">
        <is>
          <t>Digitization Manager</t>
        </is>
      </c>
      <c r="H72" s="29" t="inlineStr">
        <is>
          <t>Data Operations &amp; Digitization</t>
        </is>
      </c>
      <c r="I72" s="29" t="inlineStr">
        <is>
          <t>Document Conversion, Formatting &amp; Web Publishing</t>
        </is>
      </c>
      <c r="J72" s="29" t="inlineStr">
        <is>
          <t>People Manager</t>
        </is>
      </c>
      <c r="K72" s="29" t="inlineStr">
        <is>
          <t>RC-050</t>
        </is>
      </c>
      <c r="L72" s="29" t="inlineStr">
        <is>
          <t>Vijay Parulekar</t>
        </is>
      </c>
      <c r="M72" s="29" t="inlineStr">
        <is>
          <t>IRIS0055</t>
        </is>
      </c>
      <c r="N72" s="29" t="n">
        <v>19.1</v>
      </c>
      <c r="O72" s="29" t="n">
        <v>19.1</v>
      </c>
      <c r="P72" s="29" t="inlineStr">
        <is>
          <t>BA</t>
        </is>
      </c>
      <c r="Q72" s="29" t="inlineStr">
        <is>
          <t>L3 – Professional / Associate</t>
        </is>
      </c>
      <c r="R72" s="29" t="inlineStr">
        <is>
          <t>B2</t>
        </is>
      </c>
      <c r="S72" s="30" t="inlineStr">
        <is>
          <t>20 of 20</t>
        </is>
      </c>
      <c r="T72" s="31" t="inlineStr">
        <is>
          <t>• Role / sub-team: Digitizing — Image Processing Specialist.
• Core purpose: My core purpose is to align my team, clear away roadblocks, and drive us together".
• Decision-making autonomy: No input received.
• Is this something only they do: No input received.</t>
        </is>
      </c>
      <c r="U72" s="31" t="inlineStr">
        <is>
          <t>Received · manager annual · 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t>
        </is>
      </c>
      <c r="V72" s="31" t="inlineStr">
        <is>
          <t>Latest rating: 5 · Potential: High · 9-box: Core Contributor · Readiness: Ready now</t>
        </is>
      </c>
      <c r="W72" s="31" t="inlineStr">
        <is>
          <t>C M · Au M · Ac H · L H · BI H · Exp H · 19.1 yrs vs 4–7 yrs · Edu M · BA</t>
        </is>
      </c>
      <c r="X72" s="33" t="inlineStr">
        <is>
          <t>Open ▸</t>
        </is>
      </c>
      <c r="Y72" s="34" t="str">
        <f>IFERROR(INDEX(DL_C,MATCH($CA72,DL_KEY,0)),"M")</f>
        <v>H</v>
      </c>
      <c r="Z72" s="35" t="str">
        <f>IFERROR(INDEX(DL_Au,MATCH($CA72,DL_KEY,0)),"M")</f>
        <v>M</v>
      </c>
      <c r="AA72" s="35" t="str">
        <f>IFERROR(INDEX(DL_Ac,MATCH($CA72,DL_KEY,0)),"M")</f>
        <v>M</v>
      </c>
      <c r="AB72" s="35" t="str">
        <f>IFERROR(INDEX(DL_L,MATCH($CA72,DL_KEY,0)),"M")</f>
        <v>M</v>
      </c>
      <c r="AC72" s="35" t="str">
        <f>IFERROR(INDEX(DL_BI,MATCH($CA72,DL_KEY,0)),"M")</f>
        <v>L</v>
      </c>
      <c r="AD72" s="35" t="str">
        <f>IFERROR(INDEX(DL_Exp,MATCH($CA72,DL_KEY,0)),"M")</f>
        <v>L</v>
      </c>
      <c r="AE72" s="35" t="str">
        <f>IFERROR(INDEX(DL_Edu,MATCH($CA72,DL_KEY,0)),"M")</f>
        <v>L</v>
      </c>
      <c r="AF72" s="34" t="inlineStr">
        <is>
          <t>M</t>
        </is>
      </c>
      <c r="AG72" s="35" t="inlineStr">
        <is>
          <t>M</t>
        </is>
      </c>
      <c r="AH72" s="35" t="inlineStr">
        <is>
          <t>M</t>
        </is>
      </c>
      <c r="AI72" s="35" t="inlineStr">
        <is>
          <t>M</t>
        </is>
      </c>
      <c r="AJ72" s="35" t="inlineStr">
        <is>
          <t>M</t>
        </is>
      </c>
      <c r="AK72" s="35" t="inlineStr">
        <is>
          <t>M</t>
        </is>
      </c>
      <c r="AL72" s="35" t="inlineStr">
        <is>
          <t>M</t>
        </is>
      </c>
      <c r="AM72" s="36" t="n">
        <v>0.37</v>
      </c>
      <c r="AN72" s="37" t="n">
        <v>0.183</v>
      </c>
      <c r="AO72" s="37" t="n">
        <v>0.113</v>
      </c>
      <c r="AP72" s="37" t="n">
        <v>0.15</v>
      </c>
      <c r="AQ72" s="37" t="n">
        <v>0.08699999999999999</v>
      </c>
      <c r="AR72" s="37" t="n">
        <v>0.06</v>
      </c>
      <c r="AS72" s="37" t="n">
        <v>0.04</v>
      </c>
      <c r="AT72" s="38" t="inlineStr">
        <is>
          <t>4–8</t>
        </is>
      </c>
      <c r="AU72" s="38" t="inlineStr">
        <is>
          <t>Graduate + relevant qualification or certification preferred</t>
        </is>
      </c>
      <c r="AV72" s="38" t="inlineStr">
        <is>
          <t>IC: none · Team Lead: 3–5</t>
        </is>
      </c>
      <c r="AW72" s="38" t="inlineStr">
        <is>
          <t>P3 / M2 · SFIA 4 Enable</t>
        </is>
      </c>
      <c r="AX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2" s="39" t="inlineStr">
        <is>
          <t>B1</t>
        </is>
      </c>
      <c r="AZ72" s="40" t="inlineStr">
        <is>
          <t>Band B · Specialist / Manager · Team Lead / Asst Manager</t>
        </is>
      </c>
      <c r="BA72" s="40" t="inlineStr">
        <is>
          <t>Model B2 from the six ratings, the market-derived weights and rules R1–R13 · then Level rule: manager B2; a reportee sits at least one level below · B2 → B1 · move down · pay and title protected for one cycle</t>
        </is>
      </c>
      <c r="BB72" s="41" t="inlineStr">
        <is>
          <t>B2</t>
        </is>
      </c>
      <c r="BC72" s="40" t="inlineStr">
        <is>
          <t>The six ratings on the market-average weights of Band B · People Manager score 4.85 → B2 · Hay, Mercer IPE and public plans · experience 19.1 yrs vs the B2 market range 6–10</t>
        </is>
      </c>
      <c r="BD72" s="42">
        <f>IF(SUM(BM72,BN72,BO72,BP72,BQ72,BR72,BS72)=0,0,(BM72*BT72+BN72*BU72+BO72*BV72+BP72*BW72+BQ72*BX72+BR72*BY72+BS72*BZ72)/SUM(BM72,BN72,BO72,BP72,BQ72,BR72,BS72))</f>
        <v>0</v>
      </c>
      <c r="BE72" s="41" t="str">
        <f>IF(LEFT(AY72,1)="X",AY72,IF(OR(AY72="B+",AY72="C+"),INDEX(LAD_PC,MAX(1,MIN(14,MATCH(AY72,LAD_PC,0)+IF(BD72&gt;=0.5,1,IF(BD72&lt;=-0.5,-1,0))))),INDEX(LAD_STD,MAX(1,MIN(12,MATCH(AY72,LAD_STD,0)+IF(BD72&gt;=0.5,1,IF(BD72&lt;=-0.5,-1,0)))))))</f>
        <v>B1</v>
      </c>
      <c r="BF72" s="43" t="n"/>
      <c r="BG72" s="41" t="str">
        <f>IF(BF72&lt;&gt;"",BF72,BE72)</f>
        <v>B1</v>
      </c>
      <c r="BH72" s="40" t="str">
        <f>IFERROR(CHOOSE(INDEX(B_RANK,MATCH(BG72,B_LVL,0)),"Band A","Band B","B+ · Player-Coach","Band C","C+ · Player-Coach","Band D","Band E"),"Band X · Consultant")</f>
        <v>Band B</v>
      </c>
      <c r="BI72" s="40" t="str">
        <f>IF(BG72=AY72,"• Same",IF(INDEX(B_VAL,MATCH(BG72,B_LVL,0))&gt;INDEX(B_VAL,MATCH(AY72,B_LVL,0)),"▲ Up","▼ Down"))</f>
        <v>• Same</v>
      </c>
      <c r="BJ72" s="40" t="str">
        <f>IF(OR($M72="",$M72="—",$M72="Not in this file"),"",IFERROR(INDEX($BG$7:$BG$592,MATCH($M72,$D$7:$D$592,0)),""))</f>
        <v>B2</v>
      </c>
      <c r="BK72" s="40" t="str">
        <f>IFERROR(IF(BJ72="","—",IF(OR(LEFT(BG72,1)="X",LEFT(BJ72,1)="X"),"—",IF(AND(LEFT(BG72,1)="E",LEFT(BJ72,1)="E"),"Exception · Band E",IF(AND(INDEX(B_VAL,MATCH(BJ72,B_LVL,0))&gt;=7,INDEX(B_RANK,MATCH(BG72,B_LVL,0))&gt;=INDEX(B_RANK,MATCH(BJ72,B_LVL,0))),"⚠ Same band as a head manager",IF(INDEX(B_VAL,MATCH(BG72,B_LVL,0))&gt;=INDEX(B_VAL,MATCH(BJ72,B_LVL,0)),"⚠ At or above the manager's level","OK"))))),"—")</f>
        <v>OK</v>
      </c>
      <c r="BL72" s="43" t="n"/>
      <c r="BM72" s="44">
        <f>IFERROR(INDEX(LMH_PTS,MATCH(Y72,LMH_KEY,0)),0)</f>
        <v>9</v>
      </c>
      <c r="BN72" s="38">
        <f>IFERROR(INDEX(LMH_PTS,MATCH(Z72,LMH_KEY,0)),0)</f>
        <v>3</v>
      </c>
      <c r="BO72" s="38">
        <f>IFERROR(INDEX(LMH_PTS,MATCH(AA72,LMH_KEY,0)),0)</f>
        <v>3</v>
      </c>
      <c r="BP72" s="38">
        <f>IFERROR(INDEX(LMH_PTS,MATCH(AB72,LMH_KEY,0)),0)</f>
        <v>3</v>
      </c>
      <c r="BQ72" s="38">
        <f>IFERROR(INDEX(LMH_PTS,MATCH(AC72,LMH_KEY,0)),0)</f>
        <v>1</v>
      </c>
      <c r="BR72" s="38">
        <f>IFERROR(INDEX(LMH_PTS,MATCH(AD72,LMH_KEY,0)),0)</f>
        <v>1</v>
      </c>
      <c r="BS72" s="38">
        <f>IFERROR(INDEX(LMH_PTS,MATCH(AE72,LMH_KEY,0)),0)</f>
        <v>1</v>
      </c>
      <c r="BT72" s="38">
        <f>IFERROR(INDEX(LMH_STEP,MATCH(AF72,LMH_KEY,0)),0)</f>
        <v>0</v>
      </c>
      <c r="BU72" s="38">
        <f>IFERROR(INDEX(LMH_STEP,MATCH(AG72,LMH_KEY,0)),0)</f>
        <v>0</v>
      </c>
      <c r="BV72" s="38">
        <f>IFERROR(INDEX(LMH_STEP,MATCH(AH72,LMH_KEY,0)),0)</f>
        <v>0</v>
      </c>
      <c r="BW72" s="38">
        <f>IFERROR(INDEX(LMH_STEP,MATCH(AI72,LMH_KEY,0)),0)</f>
        <v>0</v>
      </c>
      <c r="BX72" s="38">
        <f>IFERROR(INDEX(LMH_STEP,MATCH(AJ72,LMH_KEY,0)),0)</f>
        <v>0</v>
      </c>
      <c r="BY72" s="38">
        <f>IFERROR(INDEX(LMH_STEP,MATCH(AK72,LMH_KEY,0)),0)</f>
        <v>0</v>
      </c>
      <c r="BZ72" s="38">
        <f>IFERROR(INDEX(LMH_STEP,MATCH(AL72,LMH_KEY,0)),0)</f>
        <v>0</v>
      </c>
      <c r="CA72" s="38" t="inlineStr">
        <is>
          <t>Consume|Digitizing|Digitization Manager|B1|B-M</t>
        </is>
      </c>
    </row>
    <row r="73" ht="110" customHeight="1">
      <c r="A73" s="28" t="inlineStr">
        <is>
          <t>Consume</t>
        </is>
      </c>
      <c r="B73" s="29" t="inlineStr">
        <is>
          <t>Digitizing</t>
        </is>
      </c>
      <c r="C73" s="29" t="n">
        <v>7</v>
      </c>
      <c r="D73" s="29" t="inlineStr">
        <is>
          <t>IRIS0167</t>
        </is>
      </c>
      <c r="E73" s="29" t="inlineStr">
        <is>
          <t>Nitin Bhoir</t>
        </is>
      </c>
      <c r="F73" s="29" t="inlineStr">
        <is>
          <t>Image Processing Specialist</t>
        </is>
      </c>
      <c r="G73" s="29" t="inlineStr">
        <is>
          <t>Digitization Specialist</t>
        </is>
      </c>
      <c r="H73" s="29" t="inlineStr">
        <is>
          <t>Data Operations &amp; Digitization</t>
        </is>
      </c>
      <c r="I73" s="29" t="inlineStr">
        <is>
          <t>Document Conversion, Formatting &amp; Web Publishing</t>
        </is>
      </c>
      <c r="J73" s="29" t="inlineStr">
        <is>
          <t>IC</t>
        </is>
      </c>
      <c r="K73" s="29" t="inlineStr">
        <is>
          <t>RC-048</t>
        </is>
      </c>
      <c r="L73" s="29" t="inlineStr">
        <is>
          <t>Shraddha Patil</t>
        </is>
      </c>
      <c r="M73" s="29" t="inlineStr">
        <is>
          <t>IRIS0114</t>
        </is>
      </c>
      <c r="N73" s="29" t="n">
        <v>18.9</v>
      </c>
      <c r="O73" s="29" t="n">
        <v>18.7</v>
      </c>
      <c r="P73" s="29" t="inlineStr">
        <is>
          <t>BA</t>
        </is>
      </c>
      <c r="Q73" s="29" t="inlineStr">
        <is>
          <t>L3 – Professional / Associate</t>
        </is>
      </c>
      <c r="R73" s="29" t="inlineStr">
        <is>
          <t>B1</t>
        </is>
      </c>
      <c r="S73" s="30" t="inlineStr">
        <is>
          <t>20 of 20</t>
        </is>
      </c>
      <c r="T73" s="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t>
        </is>
      </c>
      <c r="U73"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3" s="31" t="inlineStr">
        <is>
          <t>Latest rating: 3 · Potential: Medium · 9-box: Core Contributor · Readiness: Develop in role</t>
        </is>
      </c>
      <c r="W73" s="31" t="inlineStr">
        <is>
          <t>C M · Au M · Ac M · L L · BI M · Exp H · 18.9 yrs vs 2–4 yrs · Edu M · BA</t>
        </is>
      </c>
      <c r="X73" s="33" t="inlineStr">
        <is>
          <t>Open ▸</t>
        </is>
      </c>
      <c r="Y73" s="34" t="str">
        <f>IFERROR(INDEX(DL_C,MATCH($CA73,DL_KEY,0)),"M")</f>
        <v>H</v>
      </c>
      <c r="Z73" s="35" t="str">
        <f>IFERROR(INDEX(DL_Au,MATCH($CA73,DL_KEY,0)),"M")</f>
        <v>M</v>
      </c>
      <c r="AA73" s="35" t="str">
        <f>IFERROR(INDEX(DL_Ac,MATCH($CA73,DL_KEY,0)),"M")</f>
        <v>M</v>
      </c>
      <c r="AB73" s="35" t="str">
        <f>IFERROR(INDEX(DL_L,MATCH($CA73,DL_KEY,0)),"M")</f>
        <v>L</v>
      </c>
      <c r="AC73" s="35" t="str">
        <f>IFERROR(INDEX(DL_BI,MATCH($CA73,DL_KEY,0)),"M")</f>
        <v>L</v>
      </c>
      <c r="AD73" s="35" t="str">
        <f>IFERROR(INDEX(DL_Exp,MATCH($CA73,DL_KEY,0)),"M")</f>
        <v>L</v>
      </c>
      <c r="AE73" s="35" t="str">
        <f>IFERROR(INDEX(DL_Edu,MATCH($CA73,DL_KEY,0)),"M")</f>
        <v>L</v>
      </c>
      <c r="AF73" s="34" t="inlineStr">
        <is>
          <t>M</t>
        </is>
      </c>
      <c r="AG73" s="35" t="inlineStr">
        <is>
          <t>M</t>
        </is>
      </c>
      <c r="AH73" s="35" t="inlineStr">
        <is>
          <t>M</t>
        </is>
      </c>
      <c r="AI73" s="35" t="inlineStr">
        <is>
          <t>M</t>
        </is>
      </c>
      <c r="AJ73" s="35" t="inlineStr">
        <is>
          <t>M</t>
        </is>
      </c>
      <c r="AK73" s="35" t="inlineStr">
        <is>
          <t>M</t>
        </is>
      </c>
      <c r="AL73" s="35" t="inlineStr">
        <is>
          <t>M</t>
        </is>
      </c>
      <c r="AM73" s="36" t="n">
        <v>0.583</v>
      </c>
      <c r="AN73" s="37" t="n">
        <v>0.16</v>
      </c>
      <c r="AO73" s="37" t="n">
        <v>0.09</v>
      </c>
      <c r="AP73" s="37" t="n">
        <v>0</v>
      </c>
      <c r="AQ73" s="37" t="n">
        <v>0.063</v>
      </c>
      <c r="AR73" s="37" t="n">
        <v>0.06</v>
      </c>
      <c r="AS73" s="37" t="n">
        <v>0.04</v>
      </c>
      <c r="AT73" s="38" t="inlineStr">
        <is>
          <t>2–5</t>
        </is>
      </c>
      <c r="AU73" s="38" t="inlineStr">
        <is>
          <t>Graduate; relevant certification preferred</t>
        </is>
      </c>
      <c r="AV73" s="38" t="inlineStr">
        <is>
          <t>None · guides 1–3 juniors informally</t>
        </is>
      </c>
      <c r="AW73" s="38" t="inlineStr">
        <is>
          <t>P2 · SFIA 3 Apply</t>
        </is>
      </c>
      <c r="AX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3" s="39" t="inlineStr">
        <is>
          <t>A3</t>
        </is>
      </c>
      <c r="AZ73" s="40" t="inlineStr">
        <is>
          <t>Band A · Practitioner · Senior Associate</t>
        </is>
      </c>
      <c r="BA73" s="40" t="inlineStr">
        <is>
          <t>Model B1 from the six ratings, the market-derived weights and rules R1–R13 · then Level rule: manager B1; a reportee sits at least one level below · B1 → A3 · move down · pay and title protected for one cycle</t>
        </is>
      </c>
      <c r="BB73" s="41" t="inlineStr">
        <is>
          <t>B1</t>
        </is>
      </c>
      <c r="BC73" s="40" t="inlineStr">
        <is>
          <t>The six ratings on the market-average weights of Band A · all tracks score 3.60 → B1 · Hay, Mercer IPE and public plans · experience 18.9 yrs vs the B1 market range 4–8</t>
        </is>
      </c>
      <c r="BD73" s="42">
        <f>IF(SUM(BM73,BN73,BO73,BP73,BQ73,BR73,BS73)=0,0,(BM73*BT73+BN73*BU73+BO73*BV73+BP73*BW73+BQ73*BX73+BR73*BY73+BS73*BZ73)/SUM(BM73,BN73,BO73,BP73,BQ73,BR73,BS73))</f>
        <v>0</v>
      </c>
      <c r="BE73" s="41" t="str">
        <f>IF(LEFT(AY73,1)="X",AY73,IF(OR(AY73="B+",AY73="C+"),INDEX(LAD_PC,MAX(1,MIN(14,MATCH(AY73,LAD_PC,0)+IF(BD73&gt;=0.5,1,IF(BD73&lt;=-0.5,-1,0))))),INDEX(LAD_STD,MAX(1,MIN(12,MATCH(AY73,LAD_STD,0)+IF(BD73&gt;=0.5,1,IF(BD73&lt;=-0.5,-1,0)))))))</f>
        <v>A3</v>
      </c>
      <c r="BF73" s="43" t="n"/>
      <c r="BG73" s="41" t="str">
        <f>IF(BF73&lt;&gt;"",BF73,BE73)</f>
        <v>A3</v>
      </c>
      <c r="BH73" s="40" t="str">
        <f>IFERROR(CHOOSE(INDEX(B_RANK,MATCH(BG73,B_LVL,0)),"Band A","Band B","B+ · Player-Coach","Band C","C+ · Player-Coach","Band D","Band E"),"Band X · Consultant")</f>
        <v>Band A</v>
      </c>
      <c r="BI73" s="40" t="str">
        <f>IF(BG73=AY73,"• Same",IF(INDEX(B_VAL,MATCH(BG73,B_LVL,0))&gt;INDEX(B_VAL,MATCH(AY73,B_LVL,0)),"▲ Up","▼ Down"))</f>
        <v>• Same</v>
      </c>
      <c r="BJ73" s="40" t="str">
        <f>IF(OR($M73="",$M73="—",$M73="Not in this file"),"",IFERROR(INDEX($BG$7:$BG$592,MATCH($M73,$D$7:$D$592,0)),""))</f>
        <v>B1</v>
      </c>
      <c r="BK73" s="40" t="str">
        <f>IFERROR(IF(BJ73="","—",IF(OR(LEFT(BG73,1)="X",LEFT(BJ73,1)="X"),"—",IF(AND(LEFT(BG73,1)="E",LEFT(BJ73,1)="E"),"Exception · Band E",IF(AND(INDEX(B_VAL,MATCH(BJ73,B_LVL,0))&gt;=7,INDEX(B_RANK,MATCH(BG73,B_LVL,0))&gt;=INDEX(B_RANK,MATCH(BJ73,B_LVL,0))),"⚠ Same band as a head manager",IF(INDEX(B_VAL,MATCH(BG73,B_LVL,0))&gt;=INDEX(B_VAL,MATCH(BJ73,B_LVL,0)),"⚠ At or above the manager's level","OK"))))),"—")</f>
        <v>OK</v>
      </c>
      <c r="BL73" s="43" t="n"/>
      <c r="BM73" s="44">
        <f>IFERROR(INDEX(LMH_PTS,MATCH(Y73,LMH_KEY,0)),0)</f>
        <v>9</v>
      </c>
      <c r="BN73" s="38">
        <f>IFERROR(INDEX(LMH_PTS,MATCH(Z73,LMH_KEY,0)),0)</f>
        <v>3</v>
      </c>
      <c r="BO73" s="38">
        <f>IFERROR(INDEX(LMH_PTS,MATCH(AA73,LMH_KEY,0)),0)</f>
        <v>3</v>
      </c>
      <c r="BP73" s="38">
        <f>IFERROR(INDEX(LMH_PTS,MATCH(AB73,LMH_KEY,0)),0)</f>
        <v>1</v>
      </c>
      <c r="BQ73" s="38">
        <f>IFERROR(INDEX(LMH_PTS,MATCH(AC73,LMH_KEY,0)),0)</f>
        <v>1</v>
      </c>
      <c r="BR73" s="38">
        <f>IFERROR(INDEX(LMH_PTS,MATCH(AD73,LMH_KEY,0)),0)</f>
        <v>1</v>
      </c>
      <c r="BS73" s="38">
        <f>IFERROR(INDEX(LMH_PTS,MATCH(AE73,LMH_KEY,0)),0)</f>
        <v>1</v>
      </c>
      <c r="BT73" s="38">
        <f>IFERROR(INDEX(LMH_STEP,MATCH(AF73,LMH_KEY,0)),0)</f>
        <v>0</v>
      </c>
      <c r="BU73" s="38">
        <f>IFERROR(INDEX(LMH_STEP,MATCH(AG73,LMH_KEY,0)),0)</f>
        <v>0</v>
      </c>
      <c r="BV73" s="38">
        <f>IFERROR(INDEX(LMH_STEP,MATCH(AH73,LMH_KEY,0)),0)</f>
        <v>0</v>
      </c>
      <c r="BW73" s="38">
        <f>IFERROR(INDEX(LMH_STEP,MATCH(AI73,LMH_KEY,0)),0)</f>
        <v>0</v>
      </c>
      <c r="BX73" s="38">
        <f>IFERROR(INDEX(LMH_STEP,MATCH(AJ73,LMH_KEY,0)),0)</f>
        <v>0</v>
      </c>
      <c r="BY73" s="38">
        <f>IFERROR(INDEX(LMH_STEP,MATCH(AK73,LMH_KEY,0)),0)</f>
        <v>0</v>
      </c>
      <c r="BZ73" s="38">
        <f>IFERROR(INDEX(LMH_STEP,MATCH(AL73,LMH_KEY,0)),0)</f>
        <v>0</v>
      </c>
      <c r="CA73" s="38" t="inlineStr">
        <is>
          <t>Consume|Digitizing|Digitization Specialist|A3|A</t>
        </is>
      </c>
    </row>
    <row r="74" ht="110" customHeight="1">
      <c r="A74" s="28" t="inlineStr">
        <is>
          <t>Consume</t>
        </is>
      </c>
      <c r="B74" s="29" t="inlineStr">
        <is>
          <t>Digitizing</t>
        </is>
      </c>
      <c r="C74" s="29" t="n">
        <v>7</v>
      </c>
      <c r="D74" s="29" t="inlineStr">
        <is>
          <t>IRIS0110</t>
        </is>
      </c>
      <c r="E74" s="29" t="inlineStr">
        <is>
          <t>Aniket Manval</t>
        </is>
      </c>
      <c r="F74" s="29" t="inlineStr">
        <is>
          <t>Image Processing Specialist</t>
        </is>
      </c>
      <c r="G74" s="29" t="inlineStr">
        <is>
          <t>Senior Digitization Associate</t>
        </is>
      </c>
      <c r="H74" s="29" t="inlineStr">
        <is>
          <t>Data Operations &amp; Digitization</t>
        </is>
      </c>
      <c r="I74" s="29" t="inlineStr">
        <is>
          <t>Document Conversion, Formatting &amp; Web Publishing</t>
        </is>
      </c>
      <c r="J74" s="29" t="inlineStr">
        <is>
          <t>IC</t>
        </is>
      </c>
      <c r="K74" s="29" t="inlineStr">
        <is>
          <t>RC-047</t>
        </is>
      </c>
      <c r="L74" s="29" t="inlineStr">
        <is>
          <t>Shraddha Patil</t>
        </is>
      </c>
      <c r="M74" s="29" t="inlineStr">
        <is>
          <t>IRIS0114</t>
        </is>
      </c>
      <c r="N74" s="29" t="n">
        <v>19.4</v>
      </c>
      <c r="O74" s="29" t="n">
        <v>19.1</v>
      </c>
      <c r="P74" s="29" t="inlineStr">
        <is>
          <t>Undergraduate</t>
        </is>
      </c>
      <c r="Q74" s="29" t="inlineStr">
        <is>
          <t>L3 – Professional / Associate</t>
        </is>
      </c>
      <c r="R74" s="29" t="inlineStr">
        <is>
          <t>A3</t>
        </is>
      </c>
      <c r="S74" s="30" t="inlineStr">
        <is>
          <t>20 of 20</t>
        </is>
      </c>
      <c r="T74" s="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t>
        </is>
      </c>
      <c r="U74"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4" s="31" t="inlineStr">
        <is>
          <t>Latest rating: 4 · Potential: High · 9-box: Core Contributor · Readiness: Ready now</t>
        </is>
      </c>
      <c r="W74" s="31" t="inlineStr">
        <is>
          <t>C M · Au M · Ac M · L L · BI M · Exp H · 19.4 yrs vs 2–4 yrs · Edu L · Undergraduate</t>
        </is>
      </c>
      <c r="X74" s="33" t="inlineStr">
        <is>
          <t>Open ▸</t>
        </is>
      </c>
      <c r="Y74" s="34" t="str">
        <f>IFERROR(INDEX(DL_C,MATCH($CA74,DL_KEY,0)),"M")</f>
        <v>H</v>
      </c>
      <c r="Z74" s="35" t="str">
        <f>IFERROR(INDEX(DL_Au,MATCH($CA74,DL_KEY,0)),"M")</f>
        <v>M</v>
      </c>
      <c r="AA74" s="35" t="str">
        <f>IFERROR(INDEX(DL_Ac,MATCH($CA74,DL_KEY,0)),"M")</f>
        <v>M</v>
      </c>
      <c r="AB74" s="35" t="str">
        <f>IFERROR(INDEX(DL_L,MATCH($CA74,DL_KEY,0)),"M")</f>
        <v>L</v>
      </c>
      <c r="AC74" s="35" t="str">
        <f>IFERROR(INDEX(DL_BI,MATCH($CA74,DL_KEY,0)),"M")</f>
        <v>L</v>
      </c>
      <c r="AD74" s="35" t="str">
        <f>IFERROR(INDEX(DL_Exp,MATCH($CA74,DL_KEY,0)),"M")</f>
        <v>L</v>
      </c>
      <c r="AE74" s="35" t="str">
        <f>IFERROR(INDEX(DL_Edu,MATCH($CA74,DL_KEY,0)),"M")</f>
        <v>L</v>
      </c>
      <c r="AF74" s="34" t="inlineStr">
        <is>
          <t>M</t>
        </is>
      </c>
      <c r="AG74" s="35" t="inlineStr">
        <is>
          <t>M</t>
        </is>
      </c>
      <c r="AH74" s="35" t="inlineStr">
        <is>
          <t>M</t>
        </is>
      </c>
      <c r="AI74" s="35" t="inlineStr">
        <is>
          <t>M</t>
        </is>
      </c>
      <c r="AJ74" s="35" t="inlineStr">
        <is>
          <t>M</t>
        </is>
      </c>
      <c r="AK74" s="35" t="inlineStr">
        <is>
          <t>M</t>
        </is>
      </c>
      <c r="AL74" s="35" t="inlineStr">
        <is>
          <t>M</t>
        </is>
      </c>
      <c r="AM74" s="36" t="n">
        <v>0.583</v>
      </c>
      <c r="AN74" s="37" t="n">
        <v>0.16</v>
      </c>
      <c r="AO74" s="37" t="n">
        <v>0.09</v>
      </c>
      <c r="AP74" s="37" t="n">
        <v>0</v>
      </c>
      <c r="AQ74" s="37" t="n">
        <v>0.063</v>
      </c>
      <c r="AR74" s="37" t="n">
        <v>0.06</v>
      </c>
      <c r="AS74" s="37" t="n">
        <v>0.04</v>
      </c>
      <c r="AT74" s="38" t="inlineStr">
        <is>
          <t>2–5</t>
        </is>
      </c>
      <c r="AU74" s="38" t="inlineStr">
        <is>
          <t>Graduate; relevant certification preferred</t>
        </is>
      </c>
      <c r="AV74" s="38" t="inlineStr">
        <is>
          <t>None · guides 1–3 juniors informally</t>
        </is>
      </c>
      <c r="AW74" s="38" t="inlineStr">
        <is>
          <t>P2 · SFIA 3 Apply</t>
        </is>
      </c>
      <c r="AX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4" s="39" t="inlineStr">
        <is>
          <t>A3</t>
        </is>
      </c>
      <c r="AZ74" s="40" t="inlineStr">
        <is>
          <t>Band A · Practitioner · Senior Associate</t>
        </is>
      </c>
      <c r="BA74" s="40" t="inlineStr">
        <is>
          <t>Model A3 from the six ratings, the market-derived weights and rules R1–R13 · then No change · already below the manager</t>
        </is>
      </c>
      <c r="BB74" s="41" t="inlineStr">
        <is>
          <t>A3</t>
        </is>
      </c>
      <c r="BC74" s="40" t="inlineStr">
        <is>
          <t>The six ratings on the market-average weights of Band A · all tracks score 3.18 → A3 · Hay, Mercer IPE and public plans · experience 19.4 yrs vs the A3 market range 2–5</t>
        </is>
      </c>
      <c r="BD74" s="42">
        <f>IF(SUM(BM74,BN74,BO74,BP74,BQ74,BR74,BS74)=0,0,(BM74*BT74+BN74*BU74+BO74*BV74+BP74*BW74+BQ74*BX74+BR74*BY74+BS74*BZ74)/SUM(BM74,BN74,BO74,BP74,BQ74,BR74,BS74))</f>
        <v>0</v>
      </c>
      <c r="BE74" s="41" t="str">
        <f>IF(LEFT(AY74,1)="X",AY74,IF(OR(AY74="B+",AY74="C+"),INDEX(LAD_PC,MAX(1,MIN(14,MATCH(AY74,LAD_PC,0)+IF(BD74&gt;=0.5,1,IF(BD74&lt;=-0.5,-1,0))))),INDEX(LAD_STD,MAX(1,MIN(12,MATCH(AY74,LAD_STD,0)+IF(BD74&gt;=0.5,1,IF(BD74&lt;=-0.5,-1,0)))))))</f>
        <v>A3</v>
      </c>
      <c r="BF74" s="43" t="n"/>
      <c r="BG74" s="41" t="str">
        <f>IF(BF74&lt;&gt;"",BF74,BE74)</f>
        <v>A3</v>
      </c>
      <c r="BH74" s="40" t="str">
        <f>IFERROR(CHOOSE(INDEX(B_RANK,MATCH(BG74,B_LVL,0)),"Band A","Band B","B+ · Player-Coach","Band C","C+ · Player-Coach","Band D","Band E"),"Band X · Consultant")</f>
        <v>Band A</v>
      </c>
      <c r="BI74" s="40" t="str">
        <f>IF(BG74=AY74,"• Same",IF(INDEX(B_VAL,MATCH(BG74,B_LVL,0))&gt;INDEX(B_VAL,MATCH(AY74,B_LVL,0)),"▲ Up","▼ Down"))</f>
        <v>• Same</v>
      </c>
      <c r="BJ74" s="40" t="str">
        <f>IF(OR($M74="",$M74="—",$M74="Not in this file"),"",IFERROR(INDEX($BG$7:$BG$592,MATCH($M74,$D$7:$D$592,0)),""))</f>
        <v>B1</v>
      </c>
      <c r="BK74" s="40" t="str">
        <f>IFERROR(IF(BJ74="","—",IF(OR(LEFT(BG74,1)="X",LEFT(BJ74,1)="X"),"—",IF(AND(LEFT(BG74,1)="E",LEFT(BJ74,1)="E"),"Exception · Band E",IF(AND(INDEX(B_VAL,MATCH(BJ74,B_LVL,0))&gt;=7,INDEX(B_RANK,MATCH(BG74,B_LVL,0))&gt;=INDEX(B_RANK,MATCH(BJ74,B_LVL,0))),"⚠ Same band as a head manager",IF(INDEX(B_VAL,MATCH(BG74,B_LVL,0))&gt;=INDEX(B_VAL,MATCH(BJ74,B_LVL,0)),"⚠ At or above the manager's level","OK"))))),"—")</f>
        <v>OK</v>
      </c>
      <c r="BL74" s="43" t="n"/>
      <c r="BM74" s="44">
        <f>IFERROR(INDEX(LMH_PTS,MATCH(Y74,LMH_KEY,0)),0)</f>
        <v>9</v>
      </c>
      <c r="BN74" s="38">
        <f>IFERROR(INDEX(LMH_PTS,MATCH(Z74,LMH_KEY,0)),0)</f>
        <v>3</v>
      </c>
      <c r="BO74" s="38">
        <f>IFERROR(INDEX(LMH_PTS,MATCH(AA74,LMH_KEY,0)),0)</f>
        <v>3</v>
      </c>
      <c r="BP74" s="38">
        <f>IFERROR(INDEX(LMH_PTS,MATCH(AB74,LMH_KEY,0)),0)</f>
        <v>1</v>
      </c>
      <c r="BQ74" s="38">
        <f>IFERROR(INDEX(LMH_PTS,MATCH(AC74,LMH_KEY,0)),0)</f>
        <v>1</v>
      </c>
      <c r="BR74" s="38">
        <f>IFERROR(INDEX(LMH_PTS,MATCH(AD74,LMH_KEY,0)),0)</f>
        <v>1</v>
      </c>
      <c r="BS74" s="38">
        <f>IFERROR(INDEX(LMH_PTS,MATCH(AE74,LMH_KEY,0)),0)</f>
        <v>1</v>
      </c>
      <c r="BT74" s="38">
        <f>IFERROR(INDEX(LMH_STEP,MATCH(AF74,LMH_KEY,0)),0)</f>
        <v>0</v>
      </c>
      <c r="BU74" s="38">
        <f>IFERROR(INDEX(LMH_STEP,MATCH(AG74,LMH_KEY,0)),0)</f>
        <v>0</v>
      </c>
      <c r="BV74" s="38">
        <f>IFERROR(INDEX(LMH_STEP,MATCH(AH74,LMH_KEY,0)),0)</f>
        <v>0</v>
      </c>
      <c r="BW74" s="38">
        <f>IFERROR(INDEX(LMH_STEP,MATCH(AI74,LMH_KEY,0)),0)</f>
        <v>0</v>
      </c>
      <c r="BX74" s="38">
        <f>IFERROR(INDEX(LMH_STEP,MATCH(AJ74,LMH_KEY,0)),0)</f>
        <v>0</v>
      </c>
      <c r="BY74" s="38">
        <f>IFERROR(INDEX(LMH_STEP,MATCH(AK74,LMH_KEY,0)),0)</f>
        <v>0</v>
      </c>
      <c r="BZ74" s="38">
        <f>IFERROR(INDEX(LMH_STEP,MATCH(AL74,LMH_KEY,0)),0)</f>
        <v>0</v>
      </c>
      <c r="CA74" s="38" t="inlineStr">
        <is>
          <t>Consume|Digitizing|Senior Digitization Associate|A3|A</t>
        </is>
      </c>
    </row>
    <row r="75" ht="110" customHeight="1">
      <c r="A75" s="28" t="inlineStr">
        <is>
          <t>Consume</t>
        </is>
      </c>
      <c r="B75" s="29" t="inlineStr">
        <is>
          <t>Digitizing</t>
        </is>
      </c>
      <c r="C75" s="29" t="n">
        <v>7</v>
      </c>
      <c r="D75" s="29" t="inlineStr">
        <is>
          <t>IRIS0170</t>
        </is>
      </c>
      <c r="E75" s="29" t="inlineStr">
        <is>
          <t>Manish Paithankar</t>
        </is>
      </c>
      <c r="F75" s="29" t="inlineStr">
        <is>
          <t>Image Processing Specialist</t>
        </is>
      </c>
      <c r="G75" s="29" t="inlineStr">
        <is>
          <t>Senior Digitization Associate</t>
        </is>
      </c>
      <c r="H75" s="29" t="inlineStr">
        <is>
          <t>Data Operations &amp; Digitization</t>
        </is>
      </c>
      <c r="I75" s="29" t="inlineStr">
        <is>
          <t>Document Conversion, Formatting &amp; Web Publishing</t>
        </is>
      </c>
      <c r="J75" s="29" t="inlineStr">
        <is>
          <t>IC</t>
        </is>
      </c>
      <c r="K75" s="29" t="inlineStr">
        <is>
          <t>RC-047</t>
        </is>
      </c>
      <c r="L75" s="29" t="inlineStr">
        <is>
          <t>Shraddha Patil</t>
        </is>
      </c>
      <c r="M75" s="29" t="inlineStr">
        <is>
          <t>IRIS0114</t>
        </is>
      </c>
      <c r="N75" s="29" t="n">
        <v>18.7</v>
      </c>
      <c r="O75" s="29" t="n">
        <v>18.7</v>
      </c>
      <c r="P75" s="29" t="inlineStr">
        <is>
          <t>B.Com</t>
        </is>
      </c>
      <c r="Q75" s="29" t="inlineStr">
        <is>
          <t>L3 – Professional / Associate</t>
        </is>
      </c>
      <c r="R75" s="29" t="inlineStr">
        <is>
          <t>A3</t>
        </is>
      </c>
      <c r="S75" s="30" t="inlineStr">
        <is>
          <t>20 of 20</t>
        </is>
      </c>
      <c r="T75" s="31" t="inlineStr">
        <is>
          <t>• Role / sub-team: Digitizing — Image Processing Specialist.
• Core purpose: Input not given by Participant.
• Decision-making autonomy: Input not given by Participant.
• Is this something only they do: Input not given by Participant.</t>
        </is>
      </c>
      <c r="U75"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5" s="31" t="inlineStr">
        <is>
          <t>Latest rating: 3 · Potential: Medium · 9-box: Core Contributor · Readiness: Develop in role</t>
        </is>
      </c>
      <c r="W75" s="31" t="inlineStr">
        <is>
          <t>C M · Au M · Ac M · L L · BI M · Exp H · 18.7 yrs vs 2–4 yrs · Edu M · B.Com</t>
        </is>
      </c>
      <c r="X75" s="33" t="inlineStr">
        <is>
          <t>Open ▸</t>
        </is>
      </c>
      <c r="Y75" s="34" t="str">
        <f>IFERROR(INDEX(DL_C,MATCH($CA75,DL_KEY,0)),"M")</f>
        <v>H</v>
      </c>
      <c r="Z75" s="35" t="str">
        <f>IFERROR(INDEX(DL_Au,MATCH($CA75,DL_KEY,0)),"M")</f>
        <v>M</v>
      </c>
      <c r="AA75" s="35" t="str">
        <f>IFERROR(INDEX(DL_Ac,MATCH($CA75,DL_KEY,0)),"M")</f>
        <v>M</v>
      </c>
      <c r="AB75" s="35" t="str">
        <f>IFERROR(INDEX(DL_L,MATCH($CA75,DL_KEY,0)),"M")</f>
        <v>L</v>
      </c>
      <c r="AC75" s="35" t="str">
        <f>IFERROR(INDEX(DL_BI,MATCH($CA75,DL_KEY,0)),"M")</f>
        <v>L</v>
      </c>
      <c r="AD75" s="35" t="str">
        <f>IFERROR(INDEX(DL_Exp,MATCH($CA75,DL_KEY,0)),"M")</f>
        <v>L</v>
      </c>
      <c r="AE75" s="35" t="str">
        <f>IFERROR(INDEX(DL_Edu,MATCH($CA75,DL_KEY,0)),"M")</f>
        <v>L</v>
      </c>
      <c r="AF75" s="34" t="inlineStr">
        <is>
          <t>M</t>
        </is>
      </c>
      <c r="AG75" s="35" t="inlineStr">
        <is>
          <t>M</t>
        </is>
      </c>
      <c r="AH75" s="35" t="inlineStr">
        <is>
          <t>M</t>
        </is>
      </c>
      <c r="AI75" s="35" t="inlineStr">
        <is>
          <t>M</t>
        </is>
      </c>
      <c r="AJ75" s="35" t="inlineStr">
        <is>
          <t>M</t>
        </is>
      </c>
      <c r="AK75" s="35" t="inlineStr">
        <is>
          <t>M</t>
        </is>
      </c>
      <c r="AL75" s="35" t="inlineStr">
        <is>
          <t>M</t>
        </is>
      </c>
      <c r="AM75" s="36" t="n">
        <v>0.583</v>
      </c>
      <c r="AN75" s="37" t="n">
        <v>0.16</v>
      </c>
      <c r="AO75" s="37" t="n">
        <v>0.09</v>
      </c>
      <c r="AP75" s="37" t="n">
        <v>0</v>
      </c>
      <c r="AQ75" s="37" t="n">
        <v>0.063</v>
      </c>
      <c r="AR75" s="37" t="n">
        <v>0.06</v>
      </c>
      <c r="AS75" s="37" t="n">
        <v>0.04</v>
      </c>
      <c r="AT75" s="38" t="inlineStr">
        <is>
          <t>2–5</t>
        </is>
      </c>
      <c r="AU75" s="38" t="inlineStr">
        <is>
          <t>Graduate; relevant certification preferred</t>
        </is>
      </c>
      <c r="AV75" s="38" t="inlineStr">
        <is>
          <t>None · guides 1–3 juniors informally</t>
        </is>
      </c>
      <c r="AW75" s="38" t="inlineStr">
        <is>
          <t>P2 · SFIA 3 Apply</t>
        </is>
      </c>
      <c r="AX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5" s="39" t="inlineStr">
        <is>
          <t>A3</t>
        </is>
      </c>
      <c r="AZ75" s="40" t="inlineStr">
        <is>
          <t>Band A · Practitioner · Senior Associate</t>
        </is>
      </c>
      <c r="BA75" s="40" t="inlineStr">
        <is>
          <t>Model A3 from the six ratings, the market-derived weights and rules R1–R13 · then No change · already below the manager</t>
        </is>
      </c>
      <c r="BB75" s="41" t="inlineStr">
        <is>
          <t>B1</t>
        </is>
      </c>
      <c r="BC75" s="40" t="inlineStr">
        <is>
          <t>The six ratings on the market-average weights of Band A · all tracks score 3.61 → B1 · Hay, Mercer IPE and public plans · experience 18.7 yrs vs the B1 market range 4–8</t>
        </is>
      </c>
      <c r="BD75" s="42">
        <f>IF(SUM(BM75,BN75,BO75,BP75,BQ75,BR75,BS75)=0,0,(BM75*BT75+BN75*BU75+BO75*BV75+BP75*BW75+BQ75*BX75+BR75*BY75+BS75*BZ75)/SUM(BM75,BN75,BO75,BP75,BQ75,BR75,BS75))</f>
        <v>0</v>
      </c>
      <c r="BE75" s="41" t="str">
        <f>IF(LEFT(AY75,1)="X",AY75,IF(OR(AY75="B+",AY75="C+"),INDEX(LAD_PC,MAX(1,MIN(14,MATCH(AY75,LAD_PC,0)+IF(BD75&gt;=0.5,1,IF(BD75&lt;=-0.5,-1,0))))),INDEX(LAD_STD,MAX(1,MIN(12,MATCH(AY75,LAD_STD,0)+IF(BD75&gt;=0.5,1,IF(BD75&lt;=-0.5,-1,0)))))))</f>
        <v>A3</v>
      </c>
      <c r="BF75" s="43" t="n"/>
      <c r="BG75" s="41" t="str">
        <f>IF(BF75&lt;&gt;"",BF75,BE75)</f>
        <v>A3</v>
      </c>
      <c r="BH75" s="40" t="str">
        <f>IFERROR(CHOOSE(INDEX(B_RANK,MATCH(BG75,B_LVL,0)),"Band A","Band B","B+ · Player-Coach","Band C","C+ · Player-Coach","Band D","Band E"),"Band X · Consultant")</f>
        <v>Band A</v>
      </c>
      <c r="BI75" s="40" t="str">
        <f>IF(BG75=AY75,"• Same",IF(INDEX(B_VAL,MATCH(BG75,B_LVL,0))&gt;INDEX(B_VAL,MATCH(AY75,B_LVL,0)),"▲ Up","▼ Down"))</f>
        <v>• Same</v>
      </c>
      <c r="BJ75" s="40" t="str">
        <f>IF(OR($M75="",$M75="—",$M75="Not in this file"),"",IFERROR(INDEX($BG$7:$BG$592,MATCH($M75,$D$7:$D$592,0)),""))</f>
        <v>B1</v>
      </c>
      <c r="BK75" s="40" t="str">
        <f>IFERROR(IF(BJ75="","—",IF(OR(LEFT(BG75,1)="X",LEFT(BJ75,1)="X"),"—",IF(AND(LEFT(BG75,1)="E",LEFT(BJ75,1)="E"),"Exception · Band E",IF(AND(INDEX(B_VAL,MATCH(BJ75,B_LVL,0))&gt;=7,INDEX(B_RANK,MATCH(BG75,B_LVL,0))&gt;=INDEX(B_RANK,MATCH(BJ75,B_LVL,0))),"⚠ Same band as a head manager",IF(INDEX(B_VAL,MATCH(BG75,B_LVL,0))&gt;=INDEX(B_VAL,MATCH(BJ75,B_LVL,0)),"⚠ At or above the manager's level","OK"))))),"—")</f>
        <v>OK</v>
      </c>
      <c r="BL75" s="43" t="n"/>
      <c r="BM75" s="44">
        <f>IFERROR(INDEX(LMH_PTS,MATCH(Y75,LMH_KEY,0)),0)</f>
        <v>9</v>
      </c>
      <c r="BN75" s="38">
        <f>IFERROR(INDEX(LMH_PTS,MATCH(Z75,LMH_KEY,0)),0)</f>
        <v>3</v>
      </c>
      <c r="BO75" s="38">
        <f>IFERROR(INDEX(LMH_PTS,MATCH(AA75,LMH_KEY,0)),0)</f>
        <v>3</v>
      </c>
      <c r="BP75" s="38">
        <f>IFERROR(INDEX(LMH_PTS,MATCH(AB75,LMH_KEY,0)),0)</f>
        <v>1</v>
      </c>
      <c r="BQ75" s="38">
        <f>IFERROR(INDEX(LMH_PTS,MATCH(AC75,LMH_KEY,0)),0)</f>
        <v>1</v>
      </c>
      <c r="BR75" s="38">
        <f>IFERROR(INDEX(LMH_PTS,MATCH(AD75,LMH_KEY,0)),0)</f>
        <v>1</v>
      </c>
      <c r="BS75" s="38">
        <f>IFERROR(INDEX(LMH_PTS,MATCH(AE75,LMH_KEY,0)),0)</f>
        <v>1</v>
      </c>
      <c r="BT75" s="38">
        <f>IFERROR(INDEX(LMH_STEP,MATCH(AF75,LMH_KEY,0)),0)</f>
        <v>0</v>
      </c>
      <c r="BU75" s="38">
        <f>IFERROR(INDEX(LMH_STEP,MATCH(AG75,LMH_KEY,0)),0)</f>
        <v>0</v>
      </c>
      <c r="BV75" s="38">
        <f>IFERROR(INDEX(LMH_STEP,MATCH(AH75,LMH_KEY,0)),0)</f>
        <v>0</v>
      </c>
      <c r="BW75" s="38">
        <f>IFERROR(INDEX(LMH_STEP,MATCH(AI75,LMH_KEY,0)),0)</f>
        <v>0</v>
      </c>
      <c r="BX75" s="38">
        <f>IFERROR(INDEX(LMH_STEP,MATCH(AJ75,LMH_KEY,0)),0)</f>
        <v>0</v>
      </c>
      <c r="BY75" s="38">
        <f>IFERROR(INDEX(LMH_STEP,MATCH(AK75,LMH_KEY,0)),0)</f>
        <v>0</v>
      </c>
      <c r="BZ75" s="38">
        <f>IFERROR(INDEX(LMH_STEP,MATCH(AL75,LMH_KEY,0)),0)</f>
        <v>0</v>
      </c>
      <c r="CA75" s="38" t="inlineStr">
        <is>
          <t>Consume|Digitizing|Senior Digitization Associate|A3|A</t>
        </is>
      </c>
    </row>
    <row r="76" ht="110" customHeight="1">
      <c r="A76" s="28" t="inlineStr">
        <is>
          <t>Consume</t>
        </is>
      </c>
      <c r="B76" s="29" t="inlineStr">
        <is>
          <t>Digitizing</t>
        </is>
      </c>
      <c r="C76" s="29" t="n">
        <v>7</v>
      </c>
      <c r="D76" s="29" t="inlineStr">
        <is>
          <t>IRIS1211</t>
        </is>
      </c>
      <c r="E76" s="29" t="inlineStr">
        <is>
          <t>Manoj Ravidas</t>
        </is>
      </c>
      <c r="F76" s="29" t="inlineStr">
        <is>
          <t>Image Processing Specialist</t>
        </is>
      </c>
      <c r="G76" s="29" t="inlineStr">
        <is>
          <t>Senior Digitization Associate</t>
        </is>
      </c>
      <c r="H76" s="29" t="inlineStr">
        <is>
          <t>Data Operations &amp; Digitization</t>
        </is>
      </c>
      <c r="I76" s="29" t="inlineStr">
        <is>
          <t>Document Conversion, Formatting &amp; Web Publishing</t>
        </is>
      </c>
      <c r="J76" s="29" t="inlineStr">
        <is>
          <t>IC</t>
        </is>
      </c>
      <c r="K76" s="29" t="inlineStr">
        <is>
          <t>RC-047</t>
        </is>
      </c>
      <c r="L76" s="29" t="inlineStr">
        <is>
          <t>Shraddha Patil</t>
        </is>
      </c>
      <c r="M76" s="29" t="inlineStr">
        <is>
          <t>IRIS0114</t>
        </is>
      </c>
      <c r="N76" s="29" t="n">
        <v>16.3</v>
      </c>
      <c r="O76" s="29" t="n">
        <v>16.3</v>
      </c>
      <c r="P76" s="29" t="inlineStr">
        <is>
          <t>B.Com</t>
        </is>
      </c>
      <c r="Q76" s="29" t="inlineStr">
        <is>
          <t>L3 – Professional / Associate</t>
        </is>
      </c>
      <c r="R76" s="29" t="inlineStr">
        <is>
          <t>A3</t>
        </is>
      </c>
      <c r="S76" s="30" t="inlineStr">
        <is>
          <t>20 of 20</t>
        </is>
      </c>
      <c r="T76" s="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t>
        </is>
      </c>
      <c r="U76"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6" s="31" t="inlineStr">
        <is>
          <t>Latest rating: 4 · Potential: High · 9-box: Core Contributor · Readiness: Ready now</t>
        </is>
      </c>
      <c r="W76" s="31" t="inlineStr">
        <is>
          <t>C M · Au M · Ac M · L L · BI M · Exp H · 16.3 yrs vs 2–4 yrs · Edu M · B.Com</t>
        </is>
      </c>
      <c r="X76" s="33" t="inlineStr">
        <is>
          <t>Open ▸</t>
        </is>
      </c>
      <c r="Y76" s="34" t="str">
        <f>IFERROR(INDEX(DL_C,MATCH($CA76,DL_KEY,0)),"M")</f>
        <v>H</v>
      </c>
      <c r="Z76" s="35" t="str">
        <f>IFERROR(INDEX(DL_Au,MATCH($CA76,DL_KEY,0)),"M")</f>
        <v>M</v>
      </c>
      <c r="AA76" s="35" t="str">
        <f>IFERROR(INDEX(DL_Ac,MATCH($CA76,DL_KEY,0)),"M")</f>
        <v>M</v>
      </c>
      <c r="AB76" s="35" t="str">
        <f>IFERROR(INDEX(DL_L,MATCH($CA76,DL_KEY,0)),"M")</f>
        <v>L</v>
      </c>
      <c r="AC76" s="35" t="str">
        <f>IFERROR(INDEX(DL_BI,MATCH($CA76,DL_KEY,0)),"M")</f>
        <v>L</v>
      </c>
      <c r="AD76" s="35" t="str">
        <f>IFERROR(INDEX(DL_Exp,MATCH($CA76,DL_KEY,0)),"M")</f>
        <v>L</v>
      </c>
      <c r="AE76" s="35" t="str">
        <f>IFERROR(INDEX(DL_Edu,MATCH($CA76,DL_KEY,0)),"M")</f>
        <v>L</v>
      </c>
      <c r="AF76" s="34" t="inlineStr">
        <is>
          <t>M</t>
        </is>
      </c>
      <c r="AG76" s="35" t="inlineStr">
        <is>
          <t>M</t>
        </is>
      </c>
      <c r="AH76" s="35" t="inlineStr">
        <is>
          <t>M</t>
        </is>
      </c>
      <c r="AI76" s="35" t="inlineStr">
        <is>
          <t>M</t>
        </is>
      </c>
      <c r="AJ76" s="35" t="inlineStr">
        <is>
          <t>M</t>
        </is>
      </c>
      <c r="AK76" s="35" t="inlineStr">
        <is>
          <t>M</t>
        </is>
      </c>
      <c r="AL76" s="35" t="inlineStr">
        <is>
          <t>M</t>
        </is>
      </c>
      <c r="AM76" s="36" t="n">
        <v>0.583</v>
      </c>
      <c r="AN76" s="37" t="n">
        <v>0.16</v>
      </c>
      <c r="AO76" s="37" t="n">
        <v>0.09</v>
      </c>
      <c r="AP76" s="37" t="n">
        <v>0</v>
      </c>
      <c r="AQ76" s="37" t="n">
        <v>0.063</v>
      </c>
      <c r="AR76" s="37" t="n">
        <v>0.06</v>
      </c>
      <c r="AS76" s="37" t="n">
        <v>0.04</v>
      </c>
      <c r="AT76" s="38" t="inlineStr">
        <is>
          <t>2–5</t>
        </is>
      </c>
      <c r="AU76" s="38" t="inlineStr">
        <is>
          <t>Graduate; relevant certification preferred</t>
        </is>
      </c>
      <c r="AV76" s="38" t="inlineStr">
        <is>
          <t>None · guides 1–3 juniors informally</t>
        </is>
      </c>
      <c r="AW76" s="38" t="inlineStr">
        <is>
          <t>P2 · SFIA 3 Apply</t>
        </is>
      </c>
      <c r="AX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6" s="39" t="inlineStr">
        <is>
          <t>A3</t>
        </is>
      </c>
      <c r="AZ76" s="40" t="inlineStr">
        <is>
          <t>Band A · Practitioner · Senior Associate</t>
        </is>
      </c>
      <c r="BA76" s="40" t="inlineStr">
        <is>
          <t>Model A3 from the six ratings, the market-derived weights and rules R1–R13 · then No change · already below the manager</t>
        </is>
      </c>
      <c r="BB76" s="41" t="inlineStr">
        <is>
          <t>B1</t>
        </is>
      </c>
      <c r="BC76" s="40" t="inlineStr">
        <is>
          <t>The six ratings on the market-average weights of Band A · all tracks score 3.51 → B1 · Hay, Mercer IPE and public plans · experience 16.3 yrs vs the B1 market range 4–8</t>
        </is>
      </c>
      <c r="BD76" s="42">
        <f>IF(SUM(BM76,BN76,BO76,BP76,BQ76,BR76,BS76)=0,0,(BM76*BT76+BN76*BU76+BO76*BV76+BP76*BW76+BQ76*BX76+BR76*BY76+BS76*BZ76)/SUM(BM76,BN76,BO76,BP76,BQ76,BR76,BS76))</f>
        <v>0</v>
      </c>
      <c r="BE76" s="41" t="str">
        <f>IF(LEFT(AY76,1)="X",AY76,IF(OR(AY76="B+",AY76="C+"),INDEX(LAD_PC,MAX(1,MIN(14,MATCH(AY76,LAD_PC,0)+IF(BD76&gt;=0.5,1,IF(BD76&lt;=-0.5,-1,0))))),INDEX(LAD_STD,MAX(1,MIN(12,MATCH(AY76,LAD_STD,0)+IF(BD76&gt;=0.5,1,IF(BD76&lt;=-0.5,-1,0)))))))</f>
        <v>A3</v>
      </c>
      <c r="BF76" s="43" t="n"/>
      <c r="BG76" s="41" t="str">
        <f>IF(BF76&lt;&gt;"",BF76,BE76)</f>
        <v>A3</v>
      </c>
      <c r="BH76" s="40" t="str">
        <f>IFERROR(CHOOSE(INDEX(B_RANK,MATCH(BG76,B_LVL,0)),"Band A","Band B","B+ · Player-Coach","Band C","C+ · Player-Coach","Band D","Band E"),"Band X · Consultant")</f>
        <v>Band A</v>
      </c>
      <c r="BI76" s="40" t="str">
        <f>IF(BG76=AY76,"• Same",IF(INDEX(B_VAL,MATCH(BG76,B_LVL,0))&gt;INDEX(B_VAL,MATCH(AY76,B_LVL,0)),"▲ Up","▼ Down"))</f>
        <v>• Same</v>
      </c>
      <c r="BJ76" s="40" t="str">
        <f>IF(OR($M76="",$M76="—",$M76="Not in this file"),"",IFERROR(INDEX($BG$7:$BG$592,MATCH($M76,$D$7:$D$592,0)),""))</f>
        <v>B1</v>
      </c>
      <c r="BK76" s="40" t="str">
        <f>IFERROR(IF(BJ76="","—",IF(OR(LEFT(BG76,1)="X",LEFT(BJ76,1)="X"),"—",IF(AND(LEFT(BG76,1)="E",LEFT(BJ76,1)="E"),"Exception · Band E",IF(AND(INDEX(B_VAL,MATCH(BJ76,B_LVL,0))&gt;=7,INDEX(B_RANK,MATCH(BG76,B_LVL,0))&gt;=INDEX(B_RANK,MATCH(BJ76,B_LVL,0))),"⚠ Same band as a head manager",IF(INDEX(B_VAL,MATCH(BG76,B_LVL,0))&gt;=INDEX(B_VAL,MATCH(BJ76,B_LVL,0)),"⚠ At or above the manager's level","OK"))))),"—")</f>
        <v>OK</v>
      </c>
      <c r="BL76" s="43" t="n"/>
      <c r="BM76" s="44">
        <f>IFERROR(INDEX(LMH_PTS,MATCH(Y76,LMH_KEY,0)),0)</f>
        <v>9</v>
      </c>
      <c r="BN76" s="38">
        <f>IFERROR(INDEX(LMH_PTS,MATCH(Z76,LMH_KEY,0)),0)</f>
        <v>3</v>
      </c>
      <c r="BO76" s="38">
        <f>IFERROR(INDEX(LMH_PTS,MATCH(AA76,LMH_KEY,0)),0)</f>
        <v>3</v>
      </c>
      <c r="BP76" s="38">
        <f>IFERROR(INDEX(LMH_PTS,MATCH(AB76,LMH_KEY,0)),0)</f>
        <v>1</v>
      </c>
      <c r="BQ76" s="38">
        <f>IFERROR(INDEX(LMH_PTS,MATCH(AC76,LMH_KEY,0)),0)</f>
        <v>1</v>
      </c>
      <c r="BR76" s="38">
        <f>IFERROR(INDEX(LMH_PTS,MATCH(AD76,LMH_KEY,0)),0)</f>
        <v>1</v>
      </c>
      <c r="BS76" s="38">
        <f>IFERROR(INDEX(LMH_PTS,MATCH(AE76,LMH_KEY,0)),0)</f>
        <v>1</v>
      </c>
      <c r="BT76" s="38">
        <f>IFERROR(INDEX(LMH_STEP,MATCH(AF76,LMH_KEY,0)),0)</f>
        <v>0</v>
      </c>
      <c r="BU76" s="38">
        <f>IFERROR(INDEX(LMH_STEP,MATCH(AG76,LMH_KEY,0)),0)</f>
        <v>0</v>
      </c>
      <c r="BV76" s="38">
        <f>IFERROR(INDEX(LMH_STEP,MATCH(AH76,LMH_KEY,0)),0)</f>
        <v>0</v>
      </c>
      <c r="BW76" s="38">
        <f>IFERROR(INDEX(LMH_STEP,MATCH(AI76,LMH_KEY,0)),0)</f>
        <v>0</v>
      </c>
      <c r="BX76" s="38">
        <f>IFERROR(INDEX(LMH_STEP,MATCH(AJ76,LMH_KEY,0)),0)</f>
        <v>0</v>
      </c>
      <c r="BY76" s="38">
        <f>IFERROR(INDEX(LMH_STEP,MATCH(AK76,LMH_KEY,0)),0)</f>
        <v>0</v>
      </c>
      <c r="BZ76" s="38">
        <f>IFERROR(INDEX(LMH_STEP,MATCH(AL76,LMH_KEY,0)),0)</f>
        <v>0</v>
      </c>
      <c r="CA76" s="38" t="inlineStr">
        <is>
          <t>Consume|Digitizing|Senior Digitization Associate|A3|A</t>
        </is>
      </c>
    </row>
    <row r="77" ht="110" customHeight="1">
      <c r="A77" s="28" t="inlineStr">
        <is>
          <t>Consume</t>
        </is>
      </c>
      <c r="B77" s="29" t="inlineStr">
        <is>
          <t>Digitizing</t>
        </is>
      </c>
      <c r="C77" s="29" t="n">
        <v>7</v>
      </c>
      <c r="D77" s="29" t="inlineStr">
        <is>
          <t>IRIS1213</t>
        </is>
      </c>
      <c r="E77" s="29" t="inlineStr">
        <is>
          <t>Manoj Tiwari</t>
        </is>
      </c>
      <c r="F77" s="29" t="inlineStr">
        <is>
          <t>Image Processing Specialist</t>
        </is>
      </c>
      <c r="G77" s="29" t="inlineStr">
        <is>
          <t>Senior Digitization Associate</t>
        </is>
      </c>
      <c r="H77" s="29" t="inlineStr">
        <is>
          <t>Data Operations &amp; Digitization</t>
        </is>
      </c>
      <c r="I77" s="29" t="inlineStr">
        <is>
          <t>Document Conversion, Formatting &amp; Web Publishing</t>
        </is>
      </c>
      <c r="J77" s="29" t="inlineStr">
        <is>
          <t>IC</t>
        </is>
      </c>
      <c r="K77" s="29" t="inlineStr">
        <is>
          <t>RC-047</t>
        </is>
      </c>
      <c r="L77" s="29" t="inlineStr">
        <is>
          <t>Shraddha Patil</t>
        </is>
      </c>
      <c r="M77" s="29" t="inlineStr">
        <is>
          <t>IRIS0114</t>
        </is>
      </c>
      <c r="N77" s="29" t="n">
        <v>16.7</v>
      </c>
      <c r="O77" s="29" t="n">
        <v>15.7</v>
      </c>
      <c r="P77" s="29" t="inlineStr">
        <is>
          <t>B.Com</t>
        </is>
      </c>
      <c r="Q77" s="29" t="inlineStr">
        <is>
          <t>L3 – Professional / Associate</t>
        </is>
      </c>
      <c r="R77" s="29" t="inlineStr">
        <is>
          <t>A3</t>
        </is>
      </c>
      <c r="S77" s="30" t="inlineStr">
        <is>
          <t>20 of 20</t>
        </is>
      </c>
      <c r="T77" s="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t>
        </is>
      </c>
      <c r="U77"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t>
        </is>
      </c>
      <c r="V77" s="31" t="inlineStr">
        <is>
          <t>Latest rating: 4 · Potential: Medium · 9-box: Core Contributor · Readiness: Ready in 6–12 months</t>
        </is>
      </c>
      <c r="W77" s="31" t="inlineStr">
        <is>
          <t>C M · Au M · Ac M · L L · BI M · Exp H · 16.7 yrs vs 2–4 yrs · Edu M · B.Com</t>
        </is>
      </c>
      <c r="X77" s="33" t="inlineStr">
        <is>
          <t>Open ▸</t>
        </is>
      </c>
      <c r="Y77" s="34" t="str">
        <f>IFERROR(INDEX(DL_C,MATCH($CA77,DL_KEY,0)),"M")</f>
        <v>H</v>
      </c>
      <c r="Z77" s="35" t="str">
        <f>IFERROR(INDEX(DL_Au,MATCH($CA77,DL_KEY,0)),"M")</f>
        <v>M</v>
      </c>
      <c r="AA77" s="35" t="str">
        <f>IFERROR(INDEX(DL_Ac,MATCH($CA77,DL_KEY,0)),"M")</f>
        <v>M</v>
      </c>
      <c r="AB77" s="35" t="str">
        <f>IFERROR(INDEX(DL_L,MATCH($CA77,DL_KEY,0)),"M")</f>
        <v>L</v>
      </c>
      <c r="AC77" s="35" t="str">
        <f>IFERROR(INDEX(DL_BI,MATCH($CA77,DL_KEY,0)),"M")</f>
        <v>L</v>
      </c>
      <c r="AD77" s="35" t="str">
        <f>IFERROR(INDEX(DL_Exp,MATCH($CA77,DL_KEY,0)),"M")</f>
        <v>L</v>
      </c>
      <c r="AE77" s="35" t="str">
        <f>IFERROR(INDEX(DL_Edu,MATCH($CA77,DL_KEY,0)),"M")</f>
        <v>L</v>
      </c>
      <c r="AF77" s="34" t="inlineStr">
        <is>
          <t>M</t>
        </is>
      </c>
      <c r="AG77" s="35" t="inlineStr">
        <is>
          <t>M</t>
        </is>
      </c>
      <c r="AH77" s="35" t="inlineStr">
        <is>
          <t>M</t>
        </is>
      </c>
      <c r="AI77" s="35" t="inlineStr">
        <is>
          <t>M</t>
        </is>
      </c>
      <c r="AJ77" s="35" t="inlineStr">
        <is>
          <t>M</t>
        </is>
      </c>
      <c r="AK77" s="35" t="inlineStr">
        <is>
          <t>M</t>
        </is>
      </c>
      <c r="AL77" s="35" t="inlineStr">
        <is>
          <t>M</t>
        </is>
      </c>
      <c r="AM77" s="36" t="n">
        <v>0.583</v>
      </c>
      <c r="AN77" s="37" t="n">
        <v>0.16</v>
      </c>
      <c r="AO77" s="37" t="n">
        <v>0.09</v>
      </c>
      <c r="AP77" s="37" t="n">
        <v>0</v>
      </c>
      <c r="AQ77" s="37" t="n">
        <v>0.063</v>
      </c>
      <c r="AR77" s="37" t="n">
        <v>0.06</v>
      </c>
      <c r="AS77" s="37" t="n">
        <v>0.04</v>
      </c>
      <c r="AT77" s="38" t="inlineStr">
        <is>
          <t>2–5</t>
        </is>
      </c>
      <c r="AU77" s="38" t="inlineStr">
        <is>
          <t>Graduate; relevant certification preferred</t>
        </is>
      </c>
      <c r="AV77" s="38" t="inlineStr">
        <is>
          <t>None · guides 1–3 juniors informally</t>
        </is>
      </c>
      <c r="AW77" s="38" t="inlineStr">
        <is>
          <t>P2 · SFIA 3 Apply</t>
        </is>
      </c>
      <c r="AX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7" s="39" t="inlineStr">
        <is>
          <t>A3</t>
        </is>
      </c>
      <c r="AZ77" s="40" t="inlineStr">
        <is>
          <t>Band A · Practitioner · Senior Associate</t>
        </is>
      </c>
      <c r="BA77" s="40" t="inlineStr">
        <is>
          <t>Model A3 from the six ratings, the market-derived weights and rules R1–R13 · then No change · already below the manager</t>
        </is>
      </c>
      <c r="BB77" s="41" t="inlineStr">
        <is>
          <t>A3</t>
        </is>
      </c>
      <c r="BC77" s="40" t="inlineStr">
        <is>
          <t>The six ratings on the market-average weights of Band A · all tracks score 3.21 → A3 · Hay, Mercer IPE and public plans · experience 16.7 yrs vs the A3 market range 2–5</t>
        </is>
      </c>
      <c r="BD77" s="42">
        <f>IF(SUM(BM77,BN77,BO77,BP77,BQ77,BR77,BS77)=0,0,(BM77*BT77+BN77*BU77+BO77*BV77+BP77*BW77+BQ77*BX77+BR77*BY77+BS77*BZ77)/SUM(BM77,BN77,BO77,BP77,BQ77,BR77,BS77))</f>
        <v>0</v>
      </c>
      <c r="BE77" s="41" t="str">
        <f>IF(LEFT(AY77,1)="X",AY77,IF(OR(AY77="B+",AY77="C+"),INDEX(LAD_PC,MAX(1,MIN(14,MATCH(AY77,LAD_PC,0)+IF(BD77&gt;=0.5,1,IF(BD77&lt;=-0.5,-1,0))))),INDEX(LAD_STD,MAX(1,MIN(12,MATCH(AY77,LAD_STD,0)+IF(BD77&gt;=0.5,1,IF(BD77&lt;=-0.5,-1,0)))))))</f>
        <v>A3</v>
      </c>
      <c r="BF77" s="43" t="n"/>
      <c r="BG77" s="41" t="str">
        <f>IF(BF77&lt;&gt;"",BF77,BE77)</f>
        <v>A3</v>
      </c>
      <c r="BH77" s="40" t="str">
        <f>IFERROR(CHOOSE(INDEX(B_RANK,MATCH(BG77,B_LVL,0)),"Band A","Band B","B+ · Player-Coach","Band C","C+ · Player-Coach","Band D","Band E"),"Band X · Consultant")</f>
        <v>Band A</v>
      </c>
      <c r="BI77" s="40" t="str">
        <f>IF(BG77=AY77,"• Same",IF(INDEX(B_VAL,MATCH(BG77,B_LVL,0))&gt;INDEX(B_VAL,MATCH(AY77,B_LVL,0)),"▲ Up","▼ Down"))</f>
        <v>• Same</v>
      </c>
      <c r="BJ77" s="40" t="str">
        <f>IF(OR($M77="",$M77="—",$M77="Not in this file"),"",IFERROR(INDEX($BG$7:$BG$592,MATCH($M77,$D$7:$D$592,0)),""))</f>
        <v>B1</v>
      </c>
      <c r="BK77" s="40" t="str">
        <f>IFERROR(IF(BJ77="","—",IF(OR(LEFT(BG77,1)="X",LEFT(BJ77,1)="X"),"—",IF(AND(LEFT(BG77,1)="E",LEFT(BJ77,1)="E"),"Exception · Band E",IF(AND(INDEX(B_VAL,MATCH(BJ77,B_LVL,0))&gt;=7,INDEX(B_RANK,MATCH(BG77,B_LVL,0))&gt;=INDEX(B_RANK,MATCH(BJ77,B_LVL,0))),"⚠ Same band as a head manager",IF(INDEX(B_VAL,MATCH(BG77,B_LVL,0))&gt;=INDEX(B_VAL,MATCH(BJ77,B_LVL,0)),"⚠ At or above the manager's level","OK"))))),"—")</f>
        <v>OK</v>
      </c>
      <c r="BL77" s="43" t="n"/>
      <c r="BM77" s="44">
        <f>IFERROR(INDEX(LMH_PTS,MATCH(Y77,LMH_KEY,0)),0)</f>
        <v>9</v>
      </c>
      <c r="BN77" s="38">
        <f>IFERROR(INDEX(LMH_PTS,MATCH(Z77,LMH_KEY,0)),0)</f>
        <v>3</v>
      </c>
      <c r="BO77" s="38">
        <f>IFERROR(INDEX(LMH_PTS,MATCH(AA77,LMH_KEY,0)),0)</f>
        <v>3</v>
      </c>
      <c r="BP77" s="38">
        <f>IFERROR(INDEX(LMH_PTS,MATCH(AB77,LMH_KEY,0)),0)</f>
        <v>1</v>
      </c>
      <c r="BQ77" s="38">
        <f>IFERROR(INDEX(LMH_PTS,MATCH(AC77,LMH_KEY,0)),0)</f>
        <v>1</v>
      </c>
      <c r="BR77" s="38">
        <f>IFERROR(INDEX(LMH_PTS,MATCH(AD77,LMH_KEY,0)),0)</f>
        <v>1</v>
      </c>
      <c r="BS77" s="38">
        <f>IFERROR(INDEX(LMH_PTS,MATCH(AE77,LMH_KEY,0)),0)</f>
        <v>1</v>
      </c>
      <c r="BT77" s="38">
        <f>IFERROR(INDEX(LMH_STEP,MATCH(AF77,LMH_KEY,0)),0)</f>
        <v>0</v>
      </c>
      <c r="BU77" s="38">
        <f>IFERROR(INDEX(LMH_STEP,MATCH(AG77,LMH_KEY,0)),0)</f>
        <v>0</v>
      </c>
      <c r="BV77" s="38">
        <f>IFERROR(INDEX(LMH_STEP,MATCH(AH77,LMH_KEY,0)),0)</f>
        <v>0</v>
      </c>
      <c r="BW77" s="38">
        <f>IFERROR(INDEX(LMH_STEP,MATCH(AI77,LMH_KEY,0)),0)</f>
        <v>0</v>
      </c>
      <c r="BX77" s="38">
        <f>IFERROR(INDEX(LMH_STEP,MATCH(AJ77,LMH_KEY,0)),0)</f>
        <v>0</v>
      </c>
      <c r="BY77" s="38">
        <f>IFERROR(INDEX(LMH_STEP,MATCH(AK77,LMH_KEY,0)),0)</f>
        <v>0</v>
      </c>
      <c r="BZ77" s="38">
        <f>IFERROR(INDEX(LMH_STEP,MATCH(AL77,LMH_KEY,0)),0)</f>
        <v>0</v>
      </c>
      <c r="CA77" s="38" t="inlineStr">
        <is>
          <t>Consume|Digitizing|Senior Digitization Associate|A3|A</t>
        </is>
      </c>
    </row>
    <row r="78" ht="110" customHeight="1">
      <c r="A78" s="28" t="inlineStr">
        <is>
          <t>Consume</t>
        </is>
      </c>
      <c r="B78" s="29" t="inlineStr">
        <is>
          <t>Digitizing</t>
        </is>
      </c>
      <c r="C78" s="29" t="n">
        <v>7</v>
      </c>
      <c r="D78" s="29" t="inlineStr">
        <is>
          <t>IRISC283</t>
        </is>
      </c>
      <c r="E78" s="29" t="inlineStr">
        <is>
          <t>Saurav Kamtekar</t>
        </is>
      </c>
      <c r="F78" s="29" t="inlineStr">
        <is>
          <t>Consultant</t>
        </is>
      </c>
      <c r="G78" s="29" t="inlineStr">
        <is>
          <t>Senior Digitization Associate</t>
        </is>
      </c>
      <c r="H78" s="29" t="inlineStr">
        <is>
          <t>Data Operations &amp; Digitization</t>
        </is>
      </c>
      <c r="I78" s="29" t="inlineStr">
        <is>
          <t>Document Conversion, Formatting &amp; Web Publishing</t>
        </is>
      </c>
      <c r="J78" s="29" t="inlineStr">
        <is>
          <t>IC</t>
        </is>
      </c>
      <c r="K78" s="29" t="inlineStr">
        <is>
          <t>RC-047</t>
        </is>
      </c>
      <c r="L78" s="29" t="inlineStr">
        <is>
          <t>Shraddha Patil</t>
        </is>
      </c>
      <c r="M78" s="29" t="inlineStr">
        <is>
          <t>IRIS0114</t>
        </is>
      </c>
      <c r="N78" s="29" t="n">
        <v>2.6</v>
      </c>
      <c r="O78" s="29" t="n">
        <v>2.6</v>
      </c>
      <c r="P78" s="29" t="inlineStr">
        <is>
          <t>Undergraduate</t>
        </is>
      </c>
      <c r="Q78" s="29" t="inlineStr">
        <is>
          <t>L3 – Professional / Associate</t>
        </is>
      </c>
      <c r="R78" s="29" t="inlineStr">
        <is>
          <t>A3</t>
        </is>
      </c>
      <c r="S78" s="30" t="inlineStr">
        <is>
          <t>20 of 20</t>
        </is>
      </c>
      <c r="T78" s="31" t="inlineStr">
        <is>
          <t>• Role / sub-team: Digitizing — Consultant.
• Core purpose: Input not given by Participant.
• Decision-making autonomy: Input not given by Participant.
• Is this something only they do: Input not given by Participant.</t>
        </is>
      </c>
      <c r="U78"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78" s="31" t="inlineStr">
        <is>
          <t>Latest rating: 3 · Potential: Medium · 9-box: Core Contributor · Readiness: Develop in role</t>
        </is>
      </c>
      <c r="W78" s="31" t="inlineStr">
        <is>
          <t>C L · Au L · Ac L · L L · BI M · Exp M · 2.6 yrs vs 2–4 yrs · Edu L · Undergraduate</t>
        </is>
      </c>
      <c r="X78" s="33" t="inlineStr">
        <is>
          <t>Open ▸</t>
        </is>
      </c>
      <c r="Y78" s="34" t="str">
        <f>IFERROR(INDEX(DL_C,MATCH($CA78,DL_KEY,0)),"M")</f>
        <v>H</v>
      </c>
      <c r="Z78" s="35" t="str">
        <f>IFERROR(INDEX(DL_Au,MATCH($CA78,DL_KEY,0)),"M")</f>
        <v>M</v>
      </c>
      <c r="AA78" s="35" t="str">
        <f>IFERROR(INDEX(DL_Ac,MATCH($CA78,DL_KEY,0)),"M")</f>
        <v>M</v>
      </c>
      <c r="AB78" s="35" t="str">
        <f>IFERROR(INDEX(DL_L,MATCH($CA78,DL_KEY,0)),"M")</f>
        <v>L</v>
      </c>
      <c r="AC78" s="35" t="str">
        <f>IFERROR(INDEX(DL_BI,MATCH($CA78,DL_KEY,0)),"M")</f>
        <v>L</v>
      </c>
      <c r="AD78" s="35" t="str">
        <f>IFERROR(INDEX(DL_Exp,MATCH($CA78,DL_KEY,0)),"M")</f>
        <v>L</v>
      </c>
      <c r="AE78" s="35" t="str">
        <f>IFERROR(INDEX(DL_Edu,MATCH($CA78,DL_KEY,0)),"M")</f>
        <v>L</v>
      </c>
      <c r="AF78" s="34" t="inlineStr">
        <is>
          <t>M</t>
        </is>
      </c>
      <c r="AG78" s="35" t="inlineStr">
        <is>
          <t>M</t>
        </is>
      </c>
      <c r="AH78" s="35" t="inlineStr">
        <is>
          <t>M</t>
        </is>
      </c>
      <c r="AI78" s="35" t="inlineStr">
        <is>
          <t>M</t>
        </is>
      </c>
      <c r="AJ78" s="35" t="inlineStr">
        <is>
          <t>M</t>
        </is>
      </c>
      <c r="AK78" s="35" t="inlineStr">
        <is>
          <t>M</t>
        </is>
      </c>
      <c r="AL78" s="35" t="inlineStr">
        <is>
          <t>M</t>
        </is>
      </c>
      <c r="AM78" s="36" t="n">
        <v>0.583</v>
      </c>
      <c r="AN78" s="37" t="n">
        <v>0.16</v>
      </c>
      <c r="AO78" s="37" t="n">
        <v>0.09</v>
      </c>
      <c r="AP78" s="37" t="n">
        <v>0</v>
      </c>
      <c r="AQ78" s="37" t="n">
        <v>0.063</v>
      </c>
      <c r="AR78" s="37" t="n">
        <v>0.06</v>
      </c>
      <c r="AS78" s="37" t="n">
        <v>0.04</v>
      </c>
      <c r="AT78" s="38" t="inlineStr">
        <is>
          <t>2–5</t>
        </is>
      </c>
      <c r="AU78" s="38" t="inlineStr">
        <is>
          <t>Graduate; relevant certification preferred</t>
        </is>
      </c>
      <c r="AV78" s="38" t="inlineStr">
        <is>
          <t>None · guides 1–3 juniors informally</t>
        </is>
      </c>
      <c r="AW78" s="38" t="inlineStr">
        <is>
          <t>P2 · SFIA 3 Apply</t>
        </is>
      </c>
      <c r="AX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8" s="39" t="inlineStr">
        <is>
          <t>A3</t>
        </is>
      </c>
      <c r="AZ78" s="40" t="inlineStr">
        <is>
          <t>Band A · Practitioner · Senior Associate</t>
        </is>
      </c>
      <c r="BA78" s="40" t="inlineStr">
        <is>
          <t>Model A3 from the six ratings, the market-derived weights and rules R1–R13 · then No change · already below the manager</t>
        </is>
      </c>
      <c r="BB78" s="41" t="inlineStr">
        <is>
          <t>A2</t>
        </is>
      </c>
      <c r="BC78" s="40" t="inlineStr">
        <is>
          <t>The six ratings on the market-average weights of Band A · all tracks score 2.08 → A2 · Hay, Mercer IPE and public plans · experience 2.6 yrs vs the A2 market range 0–3</t>
        </is>
      </c>
      <c r="BD78" s="42">
        <f>IF(SUM(BM78,BN78,BO78,BP78,BQ78,BR78,BS78)=0,0,(BM78*BT78+BN78*BU78+BO78*BV78+BP78*BW78+BQ78*BX78+BR78*BY78+BS78*BZ78)/SUM(BM78,BN78,BO78,BP78,BQ78,BR78,BS78))</f>
        <v>0</v>
      </c>
      <c r="BE78" s="41" t="str">
        <f>IF(LEFT(AY78,1)="X",AY78,IF(OR(AY78="B+",AY78="C+"),INDEX(LAD_PC,MAX(1,MIN(14,MATCH(AY78,LAD_PC,0)+IF(BD78&gt;=0.5,1,IF(BD78&lt;=-0.5,-1,0))))),INDEX(LAD_STD,MAX(1,MIN(12,MATCH(AY78,LAD_STD,0)+IF(BD78&gt;=0.5,1,IF(BD78&lt;=-0.5,-1,0)))))))</f>
        <v>A3</v>
      </c>
      <c r="BF78" s="43" t="n"/>
      <c r="BG78" s="41" t="str">
        <f>IF(BF78&lt;&gt;"",BF78,BE78)</f>
        <v>A3</v>
      </c>
      <c r="BH78" s="40" t="str">
        <f>IFERROR(CHOOSE(INDEX(B_RANK,MATCH(BG78,B_LVL,0)),"Band A","Band B","B+ · Player-Coach","Band C","C+ · Player-Coach","Band D","Band E"),"Band X · Consultant")</f>
        <v>Band A</v>
      </c>
      <c r="BI78" s="40" t="str">
        <f>IF(BG78=AY78,"• Same",IF(INDEX(B_VAL,MATCH(BG78,B_LVL,0))&gt;INDEX(B_VAL,MATCH(AY78,B_LVL,0)),"▲ Up","▼ Down"))</f>
        <v>• Same</v>
      </c>
      <c r="BJ78" s="40" t="str">
        <f>IF(OR($M78="",$M78="—",$M78="Not in this file"),"",IFERROR(INDEX($BG$7:$BG$592,MATCH($M78,$D$7:$D$592,0)),""))</f>
        <v>B1</v>
      </c>
      <c r="BK78" s="40" t="str">
        <f>IFERROR(IF(BJ78="","—",IF(OR(LEFT(BG78,1)="X",LEFT(BJ78,1)="X"),"—",IF(AND(LEFT(BG78,1)="E",LEFT(BJ78,1)="E"),"Exception · Band E",IF(AND(INDEX(B_VAL,MATCH(BJ78,B_LVL,0))&gt;=7,INDEX(B_RANK,MATCH(BG78,B_LVL,0))&gt;=INDEX(B_RANK,MATCH(BJ78,B_LVL,0))),"⚠ Same band as a head manager",IF(INDEX(B_VAL,MATCH(BG78,B_LVL,0))&gt;=INDEX(B_VAL,MATCH(BJ78,B_LVL,0)),"⚠ At or above the manager's level","OK"))))),"—")</f>
        <v>OK</v>
      </c>
      <c r="BL78" s="43" t="n"/>
      <c r="BM78" s="44">
        <f>IFERROR(INDEX(LMH_PTS,MATCH(Y78,LMH_KEY,0)),0)</f>
        <v>9</v>
      </c>
      <c r="BN78" s="38">
        <f>IFERROR(INDEX(LMH_PTS,MATCH(Z78,LMH_KEY,0)),0)</f>
        <v>3</v>
      </c>
      <c r="BO78" s="38">
        <f>IFERROR(INDEX(LMH_PTS,MATCH(AA78,LMH_KEY,0)),0)</f>
        <v>3</v>
      </c>
      <c r="BP78" s="38">
        <f>IFERROR(INDEX(LMH_PTS,MATCH(AB78,LMH_KEY,0)),0)</f>
        <v>1</v>
      </c>
      <c r="BQ78" s="38">
        <f>IFERROR(INDEX(LMH_PTS,MATCH(AC78,LMH_KEY,0)),0)</f>
        <v>1</v>
      </c>
      <c r="BR78" s="38">
        <f>IFERROR(INDEX(LMH_PTS,MATCH(AD78,LMH_KEY,0)),0)</f>
        <v>1</v>
      </c>
      <c r="BS78" s="38">
        <f>IFERROR(INDEX(LMH_PTS,MATCH(AE78,LMH_KEY,0)),0)</f>
        <v>1</v>
      </c>
      <c r="BT78" s="38">
        <f>IFERROR(INDEX(LMH_STEP,MATCH(AF78,LMH_KEY,0)),0)</f>
        <v>0</v>
      </c>
      <c r="BU78" s="38">
        <f>IFERROR(INDEX(LMH_STEP,MATCH(AG78,LMH_KEY,0)),0)</f>
        <v>0</v>
      </c>
      <c r="BV78" s="38">
        <f>IFERROR(INDEX(LMH_STEP,MATCH(AH78,LMH_KEY,0)),0)</f>
        <v>0</v>
      </c>
      <c r="BW78" s="38">
        <f>IFERROR(INDEX(LMH_STEP,MATCH(AI78,LMH_KEY,0)),0)</f>
        <v>0</v>
      </c>
      <c r="BX78" s="38">
        <f>IFERROR(INDEX(LMH_STEP,MATCH(AJ78,LMH_KEY,0)),0)</f>
        <v>0</v>
      </c>
      <c r="BY78" s="38">
        <f>IFERROR(INDEX(LMH_STEP,MATCH(AK78,LMH_KEY,0)),0)</f>
        <v>0</v>
      </c>
      <c r="BZ78" s="38">
        <f>IFERROR(INDEX(LMH_STEP,MATCH(AL78,LMH_KEY,0)),0)</f>
        <v>0</v>
      </c>
      <c r="CA78" s="38" t="inlineStr">
        <is>
          <t>Consume|Digitizing|Senior Digitization Associate|A3|A</t>
        </is>
      </c>
    </row>
    <row r="79" ht="110" customHeight="1">
      <c r="A79" s="28" t="inlineStr">
        <is>
          <t>Consume</t>
        </is>
      </c>
      <c r="B79" s="29" t="inlineStr">
        <is>
          <t>Digitizing</t>
        </is>
      </c>
      <c r="C79" s="29" t="n">
        <v>7</v>
      </c>
      <c r="D79" s="29" t="inlineStr">
        <is>
          <t>IRISC338</t>
        </is>
      </c>
      <c r="E79" s="29" t="inlineStr">
        <is>
          <t>Snehal Bhavesh Farad</t>
        </is>
      </c>
      <c r="F79" s="29" t="inlineStr">
        <is>
          <t>Consultant</t>
        </is>
      </c>
      <c r="G79" s="29" t="inlineStr">
        <is>
          <t>Senior Digitization Associate</t>
        </is>
      </c>
      <c r="H79" s="29" t="inlineStr">
        <is>
          <t>Data Operations &amp; Digitization</t>
        </is>
      </c>
      <c r="I79" s="29" t="inlineStr">
        <is>
          <t>Document Conversion, Formatting &amp; Web Publishing</t>
        </is>
      </c>
      <c r="J79" s="29" t="inlineStr">
        <is>
          <t>IC</t>
        </is>
      </c>
      <c r="K79" s="29" t="inlineStr">
        <is>
          <t>RC-047</t>
        </is>
      </c>
      <c r="L79" s="29" t="inlineStr">
        <is>
          <t>Shraddha Patil</t>
        </is>
      </c>
      <c r="M79" s="29" t="inlineStr">
        <is>
          <t>IRIS0114</t>
        </is>
      </c>
      <c r="N79" s="29" t="n">
        <v>5.1</v>
      </c>
      <c r="O79" s="29" t="n">
        <v>0.7</v>
      </c>
      <c r="P79" s="29" t="inlineStr">
        <is>
          <t>BA</t>
        </is>
      </c>
      <c r="Q79" s="29" t="inlineStr">
        <is>
          <t>L3 – Professional / Associate</t>
        </is>
      </c>
      <c r="R79" s="29" t="inlineStr">
        <is>
          <t>A3</t>
        </is>
      </c>
      <c r="S79" s="30" t="inlineStr">
        <is>
          <t>17 of 20</t>
        </is>
      </c>
      <c r="T79" s="31" t="inlineStr">
        <is>
          <t>• Role / sub-team: Digitizing — Consultant.
• Core purpose: Conversion ms word to html; Daily update excel sheet.
• Decision-making autonomy: No input received.
• Is this something only they do: No input received.</t>
        </is>
      </c>
      <c r="U79"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79" s="31" t="inlineStr">
        <is>
          <t>Latest rating: 3 · Potential: Medium · 9-box: Core Contributor · Readiness: Develop in role</t>
        </is>
      </c>
      <c r="W79" s="31" t="inlineStr">
        <is>
          <t>C L · Au L · Ac L · L L · BI M · Exp H · 5.1 yrs vs 2–4 yrs · Edu M · BA</t>
        </is>
      </c>
      <c r="X79" s="33" t="inlineStr">
        <is>
          <t>Open ▸</t>
        </is>
      </c>
      <c r="Y79" s="34" t="str">
        <f>IFERROR(INDEX(DL_C,MATCH($CA79,DL_KEY,0)),"M")</f>
        <v>H</v>
      </c>
      <c r="Z79" s="35" t="str">
        <f>IFERROR(INDEX(DL_Au,MATCH($CA79,DL_KEY,0)),"M")</f>
        <v>M</v>
      </c>
      <c r="AA79" s="35" t="str">
        <f>IFERROR(INDEX(DL_Ac,MATCH($CA79,DL_KEY,0)),"M")</f>
        <v>M</v>
      </c>
      <c r="AB79" s="35" t="str">
        <f>IFERROR(INDEX(DL_L,MATCH($CA79,DL_KEY,0)),"M")</f>
        <v>L</v>
      </c>
      <c r="AC79" s="35" t="str">
        <f>IFERROR(INDEX(DL_BI,MATCH($CA79,DL_KEY,0)),"M")</f>
        <v>L</v>
      </c>
      <c r="AD79" s="35" t="str">
        <f>IFERROR(INDEX(DL_Exp,MATCH($CA79,DL_KEY,0)),"M")</f>
        <v>L</v>
      </c>
      <c r="AE79" s="35" t="str">
        <f>IFERROR(INDEX(DL_Edu,MATCH($CA79,DL_KEY,0)),"M")</f>
        <v>L</v>
      </c>
      <c r="AF79" s="34" t="inlineStr">
        <is>
          <t>M</t>
        </is>
      </c>
      <c r="AG79" s="35" t="inlineStr">
        <is>
          <t>M</t>
        </is>
      </c>
      <c r="AH79" s="35" t="inlineStr">
        <is>
          <t>M</t>
        </is>
      </c>
      <c r="AI79" s="35" t="inlineStr">
        <is>
          <t>M</t>
        </is>
      </c>
      <c r="AJ79" s="35" t="inlineStr">
        <is>
          <t>M</t>
        </is>
      </c>
      <c r="AK79" s="35" t="inlineStr">
        <is>
          <t>M</t>
        </is>
      </c>
      <c r="AL79" s="35" t="inlineStr">
        <is>
          <t>M</t>
        </is>
      </c>
      <c r="AM79" s="36" t="n">
        <v>0.583</v>
      </c>
      <c r="AN79" s="37" t="n">
        <v>0.16</v>
      </c>
      <c r="AO79" s="37" t="n">
        <v>0.09</v>
      </c>
      <c r="AP79" s="37" t="n">
        <v>0</v>
      </c>
      <c r="AQ79" s="37" t="n">
        <v>0.063</v>
      </c>
      <c r="AR79" s="37" t="n">
        <v>0.06</v>
      </c>
      <c r="AS79" s="37" t="n">
        <v>0.04</v>
      </c>
      <c r="AT79" s="38" t="inlineStr">
        <is>
          <t>2–5</t>
        </is>
      </c>
      <c r="AU79" s="38" t="inlineStr">
        <is>
          <t>Graduate; relevant certification preferred</t>
        </is>
      </c>
      <c r="AV79" s="38" t="inlineStr">
        <is>
          <t>None · guides 1–3 juniors informally</t>
        </is>
      </c>
      <c r="AW79" s="38" t="inlineStr">
        <is>
          <t>P2 · SFIA 3 Apply</t>
        </is>
      </c>
      <c r="AX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9" s="39" t="inlineStr">
        <is>
          <t>A3</t>
        </is>
      </c>
      <c r="AZ79" s="40" t="inlineStr">
        <is>
          <t>Band A · Practitioner · Senior Associate</t>
        </is>
      </c>
      <c r="BA79" s="40" t="inlineStr">
        <is>
          <t>Model A3 from the six ratings, the market-derived weights and rules R1–R13 · then No change · already below the manager</t>
        </is>
      </c>
      <c r="BB79" s="41" t="inlineStr">
        <is>
          <t>A2</t>
        </is>
      </c>
      <c r="BC79" s="40" t="inlineStr">
        <is>
          <t>The six ratings on the market-average weights of Band A · all tracks score 2.15 → A2 · Hay, Mercer IPE and public plans · experience 5.1 yrs vs the A2 market range 0–3</t>
        </is>
      </c>
      <c r="BD79" s="42">
        <f>IF(SUM(BM79,BN79,BO79,BP79,BQ79,BR79,BS79)=0,0,(BM79*BT79+BN79*BU79+BO79*BV79+BP79*BW79+BQ79*BX79+BR79*BY79+BS79*BZ79)/SUM(BM79,BN79,BO79,BP79,BQ79,BR79,BS79))</f>
        <v>0</v>
      </c>
      <c r="BE79" s="41" t="str">
        <f>IF(LEFT(AY79,1)="X",AY79,IF(OR(AY79="B+",AY79="C+"),INDEX(LAD_PC,MAX(1,MIN(14,MATCH(AY79,LAD_PC,0)+IF(BD79&gt;=0.5,1,IF(BD79&lt;=-0.5,-1,0))))),INDEX(LAD_STD,MAX(1,MIN(12,MATCH(AY79,LAD_STD,0)+IF(BD79&gt;=0.5,1,IF(BD79&lt;=-0.5,-1,0)))))))</f>
        <v>A3</v>
      </c>
      <c r="BF79" s="43" t="n"/>
      <c r="BG79" s="41" t="str">
        <f>IF(BF79&lt;&gt;"",BF79,BE79)</f>
        <v>A3</v>
      </c>
      <c r="BH79" s="40" t="str">
        <f>IFERROR(CHOOSE(INDEX(B_RANK,MATCH(BG79,B_LVL,0)),"Band A","Band B","B+ · Player-Coach","Band C","C+ · Player-Coach","Band D","Band E"),"Band X · Consultant")</f>
        <v>Band A</v>
      </c>
      <c r="BI79" s="40" t="str">
        <f>IF(BG79=AY79,"• Same",IF(INDEX(B_VAL,MATCH(BG79,B_LVL,0))&gt;INDEX(B_VAL,MATCH(AY79,B_LVL,0)),"▲ Up","▼ Down"))</f>
        <v>• Same</v>
      </c>
      <c r="BJ79" s="40" t="str">
        <f>IF(OR($M79="",$M79="—",$M79="Not in this file"),"",IFERROR(INDEX($BG$7:$BG$592,MATCH($M79,$D$7:$D$592,0)),""))</f>
        <v>B1</v>
      </c>
      <c r="BK79" s="40" t="str">
        <f>IFERROR(IF(BJ79="","—",IF(OR(LEFT(BG79,1)="X",LEFT(BJ79,1)="X"),"—",IF(AND(LEFT(BG79,1)="E",LEFT(BJ79,1)="E"),"Exception · Band E",IF(AND(INDEX(B_VAL,MATCH(BJ79,B_LVL,0))&gt;=7,INDEX(B_RANK,MATCH(BG79,B_LVL,0))&gt;=INDEX(B_RANK,MATCH(BJ79,B_LVL,0))),"⚠ Same band as a head manager",IF(INDEX(B_VAL,MATCH(BG79,B_LVL,0))&gt;=INDEX(B_VAL,MATCH(BJ79,B_LVL,0)),"⚠ At or above the manager's level","OK"))))),"—")</f>
        <v>OK</v>
      </c>
      <c r="BL79" s="43" t="n"/>
      <c r="BM79" s="44">
        <f>IFERROR(INDEX(LMH_PTS,MATCH(Y79,LMH_KEY,0)),0)</f>
        <v>9</v>
      </c>
      <c r="BN79" s="38">
        <f>IFERROR(INDEX(LMH_PTS,MATCH(Z79,LMH_KEY,0)),0)</f>
        <v>3</v>
      </c>
      <c r="BO79" s="38">
        <f>IFERROR(INDEX(LMH_PTS,MATCH(AA79,LMH_KEY,0)),0)</f>
        <v>3</v>
      </c>
      <c r="BP79" s="38">
        <f>IFERROR(INDEX(LMH_PTS,MATCH(AB79,LMH_KEY,0)),0)</f>
        <v>1</v>
      </c>
      <c r="BQ79" s="38">
        <f>IFERROR(INDEX(LMH_PTS,MATCH(AC79,LMH_KEY,0)),0)</f>
        <v>1</v>
      </c>
      <c r="BR79" s="38">
        <f>IFERROR(INDEX(LMH_PTS,MATCH(AD79,LMH_KEY,0)),0)</f>
        <v>1</v>
      </c>
      <c r="BS79" s="38">
        <f>IFERROR(INDEX(LMH_PTS,MATCH(AE79,LMH_KEY,0)),0)</f>
        <v>1</v>
      </c>
      <c r="BT79" s="38">
        <f>IFERROR(INDEX(LMH_STEP,MATCH(AF79,LMH_KEY,0)),0)</f>
        <v>0</v>
      </c>
      <c r="BU79" s="38">
        <f>IFERROR(INDEX(LMH_STEP,MATCH(AG79,LMH_KEY,0)),0)</f>
        <v>0</v>
      </c>
      <c r="BV79" s="38">
        <f>IFERROR(INDEX(LMH_STEP,MATCH(AH79,LMH_KEY,0)),0)</f>
        <v>0</v>
      </c>
      <c r="BW79" s="38">
        <f>IFERROR(INDEX(LMH_STEP,MATCH(AI79,LMH_KEY,0)),0)</f>
        <v>0</v>
      </c>
      <c r="BX79" s="38">
        <f>IFERROR(INDEX(LMH_STEP,MATCH(AJ79,LMH_KEY,0)),0)</f>
        <v>0</v>
      </c>
      <c r="BY79" s="38">
        <f>IFERROR(INDEX(LMH_STEP,MATCH(AK79,LMH_KEY,0)),0)</f>
        <v>0</v>
      </c>
      <c r="BZ79" s="38">
        <f>IFERROR(INDEX(LMH_STEP,MATCH(AL79,LMH_KEY,0)),0)</f>
        <v>0</v>
      </c>
      <c r="CA79" s="38" t="inlineStr">
        <is>
          <t>Consume|Digitizing|Senior Digitization Associate|A3|A</t>
        </is>
      </c>
    </row>
    <row r="80" ht="110" customHeight="1">
      <c r="A80" s="28" t="inlineStr">
        <is>
          <t>Consume</t>
        </is>
      </c>
      <c r="B80" s="29" t="inlineStr">
        <is>
          <t>Digitizing</t>
        </is>
      </c>
      <c r="C80" s="29" t="n">
        <v>7</v>
      </c>
      <c r="D80" s="29" t="inlineStr">
        <is>
          <t>IRISC337</t>
        </is>
      </c>
      <c r="E80" s="29" t="inlineStr">
        <is>
          <t>Siddhesh Harishchandra Mali</t>
        </is>
      </c>
      <c r="F80" s="29" t="inlineStr">
        <is>
          <t>Consultant</t>
        </is>
      </c>
      <c r="G80" s="29" t="inlineStr">
        <is>
          <t>Digitization Associate</t>
        </is>
      </c>
      <c r="H80" s="29" t="inlineStr">
        <is>
          <t>Data Operations &amp; Digitization</t>
        </is>
      </c>
      <c r="I80" s="29" t="inlineStr">
        <is>
          <t>Document Conversion, Formatting &amp; Web Publishing</t>
        </is>
      </c>
      <c r="J80" s="29" t="inlineStr">
        <is>
          <t>IC</t>
        </is>
      </c>
      <c r="K80" s="29" t="inlineStr">
        <is>
          <t>RC-046</t>
        </is>
      </c>
      <c r="L80" s="29" t="inlineStr">
        <is>
          <t>Shraddha Patil</t>
        </is>
      </c>
      <c r="M80" s="29" t="inlineStr">
        <is>
          <t>IRIS0114</t>
        </is>
      </c>
      <c r="N80" s="29" t="n">
        <v>0.8</v>
      </c>
      <c r="O80" s="29" t="n">
        <v>0.7</v>
      </c>
      <c r="P80" s="29" t="inlineStr">
        <is>
          <t>B.Sc</t>
        </is>
      </c>
      <c r="Q80" s="29" t="inlineStr">
        <is>
          <t>L3 – Professional / Associate</t>
        </is>
      </c>
      <c r="R80" s="29" t="inlineStr">
        <is>
          <t>A2</t>
        </is>
      </c>
      <c r="S80" s="30" t="inlineStr">
        <is>
          <t>20 of 20</t>
        </is>
      </c>
      <c r="T80" s="31" t="inlineStr">
        <is>
          <t>• Role / sub-team: Digitizing — Consultant.
• Core purpose: My purpose is to convert word/pdf documents data to html that will be published on RBI Website.
• Decision-making autonomy: No input received.
• Is this something only they do: No input received.</t>
        </is>
      </c>
      <c r="U80"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80" s="31" t="inlineStr">
        <is>
          <t>Latest rating: 3 · Potential: Medium · 9-box: Core Contributor · Readiness: Develop in role</t>
        </is>
      </c>
      <c r="W80" s="31" t="inlineStr">
        <is>
          <t>C M · Au M · Ac M · L L · BI M · Exp M · 0.8 yrs vs 0–2 yrs · Edu M · B.Sc</t>
        </is>
      </c>
      <c r="X80" s="33" t="inlineStr">
        <is>
          <t>Open ▸</t>
        </is>
      </c>
      <c r="Y80" s="34" t="str">
        <f>IFERROR(INDEX(DL_C,MATCH($CA80,DL_KEY,0)),"M")</f>
        <v>H</v>
      </c>
      <c r="Z80" s="35" t="str">
        <f>IFERROR(INDEX(DL_Au,MATCH($CA80,DL_KEY,0)),"M")</f>
        <v>M</v>
      </c>
      <c r="AA80" s="35" t="str">
        <f>IFERROR(INDEX(DL_Ac,MATCH($CA80,DL_KEY,0)),"M")</f>
        <v>M</v>
      </c>
      <c r="AB80" s="35" t="str">
        <f>IFERROR(INDEX(DL_L,MATCH($CA80,DL_KEY,0)),"M")</f>
        <v>L</v>
      </c>
      <c r="AC80" s="35" t="str">
        <f>IFERROR(INDEX(DL_BI,MATCH($CA80,DL_KEY,0)),"M")</f>
        <v>L</v>
      </c>
      <c r="AD80" s="35" t="str">
        <f>IFERROR(INDEX(DL_Exp,MATCH($CA80,DL_KEY,0)),"M")</f>
        <v>L</v>
      </c>
      <c r="AE80" s="35" t="str">
        <f>IFERROR(INDEX(DL_Edu,MATCH($CA80,DL_KEY,0)),"M")</f>
        <v>L</v>
      </c>
      <c r="AF80" s="34" t="inlineStr">
        <is>
          <t>M</t>
        </is>
      </c>
      <c r="AG80" s="35" t="inlineStr">
        <is>
          <t>M</t>
        </is>
      </c>
      <c r="AH80" s="35" t="inlineStr">
        <is>
          <t>M</t>
        </is>
      </c>
      <c r="AI80" s="35" t="inlineStr">
        <is>
          <t>M</t>
        </is>
      </c>
      <c r="AJ80" s="35" t="inlineStr">
        <is>
          <t>M</t>
        </is>
      </c>
      <c r="AK80" s="35" t="inlineStr">
        <is>
          <t>M</t>
        </is>
      </c>
      <c r="AL80" s="35" t="inlineStr">
        <is>
          <t>M</t>
        </is>
      </c>
      <c r="AM80" s="36" t="n">
        <v>0.583</v>
      </c>
      <c r="AN80" s="37" t="n">
        <v>0.16</v>
      </c>
      <c r="AO80" s="37" t="n">
        <v>0.09</v>
      </c>
      <c r="AP80" s="37" t="n">
        <v>0</v>
      </c>
      <c r="AQ80" s="37" t="n">
        <v>0.063</v>
      </c>
      <c r="AR80" s="37" t="n">
        <v>0.06</v>
      </c>
      <c r="AS80" s="37" t="n">
        <v>0.04</v>
      </c>
      <c r="AT80" s="38" t="inlineStr">
        <is>
          <t>0–3</t>
        </is>
      </c>
      <c r="AU80" s="38" t="inlineStr">
        <is>
          <t>Graduate · or diploma with experience</t>
        </is>
      </c>
      <c r="AV80" s="38" t="inlineStr">
        <is>
          <t>No direct reports</t>
        </is>
      </c>
      <c r="AW80" s="38" t="inlineStr">
        <is>
          <t>P1–P2 · SFIA 2 Assist</t>
        </is>
      </c>
      <c r="AX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0" s="39" t="inlineStr">
        <is>
          <t>A2</t>
        </is>
      </c>
      <c r="AZ80" s="40" t="inlineStr">
        <is>
          <t>Band A · Practitioner · Associate</t>
        </is>
      </c>
      <c r="BA80" s="40" t="inlineStr">
        <is>
          <t>Model A2 from the six ratings, the market-derived weights and rules R1–R13 · then No change · already below the manager</t>
        </is>
      </c>
      <c r="BB80" s="41" t="inlineStr">
        <is>
          <t>A2</t>
        </is>
      </c>
      <c r="BC80" s="40" t="inlineStr">
        <is>
          <t>The six ratings on the market-average weights of Band A · all tracks score 2.03 → A2 · Hay, Mercer IPE and public plans · experience 0.8 yrs vs the A2 market range 0–3</t>
        </is>
      </c>
      <c r="BD80" s="42">
        <f>IF(SUM(BM80,BN80,BO80,BP80,BQ80,BR80,BS80)=0,0,(BM80*BT80+BN80*BU80+BO80*BV80+BP80*BW80+BQ80*BX80+BR80*BY80+BS80*BZ80)/SUM(BM80,BN80,BO80,BP80,BQ80,BR80,BS80))</f>
        <v>0</v>
      </c>
      <c r="BE80" s="41" t="str">
        <f>IF(LEFT(AY80,1)="X",AY80,IF(OR(AY80="B+",AY80="C+"),INDEX(LAD_PC,MAX(1,MIN(14,MATCH(AY80,LAD_PC,0)+IF(BD80&gt;=0.5,1,IF(BD80&lt;=-0.5,-1,0))))),INDEX(LAD_STD,MAX(1,MIN(12,MATCH(AY80,LAD_STD,0)+IF(BD80&gt;=0.5,1,IF(BD80&lt;=-0.5,-1,0)))))))</f>
        <v>A2</v>
      </c>
      <c r="BF80" s="43" t="n"/>
      <c r="BG80" s="41" t="str">
        <f>IF(BF80&lt;&gt;"",BF80,BE80)</f>
        <v>A2</v>
      </c>
      <c r="BH80" s="40" t="str">
        <f>IFERROR(CHOOSE(INDEX(B_RANK,MATCH(BG80,B_LVL,0)),"Band A","Band B","B+ · Player-Coach","Band C","C+ · Player-Coach","Band D","Band E"),"Band X · Consultant")</f>
        <v>Band A</v>
      </c>
      <c r="BI80" s="40" t="str">
        <f>IF(BG80=AY80,"• Same",IF(INDEX(B_VAL,MATCH(BG80,B_LVL,0))&gt;INDEX(B_VAL,MATCH(AY80,B_LVL,0)),"▲ Up","▼ Down"))</f>
        <v>• Same</v>
      </c>
      <c r="BJ80" s="40" t="str">
        <f>IF(OR($M80="",$M80="—",$M80="Not in this file"),"",IFERROR(INDEX($BG$7:$BG$592,MATCH($M80,$D$7:$D$592,0)),""))</f>
        <v>B1</v>
      </c>
      <c r="BK80" s="40" t="str">
        <f>IFERROR(IF(BJ80="","—",IF(OR(LEFT(BG80,1)="X",LEFT(BJ80,1)="X"),"—",IF(AND(LEFT(BG80,1)="E",LEFT(BJ80,1)="E"),"Exception · Band E",IF(AND(INDEX(B_VAL,MATCH(BJ80,B_LVL,0))&gt;=7,INDEX(B_RANK,MATCH(BG80,B_LVL,0))&gt;=INDEX(B_RANK,MATCH(BJ80,B_LVL,0))),"⚠ Same band as a head manager",IF(INDEX(B_VAL,MATCH(BG80,B_LVL,0))&gt;=INDEX(B_VAL,MATCH(BJ80,B_LVL,0)),"⚠ At or above the manager's level","OK"))))),"—")</f>
        <v>OK</v>
      </c>
      <c r="BL80" s="43" t="n"/>
      <c r="BM80" s="44">
        <f>IFERROR(INDEX(LMH_PTS,MATCH(Y80,LMH_KEY,0)),0)</f>
        <v>9</v>
      </c>
      <c r="BN80" s="38">
        <f>IFERROR(INDEX(LMH_PTS,MATCH(Z80,LMH_KEY,0)),0)</f>
        <v>3</v>
      </c>
      <c r="BO80" s="38">
        <f>IFERROR(INDEX(LMH_PTS,MATCH(AA80,LMH_KEY,0)),0)</f>
        <v>3</v>
      </c>
      <c r="BP80" s="38">
        <f>IFERROR(INDEX(LMH_PTS,MATCH(AB80,LMH_KEY,0)),0)</f>
        <v>1</v>
      </c>
      <c r="BQ80" s="38">
        <f>IFERROR(INDEX(LMH_PTS,MATCH(AC80,LMH_KEY,0)),0)</f>
        <v>1</v>
      </c>
      <c r="BR80" s="38">
        <f>IFERROR(INDEX(LMH_PTS,MATCH(AD80,LMH_KEY,0)),0)</f>
        <v>1</v>
      </c>
      <c r="BS80" s="38">
        <f>IFERROR(INDEX(LMH_PTS,MATCH(AE80,LMH_KEY,0)),0)</f>
        <v>1</v>
      </c>
      <c r="BT80" s="38">
        <f>IFERROR(INDEX(LMH_STEP,MATCH(AF80,LMH_KEY,0)),0)</f>
        <v>0</v>
      </c>
      <c r="BU80" s="38">
        <f>IFERROR(INDEX(LMH_STEP,MATCH(AG80,LMH_KEY,0)),0)</f>
        <v>0</v>
      </c>
      <c r="BV80" s="38">
        <f>IFERROR(INDEX(LMH_STEP,MATCH(AH80,LMH_KEY,0)),0)</f>
        <v>0</v>
      </c>
      <c r="BW80" s="38">
        <f>IFERROR(INDEX(LMH_STEP,MATCH(AI80,LMH_KEY,0)),0)</f>
        <v>0</v>
      </c>
      <c r="BX80" s="38">
        <f>IFERROR(INDEX(LMH_STEP,MATCH(AJ80,LMH_KEY,0)),0)</f>
        <v>0</v>
      </c>
      <c r="BY80" s="38">
        <f>IFERROR(INDEX(LMH_STEP,MATCH(AK80,LMH_KEY,0)),0)</f>
        <v>0</v>
      </c>
      <c r="BZ80" s="38">
        <f>IFERROR(INDEX(LMH_STEP,MATCH(AL80,LMH_KEY,0)),0)</f>
        <v>0</v>
      </c>
      <c r="CA80" s="38" t="inlineStr">
        <is>
          <t>Consume|Digitizing|Digitization Associate|A2|A</t>
        </is>
      </c>
    </row>
    <row r="81" ht="110" customHeight="1">
      <c r="A81" s="28" t="inlineStr">
        <is>
          <t>CARBON</t>
        </is>
      </c>
      <c r="B81" s="29" t="inlineStr">
        <is>
          <t>Digitizing</t>
        </is>
      </c>
      <c r="C81" s="29" t="n">
        <v>6</v>
      </c>
      <c r="D81" s="29" t="inlineStr">
        <is>
          <t>IRIS1005</t>
        </is>
      </c>
      <c r="E81" s="29" t="inlineStr">
        <is>
          <t>Datta Hatagale</t>
        </is>
      </c>
      <c r="F81" s="29" t="inlineStr">
        <is>
          <t>Image Processing Specialist</t>
        </is>
      </c>
      <c r="G81" s="29" t="inlineStr">
        <is>
          <t>Customer Enablement Specialist – POD Lead</t>
        </is>
      </c>
      <c r="H81" s="29" t="inlineStr">
        <is>
          <t>Customer Success &amp; Support</t>
        </is>
      </c>
      <c r="I81" s="29" t="inlineStr">
        <is>
          <t>Customer Training &amp; Enablement</t>
        </is>
      </c>
      <c r="J81" s="29" t="inlineStr">
        <is>
          <t>POD Lead</t>
        </is>
      </c>
      <c r="K81" s="29" t="inlineStr">
        <is>
          <t>RC-039</t>
        </is>
      </c>
      <c r="L81" s="29" t="inlineStr">
        <is>
          <t>Vijay Parulekar</t>
        </is>
      </c>
      <c r="M81" s="29" t="inlineStr">
        <is>
          <t>IRIS0055</t>
        </is>
      </c>
      <c r="N81" s="29" t="n">
        <v>14.9</v>
      </c>
      <c r="O81" s="29" t="n">
        <v>14.9</v>
      </c>
      <c r="P81" s="29" t="inlineStr">
        <is>
          <t>BA</t>
        </is>
      </c>
      <c r="Q81" s="29" t="inlineStr">
        <is>
          <t>L3 – Professional / Associate</t>
        </is>
      </c>
      <c r="R81" s="29" t="inlineStr">
        <is>
          <t>B1</t>
        </is>
      </c>
      <c r="S81" s="30" t="inlineStr">
        <is>
          <t>20 of 20</t>
        </is>
      </c>
      <c r="T81" s="31" t="inlineStr">
        <is>
          <t>• Role / sub-team: Digitizing assisted services.</t>
        </is>
      </c>
      <c r="U8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81" s="31" t="inlineStr">
        <is>
          <t>Latest rating: 4 · Potential: High · 9-box: Core Contributor · Readiness: Ready now</t>
        </is>
      </c>
      <c r="W81" s="31" t="inlineStr">
        <is>
          <t>C L · Au L · Ac M · L M · BI M · Exp H · 14.9 yrs vs 4–7 yrs · Edu M · BA</t>
        </is>
      </c>
      <c r="X81" s="33" t="inlineStr">
        <is>
          <t>Open ▸</t>
        </is>
      </c>
      <c r="Y81" s="34" t="str">
        <f>IFERROR(INDEX(DL_C,MATCH($CA81,DL_KEY,0)),"M")</f>
        <v>H</v>
      </c>
      <c r="Z81" s="35" t="str">
        <f>IFERROR(INDEX(DL_Au,MATCH($CA81,DL_KEY,0)),"M")</f>
        <v>M</v>
      </c>
      <c r="AA81" s="35" t="str">
        <f>IFERROR(INDEX(DL_Ac,MATCH($CA81,DL_KEY,0)),"M")</f>
        <v>M</v>
      </c>
      <c r="AB81" s="35" t="str">
        <f>IFERROR(INDEX(DL_L,MATCH($CA81,DL_KEY,0)),"M")</f>
        <v>L</v>
      </c>
      <c r="AC81" s="35" t="str">
        <f>IFERROR(INDEX(DL_BI,MATCH($CA81,DL_KEY,0)),"M")</f>
        <v>M</v>
      </c>
      <c r="AD81" s="35" t="str">
        <f>IFERROR(INDEX(DL_Exp,MATCH($CA81,DL_KEY,0)),"M")</f>
        <v>L</v>
      </c>
      <c r="AE81" s="35" t="str">
        <f>IFERROR(INDEX(DL_Edu,MATCH($CA81,DL_KEY,0)),"M")</f>
        <v>L</v>
      </c>
      <c r="AF81" s="34" t="inlineStr">
        <is>
          <t>M</t>
        </is>
      </c>
      <c r="AG81" s="35" t="inlineStr">
        <is>
          <t>M</t>
        </is>
      </c>
      <c r="AH81" s="35" t="inlineStr">
        <is>
          <t>M</t>
        </is>
      </c>
      <c r="AI81" s="35" t="inlineStr">
        <is>
          <t>M</t>
        </is>
      </c>
      <c r="AJ81" s="35" t="inlineStr">
        <is>
          <t>M</t>
        </is>
      </c>
      <c r="AK81" s="35" t="inlineStr">
        <is>
          <t>M</t>
        </is>
      </c>
      <c r="AL81" s="35" t="inlineStr">
        <is>
          <t>M</t>
        </is>
      </c>
      <c r="AM81" s="36" t="n">
        <v>0.513</v>
      </c>
      <c r="AN81" s="37" t="n">
        <v>0.173</v>
      </c>
      <c r="AO81" s="37" t="n">
        <v>0.09699999999999999</v>
      </c>
      <c r="AP81" s="37" t="n">
        <v>0.05</v>
      </c>
      <c r="AQ81" s="37" t="n">
        <v>0.07000000000000001</v>
      </c>
      <c r="AR81" s="37" t="n">
        <v>0.06</v>
      </c>
      <c r="AS81" s="37" t="n">
        <v>0.04</v>
      </c>
      <c r="AT81" s="38" t="inlineStr">
        <is>
          <t>4–8</t>
        </is>
      </c>
      <c r="AU81" s="38" t="inlineStr">
        <is>
          <t>Graduate + relevant qualification or certification preferred</t>
        </is>
      </c>
      <c r="AV81" s="38" t="inlineStr">
        <is>
          <t>IC: none · Team Lead: 3–5</t>
        </is>
      </c>
      <c r="AW81" s="38" t="inlineStr">
        <is>
          <t>P3 / M2 · SFIA 4 Enable</t>
        </is>
      </c>
      <c r="AX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1" s="39" t="inlineStr">
        <is>
          <t>B1</t>
        </is>
      </c>
      <c r="AZ81" s="40" t="inlineStr">
        <is>
          <t>Band B · Specialist / Manager · Team Lead / Asst Manager</t>
        </is>
      </c>
      <c r="BA81" s="40" t="inlineStr">
        <is>
          <t>Model B1 from the six ratings, the market-derived weights and rules R1–R13 · then No change · already below the manager</t>
        </is>
      </c>
      <c r="BB81" s="41" t="inlineStr">
        <is>
          <t>B1</t>
        </is>
      </c>
      <c r="BC81" s="40" t="inlineStr">
        <is>
          <t>The six ratings on the market-average weights of Band B · Specialist / POD Lead score 3.64 → B1 · Hay, Mercer IPE and public plans · experience 14.9 yrs vs the B1 market range 4–8</t>
        </is>
      </c>
      <c r="BD81" s="42">
        <f>IF(SUM(BM81,BN81,BO81,BP81,BQ81,BR81,BS81)=0,0,(BM81*BT81+BN81*BU81+BO81*BV81+BP81*BW81+BQ81*BX81+BR81*BY81+BS81*BZ81)/SUM(BM81,BN81,BO81,BP81,BQ81,BR81,BS81))</f>
        <v>0</v>
      </c>
      <c r="BE81" s="41" t="str">
        <f>IF(LEFT(AY81,1)="X",AY81,IF(OR(AY81="B+",AY81="C+"),INDEX(LAD_PC,MAX(1,MIN(14,MATCH(AY81,LAD_PC,0)+IF(BD81&gt;=0.5,1,IF(BD81&lt;=-0.5,-1,0))))),INDEX(LAD_STD,MAX(1,MIN(12,MATCH(AY81,LAD_STD,0)+IF(BD81&gt;=0.5,1,IF(BD81&lt;=-0.5,-1,0)))))))</f>
        <v>B1</v>
      </c>
      <c r="BF81" s="43" t="n"/>
      <c r="BG81" s="41" t="str">
        <f>IF(BF81&lt;&gt;"",BF81,BE81)</f>
        <v>B1</v>
      </c>
      <c r="BH81" s="40" t="str">
        <f>IFERROR(CHOOSE(INDEX(B_RANK,MATCH(BG81,B_LVL,0)),"Band A","Band B","B+ · Player-Coach","Band C","C+ · Player-Coach","Band D","Band E"),"Band X · Consultant")</f>
        <v>Band B</v>
      </c>
      <c r="BI81" s="40" t="str">
        <f>IF(BG81=AY81,"• Same",IF(INDEX(B_VAL,MATCH(BG81,B_LVL,0))&gt;INDEX(B_VAL,MATCH(AY81,B_LVL,0)),"▲ Up","▼ Down"))</f>
        <v>• Same</v>
      </c>
      <c r="BJ81" s="40" t="str">
        <f>IF(OR($M81="",$M81="—",$M81="Not in this file"),"",IFERROR(INDEX($BG$7:$BG$592,MATCH($M81,$D$7:$D$592,0)),""))</f>
        <v>B2</v>
      </c>
      <c r="BK81" s="40" t="str">
        <f>IFERROR(IF(BJ81="","—",IF(OR(LEFT(BG81,1)="X",LEFT(BJ81,1)="X"),"—",IF(AND(LEFT(BG81,1)="E",LEFT(BJ81,1)="E"),"Exception · Band E",IF(AND(INDEX(B_VAL,MATCH(BJ81,B_LVL,0))&gt;=7,INDEX(B_RANK,MATCH(BG81,B_LVL,0))&gt;=INDEX(B_RANK,MATCH(BJ81,B_LVL,0))),"⚠ Same band as a head manager",IF(INDEX(B_VAL,MATCH(BG81,B_LVL,0))&gt;=INDEX(B_VAL,MATCH(BJ81,B_LVL,0)),"⚠ At or above the manager's level","OK"))))),"—")</f>
        <v>OK</v>
      </c>
      <c r="BL81" s="43" t="n"/>
      <c r="BM81" s="44">
        <f>IFERROR(INDEX(LMH_PTS,MATCH(Y81,LMH_KEY,0)),0)</f>
        <v>9</v>
      </c>
      <c r="BN81" s="38">
        <f>IFERROR(INDEX(LMH_PTS,MATCH(Z81,LMH_KEY,0)),0)</f>
        <v>3</v>
      </c>
      <c r="BO81" s="38">
        <f>IFERROR(INDEX(LMH_PTS,MATCH(AA81,LMH_KEY,0)),0)</f>
        <v>3</v>
      </c>
      <c r="BP81" s="38">
        <f>IFERROR(INDEX(LMH_PTS,MATCH(AB81,LMH_KEY,0)),0)</f>
        <v>1</v>
      </c>
      <c r="BQ81" s="38">
        <f>IFERROR(INDEX(LMH_PTS,MATCH(AC81,LMH_KEY,0)),0)</f>
        <v>3</v>
      </c>
      <c r="BR81" s="38">
        <f>IFERROR(INDEX(LMH_PTS,MATCH(AD81,LMH_KEY,0)),0)</f>
        <v>1</v>
      </c>
      <c r="BS81" s="38">
        <f>IFERROR(INDEX(LMH_PTS,MATCH(AE81,LMH_KEY,0)),0)</f>
        <v>1</v>
      </c>
      <c r="BT81" s="38">
        <f>IFERROR(INDEX(LMH_STEP,MATCH(AF81,LMH_KEY,0)),0)</f>
        <v>0</v>
      </c>
      <c r="BU81" s="38">
        <f>IFERROR(INDEX(LMH_STEP,MATCH(AG81,LMH_KEY,0)),0)</f>
        <v>0</v>
      </c>
      <c r="BV81" s="38">
        <f>IFERROR(INDEX(LMH_STEP,MATCH(AH81,LMH_KEY,0)),0)</f>
        <v>0</v>
      </c>
      <c r="BW81" s="38">
        <f>IFERROR(INDEX(LMH_STEP,MATCH(AI81,LMH_KEY,0)),0)</f>
        <v>0</v>
      </c>
      <c r="BX81" s="38">
        <f>IFERROR(INDEX(LMH_STEP,MATCH(AJ81,LMH_KEY,0)),0)</f>
        <v>0</v>
      </c>
      <c r="BY81" s="38">
        <f>IFERROR(INDEX(LMH_STEP,MATCH(AK81,LMH_KEY,0)),0)</f>
        <v>0</v>
      </c>
      <c r="BZ81" s="38">
        <f>IFERROR(INDEX(LMH_STEP,MATCH(AL81,LMH_KEY,0)),0)</f>
        <v>0</v>
      </c>
      <c r="CA81" s="38" t="inlineStr">
        <is>
          <t>CARBON|Digitizing|Customer Enablement Specialist – POD Lead|B1|B-IC</t>
        </is>
      </c>
    </row>
    <row r="82" ht="110" customHeight="1">
      <c r="A82" s="28" t="inlineStr">
        <is>
          <t>CARBON</t>
        </is>
      </c>
      <c r="B82" s="29" t="inlineStr">
        <is>
          <t>Digitizing</t>
        </is>
      </c>
      <c r="C82" s="29" t="n">
        <v>7</v>
      </c>
      <c r="D82" s="29" t="inlineStr">
        <is>
          <t>IRISC238</t>
        </is>
      </c>
      <c r="E82" s="29" t="inlineStr">
        <is>
          <t>Aishwarya Chaulkar</t>
        </is>
      </c>
      <c r="F82" s="29" t="inlineStr">
        <is>
          <t>Consultant</t>
        </is>
      </c>
      <c r="G82" s="29" t="inlineStr">
        <is>
          <t>Senior Digitization Associate</t>
        </is>
      </c>
      <c r="H82" s="29" t="inlineStr">
        <is>
          <t>Data Operations &amp; Digitization</t>
        </is>
      </c>
      <c r="I82" s="29" t="inlineStr">
        <is>
          <t>Document Conversion, Formatting &amp; Web Publishing</t>
        </is>
      </c>
      <c r="J82" s="29" t="inlineStr">
        <is>
          <t>IC</t>
        </is>
      </c>
      <c r="K82" s="29" t="inlineStr">
        <is>
          <t>RC-047</t>
        </is>
      </c>
      <c r="L82" s="29" t="inlineStr">
        <is>
          <t>Datta Hatagale</t>
        </is>
      </c>
      <c r="M82" s="29" t="inlineStr">
        <is>
          <t>IRIS1005</t>
        </is>
      </c>
      <c r="N82" s="29" t="n">
        <v>3.9</v>
      </c>
      <c r="O82" s="29" t="n">
        <v>3.9</v>
      </c>
      <c r="P82" s="29" t="inlineStr">
        <is>
          <t>B.Com</t>
        </is>
      </c>
      <c r="Q82" s="29" t="inlineStr">
        <is>
          <t>L3 – Professional / Associate</t>
        </is>
      </c>
      <c r="R82" s="29" t="inlineStr">
        <is>
          <t>A3</t>
        </is>
      </c>
      <c r="S82" s="30" t="inlineStr">
        <is>
          <t>20 of 20</t>
        </is>
      </c>
      <c r="T82" s="31" t="inlineStr">
        <is>
          <t>• Role / sub-team: Digitizing Assisted Service.</t>
        </is>
      </c>
      <c r="U82"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2" s="31" t="inlineStr">
        <is>
          <t>Latest rating: 3 · Potential: High · 9-box: Core Contributor · Readiness: Ready in 6–12 months</t>
        </is>
      </c>
      <c r="W82" s="31" t="inlineStr">
        <is>
          <t>C M · Au M · Ac L · L L · BI M · Exp M · 3.9 yrs vs 2–4 yrs · Edu M · B.Com</t>
        </is>
      </c>
      <c r="X82" s="33" t="inlineStr">
        <is>
          <t>Open ▸</t>
        </is>
      </c>
      <c r="Y82" s="34" t="str">
        <f>IFERROR(INDEX(DL_C,MATCH($CA82,DL_KEY,0)),"M")</f>
        <v>H</v>
      </c>
      <c r="Z82" s="35" t="str">
        <f>IFERROR(INDEX(DL_Au,MATCH($CA82,DL_KEY,0)),"M")</f>
        <v>M</v>
      </c>
      <c r="AA82" s="35" t="str">
        <f>IFERROR(INDEX(DL_Ac,MATCH($CA82,DL_KEY,0)),"M")</f>
        <v>M</v>
      </c>
      <c r="AB82" s="35" t="str">
        <f>IFERROR(INDEX(DL_L,MATCH($CA82,DL_KEY,0)),"M")</f>
        <v>L</v>
      </c>
      <c r="AC82" s="35" t="str">
        <f>IFERROR(INDEX(DL_BI,MATCH($CA82,DL_KEY,0)),"M")</f>
        <v>L</v>
      </c>
      <c r="AD82" s="35" t="str">
        <f>IFERROR(INDEX(DL_Exp,MATCH($CA82,DL_KEY,0)),"M")</f>
        <v>L</v>
      </c>
      <c r="AE82" s="35" t="str">
        <f>IFERROR(INDEX(DL_Edu,MATCH($CA82,DL_KEY,0)),"M")</f>
        <v>L</v>
      </c>
      <c r="AF82" s="34" t="inlineStr">
        <is>
          <t>M</t>
        </is>
      </c>
      <c r="AG82" s="35" t="inlineStr">
        <is>
          <t>M</t>
        </is>
      </c>
      <c r="AH82" s="35" t="inlineStr">
        <is>
          <t>M</t>
        </is>
      </c>
      <c r="AI82" s="35" t="inlineStr">
        <is>
          <t>M</t>
        </is>
      </c>
      <c r="AJ82" s="35" t="inlineStr">
        <is>
          <t>M</t>
        </is>
      </c>
      <c r="AK82" s="35" t="inlineStr">
        <is>
          <t>M</t>
        </is>
      </c>
      <c r="AL82" s="35" t="inlineStr">
        <is>
          <t>M</t>
        </is>
      </c>
      <c r="AM82" s="36" t="n">
        <v>0.583</v>
      </c>
      <c r="AN82" s="37" t="n">
        <v>0.16</v>
      </c>
      <c r="AO82" s="37" t="n">
        <v>0.09</v>
      </c>
      <c r="AP82" s="37" t="n">
        <v>0</v>
      </c>
      <c r="AQ82" s="37" t="n">
        <v>0.063</v>
      </c>
      <c r="AR82" s="37" t="n">
        <v>0.06</v>
      </c>
      <c r="AS82" s="37" t="n">
        <v>0.04</v>
      </c>
      <c r="AT82" s="38" t="inlineStr">
        <is>
          <t>2–5</t>
        </is>
      </c>
      <c r="AU82" s="38" t="inlineStr">
        <is>
          <t>Graduate; relevant certification preferred</t>
        </is>
      </c>
      <c r="AV82" s="38" t="inlineStr">
        <is>
          <t>None · guides 1–3 juniors informally</t>
        </is>
      </c>
      <c r="AW82" s="38" t="inlineStr">
        <is>
          <t>P2 · SFIA 3 Apply</t>
        </is>
      </c>
      <c r="AX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2" s="39" t="inlineStr">
        <is>
          <t>A3</t>
        </is>
      </c>
      <c r="AZ82" s="40" t="inlineStr">
        <is>
          <t>Band A · Practitioner · Senior Associate</t>
        </is>
      </c>
      <c r="BA82" s="40" t="inlineStr">
        <is>
          <t>Model A3 from the six ratings, the market-derived weights and rules R1–R13 · then No change · already below the manager</t>
        </is>
      </c>
      <c r="BB82" s="41" t="inlineStr">
        <is>
          <t>A3</t>
        </is>
      </c>
      <c r="BC82" s="40" t="inlineStr">
        <is>
          <t>The six ratings on the market-average weights of Band A · all tracks score 2.56 → A3 · Hay, Mercer IPE and public plans · experience 3.9 yrs vs the A3 market range 2–5</t>
        </is>
      </c>
      <c r="BD82" s="42">
        <f>IF(SUM(BM82,BN82,BO82,BP82,BQ82,BR82,BS82)=0,0,(BM82*BT82+BN82*BU82+BO82*BV82+BP82*BW82+BQ82*BX82+BR82*BY82+BS82*BZ82)/SUM(BM82,BN82,BO82,BP82,BQ82,BR82,BS82))</f>
        <v>0</v>
      </c>
      <c r="BE82" s="41" t="str">
        <f>IF(LEFT(AY82,1)="X",AY82,IF(OR(AY82="B+",AY82="C+"),INDEX(LAD_PC,MAX(1,MIN(14,MATCH(AY82,LAD_PC,0)+IF(BD82&gt;=0.5,1,IF(BD82&lt;=-0.5,-1,0))))),INDEX(LAD_STD,MAX(1,MIN(12,MATCH(AY82,LAD_STD,0)+IF(BD82&gt;=0.5,1,IF(BD82&lt;=-0.5,-1,0)))))))</f>
        <v>A3</v>
      </c>
      <c r="BF82" s="43" t="n"/>
      <c r="BG82" s="41" t="str">
        <f>IF(BF82&lt;&gt;"",BF82,BE82)</f>
        <v>A3</v>
      </c>
      <c r="BH82" s="40" t="str">
        <f>IFERROR(CHOOSE(INDEX(B_RANK,MATCH(BG82,B_LVL,0)),"Band A","Band B","B+ · Player-Coach","Band C","C+ · Player-Coach","Band D","Band E"),"Band X · Consultant")</f>
        <v>Band A</v>
      </c>
      <c r="BI82" s="40" t="str">
        <f>IF(BG82=AY82,"• Same",IF(INDEX(B_VAL,MATCH(BG82,B_LVL,0))&gt;INDEX(B_VAL,MATCH(AY82,B_LVL,0)),"▲ Up","▼ Down"))</f>
        <v>• Same</v>
      </c>
      <c r="BJ82" s="40" t="str">
        <f>IF(OR($M82="",$M82="—",$M82="Not in this file"),"",IFERROR(INDEX($BG$7:$BG$592,MATCH($M82,$D$7:$D$592,0)),""))</f>
        <v>B1</v>
      </c>
      <c r="BK82" s="40" t="str">
        <f>IFERROR(IF(BJ82="","—",IF(OR(LEFT(BG82,1)="X",LEFT(BJ82,1)="X"),"—",IF(AND(LEFT(BG82,1)="E",LEFT(BJ82,1)="E"),"Exception · Band E",IF(AND(INDEX(B_VAL,MATCH(BJ82,B_LVL,0))&gt;=7,INDEX(B_RANK,MATCH(BG82,B_LVL,0))&gt;=INDEX(B_RANK,MATCH(BJ82,B_LVL,0))),"⚠ Same band as a head manager",IF(INDEX(B_VAL,MATCH(BG82,B_LVL,0))&gt;=INDEX(B_VAL,MATCH(BJ82,B_LVL,0)),"⚠ At or above the manager's level","OK"))))),"—")</f>
        <v>OK</v>
      </c>
      <c r="BL82" s="43" t="n"/>
      <c r="BM82" s="44">
        <f>IFERROR(INDEX(LMH_PTS,MATCH(Y82,LMH_KEY,0)),0)</f>
        <v>9</v>
      </c>
      <c r="BN82" s="38">
        <f>IFERROR(INDEX(LMH_PTS,MATCH(Z82,LMH_KEY,0)),0)</f>
        <v>3</v>
      </c>
      <c r="BO82" s="38">
        <f>IFERROR(INDEX(LMH_PTS,MATCH(AA82,LMH_KEY,0)),0)</f>
        <v>3</v>
      </c>
      <c r="BP82" s="38">
        <f>IFERROR(INDEX(LMH_PTS,MATCH(AB82,LMH_KEY,0)),0)</f>
        <v>1</v>
      </c>
      <c r="BQ82" s="38">
        <f>IFERROR(INDEX(LMH_PTS,MATCH(AC82,LMH_KEY,0)),0)</f>
        <v>1</v>
      </c>
      <c r="BR82" s="38">
        <f>IFERROR(INDEX(LMH_PTS,MATCH(AD82,LMH_KEY,0)),0)</f>
        <v>1</v>
      </c>
      <c r="BS82" s="38">
        <f>IFERROR(INDEX(LMH_PTS,MATCH(AE82,LMH_KEY,0)),0)</f>
        <v>1</v>
      </c>
      <c r="BT82" s="38">
        <f>IFERROR(INDEX(LMH_STEP,MATCH(AF82,LMH_KEY,0)),0)</f>
        <v>0</v>
      </c>
      <c r="BU82" s="38">
        <f>IFERROR(INDEX(LMH_STEP,MATCH(AG82,LMH_KEY,0)),0)</f>
        <v>0</v>
      </c>
      <c r="BV82" s="38">
        <f>IFERROR(INDEX(LMH_STEP,MATCH(AH82,LMH_KEY,0)),0)</f>
        <v>0</v>
      </c>
      <c r="BW82" s="38">
        <f>IFERROR(INDEX(LMH_STEP,MATCH(AI82,LMH_KEY,0)),0)</f>
        <v>0</v>
      </c>
      <c r="BX82" s="38">
        <f>IFERROR(INDEX(LMH_STEP,MATCH(AJ82,LMH_KEY,0)),0)</f>
        <v>0</v>
      </c>
      <c r="BY82" s="38">
        <f>IFERROR(INDEX(LMH_STEP,MATCH(AK82,LMH_KEY,0)),0)</f>
        <v>0</v>
      </c>
      <c r="BZ82" s="38">
        <f>IFERROR(INDEX(LMH_STEP,MATCH(AL82,LMH_KEY,0)),0)</f>
        <v>0</v>
      </c>
      <c r="CA82" s="38" t="inlineStr">
        <is>
          <t>CARBON|Digitizing|Senior Digitization Associate|A3|A</t>
        </is>
      </c>
    </row>
    <row r="83" ht="110" customHeight="1">
      <c r="A83" s="28" t="inlineStr">
        <is>
          <t>CARBON</t>
        </is>
      </c>
      <c r="B83" s="29" t="inlineStr">
        <is>
          <t>Digitizing</t>
        </is>
      </c>
      <c r="C83" s="29" t="n">
        <v>7</v>
      </c>
      <c r="D83" s="29" t="inlineStr">
        <is>
          <t>IRISC225</t>
        </is>
      </c>
      <c r="E83" s="29" t="inlineStr">
        <is>
          <t>Shravan Ghadi</t>
        </is>
      </c>
      <c r="F83" s="29" t="inlineStr">
        <is>
          <t>Consultant</t>
        </is>
      </c>
      <c r="G83" s="29" t="inlineStr">
        <is>
          <t>Senior Digitization Associate</t>
        </is>
      </c>
      <c r="H83" s="29" t="inlineStr">
        <is>
          <t>Data Operations &amp; Digitization</t>
        </is>
      </c>
      <c r="I83" s="29" t="inlineStr">
        <is>
          <t>Document Conversion, Formatting &amp; Web Publishing</t>
        </is>
      </c>
      <c r="J83" s="29" t="inlineStr">
        <is>
          <t>IC</t>
        </is>
      </c>
      <c r="K83" s="29" t="inlineStr">
        <is>
          <t>RC-047</t>
        </is>
      </c>
      <c r="L83" s="29" t="inlineStr">
        <is>
          <t>Datta Hatagale</t>
        </is>
      </c>
      <c r="M83" s="29" t="inlineStr">
        <is>
          <t>IRIS1005</t>
        </is>
      </c>
      <c r="N83" s="29" t="n">
        <v>4.5</v>
      </c>
      <c r="O83" s="29" t="n">
        <v>4.5</v>
      </c>
      <c r="P83" s="29" t="inlineStr">
        <is>
          <t>Undergraduate</t>
        </is>
      </c>
      <c r="Q83" s="29" t="inlineStr">
        <is>
          <t>L3 – Professional / Associate</t>
        </is>
      </c>
      <c r="R83" s="29" t="inlineStr">
        <is>
          <t>A3</t>
        </is>
      </c>
      <c r="S83" s="30" t="inlineStr">
        <is>
          <t>19 of 20</t>
        </is>
      </c>
      <c r="T83" s="31" t="inlineStr">
        <is>
          <t>• Role / sub-team: Digitising Assited Services.</t>
        </is>
      </c>
      <c r="U83"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3" s="31" t="inlineStr">
        <is>
          <t>Latest rating: 3 · Potential: Medium · 9-box: Core Contributor · Readiness: Develop in role</t>
        </is>
      </c>
      <c r="W83" s="31" t="inlineStr">
        <is>
          <t>C L · Au L · Ac L · L L · BI M · Exp H · 4.5 yrs vs 2–4 yrs · Edu L · Undergraduate</t>
        </is>
      </c>
      <c r="X83" s="33" t="inlineStr">
        <is>
          <t>Open ▸</t>
        </is>
      </c>
      <c r="Y83" s="34" t="str">
        <f>IFERROR(INDEX(DL_C,MATCH($CA83,DL_KEY,0)),"M")</f>
        <v>H</v>
      </c>
      <c r="Z83" s="35" t="str">
        <f>IFERROR(INDEX(DL_Au,MATCH($CA83,DL_KEY,0)),"M")</f>
        <v>M</v>
      </c>
      <c r="AA83" s="35" t="str">
        <f>IFERROR(INDEX(DL_Ac,MATCH($CA83,DL_KEY,0)),"M")</f>
        <v>M</v>
      </c>
      <c r="AB83" s="35" t="str">
        <f>IFERROR(INDEX(DL_L,MATCH($CA83,DL_KEY,0)),"M")</f>
        <v>L</v>
      </c>
      <c r="AC83" s="35" t="str">
        <f>IFERROR(INDEX(DL_BI,MATCH($CA83,DL_KEY,0)),"M")</f>
        <v>L</v>
      </c>
      <c r="AD83" s="35" t="str">
        <f>IFERROR(INDEX(DL_Exp,MATCH($CA83,DL_KEY,0)),"M")</f>
        <v>L</v>
      </c>
      <c r="AE83" s="35" t="str">
        <f>IFERROR(INDEX(DL_Edu,MATCH($CA83,DL_KEY,0)),"M")</f>
        <v>L</v>
      </c>
      <c r="AF83" s="34" t="inlineStr">
        <is>
          <t>M</t>
        </is>
      </c>
      <c r="AG83" s="35" t="inlineStr">
        <is>
          <t>M</t>
        </is>
      </c>
      <c r="AH83" s="35" t="inlineStr">
        <is>
          <t>M</t>
        </is>
      </c>
      <c r="AI83" s="35" t="inlineStr">
        <is>
          <t>M</t>
        </is>
      </c>
      <c r="AJ83" s="35" t="inlineStr">
        <is>
          <t>M</t>
        </is>
      </c>
      <c r="AK83" s="35" t="inlineStr">
        <is>
          <t>M</t>
        </is>
      </c>
      <c r="AL83" s="35" t="inlineStr">
        <is>
          <t>M</t>
        </is>
      </c>
      <c r="AM83" s="36" t="n">
        <v>0.583</v>
      </c>
      <c r="AN83" s="37" t="n">
        <v>0.16</v>
      </c>
      <c r="AO83" s="37" t="n">
        <v>0.09</v>
      </c>
      <c r="AP83" s="37" t="n">
        <v>0</v>
      </c>
      <c r="AQ83" s="37" t="n">
        <v>0.063</v>
      </c>
      <c r="AR83" s="37" t="n">
        <v>0.06</v>
      </c>
      <c r="AS83" s="37" t="n">
        <v>0.04</v>
      </c>
      <c r="AT83" s="38" t="inlineStr">
        <is>
          <t>2–5</t>
        </is>
      </c>
      <c r="AU83" s="38" t="inlineStr">
        <is>
          <t>Graduate; relevant certification preferred</t>
        </is>
      </c>
      <c r="AV83" s="38" t="inlineStr">
        <is>
          <t>None · guides 1–3 juniors informally</t>
        </is>
      </c>
      <c r="AW83" s="38" t="inlineStr">
        <is>
          <t>P2 · SFIA 3 Apply</t>
        </is>
      </c>
      <c r="AX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3" s="39" t="inlineStr">
        <is>
          <t>A3</t>
        </is>
      </c>
      <c r="AZ83" s="40" t="inlineStr">
        <is>
          <t>Band A · Practitioner · Senior Associate</t>
        </is>
      </c>
      <c r="BA83" s="40" t="inlineStr">
        <is>
          <t>Model A3 from the six ratings, the market-derived weights and rules R1–R13 · then No change · already below the manager</t>
        </is>
      </c>
      <c r="BB83" s="41" t="inlineStr">
        <is>
          <t>A2</t>
        </is>
      </c>
      <c r="BC83" s="40" t="inlineStr">
        <is>
          <t>The six ratings on the market-average weights of Band A · all tracks score 2.13 → A2 · Hay, Mercer IPE and public plans · experience 4.5 yrs vs the A2 market range 0–3</t>
        </is>
      </c>
      <c r="BD83" s="42">
        <f>IF(SUM(BM83,BN83,BO83,BP83,BQ83,BR83,BS83)=0,0,(BM83*BT83+BN83*BU83+BO83*BV83+BP83*BW83+BQ83*BX83+BR83*BY83+BS83*BZ83)/SUM(BM83,BN83,BO83,BP83,BQ83,BR83,BS83))</f>
        <v>0</v>
      </c>
      <c r="BE83" s="41" t="str">
        <f>IF(LEFT(AY83,1)="X",AY83,IF(OR(AY83="B+",AY83="C+"),INDEX(LAD_PC,MAX(1,MIN(14,MATCH(AY83,LAD_PC,0)+IF(BD83&gt;=0.5,1,IF(BD83&lt;=-0.5,-1,0))))),INDEX(LAD_STD,MAX(1,MIN(12,MATCH(AY83,LAD_STD,0)+IF(BD83&gt;=0.5,1,IF(BD83&lt;=-0.5,-1,0)))))))</f>
        <v>A3</v>
      </c>
      <c r="BF83" s="43" t="n"/>
      <c r="BG83" s="41" t="str">
        <f>IF(BF83&lt;&gt;"",BF83,BE83)</f>
        <v>A3</v>
      </c>
      <c r="BH83" s="40" t="str">
        <f>IFERROR(CHOOSE(INDEX(B_RANK,MATCH(BG83,B_LVL,0)),"Band A","Band B","B+ · Player-Coach","Band C","C+ · Player-Coach","Band D","Band E"),"Band X · Consultant")</f>
        <v>Band A</v>
      </c>
      <c r="BI83" s="40" t="str">
        <f>IF(BG83=AY83,"• Same",IF(INDEX(B_VAL,MATCH(BG83,B_LVL,0))&gt;INDEX(B_VAL,MATCH(AY83,B_LVL,0)),"▲ Up","▼ Down"))</f>
        <v>• Same</v>
      </c>
      <c r="BJ83" s="40" t="str">
        <f>IF(OR($M83="",$M83="—",$M83="Not in this file"),"",IFERROR(INDEX($BG$7:$BG$592,MATCH($M83,$D$7:$D$592,0)),""))</f>
        <v>B1</v>
      </c>
      <c r="BK83" s="40" t="str">
        <f>IFERROR(IF(BJ83="","—",IF(OR(LEFT(BG83,1)="X",LEFT(BJ83,1)="X"),"—",IF(AND(LEFT(BG83,1)="E",LEFT(BJ83,1)="E"),"Exception · Band E",IF(AND(INDEX(B_VAL,MATCH(BJ83,B_LVL,0))&gt;=7,INDEX(B_RANK,MATCH(BG83,B_LVL,0))&gt;=INDEX(B_RANK,MATCH(BJ83,B_LVL,0))),"⚠ Same band as a head manager",IF(INDEX(B_VAL,MATCH(BG83,B_LVL,0))&gt;=INDEX(B_VAL,MATCH(BJ83,B_LVL,0)),"⚠ At or above the manager's level","OK"))))),"—")</f>
        <v>OK</v>
      </c>
      <c r="BL83" s="43" t="n"/>
      <c r="BM83" s="44">
        <f>IFERROR(INDEX(LMH_PTS,MATCH(Y83,LMH_KEY,0)),0)</f>
        <v>9</v>
      </c>
      <c r="BN83" s="38">
        <f>IFERROR(INDEX(LMH_PTS,MATCH(Z83,LMH_KEY,0)),0)</f>
        <v>3</v>
      </c>
      <c r="BO83" s="38">
        <f>IFERROR(INDEX(LMH_PTS,MATCH(AA83,LMH_KEY,0)),0)</f>
        <v>3</v>
      </c>
      <c r="BP83" s="38">
        <f>IFERROR(INDEX(LMH_PTS,MATCH(AB83,LMH_KEY,0)),0)</f>
        <v>1</v>
      </c>
      <c r="BQ83" s="38">
        <f>IFERROR(INDEX(LMH_PTS,MATCH(AC83,LMH_KEY,0)),0)</f>
        <v>1</v>
      </c>
      <c r="BR83" s="38">
        <f>IFERROR(INDEX(LMH_PTS,MATCH(AD83,LMH_KEY,0)),0)</f>
        <v>1</v>
      </c>
      <c r="BS83" s="38">
        <f>IFERROR(INDEX(LMH_PTS,MATCH(AE83,LMH_KEY,0)),0)</f>
        <v>1</v>
      </c>
      <c r="BT83" s="38">
        <f>IFERROR(INDEX(LMH_STEP,MATCH(AF83,LMH_KEY,0)),0)</f>
        <v>0</v>
      </c>
      <c r="BU83" s="38">
        <f>IFERROR(INDEX(LMH_STEP,MATCH(AG83,LMH_KEY,0)),0)</f>
        <v>0</v>
      </c>
      <c r="BV83" s="38">
        <f>IFERROR(INDEX(LMH_STEP,MATCH(AH83,LMH_KEY,0)),0)</f>
        <v>0</v>
      </c>
      <c r="BW83" s="38">
        <f>IFERROR(INDEX(LMH_STEP,MATCH(AI83,LMH_KEY,0)),0)</f>
        <v>0</v>
      </c>
      <c r="BX83" s="38">
        <f>IFERROR(INDEX(LMH_STEP,MATCH(AJ83,LMH_KEY,0)),0)</f>
        <v>0</v>
      </c>
      <c r="BY83" s="38">
        <f>IFERROR(INDEX(LMH_STEP,MATCH(AK83,LMH_KEY,0)),0)</f>
        <v>0</v>
      </c>
      <c r="BZ83" s="38">
        <f>IFERROR(INDEX(LMH_STEP,MATCH(AL83,LMH_KEY,0)),0)</f>
        <v>0</v>
      </c>
      <c r="CA83" s="38" t="inlineStr">
        <is>
          <t>CARBON|Digitizing|Senior Digitization Associate|A3|A</t>
        </is>
      </c>
    </row>
    <row r="84" ht="110" customHeight="1">
      <c r="A84" s="28" t="inlineStr">
        <is>
          <t>CARBON</t>
        </is>
      </c>
      <c r="B84" s="29" t="inlineStr">
        <is>
          <t>Digitizing</t>
        </is>
      </c>
      <c r="C84" s="29" t="n">
        <v>7</v>
      </c>
      <c r="D84" s="29" t="inlineStr">
        <is>
          <t>IRISC271</t>
        </is>
      </c>
      <c r="E84" s="29" t="inlineStr">
        <is>
          <t>Siddhesh Manjrekar</t>
        </is>
      </c>
      <c r="F84" s="29" t="inlineStr">
        <is>
          <t>Consultant</t>
        </is>
      </c>
      <c r="G84" s="29" t="inlineStr">
        <is>
          <t>Senior Digitization Associate</t>
        </is>
      </c>
      <c r="H84" s="29" t="inlineStr">
        <is>
          <t>Data Operations &amp; Digitization</t>
        </is>
      </c>
      <c r="I84" s="29" t="inlineStr">
        <is>
          <t>Document Conversion, Formatting &amp; Web Publishing</t>
        </is>
      </c>
      <c r="J84" s="29" t="inlineStr">
        <is>
          <t>IC</t>
        </is>
      </c>
      <c r="K84" s="29" t="inlineStr">
        <is>
          <t>RC-047</t>
        </is>
      </c>
      <c r="L84" s="29" t="inlineStr">
        <is>
          <t>Datta Hatagale</t>
        </is>
      </c>
      <c r="M84" s="29" t="inlineStr">
        <is>
          <t>IRIS1005</t>
        </is>
      </c>
      <c r="N84" s="29" t="n">
        <v>3.5</v>
      </c>
      <c r="O84" s="29" t="n">
        <v>3.1</v>
      </c>
      <c r="P84" s="29" t="inlineStr">
        <is>
          <t>BMS</t>
        </is>
      </c>
      <c r="Q84" s="29" t="inlineStr">
        <is>
          <t>L3 – Professional / Associate</t>
        </is>
      </c>
      <c r="R84" s="29" t="inlineStr">
        <is>
          <t>A3</t>
        </is>
      </c>
      <c r="S84" s="30" t="inlineStr">
        <is>
          <t>20 of 20</t>
        </is>
      </c>
      <c r="T84" s="31" t="inlineStr">
        <is>
          <t>• Role / sub-team: Digitizing Assisted Services.</t>
        </is>
      </c>
      <c r="U84"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84" s="31" t="inlineStr">
        <is>
          <t>Latest rating: 3 · Potential: Medium · 9-box: Core Contributor · Readiness: Develop in role</t>
        </is>
      </c>
      <c r="W84" s="31" t="inlineStr">
        <is>
          <t>C L · Au L · Ac L · L L · BI M · Exp M · 3.5 yrs vs 2–4 yrs · Edu M · BMS</t>
        </is>
      </c>
      <c r="X84" s="33" t="inlineStr">
        <is>
          <t>Open ▸</t>
        </is>
      </c>
      <c r="Y84" s="34" t="str">
        <f>IFERROR(INDEX(DL_C,MATCH($CA84,DL_KEY,0)),"M")</f>
        <v>H</v>
      </c>
      <c r="Z84" s="35" t="str">
        <f>IFERROR(INDEX(DL_Au,MATCH($CA84,DL_KEY,0)),"M")</f>
        <v>M</v>
      </c>
      <c r="AA84" s="35" t="str">
        <f>IFERROR(INDEX(DL_Ac,MATCH($CA84,DL_KEY,0)),"M")</f>
        <v>M</v>
      </c>
      <c r="AB84" s="35" t="str">
        <f>IFERROR(INDEX(DL_L,MATCH($CA84,DL_KEY,0)),"M")</f>
        <v>L</v>
      </c>
      <c r="AC84" s="35" t="str">
        <f>IFERROR(INDEX(DL_BI,MATCH($CA84,DL_KEY,0)),"M")</f>
        <v>L</v>
      </c>
      <c r="AD84" s="35" t="str">
        <f>IFERROR(INDEX(DL_Exp,MATCH($CA84,DL_KEY,0)),"M")</f>
        <v>L</v>
      </c>
      <c r="AE84" s="35" t="str">
        <f>IFERROR(INDEX(DL_Edu,MATCH($CA84,DL_KEY,0)),"M")</f>
        <v>L</v>
      </c>
      <c r="AF84" s="34" t="inlineStr">
        <is>
          <t>M</t>
        </is>
      </c>
      <c r="AG84" s="35" t="inlineStr">
        <is>
          <t>M</t>
        </is>
      </c>
      <c r="AH84" s="35" t="inlineStr">
        <is>
          <t>M</t>
        </is>
      </c>
      <c r="AI84" s="35" t="inlineStr">
        <is>
          <t>M</t>
        </is>
      </c>
      <c r="AJ84" s="35" t="inlineStr">
        <is>
          <t>M</t>
        </is>
      </c>
      <c r="AK84" s="35" t="inlineStr">
        <is>
          <t>M</t>
        </is>
      </c>
      <c r="AL84" s="35" t="inlineStr">
        <is>
          <t>M</t>
        </is>
      </c>
      <c r="AM84" s="36" t="n">
        <v>0.583</v>
      </c>
      <c r="AN84" s="37" t="n">
        <v>0.16</v>
      </c>
      <c r="AO84" s="37" t="n">
        <v>0.09</v>
      </c>
      <c r="AP84" s="37" t="n">
        <v>0</v>
      </c>
      <c r="AQ84" s="37" t="n">
        <v>0.063</v>
      </c>
      <c r="AR84" s="37" t="n">
        <v>0.06</v>
      </c>
      <c r="AS84" s="37" t="n">
        <v>0.04</v>
      </c>
      <c r="AT84" s="38" t="inlineStr">
        <is>
          <t>2–5</t>
        </is>
      </c>
      <c r="AU84" s="38" t="inlineStr">
        <is>
          <t>Graduate; relevant certification preferred</t>
        </is>
      </c>
      <c r="AV84" s="38" t="inlineStr">
        <is>
          <t>None · guides 1–3 juniors informally</t>
        </is>
      </c>
      <c r="AW84" s="38" t="inlineStr">
        <is>
          <t>P2 · SFIA 3 Apply</t>
        </is>
      </c>
      <c r="AX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4" s="39" t="inlineStr">
        <is>
          <t>A3</t>
        </is>
      </c>
      <c r="AZ84" s="40" t="inlineStr">
        <is>
          <t>Band A · Practitioner · Senior Associate</t>
        </is>
      </c>
      <c r="BA84" s="40" t="inlineStr">
        <is>
          <t>Model A3 from the six ratings, the market-derived weights and rules R1–R13 · then No change · already below the manager</t>
        </is>
      </c>
      <c r="BB84" s="41" t="inlineStr">
        <is>
          <t>A2</t>
        </is>
      </c>
      <c r="BC84" s="40" t="inlineStr">
        <is>
          <t>The six ratings on the market-average weights of Band A · all tracks score 2.13 → A2 · Hay, Mercer IPE and public plans · experience 3.5 yrs vs the A2 market range 0–3</t>
        </is>
      </c>
      <c r="BD84" s="42">
        <f>IF(SUM(BM84,BN84,BO84,BP84,BQ84,BR84,BS84)=0,0,(BM84*BT84+BN84*BU84+BO84*BV84+BP84*BW84+BQ84*BX84+BR84*BY84+BS84*BZ84)/SUM(BM84,BN84,BO84,BP84,BQ84,BR84,BS84))</f>
        <v>0</v>
      </c>
      <c r="BE84" s="41" t="str">
        <f>IF(LEFT(AY84,1)="X",AY84,IF(OR(AY84="B+",AY84="C+"),INDEX(LAD_PC,MAX(1,MIN(14,MATCH(AY84,LAD_PC,0)+IF(BD84&gt;=0.5,1,IF(BD84&lt;=-0.5,-1,0))))),INDEX(LAD_STD,MAX(1,MIN(12,MATCH(AY84,LAD_STD,0)+IF(BD84&gt;=0.5,1,IF(BD84&lt;=-0.5,-1,0)))))))</f>
        <v>A3</v>
      </c>
      <c r="BF84" s="43" t="n"/>
      <c r="BG84" s="41" t="str">
        <f>IF(BF84&lt;&gt;"",BF84,BE84)</f>
        <v>A3</v>
      </c>
      <c r="BH84" s="40" t="str">
        <f>IFERROR(CHOOSE(INDEX(B_RANK,MATCH(BG84,B_LVL,0)),"Band A","Band B","B+ · Player-Coach","Band C","C+ · Player-Coach","Band D","Band E"),"Band X · Consultant")</f>
        <v>Band A</v>
      </c>
      <c r="BI84" s="40" t="str">
        <f>IF(BG84=AY84,"• Same",IF(INDEX(B_VAL,MATCH(BG84,B_LVL,0))&gt;INDEX(B_VAL,MATCH(AY84,B_LVL,0)),"▲ Up","▼ Down"))</f>
        <v>• Same</v>
      </c>
      <c r="BJ84" s="40" t="str">
        <f>IF(OR($M84="",$M84="—",$M84="Not in this file"),"",IFERROR(INDEX($BG$7:$BG$592,MATCH($M84,$D$7:$D$592,0)),""))</f>
        <v>B1</v>
      </c>
      <c r="BK84" s="40" t="str">
        <f>IFERROR(IF(BJ84="","—",IF(OR(LEFT(BG84,1)="X",LEFT(BJ84,1)="X"),"—",IF(AND(LEFT(BG84,1)="E",LEFT(BJ84,1)="E"),"Exception · Band E",IF(AND(INDEX(B_VAL,MATCH(BJ84,B_LVL,0))&gt;=7,INDEX(B_RANK,MATCH(BG84,B_LVL,0))&gt;=INDEX(B_RANK,MATCH(BJ84,B_LVL,0))),"⚠ Same band as a head manager",IF(INDEX(B_VAL,MATCH(BG84,B_LVL,0))&gt;=INDEX(B_VAL,MATCH(BJ84,B_LVL,0)),"⚠ At or above the manager's level","OK"))))),"—")</f>
        <v>OK</v>
      </c>
      <c r="BL84" s="43" t="n"/>
      <c r="BM84" s="44">
        <f>IFERROR(INDEX(LMH_PTS,MATCH(Y84,LMH_KEY,0)),0)</f>
        <v>9</v>
      </c>
      <c r="BN84" s="38">
        <f>IFERROR(INDEX(LMH_PTS,MATCH(Z84,LMH_KEY,0)),0)</f>
        <v>3</v>
      </c>
      <c r="BO84" s="38">
        <f>IFERROR(INDEX(LMH_PTS,MATCH(AA84,LMH_KEY,0)),0)</f>
        <v>3</v>
      </c>
      <c r="BP84" s="38">
        <f>IFERROR(INDEX(LMH_PTS,MATCH(AB84,LMH_KEY,0)),0)</f>
        <v>1</v>
      </c>
      <c r="BQ84" s="38">
        <f>IFERROR(INDEX(LMH_PTS,MATCH(AC84,LMH_KEY,0)),0)</f>
        <v>1</v>
      </c>
      <c r="BR84" s="38">
        <f>IFERROR(INDEX(LMH_PTS,MATCH(AD84,LMH_KEY,0)),0)</f>
        <v>1</v>
      </c>
      <c r="BS84" s="38">
        <f>IFERROR(INDEX(LMH_PTS,MATCH(AE84,LMH_KEY,0)),0)</f>
        <v>1</v>
      </c>
      <c r="BT84" s="38">
        <f>IFERROR(INDEX(LMH_STEP,MATCH(AF84,LMH_KEY,0)),0)</f>
        <v>0</v>
      </c>
      <c r="BU84" s="38">
        <f>IFERROR(INDEX(LMH_STEP,MATCH(AG84,LMH_KEY,0)),0)</f>
        <v>0</v>
      </c>
      <c r="BV84" s="38">
        <f>IFERROR(INDEX(LMH_STEP,MATCH(AH84,LMH_KEY,0)),0)</f>
        <v>0</v>
      </c>
      <c r="BW84" s="38">
        <f>IFERROR(INDEX(LMH_STEP,MATCH(AI84,LMH_KEY,0)),0)</f>
        <v>0</v>
      </c>
      <c r="BX84" s="38">
        <f>IFERROR(INDEX(LMH_STEP,MATCH(AJ84,LMH_KEY,0)),0)</f>
        <v>0</v>
      </c>
      <c r="BY84" s="38">
        <f>IFERROR(INDEX(LMH_STEP,MATCH(AK84,LMH_KEY,0)),0)</f>
        <v>0</v>
      </c>
      <c r="BZ84" s="38">
        <f>IFERROR(INDEX(LMH_STEP,MATCH(AL84,LMH_KEY,0)),0)</f>
        <v>0</v>
      </c>
      <c r="CA84" s="38" t="inlineStr">
        <is>
          <t>CARBON|Digitizing|Senior Digitization Associate|A3|A</t>
        </is>
      </c>
    </row>
    <row r="85" ht="110" customHeight="1">
      <c r="A85" s="28" t="inlineStr">
        <is>
          <t>CARBON</t>
        </is>
      </c>
      <c r="B85" s="29" t="inlineStr">
        <is>
          <t>Digitizing</t>
        </is>
      </c>
      <c r="C85" s="29" t="n">
        <v>6</v>
      </c>
      <c r="D85" s="29" t="inlineStr">
        <is>
          <t>IRIS1204</t>
        </is>
      </c>
      <c r="E85" s="29" t="inlineStr">
        <is>
          <t>Dinesh Sharma</t>
        </is>
      </c>
      <c r="F85" s="29" t="inlineStr">
        <is>
          <t>Image Processing Specialist</t>
        </is>
      </c>
      <c r="G85" s="29" t="inlineStr">
        <is>
          <t>Team Lead – Digitization</t>
        </is>
      </c>
      <c r="H85" s="29" t="inlineStr">
        <is>
          <t>Data Operations &amp; Digitization</t>
        </is>
      </c>
      <c r="I85" s="29" t="inlineStr">
        <is>
          <t>Document Conversion, Formatting &amp; Web Publishing</t>
        </is>
      </c>
      <c r="J85" s="29" t="inlineStr">
        <is>
          <t>People Manager</t>
        </is>
      </c>
      <c r="K85" s="29" t="inlineStr">
        <is>
          <t>RC-049</t>
        </is>
      </c>
      <c r="L85" s="29" t="inlineStr">
        <is>
          <t>Vijay Parulekar</t>
        </is>
      </c>
      <c r="M85" s="29" t="inlineStr">
        <is>
          <t>IRIS0055</t>
        </is>
      </c>
      <c r="N85" s="29" t="n">
        <v>18</v>
      </c>
      <c r="O85" s="29" t="n">
        <v>18</v>
      </c>
      <c r="P85" s="29" t="inlineStr">
        <is>
          <t>B.Com</t>
        </is>
      </c>
      <c r="Q85" s="29" t="inlineStr">
        <is>
          <t>L3 – Professional / Associate</t>
        </is>
      </c>
      <c r="R85" s="29" t="inlineStr">
        <is>
          <t>B1</t>
        </is>
      </c>
      <c r="S85" s="30" t="inlineStr">
        <is>
          <t>20 of 20</t>
        </is>
      </c>
      <c r="T85" s="31" t="inlineStr">
        <is>
          <t>• Role / sub-team: Digitizing assited service.</t>
        </is>
      </c>
      <c r="U85"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85" s="31" t="inlineStr">
        <is>
          <t>Latest rating: 5 · Potential: High · 9-box: Core Contributor · Readiness: Ready now</t>
        </is>
      </c>
      <c r="W85" s="31" t="inlineStr">
        <is>
          <t>C L · Au M · Ac M · L M · BI M · Exp H · 18 yrs vs 4–7 yrs · Edu M · B.Com</t>
        </is>
      </c>
      <c r="X85" s="33" t="inlineStr">
        <is>
          <t>Open ▸</t>
        </is>
      </c>
      <c r="Y85" s="34" t="str">
        <f>IFERROR(INDEX(DL_C,MATCH($CA85,DL_KEY,0)),"M")</f>
        <v>H</v>
      </c>
      <c r="Z85" s="35" t="str">
        <f>IFERROR(INDEX(DL_Au,MATCH($CA85,DL_KEY,0)),"M")</f>
        <v>M</v>
      </c>
      <c r="AA85" s="35" t="str">
        <f>IFERROR(INDEX(DL_Ac,MATCH($CA85,DL_KEY,0)),"M")</f>
        <v>M</v>
      </c>
      <c r="AB85" s="35" t="str">
        <f>IFERROR(INDEX(DL_L,MATCH($CA85,DL_KEY,0)),"M")</f>
        <v>M</v>
      </c>
      <c r="AC85" s="35" t="str">
        <f>IFERROR(INDEX(DL_BI,MATCH($CA85,DL_KEY,0)),"M")</f>
        <v>L</v>
      </c>
      <c r="AD85" s="35" t="str">
        <f>IFERROR(INDEX(DL_Exp,MATCH($CA85,DL_KEY,0)),"M")</f>
        <v>L</v>
      </c>
      <c r="AE85" s="35" t="str">
        <f>IFERROR(INDEX(DL_Edu,MATCH($CA85,DL_KEY,0)),"M")</f>
        <v>L</v>
      </c>
      <c r="AF85" s="34" t="inlineStr">
        <is>
          <t>M</t>
        </is>
      </c>
      <c r="AG85" s="35" t="inlineStr">
        <is>
          <t>M</t>
        </is>
      </c>
      <c r="AH85" s="35" t="inlineStr">
        <is>
          <t>M</t>
        </is>
      </c>
      <c r="AI85" s="35" t="inlineStr">
        <is>
          <t>M</t>
        </is>
      </c>
      <c r="AJ85" s="35" t="inlineStr">
        <is>
          <t>M</t>
        </is>
      </c>
      <c r="AK85" s="35" t="inlineStr">
        <is>
          <t>M</t>
        </is>
      </c>
      <c r="AL85" s="35" t="inlineStr">
        <is>
          <t>M</t>
        </is>
      </c>
      <c r="AM85" s="36" t="n">
        <v>0.37</v>
      </c>
      <c r="AN85" s="37" t="n">
        <v>0.183</v>
      </c>
      <c r="AO85" s="37" t="n">
        <v>0.113</v>
      </c>
      <c r="AP85" s="37" t="n">
        <v>0.15</v>
      </c>
      <c r="AQ85" s="37" t="n">
        <v>0.08699999999999999</v>
      </c>
      <c r="AR85" s="37" t="n">
        <v>0.06</v>
      </c>
      <c r="AS85" s="37" t="n">
        <v>0.04</v>
      </c>
      <c r="AT85" s="38" t="inlineStr">
        <is>
          <t>4–8</t>
        </is>
      </c>
      <c r="AU85" s="38" t="inlineStr">
        <is>
          <t>Graduate + relevant qualification or certification preferred</t>
        </is>
      </c>
      <c r="AV85" s="38" t="inlineStr">
        <is>
          <t>IC: none · Team Lead: 3–5</t>
        </is>
      </c>
      <c r="AW85" s="38" t="inlineStr">
        <is>
          <t>P3 / M2 · SFIA 4 Enable</t>
        </is>
      </c>
      <c r="AX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5" s="39" t="inlineStr">
        <is>
          <t>B1</t>
        </is>
      </c>
      <c r="AZ85" s="40" t="inlineStr">
        <is>
          <t>Band B · Specialist / Manager · Team Lead / Asst Manager</t>
        </is>
      </c>
      <c r="BA85" s="40" t="inlineStr">
        <is>
          <t>Model B1 from the six ratings, the market-derived weights and rules R1–R13 · then No change · already below the manager</t>
        </is>
      </c>
      <c r="BB85" s="41" t="inlineStr">
        <is>
          <t>B1</t>
        </is>
      </c>
      <c r="BC85" s="40" t="inlineStr">
        <is>
          <t>The six ratings on the market-average weights of Band B · People Manager score 3.98 → B1 · Hay, Mercer IPE and public plans · experience 18 yrs vs the B1 market range 4–8</t>
        </is>
      </c>
      <c r="BD85" s="42">
        <f>IF(SUM(BM85,BN85,BO85,BP85,BQ85,BR85,BS85)=0,0,(BM85*BT85+BN85*BU85+BO85*BV85+BP85*BW85+BQ85*BX85+BR85*BY85+BS85*BZ85)/SUM(BM85,BN85,BO85,BP85,BQ85,BR85,BS85))</f>
        <v>0</v>
      </c>
      <c r="BE85" s="41" t="str">
        <f>IF(LEFT(AY85,1)="X",AY85,IF(OR(AY85="B+",AY85="C+"),INDEX(LAD_PC,MAX(1,MIN(14,MATCH(AY85,LAD_PC,0)+IF(BD85&gt;=0.5,1,IF(BD85&lt;=-0.5,-1,0))))),INDEX(LAD_STD,MAX(1,MIN(12,MATCH(AY85,LAD_STD,0)+IF(BD85&gt;=0.5,1,IF(BD85&lt;=-0.5,-1,0)))))))</f>
        <v>B1</v>
      </c>
      <c r="BF85" s="43" t="n"/>
      <c r="BG85" s="41" t="str">
        <f>IF(BF85&lt;&gt;"",BF85,BE85)</f>
        <v>B1</v>
      </c>
      <c r="BH85" s="40" t="str">
        <f>IFERROR(CHOOSE(INDEX(B_RANK,MATCH(BG85,B_LVL,0)),"Band A","Band B","B+ · Player-Coach","Band C","C+ · Player-Coach","Band D","Band E"),"Band X · Consultant")</f>
        <v>Band B</v>
      </c>
      <c r="BI85" s="40" t="str">
        <f>IF(BG85=AY85,"• Same",IF(INDEX(B_VAL,MATCH(BG85,B_LVL,0))&gt;INDEX(B_VAL,MATCH(AY85,B_LVL,0)),"▲ Up","▼ Down"))</f>
        <v>• Same</v>
      </c>
      <c r="BJ85" s="40" t="str">
        <f>IF(OR($M85="",$M85="—",$M85="Not in this file"),"",IFERROR(INDEX($BG$7:$BG$592,MATCH($M85,$D$7:$D$592,0)),""))</f>
        <v>B2</v>
      </c>
      <c r="BK85" s="40" t="str">
        <f>IFERROR(IF(BJ85="","—",IF(OR(LEFT(BG85,1)="X",LEFT(BJ85,1)="X"),"—",IF(AND(LEFT(BG85,1)="E",LEFT(BJ85,1)="E"),"Exception · Band E",IF(AND(INDEX(B_VAL,MATCH(BJ85,B_LVL,0))&gt;=7,INDEX(B_RANK,MATCH(BG85,B_LVL,0))&gt;=INDEX(B_RANK,MATCH(BJ85,B_LVL,0))),"⚠ Same band as a head manager",IF(INDEX(B_VAL,MATCH(BG85,B_LVL,0))&gt;=INDEX(B_VAL,MATCH(BJ85,B_LVL,0)),"⚠ At or above the manager's level","OK"))))),"—")</f>
        <v>OK</v>
      </c>
      <c r="BL85" s="43" t="n"/>
      <c r="BM85" s="44">
        <f>IFERROR(INDEX(LMH_PTS,MATCH(Y85,LMH_KEY,0)),0)</f>
        <v>9</v>
      </c>
      <c r="BN85" s="38">
        <f>IFERROR(INDEX(LMH_PTS,MATCH(Z85,LMH_KEY,0)),0)</f>
        <v>3</v>
      </c>
      <c r="BO85" s="38">
        <f>IFERROR(INDEX(LMH_PTS,MATCH(AA85,LMH_KEY,0)),0)</f>
        <v>3</v>
      </c>
      <c r="BP85" s="38">
        <f>IFERROR(INDEX(LMH_PTS,MATCH(AB85,LMH_KEY,0)),0)</f>
        <v>3</v>
      </c>
      <c r="BQ85" s="38">
        <f>IFERROR(INDEX(LMH_PTS,MATCH(AC85,LMH_KEY,0)),0)</f>
        <v>1</v>
      </c>
      <c r="BR85" s="38">
        <f>IFERROR(INDEX(LMH_PTS,MATCH(AD85,LMH_KEY,0)),0)</f>
        <v>1</v>
      </c>
      <c r="BS85" s="38">
        <f>IFERROR(INDEX(LMH_PTS,MATCH(AE85,LMH_KEY,0)),0)</f>
        <v>1</v>
      </c>
      <c r="BT85" s="38">
        <f>IFERROR(INDEX(LMH_STEP,MATCH(AF85,LMH_KEY,0)),0)</f>
        <v>0</v>
      </c>
      <c r="BU85" s="38">
        <f>IFERROR(INDEX(LMH_STEP,MATCH(AG85,LMH_KEY,0)),0)</f>
        <v>0</v>
      </c>
      <c r="BV85" s="38">
        <f>IFERROR(INDEX(LMH_STEP,MATCH(AH85,LMH_KEY,0)),0)</f>
        <v>0</v>
      </c>
      <c r="BW85" s="38">
        <f>IFERROR(INDEX(LMH_STEP,MATCH(AI85,LMH_KEY,0)),0)</f>
        <v>0</v>
      </c>
      <c r="BX85" s="38">
        <f>IFERROR(INDEX(LMH_STEP,MATCH(AJ85,LMH_KEY,0)),0)</f>
        <v>0</v>
      </c>
      <c r="BY85" s="38">
        <f>IFERROR(INDEX(LMH_STEP,MATCH(AK85,LMH_KEY,0)),0)</f>
        <v>0</v>
      </c>
      <c r="BZ85" s="38">
        <f>IFERROR(INDEX(LMH_STEP,MATCH(AL85,LMH_KEY,0)),0)</f>
        <v>0</v>
      </c>
      <c r="CA85" s="38" t="inlineStr">
        <is>
          <t>CARBON|Digitizing|Team Lead – Digitization|B1|B-M</t>
        </is>
      </c>
    </row>
    <row r="86" ht="110" customHeight="1">
      <c r="A86" s="28" t="inlineStr">
        <is>
          <t>CARBON</t>
        </is>
      </c>
      <c r="B86" s="29" t="inlineStr">
        <is>
          <t>Digitizing</t>
        </is>
      </c>
      <c r="C86" s="29" t="n">
        <v>7</v>
      </c>
      <c r="D86" s="29" t="inlineStr">
        <is>
          <t>IRIS0171</t>
        </is>
      </c>
      <c r="E86" s="29" t="inlineStr">
        <is>
          <t>Ritesh Yeram</t>
        </is>
      </c>
      <c r="F86" s="29" t="inlineStr">
        <is>
          <t>Image Processing Specialist</t>
        </is>
      </c>
      <c r="G86" s="29" t="inlineStr">
        <is>
          <t>Digitization Specialist – POD Lead</t>
        </is>
      </c>
      <c r="H86" s="29" t="inlineStr">
        <is>
          <t>Data Operations &amp; Digitization</t>
        </is>
      </c>
      <c r="I86" s="29" t="inlineStr">
        <is>
          <t>Document Conversion, Formatting &amp; Web Publishing</t>
        </is>
      </c>
      <c r="J86" s="29" t="inlineStr">
        <is>
          <t>POD Lead</t>
        </is>
      </c>
      <c r="K86" s="29" t="inlineStr">
        <is>
          <t>RC-048</t>
        </is>
      </c>
      <c r="L86" s="29" t="inlineStr">
        <is>
          <t>Dinesh Sharma</t>
        </is>
      </c>
      <c r="M86" s="29" t="inlineStr">
        <is>
          <t>IRIS1204</t>
        </is>
      </c>
      <c r="N86" s="29" t="n">
        <v>20.7</v>
      </c>
      <c r="O86" s="29" t="n">
        <v>18.7</v>
      </c>
      <c r="P86" s="29" t="inlineStr">
        <is>
          <t>Undergraduate</t>
        </is>
      </c>
      <c r="Q86" s="29" t="inlineStr">
        <is>
          <t>L3 – Professional / Associate</t>
        </is>
      </c>
      <c r="R86" s="29" t="inlineStr">
        <is>
          <t>B1</t>
        </is>
      </c>
      <c r="S86" s="30" t="inlineStr">
        <is>
          <t>19 of 20</t>
        </is>
      </c>
      <c r="T86" s="31" t="inlineStr">
        <is>
          <t>• Role / sub-team: Digitizing Assited service.</t>
        </is>
      </c>
      <c r="U86"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6" s="31" t="inlineStr">
        <is>
          <t>Latest rating: 4 · Potential: High · 9-box: Core Contributor · Readiness: Ready now</t>
        </is>
      </c>
      <c r="W86" s="31" t="inlineStr">
        <is>
          <t>C M · Au M · Ac M · L M · BI H · Exp H · 20.7 yrs vs 2–4 yrs · Edu L · Undergraduate</t>
        </is>
      </c>
      <c r="X86" s="33" t="inlineStr">
        <is>
          <t>Open ▸</t>
        </is>
      </c>
      <c r="Y86" s="34" t="str">
        <f>IFERROR(INDEX(DL_C,MATCH($CA86,DL_KEY,0)),"M")</f>
        <v>H</v>
      </c>
      <c r="Z86" s="35" t="str">
        <f>IFERROR(INDEX(DL_Au,MATCH($CA86,DL_KEY,0)),"M")</f>
        <v>M</v>
      </c>
      <c r="AA86" s="35" t="str">
        <f>IFERROR(INDEX(DL_Ac,MATCH($CA86,DL_KEY,0)),"M")</f>
        <v>M</v>
      </c>
      <c r="AB86" s="35" t="str">
        <f>IFERROR(INDEX(DL_L,MATCH($CA86,DL_KEY,0)),"M")</f>
        <v>L</v>
      </c>
      <c r="AC86" s="35" t="str">
        <f>IFERROR(INDEX(DL_BI,MATCH($CA86,DL_KEY,0)),"M")</f>
        <v>L</v>
      </c>
      <c r="AD86" s="35" t="str">
        <f>IFERROR(INDEX(DL_Exp,MATCH($CA86,DL_KEY,0)),"M")</f>
        <v>L</v>
      </c>
      <c r="AE86" s="35" t="str">
        <f>IFERROR(INDEX(DL_Edu,MATCH($CA86,DL_KEY,0)),"M")</f>
        <v>L</v>
      </c>
      <c r="AF86" s="34" t="inlineStr">
        <is>
          <t>M</t>
        </is>
      </c>
      <c r="AG86" s="35" t="inlineStr">
        <is>
          <t>M</t>
        </is>
      </c>
      <c r="AH86" s="35" t="inlineStr">
        <is>
          <t>M</t>
        </is>
      </c>
      <c r="AI86" s="35" t="inlineStr">
        <is>
          <t>M</t>
        </is>
      </c>
      <c r="AJ86" s="35" t="inlineStr">
        <is>
          <t>M</t>
        </is>
      </c>
      <c r="AK86" s="35" t="inlineStr">
        <is>
          <t>M</t>
        </is>
      </c>
      <c r="AL86" s="35" t="inlineStr">
        <is>
          <t>M</t>
        </is>
      </c>
      <c r="AM86" s="36" t="n">
        <v>0.583</v>
      </c>
      <c r="AN86" s="37" t="n">
        <v>0.16</v>
      </c>
      <c r="AO86" s="37" t="n">
        <v>0.09</v>
      </c>
      <c r="AP86" s="37" t="n">
        <v>0</v>
      </c>
      <c r="AQ86" s="37" t="n">
        <v>0.063</v>
      </c>
      <c r="AR86" s="37" t="n">
        <v>0.06</v>
      </c>
      <c r="AS86" s="37" t="n">
        <v>0.04</v>
      </c>
      <c r="AT86" s="38" t="inlineStr">
        <is>
          <t>2–5</t>
        </is>
      </c>
      <c r="AU86" s="38" t="inlineStr">
        <is>
          <t>Graduate; relevant certification preferred</t>
        </is>
      </c>
      <c r="AV86" s="38" t="inlineStr">
        <is>
          <t>None · guides 1–3 juniors informally</t>
        </is>
      </c>
      <c r="AW86" s="38" t="inlineStr">
        <is>
          <t>P2 · SFIA 3 Apply</t>
        </is>
      </c>
      <c r="AX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6" s="39" t="inlineStr">
        <is>
          <t>A3</t>
        </is>
      </c>
      <c r="AZ86" s="40" t="inlineStr">
        <is>
          <t>Band A · Practitioner · Senior Associate</t>
        </is>
      </c>
      <c r="BA86" s="40" t="inlineStr">
        <is>
          <t>Model B1 from the six ratings, the market-derived weights and rules R1–R13 · then Level rule: manager B1; a reportee sits at least one level below · B1 → A3 · move down · pay and title protected for one cycle</t>
        </is>
      </c>
      <c r="BB86" s="41" t="inlineStr">
        <is>
          <t>B1</t>
        </is>
      </c>
      <c r="BC86" s="40" t="inlineStr">
        <is>
          <t>The six ratings on the market-average weights of Band A · all tracks score 3.68 → B1 · Hay, Mercer IPE and public plans · experience 20.7 yrs vs the B1 market range 4–8</t>
        </is>
      </c>
      <c r="BD86" s="42">
        <f>IF(SUM(BM86,BN86,BO86,BP86,BQ86,BR86,BS86)=0,0,(BM86*BT86+BN86*BU86+BO86*BV86+BP86*BW86+BQ86*BX86+BR86*BY86+BS86*BZ86)/SUM(BM86,BN86,BO86,BP86,BQ86,BR86,BS86))</f>
        <v>0</v>
      </c>
      <c r="BE86" s="41" t="str">
        <f>IF(LEFT(AY86,1)="X",AY86,IF(OR(AY86="B+",AY86="C+"),INDEX(LAD_PC,MAX(1,MIN(14,MATCH(AY86,LAD_PC,0)+IF(BD86&gt;=0.5,1,IF(BD86&lt;=-0.5,-1,0))))),INDEX(LAD_STD,MAX(1,MIN(12,MATCH(AY86,LAD_STD,0)+IF(BD86&gt;=0.5,1,IF(BD86&lt;=-0.5,-1,0)))))))</f>
        <v>A3</v>
      </c>
      <c r="BF86" s="43" t="n"/>
      <c r="BG86" s="41" t="str">
        <f>IF(BF86&lt;&gt;"",BF86,BE86)</f>
        <v>A3</v>
      </c>
      <c r="BH86" s="40" t="str">
        <f>IFERROR(CHOOSE(INDEX(B_RANK,MATCH(BG86,B_LVL,0)),"Band A","Band B","B+ · Player-Coach","Band C","C+ · Player-Coach","Band D","Band E"),"Band X · Consultant")</f>
        <v>Band A</v>
      </c>
      <c r="BI86" s="40" t="str">
        <f>IF(BG86=AY86,"• Same",IF(INDEX(B_VAL,MATCH(BG86,B_LVL,0))&gt;INDEX(B_VAL,MATCH(AY86,B_LVL,0)),"▲ Up","▼ Down"))</f>
        <v>• Same</v>
      </c>
      <c r="BJ86" s="40" t="str">
        <f>IF(OR($M86="",$M86="—",$M86="Not in this file"),"",IFERROR(INDEX($BG$7:$BG$592,MATCH($M86,$D$7:$D$592,0)),""))</f>
        <v>B1</v>
      </c>
      <c r="BK86" s="40" t="str">
        <f>IFERROR(IF(BJ86="","—",IF(OR(LEFT(BG86,1)="X",LEFT(BJ86,1)="X"),"—",IF(AND(LEFT(BG86,1)="E",LEFT(BJ86,1)="E"),"Exception · Band E",IF(AND(INDEX(B_VAL,MATCH(BJ86,B_LVL,0))&gt;=7,INDEX(B_RANK,MATCH(BG86,B_LVL,0))&gt;=INDEX(B_RANK,MATCH(BJ86,B_LVL,0))),"⚠ Same band as a head manager",IF(INDEX(B_VAL,MATCH(BG86,B_LVL,0))&gt;=INDEX(B_VAL,MATCH(BJ86,B_LVL,0)),"⚠ At or above the manager's level","OK"))))),"—")</f>
        <v>OK</v>
      </c>
      <c r="BL86" s="43" t="n"/>
      <c r="BM86" s="44">
        <f>IFERROR(INDEX(LMH_PTS,MATCH(Y86,LMH_KEY,0)),0)</f>
        <v>9</v>
      </c>
      <c r="BN86" s="38">
        <f>IFERROR(INDEX(LMH_PTS,MATCH(Z86,LMH_KEY,0)),0)</f>
        <v>3</v>
      </c>
      <c r="BO86" s="38">
        <f>IFERROR(INDEX(LMH_PTS,MATCH(AA86,LMH_KEY,0)),0)</f>
        <v>3</v>
      </c>
      <c r="BP86" s="38">
        <f>IFERROR(INDEX(LMH_PTS,MATCH(AB86,LMH_KEY,0)),0)</f>
        <v>1</v>
      </c>
      <c r="BQ86" s="38">
        <f>IFERROR(INDEX(LMH_PTS,MATCH(AC86,LMH_KEY,0)),0)</f>
        <v>1</v>
      </c>
      <c r="BR86" s="38">
        <f>IFERROR(INDEX(LMH_PTS,MATCH(AD86,LMH_KEY,0)),0)</f>
        <v>1</v>
      </c>
      <c r="BS86" s="38">
        <f>IFERROR(INDEX(LMH_PTS,MATCH(AE86,LMH_KEY,0)),0)</f>
        <v>1</v>
      </c>
      <c r="BT86" s="38">
        <f>IFERROR(INDEX(LMH_STEP,MATCH(AF86,LMH_KEY,0)),0)</f>
        <v>0</v>
      </c>
      <c r="BU86" s="38">
        <f>IFERROR(INDEX(LMH_STEP,MATCH(AG86,LMH_KEY,0)),0)</f>
        <v>0</v>
      </c>
      <c r="BV86" s="38">
        <f>IFERROR(INDEX(LMH_STEP,MATCH(AH86,LMH_KEY,0)),0)</f>
        <v>0</v>
      </c>
      <c r="BW86" s="38">
        <f>IFERROR(INDEX(LMH_STEP,MATCH(AI86,LMH_KEY,0)),0)</f>
        <v>0</v>
      </c>
      <c r="BX86" s="38">
        <f>IFERROR(INDEX(LMH_STEP,MATCH(AJ86,LMH_KEY,0)),0)</f>
        <v>0</v>
      </c>
      <c r="BY86" s="38">
        <f>IFERROR(INDEX(LMH_STEP,MATCH(AK86,LMH_KEY,0)),0)</f>
        <v>0</v>
      </c>
      <c r="BZ86" s="38">
        <f>IFERROR(INDEX(LMH_STEP,MATCH(AL86,LMH_KEY,0)),0)</f>
        <v>0</v>
      </c>
      <c r="CA86" s="38" t="inlineStr">
        <is>
          <t>CARBON|Digitizing|Digitization Specialist – POD Lead|A3|A</t>
        </is>
      </c>
    </row>
    <row r="87" ht="110" customHeight="1">
      <c r="A87" s="28" t="inlineStr">
        <is>
          <t>CARBON</t>
        </is>
      </c>
      <c r="B87" s="29" t="inlineStr">
        <is>
          <t>Digitizing</t>
        </is>
      </c>
      <c r="C87" s="29" t="n">
        <v>8</v>
      </c>
      <c r="D87" s="29" t="inlineStr">
        <is>
          <t>IRIS1205</t>
        </is>
      </c>
      <c r="E87" s="29" t="inlineStr">
        <is>
          <t>Justeen Koola</t>
        </is>
      </c>
      <c r="F87" s="29" t="inlineStr">
        <is>
          <t>Image Processing Specialist</t>
        </is>
      </c>
      <c r="G87" s="29" t="inlineStr">
        <is>
          <t>Senior Digitization Associate</t>
        </is>
      </c>
      <c r="H87" s="29" t="inlineStr">
        <is>
          <t>Data Operations &amp; Digitization</t>
        </is>
      </c>
      <c r="I87" s="29" t="inlineStr">
        <is>
          <t>Document Conversion, Formatting &amp; Web Publishing</t>
        </is>
      </c>
      <c r="J87" s="29" t="inlineStr">
        <is>
          <t>IC</t>
        </is>
      </c>
      <c r="K87" s="29" t="inlineStr">
        <is>
          <t>RC-047</t>
        </is>
      </c>
      <c r="L87" s="29" t="inlineStr">
        <is>
          <t>Ritesh Yeram</t>
        </is>
      </c>
      <c r="M87" s="29" t="inlineStr">
        <is>
          <t>IRIS0171</t>
        </is>
      </c>
      <c r="N87" s="29" t="n">
        <v>18.9</v>
      </c>
      <c r="O87" s="29" t="n">
        <v>17.9</v>
      </c>
      <c r="P87" s="29" t="inlineStr">
        <is>
          <t>Undergraduate</t>
        </is>
      </c>
      <c r="Q87" s="29" t="inlineStr">
        <is>
          <t>L3 – Professional / Associate</t>
        </is>
      </c>
      <c r="R87" s="29" t="inlineStr">
        <is>
          <t>A3</t>
        </is>
      </c>
      <c r="S87" s="30" t="inlineStr">
        <is>
          <t>19 of 20</t>
        </is>
      </c>
      <c r="T87" s="31" t="inlineStr">
        <is>
          <t>• Role / sub-team: Digitizing Assited Services.</t>
        </is>
      </c>
      <c r="U87"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7" s="31" t="inlineStr">
        <is>
          <t>Latest rating: 3 · Potential: Medium · 9-box: Core Contributor · Readiness: Develop in role</t>
        </is>
      </c>
      <c r="W87" s="31" t="inlineStr">
        <is>
          <t>C M · Au M · Ac M · L M · BI H · Exp H · 18.9 yrs vs 0–2 yrs · Edu L · Undergraduate</t>
        </is>
      </c>
      <c r="X87" s="33" t="inlineStr">
        <is>
          <t>Open ▸</t>
        </is>
      </c>
      <c r="Y87" s="34" t="str">
        <f>IFERROR(INDEX(DL_C,MATCH($CA87,DL_KEY,0)),"M")</f>
        <v>H</v>
      </c>
      <c r="Z87" s="35" t="str">
        <f>IFERROR(INDEX(DL_Au,MATCH($CA87,DL_KEY,0)),"M")</f>
        <v>M</v>
      </c>
      <c r="AA87" s="35" t="str">
        <f>IFERROR(INDEX(DL_Ac,MATCH($CA87,DL_KEY,0)),"M")</f>
        <v>M</v>
      </c>
      <c r="AB87" s="35" t="str">
        <f>IFERROR(INDEX(DL_L,MATCH($CA87,DL_KEY,0)),"M")</f>
        <v>L</v>
      </c>
      <c r="AC87" s="35" t="str">
        <f>IFERROR(INDEX(DL_BI,MATCH($CA87,DL_KEY,0)),"M")</f>
        <v>L</v>
      </c>
      <c r="AD87" s="35" t="str">
        <f>IFERROR(INDEX(DL_Exp,MATCH($CA87,DL_KEY,0)),"M")</f>
        <v>L</v>
      </c>
      <c r="AE87" s="35" t="str">
        <f>IFERROR(INDEX(DL_Edu,MATCH($CA87,DL_KEY,0)),"M")</f>
        <v>L</v>
      </c>
      <c r="AF87" s="34" t="inlineStr">
        <is>
          <t>M</t>
        </is>
      </c>
      <c r="AG87" s="35" t="inlineStr">
        <is>
          <t>M</t>
        </is>
      </c>
      <c r="AH87" s="35" t="inlineStr">
        <is>
          <t>M</t>
        </is>
      </c>
      <c r="AI87" s="35" t="inlineStr">
        <is>
          <t>M</t>
        </is>
      </c>
      <c r="AJ87" s="35" t="inlineStr">
        <is>
          <t>M</t>
        </is>
      </c>
      <c r="AK87" s="35" t="inlineStr">
        <is>
          <t>M</t>
        </is>
      </c>
      <c r="AL87" s="35" t="inlineStr">
        <is>
          <t>M</t>
        </is>
      </c>
      <c r="AM87" s="36" t="n">
        <v>0.583</v>
      </c>
      <c r="AN87" s="37" t="n">
        <v>0.16</v>
      </c>
      <c r="AO87" s="37" t="n">
        <v>0.09</v>
      </c>
      <c r="AP87" s="37" t="n">
        <v>0</v>
      </c>
      <c r="AQ87" s="37" t="n">
        <v>0.063</v>
      </c>
      <c r="AR87" s="37" t="n">
        <v>0.06</v>
      </c>
      <c r="AS87" s="37" t="n">
        <v>0.04</v>
      </c>
      <c r="AT87" s="38" t="inlineStr">
        <is>
          <t>0–3</t>
        </is>
      </c>
      <c r="AU87" s="38" t="inlineStr">
        <is>
          <t>Graduate · or diploma with experience</t>
        </is>
      </c>
      <c r="AV87" s="38" t="inlineStr">
        <is>
          <t>No direct reports</t>
        </is>
      </c>
      <c r="AW87" s="38" t="inlineStr">
        <is>
          <t>P1–P2 · SFIA 2 Assist</t>
        </is>
      </c>
      <c r="AX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7" s="39" t="inlineStr">
        <is>
          <t>A2</t>
        </is>
      </c>
      <c r="AZ87" s="40" t="inlineStr">
        <is>
          <t>Band A · Practitioner · Associate</t>
        </is>
      </c>
      <c r="BA87" s="40" t="inlineStr">
        <is>
          <t>Model A3 from the six ratings, the market-derived weights and rules R1–R13 · then Level rule: manager A3; a reportee sits at least one level below · A3 → A2 · move down · pay and title protected for one cycle</t>
        </is>
      </c>
      <c r="BB87" s="41" t="inlineStr">
        <is>
          <t>A3</t>
        </is>
      </c>
      <c r="BC87" s="40" t="inlineStr">
        <is>
          <t>The six ratings on the market-average weights of Band A · all tracks score 3.18 → A3 · Hay, Mercer IPE and public plans · experience 18.9 yrs vs the A3 market range 2–5</t>
        </is>
      </c>
      <c r="BD87" s="42">
        <f>IF(SUM(BM87,BN87,BO87,BP87,BQ87,BR87,BS87)=0,0,(BM87*BT87+BN87*BU87+BO87*BV87+BP87*BW87+BQ87*BX87+BR87*BY87+BS87*BZ87)/SUM(BM87,BN87,BO87,BP87,BQ87,BR87,BS87))</f>
        <v>0</v>
      </c>
      <c r="BE87" s="41" t="str">
        <f>IF(LEFT(AY87,1)="X",AY87,IF(OR(AY87="B+",AY87="C+"),INDEX(LAD_PC,MAX(1,MIN(14,MATCH(AY87,LAD_PC,0)+IF(BD87&gt;=0.5,1,IF(BD87&lt;=-0.5,-1,0))))),INDEX(LAD_STD,MAX(1,MIN(12,MATCH(AY87,LAD_STD,0)+IF(BD87&gt;=0.5,1,IF(BD87&lt;=-0.5,-1,0)))))))</f>
        <v>A2</v>
      </c>
      <c r="BF87" s="43" t="n"/>
      <c r="BG87" s="41" t="str">
        <f>IF(BF87&lt;&gt;"",BF87,BE87)</f>
        <v>A2</v>
      </c>
      <c r="BH87" s="40" t="str">
        <f>IFERROR(CHOOSE(INDEX(B_RANK,MATCH(BG87,B_LVL,0)),"Band A","Band B","B+ · Player-Coach","Band C","C+ · Player-Coach","Band D","Band E"),"Band X · Consultant")</f>
        <v>Band A</v>
      </c>
      <c r="BI87" s="40" t="str">
        <f>IF(BG87=AY87,"• Same",IF(INDEX(B_VAL,MATCH(BG87,B_LVL,0))&gt;INDEX(B_VAL,MATCH(AY87,B_LVL,0)),"▲ Up","▼ Down"))</f>
        <v>• Same</v>
      </c>
      <c r="BJ87" s="40" t="str">
        <f>IF(OR($M87="",$M87="—",$M87="Not in this file"),"",IFERROR(INDEX($BG$7:$BG$592,MATCH($M87,$D$7:$D$592,0)),""))</f>
        <v>A3</v>
      </c>
      <c r="BK87" s="40" t="str">
        <f>IFERROR(IF(BJ87="","—",IF(OR(LEFT(BG87,1)="X",LEFT(BJ87,1)="X"),"—",IF(AND(LEFT(BG87,1)="E",LEFT(BJ87,1)="E"),"Exception · Band E",IF(AND(INDEX(B_VAL,MATCH(BJ87,B_LVL,0))&gt;=7,INDEX(B_RANK,MATCH(BG87,B_LVL,0))&gt;=INDEX(B_RANK,MATCH(BJ87,B_LVL,0))),"⚠ Same band as a head manager",IF(INDEX(B_VAL,MATCH(BG87,B_LVL,0))&gt;=INDEX(B_VAL,MATCH(BJ87,B_LVL,0)),"⚠ At or above the manager's level","OK"))))),"—")</f>
        <v>OK</v>
      </c>
      <c r="BL87" s="43" t="n"/>
      <c r="BM87" s="44">
        <f>IFERROR(INDEX(LMH_PTS,MATCH(Y87,LMH_KEY,0)),0)</f>
        <v>9</v>
      </c>
      <c r="BN87" s="38">
        <f>IFERROR(INDEX(LMH_PTS,MATCH(Z87,LMH_KEY,0)),0)</f>
        <v>3</v>
      </c>
      <c r="BO87" s="38">
        <f>IFERROR(INDEX(LMH_PTS,MATCH(AA87,LMH_KEY,0)),0)</f>
        <v>3</v>
      </c>
      <c r="BP87" s="38">
        <f>IFERROR(INDEX(LMH_PTS,MATCH(AB87,LMH_KEY,0)),0)</f>
        <v>1</v>
      </c>
      <c r="BQ87" s="38">
        <f>IFERROR(INDEX(LMH_PTS,MATCH(AC87,LMH_KEY,0)),0)</f>
        <v>1</v>
      </c>
      <c r="BR87" s="38">
        <f>IFERROR(INDEX(LMH_PTS,MATCH(AD87,LMH_KEY,0)),0)</f>
        <v>1</v>
      </c>
      <c r="BS87" s="38">
        <f>IFERROR(INDEX(LMH_PTS,MATCH(AE87,LMH_KEY,0)),0)</f>
        <v>1</v>
      </c>
      <c r="BT87" s="38">
        <f>IFERROR(INDEX(LMH_STEP,MATCH(AF87,LMH_KEY,0)),0)</f>
        <v>0</v>
      </c>
      <c r="BU87" s="38">
        <f>IFERROR(INDEX(LMH_STEP,MATCH(AG87,LMH_KEY,0)),0)</f>
        <v>0</v>
      </c>
      <c r="BV87" s="38">
        <f>IFERROR(INDEX(LMH_STEP,MATCH(AH87,LMH_KEY,0)),0)</f>
        <v>0</v>
      </c>
      <c r="BW87" s="38">
        <f>IFERROR(INDEX(LMH_STEP,MATCH(AI87,LMH_KEY,0)),0)</f>
        <v>0</v>
      </c>
      <c r="BX87" s="38">
        <f>IFERROR(INDEX(LMH_STEP,MATCH(AJ87,LMH_KEY,0)),0)</f>
        <v>0</v>
      </c>
      <c r="BY87" s="38">
        <f>IFERROR(INDEX(LMH_STEP,MATCH(AK87,LMH_KEY,0)),0)</f>
        <v>0</v>
      </c>
      <c r="BZ87" s="38">
        <f>IFERROR(INDEX(LMH_STEP,MATCH(AL87,LMH_KEY,0)),0)</f>
        <v>0</v>
      </c>
      <c r="CA87" s="38" t="inlineStr">
        <is>
          <t>CARBON|Digitizing|Senior Digitization Associate|A2|A</t>
        </is>
      </c>
    </row>
    <row r="88" ht="110" customHeight="1">
      <c r="A88" s="28" t="inlineStr">
        <is>
          <t>CARBON</t>
        </is>
      </c>
      <c r="B88" s="29" t="inlineStr">
        <is>
          <t>Digitizing</t>
        </is>
      </c>
      <c r="C88" s="29" t="n">
        <v>8</v>
      </c>
      <c r="D88" s="29" t="inlineStr">
        <is>
          <t>IRIS1774</t>
        </is>
      </c>
      <c r="E88" s="29" t="inlineStr">
        <is>
          <t>Tabassum Ali</t>
        </is>
      </c>
      <c r="F88" s="29" t="inlineStr">
        <is>
          <t>Image Processing Specialist</t>
        </is>
      </c>
      <c r="G88" s="29" t="inlineStr">
        <is>
          <t>Senior Digitization Associate</t>
        </is>
      </c>
      <c r="H88" s="29" t="inlineStr">
        <is>
          <t>Data Operations &amp; Digitization</t>
        </is>
      </c>
      <c r="I88" s="29" t="inlineStr">
        <is>
          <t>Document Conversion, Formatting &amp; Web Publishing</t>
        </is>
      </c>
      <c r="J88" s="29" t="inlineStr">
        <is>
          <t>IC</t>
        </is>
      </c>
      <c r="K88" s="29" t="inlineStr">
        <is>
          <t>RC-047</t>
        </is>
      </c>
      <c r="L88" s="29" t="inlineStr">
        <is>
          <t>Ritesh Yeram</t>
        </is>
      </c>
      <c r="M88" s="29" t="inlineStr">
        <is>
          <t>IRIS0171</t>
        </is>
      </c>
      <c r="N88" s="29" t="n">
        <v>9.4</v>
      </c>
      <c r="O88" s="29" t="n">
        <v>7.5</v>
      </c>
      <c r="P88" s="29" t="inlineStr">
        <is>
          <t>B.Com</t>
        </is>
      </c>
      <c r="Q88" s="29" t="inlineStr">
        <is>
          <t>L3 – Professional / Associate</t>
        </is>
      </c>
      <c r="R88" s="29" t="inlineStr">
        <is>
          <t>A3</t>
        </is>
      </c>
      <c r="S88" s="30" t="inlineStr">
        <is>
          <t>0 of 20</t>
        </is>
      </c>
      <c r="T88" s="31" t="inlineStr">
        <is>
          <t>Business Impact: Moved +0.5: the survey / manager mapping marks it business-critical.</t>
        </is>
      </c>
      <c r="U88"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8" s="31" t="inlineStr">
        <is>
          <t>Latest rating: 3 · Potential: Medium · 9-box: Core Contributor · Readiness: Develop in role</t>
        </is>
      </c>
      <c r="W88" s="31" t="inlineStr">
        <is>
          <t>C H · Au H · Ac M · L M · BI H · Exp H · 9.4 yrs vs 0–2 yrs · Edu M · B.Com</t>
        </is>
      </c>
      <c r="X88" s="33" t="inlineStr">
        <is>
          <t>Open ▸</t>
        </is>
      </c>
      <c r="Y88" s="34" t="str">
        <f>IFERROR(INDEX(DL_C,MATCH($CA88,DL_KEY,0)),"M")</f>
        <v>H</v>
      </c>
      <c r="Z88" s="35" t="str">
        <f>IFERROR(INDEX(DL_Au,MATCH($CA88,DL_KEY,0)),"M")</f>
        <v>M</v>
      </c>
      <c r="AA88" s="35" t="str">
        <f>IFERROR(INDEX(DL_Ac,MATCH($CA88,DL_KEY,0)),"M")</f>
        <v>M</v>
      </c>
      <c r="AB88" s="35" t="str">
        <f>IFERROR(INDEX(DL_L,MATCH($CA88,DL_KEY,0)),"M")</f>
        <v>L</v>
      </c>
      <c r="AC88" s="35" t="str">
        <f>IFERROR(INDEX(DL_BI,MATCH($CA88,DL_KEY,0)),"M")</f>
        <v>L</v>
      </c>
      <c r="AD88" s="35" t="str">
        <f>IFERROR(INDEX(DL_Exp,MATCH($CA88,DL_KEY,0)),"M")</f>
        <v>L</v>
      </c>
      <c r="AE88" s="35" t="str">
        <f>IFERROR(INDEX(DL_Edu,MATCH($CA88,DL_KEY,0)),"M")</f>
        <v>L</v>
      </c>
      <c r="AF88" s="34" t="inlineStr">
        <is>
          <t>M</t>
        </is>
      </c>
      <c r="AG88" s="35" t="inlineStr">
        <is>
          <t>M</t>
        </is>
      </c>
      <c r="AH88" s="35" t="inlineStr">
        <is>
          <t>M</t>
        </is>
      </c>
      <c r="AI88" s="35" t="inlineStr">
        <is>
          <t>M</t>
        </is>
      </c>
      <c r="AJ88" s="35" t="inlineStr">
        <is>
          <t>M</t>
        </is>
      </c>
      <c r="AK88" s="35" t="inlineStr">
        <is>
          <t>M</t>
        </is>
      </c>
      <c r="AL88" s="35" t="inlineStr">
        <is>
          <t>M</t>
        </is>
      </c>
      <c r="AM88" s="36" t="n">
        <v>0.583</v>
      </c>
      <c r="AN88" s="37" t="n">
        <v>0.16</v>
      </c>
      <c r="AO88" s="37" t="n">
        <v>0.09</v>
      </c>
      <c r="AP88" s="37" t="n">
        <v>0</v>
      </c>
      <c r="AQ88" s="37" t="n">
        <v>0.063</v>
      </c>
      <c r="AR88" s="37" t="n">
        <v>0.06</v>
      </c>
      <c r="AS88" s="37" t="n">
        <v>0.04</v>
      </c>
      <c r="AT88" s="38" t="inlineStr">
        <is>
          <t>0–3</t>
        </is>
      </c>
      <c r="AU88" s="38" t="inlineStr">
        <is>
          <t>Graduate · or diploma with experience</t>
        </is>
      </c>
      <c r="AV88" s="38" t="inlineStr">
        <is>
          <t>No direct reports</t>
        </is>
      </c>
      <c r="AW88" s="38" t="inlineStr">
        <is>
          <t>P1–P2 · SFIA 2 Assist</t>
        </is>
      </c>
      <c r="AX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8" s="39" t="inlineStr">
        <is>
          <t>A2</t>
        </is>
      </c>
      <c r="AZ88" s="40" t="inlineStr">
        <is>
          <t>Band A · Practitioner · Associate</t>
        </is>
      </c>
      <c r="BA88" s="40" t="inlineStr">
        <is>
          <t>Model A3 from the six ratings, the market-derived weights and rules R1–R13 · then Level rule: manager A3; a reportee sits at least one level below · A3 → A2 · move down · pay and title protected for one cycle</t>
        </is>
      </c>
      <c r="BB88" s="41" t="inlineStr">
        <is>
          <t>A3</t>
        </is>
      </c>
      <c r="BC88" s="40" t="inlineStr">
        <is>
          <t>The six ratings on the market-average weights of Band A · all tracks score 3.26 → A3 · Hay, Mercer IPE and public plans · experience 9.4 yrs vs the A3 market range 2–5</t>
        </is>
      </c>
      <c r="BD88" s="42">
        <f>IF(SUM(BM88,BN88,BO88,BP88,BQ88,BR88,BS88)=0,0,(BM88*BT88+BN88*BU88+BO88*BV88+BP88*BW88+BQ88*BX88+BR88*BY88+BS88*BZ88)/SUM(BM88,BN88,BO88,BP88,BQ88,BR88,BS88))</f>
        <v>0</v>
      </c>
      <c r="BE88" s="41" t="str">
        <f>IF(LEFT(AY88,1)="X",AY88,IF(OR(AY88="B+",AY88="C+"),INDEX(LAD_PC,MAX(1,MIN(14,MATCH(AY88,LAD_PC,0)+IF(BD88&gt;=0.5,1,IF(BD88&lt;=-0.5,-1,0))))),INDEX(LAD_STD,MAX(1,MIN(12,MATCH(AY88,LAD_STD,0)+IF(BD88&gt;=0.5,1,IF(BD88&lt;=-0.5,-1,0)))))))</f>
        <v>A2</v>
      </c>
      <c r="BF88" s="43" t="n"/>
      <c r="BG88" s="41" t="str">
        <f>IF(BF88&lt;&gt;"",BF88,BE88)</f>
        <v>A2</v>
      </c>
      <c r="BH88" s="40" t="str">
        <f>IFERROR(CHOOSE(INDEX(B_RANK,MATCH(BG88,B_LVL,0)),"Band A","Band B","B+ · Player-Coach","Band C","C+ · Player-Coach","Band D","Band E"),"Band X · Consultant")</f>
        <v>Band A</v>
      </c>
      <c r="BI88" s="40" t="str">
        <f>IF(BG88=AY88,"• Same",IF(INDEX(B_VAL,MATCH(BG88,B_LVL,0))&gt;INDEX(B_VAL,MATCH(AY88,B_LVL,0)),"▲ Up","▼ Down"))</f>
        <v>• Same</v>
      </c>
      <c r="BJ88" s="40" t="str">
        <f>IF(OR($M88="",$M88="—",$M88="Not in this file"),"",IFERROR(INDEX($BG$7:$BG$592,MATCH($M88,$D$7:$D$592,0)),""))</f>
        <v>A3</v>
      </c>
      <c r="BK88" s="40" t="str">
        <f>IFERROR(IF(BJ88="","—",IF(OR(LEFT(BG88,1)="X",LEFT(BJ88,1)="X"),"—",IF(AND(LEFT(BG88,1)="E",LEFT(BJ88,1)="E"),"Exception · Band E",IF(AND(INDEX(B_VAL,MATCH(BJ88,B_LVL,0))&gt;=7,INDEX(B_RANK,MATCH(BG88,B_LVL,0))&gt;=INDEX(B_RANK,MATCH(BJ88,B_LVL,0))),"⚠ Same band as a head manager",IF(INDEX(B_VAL,MATCH(BG88,B_LVL,0))&gt;=INDEX(B_VAL,MATCH(BJ88,B_LVL,0)),"⚠ At or above the manager's level","OK"))))),"—")</f>
        <v>OK</v>
      </c>
      <c r="BL88" s="43" t="n"/>
      <c r="BM88" s="44">
        <f>IFERROR(INDEX(LMH_PTS,MATCH(Y88,LMH_KEY,0)),0)</f>
        <v>9</v>
      </c>
      <c r="BN88" s="38">
        <f>IFERROR(INDEX(LMH_PTS,MATCH(Z88,LMH_KEY,0)),0)</f>
        <v>3</v>
      </c>
      <c r="BO88" s="38">
        <f>IFERROR(INDEX(LMH_PTS,MATCH(AA88,LMH_KEY,0)),0)</f>
        <v>3</v>
      </c>
      <c r="BP88" s="38">
        <f>IFERROR(INDEX(LMH_PTS,MATCH(AB88,LMH_KEY,0)),0)</f>
        <v>1</v>
      </c>
      <c r="BQ88" s="38">
        <f>IFERROR(INDEX(LMH_PTS,MATCH(AC88,LMH_KEY,0)),0)</f>
        <v>1</v>
      </c>
      <c r="BR88" s="38">
        <f>IFERROR(INDEX(LMH_PTS,MATCH(AD88,LMH_KEY,0)),0)</f>
        <v>1</v>
      </c>
      <c r="BS88" s="38">
        <f>IFERROR(INDEX(LMH_PTS,MATCH(AE88,LMH_KEY,0)),0)</f>
        <v>1</v>
      </c>
      <c r="BT88" s="38">
        <f>IFERROR(INDEX(LMH_STEP,MATCH(AF88,LMH_KEY,0)),0)</f>
        <v>0</v>
      </c>
      <c r="BU88" s="38">
        <f>IFERROR(INDEX(LMH_STEP,MATCH(AG88,LMH_KEY,0)),0)</f>
        <v>0</v>
      </c>
      <c r="BV88" s="38">
        <f>IFERROR(INDEX(LMH_STEP,MATCH(AH88,LMH_KEY,0)),0)</f>
        <v>0</v>
      </c>
      <c r="BW88" s="38">
        <f>IFERROR(INDEX(LMH_STEP,MATCH(AI88,LMH_KEY,0)),0)</f>
        <v>0</v>
      </c>
      <c r="BX88" s="38">
        <f>IFERROR(INDEX(LMH_STEP,MATCH(AJ88,LMH_KEY,0)),0)</f>
        <v>0</v>
      </c>
      <c r="BY88" s="38">
        <f>IFERROR(INDEX(LMH_STEP,MATCH(AK88,LMH_KEY,0)),0)</f>
        <v>0</v>
      </c>
      <c r="BZ88" s="38">
        <f>IFERROR(INDEX(LMH_STEP,MATCH(AL88,LMH_KEY,0)),0)</f>
        <v>0</v>
      </c>
      <c r="CA88" s="38" t="inlineStr">
        <is>
          <t>CARBON|Digitizing|Senior Digitization Associate|A2|A</t>
        </is>
      </c>
    </row>
    <row r="89" ht="110" customHeight="1">
      <c r="A89" s="28" t="inlineStr">
        <is>
          <t>CARBON</t>
        </is>
      </c>
      <c r="B89" s="29" t="inlineStr">
        <is>
          <t>Digitizing</t>
        </is>
      </c>
      <c r="C89" s="29" t="n">
        <v>7</v>
      </c>
      <c r="D89" s="29" t="inlineStr">
        <is>
          <t>IRISC287</t>
        </is>
      </c>
      <c r="E89" s="29" t="inlineStr">
        <is>
          <t>Farina Pathan</t>
        </is>
      </c>
      <c r="F89" s="29" t="inlineStr">
        <is>
          <t>Consultant</t>
        </is>
      </c>
      <c r="G89" s="29" t="inlineStr">
        <is>
          <t>Senior Digitization Associate</t>
        </is>
      </c>
      <c r="H89" s="29" t="inlineStr">
        <is>
          <t>Data Operations &amp; Digitization</t>
        </is>
      </c>
      <c r="I89" s="29" t="inlineStr">
        <is>
          <t>Document Conversion, Formatting &amp; Web Publishing</t>
        </is>
      </c>
      <c r="J89" s="29" t="inlineStr">
        <is>
          <t>IC</t>
        </is>
      </c>
      <c r="K89" s="29" t="inlineStr">
        <is>
          <t>RC-047</t>
        </is>
      </c>
      <c r="L89" s="29" t="inlineStr">
        <is>
          <t>Dinesh Sharma</t>
        </is>
      </c>
      <c r="M89" s="29" t="inlineStr">
        <is>
          <t>IRIS1204</t>
        </is>
      </c>
      <c r="N89" s="29" t="n">
        <v>2.6</v>
      </c>
      <c r="O89" s="29" t="n">
        <v>2.6</v>
      </c>
      <c r="P89" s="29" t="inlineStr">
        <is>
          <t>B.Com</t>
        </is>
      </c>
      <c r="Q89" s="29" t="inlineStr">
        <is>
          <t>L3 – Professional / Associate</t>
        </is>
      </c>
      <c r="R89" s="29" t="inlineStr">
        <is>
          <t>A3</t>
        </is>
      </c>
      <c r="S89" s="30" t="inlineStr">
        <is>
          <t>19 of 20</t>
        </is>
      </c>
      <c r="T89" s="31" t="inlineStr">
        <is>
          <t>• Role / sub-team: Digitizing Assited Services.</t>
        </is>
      </c>
      <c r="U89"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89" s="31" t="inlineStr">
        <is>
          <t>Latest rating: 3 · Potential: Medium · 9-box: Core Contributor · Readiness: Develop in role</t>
        </is>
      </c>
      <c r="W89" s="31" t="inlineStr">
        <is>
          <t>C L · Au L · Ac L · L L · BI M · Exp M · 2.6 yrs vs 2–4 yrs · Edu M · B.Com</t>
        </is>
      </c>
      <c r="X89" s="33" t="inlineStr">
        <is>
          <t>Open ▸</t>
        </is>
      </c>
      <c r="Y89" s="34" t="str">
        <f>IFERROR(INDEX(DL_C,MATCH($CA89,DL_KEY,0)),"M")</f>
        <v>H</v>
      </c>
      <c r="Z89" s="35" t="str">
        <f>IFERROR(INDEX(DL_Au,MATCH($CA89,DL_KEY,0)),"M")</f>
        <v>M</v>
      </c>
      <c r="AA89" s="35" t="str">
        <f>IFERROR(INDEX(DL_Ac,MATCH($CA89,DL_KEY,0)),"M")</f>
        <v>M</v>
      </c>
      <c r="AB89" s="35" t="str">
        <f>IFERROR(INDEX(DL_L,MATCH($CA89,DL_KEY,0)),"M")</f>
        <v>L</v>
      </c>
      <c r="AC89" s="35" t="str">
        <f>IFERROR(INDEX(DL_BI,MATCH($CA89,DL_KEY,0)),"M")</f>
        <v>L</v>
      </c>
      <c r="AD89" s="35" t="str">
        <f>IFERROR(INDEX(DL_Exp,MATCH($CA89,DL_KEY,0)),"M")</f>
        <v>L</v>
      </c>
      <c r="AE89" s="35" t="str">
        <f>IFERROR(INDEX(DL_Edu,MATCH($CA89,DL_KEY,0)),"M")</f>
        <v>L</v>
      </c>
      <c r="AF89" s="34" t="inlineStr">
        <is>
          <t>M</t>
        </is>
      </c>
      <c r="AG89" s="35" t="inlineStr">
        <is>
          <t>M</t>
        </is>
      </c>
      <c r="AH89" s="35" t="inlineStr">
        <is>
          <t>M</t>
        </is>
      </c>
      <c r="AI89" s="35" t="inlineStr">
        <is>
          <t>M</t>
        </is>
      </c>
      <c r="AJ89" s="35" t="inlineStr">
        <is>
          <t>M</t>
        </is>
      </c>
      <c r="AK89" s="35" t="inlineStr">
        <is>
          <t>M</t>
        </is>
      </c>
      <c r="AL89" s="35" t="inlineStr">
        <is>
          <t>M</t>
        </is>
      </c>
      <c r="AM89" s="36" t="n">
        <v>0.583</v>
      </c>
      <c r="AN89" s="37" t="n">
        <v>0.16</v>
      </c>
      <c r="AO89" s="37" t="n">
        <v>0.09</v>
      </c>
      <c r="AP89" s="37" t="n">
        <v>0</v>
      </c>
      <c r="AQ89" s="37" t="n">
        <v>0.063</v>
      </c>
      <c r="AR89" s="37" t="n">
        <v>0.06</v>
      </c>
      <c r="AS89" s="37" t="n">
        <v>0.04</v>
      </c>
      <c r="AT89" s="38" t="inlineStr">
        <is>
          <t>2–5</t>
        </is>
      </c>
      <c r="AU89" s="38" t="inlineStr">
        <is>
          <t>Graduate; relevant certification preferred</t>
        </is>
      </c>
      <c r="AV89" s="38" t="inlineStr">
        <is>
          <t>None · guides 1–3 juniors informally</t>
        </is>
      </c>
      <c r="AW89" s="38" t="inlineStr">
        <is>
          <t>P2 · SFIA 3 Apply</t>
        </is>
      </c>
      <c r="AX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9" s="39" t="inlineStr">
        <is>
          <t>A3</t>
        </is>
      </c>
      <c r="AZ89" s="40" t="inlineStr">
        <is>
          <t>Band A · Practitioner · Senior Associate</t>
        </is>
      </c>
      <c r="BA89" s="40" t="inlineStr">
        <is>
          <t>Model A3 from the six ratings, the market-derived weights and rules R1–R13 · then No change · already below the manager</t>
        </is>
      </c>
      <c r="BB89" s="41" t="inlineStr">
        <is>
          <t>A2</t>
        </is>
      </c>
      <c r="BC89" s="40" t="inlineStr">
        <is>
          <t>The six ratings on the market-average weights of Band A · all tracks score 2.05 → A2 · Hay, Mercer IPE and public plans · experience 2.6 yrs vs the A2 market range 0–3</t>
        </is>
      </c>
      <c r="BD89" s="42">
        <f>IF(SUM(BM89,BN89,BO89,BP89,BQ89,BR89,BS89)=0,0,(BM89*BT89+BN89*BU89+BO89*BV89+BP89*BW89+BQ89*BX89+BR89*BY89+BS89*BZ89)/SUM(BM89,BN89,BO89,BP89,BQ89,BR89,BS89))</f>
        <v>0</v>
      </c>
      <c r="BE89" s="41" t="str">
        <f>IF(LEFT(AY89,1)="X",AY89,IF(OR(AY89="B+",AY89="C+"),INDEX(LAD_PC,MAX(1,MIN(14,MATCH(AY89,LAD_PC,0)+IF(BD89&gt;=0.5,1,IF(BD89&lt;=-0.5,-1,0))))),INDEX(LAD_STD,MAX(1,MIN(12,MATCH(AY89,LAD_STD,0)+IF(BD89&gt;=0.5,1,IF(BD89&lt;=-0.5,-1,0)))))))</f>
        <v>A3</v>
      </c>
      <c r="BF89" s="43" t="n"/>
      <c r="BG89" s="41" t="str">
        <f>IF(BF89&lt;&gt;"",BF89,BE89)</f>
        <v>A3</v>
      </c>
      <c r="BH89" s="40" t="str">
        <f>IFERROR(CHOOSE(INDEX(B_RANK,MATCH(BG89,B_LVL,0)),"Band A","Band B","B+ · Player-Coach","Band C","C+ · Player-Coach","Band D","Band E"),"Band X · Consultant")</f>
        <v>Band A</v>
      </c>
      <c r="BI89" s="40" t="str">
        <f>IF(BG89=AY89,"• Same",IF(INDEX(B_VAL,MATCH(BG89,B_LVL,0))&gt;INDEX(B_VAL,MATCH(AY89,B_LVL,0)),"▲ Up","▼ Down"))</f>
        <v>• Same</v>
      </c>
      <c r="BJ89" s="40" t="str">
        <f>IF(OR($M89="",$M89="—",$M89="Not in this file"),"",IFERROR(INDEX($BG$7:$BG$592,MATCH($M89,$D$7:$D$592,0)),""))</f>
        <v>B1</v>
      </c>
      <c r="BK89" s="40" t="str">
        <f>IFERROR(IF(BJ89="","—",IF(OR(LEFT(BG89,1)="X",LEFT(BJ89,1)="X"),"—",IF(AND(LEFT(BG89,1)="E",LEFT(BJ89,1)="E"),"Exception · Band E",IF(AND(INDEX(B_VAL,MATCH(BJ89,B_LVL,0))&gt;=7,INDEX(B_RANK,MATCH(BG89,B_LVL,0))&gt;=INDEX(B_RANK,MATCH(BJ89,B_LVL,0))),"⚠ Same band as a head manager",IF(INDEX(B_VAL,MATCH(BG89,B_LVL,0))&gt;=INDEX(B_VAL,MATCH(BJ89,B_LVL,0)),"⚠ At or above the manager's level","OK"))))),"—")</f>
        <v>OK</v>
      </c>
      <c r="BL89" s="43" t="n"/>
      <c r="BM89" s="44">
        <f>IFERROR(INDEX(LMH_PTS,MATCH(Y89,LMH_KEY,0)),0)</f>
        <v>9</v>
      </c>
      <c r="BN89" s="38">
        <f>IFERROR(INDEX(LMH_PTS,MATCH(Z89,LMH_KEY,0)),0)</f>
        <v>3</v>
      </c>
      <c r="BO89" s="38">
        <f>IFERROR(INDEX(LMH_PTS,MATCH(AA89,LMH_KEY,0)),0)</f>
        <v>3</v>
      </c>
      <c r="BP89" s="38">
        <f>IFERROR(INDEX(LMH_PTS,MATCH(AB89,LMH_KEY,0)),0)</f>
        <v>1</v>
      </c>
      <c r="BQ89" s="38">
        <f>IFERROR(INDEX(LMH_PTS,MATCH(AC89,LMH_KEY,0)),0)</f>
        <v>1</v>
      </c>
      <c r="BR89" s="38">
        <f>IFERROR(INDEX(LMH_PTS,MATCH(AD89,LMH_KEY,0)),0)</f>
        <v>1</v>
      </c>
      <c r="BS89" s="38">
        <f>IFERROR(INDEX(LMH_PTS,MATCH(AE89,LMH_KEY,0)),0)</f>
        <v>1</v>
      </c>
      <c r="BT89" s="38">
        <f>IFERROR(INDEX(LMH_STEP,MATCH(AF89,LMH_KEY,0)),0)</f>
        <v>0</v>
      </c>
      <c r="BU89" s="38">
        <f>IFERROR(INDEX(LMH_STEP,MATCH(AG89,LMH_KEY,0)),0)</f>
        <v>0</v>
      </c>
      <c r="BV89" s="38">
        <f>IFERROR(INDEX(LMH_STEP,MATCH(AH89,LMH_KEY,0)),0)</f>
        <v>0</v>
      </c>
      <c r="BW89" s="38">
        <f>IFERROR(INDEX(LMH_STEP,MATCH(AI89,LMH_KEY,0)),0)</f>
        <v>0</v>
      </c>
      <c r="BX89" s="38">
        <f>IFERROR(INDEX(LMH_STEP,MATCH(AJ89,LMH_KEY,0)),0)</f>
        <v>0</v>
      </c>
      <c r="BY89" s="38">
        <f>IFERROR(INDEX(LMH_STEP,MATCH(AK89,LMH_KEY,0)),0)</f>
        <v>0</v>
      </c>
      <c r="BZ89" s="38">
        <f>IFERROR(INDEX(LMH_STEP,MATCH(AL89,LMH_KEY,0)),0)</f>
        <v>0</v>
      </c>
      <c r="CA89" s="38" t="inlineStr">
        <is>
          <t>CARBON|Digitizing|Senior Digitization Associate|A3|A</t>
        </is>
      </c>
    </row>
    <row r="90" ht="110" customHeight="1">
      <c r="A90" s="28" t="inlineStr">
        <is>
          <t>CARBON</t>
        </is>
      </c>
      <c r="B90" s="29" t="inlineStr">
        <is>
          <t>Digitizing</t>
        </is>
      </c>
      <c r="C90" s="29" t="n">
        <v>7</v>
      </c>
      <c r="D90" s="29" t="inlineStr">
        <is>
          <t>IRISC332</t>
        </is>
      </c>
      <c r="E90" s="29" t="inlineStr">
        <is>
          <t>Aditya Kumar Diwakar</t>
        </is>
      </c>
      <c r="F90" s="29" t="inlineStr">
        <is>
          <t>Consultant</t>
        </is>
      </c>
      <c r="G90" s="29" t="inlineStr">
        <is>
          <t>Digitization Associate</t>
        </is>
      </c>
      <c r="H90" s="29" t="inlineStr">
        <is>
          <t>Data Operations &amp; Digitization</t>
        </is>
      </c>
      <c r="I90" s="29" t="inlineStr">
        <is>
          <t>Document Conversion, Formatting &amp; Web Publishing</t>
        </is>
      </c>
      <c r="J90" s="29" t="inlineStr">
        <is>
          <t>IC</t>
        </is>
      </c>
      <c r="K90" s="29" t="inlineStr">
        <is>
          <t>RC-046</t>
        </is>
      </c>
      <c r="L90" s="29" t="inlineStr">
        <is>
          <t>Dinesh Sharma</t>
        </is>
      </c>
      <c r="M90" s="29" t="inlineStr">
        <is>
          <t>IRIS1204</t>
        </is>
      </c>
      <c r="N90" s="29" t="n">
        <v>0.7</v>
      </c>
      <c r="O90" s="29" t="n">
        <v>0.7</v>
      </c>
      <c r="P90" s="29" t="inlineStr">
        <is>
          <t>Undergraduate</t>
        </is>
      </c>
      <c r="Q90" s="29" t="inlineStr">
        <is>
          <t>L3 – Professional / Associate</t>
        </is>
      </c>
      <c r="R90" s="29" t="inlineStr">
        <is>
          <t>A2</t>
        </is>
      </c>
      <c r="S90" s="30" t="inlineStr">
        <is>
          <t>18 of 20</t>
        </is>
      </c>
      <c r="T90" s="31" t="inlineStr">
        <is>
          <t>• Role / sub-team: Digitizing Assisted service.</t>
        </is>
      </c>
      <c r="U90"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90" s="31" t="inlineStr">
        <is>
          <t>Latest rating: 3 · Potential: Medium · 9-box: Core Contributor · Readiness: Develop in role</t>
        </is>
      </c>
      <c r="W90" s="31" t="inlineStr">
        <is>
          <t>C M · Au M · Ac M · L L · BI M · Exp M · 0.7 yrs vs 0–2 yrs · Edu L · Undergraduate</t>
        </is>
      </c>
      <c r="X90" s="33" t="inlineStr">
        <is>
          <t>Open ▸</t>
        </is>
      </c>
      <c r="Y90" s="34" t="str">
        <f>IFERROR(INDEX(DL_C,MATCH($CA90,DL_KEY,0)),"M")</f>
        <v>H</v>
      </c>
      <c r="Z90" s="35" t="str">
        <f>IFERROR(INDEX(DL_Au,MATCH($CA90,DL_KEY,0)),"M")</f>
        <v>M</v>
      </c>
      <c r="AA90" s="35" t="str">
        <f>IFERROR(INDEX(DL_Ac,MATCH($CA90,DL_KEY,0)),"M")</f>
        <v>M</v>
      </c>
      <c r="AB90" s="35" t="str">
        <f>IFERROR(INDEX(DL_L,MATCH($CA90,DL_KEY,0)),"M")</f>
        <v>L</v>
      </c>
      <c r="AC90" s="35" t="str">
        <f>IFERROR(INDEX(DL_BI,MATCH($CA90,DL_KEY,0)),"M")</f>
        <v>L</v>
      </c>
      <c r="AD90" s="35" t="str">
        <f>IFERROR(INDEX(DL_Exp,MATCH($CA90,DL_KEY,0)),"M")</f>
        <v>L</v>
      </c>
      <c r="AE90" s="35" t="str">
        <f>IFERROR(INDEX(DL_Edu,MATCH($CA90,DL_KEY,0)),"M")</f>
        <v>L</v>
      </c>
      <c r="AF90" s="34" t="inlineStr">
        <is>
          <t>M</t>
        </is>
      </c>
      <c r="AG90" s="35" t="inlineStr">
        <is>
          <t>M</t>
        </is>
      </c>
      <c r="AH90" s="35" t="inlineStr">
        <is>
          <t>M</t>
        </is>
      </c>
      <c r="AI90" s="35" t="inlineStr">
        <is>
          <t>M</t>
        </is>
      </c>
      <c r="AJ90" s="35" t="inlineStr">
        <is>
          <t>M</t>
        </is>
      </c>
      <c r="AK90" s="35" t="inlineStr">
        <is>
          <t>M</t>
        </is>
      </c>
      <c r="AL90" s="35" t="inlineStr">
        <is>
          <t>M</t>
        </is>
      </c>
      <c r="AM90" s="36" t="n">
        <v>0.583</v>
      </c>
      <c r="AN90" s="37" t="n">
        <v>0.16</v>
      </c>
      <c r="AO90" s="37" t="n">
        <v>0.09</v>
      </c>
      <c r="AP90" s="37" t="n">
        <v>0</v>
      </c>
      <c r="AQ90" s="37" t="n">
        <v>0.063</v>
      </c>
      <c r="AR90" s="37" t="n">
        <v>0.06</v>
      </c>
      <c r="AS90" s="37" t="n">
        <v>0.04</v>
      </c>
      <c r="AT90" s="38" t="inlineStr">
        <is>
          <t>0–3</t>
        </is>
      </c>
      <c r="AU90" s="38" t="inlineStr">
        <is>
          <t>Graduate · or diploma with experience</t>
        </is>
      </c>
      <c r="AV90" s="38" t="inlineStr">
        <is>
          <t>No direct reports</t>
        </is>
      </c>
      <c r="AW90" s="38" t="inlineStr">
        <is>
          <t>P1–P2 · SFIA 2 Assist</t>
        </is>
      </c>
      <c r="AX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0" s="39" t="inlineStr">
        <is>
          <t>A2</t>
        </is>
      </c>
      <c r="AZ90" s="40" t="inlineStr">
        <is>
          <t>Band A · Practitioner · Associate</t>
        </is>
      </c>
      <c r="BA90" s="40" t="inlineStr">
        <is>
          <t>Model A2 from the six ratings, the market-derived weights and rules R1–R13 · then No change · already below the manager</t>
        </is>
      </c>
      <c r="BB90" s="41" t="inlineStr">
        <is>
          <t>A2</t>
        </is>
      </c>
      <c r="BC90" s="40" t="inlineStr">
        <is>
          <t>The six ratings on the market-average weights of Band A · all tracks score 1.93 → A2 · Hay, Mercer IPE and public plans · experience 0.7 yrs vs the A2 market range 0–3</t>
        </is>
      </c>
      <c r="BD90" s="42">
        <f>IF(SUM(BM90,BN90,BO90,BP90,BQ90,BR90,BS90)=0,0,(BM90*BT90+BN90*BU90+BO90*BV90+BP90*BW90+BQ90*BX90+BR90*BY90+BS90*BZ90)/SUM(BM90,BN90,BO90,BP90,BQ90,BR90,BS90))</f>
        <v>0</v>
      </c>
      <c r="BE90" s="41" t="str">
        <f>IF(LEFT(AY90,1)="X",AY90,IF(OR(AY90="B+",AY90="C+"),INDEX(LAD_PC,MAX(1,MIN(14,MATCH(AY90,LAD_PC,0)+IF(BD90&gt;=0.5,1,IF(BD90&lt;=-0.5,-1,0))))),INDEX(LAD_STD,MAX(1,MIN(12,MATCH(AY90,LAD_STD,0)+IF(BD90&gt;=0.5,1,IF(BD90&lt;=-0.5,-1,0)))))))</f>
        <v>A2</v>
      </c>
      <c r="BF90" s="43" t="n"/>
      <c r="BG90" s="41" t="str">
        <f>IF(BF90&lt;&gt;"",BF90,BE90)</f>
        <v>A2</v>
      </c>
      <c r="BH90" s="40" t="str">
        <f>IFERROR(CHOOSE(INDEX(B_RANK,MATCH(BG90,B_LVL,0)),"Band A","Band B","B+ · Player-Coach","Band C","C+ · Player-Coach","Band D","Band E"),"Band X · Consultant")</f>
        <v>Band A</v>
      </c>
      <c r="BI90" s="40" t="str">
        <f>IF(BG90=AY90,"• Same",IF(INDEX(B_VAL,MATCH(BG90,B_LVL,0))&gt;INDEX(B_VAL,MATCH(AY90,B_LVL,0)),"▲ Up","▼ Down"))</f>
        <v>• Same</v>
      </c>
      <c r="BJ90" s="40" t="str">
        <f>IF(OR($M90="",$M90="—",$M90="Not in this file"),"",IFERROR(INDEX($BG$7:$BG$592,MATCH($M90,$D$7:$D$592,0)),""))</f>
        <v>B1</v>
      </c>
      <c r="BK90" s="40" t="str">
        <f>IFERROR(IF(BJ90="","—",IF(OR(LEFT(BG90,1)="X",LEFT(BJ90,1)="X"),"—",IF(AND(LEFT(BG90,1)="E",LEFT(BJ90,1)="E"),"Exception · Band E",IF(AND(INDEX(B_VAL,MATCH(BJ90,B_LVL,0))&gt;=7,INDEX(B_RANK,MATCH(BG90,B_LVL,0))&gt;=INDEX(B_RANK,MATCH(BJ90,B_LVL,0))),"⚠ Same band as a head manager",IF(INDEX(B_VAL,MATCH(BG90,B_LVL,0))&gt;=INDEX(B_VAL,MATCH(BJ90,B_LVL,0)),"⚠ At or above the manager's level","OK"))))),"—")</f>
        <v>OK</v>
      </c>
      <c r="BL90" s="43" t="n"/>
      <c r="BM90" s="44">
        <f>IFERROR(INDEX(LMH_PTS,MATCH(Y90,LMH_KEY,0)),0)</f>
        <v>9</v>
      </c>
      <c r="BN90" s="38">
        <f>IFERROR(INDEX(LMH_PTS,MATCH(Z90,LMH_KEY,0)),0)</f>
        <v>3</v>
      </c>
      <c r="BO90" s="38">
        <f>IFERROR(INDEX(LMH_PTS,MATCH(AA90,LMH_KEY,0)),0)</f>
        <v>3</v>
      </c>
      <c r="BP90" s="38">
        <f>IFERROR(INDEX(LMH_PTS,MATCH(AB90,LMH_KEY,0)),0)</f>
        <v>1</v>
      </c>
      <c r="BQ90" s="38">
        <f>IFERROR(INDEX(LMH_PTS,MATCH(AC90,LMH_KEY,0)),0)</f>
        <v>1</v>
      </c>
      <c r="BR90" s="38">
        <f>IFERROR(INDEX(LMH_PTS,MATCH(AD90,LMH_KEY,0)),0)</f>
        <v>1</v>
      </c>
      <c r="BS90" s="38">
        <f>IFERROR(INDEX(LMH_PTS,MATCH(AE90,LMH_KEY,0)),0)</f>
        <v>1</v>
      </c>
      <c r="BT90" s="38">
        <f>IFERROR(INDEX(LMH_STEP,MATCH(AF90,LMH_KEY,0)),0)</f>
        <v>0</v>
      </c>
      <c r="BU90" s="38">
        <f>IFERROR(INDEX(LMH_STEP,MATCH(AG90,LMH_KEY,0)),0)</f>
        <v>0</v>
      </c>
      <c r="BV90" s="38">
        <f>IFERROR(INDEX(LMH_STEP,MATCH(AH90,LMH_KEY,0)),0)</f>
        <v>0</v>
      </c>
      <c r="BW90" s="38">
        <f>IFERROR(INDEX(LMH_STEP,MATCH(AI90,LMH_KEY,0)),0)</f>
        <v>0</v>
      </c>
      <c r="BX90" s="38">
        <f>IFERROR(INDEX(LMH_STEP,MATCH(AJ90,LMH_KEY,0)),0)</f>
        <v>0</v>
      </c>
      <c r="BY90" s="38">
        <f>IFERROR(INDEX(LMH_STEP,MATCH(AK90,LMH_KEY,0)),0)</f>
        <v>0</v>
      </c>
      <c r="BZ90" s="38">
        <f>IFERROR(INDEX(LMH_STEP,MATCH(AL90,LMH_KEY,0)),0)</f>
        <v>0</v>
      </c>
      <c r="CA90" s="38" t="inlineStr">
        <is>
          <t>CARBON|Digitizing|Digitization Associate|A2|A</t>
        </is>
      </c>
    </row>
    <row r="91" ht="110" customHeight="1">
      <c r="A91" s="28" t="inlineStr">
        <is>
          <t>CARBON</t>
        </is>
      </c>
      <c r="B91" s="29" t="inlineStr">
        <is>
          <t>Digitizing</t>
        </is>
      </c>
      <c r="C91" s="29" t="n">
        <v>7</v>
      </c>
      <c r="D91" s="29" t="inlineStr">
        <is>
          <t>IRISC324</t>
        </is>
      </c>
      <c r="E91" s="29" t="inlineStr">
        <is>
          <t>Kajal Srivastava</t>
        </is>
      </c>
      <c r="F91" s="29" t="inlineStr">
        <is>
          <t>Consultant</t>
        </is>
      </c>
      <c r="G91" s="29" t="inlineStr">
        <is>
          <t>Digitization Associate</t>
        </is>
      </c>
      <c r="H91" s="29" t="inlineStr">
        <is>
          <t>Data Operations &amp; Digitization</t>
        </is>
      </c>
      <c r="I91" s="29" t="inlineStr">
        <is>
          <t>Document Conversion, Formatting &amp; Web Publishing</t>
        </is>
      </c>
      <c r="J91" s="29" t="inlineStr">
        <is>
          <t>IC</t>
        </is>
      </c>
      <c r="K91" s="29" t="inlineStr">
        <is>
          <t>RC-046</t>
        </is>
      </c>
      <c r="L91" s="29" t="inlineStr">
        <is>
          <t>Dinesh Sharma</t>
        </is>
      </c>
      <c r="M91" s="29" t="inlineStr">
        <is>
          <t>IRIS1204</t>
        </is>
      </c>
      <c r="N91" s="29" t="n">
        <v>1.3</v>
      </c>
      <c r="O91" s="29" t="n">
        <v>0.8</v>
      </c>
      <c r="P91" s="29" t="inlineStr">
        <is>
          <t>B.Com</t>
        </is>
      </c>
      <c r="Q91" s="29" t="inlineStr">
        <is>
          <t>L3 – Professional / Associate</t>
        </is>
      </c>
      <c r="R91" s="29" t="inlineStr">
        <is>
          <t>A2</t>
        </is>
      </c>
      <c r="S91" s="30" t="inlineStr">
        <is>
          <t>19 of 20</t>
        </is>
      </c>
      <c r="T91" s="31" t="inlineStr">
        <is>
          <t>• Role / sub-team: Digitizing Assited Services.</t>
        </is>
      </c>
      <c r="U9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91" s="31" t="inlineStr">
        <is>
          <t>Latest rating: 3 · Potential: Medium · 9-box: Core Contributor · Readiness: Develop in role</t>
        </is>
      </c>
      <c r="W91" s="31" t="inlineStr">
        <is>
          <t>C M · Au M · Ac M · L L · BI M · Exp M · 1.3 yrs vs 0–2 yrs · Edu M · B.Com</t>
        </is>
      </c>
      <c r="X91" s="33" t="inlineStr">
        <is>
          <t>Open ▸</t>
        </is>
      </c>
      <c r="Y91" s="34" t="str">
        <f>IFERROR(INDEX(DL_C,MATCH($CA91,DL_KEY,0)),"M")</f>
        <v>H</v>
      </c>
      <c r="Z91" s="35" t="str">
        <f>IFERROR(INDEX(DL_Au,MATCH($CA91,DL_KEY,0)),"M")</f>
        <v>M</v>
      </c>
      <c r="AA91" s="35" t="str">
        <f>IFERROR(INDEX(DL_Ac,MATCH($CA91,DL_KEY,0)),"M")</f>
        <v>M</v>
      </c>
      <c r="AB91" s="35" t="str">
        <f>IFERROR(INDEX(DL_L,MATCH($CA91,DL_KEY,0)),"M")</f>
        <v>L</v>
      </c>
      <c r="AC91" s="35" t="str">
        <f>IFERROR(INDEX(DL_BI,MATCH($CA91,DL_KEY,0)),"M")</f>
        <v>L</v>
      </c>
      <c r="AD91" s="35" t="str">
        <f>IFERROR(INDEX(DL_Exp,MATCH($CA91,DL_KEY,0)),"M")</f>
        <v>L</v>
      </c>
      <c r="AE91" s="35" t="str">
        <f>IFERROR(INDEX(DL_Edu,MATCH($CA91,DL_KEY,0)),"M")</f>
        <v>L</v>
      </c>
      <c r="AF91" s="34" t="inlineStr">
        <is>
          <t>M</t>
        </is>
      </c>
      <c r="AG91" s="35" t="inlineStr">
        <is>
          <t>M</t>
        </is>
      </c>
      <c r="AH91" s="35" t="inlineStr">
        <is>
          <t>M</t>
        </is>
      </c>
      <c r="AI91" s="35" t="inlineStr">
        <is>
          <t>M</t>
        </is>
      </c>
      <c r="AJ91" s="35" t="inlineStr">
        <is>
          <t>M</t>
        </is>
      </c>
      <c r="AK91" s="35" t="inlineStr">
        <is>
          <t>M</t>
        </is>
      </c>
      <c r="AL91" s="35" t="inlineStr">
        <is>
          <t>M</t>
        </is>
      </c>
      <c r="AM91" s="36" t="n">
        <v>0.583</v>
      </c>
      <c r="AN91" s="37" t="n">
        <v>0.16</v>
      </c>
      <c r="AO91" s="37" t="n">
        <v>0.09</v>
      </c>
      <c r="AP91" s="37" t="n">
        <v>0</v>
      </c>
      <c r="AQ91" s="37" t="n">
        <v>0.063</v>
      </c>
      <c r="AR91" s="37" t="n">
        <v>0.06</v>
      </c>
      <c r="AS91" s="37" t="n">
        <v>0.04</v>
      </c>
      <c r="AT91" s="38" t="inlineStr">
        <is>
          <t>0–3</t>
        </is>
      </c>
      <c r="AU91" s="38" t="inlineStr">
        <is>
          <t>Graduate · or diploma with experience</t>
        </is>
      </c>
      <c r="AV91" s="38" t="inlineStr">
        <is>
          <t>No direct reports</t>
        </is>
      </c>
      <c r="AW91" s="38" t="inlineStr">
        <is>
          <t>P1–P2 · SFIA 2 Assist</t>
        </is>
      </c>
      <c r="AX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1" s="39" t="inlineStr">
        <is>
          <t>A2</t>
        </is>
      </c>
      <c r="AZ91" s="40" t="inlineStr">
        <is>
          <t>Band A · Practitioner · Associate</t>
        </is>
      </c>
      <c r="BA91" s="40" t="inlineStr">
        <is>
          <t>Model A2 from the six ratings, the market-derived weights and rules R1–R13 · then No change · already below the manager</t>
        </is>
      </c>
      <c r="BB91" s="41" t="inlineStr">
        <is>
          <t>A2</t>
        </is>
      </c>
      <c r="BC91" s="40" t="inlineStr">
        <is>
          <t>The six ratings on the market-average weights of Band A · all tracks score 2.03 → A2 · Hay, Mercer IPE and public plans · experience 1.3 yrs vs the A2 market range 0–3</t>
        </is>
      </c>
      <c r="BD91" s="42">
        <f>IF(SUM(BM91,BN91,BO91,BP91,BQ91,BR91,BS91)=0,0,(BM91*BT91+BN91*BU91+BO91*BV91+BP91*BW91+BQ91*BX91+BR91*BY91+BS91*BZ91)/SUM(BM91,BN91,BO91,BP91,BQ91,BR91,BS91))</f>
        <v>0</v>
      </c>
      <c r="BE91" s="41" t="str">
        <f>IF(LEFT(AY91,1)="X",AY91,IF(OR(AY91="B+",AY91="C+"),INDEX(LAD_PC,MAX(1,MIN(14,MATCH(AY91,LAD_PC,0)+IF(BD91&gt;=0.5,1,IF(BD91&lt;=-0.5,-1,0))))),INDEX(LAD_STD,MAX(1,MIN(12,MATCH(AY91,LAD_STD,0)+IF(BD91&gt;=0.5,1,IF(BD91&lt;=-0.5,-1,0)))))))</f>
        <v>A2</v>
      </c>
      <c r="BF91" s="43" t="n"/>
      <c r="BG91" s="41" t="str">
        <f>IF(BF91&lt;&gt;"",BF91,BE91)</f>
        <v>A2</v>
      </c>
      <c r="BH91" s="40" t="str">
        <f>IFERROR(CHOOSE(INDEX(B_RANK,MATCH(BG91,B_LVL,0)),"Band A","Band B","B+ · Player-Coach","Band C","C+ · Player-Coach","Band D","Band E"),"Band X · Consultant")</f>
        <v>Band A</v>
      </c>
      <c r="BI91" s="40" t="str">
        <f>IF(BG91=AY91,"• Same",IF(INDEX(B_VAL,MATCH(BG91,B_LVL,0))&gt;INDEX(B_VAL,MATCH(AY91,B_LVL,0)),"▲ Up","▼ Down"))</f>
        <v>• Same</v>
      </c>
      <c r="BJ91" s="40" t="str">
        <f>IF(OR($M91="",$M91="—",$M91="Not in this file"),"",IFERROR(INDEX($BG$7:$BG$592,MATCH($M91,$D$7:$D$592,0)),""))</f>
        <v>B1</v>
      </c>
      <c r="BK91" s="40" t="str">
        <f>IFERROR(IF(BJ91="","—",IF(OR(LEFT(BG91,1)="X",LEFT(BJ91,1)="X"),"—",IF(AND(LEFT(BG91,1)="E",LEFT(BJ91,1)="E"),"Exception · Band E",IF(AND(INDEX(B_VAL,MATCH(BJ91,B_LVL,0))&gt;=7,INDEX(B_RANK,MATCH(BG91,B_LVL,0))&gt;=INDEX(B_RANK,MATCH(BJ91,B_LVL,0))),"⚠ Same band as a head manager",IF(INDEX(B_VAL,MATCH(BG91,B_LVL,0))&gt;=INDEX(B_VAL,MATCH(BJ91,B_LVL,0)),"⚠ At or above the manager's level","OK"))))),"—")</f>
        <v>OK</v>
      </c>
      <c r="BL91" s="43" t="n"/>
      <c r="BM91" s="44">
        <f>IFERROR(INDEX(LMH_PTS,MATCH(Y91,LMH_KEY,0)),0)</f>
        <v>9</v>
      </c>
      <c r="BN91" s="38">
        <f>IFERROR(INDEX(LMH_PTS,MATCH(Z91,LMH_KEY,0)),0)</f>
        <v>3</v>
      </c>
      <c r="BO91" s="38">
        <f>IFERROR(INDEX(LMH_PTS,MATCH(AA91,LMH_KEY,0)),0)</f>
        <v>3</v>
      </c>
      <c r="BP91" s="38">
        <f>IFERROR(INDEX(LMH_PTS,MATCH(AB91,LMH_KEY,0)),0)</f>
        <v>1</v>
      </c>
      <c r="BQ91" s="38">
        <f>IFERROR(INDEX(LMH_PTS,MATCH(AC91,LMH_KEY,0)),0)</f>
        <v>1</v>
      </c>
      <c r="BR91" s="38">
        <f>IFERROR(INDEX(LMH_PTS,MATCH(AD91,LMH_KEY,0)),0)</f>
        <v>1</v>
      </c>
      <c r="BS91" s="38">
        <f>IFERROR(INDEX(LMH_PTS,MATCH(AE91,LMH_KEY,0)),0)</f>
        <v>1</v>
      </c>
      <c r="BT91" s="38">
        <f>IFERROR(INDEX(LMH_STEP,MATCH(AF91,LMH_KEY,0)),0)</f>
        <v>0</v>
      </c>
      <c r="BU91" s="38">
        <f>IFERROR(INDEX(LMH_STEP,MATCH(AG91,LMH_KEY,0)),0)</f>
        <v>0</v>
      </c>
      <c r="BV91" s="38">
        <f>IFERROR(INDEX(LMH_STEP,MATCH(AH91,LMH_KEY,0)),0)</f>
        <v>0</v>
      </c>
      <c r="BW91" s="38">
        <f>IFERROR(INDEX(LMH_STEP,MATCH(AI91,LMH_KEY,0)),0)</f>
        <v>0</v>
      </c>
      <c r="BX91" s="38">
        <f>IFERROR(INDEX(LMH_STEP,MATCH(AJ91,LMH_KEY,0)),0)</f>
        <v>0</v>
      </c>
      <c r="BY91" s="38">
        <f>IFERROR(INDEX(LMH_STEP,MATCH(AK91,LMH_KEY,0)),0)</f>
        <v>0</v>
      </c>
      <c r="BZ91" s="38">
        <f>IFERROR(INDEX(LMH_STEP,MATCH(AL91,LMH_KEY,0)),0)</f>
        <v>0</v>
      </c>
      <c r="CA91" s="38" t="inlineStr">
        <is>
          <t>CARBON|Digitizing|Digitization Associate|A2|A</t>
        </is>
      </c>
    </row>
    <row r="92" ht="110" customHeight="1">
      <c r="A92" s="28" t="inlineStr">
        <is>
          <t>CARBON</t>
        </is>
      </c>
      <c r="B92" s="29" t="inlineStr">
        <is>
          <t>Digitizing</t>
        </is>
      </c>
      <c r="C92" s="29" t="n">
        <v>6</v>
      </c>
      <c r="D92" s="29" t="inlineStr">
        <is>
          <t>IRIS0117</t>
        </is>
      </c>
      <c r="E92" s="29" t="inlineStr">
        <is>
          <t>Prajakta Mokal</t>
        </is>
      </c>
      <c r="F92" s="29" t="inlineStr">
        <is>
          <t>Image Processing Specialist</t>
        </is>
      </c>
      <c r="G92" s="29" t="inlineStr">
        <is>
          <t>Digitization Specialist – POD Lead</t>
        </is>
      </c>
      <c r="H92" s="29" t="inlineStr">
        <is>
          <t>Data Operations &amp; Digitization</t>
        </is>
      </c>
      <c r="I92" s="29" t="inlineStr">
        <is>
          <t>Document Conversion, Formatting &amp; Web Publishing</t>
        </is>
      </c>
      <c r="J92" s="29" t="inlineStr">
        <is>
          <t>POD Lead</t>
        </is>
      </c>
      <c r="K92" s="29" t="inlineStr">
        <is>
          <t>RC-048</t>
        </is>
      </c>
      <c r="L92" s="29" t="inlineStr">
        <is>
          <t>Vijay Parulekar</t>
        </is>
      </c>
      <c r="M92" s="29" t="inlineStr">
        <is>
          <t>IRIS0055</t>
        </is>
      </c>
      <c r="N92" s="29" t="n">
        <v>19.5</v>
      </c>
      <c r="O92" s="29" t="n">
        <v>19.1</v>
      </c>
      <c r="P92" s="29" t="inlineStr">
        <is>
          <t>BA</t>
        </is>
      </c>
      <c r="Q92" s="29" t="inlineStr">
        <is>
          <t>L3 – Professional / Associate</t>
        </is>
      </c>
      <c r="R92" s="29" t="inlineStr">
        <is>
          <t>B1</t>
        </is>
      </c>
      <c r="S92" s="30" t="inlineStr">
        <is>
          <t>20 of 20</t>
        </is>
      </c>
      <c r="T92" s="31" t="inlineStr">
        <is>
          <t>• Role / sub-team: Digitizing Assisted Services.</t>
        </is>
      </c>
      <c r="U92"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92" s="31" t="inlineStr">
        <is>
          <t>Latest rating: 4 · Potential: High · 9-box: Core Contributor · Readiness: Ready now</t>
        </is>
      </c>
      <c r="W92" s="31" t="inlineStr">
        <is>
          <t>C L · Au L · Ac L · L L · BI M · Exp H · 19.5 yrs vs 4–7 yrs · Edu M · BA</t>
        </is>
      </c>
      <c r="X92" s="33" t="inlineStr">
        <is>
          <t>Open ▸</t>
        </is>
      </c>
      <c r="Y92" s="34" t="str">
        <f>IFERROR(INDEX(DL_C,MATCH($CA92,DL_KEY,0)),"M")</f>
        <v>H</v>
      </c>
      <c r="Z92" s="35" t="str">
        <f>IFERROR(INDEX(DL_Au,MATCH($CA92,DL_KEY,0)),"M")</f>
        <v>M</v>
      </c>
      <c r="AA92" s="35" t="str">
        <f>IFERROR(INDEX(DL_Ac,MATCH($CA92,DL_KEY,0)),"M")</f>
        <v>M</v>
      </c>
      <c r="AB92" s="35" t="str">
        <f>IFERROR(INDEX(DL_L,MATCH($CA92,DL_KEY,0)),"M")</f>
        <v>L</v>
      </c>
      <c r="AC92" s="35" t="str">
        <f>IFERROR(INDEX(DL_BI,MATCH($CA92,DL_KEY,0)),"M")</f>
        <v>L</v>
      </c>
      <c r="AD92" s="35" t="str">
        <f>IFERROR(INDEX(DL_Exp,MATCH($CA92,DL_KEY,0)),"M")</f>
        <v>L</v>
      </c>
      <c r="AE92" s="35" t="str">
        <f>IFERROR(INDEX(DL_Edu,MATCH($CA92,DL_KEY,0)),"M")</f>
        <v>L</v>
      </c>
      <c r="AF92" s="34" t="inlineStr">
        <is>
          <t>M</t>
        </is>
      </c>
      <c r="AG92" s="35" t="inlineStr">
        <is>
          <t>M</t>
        </is>
      </c>
      <c r="AH92" s="35" t="inlineStr">
        <is>
          <t>M</t>
        </is>
      </c>
      <c r="AI92" s="35" t="inlineStr">
        <is>
          <t>M</t>
        </is>
      </c>
      <c r="AJ92" s="35" t="inlineStr">
        <is>
          <t>M</t>
        </is>
      </c>
      <c r="AK92" s="35" t="inlineStr">
        <is>
          <t>M</t>
        </is>
      </c>
      <c r="AL92" s="35" t="inlineStr">
        <is>
          <t>M</t>
        </is>
      </c>
      <c r="AM92" s="36" t="n">
        <v>0.513</v>
      </c>
      <c r="AN92" s="37" t="n">
        <v>0.173</v>
      </c>
      <c r="AO92" s="37" t="n">
        <v>0.09699999999999999</v>
      </c>
      <c r="AP92" s="37" t="n">
        <v>0.05</v>
      </c>
      <c r="AQ92" s="37" t="n">
        <v>0.07000000000000001</v>
      </c>
      <c r="AR92" s="37" t="n">
        <v>0.06</v>
      </c>
      <c r="AS92" s="37" t="n">
        <v>0.04</v>
      </c>
      <c r="AT92" s="38" t="inlineStr">
        <is>
          <t>4–8</t>
        </is>
      </c>
      <c r="AU92" s="38" t="inlineStr">
        <is>
          <t>Graduate + relevant qualification or certification preferred</t>
        </is>
      </c>
      <c r="AV92" s="38" t="inlineStr">
        <is>
          <t>IC: none · Team Lead: 3–5</t>
        </is>
      </c>
      <c r="AW92" s="38" t="inlineStr">
        <is>
          <t>P3 / M2 · SFIA 4 Enable</t>
        </is>
      </c>
      <c r="AX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2" s="39" t="inlineStr">
        <is>
          <t>B1</t>
        </is>
      </c>
      <c r="AZ92" s="40" t="inlineStr">
        <is>
          <t>Band B · Specialist / Manager · Team Lead / Asst Manager</t>
        </is>
      </c>
      <c r="BA92" s="40" t="inlineStr">
        <is>
          <t>Model B1 from the six ratings, the market-derived weights and rules R1–R13 · then No change · already below the manager</t>
        </is>
      </c>
      <c r="BB92" s="41" t="inlineStr">
        <is>
          <t>B1</t>
        </is>
      </c>
      <c r="BC92" s="40" t="inlineStr">
        <is>
          <t>The six ratings on the market-average weights of Band B · Specialist / POD Lead score 3.68 → B1 · Hay, Mercer IPE and public plans · experience 19.5 yrs vs the B1 market range 4–8</t>
        </is>
      </c>
      <c r="BD92" s="42">
        <f>IF(SUM(BM92,BN92,BO92,BP92,BQ92,BR92,BS92)=0,0,(BM92*BT92+BN92*BU92+BO92*BV92+BP92*BW92+BQ92*BX92+BR92*BY92+BS92*BZ92)/SUM(BM92,BN92,BO92,BP92,BQ92,BR92,BS92))</f>
        <v>0</v>
      </c>
      <c r="BE92" s="41" t="str">
        <f>IF(LEFT(AY92,1)="X",AY92,IF(OR(AY92="B+",AY92="C+"),INDEX(LAD_PC,MAX(1,MIN(14,MATCH(AY92,LAD_PC,0)+IF(BD92&gt;=0.5,1,IF(BD92&lt;=-0.5,-1,0))))),INDEX(LAD_STD,MAX(1,MIN(12,MATCH(AY92,LAD_STD,0)+IF(BD92&gt;=0.5,1,IF(BD92&lt;=-0.5,-1,0)))))))</f>
        <v>B1</v>
      </c>
      <c r="BF92" s="43" t="n"/>
      <c r="BG92" s="41" t="str">
        <f>IF(BF92&lt;&gt;"",BF92,BE92)</f>
        <v>B1</v>
      </c>
      <c r="BH92" s="40" t="str">
        <f>IFERROR(CHOOSE(INDEX(B_RANK,MATCH(BG92,B_LVL,0)),"Band A","Band B","B+ · Player-Coach","Band C","C+ · Player-Coach","Band D","Band E"),"Band X · Consultant")</f>
        <v>Band B</v>
      </c>
      <c r="BI92" s="40" t="str">
        <f>IF(BG92=AY92,"• Same",IF(INDEX(B_VAL,MATCH(BG92,B_LVL,0))&gt;INDEX(B_VAL,MATCH(AY92,B_LVL,0)),"▲ Up","▼ Down"))</f>
        <v>• Same</v>
      </c>
      <c r="BJ92" s="40" t="str">
        <f>IF(OR($M92="",$M92="—",$M92="Not in this file"),"",IFERROR(INDEX($BG$7:$BG$592,MATCH($M92,$D$7:$D$592,0)),""))</f>
        <v>B2</v>
      </c>
      <c r="BK92" s="40" t="str">
        <f>IFERROR(IF(BJ92="","—",IF(OR(LEFT(BG92,1)="X",LEFT(BJ92,1)="X"),"—",IF(AND(LEFT(BG92,1)="E",LEFT(BJ92,1)="E"),"Exception · Band E",IF(AND(INDEX(B_VAL,MATCH(BJ92,B_LVL,0))&gt;=7,INDEX(B_RANK,MATCH(BG92,B_LVL,0))&gt;=INDEX(B_RANK,MATCH(BJ92,B_LVL,0))),"⚠ Same band as a head manager",IF(INDEX(B_VAL,MATCH(BG92,B_LVL,0))&gt;=INDEX(B_VAL,MATCH(BJ92,B_LVL,0)),"⚠ At or above the manager's level","OK"))))),"—")</f>
        <v>OK</v>
      </c>
      <c r="BL92" s="43" t="n"/>
      <c r="BM92" s="44">
        <f>IFERROR(INDEX(LMH_PTS,MATCH(Y92,LMH_KEY,0)),0)</f>
        <v>9</v>
      </c>
      <c r="BN92" s="38">
        <f>IFERROR(INDEX(LMH_PTS,MATCH(Z92,LMH_KEY,0)),0)</f>
        <v>3</v>
      </c>
      <c r="BO92" s="38">
        <f>IFERROR(INDEX(LMH_PTS,MATCH(AA92,LMH_KEY,0)),0)</f>
        <v>3</v>
      </c>
      <c r="BP92" s="38">
        <f>IFERROR(INDEX(LMH_PTS,MATCH(AB92,LMH_KEY,0)),0)</f>
        <v>1</v>
      </c>
      <c r="BQ92" s="38">
        <f>IFERROR(INDEX(LMH_PTS,MATCH(AC92,LMH_KEY,0)),0)</f>
        <v>1</v>
      </c>
      <c r="BR92" s="38">
        <f>IFERROR(INDEX(LMH_PTS,MATCH(AD92,LMH_KEY,0)),0)</f>
        <v>1</v>
      </c>
      <c r="BS92" s="38">
        <f>IFERROR(INDEX(LMH_PTS,MATCH(AE92,LMH_KEY,0)),0)</f>
        <v>1</v>
      </c>
      <c r="BT92" s="38">
        <f>IFERROR(INDEX(LMH_STEP,MATCH(AF92,LMH_KEY,0)),0)</f>
        <v>0</v>
      </c>
      <c r="BU92" s="38">
        <f>IFERROR(INDEX(LMH_STEP,MATCH(AG92,LMH_KEY,0)),0)</f>
        <v>0</v>
      </c>
      <c r="BV92" s="38">
        <f>IFERROR(INDEX(LMH_STEP,MATCH(AH92,LMH_KEY,0)),0)</f>
        <v>0</v>
      </c>
      <c r="BW92" s="38">
        <f>IFERROR(INDEX(LMH_STEP,MATCH(AI92,LMH_KEY,0)),0)</f>
        <v>0</v>
      </c>
      <c r="BX92" s="38">
        <f>IFERROR(INDEX(LMH_STEP,MATCH(AJ92,LMH_KEY,0)),0)</f>
        <v>0</v>
      </c>
      <c r="BY92" s="38">
        <f>IFERROR(INDEX(LMH_STEP,MATCH(AK92,LMH_KEY,0)),0)</f>
        <v>0</v>
      </c>
      <c r="BZ92" s="38">
        <f>IFERROR(INDEX(LMH_STEP,MATCH(AL92,LMH_KEY,0)),0)</f>
        <v>0</v>
      </c>
      <c r="CA92" s="38" t="inlineStr">
        <is>
          <t>CARBON|Digitizing|Digitization Specialist – POD Lead|B1|B-IC</t>
        </is>
      </c>
    </row>
    <row r="93" ht="110" customHeight="1">
      <c r="A93" s="28" t="inlineStr">
        <is>
          <t>CARBON</t>
        </is>
      </c>
      <c r="B93" s="29" t="inlineStr">
        <is>
          <t>Digitizing</t>
        </is>
      </c>
      <c r="C93" s="29" t="n">
        <v>7</v>
      </c>
      <c r="D93" s="29" t="inlineStr">
        <is>
          <t>IRISC131</t>
        </is>
      </c>
      <c r="E93" s="29" t="inlineStr">
        <is>
          <t>Vanita Gaikwad</t>
        </is>
      </c>
      <c r="F93" s="29" t="inlineStr">
        <is>
          <t>Consultant</t>
        </is>
      </c>
      <c r="G93" s="29" t="inlineStr">
        <is>
          <t>Senior Digitization Associate</t>
        </is>
      </c>
      <c r="H93" s="29" t="inlineStr">
        <is>
          <t>Data Operations &amp; Digitization</t>
        </is>
      </c>
      <c r="I93" s="29" t="inlineStr">
        <is>
          <t>Document Conversion, Formatting &amp; Web Publishing</t>
        </is>
      </c>
      <c r="J93" s="29" t="inlineStr">
        <is>
          <t>IC</t>
        </is>
      </c>
      <c r="K93" s="29" t="inlineStr">
        <is>
          <t>RC-047</t>
        </is>
      </c>
      <c r="L93" s="29" t="inlineStr">
        <is>
          <t>Prajakta Mokal</t>
        </is>
      </c>
      <c r="M93" s="29" t="inlineStr">
        <is>
          <t>IRIS0117</t>
        </is>
      </c>
      <c r="N93" s="29" t="n">
        <v>7.9</v>
      </c>
      <c r="O93" s="29" t="n">
        <v>7.9</v>
      </c>
      <c r="P93" s="29" t="inlineStr">
        <is>
          <t>BA</t>
        </is>
      </c>
      <c r="Q93" s="29" t="inlineStr">
        <is>
          <t>L3 – Professional / Associate</t>
        </is>
      </c>
      <c r="R93" s="29" t="inlineStr">
        <is>
          <t>A3</t>
        </is>
      </c>
      <c r="S93" s="30" t="inlineStr">
        <is>
          <t>19 of 20</t>
        </is>
      </c>
      <c r="T93" s="31" t="inlineStr">
        <is>
          <t>• Role / sub-team: Digitizing Assisted services.</t>
        </is>
      </c>
      <c r="U93"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93" s="31" t="inlineStr">
        <is>
          <t>Latest rating: 3 · Potential: Medium · 9-box: Core Contributor · Readiness: Develop in role</t>
        </is>
      </c>
      <c r="W93" s="31" t="inlineStr">
        <is>
          <t>C L · Au L · Ac L · L L · BI M · Exp H · 7.9 yrs vs 2–4 yrs · Edu M · BA</t>
        </is>
      </c>
      <c r="X93" s="33" t="inlineStr">
        <is>
          <t>Open ▸</t>
        </is>
      </c>
      <c r="Y93" s="34" t="str">
        <f>IFERROR(INDEX(DL_C,MATCH($CA93,DL_KEY,0)),"M")</f>
        <v>H</v>
      </c>
      <c r="Z93" s="35" t="str">
        <f>IFERROR(INDEX(DL_Au,MATCH($CA93,DL_KEY,0)),"M")</f>
        <v>M</v>
      </c>
      <c r="AA93" s="35" t="str">
        <f>IFERROR(INDEX(DL_Ac,MATCH($CA93,DL_KEY,0)),"M")</f>
        <v>M</v>
      </c>
      <c r="AB93" s="35" t="str">
        <f>IFERROR(INDEX(DL_L,MATCH($CA93,DL_KEY,0)),"M")</f>
        <v>L</v>
      </c>
      <c r="AC93" s="35" t="str">
        <f>IFERROR(INDEX(DL_BI,MATCH($CA93,DL_KEY,0)),"M")</f>
        <v>L</v>
      </c>
      <c r="AD93" s="35" t="str">
        <f>IFERROR(INDEX(DL_Exp,MATCH($CA93,DL_KEY,0)),"M")</f>
        <v>L</v>
      </c>
      <c r="AE93" s="35" t="str">
        <f>IFERROR(INDEX(DL_Edu,MATCH($CA93,DL_KEY,0)),"M")</f>
        <v>L</v>
      </c>
      <c r="AF93" s="34" t="inlineStr">
        <is>
          <t>M</t>
        </is>
      </c>
      <c r="AG93" s="35" t="inlineStr">
        <is>
          <t>M</t>
        </is>
      </c>
      <c r="AH93" s="35" t="inlineStr">
        <is>
          <t>M</t>
        </is>
      </c>
      <c r="AI93" s="35" t="inlineStr">
        <is>
          <t>M</t>
        </is>
      </c>
      <c r="AJ93" s="35" t="inlineStr">
        <is>
          <t>M</t>
        </is>
      </c>
      <c r="AK93" s="35" t="inlineStr">
        <is>
          <t>M</t>
        </is>
      </c>
      <c r="AL93" s="35" t="inlineStr">
        <is>
          <t>M</t>
        </is>
      </c>
      <c r="AM93" s="36" t="n">
        <v>0.583</v>
      </c>
      <c r="AN93" s="37" t="n">
        <v>0.16</v>
      </c>
      <c r="AO93" s="37" t="n">
        <v>0.09</v>
      </c>
      <c r="AP93" s="37" t="n">
        <v>0</v>
      </c>
      <c r="AQ93" s="37" t="n">
        <v>0.063</v>
      </c>
      <c r="AR93" s="37" t="n">
        <v>0.06</v>
      </c>
      <c r="AS93" s="37" t="n">
        <v>0.04</v>
      </c>
      <c r="AT93" s="38" t="inlineStr">
        <is>
          <t>2–5</t>
        </is>
      </c>
      <c r="AU93" s="38" t="inlineStr">
        <is>
          <t>Graduate; relevant certification preferred</t>
        </is>
      </c>
      <c r="AV93" s="38" t="inlineStr">
        <is>
          <t>None · guides 1–3 juniors informally</t>
        </is>
      </c>
      <c r="AW93" s="38" t="inlineStr">
        <is>
          <t>P2 · SFIA 3 Apply</t>
        </is>
      </c>
      <c r="AX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3" s="39" t="inlineStr">
        <is>
          <t>A3</t>
        </is>
      </c>
      <c r="AZ93" s="40" t="inlineStr">
        <is>
          <t>Band A · Practitioner · Senior Associate</t>
        </is>
      </c>
      <c r="BA93" s="40" t="inlineStr">
        <is>
          <t>Model A3 from the six ratings, the market-derived weights and rules R1–R13 · then No change · already below the manager</t>
        </is>
      </c>
      <c r="BB93" s="41" t="inlineStr">
        <is>
          <t>A2</t>
        </is>
      </c>
      <c r="BC93" s="40" t="inlineStr">
        <is>
          <t>The six ratings on the market-average weights of Band A · all tracks score 2.33 → A2 · Hay, Mercer IPE and public plans · experience 7.9 yrs vs the A2 market range 0–3</t>
        </is>
      </c>
      <c r="BD93" s="42">
        <f>IF(SUM(BM93,BN93,BO93,BP93,BQ93,BR93,BS93)=0,0,(BM93*BT93+BN93*BU93+BO93*BV93+BP93*BW93+BQ93*BX93+BR93*BY93+BS93*BZ93)/SUM(BM93,BN93,BO93,BP93,BQ93,BR93,BS93))</f>
        <v>0</v>
      </c>
      <c r="BE93" s="41" t="str">
        <f>IF(LEFT(AY93,1)="X",AY93,IF(OR(AY93="B+",AY93="C+"),INDEX(LAD_PC,MAX(1,MIN(14,MATCH(AY93,LAD_PC,0)+IF(BD93&gt;=0.5,1,IF(BD93&lt;=-0.5,-1,0))))),INDEX(LAD_STD,MAX(1,MIN(12,MATCH(AY93,LAD_STD,0)+IF(BD93&gt;=0.5,1,IF(BD93&lt;=-0.5,-1,0)))))))</f>
        <v>A3</v>
      </c>
      <c r="BF93" s="43" t="n"/>
      <c r="BG93" s="41" t="str">
        <f>IF(BF93&lt;&gt;"",BF93,BE93)</f>
        <v>A3</v>
      </c>
      <c r="BH93" s="40" t="str">
        <f>IFERROR(CHOOSE(INDEX(B_RANK,MATCH(BG93,B_LVL,0)),"Band A","Band B","B+ · Player-Coach","Band C","C+ · Player-Coach","Band D","Band E"),"Band X · Consultant")</f>
        <v>Band A</v>
      </c>
      <c r="BI93" s="40" t="str">
        <f>IF(BG93=AY93,"• Same",IF(INDEX(B_VAL,MATCH(BG93,B_LVL,0))&gt;INDEX(B_VAL,MATCH(AY93,B_LVL,0)),"▲ Up","▼ Down"))</f>
        <v>• Same</v>
      </c>
      <c r="BJ93" s="40" t="str">
        <f>IF(OR($M93="",$M93="—",$M93="Not in this file"),"",IFERROR(INDEX($BG$7:$BG$592,MATCH($M93,$D$7:$D$592,0)),""))</f>
        <v>B1</v>
      </c>
      <c r="BK93" s="40" t="str">
        <f>IFERROR(IF(BJ93="","—",IF(OR(LEFT(BG93,1)="X",LEFT(BJ93,1)="X"),"—",IF(AND(LEFT(BG93,1)="E",LEFT(BJ93,1)="E"),"Exception · Band E",IF(AND(INDEX(B_VAL,MATCH(BJ93,B_LVL,0))&gt;=7,INDEX(B_RANK,MATCH(BG93,B_LVL,0))&gt;=INDEX(B_RANK,MATCH(BJ93,B_LVL,0))),"⚠ Same band as a head manager",IF(INDEX(B_VAL,MATCH(BG93,B_LVL,0))&gt;=INDEX(B_VAL,MATCH(BJ93,B_LVL,0)),"⚠ At or above the manager's level","OK"))))),"—")</f>
        <v>OK</v>
      </c>
      <c r="BL93" s="43" t="n"/>
      <c r="BM93" s="44">
        <f>IFERROR(INDEX(LMH_PTS,MATCH(Y93,LMH_KEY,0)),0)</f>
        <v>9</v>
      </c>
      <c r="BN93" s="38">
        <f>IFERROR(INDEX(LMH_PTS,MATCH(Z93,LMH_KEY,0)),0)</f>
        <v>3</v>
      </c>
      <c r="BO93" s="38">
        <f>IFERROR(INDEX(LMH_PTS,MATCH(AA93,LMH_KEY,0)),0)</f>
        <v>3</v>
      </c>
      <c r="BP93" s="38">
        <f>IFERROR(INDEX(LMH_PTS,MATCH(AB93,LMH_KEY,0)),0)</f>
        <v>1</v>
      </c>
      <c r="BQ93" s="38">
        <f>IFERROR(INDEX(LMH_PTS,MATCH(AC93,LMH_KEY,0)),0)</f>
        <v>1</v>
      </c>
      <c r="BR93" s="38">
        <f>IFERROR(INDEX(LMH_PTS,MATCH(AD93,LMH_KEY,0)),0)</f>
        <v>1</v>
      </c>
      <c r="BS93" s="38">
        <f>IFERROR(INDEX(LMH_PTS,MATCH(AE93,LMH_KEY,0)),0)</f>
        <v>1</v>
      </c>
      <c r="BT93" s="38">
        <f>IFERROR(INDEX(LMH_STEP,MATCH(AF93,LMH_KEY,0)),0)</f>
        <v>0</v>
      </c>
      <c r="BU93" s="38">
        <f>IFERROR(INDEX(LMH_STEP,MATCH(AG93,LMH_KEY,0)),0)</f>
        <v>0</v>
      </c>
      <c r="BV93" s="38">
        <f>IFERROR(INDEX(LMH_STEP,MATCH(AH93,LMH_KEY,0)),0)</f>
        <v>0</v>
      </c>
      <c r="BW93" s="38">
        <f>IFERROR(INDEX(LMH_STEP,MATCH(AI93,LMH_KEY,0)),0)</f>
        <v>0</v>
      </c>
      <c r="BX93" s="38">
        <f>IFERROR(INDEX(LMH_STEP,MATCH(AJ93,LMH_KEY,0)),0)</f>
        <v>0</v>
      </c>
      <c r="BY93" s="38">
        <f>IFERROR(INDEX(LMH_STEP,MATCH(AK93,LMH_KEY,0)),0)</f>
        <v>0</v>
      </c>
      <c r="BZ93" s="38">
        <f>IFERROR(INDEX(LMH_STEP,MATCH(AL93,LMH_KEY,0)),0)</f>
        <v>0</v>
      </c>
      <c r="CA93" s="38" t="inlineStr">
        <is>
          <t>CARBON|Digitizing|Senior Digitization Associate|A3|A</t>
        </is>
      </c>
    </row>
    <row r="94" ht="110" customHeight="1">
      <c r="A94" s="28" t="inlineStr">
        <is>
          <t>CARBON</t>
        </is>
      </c>
      <c r="B94" s="29" t="inlineStr">
        <is>
          <t>Digitizing</t>
        </is>
      </c>
      <c r="C94" s="29" t="n">
        <v>6</v>
      </c>
      <c r="D94" s="29" t="inlineStr">
        <is>
          <t>IRISC301</t>
        </is>
      </c>
      <c r="E94" s="29" t="inlineStr">
        <is>
          <t>Saurav Nirmal</t>
        </is>
      </c>
      <c r="F94" s="29" t="inlineStr">
        <is>
          <t>Consultant</t>
        </is>
      </c>
      <c r="G94" s="29" t="inlineStr">
        <is>
          <t>Senior Digitization Associate</t>
        </is>
      </c>
      <c r="H94" s="29" t="inlineStr">
        <is>
          <t>Data Operations &amp; Digitization</t>
        </is>
      </c>
      <c r="I94" s="29" t="inlineStr">
        <is>
          <t>Document Conversion, Formatting &amp; Web Publishing</t>
        </is>
      </c>
      <c r="J94" s="29" t="inlineStr">
        <is>
          <t>IC</t>
        </is>
      </c>
      <c r="K94" s="29" t="inlineStr">
        <is>
          <t>RC-047</t>
        </is>
      </c>
      <c r="L94" s="29" t="inlineStr">
        <is>
          <t>Vijay Parulekar</t>
        </is>
      </c>
      <c r="M94" s="29" t="inlineStr">
        <is>
          <t>IRIS0055</t>
        </is>
      </c>
      <c r="N94" s="29" t="n">
        <v>2.7</v>
      </c>
      <c r="O94" s="29" t="n">
        <v>1.7</v>
      </c>
      <c r="P94" s="29" t="inlineStr">
        <is>
          <t>B.Com</t>
        </is>
      </c>
      <c r="Q94" s="29" t="inlineStr">
        <is>
          <t>L3 – Professional / Associate</t>
        </is>
      </c>
      <c r="R94" s="29" t="inlineStr">
        <is>
          <t>A3</t>
        </is>
      </c>
      <c r="S94" s="30" t="inlineStr">
        <is>
          <t>20 of 20</t>
        </is>
      </c>
      <c r="T94" s="31" t="inlineStr">
        <is>
          <t>• Role / sub-team: Digitizing Assisted Services.</t>
        </is>
      </c>
      <c r="U94"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94" s="31" t="inlineStr">
        <is>
          <t>Latest rating: 3 · Potential: Medium · 9-box: Core Contributor · Readiness: Develop in role</t>
        </is>
      </c>
      <c r="W94" s="31" t="inlineStr">
        <is>
          <t>C L · Au L · Ac L · L L · BI M · Exp M · 2.7 yrs vs 2–4 yrs · Edu M · B.Com</t>
        </is>
      </c>
      <c r="X94" s="33" t="inlineStr">
        <is>
          <t>Open ▸</t>
        </is>
      </c>
      <c r="Y94" s="34" t="str">
        <f>IFERROR(INDEX(DL_C,MATCH($CA94,DL_KEY,0)),"M")</f>
        <v>H</v>
      </c>
      <c r="Z94" s="35" t="str">
        <f>IFERROR(INDEX(DL_Au,MATCH($CA94,DL_KEY,0)),"M")</f>
        <v>M</v>
      </c>
      <c r="AA94" s="35" t="str">
        <f>IFERROR(INDEX(DL_Ac,MATCH($CA94,DL_KEY,0)),"M")</f>
        <v>M</v>
      </c>
      <c r="AB94" s="35" t="str">
        <f>IFERROR(INDEX(DL_L,MATCH($CA94,DL_KEY,0)),"M")</f>
        <v>L</v>
      </c>
      <c r="AC94" s="35" t="str">
        <f>IFERROR(INDEX(DL_BI,MATCH($CA94,DL_KEY,0)),"M")</f>
        <v>L</v>
      </c>
      <c r="AD94" s="35" t="str">
        <f>IFERROR(INDEX(DL_Exp,MATCH($CA94,DL_KEY,0)),"M")</f>
        <v>L</v>
      </c>
      <c r="AE94" s="35" t="str">
        <f>IFERROR(INDEX(DL_Edu,MATCH($CA94,DL_KEY,0)),"M")</f>
        <v>L</v>
      </c>
      <c r="AF94" s="34" t="inlineStr">
        <is>
          <t>M</t>
        </is>
      </c>
      <c r="AG94" s="35" t="inlineStr">
        <is>
          <t>M</t>
        </is>
      </c>
      <c r="AH94" s="35" t="inlineStr">
        <is>
          <t>M</t>
        </is>
      </c>
      <c r="AI94" s="35" t="inlineStr">
        <is>
          <t>M</t>
        </is>
      </c>
      <c r="AJ94" s="35" t="inlineStr">
        <is>
          <t>M</t>
        </is>
      </c>
      <c r="AK94" s="35" t="inlineStr">
        <is>
          <t>M</t>
        </is>
      </c>
      <c r="AL94" s="35" t="inlineStr">
        <is>
          <t>M</t>
        </is>
      </c>
      <c r="AM94" s="36" t="n">
        <v>0.583</v>
      </c>
      <c r="AN94" s="37" t="n">
        <v>0.16</v>
      </c>
      <c r="AO94" s="37" t="n">
        <v>0.09</v>
      </c>
      <c r="AP94" s="37" t="n">
        <v>0</v>
      </c>
      <c r="AQ94" s="37" t="n">
        <v>0.063</v>
      </c>
      <c r="AR94" s="37" t="n">
        <v>0.06</v>
      </c>
      <c r="AS94" s="37" t="n">
        <v>0.04</v>
      </c>
      <c r="AT94" s="38" t="inlineStr">
        <is>
          <t>2–5</t>
        </is>
      </c>
      <c r="AU94" s="38" t="inlineStr">
        <is>
          <t>Graduate; relevant certification preferred</t>
        </is>
      </c>
      <c r="AV94" s="38" t="inlineStr">
        <is>
          <t>None · guides 1–3 juniors informally</t>
        </is>
      </c>
      <c r="AW94" s="38" t="inlineStr">
        <is>
          <t>P2 · SFIA 3 Apply</t>
        </is>
      </c>
      <c r="AX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4" s="39" t="inlineStr">
        <is>
          <t>A3</t>
        </is>
      </c>
      <c r="AZ94" s="40" t="inlineStr">
        <is>
          <t>Band A · Practitioner · Senior Associate</t>
        </is>
      </c>
      <c r="BA94" s="40" t="inlineStr">
        <is>
          <t>Model A3 from the six ratings, the market-derived weights and rules R1–R13 · then No change · already below the manager</t>
        </is>
      </c>
      <c r="BB94" s="41" t="inlineStr">
        <is>
          <t>A2</t>
        </is>
      </c>
      <c r="BC94" s="40" t="inlineStr">
        <is>
          <t>The six ratings on the market-average weights of Band A · all tracks score 2.13 → A2 · Hay, Mercer IPE and public plans · experience 2.7 yrs vs the A2 market range 0–3</t>
        </is>
      </c>
      <c r="BD94" s="42">
        <f>IF(SUM(BM94,BN94,BO94,BP94,BQ94,BR94,BS94)=0,0,(BM94*BT94+BN94*BU94+BO94*BV94+BP94*BW94+BQ94*BX94+BR94*BY94+BS94*BZ94)/SUM(BM94,BN94,BO94,BP94,BQ94,BR94,BS94))</f>
        <v>0</v>
      </c>
      <c r="BE94" s="41" t="str">
        <f>IF(LEFT(AY94,1)="X",AY94,IF(OR(AY94="B+",AY94="C+"),INDEX(LAD_PC,MAX(1,MIN(14,MATCH(AY94,LAD_PC,0)+IF(BD94&gt;=0.5,1,IF(BD94&lt;=-0.5,-1,0))))),INDEX(LAD_STD,MAX(1,MIN(12,MATCH(AY94,LAD_STD,0)+IF(BD94&gt;=0.5,1,IF(BD94&lt;=-0.5,-1,0)))))))</f>
        <v>A3</v>
      </c>
      <c r="BF94" s="43" t="n"/>
      <c r="BG94" s="41" t="str">
        <f>IF(BF94&lt;&gt;"",BF94,BE94)</f>
        <v>A3</v>
      </c>
      <c r="BH94" s="40" t="str">
        <f>IFERROR(CHOOSE(INDEX(B_RANK,MATCH(BG94,B_LVL,0)),"Band A","Band B","B+ · Player-Coach","Band C","C+ · Player-Coach","Band D","Band E"),"Band X · Consultant")</f>
        <v>Band A</v>
      </c>
      <c r="BI94" s="40" t="str">
        <f>IF(BG94=AY94,"• Same",IF(INDEX(B_VAL,MATCH(BG94,B_LVL,0))&gt;INDEX(B_VAL,MATCH(AY94,B_LVL,0)),"▲ Up","▼ Down"))</f>
        <v>• Same</v>
      </c>
      <c r="BJ94" s="40" t="str">
        <f>IF(OR($M94="",$M94="—",$M94="Not in this file"),"",IFERROR(INDEX($BG$7:$BG$592,MATCH($M94,$D$7:$D$592,0)),""))</f>
        <v>B2</v>
      </c>
      <c r="BK94" s="40" t="str">
        <f>IFERROR(IF(BJ94="","—",IF(OR(LEFT(BG94,1)="X",LEFT(BJ94,1)="X"),"—",IF(AND(LEFT(BG94,1)="E",LEFT(BJ94,1)="E"),"Exception · Band E",IF(AND(INDEX(B_VAL,MATCH(BJ94,B_LVL,0))&gt;=7,INDEX(B_RANK,MATCH(BG94,B_LVL,0))&gt;=INDEX(B_RANK,MATCH(BJ94,B_LVL,0))),"⚠ Same band as a head manager",IF(INDEX(B_VAL,MATCH(BG94,B_LVL,0))&gt;=INDEX(B_VAL,MATCH(BJ94,B_LVL,0)),"⚠ At or above the manager's level","OK"))))),"—")</f>
        <v>OK</v>
      </c>
      <c r="BL94" s="43" t="n"/>
      <c r="BM94" s="44">
        <f>IFERROR(INDEX(LMH_PTS,MATCH(Y94,LMH_KEY,0)),0)</f>
        <v>9</v>
      </c>
      <c r="BN94" s="38">
        <f>IFERROR(INDEX(LMH_PTS,MATCH(Z94,LMH_KEY,0)),0)</f>
        <v>3</v>
      </c>
      <c r="BO94" s="38">
        <f>IFERROR(INDEX(LMH_PTS,MATCH(AA94,LMH_KEY,0)),0)</f>
        <v>3</v>
      </c>
      <c r="BP94" s="38">
        <f>IFERROR(INDEX(LMH_PTS,MATCH(AB94,LMH_KEY,0)),0)</f>
        <v>1</v>
      </c>
      <c r="BQ94" s="38">
        <f>IFERROR(INDEX(LMH_PTS,MATCH(AC94,LMH_KEY,0)),0)</f>
        <v>1</v>
      </c>
      <c r="BR94" s="38">
        <f>IFERROR(INDEX(LMH_PTS,MATCH(AD94,LMH_KEY,0)),0)</f>
        <v>1</v>
      </c>
      <c r="BS94" s="38">
        <f>IFERROR(INDEX(LMH_PTS,MATCH(AE94,LMH_KEY,0)),0)</f>
        <v>1</v>
      </c>
      <c r="BT94" s="38">
        <f>IFERROR(INDEX(LMH_STEP,MATCH(AF94,LMH_KEY,0)),0)</f>
        <v>0</v>
      </c>
      <c r="BU94" s="38">
        <f>IFERROR(INDEX(LMH_STEP,MATCH(AG94,LMH_KEY,0)),0)</f>
        <v>0</v>
      </c>
      <c r="BV94" s="38">
        <f>IFERROR(INDEX(LMH_STEP,MATCH(AH94,LMH_KEY,0)),0)</f>
        <v>0</v>
      </c>
      <c r="BW94" s="38">
        <f>IFERROR(INDEX(LMH_STEP,MATCH(AI94,LMH_KEY,0)),0)</f>
        <v>0</v>
      </c>
      <c r="BX94" s="38">
        <f>IFERROR(INDEX(LMH_STEP,MATCH(AJ94,LMH_KEY,0)),0)</f>
        <v>0</v>
      </c>
      <c r="BY94" s="38">
        <f>IFERROR(INDEX(LMH_STEP,MATCH(AK94,LMH_KEY,0)),0)</f>
        <v>0</v>
      </c>
      <c r="BZ94" s="38">
        <f>IFERROR(INDEX(LMH_STEP,MATCH(AL94,LMH_KEY,0)),0)</f>
        <v>0</v>
      </c>
      <c r="CA94" s="38" t="inlineStr">
        <is>
          <t>CARBON|Digitizing|Senior Digitization Associate|A3|A</t>
        </is>
      </c>
    </row>
    <row r="95" ht="110" customHeight="1">
      <c r="A95" s="28" t="inlineStr">
        <is>
          <t>CARBON</t>
        </is>
      </c>
      <c r="B95" s="29" t="inlineStr">
        <is>
          <t>Services</t>
        </is>
      </c>
      <c r="C95" s="29" t="n">
        <v>5</v>
      </c>
      <c r="D95" s="29" t="inlineStr">
        <is>
          <t>IRIS0393</t>
        </is>
      </c>
      <c r="E95" s="29" t="inlineStr">
        <is>
          <t>Mayur Zope</t>
        </is>
      </c>
      <c r="F95" s="29" t="inlineStr">
        <is>
          <t>Lead Financial Analyst</t>
        </is>
      </c>
      <c r="G95" s="29" t="inlineStr">
        <is>
          <t>Senior Manager – Assisted Services</t>
        </is>
      </c>
      <c r="H95" s="29" t="inlineStr">
        <is>
          <t>Consulting &amp; Professional Services</t>
        </is>
      </c>
      <c r="I95" s="29" t="inlineStr">
        <is>
          <t>XBRL Tagging, Conversion &amp; Filing</t>
        </is>
      </c>
      <c r="J95" s="29" t="inlineStr">
        <is>
          <t>People Manager</t>
        </is>
      </c>
      <c r="K95" s="29" t="inlineStr">
        <is>
          <t>RC-028</t>
        </is>
      </c>
      <c r="L95" s="29" t="inlineStr">
        <is>
          <t>K Ashok Kumar</t>
        </is>
      </c>
      <c r="M95" s="29" t="inlineStr">
        <is>
          <t>IRIS0018</t>
        </is>
      </c>
      <c r="N95" s="29" t="n">
        <v>19.4</v>
      </c>
      <c r="O95" s="29" t="n">
        <v>16.4</v>
      </c>
      <c r="P95" s="29" t="inlineStr">
        <is>
          <t>CA</t>
        </is>
      </c>
      <c r="Q95" s="29" t="inlineStr">
        <is>
          <t>L5 – Lead · IC</t>
        </is>
      </c>
      <c r="R95" s="29" t="inlineStr">
        <is>
          <t>B2</t>
        </is>
      </c>
      <c r="S95" s="30" t="inlineStr">
        <is>
          <t>20 of 20</t>
        </is>
      </c>
      <c r="T95" s="31" t="inlineStr">
        <is>
          <t>• Role / sub-team: XBRL conversion team handling.</t>
        </is>
      </c>
      <c r="U95"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95" s="31" t="inlineStr">
        <is>
          <t>Latest rating: 4 · Potential: High · 9-box: Core Contributor · Readiness: Ready now</t>
        </is>
      </c>
      <c r="W95" s="31" t="inlineStr">
        <is>
          <t>C L · Au M · Ac M · L M · BI M · Exp H · 19.4 yrs vs 6–9 yrs · Edu H · CA</t>
        </is>
      </c>
      <c r="X95" s="33" t="inlineStr">
        <is>
          <t>Open ▸</t>
        </is>
      </c>
      <c r="Y95" s="34" t="str">
        <f>IFERROR(INDEX(DL_C,MATCH($CA95,DL_KEY,0)),"M")</f>
        <v>H</v>
      </c>
      <c r="Z95" s="35" t="str">
        <f>IFERROR(INDEX(DL_Au,MATCH($CA95,DL_KEY,0)),"M")</f>
        <v>M</v>
      </c>
      <c r="AA95" s="35" t="str">
        <f>IFERROR(INDEX(DL_Ac,MATCH($CA95,DL_KEY,0)),"M")</f>
        <v>M</v>
      </c>
      <c r="AB95" s="35" t="str">
        <f>IFERROR(INDEX(DL_L,MATCH($CA95,DL_KEY,0)),"M")</f>
        <v>M</v>
      </c>
      <c r="AC95" s="35" t="str">
        <f>IFERROR(INDEX(DL_BI,MATCH($CA95,DL_KEY,0)),"M")</f>
        <v>L</v>
      </c>
      <c r="AD95" s="35" t="str">
        <f>IFERROR(INDEX(DL_Exp,MATCH($CA95,DL_KEY,0)),"M")</f>
        <v>L</v>
      </c>
      <c r="AE95" s="35" t="str">
        <f>IFERROR(INDEX(DL_Edu,MATCH($CA95,DL_KEY,0)),"M")</f>
        <v>L</v>
      </c>
      <c r="AF95" s="34" t="inlineStr">
        <is>
          <t>M</t>
        </is>
      </c>
      <c r="AG95" s="35" t="inlineStr">
        <is>
          <t>M</t>
        </is>
      </c>
      <c r="AH95" s="35" t="inlineStr">
        <is>
          <t>M</t>
        </is>
      </c>
      <c r="AI95" s="35" t="inlineStr">
        <is>
          <t>M</t>
        </is>
      </c>
      <c r="AJ95" s="35" t="inlineStr">
        <is>
          <t>M</t>
        </is>
      </c>
      <c r="AK95" s="35" t="inlineStr">
        <is>
          <t>M</t>
        </is>
      </c>
      <c r="AL95" s="35" t="inlineStr">
        <is>
          <t>M</t>
        </is>
      </c>
      <c r="AM95" s="36" t="n">
        <v>0.37</v>
      </c>
      <c r="AN95" s="37" t="n">
        <v>0.183</v>
      </c>
      <c r="AO95" s="37" t="n">
        <v>0.113</v>
      </c>
      <c r="AP95" s="37" t="n">
        <v>0.15</v>
      </c>
      <c r="AQ95" s="37" t="n">
        <v>0.08699999999999999</v>
      </c>
      <c r="AR95" s="37" t="n">
        <v>0.06</v>
      </c>
      <c r="AS95" s="37" t="n">
        <v>0.04</v>
      </c>
      <c r="AT95" s="38" t="inlineStr">
        <is>
          <t>6–10</t>
        </is>
      </c>
      <c r="AU95" s="38" t="inlineStr">
        <is>
          <t>Graduate or postgraduate; professional qualification preferred</t>
        </is>
      </c>
      <c r="AV95" s="38" t="inlineStr">
        <is>
          <t>IC: none · People: 6–8 knowledge work, 8–12 standardised delivery</t>
        </is>
      </c>
      <c r="AW95" s="38" t="inlineStr">
        <is>
          <t>P4 / M3 · SFIA 4–5</t>
        </is>
      </c>
      <c r="AX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5" s="39" t="inlineStr">
        <is>
          <t>B2</t>
        </is>
      </c>
      <c r="AZ95" s="40" t="inlineStr">
        <is>
          <t>Band B · Specialist / Manager · Manager</t>
        </is>
      </c>
      <c r="BA95" s="40" t="inlineStr">
        <is>
          <t>Model B2 from the six ratings, the market-derived weights and rules R1–R13 · then No change · already below the manager</t>
        </is>
      </c>
      <c r="BB95" s="41" t="inlineStr">
        <is>
          <t>B2</t>
        </is>
      </c>
      <c r="BC95" s="40" t="inlineStr">
        <is>
          <t>The six ratings on the market-average weights of Band B · People Manager score 5.22 → B2 · Hay, Mercer IPE and public plans · experience 19.4 yrs vs the B2 market range 6–10</t>
        </is>
      </c>
      <c r="BD95" s="42">
        <f>IF(SUM(BM95,BN95,BO95,BP95,BQ95,BR95,BS95)=0,0,(BM95*BT95+BN95*BU95+BO95*BV95+BP95*BW95+BQ95*BX95+BR95*BY95+BS95*BZ95)/SUM(BM95,BN95,BO95,BP95,BQ95,BR95,BS95))</f>
        <v>0</v>
      </c>
      <c r="BE95" s="41" t="str">
        <f>IF(LEFT(AY95,1)="X",AY95,IF(OR(AY95="B+",AY95="C+"),INDEX(LAD_PC,MAX(1,MIN(14,MATCH(AY95,LAD_PC,0)+IF(BD95&gt;=0.5,1,IF(BD95&lt;=-0.5,-1,0))))),INDEX(LAD_STD,MAX(1,MIN(12,MATCH(AY95,LAD_STD,0)+IF(BD95&gt;=0.5,1,IF(BD95&lt;=-0.5,-1,0)))))))</f>
        <v>B2</v>
      </c>
      <c r="BF95" s="43" t="n"/>
      <c r="BG95" s="41" t="str">
        <f>IF(BF95&lt;&gt;"",BF95,BE95)</f>
        <v>B2</v>
      </c>
      <c r="BH95" s="40" t="str">
        <f>IFERROR(CHOOSE(INDEX(B_RANK,MATCH(BG95,B_LVL,0)),"Band A","Band B","B+ · Player-Coach","Band C","C+ · Player-Coach","Band D","Band E"),"Band X · Consultant")</f>
        <v>Band B</v>
      </c>
      <c r="BI95" s="40" t="str">
        <f>IF(BG95=AY95,"• Same",IF(INDEX(B_VAL,MATCH(BG95,B_LVL,0))&gt;INDEX(B_VAL,MATCH(AY95,B_LVL,0)),"▲ Up","▼ Down"))</f>
        <v>• Same</v>
      </c>
      <c r="BJ95" s="40" t="str">
        <f>IF(OR($M95="",$M95="—",$M95="Not in this file"),"",IFERROR(INDEX($BG$7:$BG$592,MATCH($M95,$D$7:$D$592,0)),""))</f>
        <v>B3</v>
      </c>
      <c r="BK95" s="40" t="str">
        <f>IFERROR(IF(BJ95="","—",IF(OR(LEFT(BG95,1)="X",LEFT(BJ95,1)="X"),"—",IF(AND(LEFT(BG95,1)="E",LEFT(BJ95,1)="E"),"Exception · Band E",IF(AND(INDEX(B_VAL,MATCH(BJ95,B_LVL,0))&gt;=7,INDEX(B_RANK,MATCH(BG95,B_LVL,0))&gt;=INDEX(B_RANK,MATCH(BJ95,B_LVL,0))),"⚠ Same band as a head manager",IF(INDEX(B_VAL,MATCH(BG95,B_LVL,0))&gt;=INDEX(B_VAL,MATCH(BJ95,B_LVL,0)),"⚠ At or above the manager's level","OK"))))),"—")</f>
        <v>OK</v>
      </c>
      <c r="BL95" s="43" t="n"/>
      <c r="BM95" s="44">
        <f>IFERROR(INDEX(LMH_PTS,MATCH(Y95,LMH_KEY,0)),0)</f>
        <v>9</v>
      </c>
      <c r="BN95" s="38">
        <f>IFERROR(INDEX(LMH_PTS,MATCH(Z95,LMH_KEY,0)),0)</f>
        <v>3</v>
      </c>
      <c r="BO95" s="38">
        <f>IFERROR(INDEX(LMH_PTS,MATCH(AA95,LMH_KEY,0)),0)</f>
        <v>3</v>
      </c>
      <c r="BP95" s="38">
        <f>IFERROR(INDEX(LMH_PTS,MATCH(AB95,LMH_KEY,0)),0)</f>
        <v>3</v>
      </c>
      <c r="BQ95" s="38">
        <f>IFERROR(INDEX(LMH_PTS,MATCH(AC95,LMH_KEY,0)),0)</f>
        <v>1</v>
      </c>
      <c r="BR95" s="38">
        <f>IFERROR(INDEX(LMH_PTS,MATCH(AD95,LMH_KEY,0)),0)</f>
        <v>1</v>
      </c>
      <c r="BS95" s="38">
        <f>IFERROR(INDEX(LMH_PTS,MATCH(AE95,LMH_KEY,0)),0)</f>
        <v>1</v>
      </c>
      <c r="BT95" s="38">
        <f>IFERROR(INDEX(LMH_STEP,MATCH(AF95,LMH_KEY,0)),0)</f>
        <v>0</v>
      </c>
      <c r="BU95" s="38">
        <f>IFERROR(INDEX(LMH_STEP,MATCH(AG95,LMH_KEY,0)),0)</f>
        <v>0</v>
      </c>
      <c r="BV95" s="38">
        <f>IFERROR(INDEX(LMH_STEP,MATCH(AH95,LMH_KEY,0)),0)</f>
        <v>0</v>
      </c>
      <c r="BW95" s="38">
        <f>IFERROR(INDEX(LMH_STEP,MATCH(AI95,LMH_KEY,0)),0)</f>
        <v>0</v>
      </c>
      <c r="BX95" s="38">
        <f>IFERROR(INDEX(LMH_STEP,MATCH(AJ95,LMH_KEY,0)),0)</f>
        <v>0</v>
      </c>
      <c r="BY95" s="38">
        <f>IFERROR(INDEX(LMH_STEP,MATCH(AK95,LMH_KEY,0)),0)</f>
        <v>0</v>
      </c>
      <c r="BZ95" s="38">
        <f>IFERROR(INDEX(LMH_STEP,MATCH(AL95,LMH_KEY,0)),0)</f>
        <v>0</v>
      </c>
      <c r="CA95" s="38" t="inlineStr">
        <is>
          <t>CARBON|Services|Senior Manager – Assisted Services|B2|B-M</t>
        </is>
      </c>
    </row>
    <row r="96" ht="110" customHeight="1">
      <c r="A96" s="28" t="inlineStr">
        <is>
          <t>CARBON</t>
        </is>
      </c>
      <c r="B96" s="29" t="inlineStr">
        <is>
          <t>Services</t>
        </is>
      </c>
      <c r="C96" s="29" t="n">
        <v>6</v>
      </c>
      <c r="D96" s="29" t="inlineStr">
        <is>
          <t>IRIS2071</t>
        </is>
      </c>
      <c r="E96" s="29" t="inlineStr">
        <is>
          <t>Priyanka Mehra</t>
        </is>
      </c>
      <c r="F96" s="29" t="inlineStr">
        <is>
          <t>Project Manager Officer</t>
        </is>
      </c>
      <c r="G96" s="29" t="inlineStr">
        <is>
          <t>PMO Manager</t>
        </is>
      </c>
      <c r="H96" s="29" t="inlineStr">
        <is>
          <t>Project &amp; Program Management</t>
        </is>
      </c>
      <c r="I96" s="29" t="inlineStr">
        <is>
          <t>PMO &amp; Delivery Excellence</t>
        </is>
      </c>
      <c r="J96" s="29" t="inlineStr">
        <is>
          <t>People Manager</t>
        </is>
      </c>
      <c r="K96" s="29" t="inlineStr">
        <is>
          <t>RC-132</t>
        </is>
      </c>
      <c r="L96" s="29" t="inlineStr">
        <is>
          <t>Mayur Zope</t>
        </is>
      </c>
      <c r="M96" s="29" t="inlineStr">
        <is>
          <t>IRIS0393</t>
        </is>
      </c>
      <c r="N96" s="29" t="n">
        <v>17</v>
      </c>
      <c r="O96" s="29" t="n">
        <v>3.9</v>
      </c>
      <c r="P96" s="29" t="inlineStr">
        <is>
          <t>B.Com</t>
        </is>
      </c>
      <c r="Q96" s="29" t="inlineStr">
        <is>
          <t>L5 – Manager</t>
        </is>
      </c>
      <c r="R96" s="29" t="inlineStr">
        <is>
          <t>B2</t>
        </is>
      </c>
      <c r="S96" s="30" t="inlineStr">
        <is>
          <t>20 of 20</t>
        </is>
      </c>
      <c r="T96" s="31" t="inlineStr">
        <is>
          <t>• Role / sub-team: PMO.</t>
        </is>
      </c>
      <c r="U96"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96" s="31" t="inlineStr">
        <is>
          <t>Latest rating: 4 · Potential: High · 9-box: Core Contributor · Readiness: Ready now</t>
        </is>
      </c>
      <c r="W96" s="31" t="inlineStr">
        <is>
          <t>C M · Au M · Ac M · L M · BI H · Exp H · 17 yrs vs 4–7 yrs · Edu M · B.Com</t>
        </is>
      </c>
      <c r="X96" s="33" t="inlineStr">
        <is>
          <t>Open ▸</t>
        </is>
      </c>
      <c r="Y96" s="34" t="str">
        <f>IFERROR(INDEX(DL_C,MATCH($CA96,DL_KEY,0)),"M")</f>
        <v>H</v>
      </c>
      <c r="Z96" s="35" t="str">
        <f>IFERROR(INDEX(DL_Au,MATCH($CA96,DL_KEY,0)),"M")</f>
        <v>M</v>
      </c>
      <c r="AA96" s="35" t="str">
        <f>IFERROR(INDEX(DL_Ac,MATCH($CA96,DL_KEY,0)),"M")</f>
        <v>L</v>
      </c>
      <c r="AB96" s="35" t="str">
        <f>IFERROR(INDEX(DL_L,MATCH($CA96,DL_KEY,0)),"M")</f>
        <v>M</v>
      </c>
      <c r="AC96" s="35" t="str">
        <f>IFERROR(INDEX(DL_BI,MATCH($CA96,DL_KEY,0)),"M")</f>
        <v>L</v>
      </c>
      <c r="AD96" s="35" t="str">
        <f>IFERROR(INDEX(DL_Exp,MATCH($CA96,DL_KEY,0)),"M")</f>
        <v>L</v>
      </c>
      <c r="AE96" s="35" t="str">
        <f>IFERROR(INDEX(DL_Edu,MATCH($CA96,DL_KEY,0)),"M")</f>
        <v>L</v>
      </c>
      <c r="AF96" s="34" t="inlineStr">
        <is>
          <t>M</t>
        </is>
      </c>
      <c r="AG96" s="35" t="inlineStr">
        <is>
          <t>M</t>
        </is>
      </c>
      <c r="AH96" s="35" t="inlineStr">
        <is>
          <t>M</t>
        </is>
      </c>
      <c r="AI96" s="35" t="inlineStr">
        <is>
          <t>M</t>
        </is>
      </c>
      <c r="AJ96" s="35" t="inlineStr">
        <is>
          <t>M</t>
        </is>
      </c>
      <c r="AK96" s="35" t="inlineStr">
        <is>
          <t>M</t>
        </is>
      </c>
      <c r="AL96" s="35" t="inlineStr">
        <is>
          <t>M</t>
        </is>
      </c>
      <c r="AM96" s="36" t="n">
        <v>0.37</v>
      </c>
      <c r="AN96" s="37" t="n">
        <v>0.183</v>
      </c>
      <c r="AO96" s="37" t="n">
        <v>0.113</v>
      </c>
      <c r="AP96" s="37" t="n">
        <v>0.15</v>
      </c>
      <c r="AQ96" s="37" t="n">
        <v>0.08699999999999999</v>
      </c>
      <c r="AR96" s="37" t="n">
        <v>0.06</v>
      </c>
      <c r="AS96" s="37" t="n">
        <v>0.04</v>
      </c>
      <c r="AT96" s="38" t="inlineStr">
        <is>
          <t>4–8</t>
        </is>
      </c>
      <c r="AU96" s="38" t="inlineStr">
        <is>
          <t>Graduate + relevant qualification or certification preferred</t>
        </is>
      </c>
      <c r="AV96" s="38" t="inlineStr">
        <is>
          <t>IC: none · Team Lead: 3–5</t>
        </is>
      </c>
      <c r="AW96" s="38" t="inlineStr">
        <is>
          <t>P3 / M2 · SFIA 4 Enable</t>
        </is>
      </c>
      <c r="AX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6" s="39" t="inlineStr">
        <is>
          <t>B1</t>
        </is>
      </c>
      <c r="AZ96" s="40" t="inlineStr">
        <is>
          <t>Band B · Specialist / Manager · Team Lead / Asst Manager</t>
        </is>
      </c>
      <c r="BA96" s="40" t="inlineStr">
        <is>
          <t>Model B2 from the six ratings, the market-derived weights and rules R1–R13 · then Level rule: manager B2; a reportee sits at least one level below · B2 → B1 · move down · pay and title protected for one cycle</t>
        </is>
      </c>
      <c r="BB96" s="41" t="inlineStr">
        <is>
          <t>B2</t>
        </is>
      </c>
      <c r="BC96" s="40" t="inlineStr">
        <is>
          <t>The six ratings on the market-average weights of Band B · People Manager score 4.99 → B2 · Hay, Mercer IPE and public plans · experience 17 yrs vs the B2 market range 6–10</t>
        </is>
      </c>
      <c r="BD96" s="42">
        <f>IF(SUM(BM96,BN96,BO96,BP96,BQ96,BR96,BS96)=0,0,(BM96*BT96+BN96*BU96+BO96*BV96+BP96*BW96+BQ96*BX96+BR96*BY96+BS96*BZ96)/SUM(BM96,BN96,BO96,BP96,BQ96,BR96,BS96))</f>
        <v>0</v>
      </c>
      <c r="BE96" s="41" t="str">
        <f>IF(LEFT(AY96,1)="X",AY96,IF(OR(AY96="B+",AY96="C+"),INDEX(LAD_PC,MAX(1,MIN(14,MATCH(AY96,LAD_PC,0)+IF(BD96&gt;=0.5,1,IF(BD96&lt;=-0.5,-1,0))))),INDEX(LAD_STD,MAX(1,MIN(12,MATCH(AY96,LAD_STD,0)+IF(BD96&gt;=0.5,1,IF(BD96&lt;=-0.5,-1,0)))))))</f>
        <v>B1</v>
      </c>
      <c r="BF96" s="43" t="n"/>
      <c r="BG96" s="41" t="str">
        <f>IF(BF96&lt;&gt;"",BF96,BE96)</f>
        <v>B1</v>
      </c>
      <c r="BH96" s="40" t="str">
        <f>IFERROR(CHOOSE(INDEX(B_RANK,MATCH(BG96,B_LVL,0)),"Band A","Band B","B+ · Player-Coach","Band C","C+ · Player-Coach","Band D","Band E"),"Band X · Consultant")</f>
        <v>Band B</v>
      </c>
      <c r="BI96" s="40" t="str">
        <f>IF(BG96=AY96,"• Same",IF(INDEX(B_VAL,MATCH(BG96,B_LVL,0))&gt;INDEX(B_VAL,MATCH(AY96,B_LVL,0)),"▲ Up","▼ Down"))</f>
        <v>• Same</v>
      </c>
      <c r="BJ96" s="40" t="str">
        <f>IF(OR($M96="",$M96="—",$M96="Not in this file"),"",IFERROR(INDEX($BG$7:$BG$592,MATCH($M96,$D$7:$D$592,0)),""))</f>
        <v>B2</v>
      </c>
      <c r="BK96" s="40" t="str">
        <f>IFERROR(IF(BJ96="","—",IF(OR(LEFT(BG96,1)="X",LEFT(BJ96,1)="X"),"—",IF(AND(LEFT(BG96,1)="E",LEFT(BJ96,1)="E"),"Exception · Band E",IF(AND(INDEX(B_VAL,MATCH(BJ96,B_LVL,0))&gt;=7,INDEX(B_RANK,MATCH(BG96,B_LVL,0))&gt;=INDEX(B_RANK,MATCH(BJ96,B_LVL,0))),"⚠ Same band as a head manager",IF(INDEX(B_VAL,MATCH(BG96,B_LVL,0))&gt;=INDEX(B_VAL,MATCH(BJ96,B_LVL,0)),"⚠ At or above the manager's level","OK"))))),"—")</f>
        <v>OK</v>
      </c>
      <c r="BL96" s="43" t="n"/>
      <c r="BM96" s="44">
        <f>IFERROR(INDEX(LMH_PTS,MATCH(Y96,LMH_KEY,0)),0)</f>
        <v>9</v>
      </c>
      <c r="BN96" s="38">
        <f>IFERROR(INDEX(LMH_PTS,MATCH(Z96,LMH_KEY,0)),0)</f>
        <v>3</v>
      </c>
      <c r="BO96" s="38">
        <f>IFERROR(INDEX(LMH_PTS,MATCH(AA96,LMH_KEY,0)),0)</f>
        <v>1</v>
      </c>
      <c r="BP96" s="38">
        <f>IFERROR(INDEX(LMH_PTS,MATCH(AB96,LMH_KEY,0)),0)</f>
        <v>3</v>
      </c>
      <c r="BQ96" s="38">
        <f>IFERROR(INDEX(LMH_PTS,MATCH(AC96,LMH_KEY,0)),0)</f>
        <v>1</v>
      </c>
      <c r="BR96" s="38">
        <f>IFERROR(INDEX(LMH_PTS,MATCH(AD96,LMH_KEY,0)),0)</f>
        <v>1</v>
      </c>
      <c r="BS96" s="38">
        <f>IFERROR(INDEX(LMH_PTS,MATCH(AE96,LMH_KEY,0)),0)</f>
        <v>1</v>
      </c>
      <c r="BT96" s="38">
        <f>IFERROR(INDEX(LMH_STEP,MATCH(AF96,LMH_KEY,0)),0)</f>
        <v>0</v>
      </c>
      <c r="BU96" s="38">
        <f>IFERROR(INDEX(LMH_STEP,MATCH(AG96,LMH_KEY,0)),0)</f>
        <v>0</v>
      </c>
      <c r="BV96" s="38">
        <f>IFERROR(INDEX(LMH_STEP,MATCH(AH96,LMH_KEY,0)),0)</f>
        <v>0</v>
      </c>
      <c r="BW96" s="38">
        <f>IFERROR(INDEX(LMH_STEP,MATCH(AI96,LMH_KEY,0)),0)</f>
        <v>0</v>
      </c>
      <c r="BX96" s="38">
        <f>IFERROR(INDEX(LMH_STEP,MATCH(AJ96,LMH_KEY,0)),0)</f>
        <v>0</v>
      </c>
      <c r="BY96" s="38">
        <f>IFERROR(INDEX(LMH_STEP,MATCH(AK96,LMH_KEY,0)),0)</f>
        <v>0</v>
      </c>
      <c r="BZ96" s="38">
        <f>IFERROR(INDEX(LMH_STEP,MATCH(AL96,LMH_KEY,0)),0)</f>
        <v>0</v>
      </c>
      <c r="CA96" s="38" t="inlineStr">
        <is>
          <t>CARBON|Services|PMO Manager|B1|B-M</t>
        </is>
      </c>
    </row>
    <row r="97" ht="110" customHeight="1">
      <c r="A97" s="28" t="inlineStr">
        <is>
          <t>CARBON</t>
        </is>
      </c>
      <c r="B97" s="29" t="inlineStr">
        <is>
          <t>Services</t>
        </is>
      </c>
      <c r="C97" s="29" t="n">
        <v>7</v>
      </c>
      <c r="D97" s="29" t="inlineStr">
        <is>
          <t>IRIS0143</t>
        </is>
      </c>
      <c r="E97" s="29" t="inlineStr">
        <is>
          <t>Ajinkya Dhumal</t>
        </is>
      </c>
      <c r="F97" s="29" t="inlineStr">
        <is>
          <t>Senior Financial Analyst</t>
        </is>
      </c>
      <c r="G97" s="29" t="inlineStr">
        <is>
          <t>Senior Financial Analyst</t>
        </is>
      </c>
      <c r="H97" s="29" t="inlineStr">
        <is>
          <t>Consulting &amp; Professional Services</t>
        </is>
      </c>
      <c r="I97" s="29" t="inlineStr">
        <is>
          <t>XBRL Tagging, Conversion &amp; Filing</t>
        </is>
      </c>
      <c r="J97" s="29" t="inlineStr">
        <is>
          <t>IC</t>
        </is>
      </c>
      <c r="K97" s="29" t="inlineStr">
        <is>
          <t>RC-025</t>
        </is>
      </c>
      <c r="L97" s="29" t="inlineStr">
        <is>
          <t>Priyanka Mehra</t>
        </is>
      </c>
      <c r="M97" s="29" t="inlineStr">
        <is>
          <t>IRIS2071</t>
        </is>
      </c>
      <c r="N97" s="29" t="n">
        <v>18.8</v>
      </c>
      <c r="O97" s="29" t="n">
        <v>18.8</v>
      </c>
      <c r="P97" s="29" t="inlineStr">
        <is>
          <t>B.Com</t>
        </is>
      </c>
      <c r="Q97" s="29" t="inlineStr">
        <is>
          <t>L4 – Senior</t>
        </is>
      </c>
      <c r="R97" s="29" t="inlineStr">
        <is>
          <t>A3</t>
        </is>
      </c>
      <c r="S97" s="30" t="inlineStr">
        <is>
          <t>20 of 20</t>
        </is>
      </c>
      <c r="T97" s="31" t="inlineStr">
        <is>
          <t>• Role / sub-team: Cipc · carbon service department.</t>
        </is>
      </c>
      <c r="U9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7" s="31" t="inlineStr">
        <is>
          <t>Latest rating: 4 · Potential: High · 9-box: Core Contributor · Readiness: Ready now</t>
        </is>
      </c>
      <c r="W97" s="31" t="inlineStr">
        <is>
          <t>C M · Au M · Ac M · L L · BI M · Exp H · 18.8 yrs vs 2–4 yrs · Edu M · B.Com</t>
        </is>
      </c>
      <c r="X97" s="33" t="inlineStr">
        <is>
          <t>Open ▸</t>
        </is>
      </c>
      <c r="Y97" s="34" t="str">
        <f>IFERROR(INDEX(DL_C,MATCH($CA97,DL_KEY,0)),"M")</f>
        <v>H</v>
      </c>
      <c r="Z97" s="35" t="str">
        <f>IFERROR(INDEX(DL_Au,MATCH($CA97,DL_KEY,0)),"M")</f>
        <v>M</v>
      </c>
      <c r="AA97" s="35" t="str">
        <f>IFERROR(INDEX(DL_Ac,MATCH($CA97,DL_KEY,0)),"M")</f>
        <v>M</v>
      </c>
      <c r="AB97" s="35" t="str">
        <f>IFERROR(INDEX(DL_L,MATCH($CA97,DL_KEY,0)),"M")</f>
        <v>L</v>
      </c>
      <c r="AC97" s="35" t="str">
        <f>IFERROR(INDEX(DL_BI,MATCH($CA97,DL_KEY,0)),"M")</f>
        <v>L</v>
      </c>
      <c r="AD97" s="35" t="str">
        <f>IFERROR(INDEX(DL_Exp,MATCH($CA97,DL_KEY,0)),"M")</f>
        <v>L</v>
      </c>
      <c r="AE97" s="35" t="str">
        <f>IFERROR(INDEX(DL_Edu,MATCH($CA97,DL_KEY,0)),"M")</f>
        <v>L</v>
      </c>
      <c r="AF97" s="34" t="inlineStr">
        <is>
          <t>M</t>
        </is>
      </c>
      <c r="AG97" s="35" t="inlineStr">
        <is>
          <t>M</t>
        </is>
      </c>
      <c r="AH97" s="35" t="inlineStr">
        <is>
          <t>M</t>
        </is>
      </c>
      <c r="AI97" s="35" t="inlineStr">
        <is>
          <t>M</t>
        </is>
      </c>
      <c r="AJ97" s="35" t="inlineStr">
        <is>
          <t>M</t>
        </is>
      </c>
      <c r="AK97" s="35" t="inlineStr">
        <is>
          <t>M</t>
        </is>
      </c>
      <c r="AL97" s="35" t="inlineStr">
        <is>
          <t>M</t>
        </is>
      </c>
      <c r="AM97" s="36" t="n">
        <v>0.583</v>
      </c>
      <c r="AN97" s="37" t="n">
        <v>0.16</v>
      </c>
      <c r="AO97" s="37" t="n">
        <v>0.09</v>
      </c>
      <c r="AP97" s="37" t="n">
        <v>0</v>
      </c>
      <c r="AQ97" s="37" t="n">
        <v>0.063</v>
      </c>
      <c r="AR97" s="37" t="n">
        <v>0.06</v>
      </c>
      <c r="AS97" s="37" t="n">
        <v>0.04</v>
      </c>
      <c r="AT97" s="38" t="inlineStr">
        <is>
          <t>2–5</t>
        </is>
      </c>
      <c r="AU97" s="38" t="inlineStr">
        <is>
          <t>Graduate; relevant certification preferred</t>
        </is>
      </c>
      <c r="AV97" s="38" t="inlineStr">
        <is>
          <t>None · guides 1–3 juniors informally</t>
        </is>
      </c>
      <c r="AW97" s="38" t="inlineStr">
        <is>
          <t>P2 · SFIA 3 Apply</t>
        </is>
      </c>
      <c r="AX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7" s="39" t="inlineStr">
        <is>
          <t>A3</t>
        </is>
      </c>
      <c r="AZ97" s="40" t="inlineStr">
        <is>
          <t>Band A · Practitioner · Senior Associate</t>
        </is>
      </c>
      <c r="BA97" s="40" t="inlineStr">
        <is>
          <t>Model A3 from the six ratings, the market-derived weights and rules R1–R13 · then No change · already below the manager</t>
        </is>
      </c>
      <c r="BB97" s="41" t="inlineStr">
        <is>
          <t>B1</t>
        </is>
      </c>
      <c r="BC97" s="40" t="inlineStr">
        <is>
          <t>The six ratings on the market-average weights of Band A · all tracks score 3.53 → B1 · Hay, Mercer IPE and public plans · experience 18.8 yrs vs the B1 market range 4–8</t>
        </is>
      </c>
      <c r="BD97" s="42">
        <f>IF(SUM(BM97,BN97,BO97,BP97,BQ97,BR97,BS97)=0,0,(BM97*BT97+BN97*BU97+BO97*BV97+BP97*BW97+BQ97*BX97+BR97*BY97+BS97*BZ97)/SUM(BM97,BN97,BO97,BP97,BQ97,BR97,BS97))</f>
        <v>0</v>
      </c>
      <c r="BE97" s="41" t="str">
        <f>IF(LEFT(AY97,1)="X",AY97,IF(OR(AY97="B+",AY97="C+"),INDEX(LAD_PC,MAX(1,MIN(14,MATCH(AY97,LAD_PC,0)+IF(BD97&gt;=0.5,1,IF(BD97&lt;=-0.5,-1,0))))),INDEX(LAD_STD,MAX(1,MIN(12,MATCH(AY97,LAD_STD,0)+IF(BD97&gt;=0.5,1,IF(BD97&lt;=-0.5,-1,0)))))))</f>
        <v>A3</v>
      </c>
      <c r="BF97" s="43" t="n"/>
      <c r="BG97" s="41" t="str">
        <f>IF(BF97&lt;&gt;"",BF97,BE97)</f>
        <v>A3</v>
      </c>
      <c r="BH97" s="40" t="str">
        <f>IFERROR(CHOOSE(INDEX(B_RANK,MATCH(BG97,B_LVL,0)),"Band A","Band B","B+ · Player-Coach","Band C","C+ · Player-Coach","Band D","Band E"),"Band X · Consultant")</f>
        <v>Band A</v>
      </c>
      <c r="BI97" s="40" t="str">
        <f>IF(BG97=AY97,"• Same",IF(INDEX(B_VAL,MATCH(BG97,B_LVL,0))&gt;INDEX(B_VAL,MATCH(AY97,B_LVL,0)),"▲ Up","▼ Down"))</f>
        <v>• Same</v>
      </c>
      <c r="BJ97" s="40" t="str">
        <f>IF(OR($M97="",$M97="—",$M97="Not in this file"),"",IFERROR(INDEX($BG$7:$BG$592,MATCH($M97,$D$7:$D$592,0)),""))</f>
        <v>B1</v>
      </c>
      <c r="BK97" s="40" t="str">
        <f>IFERROR(IF(BJ97="","—",IF(OR(LEFT(BG97,1)="X",LEFT(BJ97,1)="X"),"—",IF(AND(LEFT(BG97,1)="E",LEFT(BJ97,1)="E"),"Exception · Band E",IF(AND(INDEX(B_VAL,MATCH(BJ97,B_LVL,0))&gt;=7,INDEX(B_RANK,MATCH(BG97,B_LVL,0))&gt;=INDEX(B_RANK,MATCH(BJ97,B_LVL,0))),"⚠ Same band as a head manager",IF(INDEX(B_VAL,MATCH(BG97,B_LVL,0))&gt;=INDEX(B_VAL,MATCH(BJ97,B_LVL,0)),"⚠ At or above the manager's level","OK"))))),"—")</f>
        <v>OK</v>
      </c>
      <c r="BL97" s="43" t="n"/>
      <c r="BM97" s="44">
        <f>IFERROR(INDEX(LMH_PTS,MATCH(Y97,LMH_KEY,0)),0)</f>
        <v>9</v>
      </c>
      <c r="BN97" s="38">
        <f>IFERROR(INDEX(LMH_PTS,MATCH(Z97,LMH_KEY,0)),0)</f>
        <v>3</v>
      </c>
      <c r="BO97" s="38">
        <f>IFERROR(INDEX(LMH_PTS,MATCH(AA97,LMH_KEY,0)),0)</f>
        <v>3</v>
      </c>
      <c r="BP97" s="38">
        <f>IFERROR(INDEX(LMH_PTS,MATCH(AB97,LMH_KEY,0)),0)</f>
        <v>1</v>
      </c>
      <c r="BQ97" s="38">
        <f>IFERROR(INDEX(LMH_PTS,MATCH(AC97,LMH_KEY,0)),0)</f>
        <v>1</v>
      </c>
      <c r="BR97" s="38">
        <f>IFERROR(INDEX(LMH_PTS,MATCH(AD97,LMH_KEY,0)),0)</f>
        <v>1</v>
      </c>
      <c r="BS97" s="38">
        <f>IFERROR(INDEX(LMH_PTS,MATCH(AE97,LMH_KEY,0)),0)</f>
        <v>1</v>
      </c>
      <c r="BT97" s="38">
        <f>IFERROR(INDEX(LMH_STEP,MATCH(AF97,LMH_KEY,0)),0)</f>
        <v>0</v>
      </c>
      <c r="BU97" s="38">
        <f>IFERROR(INDEX(LMH_STEP,MATCH(AG97,LMH_KEY,0)),0)</f>
        <v>0</v>
      </c>
      <c r="BV97" s="38">
        <f>IFERROR(INDEX(LMH_STEP,MATCH(AH97,LMH_KEY,0)),0)</f>
        <v>0</v>
      </c>
      <c r="BW97" s="38">
        <f>IFERROR(INDEX(LMH_STEP,MATCH(AI97,LMH_KEY,0)),0)</f>
        <v>0</v>
      </c>
      <c r="BX97" s="38">
        <f>IFERROR(INDEX(LMH_STEP,MATCH(AJ97,LMH_KEY,0)),0)</f>
        <v>0</v>
      </c>
      <c r="BY97" s="38">
        <f>IFERROR(INDEX(LMH_STEP,MATCH(AK97,LMH_KEY,0)),0)</f>
        <v>0</v>
      </c>
      <c r="BZ97" s="38">
        <f>IFERROR(INDEX(LMH_STEP,MATCH(AL97,LMH_KEY,0)),0)</f>
        <v>0</v>
      </c>
      <c r="CA97" s="38" t="inlineStr">
        <is>
          <t>CARBON|Services|Senior Financial Analyst|A3|A</t>
        </is>
      </c>
    </row>
    <row r="98" ht="110" customHeight="1">
      <c r="A98" s="28" t="inlineStr">
        <is>
          <t>CARBON</t>
        </is>
      </c>
      <c r="B98" s="29" t="inlineStr">
        <is>
          <t>Services</t>
        </is>
      </c>
      <c r="C98" s="29" t="n">
        <v>7</v>
      </c>
      <c r="D98" s="29" t="inlineStr">
        <is>
          <t>IRIS2230</t>
        </is>
      </c>
      <c r="E98" s="29" t="inlineStr">
        <is>
          <t>Palak Verma</t>
        </is>
      </c>
      <c r="F98" s="29" t="inlineStr">
        <is>
          <t>Financial Analyst</t>
        </is>
      </c>
      <c r="G98" s="29" t="inlineStr">
        <is>
          <t>Senior Financial Analyst</t>
        </is>
      </c>
      <c r="H98" s="29" t="inlineStr">
        <is>
          <t>Consulting &amp; Professional Services</t>
        </is>
      </c>
      <c r="I98" s="29" t="inlineStr">
        <is>
          <t>XBRL Tagging, Conversion &amp; Filing</t>
        </is>
      </c>
      <c r="J98" s="29" t="inlineStr">
        <is>
          <t>IC</t>
        </is>
      </c>
      <c r="K98" s="29" t="inlineStr">
        <is>
          <t>RC-025</t>
        </is>
      </c>
      <c r="L98" s="29" t="inlineStr">
        <is>
          <t>Priyanka Mehra</t>
        </is>
      </c>
      <c r="M98" s="29" t="inlineStr">
        <is>
          <t>IRIS2071</t>
        </is>
      </c>
      <c r="N98" s="29" t="n">
        <v>5.5</v>
      </c>
      <c r="O98" s="29" t="n">
        <v>2.5</v>
      </c>
      <c r="P98" s="29" t="inlineStr">
        <is>
          <t>B.Com</t>
        </is>
      </c>
      <c r="Q98" s="29" t="inlineStr">
        <is>
          <t>L3 – Professional / Associate</t>
        </is>
      </c>
      <c r="R98" s="29" t="inlineStr">
        <is>
          <t>A3</t>
        </is>
      </c>
      <c r="S98" s="30" t="inlineStr">
        <is>
          <t>0 of 20</t>
        </is>
      </c>
      <c r="T98" s="31" t="inlineStr">
        <is>
          <t>• Role / sub-team: CIPC tagging.</t>
        </is>
      </c>
      <c r="U9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8" s="31" t="inlineStr">
        <is>
          <t>Latest rating: 3 · Potential: Medium · 9-box: Core Contributor · Readiness: Develop in role</t>
        </is>
      </c>
      <c r="W98" s="31" t="inlineStr">
        <is>
          <t>C L · Au L · Ac L · L L · BI M · Exp H · 5.5 yrs vs 2–4 yrs · Edu M · B.Com</t>
        </is>
      </c>
      <c r="X98" s="33" t="inlineStr">
        <is>
          <t>Open ▸</t>
        </is>
      </c>
      <c r="Y98" s="34" t="str">
        <f>IFERROR(INDEX(DL_C,MATCH($CA98,DL_KEY,0)),"M")</f>
        <v>H</v>
      </c>
      <c r="Z98" s="35" t="str">
        <f>IFERROR(INDEX(DL_Au,MATCH($CA98,DL_KEY,0)),"M")</f>
        <v>M</v>
      </c>
      <c r="AA98" s="35" t="str">
        <f>IFERROR(INDEX(DL_Ac,MATCH($CA98,DL_KEY,0)),"M")</f>
        <v>M</v>
      </c>
      <c r="AB98" s="35" t="str">
        <f>IFERROR(INDEX(DL_L,MATCH($CA98,DL_KEY,0)),"M")</f>
        <v>L</v>
      </c>
      <c r="AC98" s="35" t="str">
        <f>IFERROR(INDEX(DL_BI,MATCH($CA98,DL_KEY,0)),"M")</f>
        <v>L</v>
      </c>
      <c r="AD98" s="35" t="str">
        <f>IFERROR(INDEX(DL_Exp,MATCH($CA98,DL_KEY,0)),"M")</f>
        <v>L</v>
      </c>
      <c r="AE98" s="35" t="str">
        <f>IFERROR(INDEX(DL_Edu,MATCH($CA98,DL_KEY,0)),"M")</f>
        <v>L</v>
      </c>
      <c r="AF98" s="34" t="inlineStr">
        <is>
          <t>M</t>
        </is>
      </c>
      <c r="AG98" s="35" t="inlineStr">
        <is>
          <t>M</t>
        </is>
      </c>
      <c r="AH98" s="35" t="inlineStr">
        <is>
          <t>M</t>
        </is>
      </c>
      <c r="AI98" s="35" t="inlineStr">
        <is>
          <t>M</t>
        </is>
      </c>
      <c r="AJ98" s="35" t="inlineStr">
        <is>
          <t>M</t>
        </is>
      </c>
      <c r="AK98" s="35" t="inlineStr">
        <is>
          <t>M</t>
        </is>
      </c>
      <c r="AL98" s="35" t="inlineStr">
        <is>
          <t>M</t>
        </is>
      </c>
      <c r="AM98" s="36" t="n">
        <v>0.583</v>
      </c>
      <c r="AN98" s="37" t="n">
        <v>0.16</v>
      </c>
      <c r="AO98" s="37" t="n">
        <v>0.09</v>
      </c>
      <c r="AP98" s="37" t="n">
        <v>0</v>
      </c>
      <c r="AQ98" s="37" t="n">
        <v>0.063</v>
      </c>
      <c r="AR98" s="37" t="n">
        <v>0.06</v>
      </c>
      <c r="AS98" s="37" t="n">
        <v>0.04</v>
      </c>
      <c r="AT98" s="38" t="inlineStr">
        <is>
          <t>2–5</t>
        </is>
      </c>
      <c r="AU98" s="38" t="inlineStr">
        <is>
          <t>Graduate; relevant certification preferred</t>
        </is>
      </c>
      <c r="AV98" s="38" t="inlineStr">
        <is>
          <t>None · guides 1–3 juniors informally</t>
        </is>
      </c>
      <c r="AW98" s="38" t="inlineStr">
        <is>
          <t>P2 · SFIA 3 Apply</t>
        </is>
      </c>
      <c r="AX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8" s="39" t="inlineStr">
        <is>
          <t>A3</t>
        </is>
      </c>
      <c r="AZ98" s="40" t="inlineStr">
        <is>
          <t>Band A · Practitioner · Senior Associate</t>
        </is>
      </c>
      <c r="BA98" s="40" t="inlineStr">
        <is>
          <t>Model A3 from the six ratings, the market-derived weights and rules R1–R13 · then No change · already below the manager</t>
        </is>
      </c>
      <c r="BB98" s="41" t="inlineStr">
        <is>
          <t>A2</t>
        </is>
      </c>
      <c r="BC98" s="40" t="inlineStr">
        <is>
          <t>The six ratings on the market-average weights of Band A · all tracks score 2.23 → A2 · Hay, Mercer IPE and public plans · experience 5.5 yrs vs the A2 market range 0–3</t>
        </is>
      </c>
      <c r="BD98" s="42">
        <f>IF(SUM(BM98,BN98,BO98,BP98,BQ98,BR98,BS98)=0,0,(BM98*BT98+BN98*BU98+BO98*BV98+BP98*BW98+BQ98*BX98+BR98*BY98+BS98*BZ98)/SUM(BM98,BN98,BO98,BP98,BQ98,BR98,BS98))</f>
        <v>0</v>
      </c>
      <c r="BE98" s="41" t="str">
        <f>IF(LEFT(AY98,1)="X",AY98,IF(OR(AY98="B+",AY98="C+"),INDEX(LAD_PC,MAX(1,MIN(14,MATCH(AY98,LAD_PC,0)+IF(BD98&gt;=0.5,1,IF(BD98&lt;=-0.5,-1,0))))),INDEX(LAD_STD,MAX(1,MIN(12,MATCH(AY98,LAD_STD,0)+IF(BD98&gt;=0.5,1,IF(BD98&lt;=-0.5,-1,0)))))))</f>
        <v>A3</v>
      </c>
      <c r="BF98" s="43" t="n"/>
      <c r="BG98" s="41" t="str">
        <f>IF(BF98&lt;&gt;"",BF98,BE98)</f>
        <v>A3</v>
      </c>
      <c r="BH98" s="40" t="str">
        <f>IFERROR(CHOOSE(INDEX(B_RANK,MATCH(BG98,B_LVL,0)),"Band A","Band B","B+ · Player-Coach","Band C","C+ · Player-Coach","Band D","Band E"),"Band X · Consultant")</f>
        <v>Band A</v>
      </c>
      <c r="BI98" s="40" t="str">
        <f>IF(BG98=AY98,"• Same",IF(INDEX(B_VAL,MATCH(BG98,B_LVL,0))&gt;INDEX(B_VAL,MATCH(AY98,B_LVL,0)),"▲ Up","▼ Down"))</f>
        <v>• Same</v>
      </c>
      <c r="BJ98" s="40" t="str">
        <f>IF(OR($M98="",$M98="—",$M98="Not in this file"),"",IFERROR(INDEX($BG$7:$BG$592,MATCH($M98,$D$7:$D$592,0)),""))</f>
        <v>B1</v>
      </c>
      <c r="BK98" s="40" t="str">
        <f>IFERROR(IF(BJ98="","—",IF(OR(LEFT(BG98,1)="X",LEFT(BJ98,1)="X"),"—",IF(AND(LEFT(BG98,1)="E",LEFT(BJ98,1)="E"),"Exception · Band E",IF(AND(INDEX(B_VAL,MATCH(BJ98,B_LVL,0))&gt;=7,INDEX(B_RANK,MATCH(BG98,B_LVL,0))&gt;=INDEX(B_RANK,MATCH(BJ98,B_LVL,0))),"⚠ Same band as a head manager",IF(INDEX(B_VAL,MATCH(BG98,B_LVL,0))&gt;=INDEX(B_VAL,MATCH(BJ98,B_LVL,0)),"⚠ At or above the manager's level","OK"))))),"—")</f>
        <v>OK</v>
      </c>
      <c r="BL98" s="43" t="n"/>
      <c r="BM98" s="44">
        <f>IFERROR(INDEX(LMH_PTS,MATCH(Y98,LMH_KEY,0)),0)</f>
        <v>9</v>
      </c>
      <c r="BN98" s="38">
        <f>IFERROR(INDEX(LMH_PTS,MATCH(Z98,LMH_KEY,0)),0)</f>
        <v>3</v>
      </c>
      <c r="BO98" s="38">
        <f>IFERROR(INDEX(LMH_PTS,MATCH(AA98,LMH_KEY,0)),0)</f>
        <v>3</v>
      </c>
      <c r="BP98" s="38">
        <f>IFERROR(INDEX(LMH_PTS,MATCH(AB98,LMH_KEY,0)),0)</f>
        <v>1</v>
      </c>
      <c r="BQ98" s="38">
        <f>IFERROR(INDEX(LMH_PTS,MATCH(AC98,LMH_KEY,0)),0)</f>
        <v>1</v>
      </c>
      <c r="BR98" s="38">
        <f>IFERROR(INDEX(LMH_PTS,MATCH(AD98,LMH_KEY,0)),0)</f>
        <v>1</v>
      </c>
      <c r="BS98" s="38">
        <f>IFERROR(INDEX(LMH_PTS,MATCH(AE98,LMH_KEY,0)),0)</f>
        <v>1</v>
      </c>
      <c r="BT98" s="38">
        <f>IFERROR(INDEX(LMH_STEP,MATCH(AF98,LMH_KEY,0)),0)</f>
        <v>0</v>
      </c>
      <c r="BU98" s="38">
        <f>IFERROR(INDEX(LMH_STEP,MATCH(AG98,LMH_KEY,0)),0)</f>
        <v>0</v>
      </c>
      <c r="BV98" s="38">
        <f>IFERROR(INDEX(LMH_STEP,MATCH(AH98,LMH_KEY,0)),0)</f>
        <v>0</v>
      </c>
      <c r="BW98" s="38">
        <f>IFERROR(INDEX(LMH_STEP,MATCH(AI98,LMH_KEY,0)),0)</f>
        <v>0</v>
      </c>
      <c r="BX98" s="38">
        <f>IFERROR(INDEX(LMH_STEP,MATCH(AJ98,LMH_KEY,0)),0)</f>
        <v>0</v>
      </c>
      <c r="BY98" s="38">
        <f>IFERROR(INDEX(LMH_STEP,MATCH(AK98,LMH_KEY,0)),0)</f>
        <v>0</v>
      </c>
      <c r="BZ98" s="38">
        <f>IFERROR(INDEX(LMH_STEP,MATCH(AL98,LMH_KEY,0)),0)</f>
        <v>0</v>
      </c>
      <c r="CA98" s="38" t="inlineStr">
        <is>
          <t>CARBON|Services|Senior Financial Analyst|A3|A</t>
        </is>
      </c>
    </row>
    <row r="99" ht="110" customHeight="1">
      <c r="A99" s="28" t="inlineStr">
        <is>
          <t>CARBON</t>
        </is>
      </c>
      <c r="B99" s="29" t="inlineStr">
        <is>
          <t>Services</t>
        </is>
      </c>
      <c r="C99" s="29" t="n">
        <v>7</v>
      </c>
      <c r="D99" s="29" t="inlineStr">
        <is>
          <t>IRIS1340</t>
        </is>
      </c>
      <c r="E99" s="29" t="inlineStr">
        <is>
          <t>Rajendra Gupta</t>
        </is>
      </c>
      <c r="F99" s="29" t="inlineStr">
        <is>
          <t>Financial Analyst</t>
        </is>
      </c>
      <c r="G99" s="29" t="inlineStr">
        <is>
          <t>Senior Financial Analyst</t>
        </is>
      </c>
      <c r="H99" s="29" t="inlineStr">
        <is>
          <t>Consulting &amp; Professional Services</t>
        </is>
      </c>
      <c r="I99" s="29" t="inlineStr">
        <is>
          <t>XBRL Tagging, Conversion &amp; Filing</t>
        </is>
      </c>
      <c r="J99" s="29" t="inlineStr">
        <is>
          <t>IC</t>
        </is>
      </c>
      <c r="K99" s="29" t="inlineStr">
        <is>
          <t>RC-025</t>
        </is>
      </c>
      <c r="L99" s="29" t="inlineStr">
        <is>
          <t>Priyanka Mehra</t>
        </is>
      </c>
      <c r="M99" s="29" t="inlineStr">
        <is>
          <t>IRIS2071</t>
        </is>
      </c>
      <c r="N99" s="29" t="n">
        <v>14.3</v>
      </c>
      <c r="O99" s="29" t="n">
        <v>13.3</v>
      </c>
      <c r="P99" s="29" t="inlineStr">
        <is>
          <t>MBA</t>
        </is>
      </c>
      <c r="Q99" s="29" t="inlineStr">
        <is>
          <t>L3 – Professional / Associate</t>
        </is>
      </c>
      <c r="R99" s="29" t="inlineStr">
        <is>
          <t>A3</t>
        </is>
      </c>
      <c r="S99" s="30" t="inlineStr">
        <is>
          <t>20 of 20</t>
        </is>
      </c>
      <c r="T99" s="31" t="inlineStr">
        <is>
          <t>• Role / sub-team: Tagging.</t>
        </is>
      </c>
      <c r="U9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9" s="31" t="inlineStr">
        <is>
          <t>Latest rating: 3 · Potential: Medium · 9-box: Core Contributor · Readiness: Develop in role</t>
        </is>
      </c>
      <c r="W99" s="31" t="inlineStr">
        <is>
          <t>C M · Au M · Ac M · L L · BI M · Exp H · 14.3 yrs vs 2–4 yrs · Edu H · MBA</t>
        </is>
      </c>
      <c r="X99" s="33" t="inlineStr">
        <is>
          <t>Open ▸</t>
        </is>
      </c>
      <c r="Y99" s="34" t="str">
        <f>IFERROR(INDEX(DL_C,MATCH($CA99,DL_KEY,0)),"M")</f>
        <v>H</v>
      </c>
      <c r="Z99" s="35" t="str">
        <f>IFERROR(INDEX(DL_Au,MATCH($CA99,DL_KEY,0)),"M")</f>
        <v>M</v>
      </c>
      <c r="AA99" s="35" t="str">
        <f>IFERROR(INDEX(DL_Ac,MATCH($CA99,DL_KEY,0)),"M")</f>
        <v>M</v>
      </c>
      <c r="AB99" s="35" t="str">
        <f>IFERROR(INDEX(DL_L,MATCH($CA99,DL_KEY,0)),"M")</f>
        <v>L</v>
      </c>
      <c r="AC99" s="35" t="str">
        <f>IFERROR(INDEX(DL_BI,MATCH($CA99,DL_KEY,0)),"M")</f>
        <v>L</v>
      </c>
      <c r="AD99" s="35" t="str">
        <f>IFERROR(INDEX(DL_Exp,MATCH($CA99,DL_KEY,0)),"M")</f>
        <v>L</v>
      </c>
      <c r="AE99" s="35" t="str">
        <f>IFERROR(INDEX(DL_Edu,MATCH($CA99,DL_KEY,0)),"M")</f>
        <v>L</v>
      </c>
      <c r="AF99" s="34" t="inlineStr">
        <is>
          <t>M</t>
        </is>
      </c>
      <c r="AG99" s="35" t="inlineStr">
        <is>
          <t>M</t>
        </is>
      </c>
      <c r="AH99" s="35" t="inlineStr">
        <is>
          <t>M</t>
        </is>
      </c>
      <c r="AI99" s="35" t="inlineStr">
        <is>
          <t>M</t>
        </is>
      </c>
      <c r="AJ99" s="35" t="inlineStr">
        <is>
          <t>M</t>
        </is>
      </c>
      <c r="AK99" s="35" t="inlineStr">
        <is>
          <t>M</t>
        </is>
      </c>
      <c r="AL99" s="35" t="inlineStr">
        <is>
          <t>M</t>
        </is>
      </c>
      <c r="AM99" s="36" t="n">
        <v>0.583</v>
      </c>
      <c r="AN99" s="37" t="n">
        <v>0.16</v>
      </c>
      <c r="AO99" s="37" t="n">
        <v>0.09</v>
      </c>
      <c r="AP99" s="37" t="n">
        <v>0</v>
      </c>
      <c r="AQ99" s="37" t="n">
        <v>0.063</v>
      </c>
      <c r="AR99" s="37" t="n">
        <v>0.06</v>
      </c>
      <c r="AS99" s="37" t="n">
        <v>0.04</v>
      </c>
      <c r="AT99" s="38" t="inlineStr">
        <is>
          <t>2–5</t>
        </is>
      </c>
      <c r="AU99" s="38" t="inlineStr">
        <is>
          <t>Graduate; relevant certification preferred</t>
        </is>
      </c>
      <c r="AV99" s="38" t="inlineStr">
        <is>
          <t>None · guides 1–3 juniors informally</t>
        </is>
      </c>
      <c r="AW99" s="38" t="inlineStr">
        <is>
          <t>P2 · SFIA 3 Apply</t>
        </is>
      </c>
      <c r="AX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9" s="39" t="inlineStr">
        <is>
          <t>A3</t>
        </is>
      </c>
      <c r="AZ99" s="40" t="inlineStr">
        <is>
          <t>Band A · Practitioner · Senior Associate</t>
        </is>
      </c>
      <c r="BA99" s="40" t="inlineStr">
        <is>
          <t>Model A3 from the six ratings, the market-derived weights and rules R1–R13 · then No change · already below the manager</t>
        </is>
      </c>
      <c r="BB99" s="41" t="inlineStr">
        <is>
          <t>A3</t>
        </is>
      </c>
      <c r="BC99" s="40" t="inlineStr">
        <is>
          <t>The six ratings on the market-average weights of Band A · all tracks score 3.13 → A3 · Hay, Mercer IPE and public plans · experience 14.3 yrs vs the A3 market range 2–5</t>
        </is>
      </c>
      <c r="BD99" s="42">
        <f>IF(SUM(BM99,BN99,BO99,BP99,BQ99,BR99,BS99)=0,0,(BM99*BT99+BN99*BU99+BO99*BV99+BP99*BW99+BQ99*BX99+BR99*BY99+BS99*BZ99)/SUM(BM99,BN99,BO99,BP99,BQ99,BR99,BS99))</f>
        <v>0</v>
      </c>
      <c r="BE99" s="41" t="str">
        <f>IF(LEFT(AY99,1)="X",AY99,IF(OR(AY99="B+",AY99="C+"),INDEX(LAD_PC,MAX(1,MIN(14,MATCH(AY99,LAD_PC,0)+IF(BD99&gt;=0.5,1,IF(BD99&lt;=-0.5,-1,0))))),INDEX(LAD_STD,MAX(1,MIN(12,MATCH(AY99,LAD_STD,0)+IF(BD99&gt;=0.5,1,IF(BD99&lt;=-0.5,-1,0)))))))</f>
        <v>A3</v>
      </c>
      <c r="BF99" s="43" t="n"/>
      <c r="BG99" s="41" t="str">
        <f>IF(BF99&lt;&gt;"",BF99,BE99)</f>
        <v>A3</v>
      </c>
      <c r="BH99" s="40" t="str">
        <f>IFERROR(CHOOSE(INDEX(B_RANK,MATCH(BG99,B_LVL,0)),"Band A","Band B","B+ · Player-Coach","Band C","C+ · Player-Coach","Band D","Band E"),"Band X · Consultant")</f>
        <v>Band A</v>
      </c>
      <c r="BI99" s="40" t="str">
        <f>IF(BG99=AY99,"• Same",IF(INDEX(B_VAL,MATCH(BG99,B_LVL,0))&gt;INDEX(B_VAL,MATCH(AY99,B_LVL,0)),"▲ Up","▼ Down"))</f>
        <v>• Same</v>
      </c>
      <c r="BJ99" s="40" t="str">
        <f>IF(OR($M99="",$M99="—",$M99="Not in this file"),"",IFERROR(INDEX($BG$7:$BG$592,MATCH($M99,$D$7:$D$592,0)),""))</f>
        <v>B1</v>
      </c>
      <c r="BK99" s="40" t="str">
        <f>IFERROR(IF(BJ99="","—",IF(OR(LEFT(BG99,1)="X",LEFT(BJ99,1)="X"),"—",IF(AND(LEFT(BG99,1)="E",LEFT(BJ99,1)="E"),"Exception · Band E",IF(AND(INDEX(B_VAL,MATCH(BJ99,B_LVL,0))&gt;=7,INDEX(B_RANK,MATCH(BG99,B_LVL,0))&gt;=INDEX(B_RANK,MATCH(BJ99,B_LVL,0))),"⚠ Same band as a head manager",IF(INDEX(B_VAL,MATCH(BG99,B_LVL,0))&gt;=INDEX(B_VAL,MATCH(BJ99,B_LVL,0)),"⚠ At or above the manager's level","OK"))))),"—")</f>
        <v>OK</v>
      </c>
      <c r="BL99" s="43" t="n"/>
      <c r="BM99" s="44">
        <f>IFERROR(INDEX(LMH_PTS,MATCH(Y99,LMH_KEY,0)),0)</f>
        <v>9</v>
      </c>
      <c r="BN99" s="38">
        <f>IFERROR(INDEX(LMH_PTS,MATCH(Z99,LMH_KEY,0)),0)</f>
        <v>3</v>
      </c>
      <c r="BO99" s="38">
        <f>IFERROR(INDEX(LMH_PTS,MATCH(AA99,LMH_KEY,0)),0)</f>
        <v>3</v>
      </c>
      <c r="BP99" s="38">
        <f>IFERROR(INDEX(LMH_PTS,MATCH(AB99,LMH_KEY,0)),0)</f>
        <v>1</v>
      </c>
      <c r="BQ99" s="38">
        <f>IFERROR(INDEX(LMH_PTS,MATCH(AC99,LMH_KEY,0)),0)</f>
        <v>1</v>
      </c>
      <c r="BR99" s="38">
        <f>IFERROR(INDEX(LMH_PTS,MATCH(AD99,LMH_KEY,0)),0)</f>
        <v>1</v>
      </c>
      <c r="BS99" s="38">
        <f>IFERROR(INDEX(LMH_PTS,MATCH(AE99,LMH_KEY,0)),0)</f>
        <v>1</v>
      </c>
      <c r="BT99" s="38">
        <f>IFERROR(INDEX(LMH_STEP,MATCH(AF99,LMH_KEY,0)),0)</f>
        <v>0</v>
      </c>
      <c r="BU99" s="38">
        <f>IFERROR(INDEX(LMH_STEP,MATCH(AG99,LMH_KEY,0)),0)</f>
        <v>0</v>
      </c>
      <c r="BV99" s="38">
        <f>IFERROR(INDEX(LMH_STEP,MATCH(AH99,LMH_KEY,0)),0)</f>
        <v>0</v>
      </c>
      <c r="BW99" s="38">
        <f>IFERROR(INDEX(LMH_STEP,MATCH(AI99,LMH_KEY,0)),0)</f>
        <v>0</v>
      </c>
      <c r="BX99" s="38">
        <f>IFERROR(INDEX(LMH_STEP,MATCH(AJ99,LMH_KEY,0)),0)</f>
        <v>0</v>
      </c>
      <c r="BY99" s="38">
        <f>IFERROR(INDEX(LMH_STEP,MATCH(AK99,LMH_KEY,0)),0)</f>
        <v>0</v>
      </c>
      <c r="BZ99" s="38">
        <f>IFERROR(INDEX(LMH_STEP,MATCH(AL99,LMH_KEY,0)),0)</f>
        <v>0</v>
      </c>
      <c r="CA99" s="38" t="inlineStr">
        <is>
          <t>CARBON|Services|Senior Financial Analyst|A3|A</t>
        </is>
      </c>
    </row>
    <row r="100" ht="110" customHeight="1">
      <c r="A100" s="28" t="inlineStr">
        <is>
          <t>CARBON</t>
        </is>
      </c>
      <c r="B100" s="29" t="inlineStr">
        <is>
          <t>Services</t>
        </is>
      </c>
      <c r="C100" s="29" t="n">
        <v>7</v>
      </c>
      <c r="D100" s="29" t="inlineStr">
        <is>
          <t>IRIS0075</t>
        </is>
      </c>
      <c r="E100" s="29" t="inlineStr">
        <is>
          <t>Sudarshan Vichare</t>
        </is>
      </c>
      <c r="F100" s="29" t="inlineStr">
        <is>
          <t>Junior Financial Analyst</t>
        </is>
      </c>
      <c r="G100" s="29" t="inlineStr">
        <is>
          <t>Senior Financial Analyst</t>
        </is>
      </c>
      <c r="H100" s="29" t="inlineStr">
        <is>
          <t>Consulting &amp; Professional Services</t>
        </is>
      </c>
      <c r="I100" s="29" t="inlineStr">
        <is>
          <t>XBRL Tagging, Conversion &amp; Filing</t>
        </is>
      </c>
      <c r="J100" s="29" t="inlineStr">
        <is>
          <t>IC</t>
        </is>
      </c>
      <c r="K100" s="29" t="inlineStr">
        <is>
          <t>RC-025</t>
        </is>
      </c>
      <c r="L100" s="29" t="inlineStr">
        <is>
          <t>Priyanka Mehra</t>
        </is>
      </c>
      <c r="M100" s="29" t="inlineStr">
        <is>
          <t>IRIS2071</t>
        </is>
      </c>
      <c r="N100" s="29" t="n">
        <v>19.6</v>
      </c>
      <c r="O100" s="29" t="n">
        <v>19.6</v>
      </c>
      <c r="P100" s="29" t="inlineStr">
        <is>
          <t>B.Com</t>
        </is>
      </c>
      <c r="Q100" s="29" t="inlineStr">
        <is>
          <t>L3 – Professional / Associate</t>
        </is>
      </c>
      <c r="R100" s="29" t="inlineStr">
        <is>
          <t>A3</t>
        </is>
      </c>
      <c r="S100" s="30" t="inlineStr">
        <is>
          <t>20 of 20</t>
        </is>
      </c>
      <c r="T100" s="31" t="inlineStr">
        <is>
          <t>• Role / sub-team: CIPC Conversion Team and CIPC Tagging [Teams chat].</t>
        </is>
      </c>
      <c r="U10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0" s="31" t="inlineStr">
        <is>
          <t>Latest rating: 3 · Potential: Medium · 9-box: Core Contributor · Readiness: Develop in role</t>
        </is>
      </c>
      <c r="W100" s="31" t="inlineStr">
        <is>
          <t>C L · Au L · Ac L · L L · BI M · Exp H · 19.6 yrs vs 2–4 yrs · Edu M · B.Com</t>
        </is>
      </c>
      <c r="X100" s="33" t="inlineStr">
        <is>
          <t>Open ▸</t>
        </is>
      </c>
      <c r="Y100" s="34" t="str">
        <f>IFERROR(INDEX(DL_C,MATCH($CA100,DL_KEY,0)),"M")</f>
        <v>H</v>
      </c>
      <c r="Z100" s="35" t="str">
        <f>IFERROR(INDEX(DL_Au,MATCH($CA100,DL_KEY,0)),"M")</f>
        <v>M</v>
      </c>
      <c r="AA100" s="35" t="str">
        <f>IFERROR(INDEX(DL_Ac,MATCH($CA100,DL_KEY,0)),"M")</f>
        <v>M</v>
      </c>
      <c r="AB100" s="35" t="str">
        <f>IFERROR(INDEX(DL_L,MATCH($CA100,DL_KEY,0)),"M")</f>
        <v>L</v>
      </c>
      <c r="AC100" s="35" t="str">
        <f>IFERROR(INDEX(DL_BI,MATCH($CA100,DL_KEY,0)),"M")</f>
        <v>L</v>
      </c>
      <c r="AD100" s="35" t="str">
        <f>IFERROR(INDEX(DL_Exp,MATCH($CA100,DL_KEY,0)),"M")</f>
        <v>L</v>
      </c>
      <c r="AE100" s="35" t="str">
        <f>IFERROR(INDEX(DL_Edu,MATCH($CA100,DL_KEY,0)),"M")</f>
        <v>L</v>
      </c>
      <c r="AF100" s="34" t="inlineStr">
        <is>
          <t>M</t>
        </is>
      </c>
      <c r="AG100" s="35" t="inlineStr">
        <is>
          <t>M</t>
        </is>
      </c>
      <c r="AH100" s="35" t="inlineStr">
        <is>
          <t>M</t>
        </is>
      </c>
      <c r="AI100" s="35" t="inlineStr">
        <is>
          <t>M</t>
        </is>
      </c>
      <c r="AJ100" s="35" t="inlineStr">
        <is>
          <t>M</t>
        </is>
      </c>
      <c r="AK100" s="35" t="inlineStr">
        <is>
          <t>M</t>
        </is>
      </c>
      <c r="AL100" s="35" t="inlineStr">
        <is>
          <t>M</t>
        </is>
      </c>
      <c r="AM100" s="36" t="n">
        <v>0.583</v>
      </c>
      <c r="AN100" s="37" t="n">
        <v>0.16</v>
      </c>
      <c r="AO100" s="37" t="n">
        <v>0.09</v>
      </c>
      <c r="AP100" s="37" t="n">
        <v>0</v>
      </c>
      <c r="AQ100" s="37" t="n">
        <v>0.063</v>
      </c>
      <c r="AR100" s="37" t="n">
        <v>0.06</v>
      </c>
      <c r="AS100" s="37" t="n">
        <v>0.04</v>
      </c>
      <c r="AT100" s="38" t="inlineStr">
        <is>
          <t>2–5</t>
        </is>
      </c>
      <c r="AU100" s="38" t="inlineStr">
        <is>
          <t>Graduate; relevant certification preferred</t>
        </is>
      </c>
      <c r="AV100" s="38" t="inlineStr">
        <is>
          <t>None · guides 1–3 juniors informally</t>
        </is>
      </c>
      <c r="AW100" s="38" t="inlineStr">
        <is>
          <t>P2 · SFIA 3 Apply</t>
        </is>
      </c>
      <c r="AX1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0" s="39" t="inlineStr">
        <is>
          <t>A3</t>
        </is>
      </c>
      <c r="AZ100" s="40" t="inlineStr">
        <is>
          <t>Band A · Practitioner · Senior Associate</t>
        </is>
      </c>
      <c r="BA100" s="40" t="inlineStr">
        <is>
          <t>Model A3 from the six ratings, the market-derived weights and rules R1–R13 · then No change · already below the manager</t>
        </is>
      </c>
      <c r="BB100" s="41" t="inlineStr">
        <is>
          <t>A3</t>
        </is>
      </c>
      <c r="BC100" s="40" t="inlineStr">
        <is>
          <t>The six ratings on the market-average weights of Band A · all tracks score 2.78 → A3 · Hay, Mercer IPE and public plans · experience 19.6 yrs vs the A3 market range 2–5</t>
        </is>
      </c>
      <c r="BD100" s="42">
        <f>IF(SUM(BM100,BN100,BO100,BP100,BQ100,BR100,BS100)=0,0,(BM100*BT100+BN100*BU100+BO100*BV100+BP100*BW100+BQ100*BX100+BR100*BY100+BS100*BZ100)/SUM(BM100,BN100,BO100,BP100,BQ100,BR100,BS100))</f>
        <v>0</v>
      </c>
      <c r="BE100" s="41" t="str">
        <f>IF(LEFT(AY100,1)="X",AY100,IF(OR(AY100="B+",AY100="C+"),INDEX(LAD_PC,MAX(1,MIN(14,MATCH(AY100,LAD_PC,0)+IF(BD100&gt;=0.5,1,IF(BD100&lt;=-0.5,-1,0))))),INDEX(LAD_STD,MAX(1,MIN(12,MATCH(AY100,LAD_STD,0)+IF(BD100&gt;=0.5,1,IF(BD100&lt;=-0.5,-1,0)))))))</f>
        <v>A3</v>
      </c>
      <c r="BF100" s="43" t="n"/>
      <c r="BG100" s="41" t="str">
        <f>IF(BF100&lt;&gt;"",BF100,BE100)</f>
        <v>A3</v>
      </c>
      <c r="BH100" s="40" t="str">
        <f>IFERROR(CHOOSE(INDEX(B_RANK,MATCH(BG100,B_LVL,0)),"Band A","Band B","B+ · Player-Coach","Band C","C+ · Player-Coach","Band D","Band E"),"Band X · Consultant")</f>
        <v>Band A</v>
      </c>
      <c r="BI100" s="40" t="str">
        <f>IF(BG100=AY100,"• Same",IF(INDEX(B_VAL,MATCH(BG100,B_LVL,0))&gt;INDEX(B_VAL,MATCH(AY100,B_LVL,0)),"▲ Up","▼ Down"))</f>
        <v>• Same</v>
      </c>
      <c r="BJ100" s="40" t="str">
        <f>IF(OR($M100="",$M100="—",$M100="Not in this file"),"",IFERROR(INDEX($BG$7:$BG$592,MATCH($M100,$D$7:$D$592,0)),""))</f>
        <v>B1</v>
      </c>
      <c r="BK100" s="40" t="str">
        <f>IFERROR(IF(BJ100="","—",IF(OR(LEFT(BG100,1)="X",LEFT(BJ100,1)="X"),"—",IF(AND(LEFT(BG100,1)="E",LEFT(BJ100,1)="E"),"Exception · Band E",IF(AND(INDEX(B_VAL,MATCH(BJ100,B_LVL,0))&gt;=7,INDEX(B_RANK,MATCH(BG100,B_LVL,0))&gt;=INDEX(B_RANK,MATCH(BJ100,B_LVL,0))),"⚠ Same band as a head manager",IF(INDEX(B_VAL,MATCH(BG100,B_LVL,0))&gt;=INDEX(B_VAL,MATCH(BJ100,B_LVL,0)),"⚠ At or above the manager's level","OK"))))),"—")</f>
        <v>OK</v>
      </c>
      <c r="BL100" s="43" t="n"/>
      <c r="BM100" s="44">
        <f>IFERROR(INDEX(LMH_PTS,MATCH(Y100,LMH_KEY,0)),0)</f>
        <v>9</v>
      </c>
      <c r="BN100" s="38">
        <f>IFERROR(INDEX(LMH_PTS,MATCH(Z100,LMH_KEY,0)),0)</f>
        <v>3</v>
      </c>
      <c r="BO100" s="38">
        <f>IFERROR(INDEX(LMH_PTS,MATCH(AA100,LMH_KEY,0)),0)</f>
        <v>3</v>
      </c>
      <c r="BP100" s="38">
        <f>IFERROR(INDEX(LMH_PTS,MATCH(AB100,LMH_KEY,0)),0)</f>
        <v>1</v>
      </c>
      <c r="BQ100" s="38">
        <f>IFERROR(INDEX(LMH_PTS,MATCH(AC100,LMH_KEY,0)),0)</f>
        <v>1</v>
      </c>
      <c r="BR100" s="38">
        <f>IFERROR(INDEX(LMH_PTS,MATCH(AD100,LMH_KEY,0)),0)</f>
        <v>1</v>
      </c>
      <c r="BS100" s="38">
        <f>IFERROR(INDEX(LMH_PTS,MATCH(AE100,LMH_KEY,0)),0)</f>
        <v>1</v>
      </c>
      <c r="BT100" s="38">
        <f>IFERROR(INDEX(LMH_STEP,MATCH(AF100,LMH_KEY,0)),0)</f>
        <v>0</v>
      </c>
      <c r="BU100" s="38">
        <f>IFERROR(INDEX(LMH_STEP,MATCH(AG100,LMH_KEY,0)),0)</f>
        <v>0</v>
      </c>
      <c r="BV100" s="38">
        <f>IFERROR(INDEX(LMH_STEP,MATCH(AH100,LMH_KEY,0)),0)</f>
        <v>0</v>
      </c>
      <c r="BW100" s="38">
        <f>IFERROR(INDEX(LMH_STEP,MATCH(AI100,LMH_KEY,0)),0)</f>
        <v>0</v>
      </c>
      <c r="BX100" s="38">
        <f>IFERROR(INDEX(LMH_STEP,MATCH(AJ100,LMH_KEY,0)),0)</f>
        <v>0</v>
      </c>
      <c r="BY100" s="38">
        <f>IFERROR(INDEX(LMH_STEP,MATCH(AK100,LMH_KEY,0)),0)</f>
        <v>0</v>
      </c>
      <c r="BZ100" s="38">
        <f>IFERROR(INDEX(LMH_STEP,MATCH(AL100,LMH_KEY,0)),0)</f>
        <v>0</v>
      </c>
      <c r="CA100" s="38" t="inlineStr">
        <is>
          <t>CARBON|Services|Senior Financial Analyst|A3|A</t>
        </is>
      </c>
    </row>
    <row r="101" ht="110" customHeight="1">
      <c r="A101" s="28" t="inlineStr">
        <is>
          <t>CARBON</t>
        </is>
      </c>
      <c r="B101" s="29" t="inlineStr">
        <is>
          <t>Services</t>
        </is>
      </c>
      <c r="C101" s="29" t="n">
        <v>7</v>
      </c>
      <c r="D101" s="29" t="inlineStr">
        <is>
          <t>IRIS1897</t>
        </is>
      </c>
      <c r="E101" s="29" t="inlineStr">
        <is>
          <t>Sunil Bist</t>
        </is>
      </c>
      <c r="F101" s="29" t="inlineStr">
        <is>
          <t>Financial Analyst</t>
        </is>
      </c>
      <c r="G101" s="29" t="inlineStr">
        <is>
          <t>Senior Financial Analyst</t>
        </is>
      </c>
      <c r="H101" s="29" t="inlineStr">
        <is>
          <t>Consulting &amp; Professional Services</t>
        </is>
      </c>
      <c r="I101" s="29" t="inlineStr">
        <is>
          <t>XBRL Tagging, Conversion &amp; Filing</t>
        </is>
      </c>
      <c r="J101" s="29" t="inlineStr">
        <is>
          <t>IC</t>
        </is>
      </c>
      <c r="K101" s="29" t="inlineStr">
        <is>
          <t>RC-025</t>
        </is>
      </c>
      <c r="L101" s="29" t="inlineStr">
        <is>
          <t>Priyanka Mehra</t>
        </is>
      </c>
      <c r="M101" s="29" t="inlineStr">
        <is>
          <t>IRIS2071</t>
        </is>
      </c>
      <c r="N101" s="29" t="n">
        <v>14</v>
      </c>
      <c r="O101" s="29" t="n">
        <v>5.6</v>
      </c>
      <c r="P101" s="29" t="inlineStr">
        <is>
          <t>B.Com</t>
        </is>
      </c>
      <c r="Q101" s="29" t="inlineStr">
        <is>
          <t>L3 – Professional / Associate</t>
        </is>
      </c>
      <c r="R101" s="29" t="inlineStr">
        <is>
          <t>A3</t>
        </is>
      </c>
      <c r="S101" s="30" t="inlineStr">
        <is>
          <t>20 of 20</t>
        </is>
      </c>
      <c r="T101" s="31" t="inlineStr">
        <is>
          <t>• Role / sub-team: CIPC · Carbon Service Department.</t>
        </is>
      </c>
      <c r="U10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1" s="31" t="inlineStr">
        <is>
          <t>Latest rating: 4 · Potential: High · 9-box: Core Contributor · Readiness: Ready now</t>
        </is>
      </c>
      <c r="W101" s="31" t="inlineStr">
        <is>
          <t>C M · Au L · Ac L · L L · BI M · Exp H · 14 yrs vs 2–4 yrs · Edu M · B.Com</t>
        </is>
      </c>
      <c r="X101" s="33" t="inlineStr">
        <is>
          <t>Open ▸</t>
        </is>
      </c>
      <c r="Y101" s="34" t="str">
        <f>IFERROR(INDEX(DL_C,MATCH($CA101,DL_KEY,0)),"M")</f>
        <v>H</v>
      </c>
      <c r="Z101" s="35" t="str">
        <f>IFERROR(INDEX(DL_Au,MATCH($CA101,DL_KEY,0)),"M")</f>
        <v>M</v>
      </c>
      <c r="AA101" s="35" t="str">
        <f>IFERROR(INDEX(DL_Ac,MATCH($CA101,DL_KEY,0)),"M")</f>
        <v>M</v>
      </c>
      <c r="AB101" s="35" t="str">
        <f>IFERROR(INDEX(DL_L,MATCH($CA101,DL_KEY,0)),"M")</f>
        <v>L</v>
      </c>
      <c r="AC101" s="35" t="str">
        <f>IFERROR(INDEX(DL_BI,MATCH($CA101,DL_KEY,0)),"M")</f>
        <v>L</v>
      </c>
      <c r="AD101" s="35" t="str">
        <f>IFERROR(INDEX(DL_Exp,MATCH($CA101,DL_KEY,0)),"M")</f>
        <v>L</v>
      </c>
      <c r="AE101" s="35" t="str">
        <f>IFERROR(INDEX(DL_Edu,MATCH($CA101,DL_KEY,0)),"M")</f>
        <v>L</v>
      </c>
      <c r="AF101" s="34" t="inlineStr">
        <is>
          <t>M</t>
        </is>
      </c>
      <c r="AG101" s="35" t="inlineStr">
        <is>
          <t>M</t>
        </is>
      </c>
      <c r="AH101" s="35" t="inlineStr">
        <is>
          <t>M</t>
        </is>
      </c>
      <c r="AI101" s="35" t="inlineStr">
        <is>
          <t>M</t>
        </is>
      </c>
      <c r="AJ101" s="35" t="inlineStr">
        <is>
          <t>M</t>
        </is>
      </c>
      <c r="AK101" s="35" t="inlineStr">
        <is>
          <t>M</t>
        </is>
      </c>
      <c r="AL101" s="35" t="inlineStr">
        <is>
          <t>M</t>
        </is>
      </c>
      <c r="AM101" s="36" t="n">
        <v>0.583</v>
      </c>
      <c r="AN101" s="37" t="n">
        <v>0.16</v>
      </c>
      <c r="AO101" s="37" t="n">
        <v>0.09</v>
      </c>
      <c r="AP101" s="37" t="n">
        <v>0</v>
      </c>
      <c r="AQ101" s="37" t="n">
        <v>0.063</v>
      </c>
      <c r="AR101" s="37" t="n">
        <v>0.06</v>
      </c>
      <c r="AS101" s="37" t="n">
        <v>0.04</v>
      </c>
      <c r="AT101" s="38" t="inlineStr">
        <is>
          <t>2–5</t>
        </is>
      </c>
      <c r="AU101" s="38" t="inlineStr">
        <is>
          <t>Graduate; relevant certification preferred</t>
        </is>
      </c>
      <c r="AV101" s="38" t="inlineStr">
        <is>
          <t>None · guides 1–3 juniors informally</t>
        </is>
      </c>
      <c r="AW101" s="38" t="inlineStr">
        <is>
          <t>P2 · SFIA 3 Apply</t>
        </is>
      </c>
      <c r="AX1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1" s="39" t="inlineStr">
        <is>
          <t>A3</t>
        </is>
      </c>
      <c r="AZ101" s="40" t="inlineStr">
        <is>
          <t>Band A · Practitioner · Senior Associate</t>
        </is>
      </c>
      <c r="BA101" s="40" t="inlineStr">
        <is>
          <t>Model A3 from the six ratings, the market-derived weights and rules R1–R13 · then No change · already below the manager</t>
        </is>
      </c>
      <c r="BB101" s="41" t="inlineStr">
        <is>
          <t>A3</t>
        </is>
      </c>
      <c r="BC101" s="40" t="inlineStr">
        <is>
          <t>The six ratings on the market-average weights of Band A · all tracks score 2.93 → A3 · Hay, Mercer IPE and public plans · experience 14 yrs vs the A3 market range 2–5</t>
        </is>
      </c>
      <c r="BD101" s="42">
        <f>IF(SUM(BM101,BN101,BO101,BP101,BQ101,BR101,BS101)=0,0,(BM101*BT101+BN101*BU101+BO101*BV101+BP101*BW101+BQ101*BX101+BR101*BY101+BS101*BZ101)/SUM(BM101,BN101,BO101,BP101,BQ101,BR101,BS101))</f>
        <v>0</v>
      </c>
      <c r="BE101" s="41" t="str">
        <f>IF(LEFT(AY101,1)="X",AY101,IF(OR(AY101="B+",AY101="C+"),INDEX(LAD_PC,MAX(1,MIN(14,MATCH(AY101,LAD_PC,0)+IF(BD101&gt;=0.5,1,IF(BD101&lt;=-0.5,-1,0))))),INDEX(LAD_STD,MAX(1,MIN(12,MATCH(AY101,LAD_STD,0)+IF(BD101&gt;=0.5,1,IF(BD101&lt;=-0.5,-1,0)))))))</f>
        <v>A3</v>
      </c>
      <c r="BF101" s="43" t="n"/>
      <c r="BG101" s="41" t="str">
        <f>IF(BF101&lt;&gt;"",BF101,BE101)</f>
        <v>A3</v>
      </c>
      <c r="BH101" s="40" t="str">
        <f>IFERROR(CHOOSE(INDEX(B_RANK,MATCH(BG101,B_LVL,0)),"Band A","Band B","B+ · Player-Coach","Band C","C+ · Player-Coach","Band D","Band E"),"Band X · Consultant")</f>
        <v>Band A</v>
      </c>
      <c r="BI101" s="40" t="str">
        <f>IF(BG101=AY101,"• Same",IF(INDEX(B_VAL,MATCH(BG101,B_LVL,0))&gt;INDEX(B_VAL,MATCH(AY101,B_LVL,0)),"▲ Up","▼ Down"))</f>
        <v>• Same</v>
      </c>
      <c r="BJ101" s="40" t="str">
        <f>IF(OR($M101="",$M101="—",$M101="Not in this file"),"",IFERROR(INDEX($BG$7:$BG$592,MATCH($M101,$D$7:$D$592,0)),""))</f>
        <v>B1</v>
      </c>
      <c r="BK101" s="40" t="str">
        <f>IFERROR(IF(BJ101="","—",IF(OR(LEFT(BG101,1)="X",LEFT(BJ101,1)="X"),"—",IF(AND(LEFT(BG101,1)="E",LEFT(BJ101,1)="E"),"Exception · Band E",IF(AND(INDEX(B_VAL,MATCH(BJ101,B_LVL,0))&gt;=7,INDEX(B_RANK,MATCH(BG101,B_LVL,0))&gt;=INDEX(B_RANK,MATCH(BJ101,B_LVL,0))),"⚠ Same band as a head manager",IF(INDEX(B_VAL,MATCH(BG101,B_LVL,0))&gt;=INDEX(B_VAL,MATCH(BJ101,B_LVL,0)),"⚠ At or above the manager's level","OK"))))),"—")</f>
        <v>OK</v>
      </c>
      <c r="BL101" s="43" t="n"/>
      <c r="BM101" s="44">
        <f>IFERROR(INDEX(LMH_PTS,MATCH(Y101,LMH_KEY,0)),0)</f>
        <v>9</v>
      </c>
      <c r="BN101" s="38">
        <f>IFERROR(INDEX(LMH_PTS,MATCH(Z101,LMH_KEY,0)),0)</f>
        <v>3</v>
      </c>
      <c r="BO101" s="38">
        <f>IFERROR(INDEX(LMH_PTS,MATCH(AA101,LMH_KEY,0)),0)</f>
        <v>3</v>
      </c>
      <c r="BP101" s="38">
        <f>IFERROR(INDEX(LMH_PTS,MATCH(AB101,LMH_KEY,0)),0)</f>
        <v>1</v>
      </c>
      <c r="BQ101" s="38">
        <f>IFERROR(INDEX(LMH_PTS,MATCH(AC101,LMH_KEY,0)),0)</f>
        <v>1</v>
      </c>
      <c r="BR101" s="38">
        <f>IFERROR(INDEX(LMH_PTS,MATCH(AD101,LMH_KEY,0)),0)</f>
        <v>1</v>
      </c>
      <c r="BS101" s="38">
        <f>IFERROR(INDEX(LMH_PTS,MATCH(AE101,LMH_KEY,0)),0)</f>
        <v>1</v>
      </c>
      <c r="BT101" s="38">
        <f>IFERROR(INDEX(LMH_STEP,MATCH(AF101,LMH_KEY,0)),0)</f>
        <v>0</v>
      </c>
      <c r="BU101" s="38">
        <f>IFERROR(INDEX(LMH_STEP,MATCH(AG101,LMH_KEY,0)),0)</f>
        <v>0</v>
      </c>
      <c r="BV101" s="38">
        <f>IFERROR(INDEX(LMH_STEP,MATCH(AH101,LMH_KEY,0)),0)</f>
        <v>0</v>
      </c>
      <c r="BW101" s="38">
        <f>IFERROR(INDEX(LMH_STEP,MATCH(AI101,LMH_KEY,0)),0)</f>
        <v>0</v>
      </c>
      <c r="BX101" s="38">
        <f>IFERROR(INDEX(LMH_STEP,MATCH(AJ101,LMH_KEY,0)),0)</f>
        <v>0</v>
      </c>
      <c r="BY101" s="38">
        <f>IFERROR(INDEX(LMH_STEP,MATCH(AK101,LMH_KEY,0)),0)</f>
        <v>0</v>
      </c>
      <c r="BZ101" s="38">
        <f>IFERROR(INDEX(LMH_STEP,MATCH(AL101,LMH_KEY,0)),0)</f>
        <v>0</v>
      </c>
      <c r="CA101" s="38" t="inlineStr">
        <is>
          <t>CARBON|Services|Senior Financial Analyst|A3|A</t>
        </is>
      </c>
    </row>
    <row r="102" ht="110" customHeight="1">
      <c r="A102" s="28" t="inlineStr">
        <is>
          <t>CARBON</t>
        </is>
      </c>
      <c r="B102" s="29" t="inlineStr">
        <is>
          <t>Services</t>
        </is>
      </c>
      <c r="C102" s="29" t="n">
        <v>7</v>
      </c>
      <c r="D102" s="29" t="inlineStr">
        <is>
          <t>IRISC212</t>
        </is>
      </c>
      <c r="E102" s="29" t="inlineStr">
        <is>
          <t>Vishakha Vitmal</t>
        </is>
      </c>
      <c r="F102" s="29" t="inlineStr">
        <is>
          <t>Consultant</t>
        </is>
      </c>
      <c r="G102" s="29" t="inlineStr">
        <is>
          <t>Senior Financial Analyst</t>
        </is>
      </c>
      <c r="H102" s="29" t="inlineStr">
        <is>
          <t>Consulting &amp; Professional Services</t>
        </is>
      </c>
      <c r="I102" s="29" t="inlineStr">
        <is>
          <t>XBRL Tagging, Conversion &amp; Filing</t>
        </is>
      </c>
      <c r="J102" s="29" t="inlineStr">
        <is>
          <t>IC</t>
        </is>
      </c>
      <c r="K102" s="29" t="inlineStr">
        <is>
          <t>RC-025</t>
        </is>
      </c>
      <c r="L102" s="29" t="inlineStr">
        <is>
          <t>Priyanka Mehra</t>
        </is>
      </c>
      <c r="M102" s="29" t="inlineStr">
        <is>
          <t>IRIS2071</t>
        </is>
      </c>
      <c r="N102" s="29" t="n">
        <v>5.2</v>
      </c>
      <c r="O102" s="29" t="n">
        <v>5.2</v>
      </c>
      <c r="P102" s="29" t="inlineStr">
        <is>
          <t>B.Com</t>
        </is>
      </c>
      <c r="Q102" s="29" t="inlineStr">
        <is>
          <t>L3 – Professional / Associate</t>
        </is>
      </c>
      <c r="R102" s="29" t="inlineStr">
        <is>
          <t>A3</t>
        </is>
      </c>
      <c r="S102" s="30" t="inlineStr">
        <is>
          <t>19 of 20</t>
        </is>
      </c>
      <c r="T102" s="31" t="inlineStr">
        <is>
          <t>• Role / sub-team: Tagging.</t>
        </is>
      </c>
      <c r="U10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2" s="31" t="inlineStr">
        <is>
          <t>Latest rating: 3 · Potential: Medium · 9-box: Core Contributor · Readiness: Develop in role</t>
        </is>
      </c>
      <c r="W102" s="31" t="inlineStr">
        <is>
          <t>C M · Au M · Ac M · L L · BI M · Exp H · 5.2 yrs vs 2–4 yrs · Edu M · B.Com</t>
        </is>
      </c>
      <c r="X102" s="33" t="inlineStr">
        <is>
          <t>Open ▸</t>
        </is>
      </c>
      <c r="Y102" s="34" t="str">
        <f>IFERROR(INDEX(DL_C,MATCH($CA102,DL_KEY,0)),"M")</f>
        <v>H</v>
      </c>
      <c r="Z102" s="35" t="str">
        <f>IFERROR(INDEX(DL_Au,MATCH($CA102,DL_KEY,0)),"M")</f>
        <v>M</v>
      </c>
      <c r="AA102" s="35" t="str">
        <f>IFERROR(INDEX(DL_Ac,MATCH($CA102,DL_KEY,0)),"M")</f>
        <v>M</v>
      </c>
      <c r="AB102" s="35" t="str">
        <f>IFERROR(INDEX(DL_L,MATCH($CA102,DL_KEY,0)),"M")</f>
        <v>L</v>
      </c>
      <c r="AC102" s="35" t="str">
        <f>IFERROR(INDEX(DL_BI,MATCH($CA102,DL_KEY,0)),"M")</f>
        <v>L</v>
      </c>
      <c r="AD102" s="35" t="str">
        <f>IFERROR(INDEX(DL_Exp,MATCH($CA102,DL_KEY,0)),"M")</f>
        <v>L</v>
      </c>
      <c r="AE102" s="35" t="str">
        <f>IFERROR(INDEX(DL_Edu,MATCH($CA102,DL_KEY,0)),"M")</f>
        <v>L</v>
      </c>
      <c r="AF102" s="34" t="inlineStr">
        <is>
          <t>M</t>
        </is>
      </c>
      <c r="AG102" s="35" t="inlineStr">
        <is>
          <t>M</t>
        </is>
      </c>
      <c r="AH102" s="35" t="inlineStr">
        <is>
          <t>M</t>
        </is>
      </c>
      <c r="AI102" s="35" t="inlineStr">
        <is>
          <t>M</t>
        </is>
      </c>
      <c r="AJ102" s="35" t="inlineStr">
        <is>
          <t>M</t>
        </is>
      </c>
      <c r="AK102" s="35" t="inlineStr">
        <is>
          <t>M</t>
        </is>
      </c>
      <c r="AL102" s="35" t="inlineStr">
        <is>
          <t>M</t>
        </is>
      </c>
      <c r="AM102" s="36" t="n">
        <v>0.583</v>
      </c>
      <c r="AN102" s="37" t="n">
        <v>0.16</v>
      </c>
      <c r="AO102" s="37" t="n">
        <v>0.09</v>
      </c>
      <c r="AP102" s="37" t="n">
        <v>0</v>
      </c>
      <c r="AQ102" s="37" t="n">
        <v>0.063</v>
      </c>
      <c r="AR102" s="37" t="n">
        <v>0.06</v>
      </c>
      <c r="AS102" s="37" t="n">
        <v>0.04</v>
      </c>
      <c r="AT102" s="38" t="inlineStr">
        <is>
          <t>2–5</t>
        </is>
      </c>
      <c r="AU102" s="38" t="inlineStr">
        <is>
          <t>Graduate; relevant certification preferred</t>
        </is>
      </c>
      <c r="AV102" s="38" t="inlineStr">
        <is>
          <t>None · guides 1–3 juniors informally</t>
        </is>
      </c>
      <c r="AW102" s="38" t="inlineStr">
        <is>
          <t>P2 · SFIA 3 Apply</t>
        </is>
      </c>
      <c r="AX1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2" s="39" t="inlineStr">
        <is>
          <t>A3</t>
        </is>
      </c>
      <c r="AZ102" s="40" t="inlineStr">
        <is>
          <t>Band A · Practitioner · Senior Associate</t>
        </is>
      </c>
      <c r="BA102" s="40" t="inlineStr">
        <is>
          <t>Model A3 from the six ratings, the market-derived weights and rules R1–R13 · then No change · already below the manager</t>
        </is>
      </c>
      <c r="BB102" s="41" t="inlineStr">
        <is>
          <t>A3</t>
        </is>
      </c>
      <c r="BC102" s="40" t="inlineStr">
        <is>
          <t>The six ratings on the market-average weights of Band A · all tracks score 2.68 → A3 · Hay, Mercer IPE and public plans · experience 5.2 yrs vs the A3 market range 2–5</t>
        </is>
      </c>
      <c r="BD102" s="42">
        <f>IF(SUM(BM102,BN102,BO102,BP102,BQ102,BR102,BS102)=0,0,(BM102*BT102+BN102*BU102+BO102*BV102+BP102*BW102+BQ102*BX102+BR102*BY102+BS102*BZ102)/SUM(BM102,BN102,BO102,BP102,BQ102,BR102,BS102))</f>
        <v>0</v>
      </c>
      <c r="BE102" s="41" t="str">
        <f>IF(LEFT(AY102,1)="X",AY102,IF(OR(AY102="B+",AY102="C+"),INDEX(LAD_PC,MAX(1,MIN(14,MATCH(AY102,LAD_PC,0)+IF(BD102&gt;=0.5,1,IF(BD102&lt;=-0.5,-1,0))))),INDEX(LAD_STD,MAX(1,MIN(12,MATCH(AY102,LAD_STD,0)+IF(BD102&gt;=0.5,1,IF(BD102&lt;=-0.5,-1,0)))))))</f>
        <v>A3</v>
      </c>
      <c r="BF102" s="43" t="n"/>
      <c r="BG102" s="41" t="str">
        <f>IF(BF102&lt;&gt;"",BF102,BE102)</f>
        <v>A3</v>
      </c>
      <c r="BH102" s="40" t="str">
        <f>IFERROR(CHOOSE(INDEX(B_RANK,MATCH(BG102,B_LVL,0)),"Band A","Band B","B+ · Player-Coach","Band C","C+ · Player-Coach","Band D","Band E"),"Band X · Consultant")</f>
        <v>Band A</v>
      </c>
      <c r="BI102" s="40" t="str">
        <f>IF(BG102=AY102,"• Same",IF(INDEX(B_VAL,MATCH(BG102,B_LVL,0))&gt;INDEX(B_VAL,MATCH(AY102,B_LVL,0)),"▲ Up","▼ Down"))</f>
        <v>• Same</v>
      </c>
      <c r="BJ102" s="40" t="str">
        <f>IF(OR($M102="",$M102="—",$M102="Not in this file"),"",IFERROR(INDEX($BG$7:$BG$592,MATCH($M102,$D$7:$D$592,0)),""))</f>
        <v>B1</v>
      </c>
      <c r="BK102" s="40" t="str">
        <f>IFERROR(IF(BJ102="","—",IF(OR(LEFT(BG102,1)="X",LEFT(BJ102,1)="X"),"—",IF(AND(LEFT(BG102,1)="E",LEFT(BJ102,1)="E"),"Exception · Band E",IF(AND(INDEX(B_VAL,MATCH(BJ102,B_LVL,0))&gt;=7,INDEX(B_RANK,MATCH(BG102,B_LVL,0))&gt;=INDEX(B_RANK,MATCH(BJ102,B_LVL,0))),"⚠ Same band as a head manager",IF(INDEX(B_VAL,MATCH(BG102,B_LVL,0))&gt;=INDEX(B_VAL,MATCH(BJ102,B_LVL,0)),"⚠ At or above the manager's level","OK"))))),"—")</f>
        <v>OK</v>
      </c>
      <c r="BL102" s="43" t="n"/>
      <c r="BM102" s="44">
        <f>IFERROR(INDEX(LMH_PTS,MATCH(Y102,LMH_KEY,0)),0)</f>
        <v>9</v>
      </c>
      <c r="BN102" s="38">
        <f>IFERROR(INDEX(LMH_PTS,MATCH(Z102,LMH_KEY,0)),0)</f>
        <v>3</v>
      </c>
      <c r="BO102" s="38">
        <f>IFERROR(INDEX(LMH_PTS,MATCH(AA102,LMH_KEY,0)),0)</f>
        <v>3</v>
      </c>
      <c r="BP102" s="38">
        <f>IFERROR(INDEX(LMH_PTS,MATCH(AB102,LMH_KEY,0)),0)</f>
        <v>1</v>
      </c>
      <c r="BQ102" s="38">
        <f>IFERROR(INDEX(LMH_PTS,MATCH(AC102,LMH_KEY,0)),0)</f>
        <v>1</v>
      </c>
      <c r="BR102" s="38">
        <f>IFERROR(INDEX(LMH_PTS,MATCH(AD102,LMH_KEY,0)),0)</f>
        <v>1</v>
      </c>
      <c r="BS102" s="38">
        <f>IFERROR(INDEX(LMH_PTS,MATCH(AE102,LMH_KEY,0)),0)</f>
        <v>1</v>
      </c>
      <c r="BT102" s="38">
        <f>IFERROR(INDEX(LMH_STEP,MATCH(AF102,LMH_KEY,0)),0)</f>
        <v>0</v>
      </c>
      <c r="BU102" s="38">
        <f>IFERROR(INDEX(LMH_STEP,MATCH(AG102,LMH_KEY,0)),0)</f>
        <v>0</v>
      </c>
      <c r="BV102" s="38">
        <f>IFERROR(INDEX(LMH_STEP,MATCH(AH102,LMH_KEY,0)),0)</f>
        <v>0</v>
      </c>
      <c r="BW102" s="38">
        <f>IFERROR(INDEX(LMH_STEP,MATCH(AI102,LMH_KEY,0)),0)</f>
        <v>0</v>
      </c>
      <c r="BX102" s="38">
        <f>IFERROR(INDEX(LMH_STEP,MATCH(AJ102,LMH_KEY,0)),0)</f>
        <v>0</v>
      </c>
      <c r="BY102" s="38">
        <f>IFERROR(INDEX(LMH_STEP,MATCH(AK102,LMH_KEY,0)),0)</f>
        <v>0</v>
      </c>
      <c r="BZ102" s="38">
        <f>IFERROR(INDEX(LMH_STEP,MATCH(AL102,LMH_KEY,0)),0)</f>
        <v>0</v>
      </c>
      <c r="CA102" s="38" t="inlineStr">
        <is>
          <t>CARBON|Services|Senior Financial Analyst|A3|A</t>
        </is>
      </c>
    </row>
    <row r="103" ht="110" customHeight="1">
      <c r="A103" s="28" t="inlineStr">
        <is>
          <t>CARBON</t>
        </is>
      </c>
      <c r="B103" s="29" t="inlineStr">
        <is>
          <t>Services</t>
        </is>
      </c>
      <c r="C103" s="29" t="n">
        <v>7</v>
      </c>
      <c r="D103" s="29" t="inlineStr">
        <is>
          <t>IRISC341</t>
        </is>
      </c>
      <c r="E103" s="29" t="inlineStr">
        <is>
          <t>Anjali Singh</t>
        </is>
      </c>
      <c r="F103" s="29" t="inlineStr">
        <is>
          <t>Consultant</t>
        </is>
      </c>
      <c r="G103" s="29" t="inlineStr">
        <is>
          <t>Financial Analyst</t>
        </is>
      </c>
      <c r="H103" s="29" t="inlineStr">
        <is>
          <t>Consulting &amp; Professional Services</t>
        </is>
      </c>
      <c r="I103" s="29" t="inlineStr">
        <is>
          <t>XBRL Tagging, Conversion &amp; Filing</t>
        </is>
      </c>
      <c r="J103" s="29" t="inlineStr">
        <is>
          <t>IC</t>
        </is>
      </c>
      <c r="K103" s="29" t="inlineStr">
        <is>
          <t>RC-024</t>
        </is>
      </c>
      <c r="L103" s="29" t="inlineStr">
        <is>
          <t>Priyanka Mehra</t>
        </is>
      </c>
      <c r="M103" s="29" t="inlineStr">
        <is>
          <t>IRIS2071</t>
        </is>
      </c>
      <c r="N103" s="29" t="n">
        <v>1.3</v>
      </c>
      <c r="O103" s="29" t="n">
        <v>0.6</v>
      </c>
      <c r="P103" s="29" t="inlineStr">
        <is>
          <t>M.Com</t>
        </is>
      </c>
      <c r="Q103" s="29" t="inlineStr">
        <is>
          <t>L3 – Professional / Associate</t>
        </is>
      </c>
      <c r="R103" s="29" t="inlineStr">
        <is>
          <t>A2</t>
        </is>
      </c>
      <c r="S103" s="30" t="inlineStr">
        <is>
          <t>20 of 20</t>
        </is>
      </c>
      <c r="T103" s="31" t="inlineStr">
        <is>
          <t>• Role / sub-team: CIPC.</t>
        </is>
      </c>
      <c r="U10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3" s="31" t="inlineStr">
        <is>
          <t>Latest rating: 2 · Potential: Low · 9-box: Reliable Specialist · Readiness: Performance first</t>
        </is>
      </c>
      <c r="W103" s="31" t="inlineStr">
        <is>
          <t>C M · Au M · Ac M · L L · BI M · Exp M · 1.3 yrs vs 0–2 yrs · Edu H · M.Com</t>
        </is>
      </c>
      <c r="X103" s="33" t="inlineStr">
        <is>
          <t>Open ▸</t>
        </is>
      </c>
      <c r="Y103" s="34" t="str">
        <f>IFERROR(INDEX(DL_C,MATCH($CA103,DL_KEY,0)),"M")</f>
        <v>H</v>
      </c>
      <c r="Z103" s="35" t="str">
        <f>IFERROR(INDEX(DL_Au,MATCH($CA103,DL_KEY,0)),"M")</f>
        <v>M</v>
      </c>
      <c r="AA103" s="35" t="str">
        <f>IFERROR(INDEX(DL_Ac,MATCH($CA103,DL_KEY,0)),"M")</f>
        <v>M</v>
      </c>
      <c r="AB103" s="35" t="str">
        <f>IFERROR(INDEX(DL_L,MATCH($CA103,DL_KEY,0)),"M")</f>
        <v>L</v>
      </c>
      <c r="AC103" s="35" t="str">
        <f>IFERROR(INDEX(DL_BI,MATCH($CA103,DL_KEY,0)),"M")</f>
        <v>L</v>
      </c>
      <c r="AD103" s="35" t="str">
        <f>IFERROR(INDEX(DL_Exp,MATCH($CA103,DL_KEY,0)),"M")</f>
        <v>L</v>
      </c>
      <c r="AE103" s="35" t="str">
        <f>IFERROR(INDEX(DL_Edu,MATCH($CA103,DL_KEY,0)),"M")</f>
        <v>L</v>
      </c>
      <c r="AF103" s="34" t="inlineStr">
        <is>
          <t>M</t>
        </is>
      </c>
      <c r="AG103" s="35" t="inlineStr">
        <is>
          <t>M</t>
        </is>
      </c>
      <c r="AH103" s="35" t="inlineStr">
        <is>
          <t>M</t>
        </is>
      </c>
      <c r="AI103" s="35" t="inlineStr">
        <is>
          <t>M</t>
        </is>
      </c>
      <c r="AJ103" s="35" t="inlineStr">
        <is>
          <t>M</t>
        </is>
      </c>
      <c r="AK103" s="35" t="inlineStr">
        <is>
          <t>M</t>
        </is>
      </c>
      <c r="AL103" s="35" t="inlineStr">
        <is>
          <t>M</t>
        </is>
      </c>
      <c r="AM103" s="36" t="n">
        <v>0.583</v>
      </c>
      <c r="AN103" s="37" t="n">
        <v>0.16</v>
      </c>
      <c r="AO103" s="37" t="n">
        <v>0.09</v>
      </c>
      <c r="AP103" s="37" t="n">
        <v>0</v>
      </c>
      <c r="AQ103" s="37" t="n">
        <v>0.063</v>
      </c>
      <c r="AR103" s="37" t="n">
        <v>0.06</v>
      </c>
      <c r="AS103" s="37" t="n">
        <v>0.04</v>
      </c>
      <c r="AT103" s="38" t="inlineStr">
        <is>
          <t>0–3</t>
        </is>
      </c>
      <c r="AU103" s="38" t="inlineStr">
        <is>
          <t>Graduate · or diploma with experience</t>
        </is>
      </c>
      <c r="AV103" s="38" t="inlineStr">
        <is>
          <t>No direct reports</t>
        </is>
      </c>
      <c r="AW103" s="38" t="inlineStr">
        <is>
          <t>P1–P2 · SFIA 2 Assist</t>
        </is>
      </c>
      <c r="AX1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3" s="39" t="inlineStr">
        <is>
          <t>A2</t>
        </is>
      </c>
      <c r="AZ103" s="40" t="inlineStr">
        <is>
          <t>Band A · Practitioner · Associate</t>
        </is>
      </c>
      <c r="BA103" s="40" t="inlineStr">
        <is>
          <t>Model A2 from the six ratings, the market-derived weights and rules R1–R13 · then No change · already below the manager</t>
        </is>
      </c>
      <c r="BB103" s="41" t="inlineStr">
        <is>
          <t>A2</t>
        </is>
      </c>
      <c r="BC103" s="40" t="inlineStr">
        <is>
          <t>The six ratings on the market-average weights of Band A · all tracks score 2.08 → A2 · Hay, Mercer IPE and public plans · experience 1.3 yrs vs the A2 market range 0–3</t>
        </is>
      </c>
      <c r="BD103" s="42">
        <f>IF(SUM(BM103,BN103,BO103,BP103,BQ103,BR103,BS103)=0,0,(BM103*BT103+BN103*BU103+BO103*BV103+BP103*BW103+BQ103*BX103+BR103*BY103+BS103*BZ103)/SUM(BM103,BN103,BO103,BP103,BQ103,BR103,BS103))</f>
        <v>0</v>
      </c>
      <c r="BE103" s="41" t="str">
        <f>IF(LEFT(AY103,1)="X",AY103,IF(OR(AY103="B+",AY103="C+"),INDEX(LAD_PC,MAX(1,MIN(14,MATCH(AY103,LAD_PC,0)+IF(BD103&gt;=0.5,1,IF(BD103&lt;=-0.5,-1,0))))),INDEX(LAD_STD,MAX(1,MIN(12,MATCH(AY103,LAD_STD,0)+IF(BD103&gt;=0.5,1,IF(BD103&lt;=-0.5,-1,0)))))))</f>
        <v>A2</v>
      </c>
      <c r="BF103" s="43" t="n"/>
      <c r="BG103" s="41" t="str">
        <f>IF(BF103&lt;&gt;"",BF103,BE103)</f>
        <v>A2</v>
      </c>
      <c r="BH103" s="40" t="str">
        <f>IFERROR(CHOOSE(INDEX(B_RANK,MATCH(BG103,B_LVL,0)),"Band A","Band B","B+ · Player-Coach","Band C","C+ · Player-Coach","Band D","Band E"),"Band X · Consultant")</f>
        <v>Band A</v>
      </c>
      <c r="BI103" s="40" t="str">
        <f>IF(BG103=AY103,"• Same",IF(INDEX(B_VAL,MATCH(BG103,B_LVL,0))&gt;INDEX(B_VAL,MATCH(AY103,B_LVL,0)),"▲ Up","▼ Down"))</f>
        <v>• Same</v>
      </c>
      <c r="BJ103" s="40" t="str">
        <f>IF(OR($M103="",$M103="—",$M103="Not in this file"),"",IFERROR(INDEX($BG$7:$BG$592,MATCH($M103,$D$7:$D$592,0)),""))</f>
        <v>B1</v>
      </c>
      <c r="BK103" s="40" t="str">
        <f>IFERROR(IF(BJ103="","—",IF(OR(LEFT(BG103,1)="X",LEFT(BJ103,1)="X"),"—",IF(AND(LEFT(BG103,1)="E",LEFT(BJ103,1)="E"),"Exception · Band E",IF(AND(INDEX(B_VAL,MATCH(BJ103,B_LVL,0))&gt;=7,INDEX(B_RANK,MATCH(BG103,B_LVL,0))&gt;=INDEX(B_RANK,MATCH(BJ103,B_LVL,0))),"⚠ Same band as a head manager",IF(INDEX(B_VAL,MATCH(BG103,B_LVL,0))&gt;=INDEX(B_VAL,MATCH(BJ103,B_LVL,0)),"⚠ At or above the manager's level","OK"))))),"—")</f>
        <v>OK</v>
      </c>
      <c r="BL103" s="43" t="n"/>
      <c r="BM103" s="44">
        <f>IFERROR(INDEX(LMH_PTS,MATCH(Y103,LMH_KEY,0)),0)</f>
        <v>9</v>
      </c>
      <c r="BN103" s="38">
        <f>IFERROR(INDEX(LMH_PTS,MATCH(Z103,LMH_KEY,0)),0)</f>
        <v>3</v>
      </c>
      <c r="BO103" s="38">
        <f>IFERROR(INDEX(LMH_PTS,MATCH(AA103,LMH_KEY,0)),0)</f>
        <v>3</v>
      </c>
      <c r="BP103" s="38">
        <f>IFERROR(INDEX(LMH_PTS,MATCH(AB103,LMH_KEY,0)),0)</f>
        <v>1</v>
      </c>
      <c r="BQ103" s="38">
        <f>IFERROR(INDEX(LMH_PTS,MATCH(AC103,LMH_KEY,0)),0)</f>
        <v>1</v>
      </c>
      <c r="BR103" s="38">
        <f>IFERROR(INDEX(LMH_PTS,MATCH(AD103,LMH_KEY,0)),0)</f>
        <v>1</v>
      </c>
      <c r="BS103" s="38">
        <f>IFERROR(INDEX(LMH_PTS,MATCH(AE103,LMH_KEY,0)),0)</f>
        <v>1</v>
      </c>
      <c r="BT103" s="38">
        <f>IFERROR(INDEX(LMH_STEP,MATCH(AF103,LMH_KEY,0)),0)</f>
        <v>0</v>
      </c>
      <c r="BU103" s="38">
        <f>IFERROR(INDEX(LMH_STEP,MATCH(AG103,LMH_KEY,0)),0)</f>
        <v>0</v>
      </c>
      <c r="BV103" s="38">
        <f>IFERROR(INDEX(LMH_STEP,MATCH(AH103,LMH_KEY,0)),0)</f>
        <v>0</v>
      </c>
      <c r="BW103" s="38">
        <f>IFERROR(INDEX(LMH_STEP,MATCH(AI103,LMH_KEY,0)),0)</f>
        <v>0</v>
      </c>
      <c r="BX103" s="38">
        <f>IFERROR(INDEX(LMH_STEP,MATCH(AJ103,LMH_KEY,0)),0)</f>
        <v>0</v>
      </c>
      <c r="BY103" s="38">
        <f>IFERROR(INDEX(LMH_STEP,MATCH(AK103,LMH_KEY,0)),0)</f>
        <v>0</v>
      </c>
      <c r="BZ103" s="38">
        <f>IFERROR(INDEX(LMH_STEP,MATCH(AL103,LMH_KEY,0)),0)</f>
        <v>0</v>
      </c>
      <c r="CA103" s="38" t="inlineStr">
        <is>
          <t>CARBON|Services|Financial Analyst|A2|A</t>
        </is>
      </c>
    </row>
    <row r="104" ht="110" customHeight="1">
      <c r="A104" s="28" t="inlineStr">
        <is>
          <t>CARBON</t>
        </is>
      </c>
      <c r="B104" s="29" t="inlineStr">
        <is>
          <t>Services</t>
        </is>
      </c>
      <c r="C104" s="29" t="n">
        <v>6</v>
      </c>
      <c r="D104" s="29" t="inlineStr">
        <is>
          <t>IRIS1705</t>
        </is>
      </c>
      <c r="E104" s="29" t="inlineStr">
        <is>
          <t>Lalita Waghmare</t>
        </is>
      </c>
      <c r="F104" s="29" t="inlineStr">
        <is>
          <t>Financial Analyst</t>
        </is>
      </c>
      <c r="G104" s="29" t="inlineStr">
        <is>
          <t>Team Lead – Assisted Services</t>
        </is>
      </c>
      <c r="H104" s="29" t="inlineStr">
        <is>
          <t>Consulting &amp; Professional Services</t>
        </is>
      </c>
      <c r="I104" s="29" t="inlineStr">
        <is>
          <t>XBRL Tagging, Conversion &amp; Filing</t>
        </is>
      </c>
      <c r="J104" s="29" t="inlineStr">
        <is>
          <t>People Manager</t>
        </is>
      </c>
      <c r="K104" s="29" t="inlineStr">
        <is>
          <t>RC-027</t>
        </is>
      </c>
      <c r="L104" s="29" t="inlineStr">
        <is>
          <t>Mayur Zope</t>
        </is>
      </c>
      <c r="M104" s="29" t="inlineStr">
        <is>
          <t>IRIS0393</t>
        </is>
      </c>
      <c r="N104" s="29" t="n">
        <v>18.3</v>
      </c>
      <c r="O104" s="29" t="n">
        <v>8.6</v>
      </c>
      <c r="P104" s="29" t="inlineStr">
        <is>
          <t>B.Com</t>
        </is>
      </c>
      <c r="Q104" s="29" t="inlineStr">
        <is>
          <t>L3 – Professional / Associate</t>
        </is>
      </c>
      <c r="R104" s="29" t="inlineStr">
        <is>
          <t>B1</t>
        </is>
      </c>
      <c r="S104" s="30" t="inlineStr">
        <is>
          <t>20 of 20</t>
        </is>
      </c>
      <c r="T104" s="31" t="inlineStr">
        <is>
          <t>• Role / sub-team: MCA and ESMA.</t>
        </is>
      </c>
      <c r="U10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4" s="31" t="inlineStr">
        <is>
          <t>Latest rating: 3 · Potential: Medium · 9-box: Core Contributor · Readiness: Develop in role</t>
        </is>
      </c>
      <c r="W104" s="31" t="inlineStr">
        <is>
          <t>C L · Au L · Ac M · L L · BI M · Exp H · 18.3 yrs vs 4–7 yrs · Edu M · B.Com</t>
        </is>
      </c>
      <c r="X104" s="33" t="inlineStr">
        <is>
          <t>Open ▸</t>
        </is>
      </c>
      <c r="Y104" s="34" t="str">
        <f>IFERROR(INDEX(DL_C,MATCH($CA104,DL_KEY,0)),"M")</f>
        <v>H</v>
      </c>
      <c r="Z104" s="35" t="str">
        <f>IFERROR(INDEX(DL_Au,MATCH($CA104,DL_KEY,0)),"M")</f>
        <v>M</v>
      </c>
      <c r="AA104" s="35" t="str">
        <f>IFERROR(INDEX(DL_Ac,MATCH($CA104,DL_KEY,0)),"M")</f>
        <v>M</v>
      </c>
      <c r="AB104" s="35" t="str">
        <f>IFERROR(INDEX(DL_L,MATCH($CA104,DL_KEY,0)),"M")</f>
        <v>M</v>
      </c>
      <c r="AC104" s="35" t="str">
        <f>IFERROR(INDEX(DL_BI,MATCH($CA104,DL_KEY,0)),"M")</f>
        <v>L</v>
      </c>
      <c r="AD104" s="35" t="str">
        <f>IFERROR(INDEX(DL_Exp,MATCH($CA104,DL_KEY,0)),"M")</f>
        <v>L</v>
      </c>
      <c r="AE104" s="35" t="str">
        <f>IFERROR(INDEX(DL_Edu,MATCH($CA104,DL_KEY,0)),"M")</f>
        <v>L</v>
      </c>
      <c r="AF104" s="34" t="inlineStr">
        <is>
          <t>M</t>
        </is>
      </c>
      <c r="AG104" s="35" t="inlineStr">
        <is>
          <t>M</t>
        </is>
      </c>
      <c r="AH104" s="35" t="inlineStr">
        <is>
          <t>M</t>
        </is>
      </c>
      <c r="AI104" s="35" t="inlineStr">
        <is>
          <t>M</t>
        </is>
      </c>
      <c r="AJ104" s="35" t="inlineStr">
        <is>
          <t>M</t>
        </is>
      </c>
      <c r="AK104" s="35" t="inlineStr">
        <is>
          <t>M</t>
        </is>
      </c>
      <c r="AL104" s="35" t="inlineStr">
        <is>
          <t>M</t>
        </is>
      </c>
      <c r="AM104" s="36" t="n">
        <v>0.37</v>
      </c>
      <c r="AN104" s="37" t="n">
        <v>0.183</v>
      </c>
      <c r="AO104" s="37" t="n">
        <v>0.113</v>
      </c>
      <c r="AP104" s="37" t="n">
        <v>0.15</v>
      </c>
      <c r="AQ104" s="37" t="n">
        <v>0.08699999999999999</v>
      </c>
      <c r="AR104" s="37" t="n">
        <v>0.06</v>
      </c>
      <c r="AS104" s="37" t="n">
        <v>0.04</v>
      </c>
      <c r="AT104" s="38" t="inlineStr">
        <is>
          <t>4–8</t>
        </is>
      </c>
      <c r="AU104" s="38" t="inlineStr">
        <is>
          <t>Graduate + relevant qualification or certification preferred</t>
        </is>
      </c>
      <c r="AV104" s="38" t="inlineStr">
        <is>
          <t>IC: none · Team Lead: 3–5</t>
        </is>
      </c>
      <c r="AW104" s="38" t="inlineStr">
        <is>
          <t>P3 / M2 · SFIA 4 Enable</t>
        </is>
      </c>
      <c r="AX1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4" s="39" t="inlineStr">
        <is>
          <t>B1</t>
        </is>
      </c>
      <c r="AZ104" s="40" t="inlineStr">
        <is>
          <t>Band B · Specialist / Manager · Team Lead / Asst Manager</t>
        </is>
      </c>
      <c r="BA104" s="40" t="inlineStr">
        <is>
          <t>Model B1 from the six ratings, the market-derived weights and rules R1–R13 · then No change · already below the manager</t>
        </is>
      </c>
      <c r="BB104" s="41" t="inlineStr">
        <is>
          <t>B1</t>
        </is>
      </c>
      <c r="BC104" s="40" t="inlineStr">
        <is>
          <t>The six ratings on the market-average weights of Band B · People Manager score 3.56 → B1 · Hay, Mercer IPE and public plans · experience 18.3 yrs vs the B1 market range 4–8</t>
        </is>
      </c>
      <c r="BD104" s="42">
        <f>IF(SUM(BM104,BN104,BO104,BP104,BQ104,BR104,BS104)=0,0,(BM104*BT104+BN104*BU104+BO104*BV104+BP104*BW104+BQ104*BX104+BR104*BY104+BS104*BZ104)/SUM(BM104,BN104,BO104,BP104,BQ104,BR104,BS104))</f>
        <v>0</v>
      </c>
      <c r="BE104" s="41" t="str">
        <f>IF(LEFT(AY104,1)="X",AY104,IF(OR(AY104="B+",AY104="C+"),INDEX(LAD_PC,MAX(1,MIN(14,MATCH(AY104,LAD_PC,0)+IF(BD104&gt;=0.5,1,IF(BD104&lt;=-0.5,-1,0))))),INDEX(LAD_STD,MAX(1,MIN(12,MATCH(AY104,LAD_STD,0)+IF(BD104&gt;=0.5,1,IF(BD104&lt;=-0.5,-1,0)))))))</f>
        <v>B1</v>
      </c>
      <c r="BF104" s="43" t="n"/>
      <c r="BG104" s="41" t="str">
        <f>IF(BF104&lt;&gt;"",BF104,BE104)</f>
        <v>B1</v>
      </c>
      <c r="BH104" s="40" t="str">
        <f>IFERROR(CHOOSE(INDEX(B_RANK,MATCH(BG104,B_LVL,0)),"Band A","Band B","B+ · Player-Coach","Band C","C+ · Player-Coach","Band D","Band E"),"Band X · Consultant")</f>
        <v>Band B</v>
      </c>
      <c r="BI104" s="40" t="str">
        <f>IF(BG104=AY104,"• Same",IF(INDEX(B_VAL,MATCH(BG104,B_LVL,0))&gt;INDEX(B_VAL,MATCH(AY104,B_LVL,0)),"▲ Up","▼ Down"))</f>
        <v>• Same</v>
      </c>
      <c r="BJ104" s="40" t="str">
        <f>IF(OR($M104="",$M104="—",$M104="Not in this file"),"",IFERROR(INDEX($BG$7:$BG$592,MATCH($M104,$D$7:$D$592,0)),""))</f>
        <v>B2</v>
      </c>
      <c r="BK104" s="40" t="str">
        <f>IFERROR(IF(BJ104="","—",IF(OR(LEFT(BG104,1)="X",LEFT(BJ104,1)="X"),"—",IF(AND(LEFT(BG104,1)="E",LEFT(BJ104,1)="E"),"Exception · Band E",IF(AND(INDEX(B_VAL,MATCH(BJ104,B_LVL,0))&gt;=7,INDEX(B_RANK,MATCH(BG104,B_LVL,0))&gt;=INDEX(B_RANK,MATCH(BJ104,B_LVL,0))),"⚠ Same band as a head manager",IF(INDEX(B_VAL,MATCH(BG104,B_LVL,0))&gt;=INDEX(B_VAL,MATCH(BJ104,B_LVL,0)),"⚠ At or above the manager's level","OK"))))),"—")</f>
        <v>OK</v>
      </c>
      <c r="BL104" s="43" t="n"/>
      <c r="BM104" s="44">
        <f>IFERROR(INDEX(LMH_PTS,MATCH(Y104,LMH_KEY,0)),0)</f>
        <v>9</v>
      </c>
      <c r="BN104" s="38">
        <f>IFERROR(INDEX(LMH_PTS,MATCH(Z104,LMH_KEY,0)),0)</f>
        <v>3</v>
      </c>
      <c r="BO104" s="38">
        <f>IFERROR(INDEX(LMH_PTS,MATCH(AA104,LMH_KEY,0)),0)</f>
        <v>3</v>
      </c>
      <c r="BP104" s="38">
        <f>IFERROR(INDEX(LMH_PTS,MATCH(AB104,LMH_KEY,0)),0)</f>
        <v>3</v>
      </c>
      <c r="BQ104" s="38">
        <f>IFERROR(INDEX(LMH_PTS,MATCH(AC104,LMH_KEY,0)),0)</f>
        <v>1</v>
      </c>
      <c r="BR104" s="38">
        <f>IFERROR(INDEX(LMH_PTS,MATCH(AD104,LMH_KEY,0)),0)</f>
        <v>1</v>
      </c>
      <c r="BS104" s="38">
        <f>IFERROR(INDEX(LMH_PTS,MATCH(AE104,LMH_KEY,0)),0)</f>
        <v>1</v>
      </c>
      <c r="BT104" s="38">
        <f>IFERROR(INDEX(LMH_STEP,MATCH(AF104,LMH_KEY,0)),0)</f>
        <v>0</v>
      </c>
      <c r="BU104" s="38">
        <f>IFERROR(INDEX(LMH_STEP,MATCH(AG104,LMH_KEY,0)),0)</f>
        <v>0</v>
      </c>
      <c r="BV104" s="38">
        <f>IFERROR(INDEX(LMH_STEP,MATCH(AH104,LMH_KEY,0)),0)</f>
        <v>0</v>
      </c>
      <c r="BW104" s="38">
        <f>IFERROR(INDEX(LMH_STEP,MATCH(AI104,LMH_KEY,0)),0)</f>
        <v>0</v>
      </c>
      <c r="BX104" s="38">
        <f>IFERROR(INDEX(LMH_STEP,MATCH(AJ104,LMH_KEY,0)),0)</f>
        <v>0</v>
      </c>
      <c r="BY104" s="38">
        <f>IFERROR(INDEX(LMH_STEP,MATCH(AK104,LMH_KEY,0)),0)</f>
        <v>0</v>
      </c>
      <c r="BZ104" s="38">
        <f>IFERROR(INDEX(LMH_STEP,MATCH(AL104,LMH_KEY,0)),0)</f>
        <v>0</v>
      </c>
      <c r="CA104" s="38" t="inlineStr">
        <is>
          <t>CARBON|Services|Team Lead – Assisted Services|B1|B-M</t>
        </is>
      </c>
    </row>
    <row r="105" ht="110" customHeight="1">
      <c r="A105" s="28" t="inlineStr">
        <is>
          <t>CARBON</t>
        </is>
      </c>
      <c r="B105" s="29" t="inlineStr">
        <is>
          <t>Services</t>
        </is>
      </c>
      <c r="C105" s="29" t="n">
        <v>7</v>
      </c>
      <c r="D105" s="29" t="inlineStr">
        <is>
          <t>IRIS0574</t>
        </is>
      </c>
      <c r="E105" s="29" t="inlineStr">
        <is>
          <t>Sandeep Dhere</t>
        </is>
      </c>
      <c r="F105" s="29" t="inlineStr">
        <is>
          <t>Senior Financial Analyst</t>
        </is>
      </c>
      <c r="G105" s="29" t="inlineStr">
        <is>
          <t>XBRL Specialist</t>
        </is>
      </c>
      <c r="H105" s="29" t="inlineStr">
        <is>
          <t>Consulting &amp; Professional Services</t>
        </is>
      </c>
      <c r="I105" s="29" t="inlineStr">
        <is>
          <t>XBRL Tagging, Conversion &amp; Filing</t>
        </is>
      </c>
      <c r="J105" s="29" t="inlineStr">
        <is>
          <t>IC</t>
        </is>
      </c>
      <c r="K105" s="29" t="inlineStr">
        <is>
          <t>RC-026</t>
        </is>
      </c>
      <c r="L105" s="29" t="inlineStr">
        <is>
          <t>Lalita Waghmare</t>
        </is>
      </c>
      <c r="M105" s="29" t="inlineStr">
        <is>
          <t>IRIS1705</t>
        </is>
      </c>
      <c r="N105" s="29" t="n">
        <v>15.5</v>
      </c>
      <c r="O105" s="29" t="n">
        <v>15.5</v>
      </c>
      <c r="P105" s="29" t="inlineStr">
        <is>
          <t>B.Com</t>
        </is>
      </c>
      <c r="Q105" s="29" t="inlineStr">
        <is>
          <t>L4 – Senior</t>
        </is>
      </c>
      <c r="R105" s="29" t="inlineStr">
        <is>
          <t>B1</t>
        </is>
      </c>
      <c r="S105" s="30" t="inlineStr">
        <is>
          <t>20 of 20</t>
        </is>
      </c>
      <c r="T105" s="31" t="inlineStr">
        <is>
          <t>• Role / sub-team: Xbrl tagging in EU and MCA.</t>
        </is>
      </c>
      <c r="U10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5" s="31" t="inlineStr">
        <is>
          <t>Latest rating: 3 · Potential: Medium · 9-box: Core Contributor · Readiness: Develop in role</t>
        </is>
      </c>
      <c r="W105" s="31" t="inlineStr">
        <is>
          <t>C M · Au M · Ac M · L L · BI M · Exp H · 15.5 yrs vs 2–4 yrs · Edu M · B.Com</t>
        </is>
      </c>
      <c r="X105" s="33" t="inlineStr">
        <is>
          <t>Open ▸</t>
        </is>
      </c>
      <c r="Y105" s="34" t="str">
        <f>IFERROR(INDEX(DL_C,MATCH($CA105,DL_KEY,0)),"M")</f>
        <v>H</v>
      </c>
      <c r="Z105" s="35" t="str">
        <f>IFERROR(INDEX(DL_Au,MATCH($CA105,DL_KEY,0)),"M")</f>
        <v>M</v>
      </c>
      <c r="AA105" s="35" t="str">
        <f>IFERROR(INDEX(DL_Ac,MATCH($CA105,DL_KEY,0)),"M")</f>
        <v>M</v>
      </c>
      <c r="AB105" s="35" t="str">
        <f>IFERROR(INDEX(DL_L,MATCH($CA105,DL_KEY,0)),"M")</f>
        <v>L</v>
      </c>
      <c r="AC105" s="35" t="str">
        <f>IFERROR(INDEX(DL_BI,MATCH($CA105,DL_KEY,0)),"M")</f>
        <v>L</v>
      </c>
      <c r="AD105" s="35" t="str">
        <f>IFERROR(INDEX(DL_Exp,MATCH($CA105,DL_KEY,0)),"M")</f>
        <v>L</v>
      </c>
      <c r="AE105" s="35" t="str">
        <f>IFERROR(INDEX(DL_Edu,MATCH($CA105,DL_KEY,0)),"M")</f>
        <v>L</v>
      </c>
      <c r="AF105" s="34" t="inlineStr">
        <is>
          <t>M</t>
        </is>
      </c>
      <c r="AG105" s="35" t="inlineStr">
        <is>
          <t>M</t>
        </is>
      </c>
      <c r="AH105" s="35" t="inlineStr">
        <is>
          <t>M</t>
        </is>
      </c>
      <c r="AI105" s="35" t="inlineStr">
        <is>
          <t>M</t>
        </is>
      </c>
      <c r="AJ105" s="35" t="inlineStr">
        <is>
          <t>M</t>
        </is>
      </c>
      <c r="AK105" s="35" t="inlineStr">
        <is>
          <t>M</t>
        </is>
      </c>
      <c r="AL105" s="35" t="inlineStr">
        <is>
          <t>M</t>
        </is>
      </c>
      <c r="AM105" s="36" t="n">
        <v>0.583</v>
      </c>
      <c r="AN105" s="37" t="n">
        <v>0.16</v>
      </c>
      <c r="AO105" s="37" t="n">
        <v>0.09</v>
      </c>
      <c r="AP105" s="37" t="n">
        <v>0</v>
      </c>
      <c r="AQ105" s="37" t="n">
        <v>0.063</v>
      </c>
      <c r="AR105" s="37" t="n">
        <v>0.06</v>
      </c>
      <c r="AS105" s="37" t="n">
        <v>0.04</v>
      </c>
      <c r="AT105" s="38" t="inlineStr">
        <is>
          <t>2–5</t>
        </is>
      </c>
      <c r="AU105" s="38" t="inlineStr">
        <is>
          <t>Graduate; relevant certification preferred</t>
        </is>
      </c>
      <c r="AV105" s="38" t="inlineStr">
        <is>
          <t>None · guides 1–3 juniors informally</t>
        </is>
      </c>
      <c r="AW105" s="38" t="inlineStr">
        <is>
          <t>P2 · SFIA 3 Apply</t>
        </is>
      </c>
      <c r="AX1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5" s="39" t="inlineStr">
        <is>
          <t>A3</t>
        </is>
      </c>
      <c r="AZ105" s="40" t="inlineStr">
        <is>
          <t>Band A · Practitioner · Senior Associate</t>
        </is>
      </c>
      <c r="BA105" s="40" t="inlineStr">
        <is>
          <t>Model B1 from the six ratings, the market-derived weights and rules R1–R13 · then Level rule: manager B1; a reportee sits at least one level below · B1 → A3 · move down · pay and title protected for one cycle</t>
        </is>
      </c>
      <c r="BB105" s="41" t="inlineStr">
        <is>
          <t>B1</t>
        </is>
      </c>
      <c r="BC105" s="40" t="inlineStr">
        <is>
          <t>The six ratings on the market-average weights of Band A · all tracks score 3.58 → B1 · Hay, Mercer IPE and public plans · experience 15.5 yrs vs the B1 market range 4–8</t>
        </is>
      </c>
      <c r="BD105" s="42">
        <f>IF(SUM(BM105,BN105,BO105,BP105,BQ105,BR105,BS105)=0,0,(BM105*BT105+BN105*BU105+BO105*BV105+BP105*BW105+BQ105*BX105+BR105*BY105+BS105*BZ105)/SUM(BM105,BN105,BO105,BP105,BQ105,BR105,BS105))</f>
        <v>0</v>
      </c>
      <c r="BE105" s="41" t="str">
        <f>IF(LEFT(AY105,1)="X",AY105,IF(OR(AY105="B+",AY105="C+"),INDEX(LAD_PC,MAX(1,MIN(14,MATCH(AY105,LAD_PC,0)+IF(BD105&gt;=0.5,1,IF(BD105&lt;=-0.5,-1,0))))),INDEX(LAD_STD,MAX(1,MIN(12,MATCH(AY105,LAD_STD,0)+IF(BD105&gt;=0.5,1,IF(BD105&lt;=-0.5,-1,0)))))))</f>
        <v>A3</v>
      </c>
      <c r="BF105" s="43" t="n"/>
      <c r="BG105" s="41" t="str">
        <f>IF(BF105&lt;&gt;"",BF105,BE105)</f>
        <v>A3</v>
      </c>
      <c r="BH105" s="40" t="str">
        <f>IFERROR(CHOOSE(INDEX(B_RANK,MATCH(BG105,B_LVL,0)),"Band A","Band B","B+ · Player-Coach","Band C","C+ · Player-Coach","Band D","Band E"),"Band X · Consultant")</f>
        <v>Band A</v>
      </c>
      <c r="BI105" s="40" t="str">
        <f>IF(BG105=AY105,"• Same",IF(INDEX(B_VAL,MATCH(BG105,B_LVL,0))&gt;INDEX(B_VAL,MATCH(AY105,B_LVL,0)),"▲ Up","▼ Down"))</f>
        <v>• Same</v>
      </c>
      <c r="BJ105" s="40" t="str">
        <f>IF(OR($M105="",$M105="—",$M105="Not in this file"),"",IFERROR(INDEX($BG$7:$BG$592,MATCH($M105,$D$7:$D$592,0)),""))</f>
        <v>B1</v>
      </c>
      <c r="BK105" s="40" t="str">
        <f>IFERROR(IF(BJ105="","—",IF(OR(LEFT(BG105,1)="X",LEFT(BJ105,1)="X"),"—",IF(AND(LEFT(BG105,1)="E",LEFT(BJ105,1)="E"),"Exception · Band E",IF(AND(INDEX(B_VAL,MATCH(BJ105,B_LVL,0))&gt;=7,INDEX(B_RANK,MATCH(BG105,B_LVL,0))&gt;=INDEX(B_RANK,MATCH(BJ105,B_LVL,0))),"⚠ Same band as a head manager",IF(INDEX(B_VAL,MATCH(BG105,B_LVL,0))&gt;=INDEX(B_VAL,MATCH(BJ105,B_LVL,0)),"⚠ At or above the manager's level","OK"))))),"—")</f>
        <v>OK</v>
      </c>
      <c r="BL105" s="43" t="n"/>
      <c r="BM105" s="44">
        <f>IFERROR(INDEX(LMH_PTS,MATCH(Y105,LMH_KEY,0)),0)</f>
        <v>9</v>
      </c>
      <c r="BN105" s="38">
        <f>IFERROR(INDEX(LMH_PTS,MATCH(Z105,LMH_KEY,0)),0)</f>
        <v>3</v>
      </c>
      <c r="BO105" s="38">
        <f>IFERROR(INDEX(LMH_PTS,MATCH(AA105,LMH_KEY,0)),0)</f>
        <v>3</v>
      </c>
      <c r="BP105" s="38">
        <f>IFERROR(INDEX(LMH_PTS,MATCH(AB105,LMH_KEY,0)),0)</f>
        <v>1</v>
      </c>
      <c r="BQ105" s="38">
        <f>IFERROR(INDEX(LMH_PTS,MATCH(AC105,LMH_KEY,0)),0)</f>
        <v>1</v>
      </c>
      <c r="BR105" s="38">
        <f>IFERROR(INDEX(LMH_PTS,MATCH(AD105,LMH_KEY,0)),0)</f>
        <v>1</v>
      </c>
      <c r="BS105" s="38">
        <f>IFERROR(INDEX(LMH_PTS,MATCH(AE105,LMH_KEY,0)),0)</f>
        <v>1</v>
      </c>
      <c r="BT105" s="38">
        <f>IFERROR(INDEX(LMH_STEP,MATCH(AF105,LMH_KEY,0)),0)</f>
        <v>0</v>
      </c>
      <c r="BU105" s="38">
        <f>IFERROR(INDEX(LMH_STEP,MATCH(AG105,LMH_KEY,0)),0)</f>
        <v>0</v>
      </c>
      <c r="BV105" s="38">
        <f>IFERROR(INDEX(LMH_STEP,MATCH(AH105,LMH_KEY,0)),0)</f>
        <v>0</v>
      </c>
      <c r="BW105" s="38">
        <f>IFERROR(INDEX(LMH_STEP,MATCH(AI105,LMH_KEY,0)),0)</f>
        <v>0</v>
      </c>
      <c r="BX105" s="38">
        <f>IFERROR(INDEX(LMH_STEP,MATCH(AJ105,LMH_KEY,0)),0)</f>
        <v>0</v>
      </c>
      <c r="BY105" s="38">
        <f>IFERROR(INDEX(LMH_STEP,MATCH(AK105,LMH_KEY,0)),0)</f>
        <v>0</v>
      </c>
      <c r="BZ105" s="38">
        <f>IFERROR(INDEX(LMH_STEP,MATCH(AL105,LMH_KEY,0)),0)</f>
        <v>0</v>
      </c>
      <c r="CA105" s="38" t="inlineStr">
        <is>
          <t>CARBON|Services|XBRL Specialist|A3|A</t>
        </is>
      </c>
    </row>
    <row r="106" ht="110" customHeight="1">
      <c r="A106" s="28" t="inlineStr">
        <is>
          <t>CARBON</t>
        </is>
      </c>
      <c r="B106" s="29" t="inlineStr">
        <is>
          <t>Services</t>
        </is>
      </c>
      <c r="C106" s="29" t="n">
        <v>7</v>
      </c>
      <c r="D106" s="29" t="inlineStr">
        <is>
          <t>IRIS1703</t>
        </is>
      </c>
      <c r="E106" s="29" t="inlineStr">
        <is>
          <t>Atul Paradkar</t>
        </is>
      </c>
      <c r="F106" s="29" t="inlineStr">
        <is>
          <t>Financial Analyst</t>
        </is>
      </c>
      <c r="G106" s="29" t="inlineStr">
        <is>
          <t>Senior Financial Analyst</t>
        </is>
      </c>
      <c r="H106" s="29" t="inlineStr">
        <is>
          <t>Consulting &amp; Professional Services</t>
        </is>
      </c>
      <c r="I106" s="29" t="inlineStr">
        <is>
          <t>XBRL Tagging, Conversion &amp; Filing</t>
        </is>
      </c>
      <c r="J106" s="29" t="inlineStr">
        <is>
          <t>IC</t>
        </is>
      </c>
      <c r="K106" s="29" t="inlineStr">
        <is>
          <t>RC-025</t>
        </is>
      </c>
      <c r="L106" s="29" t="inlineStr">
        <is>
          <t>Lalita Waghmare</t>
        </is>
      </c>
      <c r="M106" s="29" t="inlineStr">
        <is>
          <t>IRIS1705</t>
        </is>
      </c>
      <c r="N106" s="29" t="n">
        <v>17.3</v>
      </c>
      <c r="O106" s="29" t="n">
        <v>8.699999999999999</v>
      </c>
      <c r="P106" s="29" t="inlineStr">
        <is>
          <t>PGDM</t>
        </is>
      </c>
      <c r="Q106" s="29" t="inlineStr">
        <is>
          <t>L3 – Professional / Associate</t>
        </is>
      </c>
      <c r="R106" s="29" t="inlineStr">
        <is>
          <t>A3</t>
        </is>
      </c>
      <c r="S106" s="30" t="inlineStr">
        <is>
          <t>19 of 20</t>
        </is>
      </c>
      <c r="T106" s="31" t="inlineStr">
        <is>
          <t>• Role / sub-team: Xbrl conversion service.</t>
        </is>
      </c>
      <c r="U10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6" s="31" t="inlineStr">
        <is>
          <t>Latest rating: 3 · Potential: Medium · 9-box: Core Contributor · Readiness: Develop in role</t>
        </is>
      </c>
      <c r="W106" s="31" t="inlineStr">
        <is>
          <t>C M · Au L · Ac M · L L · BI M · Exp H · 17.3 yrs vs 2–4 yrs · Edu H · PGDM</t>
        </is>
      </c>
      <c r="X106" s="33" t="inlineStr">
        <is>
          <t>Open ▸</t>
        </is>
      </c>
      <c r="Y106" s="34" t="str">
        <f>IFERROR(INDEX(DL_C,MATCH($CA106,DL_KEY,0)),"M")</f>
        <v>H</v>
      </c>
      <c r="Z106" s="35" t="str">
        <f>IFERROR(INDEX(DL_Au,MATCH($CA106,DL_KEY,0)),"M")</f>
        <v>M</v>
      </c>
      <c r="AA106" s="35" t="str">
        <f>IFERROR(INDEX(DL_Ac,MATCH($CA106,DL_KEY,0)),"M")</f>
        <v>M</v>
      </c>
      <c r="AB106" s="35" t="str">
        <f>IFERROR(INDEX(DL_L,MATCH($CA106,DL_KEY,0)),"M")</f>
        <v>L</v>
      </c>
      <c r="AC106" s="35" t="str">
        <f>IFERROR(INDEX(DL_BI,MATCH($CA106,DL_KEY,0)),"M")</f>
        <v>L</v>
      </c>
      <c r="AD106" s="35" t="str">
        <f>IFERROR(INDEX(DL_Exp,MATCH($CA106,DL_KEY,0)),"M")</f>
        <v>L</v>
      </c>
      <c r="AE106" s="35" t="str">
        <f>IFERROR(INDEX(DL_Edu,MATCH($CA106,DL_KEY,0)),"M")</f>
        <v>L</v>
      </c>
      <c r="AF106" s="34" t="inlineStr">
        <is>
          <t>M</t>
        </is>
      </c>
      <c r="AG106" s="35" t="inlineStr">
        <is>
          <t>M</t>
        </is>
      </c>
      <c r="AH106" s="35" t="inlineStr">
        <is>
          <t>M</t>
        </is>
      </c>
      <c r="AI106" s="35" t="inlineStr">
        <is>
          <t>M</t>
        </is>
      </c>
      <c r="AJ106" s="35" t="inlineStr">
        <is>
          <t>M</t>
        </is>
      </c>
      <c r="AK106" s="35" t="inlineStr">
        <is>
          <t>M</t>
        </is>
      </c>
      <c r="AL106" s="35" t="inlineStr">
        <is>
          <t>M</t>
        </is>
      </c>
      <c r="AM106" s="36" t="n">
        <v>0.583</v>
      </c>
      <c r="AN106" s="37" t="n">
        <v>0.16</v>
      </c>
      <c r="AO106" s="37" t="n">
        <v>0.09</v>
      </c>
      <c r="AP106" s="37" t="n">
        <v>0</v>
      </c>
      <c r="AQ106" s="37" t="n">
        <v>0.063</v>
      </c>
      <c r="AR106" s="37" t="n">
        <v>0.06</v>
      </c>
      <c r="AS106" s="37" t="n">
        <v>0.04</v>
      </c>
      <c r="AT106" s="38" t="inlineStr">
        <is>
          <t>2–5</t>
        </is>
      </c>
      <c r="AU106" s="38" t="inlineStr">
        <is>
          <t>Graduate; relevant certification preferred</t>
        </is>
      </c>
      <c r="AV106" s="38" t="inlineStr">
        <is>
          <t>None · guides 1–3 juniors informally</t>
        </is>
      </c>
      <c r="AW106" s="38" t="inlineStr">
        <is>
          <t>P2 · SFIA 3 Apply</t>
        </is>
      </c>
      <c r="AX1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6" s="39" t="inlineStr">
        <is>
          <t>A3</t>
        </is>
      </c>
      <c r="AZ106" s="40" t="inlineStr">
        <is>
          <t>Band A · Practitioner · Senior Associate</t>
        </is>
      </c>
      <c r="BA106" s="40" t="inlineStr">
        <is>
          <t>Model A3 from the six ratings, the market-derived weights and rules R1–R13 · then No change · already below the manager</t>
        </is>
      </c>
      <c r="BB106" s="41" t="inlineStr">
        <is>
          <t>A3</t>
        </is>
      </c>
      <c r="BC106" s="40" t="inlineStr">
        <is>
          <t>The six ratings on the market-average weights of Band A · all tracks score 3.15 → A3 · Hay, Mercer IPE and public plans · experience 17.3 yrs vs the A3 market range 2–5</t>
        </is>
      </c>
      <c r="BD106" s="42">
        <f>IF(SUM(BM106,BN106,BO106,BP106,BQ106,BR106,BS106)=0,0,(BM106*BT106+BN106*BU106+BO106*BV106+BP106*BW106+BQ106*BX106+BR106*BY106+BS106*BZ106)/SUM(BM106,BN106,BO106,BP106,BQ106,BR106,BS106))</f>
        <v>0</v>
      </c>
      <c r="BE106" s="41" t="str">
        <f>IF(LEFT(AY106,1)="X",AY106,IF(OR(AY106="B+",AY106="C+"),INDEX(LAD_PC,MAX(1,MIN(14,MATCH(AY106,LAD_PC,0)+IF(BD106&gt;=0.5,1,IF(BD106&lt;=-0.5,-1,0))))),INDEX(LAD_STD,MAX(1,MIN(12,MATCH(AY106,LAD_STD,0)+IF(BD106&gt;=0.5,1,IF(BD106&lt;=-0.5,-1,0)))))))</f>
        <v>A3</v>
      </c>
      <c r="BF106" s="43" t="n"/>
      <c r="BG106" s="41" t="str">
        <f>IF(BF106&lt;&gt;"",BF106,BE106)</f>
        <v>A3</v>
      </c>
      <c r="BH106" s="40" t="str">
        <f>IFERROR(CHOOSE(INDEX(B_RANK,MATCH(BG106,B_LVL,0)),"Band A","Band B","B+ · Player-Coach","Band C","C+ · Player-Coach","Band D","Band E"),"Band X · Consultant")</f>
        <v>Band A</v>
      </c>
      <c r="BI106" s="40" t="str">
        <f>IF(BG106=AY106,"• Same",IF(INDEX(B_VAL,MATCH(BG106,B_LVL,0))&gt;INDEX(B_VAL,MATCH(AY106,B_LVL,0)),"▲ Up","▼ Down"))</f>
        <v>• Same</v>
      </c>
      <c r="BJ106" s="40" t="str">
        <f>IF(OR($M106="",$M106="—",$M106="Not in this file"),"",IFERROR(INDEX($BG$7:$BG$592,MATCH($M106,$D$7:$D$592,0)),""))</f>
        <v>B1</v>
      </c>
      <c r="BK106" s="40" t="str">
        <f>IFERROR(IF(BJ106="","—",IF(OR(LEFT(BG106,1)="X",LEFT(BJ106,1)="X"),"—",IF(AND(LEFT(BG106,1)="E",LEFT(BJ106,1)="E"),"Exception · Band E",IF(AND(INDEX(B_VAL,MATCH(BJ106,B_LVL,0))&gt;=7,INDEX(B_RANK,MATCH(BG106,B_LVL,0))&gt;=INDEX(B_RANK,MATCH(BJ106,B_LVL,0))),"⚠ Same band as a head manager",IF(INDEX(B_VAL,MATCH(BG106,B_LVL,0))&gt;=INDEX(B_VAL,MATCH(BJ106,B_LVL,0)),"⚠ At or above the manager's level","OK"))))),"—")</f>
        <v>OK</v>
      </c>
      <c r="BL106" s="43" t="n"/>
      <c r="BM106" s="44">
        <f>IFERROR(INDEX(LMH_PTS,MATCH(Y106,LMH_KEY,0)),0)</f>
        <v>9</v>
      </c>
      <c r="BN106" s="38">
        <f>IFERROR(INDEX(LMH_PTS,MATCH(Z106,LMH_KEY,0)),0)</f>
        <v>3</v>
      </c>
      <c r="BO106" s="38">
        <f>IFERROR(INDEX(LMH_PTS,MATCH(AA106,LMH_KEY,0)),0)</f>
        <v>3</v>
      </c>
      <c r="BP106" s="38">
        <f>IFERROR(INDEX(LMH_PTS,MATCH(AB106,LMH_KEY,0)),0)</f>
        <v>1</v>
      </c>
      <c r="BQ106" s="38">
        <f>IFERROR(INDEX(LMH_PTS,MATCH(AC106,LMH_KEY,0)),0)</f>
        <v>1</v>
      </c>
      <c r="BR106" s="38">
        <f>IFERROR(INDEX(LMH_PTS,MATCH(AD106,LMH_KEY,0)),0)</f>
        <v>1</v>
      </c>
      <c r="BS106" s="38">
        <f>IFERROR(INDEX(LMH_PTS,MATCH(AE106,LMH_KEY,0)),0)</f>
        <v>1</v>
      </c>
      <c r="BT106" s="38">
        <f>IFERROR(INDEX(LMH_STEP,MATCH(AF106,LMH_KEY,0)),0)</f>
        <v>0</v>
      </c>
      <c r="BU106" s="38">
        <f>IFERROR(INDEX(LMH_STEP,MATCH(AG106,LMH_KEY,0)),0)</f>
        <v>0</v>
      </c>
      <c r="BV106" s="38">
        <f>IFERROR(INDEX(LMH_STEP,MATCH(AH106,LMH_KEY,0)),0)</f>
        <v>0</v>
      </c>
      <c r="BW106" s="38">
        <f>IFERROR(INDEX(LMH_STEP,MATCH(AI106,LMH_KEY,0)),0)</f>
        <v>0</v>
      </c>
      <c r="BX106" s="38">
        <f>IFERROR(INDEX(LMH_STEP,MATCH(AJ106,LMH_KEY,0)),0)</f>
        <v>0</v>
      </c>
      <c r="BY106" s="38">
        <f>IFERROR(INDEX(LMH_STEP,MATCH(AK106,LMH_KEY,0)),0)</f>
        <v>0</v>
      </c>
      <c r="BZ106" s="38">
        <f>IFERROR(INDEX(LMH_STEP,MATCH(AL106,LMH_KEY,0)),0)</f>
        <v>0</v>
      </c>
      <c r="CA106" s="38" t="inlineStr">
        <is>
          <t>CARBON|Services|Senior Financial Analyst|A3|A</t>
        </is>
      </c>
    </row>
    <row r="107" ht="110" customHeight="1">
      <c r="A107" s="28" t="inlineStr">
        <is>
          <t>CARBON</t>
        </is>
      </c>
      <c r="B107" s="29" t="inlineStr">
        <is>
          <t>Services</t>
        </is>
      </c>
      <c r="C107" s="29" t="n">
        <v>7</v>
      </c>
      <c r="D107" s="29" t="inlineStr">
        <is>
          <t>IRISC267</t>
        </is>
      </c>
      <c r="E107" s="29" t="inlineStr">
        <is>
          <t>Chaitali Chatterjee</t>
        </is>
      </c>
      <c r="F107" s="29" t="inlineStr">
        <is>
          <t>Consultant</t>
        </is>
      </c>
      <c r="G107" s="29" t="inlineStr">
        <is>
          <t>Senior Financial Analyst</t>
        </is>
      </c>
      <c r="H107" s="29" t="inlineStr">
        <is>
          <t>Consulting &amp; Professional Services</t>
        </is>
      </c>
      <c r="I107" s="29" t="inlineStr">
        <is>
          <t>XBRL Tagging, Conversion &amp; Filing</t>
        </is>
      </c>
      <c r="J107" s="29" t="inlineStr">
        <is>
          <t>IC</t>
        </is>
      </c>
      <c r="K107" s="29" t="inlineStr">
        <is>
          <t>RC-025</t>
        </is>
      </c>
      <c r="L107" s="29" t="inlineStr">
        <is>
          <t>Lalita Waghmare</t>
        </is>
      </c>
      <c r="M107" s="29" t="inlineStr">
        <is>
          <t>IRIS1705</t>
        </is>
      </c>
      <c r="N107" s="29" t="n">
        <v>11.3</v>
      </c>
      <c r="O107" s="29" t="n">
        <v>3.1</v>
      </c>
      <c r="P107" s="29" t="inlineStr">
        <is>
          <t>B.Com</t>
        </is>
      </c>
      <c r="Q107" s="29" t="inlineStr">
        <is>
          <t>L3 – Professional / Associate</t>
        </is>
      </c>
      <c r="R107" s="29" t="inlineStr">
        <is>
          <t>A3</t>
        </is>
      </c>
      <c r="S107" s="30" t="inlineStr">
        <is>
          <t>0 of 20</t>
        </is>
      </c>
      <c r="T107" s="31" t="inlineStr">
        <is>
          <t>Business Impact: Moved +0.5: the survey / manager mapping marks it business-critical.</t>
        </is>
      </c>
      <c r="U10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7" s="31" t="inlineStr">
        <is>
          <t>Latest rating: Not rated · manager · 9-box: Not placed · manager · Readiness: No rating data</t>
        </is>
      </c>
      <c r="W107" s="31" t="inlineStr">
        <is>
          <t>C M · Au M · Ac M · L L · BI M · Exp H · 11.3 yrs vs 2–4 yrs · Edu M · B.Com</t>
        </is>
      </c>
      <c r="X107" s="33" t="inlineStr">
        <is>
          <t>Open ▸</t>
        </is>
      </c>
      <c r="Y107" s="34" t="str">
        <f>IFERROR(INDEX(DL_C,MATCH($CA107,DL_KEY,0)),"M")</f>
        <v>H</v>
      </c>
      <c r="Z107" s="35" t="str">
        <f>IFERROR(INDEX(DL_Au,MATCH($CA107,DL_KEY,0)),"M")</f>
        <v>M</v>
      </c>
      <c r="AA107" s="35" t="str">
        <f>IFERROR(INDEX(DL_Ac,MATCH($CA107,DL_KEY,0)),"M")</f>
        <v>M</v>
      </c>
      <c r="AB107" s="35" t="str">
        <f>IFERROR(INDEX(DL_L,MATCH($CA107,DL_KEY,0)),"M")</f>
        <v>L</v>
      </c>
      <c r="AC107" s="35" t="str">
        <f>IFERROR(INDEX(DL_BI,MATCH($CA107,DL_KEY,0)),"M")</f>
        <v>L</v>
      </c>
      <c r="AD107" s="35" t="str">
        <f>IFERROR(INDEX(DL_Exp,MATCH($CA107,DL_KEY,0)),"M")</f>
        <v>L</v>
      </c>
      <c r="AE107" s="35" t="str">
        <f>IFERROR(INDEX(DL_Edu,MATCH($CA107,DL_KEY,0)),"M")</f>
        <v>L</v>
      </c>
      <c r="AF107" s="34" t="inlineStr">
        <is>
          <t>M</t>
        </is>
      </c>
      <c r="AG107" s="35" t="inlineStr">
        <is>
          <t>M</t>
        </is>
      </c>
      <c r="AH107" s="35" t="inlineStr">
        <is>
          <t>M</t>
        </is>
      </c>
      <c r="AI107" s="35" t="inlineStr">
        <is>
          <t>M</t>
        </is>
      </c>
      <c r="AJ107" s="35" t="inlineStr">
        <is>
          <t>M</t>
        </is>
      </c>
      <c r="AK107" s="35" t="inlineStr">
        <is>
          <t>M</t>
        </is>
      </c>
      <c r="AL107" s="35" t="inlineStr">
        <is>
          <t>M</t>
        </is>
      </c>
      <c r="AM107" s="36" t="n">
        <v>0.583</v>
      </c>
      <c r="AN107" s="37" t="n">
        <v>0.16</v>
      </c>
      <c r="AO107" s="37" t="n">
        <v>0.09</v>
      </c>
      <c r="AP107" s="37" t="n">
        <v>0</v>
      </c>
      <c r="AQ107" s="37" t="n">
        <v>0.063</v>
      </c>
      <c r="AR107" s="37" t="n">
        <v>0.06</v>
      </c>
      <c r="AS107" s="37" t="n">
        <v>0.04</v>
      </c>
      <c r="AT107" s="38" t="inlineStr">
        <is>
          <t>2–5</t>
        </is>
      </c>
      <c r="AU107" s="38" t="inlineStr">
        <is>
          <t>Graduate; relevant certification preferred</t>
        </is>
      </c>
      <c r="AV107" s="38" t="inlineStr">
        <is>
          <t>None · guides 1–3 juniors informally</t>
        </is>
      </c>
      <c r="AW107" s="38" t="inlineStr">
        <is>
          <t>P2 · SFIA 3 Apply</t>
        </is>
      </c>
      <c r="AX1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7" s="39" t="inlineStr">
        <is>
          <t>A3</t>
        </is>
      </c>
      <c r="AZ107" s="40" t="inlineStr">
        <is>
          <t>Band A · Practitioner · Senior Associate</t>
        </is>
      </c>
      <c r="BA107" s="40" t="inlineStr">
        <is>
          <t>Model A3 from the six ratings, the market-derived weights and rules R1–R13 · then No change · already below the manager</t>
        </is>
      </c>
      <c r="BB107" s="41" t="inlineStr">
        <is>
          <t>A3</t>
        </is>
      </c>
      <c r="BC107" s="40" t="inlineStr">
        <is>
          <t>The six ratings on the market-average weights of Band A · all tracks score 2.93 → A3 · Hay, Mercer IPE and public plans · experience 11.3 yrs vs the A3 market range 2–5</t>
        </is>
      </c>
      <c r="BD107" s="42">
        <f>IF(SUM(BM107,BN107,BO107,BP107,BQ107,BR107,BS107)=0,0,(BM107*BT107+BN107*BU107+BO107*BV107+BP107*BW107+BQ107*BX107+BR107*BY107+BS107*BZ107)/SUM(BM107,BN107,BO107,BP107,BQ107,BR107,BS107))</f>
        <v>0</v>
      </c>
      <c r="BE107" s="41" t="str">
        <f>IF(LEFT(AY107,1)="X",AY107,IF(OR(AY107="B+",AY107="C+"),INDEX(LAD_PC,MAX(1,MIN(14,MATCH(AY107,LAD_PC,0)+IF(BD107&gt;=0.5,1,IF(BD107&lt;=-0.5,-1,0))))),INDEX(LAD_STD,MAX(1,MIN(12,MATCH(AY107,LAD_STD,0)+IF(BD107&gt;=0.5,1,IF(BD107&lt;=-0.5,-1,0)))))))</f>
        <v>A3</v>
      </c>
      <c r="BF107" s="43" t="n"/>
      <c r="BG107" s="41" t="str">
        <f>IF(BF107&lt;&gt;"",BF107,BE107)</f>
        <v>A3</v>
      </c>
      <c r="BH107" s="40" t="str">
        <f>IFERROR(CHOOSE(INDEX(B_RANK,MATCH(BG107,B_LVL,0)),"Band A","Band B","B+ · Player-Coach","Band C","C+ · Player-Coach","Band D","Band E"),"Band X · Consultant")</f>
        <v>Band A</v>
      </c>
      <c r="BI107" s="40" t="str">
        <f>IF(BG107=AY107,"• Same",IF(INDEX(B_VAL,MATCH(BG107,B_LVL,0))&gt;INDEX(B_VAL,MATCH(AY107,B_LVL,0)),"▲ Up","▼ Down"))</f>
        <v>• Same</v>
      </c>
      <c r="BJ107" s="40" t="str">
        <f>IF(OR($M107="",$M107="—",$M107="Not in this file"),"",IFERROR(INDEX($BG$7:$BG$592,MATCH($M107,$D$7:$D$592,0)),""))</f>
        <v>B1</v>
      </c>
      <c r="BK107" s="40" t="str">
        <f>IFERROR(IF(BJ107="","—",IF(OR(LEFT(BG107,1)="X",LEFT(BJ107,1)="X"),"—",IF(AND(LEFT(BG107,1)="E",LEFT(BJ107,1)="E"),"Exception · Band E",IF(AND(INDEX(B_VAL,MATCH(BJ107,B_LVL,0))&gt;=7,INDEX(B_RANK,MATCH(BG107,B_LVL,0))&gt;=INDEX(B_RANK,MATCH(BJ107,B_LVL,0))),"⚠ Same band as a head manager",IF(INDEX(B_VAL,MATCH(BG107,B_LVL,0))&gt;=INDEX(B_VAL,MATCH(BJ107,B_LVL,0)),"⚠ At or above the manager's level","OK"))))),"—")</f>
        <v>OK</v>
      </c>
      <c r="BL107" s="43" t="n"/>
      <c r="BM107" s="44">
        <f>IFERROR(INDEX(LMH_PTS,MATCH(Y107,LMH_KEY,0)),0)</f>
        <v>9</v>
      </c>
      <c r="BN107" s="38">
        <f>IFERROR(INDEX(LMH_PTS,MATCH(Z107,LMH_KEY,0)),0)</f>
        <v>3</v>
      </c>
      <c r="BO107" s="38">
        <f>IFERROR(INDEX(LMH_PTS,MATCH(AA107,LMH_KEY,0)),0)</f>
        <v>3</v>
      </c>
      <c r="BP107" s="38">
        <f>IFERROR(INDEX(LMH_PTS,MATCH(AB107,LMH_KEY,0)),0)</f>
        <v>1</v>
      </c>
      <c r="BQ107" s="38">
        <f>IFERROR(INDEX(LMH_PTS,MATCH(AC107,LMH_KEY,0)),0)</f>
        <v>1</v>
      </c>
      <c r="BR107" s="38">
        <f>IFERROR(INDEX(LMH_PTS,MATCH(AD107,LMH_KEY,0)),0)</f>
        <v>1</v>
      </c>
      <c r="BS107" s="38">
        <f>IFERROR(INDEX(LMH_PTS,MATCH(AE107,LMH_KEY,0)),0)</f>
        <v>1</v>
      </c>
      <c r="BT107" s="38">
        <f>IFERROR(INDEX(LMH_STEP,MATCH(AF107,LMH_KEY,0)),0)</f>
        <v>0</v>
      </c>
      <c r="BU107" s="38">
        <f>IFERROR(INDEX(LMH_STEP,MATCH(AG107,LMH_KEY,0)),0)</f>
        <v>0</v>
      </c>
      <c r="BV107" s="38">
        <f>IFERROR(INDEX(LMH_STEP,MATCH(AH107,LMH_KEY,0)),0)</f>
        <v>0</v>
      </c>
      <c r="BW107" s="38">
        <f>IFERROR(INDEX(LMH_STEP,MATCH(AI107,LMH_KEY,0)),0)</f>
        <v>0</v>
      </c>
      <c r="BX107" s="38">
        <f>IFERROR(INDEX(LMH_STEP,MATCH(AJ107,LMH_KEY,0)),0)</f>
        <v>0</v>
      </c>
      <c r="BY107" s="38">
        <f>IFERROR(INDEX(LMH_STEP,MATCH(AK107,LMH_KEY,0)),0)</f>
        <v>0</v>
      </c>
      <c r="BZ107" s="38">
        <f>IFERROR(INDEX(LMH_STEP,MATCH(AL107,LMH_KEY,0)),0)</f>
        <v>0</v>
      </c>
      <c r="CA107" s="38" t="inlineStr">
        <is>
          <t>CARBON|Services|Senior Financial Analyst|A3|A</t>
        </is>
      </c>
    </row>
    <row r="108" ht="110" customHeight="1">
      <c r="A108" s="28" t="inlineStr">
        <is>
          <t>CARBON</t>
        </is>
      </c>
      <c r="B108" s="29" t="inlineStr">
        <is>
          <t>Services</t>
        </is>
      </c>
      <c r="C108" s="29" t="n">
        <v>7</v>
      </c>
      <c r="D108" s="29" t="inlineStr">
        <is>
          <t>IRIS1247</t>
        </is>
      </c>
      <c r="E108" s="29" t="inlineStr">
        <is>
          <t>Sushma Shinde</t>
        </is>
      </c>
      <c r="F108" s="29" t="inlineStr">
        <is>
          <t>Financial Analyst</t>
        </is>
      </c>
      <c r="G108" s="29" t="inlineStr">
        <is>
          <t>Senior Financial Analyst</t>
        </is>
      </c>
      <c r="H108" s="29" t="inlineStr">
        <is>
          <t>Consulting &amp; Professional Services</t>
        </is>
      </c>
      <c r="I108" s="29" t="inlineStr">
        <is>
          <t>XBRL Tagging, Conversion &amp; Filing</t>
        </is>
      </c>
      <c r="J108" s="29" t="inlineStr">
        <is>
          <t>IC</t>
        </is>
      </c>
      <c r="K108" s="29" t="inlineStr">
        <is>
          <t>RC-025</t>
        </is>
      </c>
      <c r="L108" s="29" t="inlineStr">
        <is>
          <t>Lalita Waghmare</t>
        </is>
      </c>
      <c r="M108" s="29" t="inlineStr">
        <is>
          <t>IRIS1705</t>
        </is>
      </c>
      <c r="N108" s="29" t="n">
        <v>14.1</v>
      </c>
      <c r="O108" s="29" t="n">
        <v>14.1</v>
      </c>
      <c r="P108" s="29" t="inlineStr">
        <is>
          <t>M.Com</t>
        </is>
      </c>
      <c r="Q108" s="29" t="inlineStr">
        <is>
          <t>L3 – Professional / Associate</t>
        </is>
      </c>
      <c r="R108" s="29" t="inlineStr">
        <is>
          <t>A3</t>
        </is>
      </c>
      <c r="S108" s="30" t="inlineStr">
        <is>
          <t>18 of 20</t>
        </is>
      </c>
      <c r="T108" s="31" t="inlineStr">
        <is>
          <t>• Role / sub-team: Tagging Analyst</t>
        </is>
      </c>
      <c r="U10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8" s="31" t="inlineStr">
        <is>
          <t>Latest rating: 5 · Potential: High · 9-box: Emerging Talent · Readiness: Ready now</t>
        </is>
      </c>
      <c r="W108" s="31" t="inlineStr">
        <is>
          <t>C M · Au L · Ac M · L L · BI M · Exp H · 14.1 yrs vs 2–4 yrs · Edu H · M.Com</t>
        </is>
      </c>
      <c r="X108" s="33" t="inlineStr">
        <is>
          <t>Open ▸</t>
        </is>
      </c>
      <c r="Y108" s="34" t="str">
        <f>IFERROR(INDEX(DL_C,MATCH($CA108,DL_KEY,0)),"M")</f>
        <v>H</v>
      </c>
      <c r="Z108" s="35" t="str">
        <f>IFERROR(INDEX(DL_Au,MATCH($CA108,DL_KEY,0)),"M")</f>
        <v>M</v>
      </c>
      <c r="AA108" s="35" t="str">
        <f>IFERROR(INDEX(DL_Ac,MATCH($CA108,DL_KEY,0)),"M")</f>
        <v>M</v>
      </c>
      <c r="AB108" s="35" t="str">
        <f>IFERROR(INDEX(DL_L,MATCH($CA108,DL_KEY,0)),"M")</f>
        <v>L</v>
      </c>
      <c r="AC108" s="35" t="str">
        <f>IFERROR(INDEX(DL_BI,MATCH($CA108,DL_KEY,0)),"M")</f>
        <v>L</v>
      </c>
      <c r="AD108" s="35" t="str">
        <f>IFERROR(INDEX(DL_Exp,MATCH($CA108,DL_KEY,0)),"M")</f>
        <v>L</v>
      </c>
      <c r="AE108" s="35" t="str">
        <f>IFERROR(INDEX(DL_Edu,MATCH($CA108,DL_KEY,0)),"M")</f>
        <v>L</v>
      </c>
      <c r="AF108" s="34" t="inlineStr">
        <is>
          <t>M</t>
        </is>
      </c>
      <c r="AG108" s="35" t="inlineStr">
        <is>
          <t>M</t>
        </is>
      </c>
      <c r="AH108" s="35" t="inlineStr">
        <is>
          <t>M</t>
        </is>
      </c>
      <c r="AI108" s="35" t="inlineStr">
        <is>
          <t>M</t>
        </is>
      </c>
      <c r="AJ108" s="35" t="inlineStr">
        <is>
          <t>M</t>
        </is>
      </c>
      <c r="AK108" s="35" t="inlineStr">
        <is>
          <t>M</t>
        </is>
      </c>
      <c r="AL108" s="35" t="inlineStr">
        <is>
          <t>M</t>
        </is>
      </c>
      <c r="AM108" s="36" t="n">
        <v>0.583</v>
      </c>
      <c r="AN108" s="37" t="n">
        <v>0.16</v>
      </c>
      <c r="AO108" s="37" t="n">
        <v>0.09</v>
      </c>
      <c r="AP108" s="37" t="n">
        <v>0</v>
      </c>
      <c r="AQ108" s="37" t="n">
        <v>0.063</v>
      </c>
      <c r="AR108" s="37" t="n">
        <v>0.06</v>
      </c>
      <c r="AS108" s="37" t="n">
        <v>0.04</v>
      </c>
      <c r="AT108" s="38" t="inlineStr">
        <is>
          <t>2–5</t>
        </is>
      </c>
      <c r="AU108" s="38" t="inlineStr">
        <is>
          <t>Graduate; relevant certification preferred</t>
        </is>
      </c>
      <c r="AV108" s="38" t="inlineStr">
        <is>
          <t>None · guides 1–3 juniors informally</t>
        </is>
      </c>
      <c r="AW108" s="38" t="inlineStr">
        <is>
          <t>P2 · SFIA 3 Apply</t>
        </is>
      </c>
      <c r="AX1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8" s="39" t="inlineStr">
        <is>
          <t>A3</t>
        </is>
      </c>
      <c r="AZ108" s="40" t="inlineStr">
        <is>
          <t>Band A · Practitioner · Senior Associate</t>
        </is>
      </c>
      <c r="BA108" s="40" t="inlineStr">
        <is>
          <t>Model A3 from the six ratings, the market-derived weights and rules R1–R13 · then No change · already below the manager</t>
        </is>
      </c>
      <c r="BB108" s="41" t="inlineStr">
        <is>
          <t>A3</t>
        </is>
      </c>
      <c r="BC108" s="40" t="inlineStr">
        <is>
          <t>The six ratings on the market-average weights of Band A · all tracks score 3.05 → A3 · Hay, Mercer IPE and public plans · experience 14.1 yrs vs the A3 market range 2–5</t>
        </is>
      </c>
      <c r="BD108" s="42">
        <f>IF(SUM(BM108,BN108,BO108,BP108,BQ108,BR108,BS108)=0,0,(BM108*BT108+BN108*BU108+BO108*BV108+BP108*BW108+BQ108*BX108+BR108*BY108+BS108*BZ108)/SUM(BM108,BN108,BO108,BP108,BQ108,BR108,BS108))</f>
        <v>0</v>
      </c>
      <c r="BE108" s="41" t="str">
        <f>IF(LEFT(AY108,1)="X",AY108,IF(OR(AY108="B+",AY108="C+"),INDEX(LAD_PC,MAX(1,MIN(14,MATCH(AY108,LAD_PC,0)+IF(BD108&gt;=0.5,1,IF(BD108&lt;=-0.5,-1,0))))),INDEX(LAD_STD,MAX(1,MIN(12,MATCH(AY108,LAD_STD,0)+IF(BD108&gt;=0.5,1,IF(BD108&lt;=-0.5,-1,0)))))))</f>
        <v>A3</v>
      </c>
      <c r="BF108" s="43" t="n"/>
      <c r="BG108" s="41" t="str">
        <f>IF(BF108&lt;&gt;"",BF108,BE108)</f>
        <v>A3</v>
      </c>
      <c r="BH108" s="40" t="str">
        <f>IFERROR(CHOOSE(INDEX(B_RANK,MATCH(BG108,B_LVL,0)),"Band A","Band B","B+ · Player-Coach","Band C","C+ · Player-Coach","Band D","Band E"),"Band X · Consultant")</f>
        <v>Band A</v>
      </c>
      <c r="BI108" s="40" t="str">
        <f>IF(BG108=AY108,"• Same",IF(INDEX(B_VAL,MATCH(BG108,B_LVL,0))&gt;INDEX(B_VAL,MATCH(AY108,B_LVL,0)),"▲ Up","▼ Down"))</f>
        <v>• Same</v>
      </c>
      <c r="BJ108" s="40" t="str">
        <f>IF(OR($M108="",$M108="—",$M108="Not in this file"),"",IFERROR(INDEX($BG$7:$BG$592,MATCH($M108,$D$7:$D$592,0)),""))</f>
        <v>B1</v>
      </c>
      <c r="BK108" s="40" t="str">
        <f>IFERROR(IF(BJ108="","—",IF(OR(LEFT(BG108,1)="X",LEFT(BJ108,1)="X"),"—",IF(AND(LEFT(BG108,1)="E",LEFT(BJ108,1)="E"),"Exception · Band E",IF(AND(INDEX(B_VAL,MATCH(BJ108,B_LVL,0))&gt;=7,INDEX(B_RANK,MATCH(BG108,B_LVL,0))&gt;=INDEX(B_RANK,MATCH(BJ108,B_LVL,0))),"⚠ Same band as a head manager",IF(INDEX(B_VAL,MATCH(BG108,B_LVL,0))&gt;=INDEX(B_VAL,MATCH(BJ108,B_LVL,0)),"⚠ At or above the manager's level","OK"))))),"—")</f>
        <v>OK</v>
      </c>
      <c r="BL108" s="43" t="n"/>
      <c r="BM108" s="44">
        <f>IFERROR(INDEX(LMH_PTS,MATCH(Y108,LMH_KEY,0)),0)</f>
        <v>9</v>
      </c>
      <c r="BN108" s="38">
        <f>IFERROR(INDEX(LMH_PTS,MATCH(Z108,LMH_KEY,0)),0)</f>
        <v>3</v>
      </c>
      <c r="BO108" s="38">
        <f>IFERROR(INDEX(LMH_PTS,MATCH(AA108,LMH_KEY,0)),0)</f>
        <v>3</v>
      </c>
      <c r="BP108" s="38">
        <f>IFERROR(INDEX(LMH_PTS,MATCH(AB108,LMH_KEY,0)),0)</f>
        <v>1</v>
      </c>
      <c r="BQ108" s="38">
        <f>IFERROR(INDEX(LMH_PTS,MATCH(AC108,LMH_KEY,0)),0)</f>
        <v>1</v>
      </c>
      <c r="BR108" s="38">
        <f>IFERROR(INDEX(LMH_PTS,MATCH(AD108,LMH_KEY,0)),0)</f>
        <v>1</v>
      </c>
      <c r="BS108" s="38">
        <f>IFERROR(INDEX(LMH_PTS,MATCH(AE108,LMH_KEY,0)),0)</f>
        <v>1</v>
      </c>
      <c r="BT108" s="38">
        <f>IFERROR(INDEX(LMH_STEP,MATCH(AF108,LMH_KEY,0)),0)</f>
        <v>0</v>
      </c>
      <c r="BU108" s="38">
        <f>IFERROR(INDEX(LMH_STEP,MATCH(AG108,LMH_KEY,0)),0)</f>
        <v>0</v>
      </c>
      <c r="BV108" s="38">
        <f>IFERROR(INDEX(LMH_STEP,MATCH(AH108,LMH_KEY,0)),0)</f>
        <v>0</v>
      </c>
      <c r="BW108" s="38">
        <f>IFERROR(INDEX(LMH_STEP,MATCH(AI108,LMH_KEY,0)),0)</f>
        <v>0</v>
      </c>
      <c r="BX108" s="38">
        <f>IFERROR(INDEX(LMH_STEP,MATCH(AJ108,LMH_KEY,0)),0)</f>
        <v>0</v>
      </c>
      <c r="BY108" s="38">
        <f>IFERROR(INDEX(LMH_STEP,MATCH(AK108,LMH_KEY,0)),0)</f>
        <v>0</v>
      </c>
      <c r="BZ108" s="38">
        <f>IFERROR(INDEX(LMH_STEP,MATCH(AL108,LMH_KEY,0)),0)</f>
        <v>0</v>
      </c>
      <c r="CA108" s="38" t="inlineStr">
        <is>
          <t>CARBON|Services|Senior Financial Analyst|A3|A</t>
        </is>
      </c>
    </row>
    <row r="109" ht="110" customHeight="1">
      <c r="A109" s="28" t="inlineStr">
        <is>
          <t>CARBON</t>
        </is>
      </c>
      <c r="B109" s="29" t="inlineStr">
        <is>
          <t>Services</t>
        </is>
      </c>
      <c r="C109" s="29" t="n">
        <v>6</v>
      </c>
      <c r="D109" s="29" t="inlineStr">
        <is>
          <t>IRIS1704</t>
        </is>
      </c>
      <c r="E109" s="29" t="inlineStr">
        <is>
          <t>Lucy Fernandes</t>
        </is>
      </c>
      <c r="F109" s="29" t="inlineStr">
        <is>
          <t>Senior Financial Analyst</t>
        </is>
      </c>
      <c r="G109" s="29" t="inlineStr">
        <is>
          <t>XBRL Specialist – POD Lead</t>
        </is>
      </c>
      <c r="H109" s="29" t="inlineStr">
        <is>
          <t>Consulting &amp; Professional Services</t>
        </is>
      </c>
      <c r="I109" s="29" t="inlineStr">
        <is>
          <t>XBRL Tagging, Conversion &amp; Filing</t>
        </is>
      </c>
      <c r="J109" s="29" t="inlineStr">
        <is>
          <t>POD Lead</t>
        </is>
      </c>
      <c r="K109" s="29" t="inlineStr">
        <is>
          <t>RC-026</t>
        </is>
      </c>
      <c r="L109" s="29" t="inlineStr">
        <is>
          <t>Mayur Zope</t>
        </is>
      </c>
      <c r="M109" s="29" t="inlineStr">
        <is>
          <t>IRIS0393</t>
        </is>
      </c>
      <c r="N109" s="29" t="n">
        <v>14.8</v>
      </c>
      <c r="O109" s="29" t="n">
        <v>8.699999999999999</v>
      </c>
      <c r="P109" s="29" t="inlineStr">
        <is>
          <t>MBA</t>
        </is>
      </c>
      <c r="Q109" s="29" t="inlineStr">
        <is>
          <t>L4 – Senior</t>
        </is>
      </c>
      <c r="R109" s="29" t="inlineStr">
        <is>
          <t>B1</t>
        </is>
      </c>
      <c r="S109" s="30" t="inlineStr">
        <is>
          <t>20 of 20</t>
        </is>
      </c>
      <c r="T109" s="31" t="inlineStr">
        <is>
          <t>• Role / sub-team: Mca and esma.</t>
        </is>
      </c>
      <c r="U10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9" s="31" t="inlineStr">
        <is>
          <t>Latest rating: 4 · Potential: High · 9-box: Core Contributor · Readiness: Ready now</t>
        </is>
      </c>
      <c r="W109" s="31" t="inlineStr">
        <is>
          <t>C L · Au L · Ac L · L L · BI M · Exp H · 14.8 yrs vs 4–7 yrs · Edu H · MBA</t>
        </is>
      </c>
      <c r="X109" s="33" t="inlineStr">
        <is>
          <t>Open ▸</t>
        </is>
      </c>
      <c r="Y109" s="34" t="str">
        <f>IFERROR(INDEX(DL_C,MATCH($CA109,DL_KEY,0)),"M")</f>
        <v>H</v>
      </c>
      <c r="Z109" s="35" t="str">
        <f>IFERROR(INDEX(DL_Au,MATCH($CA109,DL_KEY,0)),"M")</f>
        <v>M</v>
      </c>
      <c r="AA109" s="35" t="str">
        <f>IFERROR(INDEX(DL_Ac,MATCH($CA109,DL_KEY,0)),"M")</f>
        <v>M</v>
      </c>
      <c r="AB109" s="35" t="str">
        <f>IFERROR(INDEX(DL_L,MATCH($CA109,DL_KEY,0)),"M")</f>
        <v>L</v>
      </c>
      <c r="AC109" s="35" t="str">
        <f>IFERROR(INDEX(DL_BI,MATCH($CA109,DL_KEY,0)),"M")</f>
        <v>L</v>
      </c>
      <c r="AD109" s="35" t="str">
        <f>IFERROR(INDEX(DL_Exp,MATCH($CA109,DL_KEY,0)),"M")</f>
        <v>L</v>
      </c>
      <c r="AE109" s="35" t="str">
        <f>IFERROR(INDEX(DL_Edu,MATCH($CA109,DL_KEY,0)),"M")</f>
        <v>L</v>
      </c>
      <c r="AF109" s="34" t="inlineStr">
        <is>
          <t>M</t>
        </is>
      </c>
      <c r="AG109" s="35" t="inlineStr">
        <is>
          <t>M</t>
        </is>
      </c>
      <c r="AH109" s="35" t="inlineStr">
        <is>
          <t>M</t>
        </is>
      </c>
      <c r="AI109" s="35" t="inlineStr">
        <is>
          <t>M</t>
        </is>
      </c>
      <c r="AJ109" s="35" t="inlineStr">
        <is>
          <t>M</t>
        </is>
      </c>
      <c r="AK109" s="35" t="inlineStr">
        <is>
          <t>M</t>
        </is>
      </c>
      <c r="AL109" s="35" t="inlineStr">
        <is>
          <t>M</t>
        </is>
      </c>
      <c r="AM109" s="36" t="n">
        <v>0.513</v>
      </c>
      <c r="AN109" s="37" t="n">
        <v>0.173</v>
      </c>
      <c r="AO109" s="37" t="n">
        <v>0.09699999999999999</v>
      </c>
      <c r="AP109" s="37" t="n">
        <v>0.05</v>
      </c>
      <c r="AQ109" s="37" t="n">
        <v>0.07000000000000001</v>
      </c>
      <c r="AR109" s="37" t="n">
        <v>0.06</v>
      </c>
      <c r="AS109" s="37" t="n">
        <v>0.04</v>
      </c>
      <c r="AT109" s="38" t="inlineStr">
        <is>
          <t>4–8</t>
        </is>
      </c>
      <c r="AU109" s="38" t="inlineStr">
        <is>
          <t>Graduate + relevant qualification or certification preferred</t>
        </is>
      </c>
      <c r="AV109" s="38" t="inlineStr">
        <is>
          <t>IC: none · Team Lead: 3–5</t>
        </is>
      </c>
      <c r="AW109" s="38" t="inlineStr">
        <is>
          <t>P3 / M2 · SFIA 4 Enable</t>
        </is>
      </c>
      <c r="AX1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9" s="39" t="inlineStr">
        <is>
          <t>B1</t>
        </is>
      </c>
      <c r="AZ109" s="40" t="inlineStr">
        <is>
          <t>Band B · Specialist / Manager · Team Lead / Asst Manager</t>
        </is>
      </c>
      <c r="BA109" s="40" t="inlineStr">
        <is>
          <t>Model B1 from the six ratings, the market-derived weights and rules R1–R13 · then No change · already below the manager</t>
        </is>
      </c>
      <c r="BB109" s="41" t="inlineStr">
        <is>
          <t>B1</t>
        </is>
      </c>
      <c r="BC109" s="40" t="inlineStr">
        <is>
          <t>The six ratings on the market-average weights of Band B · Specialist / POD Lead score 3.56 → B1 · Hay, Mercer IPE and public plans · experience 14.8 yrs vs the B1 market range 4–8</t>
        </is>
      </c>
      <c r="BD109" s="42">
        <f>IF(SUM(BM109,BN109,BO109,BP109,BQ109,BR109,BS109)=0,0,(BM109*BT109+BN109*BU109+BO109*BV109+BP109*BW109+BQ109*BX109+BR109*BY109+BS109*BZ109)/SUM(BM109,BN109,BO109,BP109,BQ109,BR109,BS109))</f>
        <v>0</v>
      </c>
      <c r="BE109" s="41" t="str">
        <f>IF(LEFT(AY109,1)="X",AY109,IF(OR(AY109="B+",AY109="C+"),INDEX(LAD_PC,MAX(1,MIN(14,MATCH(AY109,LAD_PC,0)+IF(BD109&gt;=0.5,1,IF(BD109&lt;=-0.5,-1,0))))),INDEX(LAD_STD,MAX(1,MIN(12,MATCH(AY109,LAD_STD,0)+IF(BD109&gt;=0.5,1,IF(BD109&lt;=-0.5,-1,0)))))))</f>
        <v>B1</v>
      </c>
      <c r="BF109" s="43" t="n"/>
      <c r="BG109" s="41" t="str">
        <f>IF(BF109&lt;&gt;"",BF109,BE109)</f>
        <v>B1</v>
      </c>
      <c r="BH109" s="40" t="str">
        <f>IFERROR(CHOOSE(INDEX(B_RANK,MATCH(BG109,B_LVL,0)),"Band A","Band B","B+ · Player-Coach","Band C","C+ · Player-Coach","Band D","Band E"),"Band X · Consultant")</f>
        <v>Band B</v>
      </c>
      <c r="BI109" s="40" t="str">
        <f>IF(BG109=AY109,"• Same",IF(INDEX(B_VAL,MATCH(BG109,B_LVL,0))&gt;INDEX(B_VAL,MATCH(AY109,B_LVL,0)),"▲ Up","▼ Down"))</f>
        <v>• Same</v>
      </c>
      <c r="BJ109" s="40" t="str">
        <f>IF(OR($M109="",$M109="—",$M109="Not in this file"),"",IFERROR(INDEX($BG$7:$BG$592,MATCH($M109,$D$7:$D$592,0)),""))</f>
        <v>B2</v>
      </c>
      <c r="BK109" s="40" t="str">
        <f>IFERROR(IF(BJ109="","—",IF(OR(LEFT(BG109,1)="X",LEFT(BJ109,1)="X"),"—",IF(AND(LEFT(BG109,1)="E",LEFT(BJ109,1)="E"),"Exception · Band E",IF(AND(INDEX(B_VAL,MATCH(BJ109,B_LVL,0))&gt;=7,INDEX(B_RANK,MATCH(BG109,B_LVL,0))&gt;=INDEX(B_RANK,MATCH(BJ109,B_LVL,0))),"⚠ Same band as a head manager",IF(INDEX(B_VAL,MATCH(BG109,B_LVL,0))&gt;=INDEX(B_VAL,MATCH(BJ109,B_LVL,0)),"⚠ At or above the manager's level","OK"))))),"—")</f>
        <v>OK</v>
      </c>
      <c r="BL109" s="43" t="n"/>
      <c r="BM109" s="44">
        <f>IFERROR(INDEX(LMH_PTS,MATCH(Y109,LMH_KEY,0)),0)</f>
        <v>9</v>
      </c>
      <c r="BN109" s="38">
        <f>IFERROR(INDEX(LMH_PTS,MATCH(Z109,LMH_KEY,0)),0)</f>
        <v>3</v>
      </c>
      <c r="BO109" s="38">
        <f>IFERROR(INDEX(LMH_PTS,MATCH(AA109,LMH_KEY,0)),0)</f>
        <v>3</v>
      </c>
      <c r="BP109" s="38">
        <f>IFERROR(INDEX(LMH_PTS,MATCH(AB109,LMH_KEY,0)),0)</f>
        <v>1</v>
      </c>
      <c r="BQ109" s="38">
        <f>IFERROR(INDEX(LMH_PTS,MATCH(AC109,LMH_KEY,0)),0)</f>
        <v>1</v>
      </c>
      <c r="BR109" s="38">
        <f>IFERROR(INDEX(LMH_PTS,MATCH(AD109,LMH_KEY,0)),0)</f>
        <v>1</v>
      </c>
      <c r="BS109" s="38">
        <f>IFERROR(INDEX(LMH_PTS,MATCH(AE109,LMH_KEY,0)),0)</f>
        <v>1</v>
      </c>
      <c r="BT109" s="38">
        <f>IFERROR(INDEX(LMH_STEP,MATCH(AF109,LMH_KEY,0)),0)</f>
        <v>0</v>
      </c>
      <c r="BU109" s="38">
        <f>IFERROR(INDEX(LMH_STEP,MATCH(AG109,LMH_KEY,0)),0)</f>
        <v>0</v>
      </c>
      <c r="BV109" s="38">
        <f>IFERROR(INDEX(LMH_STEP,MATCH(AH109,LMH_KEY,0)),0)</f>
        <v>0</v>
      </c>
      <c r="BW109" s="38">
        <f>IFERROR(INDEX(LMH_STEP,MATCH(AI109,LMH_KEY,0)),0)</f>
        <v>0</v>
      </c>
      <c r="BX109" s="38">
        <f>IFERROR(INDEX(LMH_STEP,MATCH(AJ109,LMH_KEY,0)),0)</f>
        <v>0</v>
      </c>
      <c r="BY109" s="38">
        <f>IFERROR(INDEX(LMH_STEP,MATCH(AK109,LMH_KEY,0)),0)</f>
        <v>0</v>
      </c>
      <c r="BZ109" s="38">
        <f>IFERROR(INDEX(LMH_STEP,MATCH(AL109,LMH_KEY,0)),0)</f>
        <v>0</v>
      </c>
      <c r="CA109" s="38" t="inlineStr">
        <is>
          <t>CARBON|Services|XBRL Specialist – POD Lead|B1|B-IC</t>
        </is>
      </c>
    </row>
    <row r="110" ht="110" customHeight="1">
      <c r="A110" s="28" t="inlineStr">
        <is>
          <t>CARBON</t>
        </is>
      </c>
      <c r="B110" s="29" t="inlineStr">
        <is>
          <t>Services</t>
        </is>
      </c>
      <c r="C110" s="29" t="n">
        <v>7</v>
      </c>
      <c r="D110" s="29" t="inlineStr">
        <is>
          <t>IRISC265</t>
        </is>
      </c>
      <c r="E110" s="29" t="inlineStr">
        <is>
          <t>Roshni Surve</t>
        </is>
      </c>
      <c r="F110" s="29" t="inlineStr">
        <is>
          <t>Consultant</t>
        </is>
      </c>
      <c r="G110" s="29" t="inlineStr">
        <is>
          <t>Senior Financial Analyst</t>
        </is>
      </c>
      <c r="H110" s="29" t="inlineStr">
        <is>
          <t>Consulting &amp; Professional Services</t>
        </is>
      </c>
      <c r="I110" s="29" t="inlineStr">
        <is>
          <t>XBRL Tagging, Conversion &amp; Filing</t>
        </is>
      </c>
      <c r="J110" s="29" t="inlineStr">
        <is>
          <t>IC</t>
        </is>
      </c>
      <c r="K110" s="29" t="inlineStr">
        <is>
          <t>RC-025</t>
        </is>
      </c>
      <c r="L110" s="29" t="inlineStr">
        <is>
          <t>Lucy Fernandes</t>
        </is>
      </c>
      <c r="M110" s="29" t="inlineStr">
        <is>
          <t>IRIS1704</t>
        </is>
      </c>
      <c r="N110" s="29" t="n">
        <v>3.3</v>
      </c>
      <c r="O110" s="29" t="n">
        <v>3.3</v>
      </c>
      <c r="P110" s="29" t="inlineStr">
        <is>
          <t>B.Com</t>
        </is>
      </c>
      <c r="Q110" s="29" t="inlineStr">
        <is>
          <t>L3 – Professional / Associate</t>
        </is>
      </c>
      <c r="R110" s="29" t="inlineStr">
        <is>
          <t>A3</t>
        </is>
      </c>
      <c r="S110" s="30" t="inlineStr">
        <is>
          <t>20 of 20</t>
        </is>
      </c>
      <c r="T110" s="31" t="inlineStr">
        <is>
          <t>• Role / sub-team: Xbrl tagging in EU and MCA.</t>
        </is>
      </c>
      <c r="U11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10" s="31" t="inlineStr">
        <is>
          <t>Latest rating: 4 · Potential: High · 9-box: Core Contributor · Readiness: Ready now</t>
        </is>
      </c>
      <c r="W110" s="31" t="inlineStr">
        <is>
          <t>C M · Au M · Ac M · L L · BI M · Exp M · 3.3 yrs vs 2–4 yrs · Edu M · B.Com</t>
        </is>
      </c>
      <c r="X110" s="33" t="inlineStr">
        <is>
          <t>Open ▸</t>
        </is>
      </c>
      <c r="Y110" s="34" t="str">
        <f>IFERROR(INDEX(DL_C,MATCH($CA110,DL_KEY,0)),"M")</f>
        <v>H</v>
      </c>
      <c r="Z110" s="35" t="str">
        <f>IFERROR(INDEX(DL_Au,MATCH($CA110,DL_KEY,0)),"M")</f>
        <v>M</v>
      </c>
      <c r="AA110" s="35" t="str">
        <f>IFERROR(INDEX(DL_Ac,MATCH($CA110,DL_KEY,0)),"M")</f>
        <v>M</v>
      </c>
      <c r="AB110" s="35" t="str">
        <f>IFERROR(INDEX(DL_L,MATCH($CA110,DL_KEY,0)),"M")</f>
        <v>L</v>
      </c>
      <c r="AC110" s="35" t="str">
        <f>IFERROR(INDEX(DL_BI,MATCH($CA110,DL_KEY,0)),"M")</f>
        <v>L</v>
      </c>
      <c r="AD110" s="35" t="str">
        <f>IFERROR(INDEX(DL_Exp,MATCH($CA110,DL_KEY,0)),"M")</f>
        <v>L</v>
      </c>
      <c r="AE110" s="35" t="str">
        <f>IFERROR(INDEX(DL_Edu,MATCH($CA110,DL_KEY,0)),"M")</f>
        <v>L</v>
      </c>
      <c r="AF110" s="34" t="inlineStr">
        <is>
          <t>M</t>
        </is>
      </c>
      <c r="AG110" s="35" t="inlineStr">
        <is>
          <t>M</t>
        </is>
      </c>
      <c r="AH110" s="35" t="inlineStr">
        <is>
          <t>M</t>
        </is>
      </c>
      <c r="AI110" s="35" t="inlineStr">
        <is>
          <t>M</t>
        </is>
      </c>
      <c r="AJ110" s="35" t="inlineStr">
        <is>
          <t>M</t>
        </is>
      </c>
      <c r="AK110" s="35" t="inlineStr">
        <is>
          <t>M</t>
        </is>
      </c>
      <c r="AL110" s="35" t="inlineStr">
        <is>
          <t>M</t>
        </is>
      </c>
      <c r="AM110" s="36" t="n">
        <v>0.583</v>
      </c>
      <c r="AN110" s="37" t="n">
        <v>0.16</v>
      </c>
      <c r="AO110" s="37" t="n">
        <v>0.09</v>
      </c>
      <c r="AP110" s="37" t="n">
        <v>0</v>
      </c>
      <c r="AQ110" s="37" t="n">
        <v>0.063</v>
      </c>
      <c r="AR110" s="37" t="n">
        <v>0.06</v>
      </c>
      <c r="AS110" s="37" t="n">
        <v>0.04</v>
      </c>
      <c r="AT110" s="38" t="inlineStr">
        <is>
          <t>2–5</t>
        </is>
      </c>
      <c r="AU110" s="38" t="inlineStr">
        <is>
          <t>Graduate; relevant certification preferred</t>
        </is>
      </c>
      <c r="AV110" s="38" t="inlineStr">
        <is>
          <t>None · guides 1–3 juniors informally</t>
        </is>
      </c>
      <c r="AW110" s="38" t="inlineStr">
        <is>
          <t>P2 · SFIA 3 Apply</t>
        </is>
      </c>
      <c r="AX1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0" s="39" t="inlineStr">
        <is>
          <t>A3</t>
        </is>
      </c>
      <c r="AZ110" s="40" t="inlineStr">
        <is>
          <t>Band A · Practitioner · Senior Associate</t>
        </is>
      </c>
      <c r="BA110" s="40" t="inlineStr">
        <is>
          <t>Model A3 from the six ratings, the market-derived weights and rules R1–R13 · then No change · already below the manager</t>
        </is>
      </c>
      <c r="BB110" s="41" t="inlineStr">
        <is>
          <t>A3</t>
        </is>
      </c>
      <c r="BC110" s="40" t="inlineStr">
        <is>
          <t>The six ratings on the market-average weights of Band A · all tracks score 2.58 → A3 · Hay, Mercer IPE and public plans · experience 3.3 yrs vs the A3 market range 2–5</t>
        </is>
      </c>
      <c r="BD110" s="42">
        <f>IF(SUM(BM110,BN110,BO110,BP110,BQ110,BR110,BS110)=0,0,(BM110*BT110+BN110*BU110+BO110*BV110+BP110*BW110+BQ110*BX110+BR110*BY110+BS110*BZ110)/SUM(BM110,BN110,BO110,BP110,BQ110,BR110,BS110))</f>
        <v>0</v>
      </c>
      <c r="BE110" s="41" t="str">
        <f>IF(LEFT(AY110,1)="X",AY110,IF(OR(AY110="B+",AY110="C+"),INDEX(LAD_PC,MAX(1,MIN(14,MATCH(AY110,LAD_PC,0)+IF(BD110&gt;=0.5,1,IF(BD110&lt;=-0.5,-1,0))))),INDEX(LAD_STD,MAX(1,MIN(12,MATCH(AY110,LAD_STD,0)+IF(BD110&gt;=0.5,1,IF(BD110&lt;=-0.5,-1,0)))))))</f>
        <v>A3</v>
      </c>
      <c r="BF110" s="43" t="n"/>
      <c r="BG110" s="41" t="str">
        <f>IF(BF110&lt;&gt;"",BF110,BE110)</f>
        <v>A3</v>
      </c>
      <c r="BH110" s="40" t="str">
        <f>IFERROR(CHOOSE(INDEX(B_RANK,MATCH(BG110,B_LVL,0)),"Band A","Band B","B+ · Player-Coach","Band C","C+ · Player-Coach","Band D","Band E"),"Band X · Consultant")</f>
        <v>Band A</v>
      </c>
      <c r="BI110" s="40" t="str">
        <f>IF(BG110=AY110,"• Same",IF(INDEX(B_VAL,MATCH(BG110,B_LVL,0))&gt;INDEX(B_VAL,MATCH(AY110,B_LVL,0)),"▲ Up","▼ Down"))</f>
        <v>• Same</v>
      </c>
      <c r="BJ110" s="40" t="str">
        <f>IF(OR($M110="",$M110="—",$M110="Not in this file"),"",IFERROR(INDEX($BG$7:$BG$592,MATCH($M110,$D$7:$D$592,0)),""))</f>
        <v>B1</v>
      </c>
      <c r="BK110" s="40" t="str">
        <f>IFERROR(IF(BJ110="","—",IF(OR(LEFT(BG110,1)="X",LEFT(BJ110,1)="X"),"—",IF(AND(LEFT(BG110,1)="E",LEFT(BJ110,1)="E"),"Exception · Band E",IF(AND(INDEX(B_VAL,MATCH(BJ110,B_LVL,0))&gt;=7,INDEX(B_RANK,MATCH(BG110,B_LVL,0))&gt;=INDEX(B_RANK,MATCH(BJ110,B_LVL,0))),"⚠ Same band as a head manager",IF(INDEX(B_VAL,MATCH(BG110,B_LVL,0))&gt;=INDEX(B_VAL,MATCH(BJ110,B_LVL,0)),"⚠ At or above the manager's level","OK"))))),"—")</f>
        <v>OK</v>
      </c>
      <c r="BL110" s="43" t="n"/>
      <c r="BM110" s="44">
        <f>IFERROR(INDEX(LMH_PTS,MATCH(Y110,LMH_KEY,0)),0)</f>
        <v>9</v>
      </c>
      <c r="BN110" s="38">
        <f>IFERROR(INDEX(LMH_PTS,MATCH(Z110,LMH_KEY,0)),0)</f>
        <v>3</v>
      </c>
      <c r="BO110" s="38">
        <f>IFERROR(INDEX(LMH_PTS,MATCH(AA110,LMH_KEY,0)),0)</f>
        <v>3</v>
      </c>
      <c r="BP110" s="38">
        <f>IFERROR(INDEX(LMH_PTS,MATCH(AB110,LMH_KEY,0)),0)</f>
        <v>1</v>
      </c>
      <c r="BQ110" s="38">
        <f>IFERROR(INDEX(LMH_PTS,MATCH(AC110,LMH_KEY,0)),0)</f>
        <v>1</v>
      </c>
      <c r="BR110" s="38">
        <f>IFERROR(INDEX(LMH_PTS,MATCH(AD110,LMH_KEY,0)),0)</f>
        <v>1</v>
      </c>
      <c r="BS110" s="38">
        <f>IFERROR(INDEX(LMH_PTS,MATCH(AE110,LMH_KEY,0)),0)</f>
        <v>1</v>
      </c>
      <c r="BT110" s="38">
        <f>IFERROR(INDEX(LMH_STEP,MATCH(AF110,LMH_KEY,0)),0)</f>
        <v>0</v>
      </c>
      <c r="BU110" s="38">
        <f>IFERROR(INDEX(LMH_STEP,MATCH(AG110,LMH_KEY,0)),0)</f>
        <v>0</v>
      </c>
      <c r="BV110" s="38">
        <f>IFERROR(INDEX(LMH_STEP,MATCH(AH110,LMH_KEY,0)),0)</f>
        <v>0</v>
      </c>
      <c r="BW110" s="38">
        <f>IFERROR(INDEX(LMH_STEP,MATCH(AI110,LMH_KEY,0)),0)</f>
        <v>0</v>
      </c>
      <c r="BX110" s="38">
        <f>IFERROR(INDEX(LMH_STEP,MATCH(AJ110,LMH_KEY,0)),0)</f>
        <v>0</v>
      </c>
      <c r="BY110" s="38">
        <f>IFERROR(INDEX(LMH_STEP,MATCH(AK110,LMH_KEY,0)),0)</f>
        <v>0</v>
      </c>
      <c r="BZ110" s="38">
        <f>IFERROR(INDEX(LMH_STEP,MATCH(AL110,LMH_KEY,0)),0)</f>
        <v>0</v>
      </c>
      <c r="CA110" s="38" t="inlineStr">
        <is>
          <t>CARBON|Services|Senior Financial Analyst|A3|A</t>
        </is>
      </c>
    </row>
    <row r="111" ht="110" customHeight="1">
      <c r="A111" s="28" t="inlineStr">
        <is>
          <t>CARBON</t>
        </is>
      </c>
      <c r="B111" s="29" t="inlineStr">
        <is>
          <t>Services</t>
        </is>
      </c>
      <c r="C111" s="29" t="n">
        <v>6</v>
      </c>
      <c r="D111" s="29" t="inlineStr">
        <is>
          <t>IRIS0014</t>
        </is>
      </c>
      <c r="E111" s="29" t="inlineStr">
        <is>
          <t>Jayavant Bhabal</t>
        </is>
      </c>
      <c r="F111" s="29" t="inlineStr">
        <is>
          <t>Financial Analyst</t>
        </is>
      </c>
      <c r="G111" s="29" t="inlineStr">
        <is>
          <t>Senior Service Delivery Analyst</t>
        </is>
      </c>
      <c r="H111" s="29" t="inlineStr">
        <is>
          <t>Consulting &amp; Professional Services</t>
        </is>
      </c>
      <c r="I111" s="29" t="inlineStr">
        <is>
          <t>Service Delivery Operations</t>
        </is>
      </c>
      <c r="J111" s="29" t="inlineStr">
        <is>
          <t>IC</t>
        </is>
      </c>
      <c r="K111" s="29" t="inlineStr">
        <is>
          <t>RC-015</t>
        </is>
      </c>
      <c r="L111" s="29" t="inlineStr">
        <is>
          <t>Mayur Zope</t>
        </is>
      </c>
      <c r="M111" s="29" t="inlineStr">
        <is>
          <t>IRIS0393</t>
        </is>
      </c>
      <c r="N111" s="29" t="n">
        <v>24.4</v>
      </c>
      <c r="O111" s="29" t="n">
        <v>22</v>
      </c>
      <c r="P111" s="29" t="inlineStr">
        <is>
          <t>B.Com</t>
        </is>
      </c>
      <c r="Q111" s="29" t="inlineStr">
        <is>
          <t>L3 – Professional / Associate</t>
        </is>
      </c>
      <c r="R111" s="29" t="inlineStr">
        <is>
          <t>A3</t>
        </is>
      </c>
      <c r="S111" s="30" t="inlineStr">
        <is>
          <t>18 of 20</t>
        </is>
      </c>
      <c r="T111" s="31" t="inlineStr">
        <is>
          <t>• Role / sub-team: PMO, MIS and Billing.</t>
        </is>
      </c>
      <c r="U111"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111" s="31" t="inlineStr">
        <is>
          <t>Latest rating: 4 · Potential: High · 9-box: Core Contributor · Readiness: Ready now</t>
        </is>
      </c>
      <c r="W111" s="31" t="inlineStr">
        <is>
          <t>C M · Au M · Ac M · L L · BI M · Exp H · 24.4 yrs vs 2–4 yrs · Edu M · B.Com</t>
        </is>
      </c>
      <c r="X111" s="33" t="inlineStr">
        <is>
          <t>Open ▸</t>
        </is>
      </c>
      <c r="Y111" s="34" t="str">
        <f>IFERROR(INDEX(DL_C,MATCH($CA111,DL_KEY,0)),"M")</f>
        <v>H</v>
      </c>
      <c r="Z111" s="35" t="str">
        <f>IFERROR(INDEX(DL_Au,MATCH($CA111,DL_KEY,0)),"M")</f>
        <v>M</v>
      </c>
      <c r="AA111" s="35" t="str">
        <f>IFERROR(INDEX(DL_Ac,MATCH($CA111,DL_KEY,0)),"M")</f>
        <v>M</v>
      </c>
      <c r="AB111" s="35" t="str">
        <f>IFERROR(INDEX(DL_L,MATCH($CA111,DL_KEY,0)),"M")</f>
        <v>L</v>
      </c>
      <c r="AC111" s="35" t="str">
        <f>IFERROR(INDEX(DL_BI,MATCH($CA111,DL_KEY,0)),"M")</f>
        <v>L</v>
      </c>
      <c r="AD111" s="35" t="str">
        <f>IFERROR(INDEX(DL_Exp,MATCH($CA111,DL_KEY,0)),"M")</f>
        <v>L</v>
      </c>
      <c r="AE111" s="35" t="str">
        <f>IFERROR(INDEX(DL_Edu,MATCH($CA111,DL_KEY,0)),"M")</f>
        <v>L</v>
      </c>
      <c r="AF111" s="34" t="inlineStr">
        <is>
          <t>M</t>
        </is>
      </c>
      <c r="AG111" s="35" t="inlineStr">
        <is>
          <t>M</t>
        </is>
      </c>
      <c r="AH111" s="35" t="inlineStr">
        <is>
          <t>M</t>
        </is>
      </c>
      <c r="AI111" s="35" t="inlineStr">
        <is>
          <t>M</t>
        </is>
      </c>
      <c r="AJ111" s="35" t="inlineStr">
        <is>
          <t>M</t>
        </is>
      </c>
      <c r="AK111" s="35" t="inlineStr">
        <is>
          <t>M</t>
        </is>
      </c>
      <c r="AL111" s="35" t="inlineStr">
        <is>
          <t>M</t>
        </is>
      </c>
      <c r="AM111" s="36" t="n">
        <v>0.583</v>
      </c>
      <c r="AN111" s="37" t="n">
        <v>0.16</v>
      </c>
      <c r="AO111" s="37" t="n">
        <v>0.09</v>
      </c>
      <c r="AP111" s="37" t="n">
        <v>0</v>
      </c>
      <c r="AQ111" s="37" t="n">
        <v>0.063</v>
      </c>
      <c r="AR111" s="37" t="n">
        <v>0.06</v>
      </c>
      <c r="AS111" s="37" t="n">
        <v>0.04</v>
      </c>
      <c r="AT111" s="38" t="inlineStr">
        <is>
          <t>2–5</t>
        </is>
      </c>
      <c r="AU111" s="38" t="inlineStr">
        <is>
          <t>Graduate; relevant certification preferred</t>
        </is>
      </c>
      <c r="AV111" s="38" t="inlineStr">
        <is>
          <t>None · guides 1–3 juniors informally</t>
        </is>
      </c>
      <c r="AW111" s="38" t="inlineStr">
        <is>
          <t>P2 · SFIA 3 Apply</t>
        </is>
      </c>
      <c r="AX1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1" s="39" t="inlineStr">
        <is>
          <t>A3</t>
        </is>
      </c>
      <c r="AZ111" s="40" t="inlineStr">
        <is>
          <t>Band A · Practitioner · Senior Associate</t>
        </is>
      </c>
      <c r="BA111" s="40" t="inlineStr">
        <is>
          <t>Model A3 from the six ratings, the market-derived weights and rules R1–R13 · then No change · already below the manager</t>
        </is>
      </c>
      <c r="BB111" s="41" t="inlineStr">
        <is>
          <t>A3</t>
        </is>
      </c>
      <c r="BC111" s="40" t="inlineStr">
        <is>
          <t>The six ratings on the market-average weights of Band A · all tracks score 3.39 → A3 · Hay, Mercer IPE and public plans · experience 24.4 yrs vs the A3 market range 2–5</t>
        </is>
      </c>
      <c r="BD111" s="42">
        <f>IF(SUM(BM111,BN111,BO111,BP111,BQ111,BR111,BS111)=0,0,(BM111*BT111+BN111*BU111+BO111*BV111+BP111*BW111+BQ111*BX111+BR111*BY111+BS111*BZ111)/SUM(BM111,BN111,BO111,BP111,BQ111,BR111,BS111))</f>
        <v>0</v>
      </c>
      <c r="BE111" s="41" t="str">
        <f>IF(LEFT(AY111,1)="X",AY111,IF(OR(AY111="B+",AY111="C+"),INDEX(LAD_PC,MAX(1,MIN(14,MATCH(AY111,LAD_PC,0)+IF(BD111&gt;=0.5,1,IF(BD111&lt;=-0.5,-1,0))))),INDEX(LAD_STD,MAX(1,MIN(12,MATCH(AY111,LAD_STD,0)+IF(BD111&gt;=0.5,1,IF(BD111&lt;=-0.5,-1,0)))))))</f>
        <v>A3</v>
      </c>
      <c r="BF111" s="43" t="n"/>
      <c r="BG111" s="41" t="str">
        <f>IF(BF111&lt;&gt;"",BF111,BE111)</f>
        <v>A3</v>
      </c>
      <c r="BH111" s="40" t="str">
        <f>IFERROR(CHOOSE(INDEX(B_RANK,MATCH(BG111,B_LVL,0)),"Band A","Band B","B+ · Player-Coach","Band C","C+ · Player-Coach","Band D","Band E"),"Band X · Consultant")</f>
        <v>Band A</v>
      </c>
      <c r="BI111" s="40" t="str">
        <f>IF(BG111=AY111,"• Same",IF(INDEX(B_VAL,MATCH(BG111,B_LVL,0))&gt;INDEX(B_VAL,MATCH(AY111,B_LVL,0)),"▲ Up","▼ Down"))</f>
        <v>• Same</v>
      </c>
      <c r="BJ111" s="40" t="str">
        <f>IF(OR($M111="",$M111="—",$M111="Not in this file"),"",IFERROR(INDEX($BG$7:$BG$592,MATCH($M111,$D$7:$D$592,0)),""))</f>
        <v>B2</v>
      </c>
      <c r="BK111" s="40" t="str">
        <f>IFERROR(IF(BJ111="","—",IF(OR(LEFT(BG111,1)="X",LEFT(BJ111,1)="X"),"—",IF(AND(LEFT(BG111,1)="E",LEFT(BJ111,1)="E"),"Exception · Band E",IF(AND(INDEX(B_VAL,MATCH(BJ111,B_LVL,0))&gt;=7,INDEX(B_RANK,MATCH(BG111,B_LVL,0))&gt;=INDEX(B_RANK,MATCH(BJ111,B_LVL,0))),"⚠ Same band as a head manager",IF(INDEX(B_VAL,MATCH(BG111,B_LVL,0))&gt;=INDEX(B_VAL,MATCH(BJ111,B_LVL,0)),"⚠ At or above the manager's level","OK"))))),"—")</f>
        <v>OK</v>
      </c>
      <c r="BL111" s="43" t="n"/>
      <c r="BM111" s="44">
        <f>IFERROR(INDEX(LMH_PTS,MATCH(Y111,LMH_KEY,0)),0)</f>
        <v>9</v>
      </c>
      <c r="BN111" s="38">
        <f>IFERROR(INDEX(LMH_PTS,MATCH(Z111,LMH_KEY,0)),0)</f>
        <v>3</v>
      </c>
      <c r="BO111" s="38">
        <f>IFERROR(INDEX(LMH_PTS,MATCH(AA111,LMH_KEY,0)),0)</f>
        <v>3</v>
      </c>
      <c r="BP111" s="38">
        <f>IFERROR(INDEX(LMH_PTS,MATCH(AB111,LMH_KEY,0)),0)</f>
        <v>1</v>
      </c>
      <c r="BQ111" s="38">
        <f>IFERROR(INDEX(LMH_PTS,MATCH(AC111,LMH_KEY,0)),0)</f>
        <v>1</v>
      </c>
      <c r="BR111" s="38">
        <f>IFERROR(INDEX(LMH_PTS,MATCH(AD111,LMH_KEY,0)),0)</f>
        <v>1</v>
      </c>
      <c r="BS111" s="38">
        <f>IFERROR(INDEX(LMH_PTS,MATCH(AE111,LMH_KEY,0)),0)</f>
        <v>1</v>
      </c>
      <c r="BT111" s="38">
        <f>IFERROR(INDEX(LMH_STEP,MATCH(AF111,LMH_KEY,0)),0)</f>
        <v>0</v>
      </c>
      <c r="BU111" s="38">
        <f>IFERROR(INDEX(LMH_STEP,MATCH(AG111,LMH_KEY,0)),0)</f>
        <v>0</v>
      </c>
      <c r="BV111" s="38">
        <f>IFERROR(INDEX(LMH_STEP,MATCH(AH111,LMH_KEY,0)),0)</f>
        <v>0</v>
      </c>
      <c r="BW111" s="38">
        <f>IFERROR(INDEX(LMH_STEP,MATCH(AI111,LMH_KEY,0)),0)</f>
        <v>0</v>
      </c>
      <c r="BX111" s="38">
        <f>IFERROR(INDEX(LMH_STEP,MATCH(AJ111,LMH_KEY,0)),0)</f>
        <v>0</v>
      </c>
      <c r="BY111" s="38">
        <f>IFERROR(INDEX(LMH_STEP,MATCH(AK111,LMH_KEY,0)),0)</f>
        <v>0</v>
      </c>
      <c r="BZ111" s="38">
        <f>IFERROR(INDEX(LMH_STEP,MATCH(AL111,LMH_KEY,0)),0)</f>
        <v>0</v>
      </c>
      <c r="CA111" s="38" t="inlineStr">
        <is>
          <t>CARBON|Services|Senior Service Delivery Analyst|A3|A</t>
        </is>
      </c>
    </row>
    <row r="112" ht="110" customHeight="1">
      <c r="A112" s="28" t="inlineStr">
        <is>
          <t>CARBON</t>
        </is>
      </c>
      <c r="B112" s="29" t="inlineStr">
        <is>
          <t>Services</t>
        </is>
      </c>
      <c r="C112" s="29" t="n">
        <v>5</v>
      </c>
      <c r="D112" s="29" t="inlineStr">
        <is>
          <t>IRIS2475</t>
        </is>
      </c>
      <c r="E112" s="29" t="inlineStr">
        <is>
          <t>Yadavar Velumurgan S.</t>
        </is>
      </c>
      <c r="F112" s="29" t="inlineStr">
        <is>
          <t>Senior Financial Analyst</t>
        </is>
      </c>
      <c r="G112" s="29" t="inlineStr">
        <is>
          <t>Senior QA Engineer</t>
        </is>
      </c>
      <c r="H112" s="29" t="inlineStr">
        <is>
          <t>Quality Assurance</t>
        </is>
      </c>
      <c r="I112" s="29" t="inlineStr">
        <is>
          <t>Functional &amp; Domain Testing</t>
        </is>
      </c>
      <c r="J112" s="29" t="inlineStr">
        <is>
          <t>IC</t>
        </is>
      </c>
      <c r="K112" s="29" t="inlineStr">
        <is>
          <t>RC-141</t>
        </is>
      </c>
      <c r="L112" s="29" t="inlineStr">
        <is>
          <t>K Ashok Kumar</t>
        </is>
      </c>
      <c r="M112" s="29" t="inlineStr">
        <is>
          <t>IRIS0018</t>
        </is>
      </c>
      <c r="N112" s="29" t="n">
        <v>3.3</v>
      </c>
      <c r="O112" s="29" t="n">
        <v>0.6</v>
      </c>
      <c r="P112" s="29" t="inlineStr">
        <is>
          <t>B.Com</t>
        </is>
      </c>
      <c r="Q112" s="29" t="inlineStr">
        <is>
          <t>L4 – Senior</t>
        </is>
      </c>
      <c r="R112" s="29" t="inlineStr">
        <is>
          <t>A3</t>
        </is>
      </c>
      <c r="S112" s="30" t="inlineStr">
        <is>
          <t>20 of 20</t>
        </is>
      </c>
      <c r="T112" s="31" t="inlineStr">
        <is>
          <t>• Role / sub-team: AI Testing.</t>
        </is>
      </c>
      <c r="U112" s="31" t="inlineStr">
        <is>
          <t>Received · manager annual · 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t>
        </is>
      </c>
      <c r="V112" s="31" t="inlineStr">
        <is>
          <t>Latest rating: 3 · Potential: Medium · 9-box: Core Contributor · Readiness: Develop in role</t>
        </is>
      </c>
      <c r="W112" s="31" t="inlineStr">
        <is>
          <t>C M · Au M · Ac M · L L · BI M · Exp M · 3.3 yrs vs 2–4 yrs · Edu M · B.Com</t>
        </is>
      </c>
      <c r="X112" s="33" t="inlineStr">
        <is>
          <t>Open ▸</t>
        </is>
      </c>
      <c r="Y112" s="34" t="str">
        <f>IFERROR(INDEX(DL_C,MATCH($CA112,DL_KEY,0)),"M")</f>
        <v>H</v>
      </c>
      <c r="Z112" s="35" t="str">
        <f>IFERROR(INDEX(DL_Au,MATCH($CA112,DL_KEY,0)),"M")</f>
        <v>M</v>
      </c>
      <c r="AA112" s="35" t="str">
        <f>IFERROR(INDEX(DL_Ac,MATCH($CA112,DL_KEY,0)),"M")</f>
        <v>L</v>
      </c>
      <c r="AB112" s="35" t="str">
        <f>IFERROR(INDEX(DL_L,MATCH($CA112,DL_KEY,0)),"M")</f>
        <v>L</v>
      </c>
      <c r="AC112" s="35" t="str">
        <f>IFERROR(INDEX(DL_BI,MATCH($CA112,DL_KEY,0)),"M")</f>
        <v>L</v>
      </c>
      <c r="AD112" s="35" t="str">
        <f>IFERROR(INDEX(DL_Exp,MATCH($CA112,DL_KEY,0)),"M")</f>
        <v>L</v>
      </c>
      <c r="AE112" s="35" t="str">
        <f>IFERROR(INDEX(DL_Edu,MATCH($CA112,DL_KEY,0)),"M")</f>
        <v>L</v>
      </c>
      <c r="AF112" s="34" t="inlineStr">
        <is>
          <t>M</t>
        </is>
      </c>
      <c r="AG112" s="35" t="inlineStr">
        <is>
          <t>M</t>
        </is>
      </c>
      <c r="AH112" s="35" t="inlineStr">
        <is>
          <t>M</t>
        </is>
      </c>
      <c r="AI112" s="35" t="inlineStr">
        <is>
          <t>M</t>
        </is>
      </c>
      <c r="AJ112" s="35" t="inlineStr">
        <is>
          <t>M</t>
        </is>
      </c>
      <c r="AK112" s="35" t="inlineStr">
        <is>
          <t>M</t>
        </is>
      </c>
      <c r="AL112" s="35" t="inlineStr">
        <is>
          <t>M</t>
        </is>
      </c>
      <c r="AM112" s="36" t="n">
        <v>0.583</v>
      </c>
      <c r="AN112" s="37" t="n">
        <v>0.16</v>
      </c>
      <c r="AO112" s="37" t="n">
        <v>0.09</v>
      </c>
      <c r="AP112" s="37" t="n">
        <v>0</v>
      </c>
      <c r="AQ112" s="37" t="n">
        <v>0.063</v>
      </c>
      <c r="AR112" s="37" t="n">
        <v>0.06</v>
      </c>
      <c r="AS112" s="37" t="n">
        <v>0.04</v>
      </c>
      <c r="AT112" s="38" t="inlineStr">
        <is>
          <t>2–5</t>
        </is>
      </c>
      <c r="AU112" s="38" t="inlineStr">
        <is>
          <t>Graduate; relevant certification preferred</t>
        </is>
      </c>
      <c r="AV112" s="38" t="inlineStr">
        <is>
          <t>None · guides 1–3 juniors informally</t>
        </is>
      </c>
      <c r="AW112" s="38" t="inlineStr">
        <is>
          <t>P2 · SFIA 3 Apply</t>
        </is>
      </c>
      <c r="AX1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2" s="39" t="inlineStr">
        <is>
          <t>A3</t>
        </is>
      </c>
      <c r="AZ112" s="40" t="inlineStr">
        <is>
          <t>Band A · Practitioner · Senior Associate</t>
        </is>
      </c>
      <c r="BA112" s="40" t="inlineStr">
        <is>
          <t>Model A3 from the six ratings, the market-derived weights and rules R1–R13 · then No change · already below the manager</t>
        </is>
      </c>
      <c r="BB112" s="41" t="inlineStr">
        <is>
          <t>A3</t>
        </is>
      </c>
      <c r="BC112" s="40" t="inlineStr">
        <is>
          <t>The six ratings on the market-average weights of Band A · all tracks score 2.95 → A3 · Hay, Mercer IPE and public plans · experience 3.3 yrs vs the A3 market range 2–5</t>
        </is>
      </c>
      <c r="BD112" s="42">
        <f>IF(SUM(BM112,BN112,BO112,BP112,BQ112,BR112,BS112)=0,0,(BM112*BT112+BN112*BU112+BO112*BV112+BP112*BW112+BQ112*BX112+BR112*BY112+BS112*BZ112)/SUM(BM112,BN112,BO112,BP112,BQ112,BR112,BS112))</f>
        <v>0</v>
      </c>
      <c r="BE112" s="41" t="str">
        <f>IF(LEFT(AY112,1)="X",AY112,IF(OR(AY112="B+",AY112="C+"),INDEX(LAD_PC,MAX(1,MIN(14,MATCH(AY112,LAD_PC,0)+IF(BD112&gt;=0.5,1,IF(BD112&lt;=-0.5,-1,0))))),INDEX(LAD_STD,MAX(1,MIN(12,MATCH(AY112,LAD_STD,0)+IF(BD112&gt;=0.5,1,IF(BD112&lt;=-0.5,-1,0)))))))</f>
        <v>A3</v>
      </c>
      <c r="BF112" s="43" t="n"/>
      <c r="BG112" s="41" t="str">
        <f>IF(BF112&lt;&gt;"",BF112,BE112)</f>
        <v>A3</v>
      </c>
      <c r="BH112" s="40" t="str">
        <f>IFERROR(CHOOSE(INDEX(B_RANK,MATCH(BG112,B_LVL,0)),"Band A","Band B","B+ · Player-Coach","Band C","C+ · Player-Coach","Band D","Band E"),"Band X · Consultant")</f>
        <v>Band A</v>
      </c>
      <c r="BI112" s="40" t="str">
        <f>IF(BG112=AY112,"• Same",IF(INDEX(B_VAL,MATCH(BG112,B_LVL,0))&gt;INDEX(B_VAL,MATCH(AY112,B_LVL,0)),"▲ Up","▼ Down"))</f>
        <v>• Same</v>
      </c>
      <c r="BJ112" s="40" t="str">
        <f>IF(OR($M112="",$M112="—",$M112="Not in this file"),"",IFERROR(INDEX($BG$7:$BG$592,MATCH($M112,$D$7:$D$592,0)),""))</f>
        <v>B3</v>
      </c>
      <c r="BK112" s="40" t="str">
        <f>IFERROR(IF(BJ112="","—",IF(OR(LEFT(BG112,1)="X",LEFT(BJ112,1)="X"),"—",IF(AND(LEFT(BG112,1)="E",LEFT(BJ112,1)="E"),"Exception · Band E",IF(AND(INDEX(B_VAL,MATCH(BJ112,B_LVL,0))&gt;=7,INDEX(B_RANK,MATCH(BG112,B_LVL,0))&gt;=INDEX(B_RANK,MATCH(BJ112,B_LVL,0))),"⚠ Same band as a head manager",IF(INDEX(B_VAL,MATCH(BG112,B_LVL,0))&gt;=INDEX(B_VAL,MATCH(BJ112,B_LVL,0)),"⚠ At or above the manager's level","OK"))))),"—")</f>
        <v>OK</v>
      </c>
      <c r="BL112" s="43" t="n"/>
      <c r="BM112" s="44">
        <f>IFERROR(INDEX(LMH_PTS,MATCH(Y112,LMH_KEY,0)),0)</f>
        <v>9</v>
      </c>
      <c r="BN112" s="38">
        <f>IFERROR(INDEX(LMH_PTS,MATCH(Z112,LMH_KEY,0)),0)</f>
        <v>3</v>
      </c>
      <c r="BO112" s="38">
        <f>IFERROR(INDEX(LMH_PTS,MATCH(AA112,LMH_KEY,0)),0)</f>
        <v>1</v>
      </c>
      <c r="BP112" s="38">
        <f>IFERROR(INDEX(LMH_PTS,MATCH(AB112,LMH_KEY,0)),0)</f>
        <v>1</v>
      </c>
      <c r="BQ112" s="38">
        <f>IFERROR(INDEX(LMH_PTS,MATCH(AC112,LMH_KEY,0)),0)</f>
        <v>1</v>
      </c>
      <c r="BR112" s="38">
        <f>IFERROR(INDEX(LMH_PTS,MATCH(AD112,LMH_KEY,0)),0)</f>
        <v>1</v>
      </c>
      <c r="BS112" s="38">
        <f>IFERROR(INDEX(LMH_PTS,MATCH(AE112,LMH_KEY,0)),0)</f>
        <v>1</v>
      </c>
      <c r="BT112" s="38">
        <f>IFERROR(INDEX(LMH_STEP,MATCH(AF112,LMH_KEY,0)),0)</f>
        <v>0</v>
      </c>
      <c r="BU112" s="38">
        <f>IFERROR(INDEX(LMH_STEP,MATCH(AG112,LMH_KEY,0)),0)</f>
        <v>0</v>
      </c>
      <c r="BV112" s="38">
        <f>IFERROR(INDEX(LMH_STEP,MATCH(AH112,LMH_KEY,0)),0)</f>
        <v>0</v>
      </c>
      <c r="BW112" s="38">
        <f>IFERROR(INDEX(LMH_STEP,MATCH(AI112,LMH_KEY,0)),0)</f>
        <v>0</v>
      </c>
      <c r="BX112" s="38">
        <f>IFERROR(INDEX(LMH_STEP,MATCH(AJ112,LMH_KEY,0)),0)</f>
        <v>0</v>
      </c>
      <c r="BY112" s="38">
        <f>IFERROR(INDEX(LMH_STEP,MATCH(AK112,LMH_KEY,0)),0)</f>
        <v>0</v>
      </c>
      <c r="BZ112" s="38">
        <f>IFERROR(INDEX(LMH_STEP,MATCH(AL112,LMH_KEY,0)),0)</f>
        <v>0</v>
      </c>
      <c r="CA112" s="38" t="inlineStr">
        <is>
          <t>CARBON|Services|Senior QA Engineer|A3|A</t>
        </is>
      </c>
    </row>
    <row r="113" ht="110" customHeight="1">
      <c r="A113" s="28" t="inlineStr">
        <is>
          <t>CARBON</t>
        </is>
      </c>
      <c r="B113" s="29" t="inlineStr">
        <is>
          <t>Technology</t>
        </is>
      </c>
      <c r="C113" s="29" t="n">
        <v>4</v>
      </c>
      <c r="D113" s="29" t="inlineStr">
        <is>
          <t>IRIS1272</t>
        </is>
      </c>
      <c r="E113" s="29" t="inlineStr">
        <is>
          <t>Aaron Michael</t>
        </is>
      </c>
      <c r="F113" s="29" t="inlineStr">
        <is>
          <t>Project Manager</t>
        </is>
      </c>
      <c r="G113" s="29" t="inlineStr">
        <is>
          <t>Project Manager</t>
        </is>
      </c>
      <c r="H113" s="29" t="inlineStr">
        <is>
          <t>Project &amp; Program Management</t>
        </is>
      </c>
      <c r="I113" s="29" t="inlineStr">
        <is>
          <t>Project &amp; Program Delivery</t>
        </is>
      </c>
      <c r="J113" s="29" t="inlineStr">
        <is>
          <t>IC</t>
        </is>
      </c>
      <c r="K113" s="29" t="inlineStr">
        <is>
          <t>RC-135</t>
        </is>
      </c>
      <c r="L113" s="29" t="inlineStr">
        <is>
          <t>Suman Adhikary</t>
        </is>
      </c>
      <c r="M113" s="29" t="inlineStr">
        <is>
          <t>IRIS2359</t>
        </is>
      </c>
      <c r="N113" s="29" t="n">
        <v>15.4</v>
      </c>
      <c r="O113" s="29" t="n">
        <v>14</v>
      </c>
      <c r="P113" s="29" t="inlineStr">
        <is>
          <t>MMS</t>
        </is>
      </c>
      <c r="Q113" s="29" t="inlineStr">
        <is>
          <t>L5 – Manager</t>
        </is>
      </c>
      <c r="R113" s="29" t="inlineStr">
        <is>
          <t>B2</t>
        </is>
      </c>
      <c r="S113" s="30" t="inlineStr">
        <is>
          <t>20 of 20</t>
        </is>
      </c>
      <c r="T113" s="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t>
        </is>
      </c>
      <c r="U113" s="31" t="inlineStr">
        <is>
          <t>Received · manager annual · 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V113" s="31" t="inlineStr">
        <is>
          <t>Latest rating: 3 · Potential: Medium · 9-box: Core Contributor · Readiness: Develop in role</t>
        </is>
      </c>
      <c r="W113" s="31" t="inlineStr">
        <is>
          <t>C M · Au M · Ac M · L L · BI M · Exp H · 15.4 yrs vs 6–9 yrs · Edu H · MMS</t>
        </is>
      </c>
      <c r="X113" s="33" t="inlineStr">
        <is>
          <t>Open ▸</t>
        </is>
      </c>
      <c r="Y113" s="34" t="str">
        <f>IFERROR(INDEX(DL_C,MATCH($CA113,DL_KEY,0)),"M")</f>
        <v>H</v>
      </c>
      <c r="Z113" s="35" t="str">
        <f>IFERROR(INDEX(DL_Au,MATCH($CA113,DL_KEY,0)),"M")</f>
        <v>M</v>
      </c>
      <c r="AA113" s="35" t="str">
        <f>IFERROR(INDEX(DL_Ac,MATCH($CA113,DL_KEY,0)),"M")</f>
        <v>L</v>
      </c>
      <c r="AB113" s="35" t="str">
        <f>IFERROR(INDEX(DL_L,MATCH($CA113,DL_KEY,0)),"M")</f>
        <v>L</v>
      </c>
      <c r="AC113" s="35" t="str">
        <f>IFERROR(INDEX(DL_BI,MATCH($CA113,DL_KEY,0)),"M")</f>
        <v>L</v>
      </c>
      <c r="AD113" s="35" t="str">
        <f>IFERROR(INDEX(DL_Exp,MATCH($CA113,DL_KEY,0)),"M")</f>
        <v>L</v>
      </c>
      <c r="AE113" s="35" t="str">
        <f>IFERROR(INDEX(DL_Edu,MATCH($CA113,DL_KEY,0)),"M")</f>
        <v>L</v>
      </c>
      <c r="AF113" s="34" t="inlineStr">
        <is>
          <t>M</t>
        </is>
      </c>
      <c r="AG113" s="35" t="inlineStr">
        <is>
          <t>M</t>
        </is>
      </c>
      <c r="AH113" s="35" t="inlineStr">
        <is>
          <t>M</t>
        </is>
      </c>
      <c r="AI113" s="35" t="inlineStr">
        <is>
          <t>M</t>
        </is>
      </c>
      <c r="AJ113" s="35" t="inlineStr">
        <is>
          <t>M</t>
        </is>
      </c>
      <c r="AK113" s="35" t="inlineStr">
        <is>
          <t>M</t>
        </is>
      </c>
      <c r="AL113" s="35" t="inlineStr">
        <is>
          <t>M</t>
        </is>
      </c>
      <c r="AM113" s="36" t="n">
        <v>0.513</v>
      </c>
      <c r="AN113" s="37" t="n">
        <v>0.173</v>
      </c>
      <c r="AO113" s="37" t="n">
        <v>0.09699999999999999</v>
      </c>
      <c r="AP113" s="37" t="n">
        <v>0.05</v>
      </c>
      <c r="AQ113" s="37" t="n">
        <v>0.07000000000000001</v>
      </c>
      <c r="AR113" s="37" t="n">
        <v>0.06</v>
      </c>
      <c r="AS113" s="37" t="n">
        <v>0.04</v>
      </c>
      <c r="AT113" s="38" t="inlineStr">
        <is>
          <t>6–10</t>
        </is>
      </c>
      <c r="AU113" s="38" t="inlineStr">
        <is>
          <t>Graduate or postgraduate; professional qualification preferred</t>
        </is>
      </c>
      <c r="AV113" s="38" t="inlineStr">
        <is>
          <t>IC: none · People: 6–8 knowledge work, 8–12 standardised delivery</t>
        </is>
      </c>
      <c r="AW113" s="38" t="inlineStr">
        <is>
          <t>P4 / M3 · SFIA 4–5</t>
        </is>
      </c>
      <c r="AX1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3" s="39" t="inlineStr">
        <is>
          <t>B2</t>
        </is>
      </c>
      <c r="AZ113" s="40" t="inlineStr">
        <is>
          <t>Band B · Specialist / Manager · Senior Specialist</t>
        </is>
      </c>
      <c r="BA113" s="40" t="inlineStr">
        <is>
          <t>Model B2 from the six ratings, the market-derived weights and rules R1–R13 · then No change · already below the manager</t>
        </is>
      </c>
      <c r="BB113" s="41" t="inlineStr">
        <is>
          <t>B2</t>
        </is>
      </c>
      <c r="BC113" s="40" t="inlineStr">
        <is>
          <t>The six ratings on the market-average weights of Band B · Specialist / POD Lead score 5.08 → B2 · Hay, Mercer IPE and public plans · experience 15.4 yrs vs the B2 market range 6–10</t>
        </is>
      </c>
      <c r="BD113" s="42">
        <f>IF(SUM(BM113,BN113,BO113,BP113,BQ113,BR113,BS113)=0,0,(BM113*BT113+BN113*BU113+BO113*BV113+BP113*BW113+BQ113*BX113+BR113*BY113+BS113*BZ113)/SUM(BM113,BN113,BO113,BP113,BQ113,BR113,BS113))</f>
        <v>0</v>
      </c>
      <c r="BE113" s="41" t="str">
        <f>IF(LEFT(AY113,1)="X",AY113,IF(OR(AY113="B+",AY113="C+"),INDEX(LAD_PC,MAX(1,MIN(14,MATCH(AY113,LAD_PC,0)+IF(BD113&gt;=0.5,1,IF(BD113&lt;=-0.5,-1,0))))),INDEX(LAD_STD,MAX(1,MIN(12,MATCH(AY113,LAD_STD,0)+IF(BD113&gt;=0.5,1,IF(BD113&lt;=-0.5,-1,0)))))))</f>
        <v>B2</v>
      </c>
      <c r="BF113" s="43" t="n"/>
      <c r="BG113" s="41" t="str">
        <f>IF(BF113&lt;&gt;"",BF113,BE113)</f>
        <v>B2</v>
      </c>
      <c r="BH113" s="40" t="str">
        <f>IFERROR(CHOOSE(INDEX(B_RANK,MATCH(BG113,B_LVL,0)),"Band A","Band B","B+ · Player-Coach","Band C","C+ · Player-Coach","Band D","Band E"),"Band X · Consultant")</f>
        <v>Band B</v>
      </c>
      <c r="BI113" s="40" t="str">
        <f>IF(BG113=AY113,"• Same",IF(INDEX(B_VAL,MATCH(BG113,B_LVL,0))&gt;INDEX(B_VAL,MATCH(AY113,B_LVL,0)),"▲ Up","▼ Down"))</f>
        <v>• Same</v>
      </c>
      <c r="BJ113" s="40" t="str">
        <f>IF(OR($M113="",$M113="—",$M113="Not in this file"),"",IFERROR(INDEX($BG$7:$BG$592,MATCH($M113,$D$7:$D$592,0)),""))</f>
        <v>C2</v>
      </c>
      <c r="BK113" s="40" t="str">
        <f>IFERROR(IF(BJ113="","—",IF(OR(LEFT(BG113,1)="X",LEFT(BJ113,1)="X"),"—",IF(AND(LEFT(BG113,1)="E",LEFT(BJ113,1)="E"),"Exception · Band E",IF(AND(INDEX(B_VAL,MATCH(BJ113,B_LVL,0))&gt;=7,INDEX(B_RANK,MATCH(BG113,B_LVL,0))&gt;=INDEX(B_RANK,MATCH(BJ113,B_LVL,0))),"⚠ Same band as a head manager",IF(INDEX(B_VAL,MATCH(BG113,B_LVL,0))&gt;=INDEX(B_VAL,MATCH(BJ113,B_LVL,0)),"⚠ At or above the manager's level","OK"))))),"—")</f>
        <v>OK</v>
      </c>
      <c r="BL113" s="43" t="n"/>
      <c r="BM113" s="44">
        <f>IFERROR(INDEX(LMH_PTS,MATCH(Y113,LMH_KEY,0)),0)</f>
        <v>9</v>
      </c>
      <c r="BN113" s="38">
        <f>IFERROR(INDEX(LMH_PTS,MATCH(Z113,LMH_KEY,0)),0)</f>
        <v>3</v>
      </c>
      <c r="BO113" s="38">
        <f>IFERROR(INDEX(LMH_PTS,MATCH(AA113,LMH_KEY,0)),0)</f>
        <v>1</v>
      </c>
      <c r="BP113" s="38">
        <f>IFERROR(INDEX(LMH_PTS,MATCH(AB113,LMH_KEY,0)),0)</f>
        <v>1</v>
      </c>
      <c r="BQ113" s="38">
        <f>IFERROR(INDEX(LMH_PTS,MATCH(AC113,LMH_KEY,0)),0)</f>
        <v>1</v>
      </c>
      <c r="BR113" s="38">
        <f>IFERROR(INDEX(LMH_PTS,MATCH(AD113,LMH_KEY,0)),0)</f>
        <v>1</v>
      </c>
      <c r="BS113" s="38">
        <f>IFERROR(INDEX(LMH_PTS,MATCH(AE113,LMH_KEY,0)),0)</f>
        <v>1</v>
      </c>
      <c r="BT113" s="38">
        <f>IFERROR(INDEX(LMH_STEP,MATCH(AF113,LMH_KEY,0)),0)</f>
        <v>0</v>
      </c>
      <c r="BU113" s="38">
        <f>IFERROR(INDEX(LMH_STEP,MATCH(AG113,LMH_KEY,0)),0)</f>
        <v>0</v>
      </c>
      <c r="BV113" s="38">
        <f>IFERROR(INDEX(LMH_STEP,MATCH(AH113,LMH_KEY,0)),0)</f>
        <v>0</v>
      </c>
      <c r="BW113" s="38">
        <f>IFERROR(INDEX(LMH_STEP,MATCH(AI113,LMH_KEY,0)),0)</f>
        <v>0</v>
      </c>
      <c r="BX113" s="38">
        <f>IFERROR(INDEX(LMH_STEP,MATCH(AJ113,LMH_KEY,0)),0)</f>
        <v>0</v>
      </c>
      <c r="BY113" s="38">
        <f>IFERROR(INDEX(LMH_STEP,MATCH(AK113,LMH_KEY,0)),0)</f>
        <v>0</v>
      </c>
      <c r="BZ113" s="38">
        <f>IFERROR(INDEX(LMH_STEP,MATCH(AL113,LMH_KEY,0)),0)</f>
        <v>0</v>
      </c>
      <c r="CA113" s="38" t="inlineStr">
        <is>
          <t>CARBON|Technology|Project Manager|B2|B-IC</t>
        </is>
      </c>
    </row>
    <row r="114" ht="110" customHeight="1">
      <c r="A114" s="28" t="inlineStr">
        <is>
          <t>CARBON</t>
        </is>
      </c>
      <c r="B114" s="29" t="inlineStr">
        <is>
          <t>Support</t>
        </is>
      </c>
      <c r="C114" s="29" t="n">
        <v>4</v>
      </c>
      <c r="D114" s="29" t="inlineStr">
        <is>
          <t>IRIS0662</t>
        </is>
      </c>
      <c r="E114" s="29" t="inlineStr">
        <is>
          <t>Harshal Shah</t>
        </is>
      </c>
      <c r="F114" s="29" t="inlineStr">
        <is>
          <t>Support Lead</t>
        </is>
      </c>
      <c r="G114" s="29" t="inlineStr">
        <is>
          <t>Support Manager</t>
        </is>
      </c>
      <c r="H114" s="29" t="inlineStr">
        <is>
          <t>Customer Success &amp; Support</t>
        </is>
      </c>
      <c r="I114" s="29" t="inlineStr">
        <is>
          <t>Application &amp; Product Support</t>
        </is>
      </c>
      <c r="J114" s="29" t="inlineStr">
        <is>
          <t>People Manager</t>
        </is>
      </c>
      <c r="K114" s="29" t="inlineStr">
        <is>
          <t>RC-033</t>
        </is>
      </c>
      <c r="L114" s="29" t="inlineStr">
        <is>
          <t>Suman Adhikary</t>
        </is>
      </c>
      <c r="M114" s="29" t="inlineStr">
        <is>
          <t>IRIS2359</t>
        </is>
      </c>
      <c r="N114" s="29" t="n">
        <v>15.3</v>
      </c>
      <c r="O114" s="29" t="n">
        <v>15.3</v>
      </c>
      <c r="P114" s="29" t="inlineStr">
        <is>
          <t>B.Com</t>
        </is>
      </c>
      <c r="Q114" s="29" t="inlineStr">
        <is>
          <t>L5 – Lead · IC</t>
        </is>
      </c>
      <c r="R114" s="29" t="inlineStr">
        <is>
          <t>B2</t>
        </is>
      </c>
      <c r="S114" s="30" t="inlineStr">
        <is>
          <t>20 of 20</t>
        </is>
      </c>
      <c r="T114" s="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t>
        </is>
      </c>
      <c r="U114"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4" s="31" t="inlineStr">
        <is>
          <t>Latest rating: 4 · Potential: Medium · 9-box: High Impact / Growth Talent · Readiness: Ready in 6–12 months</t>
        </is>
      </c>
      <c r="W114" s="31" t="inlineStr">
        <is>
          <t>C L · Au L · Ac L · L L · BI M · Exp H · 15.3 yrs vs 6–9 yrs · Edu M · B.Com</t>
        </is>
      </c>
      <c r="X114" s="33" t="inlineStr">
        <is>
          <t>Open ▸</t>
        </is>
      </c>
      <c r="Y114" s="34" t="str">
        <f>IFERROR(INDEX(DL_C,MATCH($CA114,DL_KEY,0)),"M")</f>
        <v>H</v>
      </c>
      <c r="Z114" s="35" t="str">
        <f>IFERROR(INDEX(DL_Au,MATCH($CA114,DL_KEY,0)),"M")</f>
        <v>M</v>
      </c>
      <c r="AA114" s="35" t="str">
        <f>IFERROR(INDEX(DL_Ac,MATCH($CA114,DL_KEY,0)),"M")</f>
        <v>M</v>
      </c>
      <c r="AB114" s="35" t="str">
        <f>IFERROR(INDEX(DL_L,MATCH($CA114,DL_KEY,0)),"M")</f>
        <v>M</v>
      </c>
      <c r="AC114" s="35" t="str">
        <f>IFERROR(INDEX(DL_BI,MATCH($CA114,DL_KEY,0)),"M")</f>
        <v>M</v>
      </c>
      <c r="AD114" s="35" t="str">
        <f>IFERROR(INDEX(DL_Exp,MATCH($CA114,DL_KEY,0)),"M")</f>
        <v>L</v>
      </c>
      <c r="AE114" s="35" t="str">
        <f>IFERROR(INDEX(DL_Edu,MATCH($CA114,DL_KEY,0)),"M")</f>
        <v>L</v>
      </c>
      <c r="AF114" s="34" t="inlineStr">
        <is>
          <t>M</t>
        </is>
      </c>
      <c r="AG114" s="35" t="inlineStr">
        <is>
          <t>M</t>
        </is>
      </c>
      <c r="AH114" s="35" t="inlineStr">
        <is>
          <t>M</t>
        </is>
      </c>
      <c r="AI114" s="35" t="inlineStr">
        <is>
          <t>M</t>
        </is>
      </c>
      <c r="AJ114" s="35" t="inlineStr">
        <is>
          <t>M</t>
        </is>
      </c>
      <c r="AK114" s="35" t="inlineStr">
        <is>
          <t>M</t>
        </is>
      </c>
      <c r="AL114" s="35" t="inlineStr">
        <is>
          <t>M</t>
        </is>
      </c>
      <c r="AM114" s="36" t="n">
        <v>0.37</v>
      </c>
      <c r="AN114" s="37" t="n">
        <v>0.183</v>
      </c>
      <c r="AO114" s="37" t="n">
        <v>0.113</v>
      </c>
      <c r="AP114" s="37" t="n">
        <v>0.15</v>
      </c>
      <c r="AQ114" s="37" t="n">
        <v>0.08699999999999999</v>
      </c>
      <c r="AR114" s="37" t="n">
        <v>0.06</v>
      </c>
      <c r="AS114" s="37" t="n">
        <v>0.04</v>
      </c>
      <c r="AT114" s="38" t="inlineStr">
        <is>
          <t>6–10</t>
        </is>
      </c>
      <c r="AU114" s="38" t="inlineStr">
        <is>
          <t>Graduate or postgraduate; professional qualification preferred</t>
        </is>
      </c>
      <c r="AV114" s="38" t="inlineStr">
        <is>
          <t>IC: none · People: 6–8 knowledge work, 8–12 standardised delivery</t>
        </is>
      </c>
      <c r="AW114" s="38" t="inlineStr">
        <is>
          <t>P4 / M3 · SFIA 4–5</t>
        </is>
      </c>
      <c r="AX1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4" s="39" t="inlineStr">
        <is>
          <t>B2</t>
        </is>
      </c>
      <c r="AZ114" s="40" t="inlineStr">
        <is>
          <t>Band B · Specialist / Manager · Manager</t>
        </is>
      </c>
      <c r="BA114" s="40" t="inlineStr">
        <is>
          <t>Model B2 from the six ratings, the market-derived weights and rules R1–R13 · then No change · already below the manager</t>
        </is>
      </c>
      <c r="BB114" s="41" t="inlineStr">
        <is>
          <t>B2</t>
        </is>
      </c>
      <c r="BC114" s="40" t="inlineStr">
        <is>
          <t>The six ratings on the market-average weights of Band B · People Manager score 4.54 → B2 · Hay, Mercer IPE and public plans · experience 15.3 yrs vs the B2 market range 6–10</t>
        </is>
      </c>
      <c r="BD114" s="42">
        <f>IF(SUM(BM114,BN114,BO114,BP114,BQ114,BR114,BS114)=0,0,(BM114*BT114+BN114*BU114+BO114*BV114+BP114*BW114+BQ114*BX114+BR114*BY114+BS114*BZ114)/SUM(BM114,BN114,BO114,BP114,BQ114,BR114,BS114))</f>
        <v>0</v>
      </c>
      <c r="BE114" s="41" t="str">
        <f>IF(LEFT(AY114,1)="X",AY114,IF(OR(AY114="B+",AY114="C+"),INDEX(LAD_PC,MAX(1,MIN(14,MATCH(AY114,LAD_PC,0)+IF(BD114&gt;=0.5,1,IF(BD114&lt;=-0.5,-1,0))))),INDEX(LAD_STD,MAX(1,MIN(12,MATCH(AY114,LAD_STD,0)+IF(BD114&gt;=0.5,1,IF(BD114&lt;=-0.5,-1,0)))))))</f>
        <v>B2</v>
      </c>
      <c r="BF114" s="43" t="n"/>
      <c r="BG114" s="41" t="str">
        <f>IF(BF114&lt;&gt;"",BF114,BE114)</f>
        <v>B2</v>
      </c>
      <c r="BH114" s="40" t="str">
        <f>IFERROR(CHOOSE(INDEX(B_RANK,MATCH(BG114,B_LVL,0)),"Band A","Band B","B+ · Player-Coach","Band C","C+ · Player-Coach","Band D","Band E"),"Band X · Consultant")</f>
        <v>Band B</v>
      </c>
      <c r="BI114" s="40" t="str">
        <f>IF(BG114=AY114,"• Same",IF(INDEX(B_VAL,MATCH(BG114,B_LVL,0))&gt;INDEX(B_VAL,MATCH(AY114,B_LVL,0)),"▲ Up","▼ Down"))</f>
        <v>• Same</v>
      </c>
      <c r="BJ114" s="40" t="str">
        <f>IF(OR($M114="",$M114="—",$M114="Not in this file"),"",IFERROR(INDEX($BG$7:$BG$592,MATCH($M114,$D$7:$D$592,0)),""))</f>
        <v>C2</v>
      </c>
      <c r="BK114" s="40" t="str">
        <f>IFERROR(IF(BJ114="","—",IF(OR(LEFT(BG114,1)="X",LEFT(BJ114,1)="X"),"—",IF(AND(LEFT(BG114,1)="E",LEFT(BJ114,1)="E"),"Exception · Band E",IF(AND(INDEX(B_VAL,MATCH(BJ114,B_LVL,0))&gt;=7,INDEX(B_RANK,MATCH(BG114,B_LVL,0))&gt;=INDEX(B_RANK,MATCH(BJ114,B_LVL,0))),"⚠ Same band as a head manager",IF(INDEX(B_VAL,MATCH(BG114,B_LVL,0))&gt;=INDEX(B_VAL,MATCH(BJ114,B_LVL,0)),"⚠ At or above the manager's level","OK"))))),"—")</f>
        <v>OK</v>
      </c>
      <c r="BL114" s="43" t="n"/>
      <c r="BM114" s="44">
        <f>IFERROR(INDEX(LMH_PTS,MATCH(Y114,LMH_KEY,0)),0)</f>
        <v>9</v>
      </c>
      <c r="BN114" s="38">
        <f>IFERROR(INDEX(LMH_PTS,MATCH(Z114,LMH_KEY,0)),0)</f>
        <v>3</v>
      </c>
      <c r="BO114" s="38">
        <f>IFERROR(INDEX(LMH_PTS,MATCH(AA114,LMH_KEY,0)),0)</f>
        <v>3</v>
      </c>
      <c r="BP114" s="38">
        <f>IFERROR(INDEX(LMH_PTS,MATCH(AB114,LMH_KEY,0)),0)</f>
        <v>3</v>
      </c>
      <c r="BQ114" s="38">
        <f>IFERROR(INDEX(LMH_PTS,MATCH(AC114,LMH_KEY,0)),0)</f>
        <v>3</v>
      </c>
      <c r="BR114" s="38">
        <f>IFERROR(INDEX(LMH_PTS,MATCH(AD114,LMH_KEY,0)),0)</f>
        <v>1</v>
      </c>
      <c r="BS114" s="38">
        <f>IFERROR(INDEX(LMH_PTS,MATCH(AE114,LMH_KEY,0)),0)</f>
        <v>1</v>
      </c>
      <c r="BT114" s="38">
        <f>IFERROR(INDEX(LMH_STEP,MATCH(AF114,LMH_KEY,0)),0)</f>
        <v>0</v>
      </c>
      <c r="BU114" s="38">
        <f>IFERROR(INDEX(LMH_STEP,MATCH(AG114,LMH_KEY,0)),0)</f>
        <v>0</v>
      </c>
      <c r="BV114" s="38">
        <f>IFERROR(INDEX(LMH_STEP,MATCH(AH114,LMH_KEY,0)),0)</f>
        <v>0</v>
      </c>
      <c r="BW114" s="38">
        <f>IFERROR(INDEX(LMH_STEP,MATCH(AI114,LMH_KEY,0)),0)</f>
        <v>0</v>
      </c>
      <c r="BX114" s="38">
        <f>IFERROR(INDEX(LMH_STEP,MATCH(AJ114,LMH_KEY,0)),0)</f>
        <v>0</v>
      </c>
      <c r="BY114" s="38">
        <f>IFERROR(INDEX(LMH_STEP,MATCH(AK114,LMH_KEY,0)),0)</f>
        <v>0</v>
      </c>
      <c r="BZ114" s="38">
        <f>IFERROR(INDEX(LMH_STEP,MATCH(AL114,LMH_KEY,0)),0)</f>
        <v>0</v>
      </c>
      <c r="CA114" s="38" t="inlineStr">
        <is>
          <t>CARBON|Support|Support Manager|B2|B-M</t>
        </is>
      </c>
    </row>
    <row r="115" ht="110" customHeight="1">
      <c r="A115" s="28" t="inlineStr">
        <is>
          <t>CARBON</t>
        </is>
      </c>
      <c r="B115" s="29" t="inlineStr">
        <is>
          <t>Support</t>
        </is>
      </c>
      <c r="C115" s="29" t="n">
        <v>5</v>
      </c>
      <c r="D115" s="29" t="inlineStr">
        <is>
          <t>IRIS2081</t>
        </is>
      </c>
      <c r="E115" s="29" t="inlineStr">
        <is>
          <t>Chandra Sekhar Sahu</t>
        </is>
      </c>
      <c r="F115" s="29" t="inlineStr">
        <is>
          <t>Executive- Customer Support</t>
        </is>
      </c>
      <c r="G115" s="29" t="inlineStr">
        <is>
          <t>Senior Support Executive</t>
        </is>
      </c>
      <c r="H115" s="29" t="inlineStr">
        <is>
          <t>Customer Success &amp; Support</t>
        </is>
      </c>
      <c r="I115" s="29" t="inlineStr">
        <is>
          <t>Application &amp; Product Support</t>
        </is>
      </c>
      <c r="J115" s="29" t="inlineStr">
        <is>
          <t>IC</t>
        </is>
      </c>
      <c r="K115" s="29" t="inlineStr">
        <is>
          <t>RC-031</t>
        </is>
      </c>
      <c r="L115" s="29" t="inlineStr">
        <is>
          <t>Harshal Shah</t>
        </is>
      </c>
      <c r="M115" s="29" t="inlineStr">
        <is>
          <t>IRIS0662</t>
        </is>
      </c>
      <c r="N115" s="29" t="n">
        <v>5.5</v>
      </c>
      <c r="O115" s="29" t="n">
        <v>3.8</v>
      </c>
      <c r="P115" s="29" t="inlineStr">
        <is>
          <t>B.Com</t>
        </is>
      </c>
      <c r="Q115" s="29" t="inlineStr">
        <is>
          <t>L3 – Professional / Associate</t>
        </is>
      </c>
      <c r="R115" s="29" t="inlineStr">
        <is>
          <t>A3</t>
        </is>
      </c>
      <c r="S115" s="30" t="inlineStr">
        <is>
          <t>20 of 20</t>
        </is>
      </c>
      <c r="T115" s="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t>
        </is>
      </c>
      <c r="U115"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5" s="31" t="inlineStr">
        <is>
          <t>Latest rating: 3 · Potential: Medium · 9-box: Trusted Professional · Readiness: Develop in role</t>
        </is>
      </c>
      <c r="W115" s="31" t="inlineStr">
        <is>
          <t>C M · Au L · Ac L · L L · BI L · Exp H · 5.5 yrs vs 2–4 yrs · Edu M · B.Com</t>
        </is>
      </c>
      <c r="X115" s="33" t="inlineStr">
        <is>
          <t>Open ▸</t>
        </is>
      </c>
      <c r="Y115" s="34" t="str">
        <f>IFERROR(INDEX(DL_C,MATCH($CA115,DL_KEY,0)),"M")</f>
        <v>H</v>
      </c>
      <c r="Z115" s="35" t="str">
        <f>IFERROR(INDEX(DL_Au,MATCH($CA115,DL_KEY,0)),"M")</f>
        <v>M</v>
      </c>
      <c r="AA115" s="35" t="str">
        <f>IFERROR(INDEX(DL_Ac,MATCH($CA115,DL_KEY,0)),"M")</f>
        <v>M</v>
      </c>
      <c r="AB115" s="35" t="str">
        <f>IFERROR(INDEX(DL_L,MATCH($CA115,DL_KEY,0)),"M")</f>
        <v>L</v>
      </c>
      <c r="AC115" s="35" t="str">
        <f>IFERROR(INDEX(DL_BI,MATCH($CA115,DL_KEY,0)),"M")</f>
        <v>M</v>
      </c>
      <c r="AD115" s="35" t="str">
        <f>IFERROR(INDEX(DL_Exp,MATCH($CA115,DL_KEY,0)),"M")</f>
        <v>L</v>
      </c>
      <c r="AE115" s="35" t="str">
        <f>IFERROR(INDEX(DL_Edu,MATCH($CA115,DL_KEY,0)),"M")</f>
        <v>L</v>
      </c>
      <c r="AF115" s="34" t="inlineStr">
        <is>
          <t>M</t>
        </is>
      </c>
      <c r="AG115" s="35" t="inlineStr">
        <is>
          <t>M</t>
        </is>
      </c>
      <c r="AH115" s="35" t="inlineStr">
        <is>
          <t>M</t>
        </is>
      </c>
      <c r="AI115" s="35" t="inlineStr">
        <is>
          <t>M</t>
        </is>
      </c>
      <c r="AJ115" s="35" t="inlineStr">
        <is>
          <t>M</t>
        </is>
      </c>
      <c r="AK115" s="35" t="inlineStr">
        <is>
          <t>M</t>
        </is>
      </c>
      <c r="AL115" s="35" t="inlineStr">
        <is>
          <t>M</t>
        </is>
      </c>
      <c r="AM115" s="36" t="n">
        <v>0.583</v>
      </c>
      <c r="AN115" s="37" t="n">
        <v>0.16</v>
      </c>
      <c r="AO115" s="37" t="n">
        <v>0.09</v>
      </c>
      <c r="AP115" s="37" t="n">
        <v>0</v>
      </c>
      <c r="AQ115" s="37" t="n">
        <v>0.063</v>
      </c>
      <c r="AR115" s="37" t="n">
        <v>0.06</v>
      </c>
      <c r="AS115" s="37" t="n">
        <v>0.04</v>
      </c>
      <c r="AT115" s="38" t="inlineStr">
        <is>
          <t>2–5</t>
        </is>
      </c>
      <c r="AU115" s="38" t="inlineStr">
        <is>
          <t>Graduate; relevant certification preferred</t>
        </is>
      </c>
      <c r="AV115" s="38" t="inlineStr">
        <is>
          <t>None · guides 1–3 juniors informally</t>
        </is>
      </c>
      <c r="AW115" s="38" t="inlineStr">
        <is>
          <t>P2 · SFIA 3 Apply</t>
        </is>
      </c>
      <c r="AX1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5" s="39" t="inlineStr">
        <is>
          <t>A3</t>
        </is>
      </c>
      <c r="AZ115" s="40" t="inlineStr">
        <is>
          <t>Band A · Practitioner · Senior Associate</t>
        </is>
      </c>
      <c r="BA115" s="40" t="inlineStr">
        <is>
          <t>Model A3 from the six ratings, the market-derived weights and rules R1–R13 · then No change · already below the manager</t>
        </is>
      </c>
      <c r="BB115" s="41" t="inlineStr">
        <is>
          <t>A2</t>
        </is>
      </c>
      <c r="BC115" s="40" t="inlineStr">
        <is>
          <t>The six ratings on the market-average weights of Band A · all tracks score 2.49 → A2 · Hay, Mercer IPE and public plans · experience 5.5 yrs vs the A2 market range 0–3</t>
        </is>
      </c>
      <c r="BD115" s="42">
        <f>IF(SUM(BM115,BN115,BO115,BP115,BQ115,BR115,BS115)=0,0,(BM115*BT115+BN115*BU115+BO115*BV115+BP115*BW115+BQ115*BX115+BR115*BY115+BS115*BZ115)/SUM(BM115,BN115,BO115,BP115,BQ115,BR115,BS115))</f>
        <v>0</v>
      </c>
      <c r="BE115" s="41" t="str">
        <f>IF(LEFT(AY115,1)="X",AY115,IF(OR(AY115="B+",AY115="C+"),INDEX(LAD_PC,MAX(1,MIN(14,MATCH(AY115,LAD_PC,0)+IF(BD115&gt;=0.5,1,IF(BD115&lt;=-0.5,-1,0))))),INDEX(LAD_STD,MAX(1,MIN(12,MATCH(AY115,LAD_STD,0)+IF(BD115&gt;=0.5,1,IF(BD115&lt;=-0.5,-1,0)))))))</f>
        <v>A3</v>
      </c>
      <c r="BF115" s="43" t="n"/>
      <c r="BG115" s="41" t="str">
        <f>IF(BF115&lt;&gt;"",BF115,BE115)</f>
        <v>A3</v>
      </c>
      <c r="BH115" s="40" t="str">
        <f>IFERROR(CHOOSE(INDEX(B_RANK,MATCH(BG115,B_LVL,0)),"Band A","Band B","B+ · Player-Coach","Band C","C+ · Player-Coach","Band D","Band E"),"Band X · Consultant")</f>
        <v>Band A</v>
      </c>
      <c r="BI115" s="40" t="str">
        <f>IF(BG115=AY115,"• Same",IF(INDEX(B_VAL,MATCH(BG115,B_LVL,0))&gt;INDEX(B_VAL,MATCH(AY115,B_LVL,0)),"▲ Up","▼ Down"))</f>
        <v>• Same</v>
      </c>
      <c r="BJ115" s="40" t="str">
        <f>IF(OR($M115="",$M115="—",$M115="Not in this file"),"",IFERROR(INDEX($BG$7:$BG$592,MATCH($M115,$D$7:$D$592,0)),""))</f>
        <v>B2</v>
      </c>
      <c r="BK115" s="40" t="str">
        <f>IFERROR(IF(BJ115="","—",IF(OR(LEFT(BG115,1)="X",LEFT(BJ115,1)="X"),"—",IF(AND(LEFT(BG115,1)="E",LEFT(BJ115,1)="E"),"Exception · Band E",IF(AND(INDEX(B_VAL,MATCH(BJ115,B_LVL,0))&gt;=7,INDEX(B_RANK,MATCH(BG115,B_LVL,0))&gt;=INDEX(B_RANK,MATCH(BJ115,B_LVL,0))),"⚠ Same band as a head manager",IF(INDEX(B_VAL,MATCH(BG115,B_LVL,0))&gt;=INDEX(B_VAL,MATCH(BJ115,B_LVL,0)),"⚠ At or above the manager's level","OK"))))),"—")</f>
        <v>OK</v>
      </c>
      <c r="BL115" s="43" t="n"/>
      <c r="BM115" s="44">
        <f>IFERROR(INDEX(LMH_PTS,MATCH(Y115,LMH_KEY,0)),0)</f>
        <v>9</v>
      </c>
      <c r="BN115" s="38">
        <f>IFERROR(INDEX(LMH_PTS,MATCH(Z115,LMH_KEY,0)),0)</f>
        <v>3</v>
      </c>
      <c r="BO115" s="38">
        <f>IFERROR(INDEX(LMH_PTS,MATCH(AA115,LMH_KEY,0)),0)</f>
        <v>3</v>
      </c>
      <c r="BP115" s="38">
        <f>IFERROR(INDEX(LMH_PTS,MATCH(AB115,LMH_KEY,0)),0)</f>
        <v>1</v>
      </c>
      <c r="BQ115" s="38">
        <f>IFERROR(INDEX(LMH_PTS,MATCH(AC115,LMH_KEY,0)),0)</f>
        <v>3</v>
      </c>
      <c r="BR115" s="38">
        <f>IFERROR(INDEX(LMH_PTS,MATCH(AD115,LMH_KEY,0)),0)</f>
        <v>1</v>
      </c>
      <c r="BS115" s="38">
        <f>IFERROR(INDEX(LMH_PTS,MATCH(AE115,LMH_KEY,0)),0)</f>
        <v>1</v>
      </c>
      <c r="BT115" s="38">
        <f>IFERROR(INDEX(LMH_STEP,MATCH(AF115,LMH_KEY,0)),0)</f>
        <v>0</v>
      </c>
      <c r="BU115" s="38">
        <f>IFERROR(INDEX(LMH_STEP,MATCH(AG115,LMH_KEY,0)),0)</f>
        <v>0</v>
      </c>
      <c r="BV115" s="38">
        <f>IFERROR(INDEX(LMH_STEP,MATCH(AH115,LMH_KEY,0)),0)</f>
        <v>0</v>
      </c>
      <c r="BW115" s="38">
        <f>IFERROR(INDEX(LMH_STEP,MATCH(AI115,LMH_KEY,0)),0)</f>
        <v>0</v>
      </c>
      <c r="BX115" s="38">
        <f>IFERROR(INDEX(LMH_STEP,MATCH(AJ115,LMH_KEY,0)),0)</f>
        <v>0</v>
      </c>
      <c r="BY115" s="38">
        <f>IFERROR(INDEX(LMH_STEP,MATCH(AK115,LMH_KEY,0)),0)</f>
        <v>0</v>
      </c>
      <c r="BZ115" s="38">
        <f>IFERROR(INDEX(LMH_STEP,MATCH(AL115,LMH_KEY,0)),0)</f>
        <v>0</v>
      </c>
      <c r="CA115" s="38" t="inlineStr">
        <is>
          <t>CARBON|Support|Senior Support Executive|A3|A</t>
        </is>
      </c>
    </row>
    <row r="116" ht="110" customHeight="1">
      <c r="A116" s="28" t="inlineStr">
        <is>
          <t>CARBON</t>
        </is>
      </c>
      <c r="B116" s="29" t="inlineStr">
        <is>
          <t>Support</t>
        </is>
      </c>
      <c r="C116" s="29" t="n">
        <v>5</v>
      </c>
      <c r="D116" s="29" t="inlineStr">
        <is>
          <t>IRIS1951</t>
        </is>
      </c>
      <c r="E116" s="29" t="inlineStr">
        <is>
          <t>Kiran Pawar</t>
        </is>
      </c>
      <c r="F116" s="29" t="inlineStr">
        <is>
          <t>Executive- Product Support</t>
        </is>
      </c>
      <c r="G116" s="29" t="inlineStr">
        <is>
          <t>Senior Support Executive</t>
        </is>
      </c>
      <c r="H116" s="29" t="inlineStr">
        <is>
          <t>Customer Success &amp; Support</t>
        </is>
      </c>
      <c r="I116" s="29" t="inlineStr">
        <is>
          <t>Application &amp; Product Support</t>
        </is>
      </c>
      <c r="J116" s="29" t="inlineStr">
        <is>
          <t>IC</t>
        </is>
      </c>
      <c r="K116" s="29" t="inlineStr">
        <is>
          <t>RC-031</t>
        </is>
      </c>
      <c r="L116" s="29" t="inlineStr">
        <is>
          <t>Harshal Shah</t>
        </is>
      </c>
      <c r="M116" s="29" t="inlineStr">
        <is>
          <t>IRIS0662</t>
        </is>
      </c>
      <c r="N116" s="29" t="n">
        <v>8.6</v>
      </c>
      <c r="O116" s="29" t="n">
        <v>5</v>
      </c>
      <c r="P116" s="29" t="inlineStr">
        <is>
          <t>B.Com</t>
        </is>
      </c>
      <c r="Q116" s="29" t="inlineStr">
        <is>
          <t>L3 – Professional / Associate</t>
        </is>
      </c>
      <c r="R116" s="29" t="inlineStr">
        <is>
          <t>A3</t>
        </is>
      </c>
      <c r="S116" s="30" t="inlineStr">
        <is>
          <t>20 of 20</t>
        </is>
      </c>
      <c r="T116" s="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t>
        </is>
      </c>
      <c r="U116"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6" s="31" t="inlineStr">
        <is>
          <t>Latest rating: 4 · Potential: Medium · 9-box: High Impact / Growth Talent · Readiness: Ready in 6–12 months</t>
        </is>
      </c>
      <c r="W116" s="31" t="inlineStr">
        <is>
          <t>C L · Au L · Ac L · L L · BI M · Exp H · 8.6 yrs vs 4–7 yrs · Edu M · B.Com</t>
        </is>
      </c>
      <c r="X116" s="33" t="inlineStr">
        <is>
          <t>Open ▸</t>
        </is>
      </c>
      <c r="Y116" s="34" t="str">
        <f>IFERROR(INDEX(DL_C,MATCH($CA116,DL_KEY,0)),"M")</f>
        <v>H</v>
      </c>
      <c r="Z116" s="35" t="str">
        <f>IFERROR(INDEX(DL_Au,MATCH($CA116,DL_KEY,0)),"M")</f>
        <v>M</v>
      </c>
      <c r="AA116" s="35" t="str">
        <f>IFERROR(INDEX(DL_Ac,MATCH($CA116,DL_KEY,0)),"M")</f>
        <v>M</v>
      </c>
      <c r="AB116" s="35" t="str">
        <f>IFERROR(INDEX(DL_L,MATCH($CA116,DL_KEY,0)),"M")</f>
        <v>L</v>
      </c>
      <c r="AC116" s="35" t="str">
        <f>IFERROR(INDEX(DL_BI,MATCH($CA116,DL_KEY,0)),"M")</f>
        <v>M</v>
      </c>
      <c r="AD116" s="35" t="str">
        <f>IFERROR(INDEX(DL_Exp,MATCH($CA116,DL_KEY,0)),"M")</f>
        <v>L</v>
      </c>
      <c r="AE116" s="35" t="str">
        <f>IFERROR(INDEX(DL_Edu,MATCH($CA116,DL_KEY,0)),"M")</f>
        <v>L</v>
      </c>
      <c r="AF116" s="34" t="inlineStr">
        <is>
          <t>M</t>
        </is>
      </c>
      <c r="AG116" s="35" t="inlineStr">
        <is>
          <t>M</t>
        </is>
      </c>
      <c r="AH116" s="35" t="inlineStr">
        <is>
          <t>M</t>
        </is>
      </c>
      <c r="AI116" s="35" t="inlineStr">
        <is>
          <t>M</t>
        </is>
      </c>
      <c r="AJ116" s="35" t="inlineStr">
        <is>
          <t>M</t>
        </is>
      </c>
      <c r="AK116" s="35" t="inlineStr">
        <is>
          <t>M</t>
        </is>
      </c>
      <c r="AL116" s="35" t="inlineStr">
        <is>
          <t>M</t>
        </is>
      </c>
      <c r="AM116" s="36" t="n">
        <v>0.513</v>
      </c>
      <c r="AN116" s="37" t="n">
        <v>0.173</v>
      </c>
      <c r="AO116" s="37" t="n">
        <v>0.09699999999999999</v>
      </c>
      <c r="AP116" s="37" t="n">
        <v>0.05</v>
      </c>
      <c r="AQ116" s="37" t="n">
        <v>0.07000000000000001</v>
      </c>
      <c r="AR116" s="37" t="n">
        <v>0.06</v>
      </c>
      <c r="AS116" s="37" t="n">
        <v>0.04</v>
      </c>
      <c r="AT116" s="38" t="inlineStr">
        <is>
          <t>4–8</t>
        </is>
      </c>
      <c r="AU116" s="38" t="inlineStr">
        <is>
          <t>Graduate + relevant qualification or certification preferred</t>
        </is>
      </c>
      <c r="AV116" s="38" t="inlineStr">
        <is>
          <t>IC: none · Team Lead: 3–5</t>
        </is>
      </c>
      <c r="AW116" s="38" t="inlineStr">
        <is>
          <t>P3 / M2 · SFIA 4 Enable</t>
        </is>
      </c>
      <c r="AX1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6" s="39" t="inlineStr">
        <is>
          <t>B1</t>
        </is>
      </c>
      <c r="AZ116" s="40" t="inlineStr">
        <is>
          <t>Band B · Specialist / Manager · Specialist</t>
        </is>
      </c>
      <c r="BA116" s="40" t="inlineStr">
        <is>
          <t>Model A3 from the six ratings, the market-derived weights and rules R1–R13 · then Leads people at or above their own level · A3 → B1 Team Lead</t>
        </is>
      </c>
      <c r="BB116" s="41" t="inlineStr">
        <is>
          <t>A3</t>
        </is>
      </c>
      <c r="BC116" s="40" t="inlineStr">
        <is>
          <t>The six ratings on the market-average weights of Band B · Specialist / POD Lead score 3.00 → A3 · Hay, Mercer IPE and public plans · experience 8.6 yrs vs the A3 market range 2–5</t>
        </is>
      </c>
      <c r="BD116" s="42">
        <f>IF(SUM(BM116,BN116,BO116,BP116,BQ116,BR116,BS116)=0,0,(BM116*BT116+BN116*BU116+BO116*BV116+BP116*BW116+BQ116*BX116+BR116*BY116+BS116*BZ116)/SUM(BM116,BN116,BO116,BP116,BQ116,BR116,BS116))</f>
        <v>0</v>
      </c>
      <c r="BE116" s="41" t="str">
        <f>IF(LEFT(AY116,1)="X",AY116,IF(OR(AY116="B+",AY116="C+"),INDEX(LAD_PC,MAX(1,MIN(14,MATCH(AY116,LAD_PC,0)+IF(BD116&gt;=0.5,1,IF(BD116&lt;=-0.5,-1,0))))),INDEX(LAD_STD,MAX(1,MIN(12,MATCH(AY116,LAD_STD,0)+IF(BD116&gt;=0.5,1,IF(BD116&lt;=-0.5,-1,0)))))))</f>
        <v>B1</v>
      </c>
      <c r="BF116" s="43" t="n"/>
      <c r="BG116" s="41" t="str">
        <f>IF(BF116&lt;&gt;"",BF116,BE116)</f>
        <v>B1</v>
      </c>
      <c r="BH116" s="40" t="str">
        <f>IFERROR(CHOOSE(INDEX(B_RANK,MATCH(BG116,B_LVL,0)),"Band A","Band B","B+ · Player-Coach","Band C","C+ · Player-Coach","Band D","Band E"),"Band X · Consultant")</f>
        <v>Band B</v>
      </c>
      <c r="BI116" s="40" t="str">
        <f>IF(BG116=AY116,"• Same",IF(INDEX(B_VAL,MATCH(BG116,B_LVL,0))&gt;INDEX(B_VAL,MATCH(AY116,B_LVL,0)),"▲ Up","▼ Down"))</f>
        <v>• Same</v>
      </c>
      <c r="BJ116" s="40" t="str">
        <f>IF(OR($M116="",$M116="—",$M116="Not in this file"),"",IFERROR(INDEX($BG$7:$BG$592,MATCH($M116,$D$7:$D$592,0)),""))</f>
        <v>B2</v>
      </c>
      <c r="BK116" s="40" t="str">
        <f>IFERROR(IF(BJ116="","—",IF(OR(LEFT(BG116,1)="X",LEFT(BJ116,1)="X"),"—",IF(AND(LEFT(BG116,1)="E",LEFT(BJ116,1)="E"),"Exception · Band E",IF(AND(INDEX(B_VAL,MATCH(BJ116,B_LVL,0))&gt;=7,INDEX(B_RANK,MATCH(BG116,B_LVL,0))&gt;=INDEX(B_RANK,MATCH(BJ116,B_LVL,0))),"⚠ Same band as a head manager",IF(INDEX(B_VAL,MATCH(BG116,B_LVL,0))&gt;=INDEX(B_VAL,MATCH(BJ116,B_LVL,0)),"⚠ At or above the manager's level","OK"))))),"—")</f>
        <v>OK</v>
      </c>
      <c r="BL116" s="43" t="n"/>
      <c r="BM116" s="44">
        <f>IFERROR(INDEX(LMH_PTS,MATCH(Y116,LMH_KEY,0)),0)</f>
        <v>9</v>
      </c>
      <c r="BN116" s="38">
        <f>IFERROR(INDEX(LMH_PTS,MATCH(Z116,LMH_KEY,0)),0)</f>
        <v>3</v>
      </c>
      <c r="BO116" s="38">
        <f>IFERROR(INDEX(LMH_PTS,MATCH(AA116,LMH_KEY,0)),0)</f>
        <v>3</v>
      </c>
      <c r="BP116" s="38">
        <f>IFERROR(INDEX(LMH_PTS,MATCH(AB116,LMH_KEY,0)),0)</f>
        <v>1</v>
      </c>
      <c r="BQ116" s="38">
        <f>IFERROR(INDEX(LMH_PTS,MATCH(AC116,LMH_KEY,0)),0)</f>
        <v>3</v>
      </c>
      <c r="BR116" s="38">
        <f>IFERROR(INDEX(LMH_PTS,MATCH(AD116,LMH_KEY,0)),0)</f>
        <v>1</v>
      </c>
      <c r="BS116" s="38">
        <f>IFERROR(INDEX(LMH_PTS,MATCH(AE116,LMH_KEY,0)),0)</f>
        <v>1</v>
      </c>
      <c r="BT116" s="38">
        <f>IFERROR(INDEX(LMH_STEP,MATCH(AF116,LMH_KEY,0)),0)</f>
        <v>0</v>
      </c>
      <c r="BU116" s="38">
        <f>IFERROR(INDEX(LMH_STEP,MATCH(AG116,LMH_KEY,0)),0)</f>
        <v>0</v>
      </c>
      <c r="BV116" s="38">
        <f>IFERROR(INDEX(LMH_STEP,MATCH(AH116,LMH_KEY,0)),0)</f>
        <v>0</v>
      </c>
      <c r="BW116" s="38">
        <f>IFERROR(INDEX(LMH_STEP,MATCH(AI116,LMH_KEY,0)),0)</f>
        <v>0</v>
      </c>
      <c r="BX116" s="38">
        <f>IFERROR(INDEX(LMH_STEP,MATCH(AJ116,LMH_KEY,0)),0)</f>
        <v>0</v>
      </c>
      <c r="BY116" s="38">
        <f>IFERROR(INDEX(LMH_STEP,MATCH(AK116,LMH_KEY,0)),0)</f>
        <v>0</v>
      </c>
      <c r="BZ116" s="38">
        <f>IFERROR(INDEX(LMH_STEP,MATCH(AL116,LMH_KEY,0)),0)</f>
        <v>0</v>
      </c>
      <c r="CA116" s="38" t="inlineStr">
        <is>
          <t>CARBON|Support|Senior Support Executive|B1|B-IC</t>
        </is>
      </c>
    </row>
    <row r="117" ht="110" customHeight="1">
      <c r="A117" s="28" t="inlineStr">
        <is>
          <t>CARBON</t>
        </is>
      </c>
      <c r="B117" s="29" t="inlineStr">
        <is>
          <t>Support</t>
        </is>
      </c>
      <c r="C117" s="29" t="n">
        <v>6</v>
      </c>
      <c r="D117" s="29" t="inlineStr">
        <is>
          <t>IRIS2346</t>
        </is>
      </c>
      <c r="E117" s="29" t="inlineStr">
        <is>
          <t>Ravindra Kanojiya</t>
        </is>
      </c>
      <c r="F117" s="29" t="inlineStr">
        <is>
          <t>Client Support Executive</t>
        </is>
      </c>
      <c r="G117" s="29" t="inlineStr">
        <is>
          <t>Senior Support Executive</t>
        </is>
      </c>
      <c r="H117" s="29" t="inlineStr">
        <is>
          <t>Customer Success &amp; Support</t>
        </is>
      </c>
      <c r="I117" s="29" t="inlineStr">
        <is>
          <t>Application &amp; Product Support</t>
        </is>
      </c>
      <c r="J117" s="29" t="inlineStr">
        <is>
          <t>IC</t>
        </is>
      </c>
      <c r="K117" s="29" t="inlineStr">
        <is>
          <t>RC-031</t>
        </is>
      </c>
      <c r="L117" s="29" t="inlineStr">
        <is>
          <t>Kiran Pawar</t>
        </is>
      </c>
      <c r="M117" s="29" t="inlineStr">
        <is>
          <t>IRIS1951</t>
        </is>
      </c>
      <c r="N117" s="29" t="n">
        <v>8.300000000000001</v>
      </c>
      <c r="O117" s="29" t="n">
        <v>1.6</v>
      </c>
      <c r="P117" s="29" t="inlineStr">
        <is>
          <t>MBA</t>
        </is>
      </c>
      <c r="Q117" s="29" t="inlineStr">
        <is>
          <t>L3 – Professional / Associate</t>
        </is>
      </c>
      <c r="R117" s="29" t="inlineStr">
        <is>
          <t>A3</t>
        </is>
      </c>
      <c r="S117" s="30" t="inlineStr">
        <is>
          <t>20 of 20</t>
        </is>
      </c>
      <c r="T117" s="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t>
        </is>
      </c>
      <c r="U117"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7" s="31" t="inlineStr">
        <is>
          <t>Latest rating: 3 · Potential: Low · 9-box: Core Contributor · Readiness: Develop in role</t>
        </is>
      </c>
      <c r="W117" s="31" t="inlineStr">
        <is>
          <t>C L · Au L · Ac L · L L · BI L · Exp H · 8.3 yrs vs 2–4 yrs · Edu H · MBA</t>
        </is>
      </c>
      <c r="X117" s="33" t="inlineStr">
        <is>
          <t>Open ▸</t>
        </is>
      </c>
      <c r="Y117" s="34" t="str">
        <f>IFERROR(INDEX(DL_C,MATCH($CA117,DL_KEY,0)),"M")</f>
        <v>H</v>
      </c>
      <c r="Z117" s="35" t="str">
        <f>IFERROR(INDEX(DL_Au,MATCH($CA117,DL_KEY,0)),"M")</f>
        <v>M</v>
      </c>
      <c r="AA117" s="35" t="str">
        <f>IFERROR(INDEX(DL_Ac,MATCH($CA117,DL_KEY,0)),"M")</f>
        <v>M</v>
      </c>
      <c r="AB117" s="35" t="str">
        <f>IFERROR(INDEX(DL_L,MATCH($CA117,DL_KEY,0)),"M")</f>
        <v>L</v>
      </c>
      <c r="AC117" s="35" t="str">
        <f>IFERROR(INDEX(DL_BI,MATCH($CA117,DL_KEY,0)),"M")</f>
        <v>M</v>
      </c>
      <c r="AD117" s="35" t="str">
        <f>IFERROR(INDEX(DL_Exp,MATCH($CA117,DL_KEY,0)),"M")</f>
        <v>L</v>
      </c>
      <c r="AE117" s="35" t="str">
        <f>IFERROR(INDEX(DL_Edu,MATCH($CA117,DL_KEY,0)),"M")</f>
        <v>L</v>
      </c>
      <c r="AF117" s="34" t="inlineStr">
        <is>
          <t>M</t>
        </is>
      </c>
      <c r="AG117" s="35" t="inlineStr">
        <is>
          <t>M</t>
        </is>
      </c>
      <c r="AH117" s="35" t="inlineStr">
        <is>
          <t>M</t>
        </is>
      </c>
      <c r="AI117" s="35" t="inlineStr">
        <is>
          <t>M</t>
        </is>
      </c>
      <c r="AJ117" s="35" t="inlineStr">
        <is>
          <t>M</t>
        </is>
      </c>
      <c r="AK117" s="35" t="inlineStr">
        <is>
          <t>M</t>
        </is>
      </c>
      <c r="AL117" s="35" t="inlineStr">
        <is>
          <t>M</t>
        </is>
      </c>
      <c r="AM117" s="36" t="n">
        <v>0.583</v>
      </c>
      <c r="AN117" s="37" t="n">
        <v>0.16</v>
      </c>
      <c r="AO117" s="37" t="n">
        <v>0.09</v>
      </c>
      <c r="AP117" s="37" t="n">
        <v>0</v>
      </c>
      <c r="AQ117" s="37" t="n">
        <v>0.063</v>
      </c>
      <c r="AR117" s="37" t="n">
        <v>0.06</v>
      </c>
      <c r="AS117" s="37" t="n">
        <v>0.04</v>
      </c>
      <c r="AT117" s="38" t="inlineStr">
        <is>
          <t>2–5</t>
        </is>
      </c>
      <c r="AU117" s="38" t="inlineStr">
        <is>
          <t>Graduate; relevant certification preferred</t>
        </is>
      </c>
      <c r="AV117" s="38" t="inlineStr">
        <is>
          <t>None · guides 1–3 juniors informally</t>
        </is>
      </c>
      <c r="AW117" s="38" t="inlineStr">
        <is>
          <t>P2 · SFIA 3 Apply</t>
        </is>
      </c>
      <c r="AX1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7" s="39" t="inlineStr">
        <is>
          <t>A3</t>
        </is>
      </c>
      <c r="AZ117" s="40" t="inlineStr">
        <is>
          <t>Band A · Practitioner · Senior Associate</t>
        </is>
      </c>
      <c r="BA117" s="40" t="inlineStr">
        <is>
          <t>Model A3 from the six ratings, the market-derived weights and rules R1–R13 · then No change · already below the manager</t>
        </is>
      </c>
      <c r="BB117" s="41" t="inlineStr">
        <is>
          <t>A2</t>
        </is>
      </c>
      <c r="BC117" s="40" t="inlineStr">
        <is>
          <t>The six ratings on the market-average weights of Band A · all tracks score 2.40 → A2 · Hay, Mercer IPE and public plans · experience 8.3 yrs vs the A2 market range 0–3</t>
        </is>
      </c>
      <c r="BD117" s="42">
        <f>IF(SUM(BM117,BN117,BO117,BP117,BQ117,BR117,BS117)=0,0,(BM117*BT117+BN117*BU117+BO117*BV117+BP117*BW117+BQ117*BX117+BR117*BY117+BS117*BZ117)/SUM(BM117,BN117,BO117,BP117,BQ117,BR117,BS117))</f>
        <v>0</v>
      </c>
      <c r="BE117" s="41" t="str">
        <f>IF(LEFT(AY117,1)="X",AY117,IF(OR(AY117="B+",AY117="C+"),INDEX(LAD_PC,MAX(1,MIN(14,MATCH(AY117,LAD_PC,0)+IF(BD117&gt;=0.5,1,IF(BD117&lt;=-0.5,-1,0))))),INDEX(LAD_STD,MAX(1,MIN(12,MATCH(AY117,LAD_STD,0)+IF(BD117&gt;=0.5,1,IF(BD117&lt;=-0.5,-1,0)))))))</f>
        <v>A3</v>
      </c>
      <c r="BF117" s="43" t="n"/>
      <c r="BG117" s="41" t="str">
        <f>IF(BF117&lt;&gt;"",BF117,BE117)</f>
        <v>A3</v>
      </c>
      <c r="BH117" s="40" t="str">
        <f>IFERROR(CHOOSE(INDEX(B_RANK,MATCH(BG117,B_LVL,0)),"Band A","Band B","B+ · Player-Coach","Band C","C+ · Player-Coach","Band D","Band E"),"Band X · Consultant")</f>
        <v>Band A</v>
      </c>
      <c r="BI117" s="40" t="str">
        <f>IF(BG117=AY117,"• Same",IF(INDEX(B_VAL,MATCH(BG117,B_LVL,0))&gt;INDEX(B_VAL,MATCH(AY117,B_LVL,0)),"▲ Up","▼ Down"))</f>
        <v>• Same</v>
      </c>
      <c r="BJ117" s="40" t="str">
        <f>IF(OR($M117="",$M117="—",$M117="Not in this file"),"",IFERROR(INDEX($BG$7:$BG$592,MATCH($M117,$D$7:$D$592,0)),""))</f>
        <v>B1</v>
      </c>
      <c r="BK117" s="40" t="str">
        <f>IFERROR(IF(BJ117="","—",IF(OR(LEFT(BG117,1)="X",LEFT(BJ117,1)="X"),"—",IF(AND(LEFT(BG117,1)="E",LEFT(BJ117,1)="E"),"Exception · Band E",IF(AND(INDEX(B_VAL,MATCH(BJ117,B_LVL,0))&gt;=7,INDEX(B_RANK,MATCH(BG117,B_LVL,0))&gt;=INDEX(B_RANK,MATCH(BJ117,B_LVL,0))),"⚠ Same band as a head manager",IF(INDEX(B_VAL,MATCH(BG117,B_LVL,0))&gt;=INDEX(B_VAL,MATCH(BJ117,B_LVL,0)),"⚠ At or above the manager's level","OK"))))),"—")</f>
        <v>OK</v>
      </c>
      <c r="BL117" s="43" t="n"/>
      <c r="BM117" s="44">
        <f>IFERROR(INDEX(LMH_PTS,MATCH(Y117,LMH_KEY,0)),0)</f>
        <v>9</v>
      </c>
      <c r="BN117" s="38">
        <f>IFERROR(INDEX(LMH_PTS,MATCH(Z117,LMH_KEY,0)),0)</f>
        <v>3</v>
      </c>
      <c r="BO117" s="38">
        <f>IFERROR(INDEX(LMH_PTS,MATCH(AA117,LMH_KEY,0)),0)</f>
        <v>3</v>
      </c>
      <c r="BP117" s="38">
        <f>IFERROR(INDEX(LMH_PTS,MATCH(AB117,LMH_KEY,0)),0)</f>
        <v>1</v>
      </c>
      <c r="BQ117" s="38">
        <f>IFERROR(INDEX(LMH_PTS,MATCH(AC117,LMH_KEY,0)),0)</f>
        <v>3</v>
      </c>
      <c r="BR117" s="38">
        <f>IFERROR(INDEX(LMH_PTS,MATCH(AD117,LMH_KEY,0)),0)</f>
        <v>1</v>
      </c>
      <c r="BS117" s="38">
        <f>IFERROR(INDEX(LMH_PTS,MATCH(AE117,LMH_KEY,0)),0)</f>
        <v>1</v>
      </c>
      <c r="BT117" s="38">
        <f>IFERROR(INDEX(LMH_STEP,MATCH(AF117,LMH_KEY,0)),0)</f>
        <v>0</v>
      </c>
      <c r="BU117" s="38">
        <f>IFERROR(INDEX(LMH_STEP,MATCH(AG117,LMH_KEY,0)),0)</f>
        <v>0</v>
      </c>
      <c r="BV117" s="38">
        <f>IFERROR(INDEX(LMH_STEP,MATCH(AH117,LMH_KEY,0)),0)</f>
        <v>0</v>
      </c>
      <c r="BW117" s="38">
        <f>IFERROR(INDEX(LMH_STEP,MATCH(AI117,LMH_KEY,0)),0)</f>
        <v>0</v>
      </c>
      <c r="BX117" s="38">
        <f>IFERROR(INDEX(LMH_STEP,MATCH(AJ117,LMH_KEY,0)),0)</f>
        <v>0</v>
      </c>
      <c r="BY117" s="38">
        <f>IFERROR(INDEX(LMH_STEP,MATCH(AK117,LMH_KEY,0)),0)</f>
        <v>0</v>
      </c>
      <c r="BZ117" s="38">
        <f>IFERROR(INDEX(LMH_STEP,MATCH(AL117,LMH_KEY,0)),0)</f>
        <v>0</v>
      </c>
      <c r="CA117" s="38" t="inlineStr">
        <is>
          <t>CARBON|Support|Senior Support Executive|A3|A</t>
        </is>
      </c>
    </row>
    <row r="118" ht="110" customHeight="1">
      <c r="A118" s="28" t="inlineStr">
        <is>
          <t>CARBON</t>
        </is>
      </c>
      <c r="B118" s="29" t="inlineStr">
        <is>
          <t>Support</t>
        </is>
      </c>
      <c r="C118" s="29" t="n">
        <v>5</v>
      </c>
      <c r="D118" s="29" t="inlineStr">
        <is>
          <t>IRIS0341</t>
        </is>
      </c>
      <c r="E118" s="29" t="inlineStr">
        <is>
          <t>Nelson Paul Koonan</t>
        </is>
      </c>
      <c r="F118" s="29" t="inlineStr">
        <is>
          <t>Client Solutions Executive</t>
        </is>
      </c>
      <c r="G118" s="29" t="inlineStr">
        <is>
          <t>Senior Support Executive</t>
        </is>
      </c>
      <c r="H118" s="29" t="inlineStr">
        <is>
          <t>Customer Success &amp; Support</t>
        </is>
      </c>
      <c r="I118" s="29" t="inlineStr">
        <is>
          <t>Application &amp; Product Support</t>
        </is>
      </c>
      <c r="J118" s="29" t="inlineStr">
        <is>
          <t>IC</t>
        </is>
      </c>
      <c r="K118" s="29" t="inlineStr">
        <is>
          <t>RC-031</t>
        </is>
      </c>
      <c r="L118" s="29" t="inlineStr">
        <is>
          <t>Harshal Shah</t>
        </is>
      </c>
      <c r="M118" s="29" t="inlineStr">
        <is>
          <t>IRIS0662</t>
        </is>
      </c>
      <c r="N118" s="29" t="n">
        <v>16.3</v>
      </c>
      <c r="O118" s="29" t="n">
        <v>16.3</v>
      </c>
      <c r="P118" s="29" t="inlineStr">
        <is>
          <t>B.Com</t>
        </is>
      </c>
      <c r="Q118" s="29" t="inlineStr">
        <is>
          <t>L3 – Professional / Associate</t>
        </is>
      </c>
      <c r="R118" s="29" t="inlineStr">
        <is>
          <t>A3</t>
        </is>
      </c>
      <c r="S118" s="30" t="inlineStr">
        <is>
          <t>20 of 20</t>
        </is>
      </c>
      <c r="T118" s="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t>
        </is>
      </c>
      <c r="U118"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8" s="31" t="inlineStr">
        <is>
          <t>Latest rating: 3 · Potential: Medium · 9-box: High Impact / Growth Talent · Readiness: Develop in role</t>
        </is>
      </c>
      <c r="W118" s="31" t="inlineStr">
        <is>
          <t>C L · Au L · Ac L · L M · BI M · Exp H · 16.3 yrs vs 4–7 yrs · Edu M · B.Com</t>
        </is>
      </c>
      <c r="X118" s="33" t="inlineStr">
        <is>
          <t>Open ▸</t>
        </is>
      </c>
      <c r="Y118" s="34" t="str">
        <f>IFERROR(INDEX(DL_C,MATCH($CA118,DL_KEY,0)),"M")</f>
        <v>H</v>
      </c>
      <c r="Z118" s="35" t="str">
        <f>IFERROR(INDEX(DL_Au,MATCH($CA118,DL_KEY,0)),"M")</f>
        <v>M</v>
      </c>
      <c r="AA118" s="35" t="str">
        <f>IFERROR(INDEX(DL_Ac,MATCH($CA118,DL_KEY,0)),"M")</f>
        <v>M</v>
      </c>
      <c r="AB118" s="35" t="str">
        <f>IFERROR(INDEX(DL_L,MATCH($CA118,DL_KEY,0)),"M")</f>
        <v>L</v>
      </c>
      <c r="AC118" s="35" t="str">
        <f>IFERROR(INDEX(DL_BI,MATCH($CA118,DL_KEY,0)),"M")</f>
        <v>M</v>
      </c>
      <c r="AD118" s="35" t="str">
        <f>IFERROR(INDEX(DL_Exp,MATCH($CA118,DL_KEY,0)),"M")</f>
        <v>L</v>
      </c>
      <c r="AE118" s="35" t="str">
        <f>IFERROR(INDEX(DL_Edu,MATCH($CA118,DL_KEY,0)),"M")</f>
        <v>L</v>
      </c>
      <c r="AF118" s="34" t="inlineStr">
        <is>
          <t>M</t>
        </is>
      </c>
      <c r="AG118" s="35" t="inlineStr">
        <is>
          <t>M</t>
        </is>
      </c>
      <c r="AH118" s="35" t="inlineStr">
        <is>
          <t>M</t>
        </is>
      </c>
      <c r="AI118" s="35" t="inlineStr">
        <is>
          <t>M</t>
        </is>
      </c>
      <c r="AJ118" s="35" t="inlineStr">
        <is>
          <t>M</t>
        </is>
      </c>
      <c r="AK118" s="35" t="inlineStr">
        <is>
          <t>M</t>
        </is>
      </c>
      <c r="AL118" s="35" t="inlineStr">
        <is>
          <t>M</t>
        </is>
      </c>
      <c r="AM118" s="36" t="n">
        <v>0.513</v>
      </c>
      <c r="AN118" s="37" t="n">
        <v>0.173</v>
      </c>
      <c r="AO118" s="37" t="n">
        <v>0.09699999999999999</v>
      </c>
      <c r="AP118" s="37" t="n">
        <v>0.05</v>
      </c>
      <c r="AQ118" s="37" t="n">
        <v>0.07000000000000001</v>
      </c>
      <c r="AR118" s="37" t="n">
        <v>0.06</v>
      </c>
      <c r="AS118" s="37" t="n">
        <v>0.04</v>
      </c>
      <c r="AT118" s="38" t="inlineStr">
        <is>
          <t>4–8</t>
        </is>
      </c>
      <c r="AU118" s="38" t="inlineStr">
        <is>
          <t>Graduate + relevant qualification or certification preferred</t>
        </is>
      </c>
      <c r="AV118" s="38" t="inlineStr">
        <is>
          <t>IC: none · Team Lead: 3–5</t>
        </is>
      </c>
      <c r="AW118" s="38" t="inlineStr">
        <is>
          <t>P3 / M2 · SFIA 4 Enable</t>
        </is>
      </c>
      <c r="AX1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8" s="39" t="inlineStr">
        <is>
          <t>B1</t>
        </is>
      </c>
      <c r="AZ118" s="40" t="inlineStr">
        <is>
          <t>Band B · Specialist / Manager · Specialist</t>
        </is>
      </c>
      <c r="BA118" s="40" t="inlineStr">
        <is>
          <t>Model A3 from the six ratings, the market-derived weights and rules R1–R13 · then Leads people at or above their own level · A3 → B1 Team Lead</t>
        </is>
      </c>
      <c r="BB118" s="41" t="inlineStr">
        <is>
          <t>A3</t>
        </is>
      </c>
      <c r="BC118" s="40" t="inlineStr">
        <is>
          <t>The six ratings on the market-average weights of Band B · Specialist / POD Lead score 3.01 → A3 · Hay, Mercer IPE and public plans · experience 16.3 yrs vs the A3 market range 2–5</t>
        </is>
      </c>
      <c r="BD118" s="42">
        <f>IF(SUM(BM118,BN118,BO118,BP118,BQ118,BR118,BS118)=0,0,(BM118*BT118+BN118*BU118+BO118*BV118+BP118*BW118+BQ118*BX118+BR118*BY118+BS118*BZ118)/SUM(BM118,BN118,BO118,BP118,BQ118,BR118,BS118))</f>
        <v>0</v>
      </c>
      <c r="BE118" s="41" t="str">
        <f>IF(LEFT(AY118,1)="X",AY118,IF(OR(AY118="B+",AY118="C+"),INDEX(LAD_PC,MAX(1,MIN(14,MATCH(AY118,LAD_PC,0)+IF(BD118&gt;=0.5,1,IF(BD118&lt;=-0.5,-1,0))))),INDEX(LAD_STD,MAX(1,MIN(12,MATCH(AY118,LAD_STD,0)+IF(BD118&gt;=0.5,1,IF(BD118&lt;=-0.5,-1,0)))))))</f>
        <v>B1</v>
      </c>
      <c r="BF118" s="43" t="n"/>
      <c r="BG118" s="41" t="str">
        <f>IF(BF118&lt;&gt;"",BF118,BE118)</f>
        <v>B1</v>
      </c>
      <c r="BH118" s="40" t="str">
        <f>IFERROR(CHOOSE(INDEX(B_RANK,MATCH(BG118,B_LVL,0)),"Band A","Band B","B+ · Player-Coach","Band C","C+ · Player-Coach","Band D","Band E"),"Band X · Consultant")</f>
        <v>Band B</v>
      </c>
      <c r="BI118" s="40" t="str">
        <f>IF(BG118=AY118,"• Same",IF(INDEX(B_VAL,MATCH(BG118,B_LVL,0))&gt;INDEX(B_VAL,MATCH(AY118,B_LVL,0)),"▲ Up","▼ Down"))</f>
        <v>• Same</v>
      </c>
      <c r="BJ118" s="40" t="str">
        <f>IF(OR($M118="",$M118="—",$M118="Not in this file"),"",IFERROR(INDEX($BG$7:$BG$592,MATCH($M118,$D$7:$D$592,0)),""))</f>
        <v>B2</v>
      </c>
      <c r="BK118" s="40" t="str">
        <f>IFERROR(IF(BJ118="","—",IF(OR(LEFT(BG118,1)="X",LEFT(BJ118,1)="X"),"—",IF(AND(LEFT(BG118,1)="E",LEFT(BJ118,1)="E"),"Exception · Band E",IF(AND(INDEX(B_VAL,MATCH(BJ118,B_LVL,0))&gt;=7,INDEX(B_RANK,MATCH(BG118,B_LVL,0))&gt;=INDEX(B_RANK,MATCH(BJ118,B_LVL,0))),"⚠ Same band as a head manager",IF(INDEX(B_VAL,MATCH(BG118,B_LVL,0))&gt;=INDEX(B_VAL,MATCH(BJ118,B_LVL,0)),"⚠ At or above the manager's level","OK"))))),"—")</f>
        <v>OK</v>
      </c>
      <c r="BL118" s="43" t="n"/>
      <c r="BM118" s="44">
        <f>IFERROR(INDEX(LMH_PTS,MATCH(Y118,LMH_KEY,0)),0)</f>
        <v>9</v>
      </c>
      <c r="BN118" s="38">
        <f>IFERROR(INDEX(LMH_PTS,MATCH(Z118,LMH_KEY,0)),0)</f>
        <v>3</v>
      </c>
      <c r="BO118" s="38">
        <f>IFERROR(INDEX(LMH_PTS,MATCH(AA118,LMH_KEY,0)),0)</f>
        <v>3</v>
      </c>
      <c r="BP118" s="38">
        <f>IFERROR(INDEX(LMH_PTS,MATCH(AB118,LMH_KEY,0)),0)</f>
        <v>1</v>
      </c>
      <c r="BQ118" s="38">
        <f>IFERROR(INDEX(LMH_PTS,MATCH(AC118,LMH_KEY,0)),0)</f>
        <v>3</v>
      </c>
      <c r="BR118" s="38">
        <f>IFERROR(INDEX(LMH_PTS,MATCH(AD118,LMH_KEY,0)),0)</f>
        <v>1</v>
      </c>
      <c r="BS118" s="38">
        <f>IFERROR(INDEX(LMH_PTS,MATCH(AE118,LMH_KEY,0)),0)</f>
        <v>1</v>
      </c>
      <c r="BT118" s="38">
        <f>IFERROR(INDEX(LMH_STEP,MATCH(AF118,LMH_KEY,0)),0)</f>
        <v>0</v>
      </c>
      <c r="BU118" s="38">
        <f>IFERROR(INDEX(LMH_STEP,MATCH(AG118,LMH_KEY,0)),0)</f>
        <v>0</v>
      </c>
      <c r="BV118" s="38">
        <f>IFERROR(INDEX(LMH_STEP,MATCH(AH118,LMH_KEY,0)),0)</f>
        <v>0</v>
      </c>
      <c r="BW118" s="38">
        <f>IFERROR(INDEX(LMH_STEP,MATCH(AI118,LMH_KEY,0)),0)</f>
        <v>0</v>
      </c>
      <c r="BX118" s="38">
        <f>IFERROR(INDEX(LMH_STEP,MATCH(AJ118,LMH_KEY,0)),0)</f>
        <v>0</v>
      </c>
      <c r="BY118" s="38">
        <f>IFERROR(INDEX(LMH_STEP,MATCH(AK118,LMH_KEY,0)),0)</f>
        <v>0</v>
      </c>
      <c r="BZ118" s="38">
        <f>IFERROR(INDEX(LMH_STEP,MATCH(AL118,LMH_KEY,0)),0)</f>
        <v>0</v>
      </c>
      <c r="CA118" s="38" t="inlineStr">
        <is>
          <t>CARBON|Support|Senior Support Executive|B1|B-IC</t>
        </is>
      </c>
    </row>
    <row r="119" ht="110" customHeight="1">
      <c r="A119" s="28" t="inlineStr">
        <is>
          <t>CARBON</t>
        </is>
      </c>
      <c r="B119" s="29" t="inlineStr">
        <is>
          <t>Support</t>
        </is>
      </c>
      <c r="C119" s="29" t="n">
        <v>6</v>
      </c>
      <c r="D119" s="29" t="inlineStr">
        <is>
          <t>IRIS2331</t>
        </is>
      </c>
      <c r="E119" s="29" t="inlineStr">
        <is>
          <t>Pritam Kadam</t>
        </is>
      </c>
      <c r="F119" s="29" t="inlineStr">
        <is>
          <t>Client Support Executive</t>
        </is>
      </c>
      <c r="G119" s="29" t="inlineStr">
        <is>
          <t>Senior Support Executive</t>
        </is>
      </c>
      <c r="H119" s="29" t="inlineStr">
        <is>
          <t>Customer Success &amp; Support</t>
        </is>
      </c>
      <c r="I119" s="29" t="inlineStr">
        <is>
          <t>Application &amp; Product Support</t>
        </is>
      </c>
      <c r="J119" s="29" t="inlineStr">
        <is>
          <t>IC</t>
        </is>
      </c>
      <c r="K119" s="29" t="inlineStr">
        <is>
          <t>RC-031</t>
        </is>
      </c>
      <c r="L119" s="29" t="inlineStr">
        <is>
          <t>Nelson Paul Koonan</t>
        </is>
      </c>
      <c r="M119" s="29" t="inlineStr">
        <is>
          <t>IRIS0341</t>
        </is>
      </c>
      <c r="N119" s="29" t="n">
        <v>5.7</v>
      </c>
      <c r="O119" s="29" t="n">
        <v>1.7</v>
      </c>
      <c r="P119" s="29" t="inlineStr">
        <is>
          <t>MBA</t>
        </is>
      </c>
      <c r="Q119" s="29" t="inlineStr">
        <is>
          <t>L3 – Professional / Associate</t>
        </is>
      </c>
      <c r="R119" s="29" t="inlineStr">
        <is>
          <t>A3</t>
        </is>
      </c>
      <c r="S119" s="30" t="inlineStr">
        <is>
          <t>20 of 20</t>
        </is>
      </c>
      <c r="T119" s="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U119"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9" s="31" t="inlineStr">
        <is>
          <t>Latest rating: 3 · Potential: Medium · 9-box: Core Contributor · Readiness: Develop in role</t>
        </is>
      </c>
      <c r="W119" s="31" t="inlineStr">
        <is>
          <t>C L · Au L · Ac L · L L · BI L · Exp H · 5.7 yrs vs 2–4 yrs · Edu H · MBA</t>
        </is>
      </c>
      <c r="X119" s="33" t="inlineStr">
        <is>
          <t>Open ▸</t>
        </is>
      </c>
      <c r="Y119" s="34" t="str">
        <f>IFERROR(INDEX(DL_C,MATCH($CA119,DL_KEY,0)),"M")</f>
        <v>H</v>
      </c>
      <c r="Z119" s="35" t="str">
        <f>IFERROR(INDEX(DL_Au,MATCH($CA119,DL_KEY,0)),"M")</f>
        <v>M</v>
      </c>
      <c r="AA119" s="35" t="str">
        <f>IFERROR(INDEX(DL_Ac,MATCH($CA119,DL_KEY,0)),"M")</f>
        <v>M</v>
      </c>
      <c r="AB119" s="35" t="str">
        <f>IFERROR(INDEX(DL_L,MATCH($CA119,DL_KEY,0)),"M")</f>
        <v>L</v>
      </c>
      <c r="AC119" s="35" t="str">
        <f>IFERROR(INDEX(DL_BI,MATCH($CA119,DL_KEY,0)),"M")</f>
        <v>M</v>
      </c>
      <c r="AD119" s="35" t="str">
        <f>IFERROR(INDEX(DL_Exp,MATCH($CA119,DL_KEY,0)),"M")</f>
        <v>L</v>
      </c>
      <c r="AE119" s="35" t="str">
        <f>IFERROR(INDEX(DL_Edu,MATCH($CA119,DL_KEY,0)),"M")</f>
        <v>L</v>
      </c>
      <c r="AF119" s="34" t="inlineStr">
        <is>
          <t>M</t>
        </is>
      </c>
      <c r="AG119" s="35" t="inlineStr">
        <is>
          <t>M</t>
        </is>
      </c>
      <c r="AH119" s="35" t="inlineStr">
        <is>
          <t>M</t>
        </is>
      </c>
      <c r="AI119" s="35" t="inlineStr">
        <is>
          <t>M</t>
        </is>
      </c>
      <c r="AJ119" s="35" t="inlineStr">
        <is>
          <t>M</t>
        </is>
      </c>
      <c r="AK119" s="35" t="inlineStr">
        <is>
          <t>M</t>
        </is>
      </c>
      <c r="AL119" s="35" t="inlineStr">
        <is>
          <t>M</t>
        </is>
      </c>
      <c r="AM119" s="36" t="n">
        <v>0.583</v>
      </c>
      <c r="AN119" s="37" t="n">
        <v>0.16</v>
      </c>
      <c r="AO119" s="37" t="n">
        <v>0.09</v>
      </c>
      <c r="AP119" s="37" t="n">
        <v>0</v>
      </c>
      <c r="AQ119" s="37" t="n">
        <v>0.063</v>
      </c>
      <c r="AR119" s="37" t="n">
        <v>0.06</v>
      </c>
      <c r="AS119" s="37" t="n">
        <v>0.04</v>
      </c>
      <c r="AT119" s="38" t="inlineStr">
        <is>
          <t>2–5</t>
        </is>
      </c>
      <c r="AU119" s="38" t="inlineStr">
        <is>
          <t>Graduate; relevant certification preferred</t>
        </is>
      </c>
      <c r="AV119" s="38" t="inlineStr">
        <is>
          <t>None · guides 1–3 juniors informally</t>
        </is>
      </c>
      <c r="AW119" s="38" t="inlineStr">
        <is>
          <t>P2 · SFIA 3 Apply</t>
        </is>
      </c>
      <c r="AX1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9" s="39" t="inlineStr">
        <is>
          <t>A3</t>
        </is>
      </c>
      <c r="AZ119" s="40" t="inlineStr">
        <is>
          <t>Band A · Practitioner · Senior Associate</t>
        </is>
      </c>
      <c r="BA119" s="40" t="inlineStr">
        <is>
          <t>Model A3 from the six ratings, the market-derived weights and rules R1–R13 · then No change · already below the manager</t>
        </is>
      </c>
      <c r="BB119" s="41" t="inlineStr">
        <is>
          <t>A2</t>
        </is>
      </c>
      <c r="BC119" s="40" t="inlineStr">
        <is>
          <t>The six ratings on the market-average weights of Band A · all tracks score 2.25 → A2 · Hay, Mercer IPE and public plans · experience 5.7 yrs vs the A2 market range 0–3</t>
        </is>
      </c>
      <c r="BD119" s="42">
        <f>IF(SUM(BM119,BN119,BO119,BP119,BQ119,BR119,BS119)=0,0,(BM119*BT119+BN119*BU119+BO119*BV119+BP119*BW119+BQ119*BX119+BR119*BY119+BS119*BZ119)/SUM(BM119,BN119,BO119,BP119,BQ119,BR119,BS119))</f>
        <v>0</v>
      </c>
      <c r="BE119" s="41" t="str">
        <f>IF(LEFT(AY119,1)="X",AY119,IF(OR(AY119="B+",AY119="C+"),INDEX(LAD_PC,MAX(1,MIN(14,MATCH(AY119,LAD_PC,0)+IF(BD119&gt;=0.5,1,IF(BD119&lt;=-0.5,-1,0))))),INDEX(LAD_STD,MAX(1,MIN(12,MATCH(AY119,LAD_STD,0)+IF(BD119&gt;=0.5,1,IF(BD119&lt;=-0.5,-1,0)))))))</f>
        <v>A3</v>
      </c>
      <c r="BF119" s="43" t="n"/>
      <c r="BG119" s="41" t="str">
        <f>IF(BF119&lt;&gt;"",BF119,BE119)</f>
        <v>A3</v>
      </c>
      <c r="BH119" s="40" t="str">
        <f>IFERROR(CHOOSE(INDEX(B_RANK,MATCH(BG119,B_LVL,0)),"Band A","Band B","B+ · Player-Coach","Band C","C+ · Player-Coach","Band D","Band E"),"Band X · Consultant")</f>
        <v>Band A</v>
      </c>
      <c r="BI119" s="40" t="str">
        <f>IF(BG119=AY119,"• Same",IF(INDEX(B_VAL,MATCH(BG119,B_LVL,0))&gt;INDEX(B_VAL,MATCH(AY119,B_LVL,0)),"▲ Up","▼ Down"))</f>
        <v>• Same</v>
      </c>
      <c r="BJ119" s="40" t="str">
        <f>IF(OR($M119="",$M119="—",$M119="Not in this file"),"",IFERROR(INDEX($BG$7:$BG$592,MATCH($M119,$D$7:$D$592,0)),""))</f>
        <v>B1</v>
      </c>
      <c r="BK119" s="40" t="str">
        <f>IFERROR(IF(BJ119="","—",IF(OR(LEFT(BG119,1)="X",LEFT(BJ119,1)="X"),"—",IF(AND(LEFT(BG119,1)="E",LEFT(BJ119,1)="E"),"Exception · Band E",IF(AND(INDEX(B_VAL,MATCH(BJ119,B_LVL,0))&gt;=7,INDEX(B_RANK,MATCH(BG119,B_LVL,0))&gt;=INDEX(B_RANK,MATCH(BJ119,B_LVL,0))),"⚠ Same band as a head manager",IF(INDEX(B_VAL,MATCH(BG119,B_LVL,0))&gt;=INDEX(B_VAL,MATCH(BJ119,B_LVL,0)),"⚠ At or above the manager's level","OK"))))),"—")</f>
        <v>OK</v>
      </c>
      <c r="BL119" s="43" t="n"/>
      <c r="BM119" s="44">
        <f>IFERROR(INDEX(LMH_PTS,MATCH(Y119,LMH_KEY,0)),0)</f>
        <v>9</v>
      </c>
      <c r="BN119" s="38">
        <f>IFERROR(INDEX(LMH_PTS,MATCH(Z119,LMH_KEY,0)),0)</f>
        <v>3</v>
      </c>
      <c r="BO119" s="38">
        <f>IFERROR(INDEX(LMH_PTS,MATCH(AA119,LMH_KEY,0)),0)</f>
        <v>3</v>
      </c>
      <c r="BP119" s="38">
        <f>IFERROR(INDEX(LMH_PTS,MATCH(AB119,LMH_KEY,0)),0)</f>
        <v>1</v>
      </c>
      <c r="BQ119" s="38">
        <f>IFERROR(INDEX(LMH_PTS,MATCH(AC119,LMH_KEY,0)),0)</f>
        <v>3</v>
      </c>
      <c r="BR119" s="38">
        <f>IFERROR(INDEX(LMH_PTS,MATCH(AD119,LMH_KEY,0)),0)</f>
        <v>1</v>
      </c>
      <c r="BS119" s="38">
        <f>IFERROR(INDEX(LMH_PTS,MATCH(AE119,LMH_KEY,0)),0)</f>
        <v>1</v>
      </c>
      <c r="BT119" s="38">
        <f>IFERROR(INDEX(LMH_STEP,MATCH(AF119,LMH_KEY,0)),0)</f>
        <v>0</v>
      </c>
      <c r="BU119" s="38">
        <f>IFERROR(INDEX(LMH_STEP,MATCH(AG119,LMH_KEY,0)),0)</f>
        <v>0</v>
      </c>
      <c r="BV119" s="38">
        <f>IFERROR(INDEX(LMH_STEP,MATCH(AH119,LMH_KEY,0)),0)</f>
        <v>0</v>
      </c>
      <c r="BW119" s="38">
        <f>IFERROR(INDEX(LMH_STEP,MATCH(AI119,LMH_KEY,0)),0)</f>
        <v>0</v>
      </c>
      <c r="BX119" s="38">
        <f>IFERROR(INDEX(LMH_STEP,MATCH(AJ119,LMH_KEY,0)),0)</f>
        <v>0</v>
      </c>
      <c r="BY119" s="38">
        <f>IFERROR(INDEX(LMH_STEP,MATCH(AK119,LMH_KEY,0)),0)</f>
        <v>0</v>
      </c>
      <c r="BZ119" s="38">
        <f>IFERROR(INDEX(LMH_STEP,MATCH(AL119,LMH_KEY,0)),0)</f>
        <v>0</v>
      </c>
      <c r="CA119" s="38" t="inlineStr">
        <is>
          <t>CARBON|Support|Senior Support Executive|A3|A</t>
        </is>
      </c>
    </row>
    <row r="120" ht="110" customHeight="1">
      <c r="A120" s="28" t="inlineStr">
        <is>
          <t>CARBON</t>
        </is>
      </c>
      <c r="B120" s="29" t="inlineStr">
        <is>
          <t>Support</t>
        </is>
      </c>
      <c r="C120" s="29" t="n">
        <v>6</v>
      </c>
      <c r="D120" s="29" t="inlineStr">
        <is>
          <t>IRIS2494</t>
        </is>
      </c>
      <c r="E120" s="29" t="inlineStr">
        <is>
          <t>Shruti Samant</t>
        </is>
      </c>
      <c r="F120" s="29" t="inlineStr">
        <is>
          <t>Executive- Customer Support</t>
        </is>
      </c>
      <c r="G120" s="29" t="inlineStr">
        <is>
          <t>Senior Support Executive</t>
        </is>
      </c>
      <c r="H120" s="29" t="inlineStr">
        <is>
          <t>Customer Success &amp; Support</t>
        </is>
      </c>
      <c r="I120" s="29" t="inlineStr">
        <is>
          <t>Application &amp; Product Support</t>
        </is>
      </c>
      <c r="J120" s="29" t="inlineStr">
        <is>
          <t>IC</t>
        </is>
      </c>
      <c r="K120" s="29" t="inlineStr">
        <is>
          <t>RC-031</t>
        </is>
      </c>
      <c r="L120" s="29" t="inlineStr">
        <is>
          <t>Nelson Paul Koonan</t>
        </is>
      </c>
      <c r="M120" s="29" t="inlineStr">
        <is>
          <t>IRIS0341</t>
        </is>
      </c>
      <c r="N120" s="29" t="n">
        <v>3.5</v>
      </c>
      <c r="O120" s="29" t="n">
        <v>0.5</v>
      </c>
      <c r="P120" s="29" t="inlineStr">
        <is>
          <t>PGDM</t>
        </is>
      </c>
      <c r="Q120" s="29" t="inlineStr">
        <is>
          <t>L3 – Professional / Associate</t>
        </is>
      </c>
      <c r="R120" s="29" t="inlineStr">
        <is>
          <t>A3</t>
        </is>
      </c>
      <c r="S120" s="30" t="inlineStr">
        <is>
          <t>19 of 20</t>
        </is>
      </c>
      <c r="T120" s="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t>
        </is>
      </c>
      <c r="U120"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20" s="31" t="inlineStr">
        <is>
          <t>Latest rating: 2 · Potential: Medium · 9-box: Emerging Talent · Readiness: Performance first</t>
        </is>
      </c>
      <c r="W120" s="31" t="inlineStr">
        <is>
          <t>C L · Au L · Ac L · L L · BI L · Exp M · 3.5 yrs vs 2–4 yrs · Edu H · PGDM</t>
        </is>
      </c>
      <c r="X120" s="33" t="inlineStr">
        <is>
          <t>Open ▸</t>
        </is>
      </c>
      <c r="Y120" s="34" t="str">
        <f>IFERROR(INDEX(DL_C,MATCH($CA120,DL_KEY,0)),"M")</f>
        <v>H</v>
      </c>
      <c r="Z120" s="35" t="str">
        <f>IFERROR(INDEX(DL_Au,MATCH($CA120,DL_KEY,0)),"M")</f>
        <v>M</v>
      </c>
      <c r="AA120" s="35" t="str">
        <f>IFERROR(INDEX(DL_Ac,MATCH($CA120,DL_KEY,0)),"M")</f>
        <v>M</v>
      </c>
      <c r="AB120" s="35" t="str">
        <f>IFERROR(INDEX(DL_L,MATCH($CA120,DL_KEY,0)),"M")</f>
        <v>L</v>
      </c>
      <c r="AC120" s="35" t="str">
        <f>IFERROR(INDEX(DL_BI,MATCH($CA120,DL_KEY,0)),"M")</f>
        <v>M</v>
      </c>
      <c r="AD120" s="35" t="str">
        <f>IFERROR(INDEX(DL_Exp,MATCH($CA120,DL_KEY,0)),"M")</f>
        <v>L</v>
      </c>
      <c r="AE120" s="35" t="str">
        <f>IFERROR(INDEX(DL_Edu,MATCH($CA120,DL_KEY,0)),"M")</f>
        <v>L</v>
      </c>
      <c r="AF120" s="34" t="inlineStr">
        <is>
          <t>M</t>
        </is>
      </c>
      <c r="AG120" s="35" t="inlineStr">
        <is>
          <t>M</t>
        </is>
      </c>
      <c r="AH120" s="35" t="inlineStr">
        <is>
          <t>M</t>
        </is>
      </c>
      <c r="AI120" s="35" t="inlineStr">
        <is>
          <t>M</t>
        </is>
      </c>
      <c r="AJ120" s="35" t="inlineStr">
        <is>
          <t>M</t>
        </is>
      </c>
      <c r="AK120" s="35" t="inlineStr">
        <is>
          <t>M</t>
        </is>
      </c>
      <c r="AL120" s="35" t="inlineStr">
        <is>
          <t>M</t>
        </is>
      </c>
      <c r="AM120" s="36" t="n">
        <v>0.583</v>
      </c>
      <c r="AN120" s="37" t="n">
        <v>0.16</v>
      </c>
      <c r="AO120" s="37" t="n">
        <v>0.09</v>
      </c>
      <c r="AP120" s="37" t="n">
        <v>0</v>
      </c>
      <c r="AQ120" s="37" t="n">
        <v>0.063</v>
      </c>
      <c r="AR120" s="37" t="n">
        <v>0.06</v>
      </c>
      <c r="AS120" s="37" t="n">
        <v>0.04</v>
      </c>
      <c r="AT120" s="38" t="inlineStr">
        <is>
          <t>2–5</t>
        </is>
      </c>
      <c r="AU120" s="38" t="inlineStr">
        <is>
          <t>Graduate; relevant certification preferred</t>
        </is>
      </c>
      <c r="AV120" s="38" t="inlineStr">
        <is>
          <t>None · guides 1–3 juniors informally</t>
        </is>
      </c>
      <c r="AW120" s="38" t="inlineStr">
        <is>
          <t>P2 · SFIA 3 Apply</t>
        </is>
      </c>
      <c r="AX1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0" s="39" t="inlineStr">
        <is>
          <t>A3</t>
        </is>
      </c>
      <c r="AZ120" s="40" t="inlineStr">
        <is>
          <t>Band A · Practitioner · Senior Associate</t>
        </is>
      </c>
      <c r="BA120" s="40" t="inlineStr">
        <is>
          <t>Model A3 from the six ratings, the market-derived weights and rules R1–R13 · then No change · already below the manager</t>
        </is>
      </c>
      <c r="BB120" s="41" t="inlineStr">
        <is>
          <t>A2</t>
        </is>
      </c>
      <c r="BC120" s="40" t="inlineStr">
        <is>
          <t>The six ratings on the market-average weights of Band A · all tracks score 2.15 → A2 · Hay, Mercer IPE and public plans · experience 3.5 yrs vs the A2 market range 0–3</t>
        </is>
      </c>
      <c r="BD120" s="42">
        <f>IF(SUM(BM120,BN120,BO120,BP120,BQ120,BR120,BS120)=0,0,(BM120*BT120+BN120*BU120+BO120*BV120+BP120*BW120+BQ120*BX120+BR120*BY120+BS120*BZ120)/SUM(BM120,BN120,BO120,BP120,BQ120,BR120,BS120))</f>
        <v>0</v>
      </c>
      <c r="BE120" s="41" t="str">
        <f>IF(LEFT(AY120,1)="X",AY120,IF(OR(AY120="B+",AY120="C+"),INDEX(LAD_PC,MAX(1,MIN(14,MATCH(AY120,LAD_PC,0)+IF(BD120&gt;=0.5,1,IF(BD120&lt;=-0.5,-1,0))))),INDEX(LAD_STD,MAX(1,MIN(12,MATCH(AY120,LAD_STD,0)+IF(BD120&gt;=0.5,1,IF(BD120&lt;=-0.5,-1,0)))))))</f>
        <v>A3</v>
      </c>
      <c r="BF120" s="43" t="n"/>
      <c r="BG120" s="41" t="str">
        <f>IF(BF120&lt;&gt;"",BF120,BE120)</f>
        <v>A3</v>
      </c>
      <c r="BH120" s="40" t="str">
        <f>IFERROR(CHOOSE(INDEX(B_RANK,MATCH(BG120,B_LVL,0)),"Band A","Band B","B+ · Player-Coach","Band C","C+ · Player-Coach","Band D","Band E"),"Band X · Consultant")</f>
        <v>Band A</v>
      </c>
      <c r="BI120" s="40" t="str">
        <f>IF(BG120=AY120,"• Same",IF(INDEX(B_VAL,MATCH(BG120,B_LVL,0))&gt;INDEX(B_VAL,MATCH(AY120,B_LVL,0)),"▲ Up","▼ Down"))</f>
        <v>• Same</v>
      </c>
      <c r="BJ120" s="40" t="str">
        <f>IF(OR($M120="",$M120="—",$M120="Not in this file"),"",IFERROR(INDEX($BG$7:$BG$592,MATCH($M120,$D$7:$D$592,0)),""))</f>
        <v>B1</v>
      </c>
      <c r="BK120" s="40" t="str">
        <f>IFERROR(IF(BJ120="","—",IF(OR(LEFT(BG120,1)="X",LEFT(BJ120,1)="X"),"—",IF(AND(LEFT(BG120,1)="E",LEFT(BJ120,1)="E"),"Exception · Band E",IF(AND(INDEX(B_VAL,MATCH(BJ120,B_LVL,0))&gt;=7,INDEX(B_RANK,MATCH(BG120,B_LVL,0))&gt;=INDEX(B_RANK,MATCH(BJ120,B_LVL,0))),"⚠ Same band as a head manager",IF(INDEX(B_VAL,MATCH(BG120,B_LVL,0))&gt;=INDEX(B_VAL,MATCH(BJ120,B_LVL,0)),"⚠ At or above the manager's level","OK"))))),"—")</f>
        <v>OK</v>
      </c>
      <c r="BL120" s="43" t="n"/>
      <c r="BM120" s="44">
        <f>IFERROR(INDEX(LMH_PTS,MATCH(Y120,LMH_KEY,0)),0)</f>
        <v>9</v>
      </c>
      <c r="BN120" s="38">
        <f>IFERROR(INDEX(LMH_PTS,MATCH(Z120,LMH_KEY,0)),0)</f>
        <v>3</v>
      </c>
      <c r="BO120" s="38">
        <f>IFERROR(INDEX(LMH_PTS,MATCH(AA120,LMH_KEY,0)),0)</f>
        <v>3</v>
      </c>
      <c r="BP120" s="38">
        <f>IFERROR(INDEX(LMH_PTS,MATCH(AB120,LMH_KEY,0)),0)</f>
        <v>1</v>
      </c>
      <c r="BQ120" s="38">
        <f>IFERROR(INDEX(LMH_PTS,MATCH(AC120,LMH_KEY,0)),0)</f>
        <v>3</v>
      </c>
      <c r="BR120" s="38">
        <f>IFERROR(INDEX(LMH_PTS,MATCH(AD120,LMH_KEY,0)),0)</f>
        <v>1</v>
      </c>
      <c r="BS120" s="38">
        <f>IFERROR(INDEX(LMH_PTS,MATCH(AE120,LMH_KEY,0)),0)</f>
        <v>1</v>
      </c>
      <c r="BT120" s="38">
        <f>IFERROR(INDEX(LMH_STEP,MATCH(AF120,LMH_KEY,0)),0)</f>
        <v>0</v>
      </c>
      <c r="BU120" s="38">
        <f>IFERROR(INDEX(LMH_STEP,MATCH(AG120,LMH_KEY,0)),0)</f>
        <v>0</v>
      </c>
      <c r="BV120" s="38">
        <f>IFERROR(INDEX(LMH_STEP,MATCH(AH120,LMH_KEY,0)),0)</f>
        <v>0</v>
      </c>
      <c r="BW120" s="38">
        <f>IFERROR(INDEX(LMH_STEP,MATCH(AI120,LMH_KEY,0)),0)</f>
        <v>0</v>
      </c>
      <c r="BX120" s="38">
        <f>IFERROR(INDEX(LMH_STEP,MATCH(AJ120,LMH_KEY,0)),0)</f>
        <v>0</v>
      </c>
      <c r="BY120" s="38">
        <f>IFERROR(INDEX(LMH_STEP,MATCH(AK120,LMH_KEY,0)),0)</f>
        <v>0</v>
      </c>
      <c r="BZ120" s="38">
        <f>IFERROR(INDEX(LMH_STEP,MATCH(AL120,LMH_KEY,0)),0)</f>
        <v>0</v>
      </c>
      <c r="CA120" s="38" t="inlineStr">
        <is>
          <t>CARBON|Support|Senior Support Executive|A3|A</t>
        </is>
      </c>
    </row>
    <row r="121" ht="110" customHeight="1">
      <c r="A121" s="28" t="inlineStr">
        <is>
          <t>CARBON</t>
        </is>
      </c>
      <c r="B121" s="29" t="inlineStr">
        <is>
          <t>Support</t>
        </is>
      </c>
      <c r="C121" s="29" t="n">
        <v>5</v>
      </c>
      <c r="D121" s="29" t="inlineStr">
        <is>
          <t>IRIS2096</t>
        </is>
      </c>
      <c r="E121" s="29" t="inlineStr">
        <is>
          <t>Sweety Mukherjee</t>
        </is>
      </c>
      <c r="F121" s="29" t="inlineStr">
        <is>
          <t>Executive- Customer Support</t>
        </is>
      </c>
      <c r="G121" s="29" t="inlineStr">
        <is>
          <t>Senior Support Executive</t>
        </is>
      </c>
      <c r="H121" s="29" t="inlineStr">
        <is>
          <t>Customer Success &amp; Support</t>
        </is>
      </c>
      <c r="I121" s="29" t="inlineStr">
        <is>
          <t>Application &amp; Product Support</t>
        </is>
      </c>
      <c r="J121" s="29" t="inlineStr">
        <is>
          <t>IC</t>
        </is>
      </c>
      <c r="K121" s="29" t="inlineStr">
        <is>
          <t>RC-031</t>
        </is>
      </c>
      <c r="L121" s="29" t="inlineStr">
        <is>
          <t>Harshal Shah</t>
        </is>
      </c>
      <c r="M121" s="29" t="inlineStr">
        <is>
          <t>IRIS0662</t>
        </is>
      </c>
      <c r="N121" s="29" t="n">
        <v>7</v>
      </c>
      <c r="O121" s="29" t="n">
        <v>3.7</v>
      </c>
      <c r="P121" s="29" t="inlineStr">
        <is>
          <t>BCA</t>
        </is>
      </c>
      <c r="Q121" s="29" t="inlineStr">
        <is>
          <t>L3 – Professional / Associate</t>
        </is>
      </c>
      <c r="R121" s="29" t="inlineStr">
        <is>
          <t>A3</t>
        </is>
      </c>
      <c r="S121" s="30" t="inlineStr">
        <is>
          <t>20 of 20</t>
        </is>
      </c>
      <c r="T121" s="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t>
        </is>
      </c>
      <c r="U121"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21" s="31" t="inlineStr">
        <is>
          <t>Latest rating: 3 · Potential: Medium · 9-box: Core Contributor · Readiness: Develop in role</t>
        </is>
      </c>
      <c r="W121" s="31" t="inlineStr">
        <is>
          <t>C L · Au L · Ac L · L L · BI L · Exp H · 7 yrs vs 2–4 yrs · Edu M · BCA</t>
        </is>
      </c>
      <c r="X121" s="33" t="inlineStr">
        <is>
          <t>Open ▸</t>
        </is>
      </c>
      <c r="Y121" s="34" t="str">
        <f>IFERROR(INDEX(DL_C,MATCH($CA121,DL_KEY,0)),"M")</f>
        <v>H</v>
      </c>
      <c r="Z121" s="35" t="str">
        <f>IFERROR(INDEX(DL_Au,MATCH($CA121,DL_KEY,0)),"M")</f>
        <v>M</v>
      </c>
      <c r="AA121" s="35" t="str">
        <f>IFERROR(INDEX(DL_Ac,MATCH($CA121,DL_KEY,0)),"M")</f>
        <v>M</v>
      </c>
      <c r="AB121" s="35" t="str">
        <f>IFERROR(INDEX(DL_L,MATCH($CA121,DL_KEY,0)),"M")</f>
        <v>L</v>
      </c>
      <c r="AC121" s="35" t="str">
        <f>IFERROR(INDEX(DL_BI,MATCH($CA121,DL_KEY,0)),"M")</f>
        <v>M</v>
      </c>
      <c r="AD121" s="35" t="str">
        <f>IFERROR(INDEX(DL_Exp,MATCH($CA121,DL_KEY,0)),"M")</f>
        <v>L</v>
      </c>
      <c r="AE121" s="35" t="str">
        <f>IFERROR(INDEX(DL_Edu,MATCH($CA121,DL_KEY,0)),"M")</f>
        <v>L</v>
      </c>
      <c r="AF121" s="34" t="inlineStr">
        <is>
          <t>M</t>
        </is>
      </c>
      <c r="AG121" s="35" t="inlineStr">
        <is>
          <t>M</t>
        </is>
      </c>
      <c r="AH121" s="35" t="inlineStr">
        <is>
          <t>M</t>
        </is>
      </c>
      <c r="AI121" s="35" t="inlineStr">
        <is>
          <t>M</t>
        </is>
      </c>
      <c r="AJ121" s="35" t="inlineStr">
        <is>
          <t>M</t>
        </is>
      </c>
      <c r="AK121" s="35" t="inlineStr">
        <is>
          <t>M</t>
        </is>
      </c>
      <c r="AL121" s="35" t="inlineStr">
        <is>
          <t>M</t>
        </is>
      </c>
      <c r="AM121" s="36" t="n">
        <v>0.583</v>
      </c>
      <c r="AN121" s="37" t="n">
        <v>0.16</v>
      </c>
      <c r="AO121" s="37" t="n">
        <v>0.09</v>
      </c>
      <c r="AP121" s="37" t="n">
        <v>0</v>
      </c>
      <c r="AQ121" s="37" t="n">
        <v>0.063</v>
      </c>
      <c r="AR121" s="37" t="n">
        <v>0.06</v>
      </c>
      <c r="AS121" s="37" t="n">
        <v>0.04</v>
      </c>
      <c r="AT121" s="38" t="inlineStr">
        <is>
          <t>2–5</t>
        </is>
      </c>
      <c r="AU121" s="38" t="inlineStr">
        <is>
          <t>Graduate; relevant certification preferred</t>
        </is>
      </c>
      <c r="AV121" s="38" t="inlineStr">
        <is>
          <t>None · guides 1–3 juniors informally</t>
        </is>
      </c>
      <c r="AW121" s="38" t="inlineStr">
        <is>
          <t>P2 · SFIA 3 Apply</t>
        </is>
      </c>
      <c r="AX1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1" s="39" t="inlineStr">
        <is>
          <t>A3</t>
        </is>
      </c>
      <c r="AZ121" s="40" t="inlineStr">
        <is>
          <t>Band A · Practitioner · Senior Associate</t>
        </is>
      </c>
      <c r="BA121" s="40" t="inlineStr">
        <is>
          <t>Model A3 from the six ratings, the market-derived weights and rules R1–R13 · then No change · already below the manager</t>
        </is>
      </c>
      <c r="BB121" s="41" t="inlineStr">
        <is>
          <t>A2</t>
        </is>
      </c>
      <c r="BC121" s="40" t="inlineStr">
        <is>
          <t>The six ratings on the market-average weights of Band A · all tracks score 2.30 → A2 · Hay, Mercer IPE and public plans · experience 7 yrs vs the A2 market range 0–3</t>
        </is>
      </c>
      <c r="BD121" s="42">
        <f>IF(SUM(BM121,BN121,BO121,BP121,BQ121,BR121,BS121)=0,0,(BM121*BT121+BN121*BU121+BO121*BV121+BP121*BW121+BQ121*BX121+BR121*BY121+BS121*BZ121)/SUM(BM121,BN121,BO121,BP121,BQ121,BR121,BS121))</f>
        <v>0</v>
      </c>
      <c r="BE121" s="41" t="str">
        <f>IF(LEFT(AY121,1)="X",AY121,IF(OR(AY121="B+",AY121="C+"),INDEX(LAD_PC,MAX(1,MIN(14,MATCH(AY121,LAD_PC,0)+IF(BD121&gt;=0.5,1,IF(BD121&lt;=-0.5,-1,0))))),INDEX(LAD_STD,MAX(1,MIN(12,MATCH(AY121,LAD_STD,0)+IF(BD121&gt;=0.5,1,IF(BD121&lt;=-0.5,-1,0)))))))</f>
        <v>A3</v>
      </c>
      <c r="BF121" s="43" t="n"/>
      <c r="BG121" s="41" t="str">
        <f>IF(BF121&lt;&gt;"",BF121,BE121)</f>
        <v>A3</v>
      </c>
      <c r="BH121" s="40" t="str">
        <f>IFERROR(CHOOSE(INDEX(B_RANK,MATCH(BG121,B_LVL,0)),"Band A","Band B","B+ · Player-Coach","Band C","C+ · Player-Coach","Band D","Band E"),"Band X · Consultant")</f>
        <v>Band A</v>
      </c>
      <c r="BI121" s="40" t="str">
        <f>IF(BG121=AY121,"• Same",IF(INDEX(B_VAL,MATCH(BG121,B_LVL,0))&gt;INDEX(B_VAL,MATCH(AY121,B_LVL,0)),"▲ Up","▼ Down"))</f>
        <v>• Same</v>
      </c>
      <c r="BJ121" s="40" t="str">
        <f>IF(OR($M121="",$M121="—",$M121="Not in this file"),"",IFERROR(INDEX($BG$7:$BG$592,MATCH($M121,$D$7:$D$592,0)),""))</f>
        <v>B2</v>
      </c>
      <c r="BK121" s="40" t="str">
        <f>IFERROR(IF(BJ121="","—",IF(OR(LEFT(BG121,1)="X",LEFT(BJ121,1)="X"),"—",IF(AND(LEFT(BG121,1)="E",LEFT(BJ121,1)="E"),"Exception · Band E",IF(AND(INDEX(B_VAL,MATCH(BJ121,B_LVL,0))&gt;=7,INDEX(B_RANK,MATCH(BG121,B_LVL,0))&gt;=INDEX(B_RANK,MATCH(BJ121,B_LVL,0))),"⚠ Same band as a head manager",IF(INDEX(B_VAL,MATCH(BG121,B_LVL,0))&gt;=INDEX(B_VAL,MATCH(BJ121,B_LVL,0)),"⚠ At or above the manager's level","OK"))))),"—")</f>
        <v>OK</v>
      </c>
      <c r="BL121" s="43" t="n"/>
      <c r="BM121" s="44">
        <f>IFERROR(INDEX(LMH_PTS,MATCH(Y121,LMH_KEY,0)),0)</f>
        <v>9</v>
      </c>
      <c r="BN121" s="38">
        <f>IFERROR(INDEX(LMH_PTS,MATCH(Z121,LMH_KEY,0)),0)</f>
        <v>3</v>
      </c>
      <c r="BO121" s="38">
        <f>IFERROR(INDEX(LMH_PTS,MATCH(AA121,LMH_KEY,0)),0)</f>
        <v>3</v>
      </c>
      <c r="BP121" s="38">
        <f>IFERROR(INDEX(LMH_PTS,MATCH(AB121,LMH_KEY,0)),0)</f>
        <v>1</v>
      </c>
      <c r="BQ121" s="38">
        <f>IFERROR(INDEX(LMH_PTS,MATCH(AC121,LMH_KEY,0)),0)</f>
        <v>3</v>
      </c>
      <c r="BR121" s="38">
        <f>IFERROR(INDEX(LMH_PTS,MATCH(AD121,LMH_KEY,0)),0)</f>
        <v>1</v>
      </c>
      <c r="BS121" s="38">
        <f>IFERROR(INDEX(LMH_PTS,MATCH(AE121,LMH_KEY,0)),0)</f>
        <v>1</v>
      </c>
      <c r="BT121" s="38">
        <f>IFERROR(INDEX(LMH_STEP,MATCH(AF121,LMH_KEY,0)),0)</f>
        <v>0</v>
      </c>
      <c r="BU121" s="38">
        <f>IFERROR(INDEX(LMH_STEP,MATCH(AG121,LMH_KEY,0)),0)</f>
        <v>0</v>
      </c>
      <c r="BV121" s="38">
        <f>IFERROR(INDEX(LMH_STEP,MATCH(AH121,LMH_KEY,0)),0)</f>
        <v>0</v>
      </c>
      <c r="BW121" s="38">
        <f>IFERROR(INDEX(LMH_STEP,MATCH(AI121,LMH_KEY,0)),0)</f>
        <v>0</v>
      </c>
      <c r="BX121" s="38">
        <f>IFERROR(INDEX(LMH_STEP,MATCH(AJ121,LMH_KEY,0)),0)</f>
        <v>0</v>
      </c>
      <c r="BY121" s="38">
        <f>IFERROR(INDEX(LMH_STEP,MATCH(AK121,LMH_KEY,0)),0)</f>
        <v>0</v>
      </c>
      <c r="BZ121" s="38">
        <f>IFERROR(INDEX(LMH_STEP,MATCH(AL121,LMH_KEY,0)),0)</f>
        <v>0</v>
      </c>
      <c r="CA121" s="38" t="inlineStr">
        <is>
          <t>CARBON|Support|Senior Support Executive|A3|A</t>
        </is>
      </c>
    </row>
    <row r="122" ht="110" customHeight="1">
      <c r="A122" s="28" t="inlineStr">
        <is>
          <t>CARBON</t>
        </is>
      </c>
      <c r="B122" s="29" t="inlineStr">
        <is>
          <t>Functional</t>
        </is>
      </c>
      <c r="C122" s="29" t="n">
        <v>4</v>
      </c>
      <c r="D122" s="29" t="inlineStr">
        <is>
          <t>IRIS2372</t>
        </is>
      </c>
      <c r="E122" s="29" t="inlineStr">
        <is>
          <t>Aakanksha Swaminathan</t>
        </is>
      </c>
      <c r="F122" s="29" t="inlineStr">
        <is>
          <t>Functional Specialist</t>
        </is>
      </c>
      <c r="G122" s="29" t="inlineStr">
        <is>
          <t>Senior Customer Success Specialist – POD Lead</t>
        </is>
      </c>
      <c r="H122" s="29" t="inlineStr">
        <is>
          <t>Customer Success &amp; Support</t>
        </is>
      </c>
      <c r="I122" s="29" t="inlineStr">
        <is>
          <t>Customer Success &amp; Account Management</t>
        </is>
      </c>
      <c r="J122" s="29" t="inlineStr">
        <is>
          <t>POD Lead</t>
        </is>
      </c>
      <c r="K122" s="29" t="inlineStr">
        <is>
          <t>RC-035</t>
        </is>
      </c>
      <c r="L122" s="29" t="inlineStr">
        <is>
          <t>Suman Adhikary</t>
        </is>
      </c>
      <c r="M122" s="29" t="inlineStr">
        <is>
          <t>IRIS2359</t>
        </is>
      </c>
      <c r="N122" s="29" t="n">
        <v>8.199999999999999</v>
      </c>
      <c r="O122" s="29" t="n">
        <v>1.4</v>
      </c>
      <c r="P122" s="29" t="inlineStr">
        <is>
          <t>CA</t>
        </is>
      </c>
      <c r="Q122" s="29" t="inlineStr">
        <is>
          <t>L3 – Professional / Associate</t>
        </is>
      </c>
      <c r="R122" s="29" t="inlineStr">
        <is>
          <t>B1</t>
        </is>
      </c>
      <c r="S122" s="30" t="inlineStr">
        <is>
          <t>16 of 20</t>
        </is>
      </c>
      <c r="T122" s="31"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t>
        </is>
      </c>
      <c r="U122" s="31" t="inlineStr">
        <is>
          <t>Received · manager annual · 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t>
        </is>
      </c>
      <c r="V122" s="31" t="inlineStr">
        <is>
          <t>Latest rating: 5 · Potential: High · 9-box: Future Leader · Readiness: Ready now</t>
        </is>
      </c>
      <c r="W122" s="31" t="inlineStr">
        <is>
          <t>C M · Au M · Ac M · L M · BI M · Exp H · 8.2 yrs vs 4–7 yrs · Edu H · CA</t>
        </is>
      </c>
      <c r="X122" s="33" t="inlineStr">
        <is>
          <t>Open ▸</t>
        </is>
      </c>
      <c r="Y122" s="34" t="str">
        <f>IFERROR(INDEX(DL_C,MATCH($CA122,DL_KEY,0)),"M")</f>
        <v>H</v>
      </c>
      <c r="Z122" s="35" t="str">
        <f>IFERROR(INDEX(DL_Au,MATCH($CA122,DL_KEY,0)),"M")</f>
        <v>M</v>
      </c>
      <c r="AA122" s="35" t="str">
        <f>IFERROR(INDEX(DL_Ac,MATCH($CA122,DL_KEY,0)),"M")</f>
        <v>M</v>
      </c>
      <c r="AB122" s="35" t="str">
        <f>IFERROR(INDEX(DL_L,MATCH($CA122,DL_KEY,0)),"M")</f>
        <v>L</v>
      </c>
      <c r="AC122" s="35" t="str">
        <f>IFERROR(INDEX(DL_BI,MATCH($CA122,DL_KEY,0)),"M")</f>
        <v>M</v>
      </c>
      <c r="AD122" s="35" t="str">
        <f>IFERROR(INDEX(DL_Exp,MATCH($CA122,DL_KEY,0)),"M")</f>
        <v>L</v>
      </c>
      <c r="AE122" s="35" t="str">
        <f>IFERROR(INDEX(DL_Edu,MATCH($CA122,DL_KEY,0)),"M")</f>
        <v>L</v>
      </c>
      <c r="AF122" s="34" t="inlineStr">
        <is>
          <t>M</t>
        </is>
      </c>
      <c r="AG122" s="35" t="inlineStr">
        <is>
          <t>M</t>
        </is>
      </c>
      <c r="AH122" s="35" t="inlineStr">
        <is>
          <t>M</t>
        </is>
      </c>
      <c r="AI122" s="35" t="inlineStr">
        <is>
          <t>M</t>
        </is>
      </c>
      <c r="AJ122" s="35" t="inlineStr">
        <is>
          <t>M</t>
        </is>
      </c>
      <c r="AK122" s="35" t="inlineStr">
        <is>
          <t>M</t>
        </is>
      </c>
      <c r="AL122" s="35" t="inlineStr">
        <is>
          <t>M</t>
        </is>
      </c>
      <c r="AM122" s="36" t="n">
        <v>0.513</v>
      </c>
      <c r="AN122" s="37" t="n">
        <v>0.173</v>
      </c>
      <c r="AO122" s="37" t="n">
        <v>0.09699999999999999</v>
      </c>
      <c r="AP122" s="37" t="n">
        <v>0.05</v>
      </c>
      <c r="AQ122" s="37" t="n">
        <v>0.07000000000000001</v>
      </c>
      <c r="AR122" s="37" t="n">
        <v>0.06</v>
      </c>
      <c r="AS122" s="37" t="n">
        <v>0.04</v>
      </c>
      <c r="AT122" s="38" t="inlineStr">
        <is>
          <t>4–8</t>
        </is>
      </c>
      <c r="AU122" s="38" t="inlineStr">
        <is>
          <t>Graduate + relevant qualification or certification preferred</t>
        </is>
      </c>
      <c r="AV122" s="38" t="inlineStr">
        <is>
          <t>IC: none · Team Lead: 3–5</t>
        </is>
      </c>
      <c r="AW122" s="38" t="inlineStr">
        <is>
          <t>P3 / M2 · SFIA 4 Enable</t>
        </is>
      </c>
      <c r="AX1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2" s="39" t="inlineStr">
        <is>
          <t>B1</t>
        </is>
      </c>
      <c r="AZ122" s="40" t="inlineStr">
        <is>
          <t>Band B · Specialist / Manager · Team Lead / Asst Manager</t>
        </is>
      </c>
      <c r="BA122" s="40" t="inlineStr">
        <is>
          <t>Model B1 from the six ratings, the market-derived weights and rules R1–R13 · then No change · already below the manager</t>
        </is>
      </c>
      <c r="BB122" s="41" t="inlineStr">
        <is>
          <t>B1</t>
        </is>
      </c>
      <c r="BC122" s="40" t="inlineStr">
        <is>
          <t>The six ratings on the market-average weights of Band B · Specialist / POD Lead score 4.31 → B1 · Hay, Mercer IPE and public plans · experience 8.2 yrs vs the B1 market range 4–8</t>
        </is>
      </c>
      <c r="BD122" s="42">
        <f>IF(SUM(BM122,BN122,BO122,BP122,BQ122,BR122,BS122)=0,0,(BM122*BT122+BN122*BU122+BO122*BV122+BP122*BW122+BQ122*BX122+BR122*BY122+BS122*BZ122)/SUM(BM122,BN122,BO122,BP122,BQ122,BR122,BS122))</f>
        <v>0</v>
      </c>
      <c r="BE122" s="41" t="str">
        <f>IF(LEFT(AY122,1)="X",AY122,IF(OR(AY122="B+",AY122="C+"),INDEX(LAD_PC,MAX(1,MIN(14,MATCH(AY122,LAD_PC,0)+IF(BD122&gt;=0.5,1,IF(BD122&lt;=-0.5,-1,0))))),INDEX(LAD_STD,MAX(1,MIN(12,MATCH(AY122,LAD_STD,0)+IF(BD122&gt;=0.5,1,IF(BD122&lt;=-0.5,-1,0)))))))</f>
        <v>B1</v>
      </c>
      <c r="BF122" s="43" t="n"/>
      <c r="BG122" s="41" t="str">
        <f>IF(BF122&lt;&gt;"",BF122,BE122)</f>
        <v>B1</v>
      </c>
      <c r="BH122" s="40" t="str">
        <f>IFERROR(CHOOSE(INDEX(B_RANK,MATCH(BG122,B_LVL,0)),"Band A","Band B","B+ · Player-Coach","Band C","C+ · Player-Coach","Band D","Band E"),"Band X · Consultant")</f>
        <v>Band B</v>
      </c>
      <c r="BI122" s="40" t="str">
        <f>IF(BG122=AY122,"• Same",IF(INDEX(B_VAL,MATCH(BG122,B_LVL,0))&gt;INDEX(B_VAL,MATCH(AY122,B_LVL,0)),"▲ Up","▼ Down"))</f>
        <v>• Same</v>
      </c>
      <c r="BJ122" s="40" t="str">
        <f>IF(OR($M122="",$M122="—",$M122="Not in this file"),"",IFERROR(INDEX($BG$7:$BG$592,MATCH($M122,$D$7:$D$592,0)),""))</f>
        <v>C2</v>
      </c>
      <c r="BK122" s="40" t="str">
        <f>IFERROR(IF(BJ122="","—",IF(OR(LEFT(BG122,1)="X",LEFT(BJ122,1)="X"),"—",IF(AND(LEFT(BG122,1)="E",LEFT(BJ122,1)="E"),"Exception · Band E",IF(AND(INDEX(B_VAL,MATCH(BJ122,B_LVL,0))&gt;=7,INDEX(B_RANK,MATCH(BG122,B_LVL,0))&gt;=INDEX(B_RANK,MATCH(BJ122,B_LVL,0))),"⚠ Same band as a head manager",IF(INDEX(B_VAL,MATCH(BG122,B_LVL,0))&gt;=INDEX(B_VAL,MATCH(BJ122,B_LVL,0)),"⚠ At or above the manager's level","OK"))))),"—")</f>
        <v>OK</v>
      </c>
      <c r="BL122" s="43" t="n"/>
      <c r="BM122" s="44">
        <f>IFERROR(INDEX(LMH_PTS,MATCH(Y122,LMH_KEY,0)),0)</f>
        <v>9</v>
      </c>
      <c r="BN122" s="38">
        <f>IFERROR(INDEX(LMH_PTS,MATCH(Z122,LMH_KEY,0)),0)</f>
        <v>3</v>
      </c>
      <c r="BO122" s="38">
        <f>IFERROR(INDEX(LMH_PTS,MATCH(AA122,LMH_KEY,0)),0)</f>
        <v>3</v>
      </c>
      <c r="BP122" s="38">
        <f>IFERROR(INDEX(LMH_PTS,MATCH(AB122,LMH_KEY,0)),0)</f>
        <v>1</v>
      </c>
      <c r="BQ122" s="38">
        <f>IFERROR(INDEX(LMH_PTS,MATCH(AC122,LMH_KEY,0)),0)</f>
        <v>3</v>
      </c>
      <c r="BR122" s="38">
        <f>IFERROR(INDEX(LMH_PTS,MATCH(AD122,LMH_KEY,0)),0)</f>
        <v>1</v>
      </c>
      <c r="BS122" s="38">
        <f>IFERROR(INDEX(LMH_PTS,MATCH(AE122,LMH_KEY,0)),0)</f>
        <v>1</v>
      </c>
      <c r="BT122" s="38">
        <f>IFERROR(INDEX(LMH_STEP,MATCH(AF122,LMH_KEY,0)),0)</f>
        <v>0</v>
      </c>
      <c r="BU122" s="38">
        <f>IFERROR(INDEX(LMH_STEP,MATCH(AG122,LMH_KEY,0)),0)</f>
        <v>0</v>
      </c>
      <c r="BV122" s="38">
        <f>IFERROR(INDEX(LMH_STEP,MATCH(AH122,LMH_KEY,0)),0)</f>
        <v>0</v>
      </c>
      <c r="BW122" s="38">
        <f>IFERROR(INDEX(LMH_STEP,MATCH(AI122,LMH_KEY,0)),0)</f>
        <v>0</v>
      </c>
      <c r="BX122" s="38">
        <f>IFERROR(INDEX(LMH_STEP,MATCH(AJ122,LMH_KEY,0)),0)</f>
        <v>0</v>
      </c>
      <c r="BY122" s="38">
        <f>IFERROR(INDEX(LMH_STEP,MATCH(AK122,LMH_KEY,0)),0)</f>
        <v>0</v>
      </c>
      <c r="BZ122" s="38">
        <f>IFERROR(INDEX(LMH_STEP,MATCH(AL122,LMH_KEY,0)),0)</f>
        <v>0</v>
      </c>
      <c r="CA122" s="38" t="inlineStr">
        <is>
          <t>CARBON|Functional|Senior Customer Success Specialist – POD Lead|B1|B-IC</t>
        </is>
      </c>
    </row>
    <row r="123" ht="110" customHeight="1">
      <c r="A123" s="28" t="inlineStr">
        <is>
          <t>CARBON</t>
        </is>
      </c>
      <c r="B123" s="29" t="inlineStr">
        <is>
          <t>Functional</t>
        </is>
      </c>
      <c r="C123" s="29" t="n">
        <v>5</v>
      </c>
      <c r="D123" s="29" t="inlineStr">
        <is>
          <t>IRIS2510</t>
        </is>
      </c>
      <c r="E123" s="29" t="inlineStr">
        <is>
          <t>Chirag Shah</t>
        </is>
      </c>
      <c r="F123" s="29" t="inlineStr">
        <is>
          <t>Functional Specialist</t>
        </is>
      </c>
      <c r="G123" s="29" t="inlineStr">
        <is>
          <t>Functional Specialist</t>
        </is>
      </c>
      <c r="H123" s="29" t="inlineStr">
        <is>
          <t>Solution Consulting &amp; Implementation</t>
        </is>
      </c>
      <c r="I123" s="29" t="inlineStr">
        <is>
          <t>Solution Consulting &amp; Implementation</t>
        </is>
      </c>
      <c r="J123" s="29" t="inlineStr">
        <is>
          <t>IC</t>
        </is>
      </c>
      <c r="K123" s="29" t="inlineStr">
        <is>
          <t>RC-173</t>
        </is>
      </c>
      <c r="L123" s="29" t="inlineStr">
        <is>
          <t>Aakanksha Swaminathan</t>
        </is>
      </c>
      <c r="M123" s="29" t="inlineStr">
        <is>
          <t>IRIS2372</t>
        </is>
      </c>
      <c r="N123" s="29" t="n">
        <v>4.4</v>
      </c>
      <c r="O123" s="29" t="n">
        <v>0.4</v>
      </c>
      <c r="P123" s="29" t="inlineStr">
        <is>
          <t>CA</t>
        </is>
      </c>
      <c r="Q123" s="29" t="inlineStr">
        <is>
          <t>L3 – Professional / Associate</t>
        </is>
      </c>
      <c r="R123" s="29" t="inlineStr">
        <is>
          <t>B1</t>
        </is>
      </c>
      <c r="S123" s="30" t="inlineStr">
        <is>
          <t>20 of 20</t>
        </is>
      </c>
      <c r="T123" s="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t>
        </is>
      </c>
      <c r="U123" s="31" t="inlineStr">
        <is>
          <t>Received · manager annual ·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t>
        </is>
      </c>
      <c r="V123" s="31" t="inlineStr">
        <is>
          <t>Latest rating: 3 · Potential: Medium · 9-box: Core Contributor · Readiness: Develop in role</t>
        </is>
      </c>
      <c r="W123" s="31" t="inlineStr">
        <is>
          <t>C M · Au M · Ac M · L L · BI M · Exp H · 4.4 yrs vs 2–4 yrs · Edu H · CA</t>
        </is>
      </c>
      <c r="X123" s="33" t="inlineStr">
        <is>
          <t>Open ▸</t>
        </is>
      </c>
      <c r="Y123" s="34" t="str">
        <f>IFERROR(INDEX(DL_C,MATCH($CA123,DL_KEY,0)),"M")</f>
        <v>H</v>
      </c>
      <c r="Z123" s="35" t="str">
        <f>IFERROR(INDEX(DL_Au,MATCH($CA123,DL_KEY,0)),"M")</f>
        <v>M</v>
      </c>
      <c r="AA123" s="35" t="str">
        <f>IFERROR(INDEX(DL_Ac,MATCH($CA123,DL_KEY,0)),"M")</f>
        <v>M</v>
      </c>
      <c r="AB123" s="35" t="str">
        <f>IFERROR(INDEX(DL_L,MATCH($CA123,DL_KEY,0)),"M")</f>
        <v>L</v>
      </c>
      <c r="AC123" s="35" t="str">
        <f>IFERROR(INDEX(DL_BI,MATCH($CA123,DL_KEY,0)),"M")</f>
        <v>L</v>
      </c>
      <c r="AD123" s="35" t="str">
        <f>IFERROR(INDEX(DL_Exp,MATCH($CA123,DL_KEY,0)),"M")</f>
        <v>L</v>
      </c>
      <c r="AE123" s="35" t="str">
        <f>IFERROR(INDEX(DL_Edu,MATCH($CA123,DL_KEY,0)),"M")</f>
        <v>L</v>
      </c>
      <c r="AF123" s="34" t="inlineStr">
        <is>
          <t>M</t>
        </is>
      </c>
      <c r="AG123" s="35" t="inlineStr">
        <is>
          <t>M</t>
        </is>
      </c>
      <c r="AH123" s="35" t="inlineStr">
        <is>
          <t>M</t>
        </is>
      </c>
      <c r="AI123" s="35" t="inlineStr">
        <is>
          <t>M</t>
        </is>
      </c>
      <c r="AJ123" s="35" t="inlineStr">
        <is>
          <t>M</t>
        </is>
      </c>
      <c r="AK123" s="35" t="inlineStr">
        <is>
          <t>M</t>
        </is>
      </c>
      <c r="AL123" s="35" t="inlineStr">
        <is>
          <t>M</t>
        </is>
      </c>
      <c r="AM123" s="36" t="n">
        <v>0.583</v>
      </c>
      <c r="AN123" s="37" t="n">
        <v>0.16</v>
      </c>
      <c r="AO123" s="37" t="n">
        <v>0.09</v>
      </c>
      <c r="AP123" s="37" t="n">
        <v>0</v>
      </c>
      <c r="AQ123" s="37" t="n">
        <v>0.063</v>
      </c>
      <c r="AR123" s="37" t="n">
        <v>0.06</v>
      </c>
      <c r="AS123" s="37" t="n">
        <v>0.04</v>
      </c>
      <c r="AT123" s="38" t="inlineStr">
        <is>
          <t>2–5</t>
        </is>
      </c>
      <c r="AU123" s="38" t="inlineStr">
        <is>
          <t>Graduate; relevant certification preferred</t>
        </is>
      </c>
      <c r="AV123" s="38" t="inlineStr">
        <is>
          <t>None · guides 1–3 juniors informally</t>
        </is>
      </c>
      <c r="AW123" s="38" t="inlineStr">
        <is>
          <t>P2 · SFIA 3 Apply</t>
        </is>
      </c>
      <c r="AX1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3" s="39" t="inlineStr">
        <is>
          <t>A3</t>
        </is>
      </c>
      <c r="AZ123" s="40" t="inlineStr">
        <is>
          <t>Band A · Practitioner · Senior Associate</t>
        </is>
      </c>
      <c r="BA123" s="40" t="inlineStr">
        <is>
          <t>Model B1 from the six ratings, the market-derived weights and rules R1–R13 · then Level rule: manager B1; a reportee sits at least one level below · B1 → A3 · move down · pay and title protected for one cycle</t>
        </is>
      </c>
      <c r="BB123" s="41" t="inlineStr">
        <is>
          <t>B1</t>
        </is>
      </c>
      <c r="BC123" s="40" t="inlineStr">
        <is>
          <t>The six ratings on the market-average weights of Band A · all tracks score 3.60 → B1 · Hay, Mercer IPE and public plans · experience 4.4 yrs vs the B1 market range 4–8</t>
        </is>
      </c>
      <c r="BD123" s="42">
        <f>IF(SUM(BM123,BN123,BO123,BP123,BQ123,BR123,BS123)=0,0,(BM123*BT123+BN123*BU123+BO123*BV123+BP123*BW123+BQ123*BX123+BR123*BY123+BS123*BZ123)/SUM(BM123,BN123,BO123,BP123,BQ123,BR123,BS123))</f>
        <v>0</v>
      </c>
      <c r="BE123" s="41" t="str">
        <f>IF(LEFT(AY123,1)="X",AY123,IF(OR(AY123="B+",AY123="C+"),INDEX(LAD_PC,MAX(1,MIN(14,MATCH(AY123,LAD_PC,0)+IF(BD123&gt;=0.5,1,IF(BD123&lt;=-0.5,-1,0))))),INDEX(LAD_STD,MAX(1,MIN(12,MATCH(AY123,LAD_STD,0)+IF(BD123&gt;=0.5,1,IF(BD123&lt;=-0.5,-1,0)))))))</f>
        <v>A3</v>
      </c>
      <c r="BF123" s="43" t="n"/>
      <c r="BG123" s="41" t="str">
        <f>IF(BF123&lt;&gt;"",BF123,BE123)</f>
        <v>A3</v>
      </c>
      <c r="BH123" s="40" t="str">
        <f>IFERROR(CHOOSE(INDEX(B_RANK,MATCH(BG123,B_LVL,0)),"Band A","Band B","B+ · Player-Coach","Band C","C+ · Player-Coach","Band D","Band E"),"Band X · Consultant")</f>
        <v>Band A</v>
      </c>
      <c r="BI123" s="40" t="str">
        <f>IF(BG123=AY123,"• Same",IF(INDEX(B_VAL,MATCH(BG123,B_LVL,0))&gt;INDEX(B_VAL,MATCH(AY123,B_LVL,0)),"▲ Up","▼ Down"))</f>
        <v>• Same</v>
      </c>
      <c r="BJ123" s="40" t="str">
        <f>IF(OR($M123="",$M123="—",$M123="Not in this file"),"",IFERROR(INDEX($BG$7:$BG$592,MATCH($M123,$D$7:$D$592,0)),""))</f>
        <v>B1</v>
      </c>
      <c r="BK123" s="40" t="str">
        <f>IFERROR(IF(BJ123="","—",IF(OR(LEFT(BG123,1)="X",LEFT(BJ123,1)="X"),"—",IF(AND(LEFT(BG123,1)="E",LEFT(BJ123,1)="E"),"Exception · Band E",IF(AND(INDEX(B_VAL,MATCH(BJ123,B_LVL,0))&gt;=7,INDEX(B_RANK,MATCH(BG123,B_LVL,0))&gt;=INDEX(B_RANK,MATCH(BJ123,B_LVL,0))),"⚠ Same band as a head manager",IF(INDEX(B_VAL,MATCH(BG123,B_LVL,0))&gt;=INDEX(B_VAL,MATCH(BJ123,B_LVL,0)),"⚠ At or above the manager's level","OK"))))),"—")</f>
        <v>OK</v>
      </c>
      <c r="BL123" s="43" t="n"/>
      <c r="BM123" s="44">
        <f>IFERROR(INDEX(LMH_PTS,MATCH(Y123,LMH_KEY,0)),0)</f>
        <v>9</v>
      </c>
      <c r="BN123" s="38">
        <f>IFERROR(INDEX(LMH_PTS,MATCH(Z123,LMH_KEY,0)),0)</f>
        <v>3</v>
      </c>
      <c r="BO123" s="38">
        <f>IFERROR(INDEX(LMH_PTS,MATCH(AA123,LMH_KEY,0)),0)</f>
        <v>3</v>
      </c>
      <c r="BP123" s="38">
        <f>IFERROR(INDEX(LMH_PTS,MATCH(AB123,LMH_KEY,0)),0)</f>
        <v>1</v>
      </c>
      <c r="BQ123" s="38">
        <f>IFERROR(INDEX(LMH_PTS,MATCH(AC123,LMH_KEY,0)),0)</f>
        <v>1</v>
      </c>
      <c r="BR123" s="38">
        <f>IFERROR(INDEX(LMH_PTS,MATCH(AD123,LMH_KEY,0)),0)</f>
        <v>1</v>
      </c>
      <c r="BS123" s="38">
        <f>IFERROR(INDEX(LMH_PTS,MATCH(AE123,LMH_KEY,0)),0)</f>
        <v>1</v>
      </c>
      <c r="BT123" s="38">
        <f>IFERROR(INDEX(LMH_STEP,MATCH(AF123,LMH_KEY,0)),0)</f>
        <v>0</v>
      </c>
      <c r="BU123" s="38">
        <f>IFERROR(INDEX(LMH_STEP,MATCH(AG123,LMH_KEY,0)),0)</f>
        <v>0</v>
      </c>
      <c r="BV123" s="38">
        <f>IFERROR(INDEX(LMH_STEP,MATCH(AH123,LMH_KEY,0)),0)</f>
        <v>0</v>
      </c>
      <c r="BW123" s="38">
        <f>IFERROR(INDEX(LMH_STEP,MATCH(AI123,LMH_KEY,0)),0)</f>
        <v>0</v>
      </c>
      <c r="BX123" s="38">
        <f>IFERROR(INDEX(LMH_STEP,MATCH(AJ123,LMH_KEY,0)),0)</f>
        <v>0</v>
      </c>
      <c r="BY123" s="38">
        <f>IFERROR(INDEX(LMH_STEP,MATCH(AK123,LMH_KEY,0)),0)</f>
        <v>0</v>
      </c>
      <c r="BZ123" s="38">
        <f>IFERROR(INDEX(LMH_STEP,MATCH(AL123,LMH_KEY,0)),0)</f>
        <v>0</v>
      </c>
      <c r="CA123" s="38" t="inlineStr">
        <is>
          <t>CARBON|Functional|Functional Specialist|A3|A</t>
        </is>
      </c>
    </row>
    <row r="124" ht="110" customHeight="1">
      <c r="A124" s="28" t="inlineStr">
        <is>
          <t>CARBON</t>
        </is>
      </c>
      <c r="B124" s="29" t="inlineStr">
        <is>
          <t>Marketing</t>
        </is>
      </c>
      <c r="C124" s="29" t="n">
        <v>5</v>
      </c>
      <c r="D124" s="29" t="inlineStr">
        <is>
          <t>IRIS2515</t>
        </is>
      </c>
      <c r="E124" s="29" t="inlineStr">
        <is>
          <t>Aashima Singh</t>
        </is>
      </c>
      <c r="F124" s="29" t="inlineStr">
        <is>
          <t>Marketing Associate</t>
        </is>
      </c>
      <c r="G124" s="29" t="inlineStr">
        <is>
          <t>Marketing Associate</t>
        </is>
      </c>
      <c r="H124" s="29" t="inlineStr">
        <is>
          <t>Marketing &amp; Communications</t>
        </is>
      </c>
      <c r="I124" s="29" t="inlineStr">
        <is>
          <t>Demand Generation, Brand &amp; Events</t>
        </is>
      </c>
      <c r="J124" s="29" t="inlineStr">
        <is>
          <t>IC</t>
        </is>
      </c>
      <c r="K124" s="29" t="inlineStr">
        <is>
          <t>RC-114</t>
        </is>
      </c>
      <c r="L124" s="29" t="inlineStr">
        <is>
          <t>Aakanksha Swaminathan</t>
        </is>
      </c>
      <c r="M124" s="29" t="inlineStr">
        <is>
          <t>IRIS2372</t>
        </is>
      </c>
      <c r="N124" s="29" t="n">
        <v>0.4</v>
      </c>
      <c r="O124" s="29" t="n">
        <v>0.4</v>
      </c>
      <c r="P124" s="29" t="inlineStr">
        <is>
          <t>MBA</t>
        </is>
      </c>
      <c r="Q124" s="29" t="inlineStr">
        <is>
          <t>L3 – Professional / Associate</t>
        </is>
      </c>
      <c r="R124" s="29" t="inlineStr">
        <is>
          <t>A2</t>
        </is>
      </c>
      <c r="S124" s="30" t="inlineStr">
        <is>
          <t>19 of 20</t>
        </is>
      </c>
      <c r="T124" s="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t>
        </is>
      </c>
      <c r="U124" s="31" t="inlineStr">
        <is>
          <t>Received · manager annual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124" s="31" t="inlineStr">
        <is>
          <t>Latest rating: 3 · Potential: Medium · 9-box: Core Contributor · Readiness: Develop in role</t>
        </is>
      </c>
      <c r="W124" s="31" t="inlineStr">
        <is>
          <t>C M · Au M · Ac M · L M · BI M · Exp M · 0.4 yrs vs 0–2 yrs · Edu H · MBA</t>
        </is>
      </c>
      <c r="X124" s="33" t="inlineStr">
        <is>
          <t>Open ▸</t>
        </is>
      </c>
      <c r="Y124" s="34" t="str">
        <f>IFERROR(INDEX(DL_C,MATCH($CA124,DL_KEY,0)),"M")</f>
        <v>H</v>
      </c>
      <c r="Z124" s="35" t="str">
        <f>IFERROR(INDEX(DL_Au,MATCH($CA124,DL_KEY,0)),"M")</f>
        <v>M</v>
      </c>
      <c r="AA124" s="35" t="str">
        <f>IFERROR(INDEX(DL_Ac,MATCH($CA124,DL_KEY,0)),"M")</f>
        <v>L</v>
      </c>
      <c r="AB124" s="35" t="str">
        <f>IFERROR(INDEX(DL_L,MATCH($CA124,DL_KEY,0)),"M")</f>
        <v>L</v>
      </c>
      <c r="AC124" s="35" t="str">
        <f>IFERROR(INDEX(DL_BI,MATCH($CA124,DL_KEY,0)),"M")</f>
        <v>M</v>
      </c>
      <c r="AD124" s="35" t="str">
        <f>IFERROR(INDEX(DL_Exp,MATCH($CA124,DL_KEY,0)),"M")</f>
        <v>L</v>
      </c>
      <c r="AE124" s="35" t="str">
        <f>IFERROR(INDEX(DL_Edu,MATCH($CA124,DL_KEY,0)),"M")</f>
        <v>L</v>
      </c>
      <c r="AF124" s="34" t="inlineStr">
        <is>
          <t>M</t>
        </is>
      </c>
      <c r="AG124" s="35" t="inlineStr">
        <is>
          <t>M</t>
        </is>
      </c>
      <c r="AH124" s="35" t="inlineStr">
        <is>
          <t>M</t>
        </is>
      </c>
      <c r="AI124" s="35" t="inlineStr">
        <is>
          <t>M</t>
        </is>
      </c>
      <c r="AJ124" s="35" t="inlineStr">
        <is>
          <t>M</t>
        </is>
      </c>
      <c r="AK124" s="35" t="inlineStr">
        <is>
          <t>M</t>
        </is>
      </c>
      <c r="AL124" s="35" t="inlineStr">
        <is>
          <t>M</t>
        </is>
      </c>
      <c r="AM124" s="36" t="n">
        <v>0.583</v>
      </c>
      <c r="AN124" s="37" t="n">
        <v>0.16</v>
      </c>
      <c r="AO124" s="37" t="n">
        <v>0.09</v>
      </c>
      <c r="AP124" s="37" t="n">
        <v>0</v>
      </c>
      <c r="AQ124" s="37" t="n">
        <v>0.063</v>
      </c>
      <c r="AR124" s="37" t="n">
        <v>0.06</v>
      </c>
      <c r="AS124" s="37" t="n">
        <v>0.04</v>
      </c>
      <c r="AT124" s="38" t="inlineStr">
        <is>
          <t>0–3</t>
        </is>
      </c>
      <c r="AU124" s="38" t="inlineStr">
        <is>
          <t>Graduate · or diploma with experience</t>
        </is>
      </c>
      <c r="AV124" s="38" t="inlineStr">
        <is>
          <t>No direct reports</t>
        </is>
      </c>
      <c r="AW124" s="38" t="inlineStr">
        <is>
          <t>P1–P2 · SFIA 2 Assist</t>
        </is>
      </c>
      <c r="AX1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4" s="39" t="inlineStr">
        <is>
          <t>A2</t>
        </is>
      </c>
      <c r="AZ124" s="40" t="inlineStr">
        <is>
          <t>Band A · Practitioner · Associate</t>
        </is>
      </c>
      <c r="BA124" s="40" t="inlineStr">
        <is>
          <t>Model A2 from the six ratings, the market-derived weights and rules R1–R13 · then No change · already below the manager</t>
        </is>
      </c>
      <c r="BB124" s="41" t="inlineStr">
        <is>
          <t>A2</t>
        </is>
      </c>
      <c r="BC124" s="40" t="inlineStr">
        <is>
          <t>The six ratings on the market-average weights of Band A · all tracks score 2.29 → A2 · Hay, Mercer IPE and public plans · experience 0.4 yrs vs the A2 market range 0–3</t>
        </is>
      </c>
      <c r="BD124" s="42">
        <f>IF(SUM(BM124,BN124,BO124,BP124,BQ124,BR124,BS124)=0,0,(BM124*BT124+BN124*BU124+BO124*BV124+BP124*BW124+BQ124*BX124+BR124*BY124+BS124*BZ124)/SUM(BM124,BN124,BO124,BP124,BQ124,BR124,BS124))</f>
        <v>0</v>
      </c>
      <c r="BE124" s="41" t="str">
        <f>IF(LEFT(AY124,1)="X",AY124,IF(OR(AY124="B+",AY124="C+"),INDEX(LAD_PC,MAX(1,MIN(14,MATCH(AY124,LAD_PC,0)+IF(BD124&gt;=0.5,1,IF(BD124&lt;=-0.5,-1,0))))),INDEX(LAD_STD,MAX(1,MIN(12,MATCH(AY124,LAD_STD,0)+IF(BD124&gt;=0.5,1,IF(BD124&lt;=-0.5,-1,0)))))))</f>
        <v>A2</v>
      </c>
      <c r="BF124" s="43" t="n"/>
      <c r="BG124" s="41" t="str">
        <f>IF(BF124&lt;&gt;"",BF124,BE124)</f>
        <v>A2</v>
      </c>
      <c r="BH124" s="40" t="str">
        <f>IFERROR(CHOOSE(INDEX(B_RANK,MATCH(BG124,B_LVL,0)),"Band A","Band B","B+ · Player-Coach","Band C","C+ · Player-Coach","Band D","Band E"),"Band X · Consultant")</f>
        <v>Band A</v>
      </c>
      <c r="BI124" s="40" t="str">
        <f>IF(BG124=AY124,"• Same",IF(INDEX(B_VAL,MATCH(BG124,B_LVL,0))&gt;INDEX(B_VAL,MATCH(AY124,B_LVL,0)),"▲ Up","▼ Down"))</f>
        <v>• Same</v>
      </c>
      <c r="BJ124" s="40" t="str">
        <f>IF(OR($M124="",$M124="—",$M124="Not in this file"),"",IFERROR(INDEX($BG$7:$BG$592,MATCH($M124,$D$7:$D$592,0)),""))</f>
        <v>B1</v>
      </c>
      <c r="BK124" s="40" t="str">
        <f>IFERROR(IF(BJ124="","—",IF(OR(LEFT(BG124,1)="X",LEFT(BJ124,1)="X"),"—",IF(AND(LEFT(BG124,1)="E",LEFT(BJ124,1)="E"),"Exception · Band E",IF(AND(INDEX(B_VAL,MATCH(BJ124,B_LVL,0))&gt;=7,INDEX(B_RANK,MATCH(BG124,B_LVL,0))&gt;=INDEX(B_RANK,MATCH(BJ124,B_LVL,0))),"⚠ Same band as a head manager",IF(INDEX(B_VAL,MATCH(BG124,B_LVL,0))&gt;=INDEX(B_VAL,MATCH(BJ124,B_LVL,0)),"⚠ At or above the manager's level","OK"))))),"—")</f>
        <v>OK</v>
      </c>
      <c r="BL124" s="43" t="n"/>
      <c r="BM124" s="44">
        <f>IFERROR(INDEX(LMH_PTS,MATCH(Y124,LMH_KEY,0)),0)</f>
        <v>9</v>
      </c>
      <c r="BN124" s="38">
        <f>IFERROR(INDEX(LMH_PTS,MATCH(Z124,LMH_KEY,0)),0)</f>
        <v>3</v>
      </c>
      <c r="BO124" s="38">
        <f>IFERROR(INDEX(LMH_PTS,MATCH(AA124,LMH_KEY,0)),0)</f>
        <v>1</v>
      </c>
      <c r="BP124" s="38">
        <f>IFERROR(INDEX(LMH_PTS,MATCH(AB124,LMH_KEY,0)),0)</f>
        <v>1</v>
      </c>
      <c r="BQ124" s="38">
        <f>IFERROR(INDEX(LMH_PTS,MATCH(AC124,LMH_KEY,0)),0)</f>
        <v>3</v>
      </c>
      <c r="BR124" s="38">
        <f>IFERROR(INDEX(LMH_PTS,MATCH(AD124,LMH_KEY,0)),0)</f>
        <v>1</v>
      </c>
      <c r="BS124" s="38">
        <f>IFERROR(INDEX(LMH_PTS,MATCH(AE124,LMH_KEY,0)),0)</f>
        <v>1</v>
      </c>
      <c r="BT124" s="38">
        <f>IFERROR(INDEX(LMH_STEP,MATCH(AF124,LMH_KEY,0)),0)</f>
        <v>0</v>
      </c>
      <c r="BU124" s="38">
        <f>IFERROR(INDEX(LMH_STEP,MATCH(AG124,LMH_KEY,0)),0)</f>
        <v>0</v>
      </c>
      <c r="BV124" s="38">
        <f>IFERROR(INDEX(LMH_STEP,MATCH(AH124,LMH_KEY,0)),0)</f>
        <v>0</v>
      </c>
      <c r="BW124" s="38">
        <f>IFERROR(INDEX(LMH_STEP,MATCH(AI124,LMH_KEY,0)),0)</f>
        <v>0</v>
      </c>
      <c r="BX124" s="38">
        <f>IFERROR(INDEX(LMH_STEP,MATCH(AJ124,LMH_KEY,0)),0)</f>
        <v>0</v>
      </c>
      <c r="BY124" s="38">
        <f>IFERROR(INDEX(LMH_STEP,MATCH(AK124,LMH_KEY,0)),0)</f>
        <v>0</v>
      </c>
      <c r="BZ124" s="38">
        <f>IFERROR(INDEX(LMH_STEP,MATCH(AL124,LMH_KEY,0)),0)</f>
        <v>0</v>
      </c>
      <c r="CA124" s="38" t="inlineStr">
        <is>
          <t>CARBON|Marketing|Marketing Associate|A2|A</t>
        </is>
      </c>
    </row>
    <row r="125" ht="110" customHeight="1">
      <c r="A125" s="28" t="inlineStr">
        <is>
          <t>CARBON</t>
        </is>
      </c>
      <c r="B125" s="29" t="inlineStr">
        <is>
          <t>Functional</t>
        </is>
      </c>
      <c r="C125" s="29" t="n">
        <v>4</v>
      </c>
      <c r="D125" s="29" t="inlineStr">
        <is>
          <t>IRIS2344</t>
        </is>
      </c>
      <c r="E125" s="29" t="inlineStr">
        <is>
          <t>Medha Ganti</t>
        </is>
      </c>
      <c r="F125" s="29" t="inlineStr">
        <is>
          <t>Functional Specialist</t>
        </is>
      </c>
      <c r="G125" s="29" t="inlineStr">
        <is>
          <t>Associate Product Manager – POD Lead</t>
        </is>
      </c>
      <c r="H125" s="29" t="inlineStr">
        <is>
          <t>Product Management</t>
        </is>
      </c>
      <c r="I125" s="29" t="inlineStr">
        <is>
          <t>Product Management</t>
        </is>
      </c>
      <c r="J125" s="29" t="inlineStr">
        <is>
          <t>POD Lead</t>
        </is>
      </c>
      <c r="K125" s="29" t="inlineStr">
        <is>
          <t>RC-125</t>
        </is>
      </c>
      <c r="L125" s="29" t="inlineStr">
        <is>
          <t>Suman Adhikary</t>
        </is>
      </c>
      <c r="M125" s="29" t="inlineStr">
        <is>
          <t>IRIS2359</t>
        </is>
      </c>
      <c r="N125" s="29" t="n">
        <v>5.6</v>
      </c>
      <c r="O125" s="29" t="n">
        <v>1.6</v>
      </c>
      <c r="P125" s="29" t="inlineStr">
        <is>
          <t>CA</t>
        </is>
      </c>
      <c r="Q125" s="29" t="inlineStr">
        <is>
          <t>L3 – Professional / Associate</t>
        </is>
      </c>
      <c r="R125" s="29" t="inlineStr">
        <is>
          <t>B1</t>
        </is>
      </c>
      <c r="S125" s="30" t="inlineStr">
        <is>
          <t>20 of 20</t>
        </is>
      </c>
      <c r="T125" s="31"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t>
        </is>
      </c>
      <c r="U125" s="31" t="inlineStr">
        <is>
          <t>Received · manager annual · 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t>
        </is>
      </c>
      <c r="V125" s="31" t="inlineStr">
        <is>
          <t>Latest rating: 3 · Potential: Medium · 9-box: High Impact / Growth Talent · Readiness: Develop in role</t>
        </is>
      </c>
      <c r="W125" s="31" t="inlineStr">
        <is>
          <t>C M · Au M · Ac M · L L · BI M · Exp M · 5.6 yrs vs 4–7 yrs · Edu H · CA</t>
        </is>
      </c>
      <c r="X125" s="33" t="inlineStr">
        <is>
          <t>Open ▸</t>
        </is>
      </c>
      <c r="Y125" s="34" t="str">
        <f>IFERROR(INDEX(DL_C,MATCH($CA125,DL_KEY,0)),"M")</f>
        <v>H</v>
      </c>
      <c r="Z125" s="35" t="str">
        <f>IFERROR(INDEX(DL_Au,MATCH($CA125,DL_KEY,0)),"M")</f>
        <v>M</v>
      </c>
      <c r="AA125" s="35" t="str">
        <f>IFERROR(INDEX(DL_Ac,MATCH($CA125,DL_KEY,0)),"M")</f>
        <v>M</v>
      </c>
      <c r="AB125" s="35" t="str">
        <f>IFERROR(INDEX(DL_L,MATCH($CA125,DL_KEY,0)),"M")</f>
        <v>L</v>
      </c>
      <c r="AC125" s="35" t="str">
        <f>IFERROR(INDEX(DL_BI,MATCH($CA125,DL_KEY,0)),"M")</f>
        <v>L</v>
      </c>
      <c r="AD125" s="35" t="str">
        <f>IFERROR(INDEX(DL_Exp,MATCH($CA125,DL_KEY,0)),"M")</f>
        <v>L</v>
      </c>
      <c r="AE125" s="35" t="str">
        <f>IFERROR(INDEX(DL_Edu,MATCH($CA125,DL_KEY,0)),"M")</f>
        <v>L</v>
      </c>
      <c r="AF125" s="34" t="inlineStr">
        <is>
          <t>M</t>
        </is>
      </c>
      <c r="AG125" s="35" t="inlineStr">
        <is>
          <t>M</t>
        </is>
      </c>
      <c r="AH125" s="35" t="inlineStr">
        <is>
          <t>M</t>
        </is>
      </c>
      <c r="AI125" s="35" t="inlineStr">
        <is>
          <t>M</t>
        </is>
      </c>
      <c r="AJ125" s="35" t="inlineStr">
        <is>
          <t>M</t>
        </is>
      </c>
      <c r="AK125" s="35" t="inlineStr">
        <is>
          <t>M</t>
        </is>
      </c>
      <c r="AL125" s="35" t="inlineStr">
        <is>
          <t>M</t>
        </is>
      </c>
      <c r="AM125" s="36" t="n">
        <v>0.513</v>
      </c>
      <c r="AN125" s="37" t="n">
        <v>0.173</v>
      </c>
      <c r="AO125" s="37" t="n">
        <v>0.09699999999999999</v>
      </c>
      <c r="AP125" s="37" t="n">
        <v>0.05</v>
      </c>
      <c r="AQ125" s="37" t="n">
        <v>0.07000000000000001</v>
      </c>
      <c r="AR125" s="37" t="n">
        <v>0.06</v>
      </c>
      <c r="AS125" s="37" t="n">
        <v>0.04</v>
      </c>
      <c r="AT125" s="38" t="inlineStr">
        <is>
          <t>4–8</t>
        </is>
      </c>
      <c r="AU125" s="38" t="inlineStr">
        <is>
          <t>Graduate + relevant qualification or certification preferred</t>
        </is>
      </c>
      <c r="AV125" s="38" t="inlineStr">
        <is>
          <t>IC: none · Team Lead: 3–5</t>
        </is>
      </c>
      <c r="AW125" s="38" t="inlineStr">
        <is>
          <t>P3 / M2 · SFIA 4 Enable</t>
        </is>
      </c>
      <c r="AX1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5" s="39" t="inlineStr">
        <is>
          <t>B1</t>
        </is>
      </c>
      <c r="AZ125" s="40" t="inlineStr">
        <is>
          <t>Band B · Specialist / Manager · Team Lead / Asst Manager</t>
        </is>
      </c>
      <c r="BA125" s="40" t="inlineStr">
        <is>
          <t>Model B1 from the six ratings, the market-derived weights and rules R1–R13 · then No change · already below the manager</t>
        </is>
      </c>
      <c r="BB125" s="41" t="inlineStr">
        <is>
          <t>B1</t>
        </is>
      </c>
      <c r="BC125" s="40" t="inlineStr">
        <is>
          <t>The six ratings on the market-average weights of Band B · Specialist / POD Lead score 4.08 → B1 · Hay, Mercer IPE and public plans · experience 5.6 yrs vs the B1 market range 4–8</t>
        </is>
      </c>
      <c r="BD125" s="42">
        <f>IF(SUM(BM125,BN125,BO125,BP125,BQ125,BR125,BS125)=0,0,(BM125*BT125+BN125*BU125+BO125*BV125+BP125*BW125+BQ125*BX125+BR125*BY125+BS125*BZ125)/SUM(BM125,BN125,BO125,BP125,BQ125,BR125,BS125))</f>
        <v>0</v>
      </c>
      <c r="BE125" s="41" t="str">
        <f>IF(LEFT(AY125,1)="X",AY125,IF(OR(AY125="B+",AY125="C+"),INDEX(LAD_PC,MAX(1,MIN(14,MATCH(AY125,LAD_PC,0)+IF(BD125&gt;=0.5,1,IF(BD125&lt;=-0.5,-1,0))))),INDEX(LAD_STD,MAX(1,MIN(12,MATCH(AY125,LAD_STD,0)+IF(BD125&gt;=0.5,1,IF(BD125&lt;=-0.5,-1,0)))))))</f>
        <v>B1</v>
      </c>
      <c r="BF125" s="43" t="n"/>
      <c r="BG125" s="41" t="str">
        <f>IF(BF125&lt;&gt;"",BF125,BE125)</f>
        <v>B1</v>
      </c>
      <c r="BH125" s="40" t="str">
        <f>IFERROR(CHOOSE(INDEX(B_RANK,MATCH(BG125,B_LVL,0)),"Band A","Band B","B+ · Player-Coach","Band C","C+ · Player-Coach","Band D","Band E"),"Band X · Consultant")</f>
        <v>Band B</v>
      </c>
      <c r="BI125" s="40" t="str">
        <f>IF(BG125=AY125,"• Same",IF(INDEX(B_VAL,MATCH(BG125,B_LVL,0))&gt;INDEX(B_VAL,MATCH(AY125,B_LVL,0)),"▲ Up","▼ Down"))</f>
        <v>• Same</v>
      </c>
      <c r="BJ125" s="40" t="str">
        <f>IF(OR($M125="",$M125="—",$M125="Not in this file"),"",IFERROR(INDEX($BG$7:$BG$592,MATCH($M125,$D$7:$D$592,0)),""))</f>
        <v>C2</v>
      </c>
      <c r="BK125" s="40" t="str">
        <f>IFERROR(IF(BJ125="","—",IF(OR(LEFT(BG125,1)="X",LEFT(BJ125,1)="X"),"—",IF(AND(LEFT(BG125,1)="E",LEFT(BJ125,1)="E"),"Exception · Band E",IF(AND(INDEX(B_VAL,MATCH(BJ125,B_LVL,0))&gt;=7,INDEX(B_RANK,MATCH(BG125,B_LVL,0))&gt;=INDEX(B_RANK,MATCH(BJ125,B_LVL,0))),"⚠ Same band as a head manager",IF(INDEX(B_VAL,MATCH(BG125,B_LVL,0))&gt;=INDEX(B_VAL,MATCH(BJ125,B_LVL,0)),"⚠ At or above the manager's level","OK"))))),"—")</f>
        <v>OK</v>
      </c>
      <c r="BL125" s="43" t="n"/>
      <c r="BM125" s="44">
        <f>IFERROR(INDEX(LMH_PTS,MATCH(Y125,LMH_KEY,0)),0)</f>
        <v>9</v>
      </c>
      <c r="BN125" s="38">
        <f>IFERROR(INDEX(LMH_PTS,MATCH(Z125,LMH_KEY,0)),0)</f>
        <v>3</v>
      </c>
      <c r="BO125" s="38">
        <f>IFERROR(INDEX(LMH_PTS,MATCH(AA125,LMH_KEY,0)),0)</f>
        <v>3</v>
      </c>
      <c r="BP125" s="38">
        <f>IFERROR(INDEX(LMH_PTS,MATCH(AB125,LMH_KEY,0)),0)</f>
        <v>1</v>
      </c>
      <c r="BQ125" s="38">
        <f>IFERROR(INDEX(LMH_PTS,MATCH(AC125,LMH_KEY,0)),0)</f>
        <v>1</v>
      </c>
      <c r="BR125" s="38">
        <f>IFERROR(INDEX(LMH_PTS,MATCH(AD125,LMH_KEY,0)),0)</f>
        <v>1</v>
      </c>
      <c r="BS125" s="38">
        <f>IFERROR(INDEX(LMH_PTS,MATCH(AE125,LMH_KEY,0)),0)</f>
        <v>1</v>
      </c>
      <c r="BT125" s="38">
        <f>IFERROR(INDEX(LMH_STEP,MATCH(AF125,LMH_KEY,0)),0)</f>
        <v>0</v>
      </c>
      <c r="BU125" s="38">
        <f>IFERROR(INDEX(LMH_STEP,MATCH(AG125,LMH_KEY,0)),0)</f>
        <v>0</v>
      </c>
      <c r="BV125" s="38">
        <f>IFERROR(INDEX(LMH_STEP,MATCH(AH125,LMH_KEY,0)),0)</f>
        <v>0</v>
      </c>
      <c r="BW125" s="38">
        <f>IFERROR(INDEX(LMH_STEP,MATCH(AI125,LMH_KEY,0)),0)</f>
        <v>0</v>
      </c>
      <c r="BX125" s="38">
        <f>IFERROR(INDEX(LMH_STEP,MATCH(AJ125,LMH_KEY,0)),0)</f>
        <v>0</v>
      </c>
      <c r="BY125" s="38">
        <f>IFERROR(INDEX(LMH_STEP,MATCH(AK125,LMH_KEY,0)),0)</f>
        <v>0</v>
      </c>
      <c r="BZ125" s="38">
        <f>IFERROR(INDEX(LMH_STEP,MATCH(AL125,LMH_KEY,0)),0)</f>
        <v>0</v>
      </c>
      <c r="CA125" s="38" t="inlineStr">
        <is>
          <t>CARBON|Functional|Associate Product Manager – POD Lead|B1|B-IC</t>
        </is>
      </c>
    </row>
    <row r="126" ht="110" customHeight="1">
      <c r="A126" s="28" t="inlineStr">
        <is>
          <t>CARBON</t>
        </is>
      </c>
      <c r="B126" s="29" t="inlineStr">
        <is>
          <t>Sales</t>
        </is>
      </c>
      <c r="C126" s="29" t="n">
        <v>5</v>
      </c>
      <c r="D126" s="29" t="inlineStr">
        <is>
          <t>IRIS2308</t>
        </is>
      </c>
      <c r="E126" s="29" t="inlineStr">
        <is>
          <t>Smriti Priya</t>
        </is>
      </c>
      <c r="F126" s="29" t="inlineStr">
        <is>
          <t>Senior Analyst, Strategy and Operations</t>
        </is>
      </c>
      <c r="G126" s="29" t="inlineStr">
        <is>
          <t>Senior Sales Operations Analyst</t>
        </is>
      </c>
      <c r="H126" s="29" t="inlineStr">
        <is>
          <t>Sales &amp; Business Development</t>
        </is>
      </c>
      <c r="I126" s="29" t="inlineStr">
        <is>
          <t>Bids, RFP &amp; Sales Operations</t>
        </is>
      </c>
      <c r="J126" s="29" t="inlineStr">
        <is>
          <t>IC</t>
        </is>
      </c>
      <c r="K126" s="29" t="inlineStr">
        <is>
          <t>RC-149</t>
        </is>
      </c>
      <c r="L126" s="29" t="inlineStr">
        <is>
          <t>Medha Ganti</t>
        </is>
      </c>
      <c r="M126" s="29" t="inlineStr">
        <is>
          <t>IRIS2344</t>
        </is>
      </c>
      <c r="N126" s="29" t="n">
        <v>4</v>
      </c>
      <c r="O126" s="29" t="n">
        <v>2</v>
      </c>
      <c r="P126" s="29" t="inlineStr">
        <is>
          <t>MBA</t>
        </is>
      </c>
      <c r="Q126" s="29" t="inlineStr">
        <is>
          <t>L4 – Senior</t>
        </is>
      </c>
      <c r="R126" s="29" t="inlineStr">
        <is>
          <t>A3</t>
        </is>
      </c>
      <c r="S126" s="30" t="inlineStr">
        <is>
          <t>20 of 20</t>
        </is>
      </c>
      <c r="T126" s="31" t="inlineStr">
        <is>
          <t>Streamline and support the sales process by coordinating cross-functional inputs, managing RFPs/tenders and commercial requirements, and ensuring timely, accurate execution.; RFP Tracking Response consolidation Process Improvement Deadline Management</t>
        </is>
      </c>
      <c r="U126" s="31" t="inlineStr">
        <is>
          <t>Received · manager annual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126" s="31" t="inlineStr">
        <is>
          <t>Latest rating: 3 · Potential: Low · 9-box: Reliable Specialist · Readiness: Develop in role</t>
        </is>
      </c>
      <c r="W126" s="31" t="inlineStr">
        <is>
          <t>C M · Au M · Ac M · L L · BI M · Exp M · 4 yrs vs 2–4 yrs · Edu H · MBA</t>
        </is>
      </c>
      <c r="X126" s="33" t="inlineStr">
        <is>
          <t>Open ▸</t>
        </is>
      </c>
      <c r="Y126" s="34" t="str">
        <f>IFERROR(INDEX(DL_C,MATCH($CA126,DL_KEY,0)),"M")</f>
        <v>H</v>
      </c>
      <c r="Z126" s="35" t="str">
        <f>IFERROR(INDEX(DL_Au,MATCH($CA126,DL_KEY,0)),"M")</f>
        <v>M</v>
      </c>
      <c r="AA126" s="35" t="str">
        <f>IFERROR(INDEX(DL_Ac,MATCH($CA126,DL_KEY,0)),"M")</f>
        <v>L</v>
      </c>
      <c r="AB126" s="35" t="str">
        <f>IFERROR(INDEX(DL_L,MATCH($CA126,DL_KEY,0)),"M")</f>
        <v>L</v>
      </c>
      <c r="AC126" s="35" t="str">
        <f>IFERROR(INDEX(DL_BI,MATCH($CA126,DL_KEY,0)),"M")</f>
        <v>M</v>
      </c>
      <c r="AD126" s="35" t="str">
        <f>IFERROR(INDEX(DL_Exp,MATCH($CA126,DL_KEY,0)),"M")</f>
        <v>L</v>
      </c>
      <c r="AE126" s="35" t="str">
        <f>IFERROR(INDEX(DL_Edu,MATCH($CA126,DL_KEY,0)),"M")</f>
        <v>L</v>
      </c>
      <c r="AF126" s="34" t="inlineStr">
        <is>
          <t>M</t>
        </is>
      </c>
      <c r="AG126" s="35" t="inlineStr">
        <is>
          <t>M</t>
        </is>
      </c>
      <c r="AH126" s="35" t="inlineStr">
        <is>
          <t>M</t>
        </is>
      </c>
      <c r="AI126" s="35" t="inlineStr">
        <is>
          <t>M</t>
        </is>
      </c>
      <c r="AJ126" s="35" t="inlineStr">
        <is>
          <t>M</t>
        </is>
      </c>
      <c r="AK126" s="35" t="inlineStr">
        <is>
          <t>M</t>
        </is>
      </c>
      <c r="AL126" s="35" t="inlineStr">
        <is>
          <t>M</t>
        </is>
      </c>
      <c r="AM126" s="36" t="n">
        <v>0.583</v>
      </c>
      <c r="AN126" s="37" t="n">
        <v>0.16</v>
      </c>
      <c r="AO126" s="37" t="n">
        <v>0.09</v>
      </c>
      <c r="AP126" s="37" t="n">
        <v>0</v>
      </c>
      <c r="AQ126" s="37" t="n">
        <v>0.063</v>
      </c>
      <c r="AR126" s="37" t="n">
        <v>0.06</v>
      </c>
      <c r="AS126" s="37" t="n">
        <v>0.04</v>
      </c>
      <c r="AT126" s="38" t="inlineStr">
        <is>
          <t>2–5</t>
        </is>
      </c>
      <c r="AU126" s="38" t="inlineStr">
        <is>
          <t>Graduate; relevant certification preferred</t>
        </is>
      </c>
      <c r="AV126" s="38" t="inlineStr">
        <is>
          <t>None · guides 1–3 juniors informally</t>
        </is>
      </c>
      <c r="AW126" s="38" t="inlineStr">
        <is>
          <t>P2 · SFIA 3 Apply</t>
        </is>
      </c>
      <c r="AX1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6" s="39" t="inlineStr">
        <is>
          <t>A3</t>
        </is>
      </c>
      <c r="AZ126" s="40" t="inlineStr">
        <is>
          <t>Band A · Practitioner · Senior Associate</t>
        </is>
      </c>
      <c r="BA126" s="40" t="inlineStr">
        <is>
          <t>Model A3 from the six ratings, the market-derived weights and rules R1–R13 · then No change · already below the manager</t>
        </is>
      </c>
      <c r="BB126" s="41" t="inlineStr">
        <is>
          <t>A3</t>
        </is>
      </c>
      <c r="BC126" s="40" t="inlineStr">
        <is>
          <t>The six ratings on the market-average weights of Band A · all tracks score 3.10 → A3 · Hay, Mercer IPE and public plans · experience 4 yrs vs the A3 market range 2–5</t>
        </is>
      </c>
      <c r="BD126" s="42">
        <f>IF(SUM(BM126,BN126,BO126,BP126,BQ126,BR126,BS126)=0,0,(BM126*BT126+BN126*BU126+BO126*BV126+BP126*BW126+BQ126*BX126+BR126*BY126+BS126*BZ126)/SUM(BM126,BN126,BO126,BP126,BQ126,BR126,BS126))</f>
        <v>0</v>
      </c>
      <c r="BE126" s="41" t="str">
        <f>IF(LEFT(AY126,1)="X",AY126,IF(OR(AY126="B+",AY126="C+"),INDEX(LAD_PC,MAX(1,MIN(14,MATCH(AY126,LAD_PC,0)+IF(BD126&gt;=0.5,1,IF(BD126&lt;=-0.5,-1,0))))),INDEX(LAD_STD,MAX(1,MIN(12,MATCH(AY126,LAD_STD,0)+IF(BD126&gt;=0.5,1,IF(BD126&lt;=-0.5,-1,0)))))))</f>
        <v>A3</v>
      </c>
      <c r="BF126" s="43" t="n"/>
      <c r="BG126" s="41" t="str">
        <f>IF(BF126&lt;&gt;"",BF126,BE126)</f>
        <v>A3</v>
      </c>
      <c r="BH126" s="40" t="str">
        <f>IFERROR(CHOOSE(INDEX(B_RANK,MATCH(BG126,B_LVL,0)),"Band A","Band B","B+ · Player-Coach","Band C","C+ · Player-Coach","Band D","Band E"),"Band X · Consultant")</f>
        <v>Band A</v>
      </c>
      <c r="BI126" s="40" t="str">
        <f>IF(BG126=AY126,"• Same",IF(INDEX(B_VAL,MATCH(BG126,B_LVL,0))&gt;INDEX(B_VAL,MATCH(AY126,B_LVL,0)),"▲ Up","▼ Down"))</f>
        <v>• Same</v>
      </c>
      <c r="BJ126" s="40" t="str">
        <f>IF(OR($M126="",$M126="—",$M126="Not in this file"),"",IFERROR(INDEX($BG$7:$BG$592,MATCH($M126,$D$7:$D$592,0)),""))</f>
        <v>B1</v>
      </c>
      <c r="BK126" s="40" t="str">
        <f>IFERROR(IF(BJ126="","—",IF(OR(LEFT(BG126,1)="X",LEFT(BJ126,1)="X"),"—",IF(AND(LEFT(BG126,1)="E",LEFT(BJ126,1)="E"),"Exception · Band E",IF(AND(INDEX(B_VAL,MATCH(BJ126,B_LVL,0))&gt;=7,INDEX(B_RANK,MATCH(BG126,B_LVL,0))&gt;=INDEX(B_RANK,MATCH(BJ126,B_LVL,0))),"⚠ Same band as a head manager",IF(INDEX(B_VAL,MATCH(BG126,B_LVL,0))&gt;=INDEX(B_VAL,MATCH(BJ126,B_LVL,0)),"⚠ At or above the manager's level","OK"))))),"—")</f>
        <v>OK</v>
      </c>
      <c r="BL126" s="43" t="n"/>
      <c r="BM126" s="44">
        <f>IFERROR(INDEX(LMH_PTS,MATCH(Y126,LMH_KEY,0)),0)</f>
        <v>9</v>
      </c>
      <c r="BN126" s="38">
        <f>IFERROR(INDEX(LMH_PTS,MATCH(Z126,LMH_KEY,0)),0)</f>
        <v>3</v>
      </c>
      <c r="BO126" s="38">
        <f>IFERROR(INDEX(LMH_PTS,MATCH(AA126,LMH_KEY,0)),0)</f>
        <v>1</v>
      </c>
      <c r="BP126" s="38">
        <f>IFERROR(INDEX(LMH_PTS,MATCH(AB126,LMH_KEY,0)),0)</f>
        <v>1</v>
      </c>
      <c r="BQ126" s="38">
        <f>IFERROR(INDEX(LMH_PTS,MATCH(AC126,LMH_KEY,0)),0)</f>
        <v>3</v>
      </c>
      <c r="BR126" s="38">
        <f>IFERROR(INDEX(LMH_PTS,MATCH(AD126,LMH_KEY,0)),0)</f>
        <v>1</v>
      </c>
      <c r="BS126" s="38">
        <f>IFERROR(INDEX(LMH_PTS,MATCH(AE126,LMH_KEY,0)),0)</f>
        <v>1</v>
      </c>
      <c r="BT126" s="38">
        <f>IFERROR(INDEX(LMH_STEP,MATCH(AF126,LMH_KEY,0)),0)</f>
        <v>0</v>
      </c>
      <c r="BU126" s="38">
        <f>IFERROR(INDEX(LMH_STEP,MATCH(AG126,LMH_KEY,0)),0)</f>
        <v>0</v>
      </c>
      <c r="BV126" s="38">
        <f>IFERROR(INDEX(LMH_STEP,MATCH(AH126,LMH_KEY,0)),0)</f>
        <v>0</v>
      </c>
      <c r="BW126" s="38">
        <f>IFERROR(INDEX(LMH_STEP,MATCH(AI126,LMH_KEY,0)),0)</f>
        <v>0</v>
      </c>
      <c r="BX126" s="38">
        <f>IFERROR(INDEX(LMH_STEP,MATCH(AJ126,LMH_KEY,0)),0)</f>
        <v>0</v>
      </c>
      <c r="BY126" s="38">
        <f>IFERROR(INDEX(LMH_STEP,MATCH(AK126,LMH_KEY,0)),0)</f>
        <v>0</v>
      </c>
      <c r="BZ126" s="38">
        <f>IFERROR(INDEX(LMH_STEP,MATCH(AL126,LMH_KEY,0)),0)</f>
        <v>0</v>
      </c>
      <c r="CA126" s="38" t="inlineStr">
        <is>
          <t>CARBON|Sales|Senior Sales Operations Analyst|A3|A</t>
        </is>
      </c>
    </row>
    <row r="127" ht="110" customHeight="1">
      <c r="A127" s="28" t="inlineStr">
        <is>
          <t>CARBON</t>
        </is>
      </c>
      <c r="B127" s="29" t="inlineStr">
        <is>
          <t>Functional</t>
        </is>
      </c>
      <c r="C127" s="29" t="n">
        <v>4</v>
      </c>
      <c r="D127" s="29" t="inlineStr">
        <is>
          <t>IRIS2301</t>
        </is>
      </c>
      <c r="E127" s="29" t="inlineStr">
        <is>
          <t>Priyadarsini Kairali</t>
        </is>
      </c>
      <c r="F127" s="29" t="inlineStr">
        <is>
          <t>Functional Specialist</t>
        </is>
      </c>
      <c r="G127" s="29" t="inlineStr">
        <is>
          <t>Associate Product Manager – POD Lead</t>
        </is>
      </c>
      <c r="H127" s="29" t="inlineStr">
        <is>
          <t>Product Management</t>
        </is>
      </c>
      <c r="I127" s="29" t="inlineStr">
        <is>
          <t>Product Management</t>
        </is>
      </c>
      <c r="J127" s="29" t="inlineStr">
        <is>
          <t>POD Lead</t>
        </is>
      </c>
      <c r="K127" s="29" t="inlineStr">
        <is>
          <t>RC-125</t>
        </is>
      </c>
      <c r="L127" s="29" t="inlineStr">
        <is>
          <t>Suman Adhikary</t>
        </is>
      </c>
      <c r="M127" s="29" t="inlineStr">
        <is>
          <t>IRIS2359</t>
        </is>
      </c>
      <c r="N127" s="29" t="n">
        <v>7.9</v>
      </c>
      <c r="O127" s="29" t="n">
        <v>2.1</v>
      </c>
      <c r="P127" s="29" t="inlineStr">
        <is>
          <t>MBA</t>
        </is>
      </c>
      <c r="Q127" s="29" t="inlineStr">
        <is>
          <t>L3 – Professional / Associate</t>
        </is>
      </c>
      <c r="R127" s="29" t="inlineStr">
        <is>
          <t>B1</t>
        </is>
      </c>
      <c r="S127" s="30" t="inlineStr">
        <is>
          <t>20 of 20</t>
        </is>
      </c>
      <c r="T127" s="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t>
        </is>
      </c>
      <c r="U127" s="31" t="inlineStr">
        <is>
          <t>Received · manager annual ·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t>
        </is>
      </c>
      <c r="V127" s="31" t="inlineStr">
        <is>
          <t>Latest rating: 3 · Potential: Medium · 9-box: High Impact / Growth Talent · Readiness: Develop in role</t>
        </is>
      </c>
      <c r="W127" s="31" t="inlineStr">
        <is>
          <t>C M · Au M · Ac M · L M · BI M · Exp H · 7.9 yrs vs 4–7 yrs · Edu H · MBA</t>
        </is>
      </c>
      <c r="X127" s="33" t="inlineStr">
        <is>
          <t>Open ▸</t>
        </is>
      </c>
      <c r="Y127" s="34" t="str">
        <f>IFERROR(INDEX(DL_C,MATCH($CA127,DL_KEY,0)),"M")</f>
        <v>H</v>
      </c>
      <c r="Z127" s="35" t="str">
        <f>IFERROR(INDEX(DL_Au,MATCH($CA127,DL_KEY,0)),"M")</f>
        <v>M</v>
      </c>
      <c r="AA127" s="35" t="str">
        <f>IFERROR(INDEX(DL_Ac,MATCH($CA127,DL_KEY,0)),"M")</f>
        <v>M</v>
      </c>
      <c r="AB127" s="35" t="str">
        <f>IFERROR(INDEX(DL_L,MATCH($CA127,DL_KEY,0)),"M")</f>
        <v>L</v>
      </c>
      <c r="AC127" s="35" t="str">
        <f>IFERROR(INDEX(DL_BI,MATCH($CA127,DL_KEY,0)),"M")</f>
        <v>L</v>
      </c>
      <c r="AD127" s="35" t="str">
        <f>IFERROR(INDEX(DL_Exp,MATCH($CA127,DL_KEY,0)),"M")</f>
        <v>L</v>
      </c>
      <c r="AE127" s="35" t="str">
        <f>IFERROR(INDEX(DL_Edu,MATCH($CA127,DL_KEY,0)),"M")</f>
        <v>L</v>
      </c>
      <c r="AF127" s="34" t="inlineStr">
        <is>
          <t>M</t>
        </is>
      </c>
      <c r="AG127" s="35" t="inlineStr">
        <is>
          <t>M</t>
        </is>
      </c>
      <c r="AH127" s="35" t="inlineStr">
        <is>
          <t>M</t>
        </is>
      </c>
      <c r="AI127" s="35" t="inlineStr">
        <is>
          <t>M</t>
        </is>
      </c>
      <c r="AJ127" s="35" t="inlineStr">
        <is>
          <t>M</t>
        </is>
      </c>
      <c r="AK127" s="35" t="inlineStr">
        <is>
          <t>M</t>
        </is>
      </c>
      <c r="AL127" s="35" t="inlineStr">
        <is>
          <t>M</t>
        </is>
      </c>
      <c r="AM127" s="36" t="n">
        <v>0.513</v>
      </c>
      <c r="AN127" s="37" t="n">
        <v>0.173</v>
      </c>
      <c r="AO127" s="37" t="n">
        <v>0.09699999999999999</v>
      </c>
      <c r="AP127" s="37" t="n">
        <v>0.05</v>
      </c>
      <c r="AQ127" s="37" t="n">
        <v>0.07000000000000001</v>
      </c>
      <c r="AR127" s="37" t="n">
        <v>0.06</v>
      </c>
      <c r="AS127" s="37" t="n">
        <v>0.04</v>
      </c>
      <c r="AT127" s="38" t="inlineStr">
        <is>
          <t>4–8</t>
        </is>
      </c>
      <c r="AU127" s="38" t="inlineStr">
        <is>
          <t>Graduate + relevant qualification or certification preferred</t>
        </is>
      </c>
      <c r="AV127" s="38" t="inlineStr">
        <is>
          <t>IC: none · Team Lead: 3–5</t>
        </is>
      </c>
      <c r="AW127" s="38" t="inlineStr">
        <is>
          <t>P3 / M2 · SFIA 4 Enable</t>
        </is>
      </c>
      <c r="AX1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7" s="39" t="inlineStr">
        <is>
          <t>B1</t>
        </is>
      </c>
      <c r="AZ127" s="40" t="inlineStr">
        <is>
          <t>Band B · Specialist / Manager · Team Lead / Asst Manager</t>
        </is>
      </c>
      <c r="BA127" s="40" t="inlineStr">
        <is>
          <t>Model B1 from the six ratings, the market-derived weights and rules R1–R13 · then No change · already below the manager</t>
        </is>
      </c>
      <c r="BB127" s="41" t="inlineStr">
        <is>
          <t>B1</t>
        </is>
      </c>
      <c r="BC127" s="40" t="inlineStr">
        <is>
          <t>The six ratings on the market-average weights of Band B · Specialist / POD Lead score 3.99 → B1 · Hay, Mercer IPE and public plans · experience 7.9 yrs vs the B1 market range 4–8</t>
        </is>
      </c>
      <c r="BD127" s="42">
        <f>IF(SUM(BM127,BN127,BO127,BP127,BQ127,BR127,BS127)=0,0,(BM127*BT127+BN127*BU127+BO127*BV127+BP127*BW127+BQ127*BX127+BR127*BY127+BS127*BZ127)/SUM(BM127,BN127,BO127,BP127,BQ127,BR127,BS127))</f>
        <v>0</v>
      </c>
      <c r="BE127" s="41" t="str">
        <f>IF(LEFT(AY127,1)="X",AY127,IF(OR(AY127="B+",AY127="C+"),INDEX(LAD_PC,MAX(1,MIN(14,MATCH(AY127,LAD_PC,0)+IF(BD127&gt;=0.5,1,IF(BD127&lt;=-0.5,-1,0))))),INDEX(LAD_STD,MAX(1,MIN(12,MATCH(AY127,LAD_STD,0)+IF(BD127&gt;=0.5,1,IF(BD127&lt;=-0.5,-1,0)))))))</f>
        <v>B1</v>
      </c>
      <c r="BF127" s="43" t="n"/>
      <c r="BG127" s="41" t="str">
        <f>IF(BF127&lt;&gt;"",BF127,BE127)</f>
        <v>B1</v>
      </c>
      <c r="BH127" s="40" t="str">
        <f>IFERROR(CHOOSE(INDEX(B_RANK,MATCH(BG127,B_LVL,0)),"Band A","Band B","B+ · Player-Coach","Band C","C+ · Player-Coach","Band D","Band E"),"Band X · Consultant")</f>
        <v>Band B</v>
      </c>
      <c r="BI127" s="40" t="str">
        <f>IF(BG127=AY127,"• Same",IF(INDEX(B_VAL,MATCH(BG127,B_LVL,0))&gt;INDEX(B_VAL,MATCH(AY127,B_LVL,0)),"▲ Up","▼ Down"))</f>
        <v>• Same</v>
      </c>
      <c r="BJ127" s="40" t="str">
        <f>IF(OR($M127="",$M127="—",$M127="Not in this file"),"",IFERROR(INDEX($BG$7:$BG$592,MATCH($M127,$D$7:$D$592,0)),""))</f>
        <v>C2</v>
      </c>
      <c r="BK127" s="40" t="str">
        <f>IFERROR(IF(BJ127="","—",IF(OR(LEFT(BG127,1)="X",LEFT(BJ127,1)="X"),"—",IF(AND(LEFT(BG127,1)="E",LEFT(BJ127,1)="E"),"Exception · Band E",IF(AND(INDEX(B_VAL,MATCH(BJ127,B_LVL,0))&gt;=7,INDEX(B_RANK,MATCH(BG127,B_LVL,0))&gt;=INDEX(B_RANK,MATCH(BJ127,B_LVL,0))),"⚠ Same band as a head manager",IF(INDEX(B_VAL,MATCH(BG127,B_LVL,0))&gt;=INDEX(B_VAL,MATCH(BJ127,B_LVL,0)),"⚠ At or above the manager's level","OK"))))),"—")</f>
        <v>OK</v>
      </c>
      <c r="BL127" s="43" t="n"/>
      <c r="BM127" s="44">
        <f>IFERROR(INDEX(LMH_PTS,MATCH(Y127,LMH_KEY,0)),0)</f>
        <v>9</v>
      </c>
      <c r="BN127" s="38">
        <f>IFERROR(INDEX(LMH_PTS,MATCH(Z127,LMH_KEY,0)),0)</f>
        <v>3</v>
      </c>
      <c r="BO127" s="38">
        <f>IFERROR(INDEX(LMH_PTS,MATCH(AA127,LMH_KEY,0)),0)</f>
        <v>3</v>
      </c>
      <c r="BP127" s="38">
        <f>IFERROR(INDEX(LMH_PTS,MATCH(AB127,LMH_KEY,0)),0)</f>
        <v>1</v>
      </c>
      <c r="BQ127" s="38">
        <f>IFERROR(INDEX(LMH_PTS,MATCH(AC127,LMH_KEY,0)),0)</f>
        <v>1</v>
      </c>
      <c r="BR127" s="38">
        <f>IFERROR(INDEX(LMH_PTS,MATCH(AD127,LMH_KEY,0)),0)</f>
        <v>1</v>
      </c>
      <c r="BS127" s="38">
        <f>IFERROR(INDEX(LMH_PTS,MATCH(AE127,LMH_KEY,0)),0)</f>
        <v>1</v>
      </c>
      <c r="BT127" s="38">
        <f>IFERROR(INDEX(LMH_STEP,MATCH(AF127,LMH_KEY,0)),0)</f>
        <v>0</v>
      </c>
      <c r="BU127" s="38">
        <f>IFERROR(INDEX(LMH_STEP,MATCH(AG127,LMH_KEY,0)),0)</f>
        <v>0</v>
      </c>
      <c r="BV127" s="38">
        <f>IFERROR(INDEX(LMH_STEP,MATCH(AH127,LMH_KEY,0)),0)</f>
        <v>0</v>
      </c>
      <c r="BW127" s="38">
        <f>IFERROR(INDEX(LMH_STEP,MATCH(AI127,LMH_KEY,0)),0)</f>
        <v>0</v>
      </c>
      <c r="BX127" s="38">
        <f>IFERROR(INDEX(LMH_STEP,MATCH(AJ127,LMH_KEY,0)),0)</f>
        <v>0</v>
      </c>
      <c r="BY127" s="38">
        <f>IFERROR(INDEX(LMH_STEP,MATCH(AK127,LMH_KEY,0)),0)</f>
        <v>0</v>
      </c>
      <c r="BZ127" s="38">
        <f>IFERROR(INDEX(LMH_STEP,MATCH(AL127,LMH_KEY,0)),0)</f>
        <v>0</v>
      </c>
      <c r="CA127" s="38" t="inlineStr">
        <is>
          <t>CARBON|Functional|Associate Product Manager – POD Lead|B1|B-IC</t>
        </is>
      </c>
    </row>
    <row r="128" ht="110" customHeight="1">
      <c r="A128" s="28" t="inlineStr">
        <is>
          <t>CARBON</t>
        </is>
      </c>
      <c r="B128" s="29" t="inlineStr">
        <is>
          <t>Functional</t>
        </is>
      </c>
      <c r="C128" s="29" t="n">
        <v>5</v>
      </c>
      <c r="D128" s="29" t="inlineStr">
        <is>
          <t>IRIS2463</t>
        </is>
      </c>
      <c r="E128" s="29" t="inlineStr">
        <is>
          <t>Nandit Verma</t>
        </is>
      </c>
      <c r="F128" s="29" t="inlineStr">
        <is>
          <t>Functional Specialist</t>
        </is>
      </c>
      <c r="G128" s="29" t="inlineStr">
        <is>
          <t>Functional Specialist</t>
        </is>
      </c>
      <c r="H128" s="29" t="inlineStr">
        <is>
          <t>Solution Consulting &amp; Implementation</t>
        </is>
      </c>
      <c r="I128" s="29" t="inlineStr">
        <is>
          <t>Solution Consulting &amp; Implementation</t>
        </is>
      </c>
      <c r="J128" s="29" t="inlineStr">
        <is>
          <t>IC</t>
        </is>
      </c>
      <c r="K128" s="29" t="inlineStr">
        <is>
          <t>RC-173</t>
        </is>
      </c>
      <c r="L128" s="29" t="inlineStr">
        <is>
          <t>Priyadarsini Kairali</t>
        </is>
      </c>
      <c r="M128" s="29" t="inlineStr">
        <is>
          <t>IRIS2301</t>
        </is>
      </c>
      <c r="N128" s="29" t="n">
        <v>4.9</v>
      </c>
      <c r="O128" s="29" t="n">
        <v>0.7</v>
      </c>
      <c r="P128" s="29" t="inlineStr">
        <is>
          <t>B.E</t>
        </is>
      </c>
      <c r="Q128" s="29" t="inlineStr">
        <is>
          <t>L3 – Professional / Associate</t>
        </is>
      </c>
      <c r="R128" s="29" t="inlineStr">
        <is>
          <t>B1</t>
        </is>
      </c>
      <c r="S128" s="30" t="inlineStr">
        <is>
          <t>20 of 20</t>
        </is>
      </c>
      <c r="T128" s="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t>
        </is>
      </c>
      <c r="U128" s="31" t="inlineStr">
        <is>
          <t>Received · manager annual · OKR Link</t>
        </is>
      </c>
      <c r="V128" s="31" t="inlineStr">
        <is>
          <t>Latest rating: 4 · Potential: Medium · 9-box: High Impact / Growth Talent · Readiness: Ready in 6–12 months</t>
        </is>
      </c>
      <c r="W128" s="31" t="inlineStr">
        <is>
          <t>C H · Au M · Ac H · L M · BI H · Exp H · 4.9 yrs vs 2–4 yrs · Edu M · B.E</t>
        </is>
      </c>
      <c r="X128" s="33" t="inlineStr">
        <is>
          <t>Open ▸</t>
        </is>
      </c>
      <c r="Y128" s="34" t="str">
        <f>IFERROR(INDEX(DL_C,MATCH($CA128,DL_KEY,0)),"M")</f>
        <v>H</v>
      </c>
      <c r="Z128" s="35" t="str">
        <f>IFERROR(INDEX(DL_Au,MATCH($CA128,DL_KEY,0)),"M")</f>
        <v>M</v>
      </c>
      <c r="AA128" s="35" t="str">
        <f>IFERROR(INDEX(DL_Ac,MATCH($CA128,DL_KEY,0)),"M")</f>
        <v>M</v>
      </c>
      <c r="AB128" s="35" t="str">
        <f>IFERROR(INDEX(DL_L,MATCH($CA128,DL_KEY,0)),"M")</f>
        <v>L</v>
      </c>
      <c r="AC128" s="35" t="str">
        <f>IFERROR(INDEX(DL_BI,MATCH($CA128,DL_KEY,0)),"M")</f>
        <v>L</v>
      </c>
      <c r="AD128" s="35" t="str">
        <f>IFERROR(INDEX(DL_Exp,MATCH($CA128,DL_KEY,0)),"M")</f>
        <v>L</v>
      </c>
      <c r="AE128" s="35" t="str">
        <f>IFERROR(INDEX(DL_Edu,MATCH($CA128,DL_KEY,0)),"M")</f>
        <v>L</v>
      </c>
      <c r="AF128" s="34" t="inlineStr">
        <is>
          <t>M</t>
        </is>
      </c>
      <c r="AG128" s="35" t="inlineStr">
        <is>
          <t>M</t>
        </is>
      </c>
      <c r="AH128" s="35" t="inlineStr">
        <is>
          <t>M</t>
        </is>
      </c>
      <c r="AI128" s="35" t="inlineStr">
        <is>
          <t>M</t>
        </is>
      </c>
      <c r="AJ128" s="35" t="inlineStr">
        <is>
          <t>M</t>
        </is>
      </c>
      <c r="AK128" s="35" t="inlineStr">
        <is>
          <t>M</t>
        </is>
      </c>
      <c r="AL128" s="35" t="inlineStr">
        <is>
          <t>M</t>
        </is>
      </c>
      <c r="AM128" s="36" t="n">
        <v>0.583</v>
      </c>
      <c r="AN128" s="37" t="n">
        <v>0.16</v>
      </c>
      <c r="AO128" s="37" t="n">
        <v>0.09</v>
      </c>
      <c r="AP128" s="37" t="n">
        <v>0</v>
      </c>
      <c r="AQ128" s="37" t="n">
        <v>0.063</v>
      </c>
      <c r="AR128" s="37" t="n">
        <v>0.06</v>
      </c>
      <c r="AS128" s="37" t="n">
        <v>0.04</v>
      </c>
      <c r="AT128" s="38" t="inlineStr">
        <is>
          <t>2–5</t>
        </is>
      </c>
      <c r="AU128" s="38" t="inlineStr">
        <is>
          <t>Graduate; relevant certification preferred</t>
        </is>
      </c>
      <c r="AV128" s="38" t="inlineStr">
        <is>
          <t>None · guides 1–3 juniors informally</t>
        </is>
      </c>
      <c r="AW128" s="38" t="inlineStr">
        <is>
          <t>P2 · SFIA 3 Apply</t>
        </is>
      </c>
      <c r="AX1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8" s="39" t="inlineStr">
        <is>
          <t>A3</t>
        </is>
      </c>
      <c r="AZ128" s="40" t="inlineStr">
        <is>
          <t>Band A · Practitioner · Senior Associate</t>
        </is>
      </c>
      <c r="BA128" s="40" t="inlineStr">
        <is>
          <t>Model B1 from the six ratings, the market-derived weights and rules R1–R13 · then Level rule: manager B1; a reportee sits at least one level below · B1 → A3 · move down · pay and title protected for one cycle</t>
        </is>
      </c>
      <c r="BB128" s="41" t="inlineStr">
        <is>
          <t>B1</t>
        </is>
      </c>
      <c r="BC128" s="40" t="inlineStr">
        <is>
          <t>The six ratings on the market-average weights of Band A · all tracks score 3.92 → B1 · Hay, Mercer IPE and public plans · experience 4.9 yrs vs the B1 market range 4–8</t>
        </is>
      </c>
      <c r="BD128" s="42">
        <f>IF(SUM(BM128,BN128,BO128,BP128,BQ128,BR128,BS128)=0,0,(BM128*BT128+BN128*BU128+BO128*BV128+BP128*BW128+BQ128*BX128+BR128*BY128+BS128*BZ128)/SUM(BM128,BN128,BO128,BP128,BQ128,BR128,BS128))</f>
        <v>0</v>
      </c>
      <c r="BE128" s="41" t="str">
        <f>IF(LEFT(AY128,1)="X",AY128,IF(OR(AY128="B+",AY128="C+"),INDEX(LAD_PC,MAX(1,MIN(14,MATCH(AY128,LAD_PC,0)+IF(BD128&gt;=0.5,1,IF(BD128&lt;=-0.5,-1,0))))),INDEX(LAD_STD,MAX(1,MIN(12,MATCH(AY128,LAD_STD,0)+IF(BD128&gt;=0.5,1,IF(BD128&lt;=-0.5,-1,0)))))))</f>
        <v>A3</v>
      </c>
      <c r="BF128" s="43" t="n"/>
      <c r="BG128" s="41" t="str">
        <f>IF(BF128&lt;&gt;"",BF128,BE128)</f>
        <v>A3</v>
      </c>
      <c r="BH128" s="40" t="str">
        <f>IFERROR(CHOOSE(INDEX(B_RANK,MATCH(BG128,B_LVL,0)),"Band A","Band B","B+ · Player-Coach","Band C","C+ · Player-Coach","Band D","Band E"),"Band X · Consultant")</f>
        <v>Band A</v>
      </c>
      <c r="BI128" s="40" t="str">
        <f>IF(BG128=AY128,"• Same",IF(INDEX(B_VAL,MATCH(BG128,B_LVL,0))&gt;INDEX(B_VAL,MATCH(AY128,B_LVL,0)),"▲ Up","▼ Down"))</f>
        <v>• Same</v>
      </c>
      <c r="BJ128" s="40" t="str">
        <f>IF(OR($M128="",$M128="—",$M128="Not in this file"),"",IFERROR(INDEX($BG$7:$BG$592,MATCH($M128,$D$7:$D$592,0)),""))</f>
        <v>B1</v>
      </c>
      <c r="BK128" s="40" t="str">
        <f>IFERROR(IF(BJ128="","—",IF(OR(LEFT(BG128,1)="X",LEFT(BJ128,1)="X"),"—",IF(AND(LEFT(BG128,1)="E",LEFT(BJ128,1)="E"),"Exception · Band E",IF(AND(INDEX(B_VAL,MATCH(BJ128,B_LVL,0))&gt;=7,INDEX(B_RANK,MATCH(BG128,B_LVL,0))&gt;=INDEX(B_RANK,MATCH(BJ128,B_LVL,0))),"⚠ Same band as a head manager",IF(INDEX(B_VAL,MATCH(BG128,B_LVL,0))&gt;=INDEX(B_VAL,MATCH(BJ128,B_LVL,0)),"⚠ At or above the manager's level","OK"))))),"—")</f>
        <v>OK</v>
      </c>
      <c r="BL128" s="43" t="n"/>
      <c r="BM128" s="44">
        <f>IFERROR(INDEX(LMH_PTS,MATCH(Y128,LMH_KEY,0)),0)</f>
        <v>9</v>
      </c>
      <c r="BN128" s="38">
        <f>IFERROR(INDEX(LMH_PTS,MATCH(Z128,LMH_KEY,0)),0)</f>
        <v>3</v>
      </c>
      <c r="BO128" s="38">
        <f>IFERROR(INDEX(LMH_PTS,MATCH(AA128,LMH_KEY,0)),0)</f>
        <v>3</v>
      </c>
      <c r="BP128" s="38">
        <f>IFERROR(INDEX(LMH_PTS,MATCH(AB128,LMH_KEY,0)),0)</f>
        <v>1</v>
      </c>
      <c r="BQ128" s="38">
        <f>IFERROR(INDEX(LMH_PTS,MATCH(AC128,LMH_KEY,0)),0)</f>
        <v>1</v>
      </c>
      <c r="BR128" s="38">
        <f>IFERROR(INDEX(LMH_PTS,MATCH(AD128,LMH_KEY,0)),0)</f>
        <v>1</v>
      </c>
      <c r="BS128" s="38">
        <f>IFERROR(INDEX(LMH_PTS,MATCH(AE128,LMH_KEY,0)),0)</f>
        <v>1</v>
      </c>
      <c r="BT128" s="38">
        <f>IFERROR(INDEX(LMH_STEP,MATCH(AF128,LMH_KEY,0)),0)</f>
        <v>0</v>
      </c>
      <c r="BU128" s="38">
        <f>IFERROR(INDEX(LMH_STEP,MATCH(AG128,LMH_KEY,0)),0)</f>
        <v>0</v>
      </c>
      <c r="BV128" s="38">
        <f>IFERROR(INDEX(LMH_STEP,MATCH(AH128,LMH_KEY,0)),0)</f>
        <v>0</v>
      </c>
      <c r="BW128" s="38">
        <f>IFERROR(INDEX(LMH_STEP,MATCH(AI128,LMH_KEY,0)),0)</f>
        <v>0</v>
      </c>
      <c r="BX128" s="38">
        <f>IFERROR(INDEX(LMH_STEP,MATCH(AJ128,LMH_KEY,0)),0)</f>
        <v>0</v>
      </c>
      <c r="BY128" s="38">
        <f>IFERROR(INDEX(LMH_STEP,MATCH(AK128,LMH_KEY,0)),0)</f>
        <v>0</v>
      </c>
      <c r="BZ128" s="38">
        <f>IFERROR(INDEX(LMH_STEP,MATCH(AL128,LMH_KEY,0)),0)</f>
        <v>0</v>
      </c>
      <c r="CA128" s="38" t="inlineStr">
        <is>
          <t>CARBON|Functional|Functional Specialist|A3|A</t>
        </is>
      </c>
    </row>
    <row r="129" ht="110" customHeight="1">
      <c r="A129" s="28" t="inlineStr">
        <is>
          <t>CARBON</t>
        </is>
      </c>
      <c r="B129" s="29" t="inlineStr">
        <is>
          <t>Functional</t>
        </is>
      </c>
      <c r="C129" s="29" t="n">
        <v>5</v>
      </c>
      <c r="D129" s="29" t="inlineStr">
        <is>
          <t>IRIS2421</t>
        </is>
      </c>
      <c r="E129" s="29" t="inlineStr">
        <is>
          <t>Prathamesh Patil</t>
        </is>
      </c>
      <c r="F129" s="29" t="inlineStr">
        <is>
          <t>Functional Analyst</t>
        </is>
      </c>
      <c r="G129" s="29" t="inlineStr">
        <is>
          <t>Senior Functional Analyst</t>
        </is>
      </c>
      <c r="H129" s="29" t="inlineStr">
        <is>
          <t>Solution Consulting &amp; Implementation</t>
        </is>
      </c>
      <c r="I129" s="29" t="inlineStr">
        <is>
          <t>Solution Consulting &amp; Implementation</t>
        </is>
      </c>
      <c r="J129" s="29" t="inlineStr">
        <is>
          <t>IC</t>
        </is>
      </c>
      <c r="K129" s="29" t="inlineStr">
        <is>
          <t>RC-172</t>
        </is>
      </c>
      <c r="L129" s="29" t="inlineStr">
        <is>
          <t>Priyadarsini Kairali</t>
        </is>
      </c>
      <c r="M129" s="29" t="inlineStr">
        <is>
          <t>IRIS2301</t>
        </is>
      </c>
      <c r="N129" s="29" t="n">
        <v>1.6</v>
      </c>
      <c r="O129" s="29" t="n">
        <v>1.1</v>
      </c>
      <c r="P129" s="29" t="inlineStr">
        <is>
          <t>MMS</t>
        </is>
      </c>
      <c r="Q129" s="29" t="inlineStr">
        <is>
          <t>L3 – Professional / Associate</t>
        </is>
      </c>
      <c r="R129" s="29" t="inlineStr">
        <is>
          <t>A3</t>
        </is>
      </c>
      <c r="S129" s="30" t="inlineStr">
        <is>
          <t>19 of 20</t>
        </is>
      </c>
      <c r="T129" s="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t>
        </is>
      </c>
      <c r="U129" s="32" t="inlineStr">
        <is>
          <t>KRAs not received · manager to supply</t>
        </is>
      </c>
      <c r="V129" s="31" t="inlineStr">
        <is>
          <t>Latest rating: Not rated · manager · 9-box: Not placed · manager · Readiness: No rating data</t>
        </is>
      </c>
      <c r="W129" s="31" t="inlineStr">
        <is>
          <t>C M · Au M · Ac M · L L · BI M · Exp L · 1.6 yrs vs 2–4 yrs · Edu H · MMS</t>
        </is>
      </c>
      <c r="X129" s="33" t="inlineStr">
        <is>
          <t>Open ▸</t>
        </is>
      </c>
      <c r="Y129" s="34" t="str">
        <f>IFERROR(INDEX(DL_C,MATCH($CA129,DL_KEY,0)),"M")</f>
        <v>H</v>
      </c>
      <c r="Z129" s="35" t="str">
        <f>IFERROR(INDEX(DL_Au,MATCH($CA129,DL_KEY,0)),"M")</f>
        <v>M</v>
      </c>
      <c r="AA129" s="35" t="str">
        <f>IFERROR(INDEX(DL_Ac,MATCH($CA129,DL_KEY,0)),"M")</f>
        <v>M</v>
      </c>
      <c r="AB129" s="35" t="str">
        <f>IFERROR(INDEX(DL_L,MATCH($CA129,DL_KEY,0)),"M")</f>
        <v>L</v>
      </c>
      <c r="AC129" s="35" t="str">
        <f>IFERROR(INDEX(DL_BI,MATCH($CA129,DL_KEY,0)),"M")</f>
        <v>L</v>
      </c>
      <c r="AD129" s="35" t="str">
        <f>IFERROR(INDEX(DL_Exp,MATCH($CA129,DL_KEY,0)),"M")</f>
        <v>L</v>
      </c>
      <c r="AE129" s="35" t="str">
        <f>IFERROR(INDEX(DL_Edu,MATCH($CA129,DL_KEY,0)),"M")</f>
        <v>L</v>
      </c>
      <c r="AF129" s="34" t="inlineStr">
        <is>
          <t>M</t>
        </is>
      </c>
      <c r="AG129" s="35" t="inlineStr">
        <is>
          <t>M</t>
        </is>
      </c>
      <c r="AH129" s="35" t="inlineStr">
        <is>
          <t>M</t>
        </is>
      </c>
      <c r="AI129" s="35" t="inlineStr">
        <is>
          <t>M</t>
        </is>
      </c>
      <c r="AJ129" s="35" t="inlineStr">
        <is>
          <t>M</t>
        </is>
      </c>
      <c r="AK129" s="35" t="inlineStr">
        <is>
          <t>M</t>
        </is>
      </c>
      <c r="AL129" s="35" t="inlineStr">
        <is>
          <t>M</t>
        </is>
      </c>
      <c r="AM129" s="36" t="n">
        <v>0.583</v>
      </c>
      <c r="AN129" s="37" t="n">
        <v>0.16</v>
      </c>
      <c r="AO129" s="37" t="n">
        <v>0.09</v>
      </c>
      <c r="AP129" s="37" t="n">
        <v>0</v>
      </c>
      <c r="AQ129" s="37" t="n">
        <v>0.063</v>
      </c>
      <c r="AR129" s="37" t="n">
        <v>0.06</v>
      </c>
      <c r="AS129" s="37" t="n">
        <v>0.04</v>
      </c>
      <c r="AT129" s="38" t="inlineStr">
        <is>
          <t>2–5</t>
        </is>
      </c>
      <c r="AU129" s="38" t="inlineStr">
        <is>
          <t>Graduate; relevant certification preferred</t>
        </is>
      </c>
      <c r="AV129" s="38" t="inlineStr">
        <is>
          <t>None · guides 1–3 juniors informally</t>
        </is>
      </c>
      <c r="AW129" s="38" t="inlineStr">
        <is>
          <t>P2 · SFIA 3 Apply</t>
        </is>
      </c>
      <c r="AX1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9" s="39" t="inlineStr">
        <is>
          <t>A3</t>
        </is>
      </c>
      <c r="AZ129" s="40" t="inlineStr">
        <is>
          <t>Band A · Practitioner · Senior Associate</t>
        </is>
      </c>
      <c r="BA129" s="40" t="inlineStr">
        <is>
          <t>Model A3 from the six ratings, the market-derived weights and rules R1–R13 · then No change · already below the manager</t>
        </is>
      </c>
      <c r="BB129" s="41" t="inlineStr">
        <is>
          <t>A3</t>
        </is>
      </c>
      <c r="BC129" s="40" t="inlineStr">
        <is>
          <t>The six ratings on the market-average weights of Band A · all tracks score 2.92 → A3 · Hay, Mercer IPE and public plans · experience 1.6 yrs vs the A3 market range 2–5</t>
        </is>
      </c>
      <c r="BD129" s="42">
        <f>IF(SUM(BM129,BN129,BO129,BP129,BQ129,BR129,BS129)=0,0,(BM129*BT129+BN129*BU129+BO129*BV129+BP129*BW129+BQ129*BX129+BR129*BY129+BS129*BZ129)/SUM(BM129,BN129,BO129,BP129,BQ129,BR129,BS129))</f>
        <v>0</v>
      </c>
      <c r="BE129" s="41" t="str">
        <f>IF(LEFT(AY129,1)="X",AY129,IF(OR(AY129="B+",AY129="C+"),INDEX(LAD_PC,MAX(1,MIN(14,MATCH(AY129,LAD_PC,0)+IF(BD129&gt;=0.5,1,IF(BD129&lt;=-0.5,-1,0))))),INDEX(LAD_STD,MAX(1,MIN(12,MATCH(AY129,LAD_STD,0)+IF(BD129&gt;=0.5,1,IF(BD129&lt;=-0.5,-1,0)))))))</f>
        <v>A3</v>
      </c>
      <c r="BF129" s="43" t="n"/>
      <c r="BG129" s="41" t="str">
        <f>IF(BF129&lt;&gt;"",BF129,BE129)</f>
        <v>A3</v>
      </c>
      <c r="BH129" s="40" t="str">
        <f>IFERROR(CHOOSE(INDEX(B_RANK,MATCH(BG129,B_LVL,0)),"Band A","Band B","B+ · Player-Coach","Band C","C+ · Player-Coach","Band D","Band E"),"Band X · Consultant")</f>
        <v>Band A</v>
      </c>
      <c r="BI129" s="40" t="str">
        <f>IF(BG129=AY129,"• Same",IF(INDEX(B_VAL,MATCH(BG129,B_LVL,0))&gt;INDEX(B_VAL,MATCH(AY129,B_LVL,0)),"▲ Up","▼ Down"))</f>
        <v>• Same</v>
      </c>
      <c r="BJ129" s="40" t="str">
        <f>IF(OR($M129="",$M129="—",$M129="Not in this file"),"",IFERROR(INDEX($BG$7:$BG$592,MATCH($M129,$D$7:$D$592,0)),""))</f>
        <v>B1</v>
      </c>
      <c r="BK129" s="40" t="str">
        <f>IFERROR(IF(BJ129="","—",IF(OR(LEFT(BG129,1)="X",LEFT(BJ129,1)="X"),"—",IF(AND(LEFT(BG129,1)="E",LEFT(BJ129,1)="E"),"Exception · Band E",IF(AND(INDEX(B_VAL,MATCH(BJ129,B_LVL,0))&gt;=7,INDEX(B_RANK,MATCH(BG129,B_LVL,0))&gt;=INDEX(B_RANK,MATCH(BJ129,B_LVL,0))),"⚠ Same band as a head manager",IF(INDEX(B_VAL,MATCH(BG129,B_LVL,0))&gt;=INDEX(B_VAL,MATCH(BJ129,B_LVL,0)),"⚠ At or above the manager's level","OK"))))),"—")</f>
        <v>OK</v>
      </c>
      <c r="BL129" s="43" t="n"/>
      <c r="BM129" s="44">
        <f>IFERROR(INDEX(LMH_PTS,MATCH(Y129,LMH_KEY,0)),0)</f>
        <v>9</v>
      </c>
      <c r="BN129" s="38">
        <f>IFERROR(INDEX(LMH_PTS,MATCH(Z129,LMH_KEY,0)),0)</f>
        <v>3</v>
      </c>
      <c r="BO129" s="38">
        <f>IFERROR(INDEX(LMH_PTS,MATCH(AA129,LMH_KEY,0)),0)</f>
        <v>3</v>
      </c>
      <c r="BP129" s="38">
        <f>IFERROR(INDEX(LMH_PTS,MATCH(AB129,LMH_KEY,0)),0)</f>
        <v>1</v>
      </c>
      <c r="BQ129" s="38">
        <f>IFERROR(INDEX(LMH_PTS,MATCH(AC129,LMH_KEY,0)),0)</f>
        <v>1</v>
      </c>
      <c r="BR129" s="38">
        <f>IFERROR(INDEX(LMH_PTS,MATCH(AD129,LMH_KEY,0)),0)</f>
        <v>1</v>
      </c>
      <c r="BS129" s="38">
        <f>IFERROR(INDEX(LMH_PTS,MATCH(AE129,LMH_KEY,0)),0)</f>
        <v>1</v>
      </c>
      <c r="BT129" s="38">
        <f>IFERROR(INDEX(LMH_STEP,MATCH(AF129,LMH_KEY,0)),0)</f>
        <v>0</v>
      </c>
      <c r="BU129" s="38">
        <f>IFERROR(INDEX(LMH_STEP,MATCH(AG129,LMH_KEY,0)),0)</f>
        <v>0</v>
      </c>
      <c r="BV129" s="38">
        <f>IFERROR(INDEX(LMH_STEP,MATCH(AH129,LMH_KEY,0)),0)</f>
        <v>0</v>
      </c>
      <c r="BW129" s="38">
        <f>IFERROR(INDEX(LMH_STEP,MATCH(AI129,LMH_KEY,0)),0)</f>
        <v>0</v>
      </c>
      <c r="BX129" s="38">
        <f>IFERROR(INDEX(LMH_STEP,MATCH(AJ129,LMH_KEY,0)),0)</f>
        <v>0</v>
      </c>
      <c r="BY129" s="38">
        <f>IFERROR(INDEX(LMH_STEP,MATCH(AK129,LMH_KEY,0)),0)</f>
        <v>0</v>
      </c>
      <c r="BZ129" s="38">
        <f>IFERROR(INDEX(LMH_STEP,MATCH(AL129,LMH_KEY,0)),0)</f>
        <v>0</v>
      </c>
      <c r="CA129" s="38" t="inlineStr">
        <is>
          <t>CARBON|Functional|Senior Functional Analyst|A3|A</t>
        </is>
      </c>
    </row>
    <row r="130" ht="110" customHeight="1">
      <c r="A130" s="28" t="inlineStr">
        <is>
          <t>CARBON</t>
        </is>
      </c>
      <c r="B130" s="29" t="inlineStr">
        <is>
          <t>Functional</t>
        </is>
      </c>
      <c r="C130" s="29" t="n">
        <v>4</v>
      </c>
      <c r="D130" s="29" t="inlineStr">
        <is>
          <t>IRIS1970</t>
        </is>
      </c>
      <c r="E130" s="29" t="inlineStr">
        <is>
          <t>Sharanya Balachandran</t>
        </is>
      </c>
      <c r="F130" s="29" t="inlineStr">
        <is>
          <t>Business Consultant</t>
        </is>
      </c>
      <c r="G130" s="29" t="inlineStr">
        <is>
          <t>Functional Specialist – POD Lead</t>
        </is>
      </c>
      <c r="H130" s="29" t="inlineStr">
        <is>
          <t>Solution Consulting &amp; Implementation</t>
        </is>
      </c>
      <c r="I130" s="29" t="inlineStr">
        <is>
          <t>Solution Consulting &amp; Implementation</t>
        </is>
      </c>
      <c r="J130" s="29" t="inlineStr">
        <is>
          <t>POD Lead</t>
        </is>
      </c>
      <c r="K130" s="29" t="inlineStr">
        <is>
          <t>RC-173</t>
        </is>
      </c>
      <c r="L130" s="29" t="inlineStr">
        <is>
          <t>Suman Adhikary</t>
        </is>
      </c>
      <c r="M130" s="29" t="inlineStr">
        <is>
          <t>IRIS2359</t>
        </is>
      </c>
      <c r="N130" s="29" t="n">
        <v>4.8</v>
      </c>
      <c r="O130" s="29" t="n">
        <v>4.8</v>
      </c>
      <c r="P130" s="29" t="inlineStr">
        <is>
          <t>CA</t>
        </is>
      </c>
      <c r="Q130" s="29" t="inlineStr">
        <is>
          <t>L3 – Professional / Associate</t>
        </is>
      </c>
      <c r="R130" s="29" t="inlineStr">
        <is>
          <t>B1</t>
        </is>
      </c>
      <c r="S130" s="30" t="inlineStr">
        <is>
          <t>17 of 20</t>
        </is>
      </c>
      <c r="T13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130" s="31" t="inlineStr">
        <is>
          <t>Received · manager annual · 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
        </is>
      </c>
      <c r="V130" s="31" t="inlineStr">
        <is>
          <t>Latest rating: 5 · Potential: High · 9-box: Future Leader · Readiness: Ready now</t>
        </is>
      </c>
      <c r="W130" s="31" t="inlineStr">
        <is>
          <t>C M · Au M · Ac M · L M · BI M · Exp M · 4.8 yrs vs 4–7 yrs · Edu H · CA</t>
        </is>
      </c>
      <c r="X130" s="33" t="inlineStr">
        <is>
          <t>Open ▸</t>
        </is>
      </c>
      <c r="Y130" s="34" t="str">
        <f>IFERROR(INDEX(DL_C,MATCH($CA130,DL_KEY,0)),"M")</f>
        <v>H</v>
      </c>
      <c r="Z130" s="35" t="str">
        <f>IFERROR(INDEX(DL_Au,MATCH($CA130,DL_KEY,0)),"M")</f>
        <v>M</v>
      </c>
      <c r="AA130" s="35" t="str">
        <f>IFERROR(INDEX(DL_Ac,MATCH($CA130,DL_KEY,0)),"M")</f>
        <v>M</v>
      </c>
      <c r="AB130" s="35" t="str">
        <f>IFERROR(INDEX(DL_L,MATCH($CA130,DL_KEY,0)),"M")</f>
        <v>L</v>
      </c>
      <c r="AC130" s="35" t="str">
        <f>IFERROR(INDEX(DL_BI,MATCH($CA130,DL_KEY,0)),"M")</f>
        <v>L</v>
      </c>
      <c r="AD130" s="35" t="str">
        <f>IFERROR(INDEX(DL_Exp,MATCH($CA130,DL_KEY,0)),"M")</f>
        <v>L</v>
      </c>
      <c r="AE130" s="35" t="str">
        <f>IFERROR(INDEX(DL_Edu,MATCH($CA130,DL_KEY,0)),"M")</f>
        <v>L</v>
      </c>
      <c r="AF130" s="34" t="inlineStr">
        <is>
          <t>M</t>
        </is>
      </c>
      <c r="AG130" s="35" t="inlineStr">
        <is>
          <t>M</t>
        </is>
      </c>
      <c r="AH130" s="35" t="inlineStr">
        <is>
          <t>M</t>
        </is>
      </c>
      <c r="AI130" s="35" t="inlineStr">
        <is>
          <t>M</t>
        </is>
      </c>
      <c r="AJ130" s="35" t="inlineStr">
        <is>
          <t>M</t>
        </is>
      </c>
      <c r="AK130" s="35" t="inlineStr">
        <is>
          <t>M</t>
        </is>
      </c>
      <c r="AL130" s="35" t="inlineStr">
        <is>
          <t>M</t>
        </is>
      </c>
      <c r="AM130" s="36" t="n">
        <v>0.513</v>
      </c>
      <c r="AN130" s="37" t="n">
        <v>0.173</v>
      </c>
      <c r="AO130" s="37" t="n">
        <v>0.09699999999999999</v>
      </c>
      <c r="AP130" s="37" t="n">
        <v>0.05</v>
      </c>
      <c r="AQ130" s="37" t="n">
        <v>0.07000000000000001</v>
      </c>
      <c r="AR130" s="37" t="n">
        <v>0.06</v>
      </c>
      <c r="AS130" s="37" t="n">
        <v>0.04</v>
      </c>
      <c r="AT130" s="38" t="inlineStr">
        <is>
          <t>4–8</t>
        </is>
      </c>
      <c r="AU130" s="38" t="inlineStr">
        <is>
          <t>Graduate + relevant qualification or certification preferred</t>
        </is>
      </c>
      <c r="AV130" s="38" t="inlineStr">
        <is>
          <t>IC: none · Team Lead: 3–5</t>
        </is>
      </c>
      <c r="AW130" s="38" t="inlineStr">
        <is>
          <t>P3 / M2 · SFIA 4 Enable</t>
        </is>
      </c>
      <c r="AX1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0" s="39" t="inlineStr">
        <is>
          <t>B1</t>
        </is>
      </c>
      <c r="AZ130" s="40" t="inlineStr">
        <is>
          <t>Band B · Specialist / Manager · Team Lead / Asst Manager</t>
        </is>
      </c>
      <c r="BA130" s="40" t="inlineStr">
        <is>
          <t>Model B1 from the six ratings, the market-derived weights and rules R1–R13 · then No change · already below the manager</t>
        </is>
      </c>
      <c r="BB130" s="41" t="inlineStr">
        <is>
          <t>B1</t>
        </is>
      </c>
      <c r="BC130" s="40" t="inlineStr">
        <is>
          <t>The six ratings on the market-average weights of Band B · Specialist / POD Lead score 4.06 → B1 · Hay, Mercer IPE and public plans · experience 4.8 yrs vs the B1 market range 4–8</t>
        </is>
      </c>
      <c r="BD130" s="42">
        <f>IF(SUM(BM130,BN130,BO130,BP130,BQ130,BR130,BS130)=0,0,(BM130*BT130+BN130*BU130+BO130*BV130+BP130*BW130+BQ130*BX130+BR130*BY130+BS130*BZ130)/SUM(BM130,BN130,BO130,BP130,BQ130,BR130,BS130))</f>
        <v>0</v>
      </c>
      <c r="BE130" s="41" t="str">
        <f>IF(LEFT(AY130,1)="X",AY130,IF(OR(AY130="B+",AY130="C+"),INDEX(LAD_PC,MAX(1,MIN(14,MATCH(AY130,LAD_PC,0)+IF(BD130&gt;=0.5,1,IF(BD130&lt;=-0.5,-1,0))))),INDEX(LAD_STD,MAX(1,MIN(12,MATCH(AY130,LAD_STD,0)+IF(BD130&gt;=0.5,1,IF(BD130&lt;=-0.5,-1,0)))))))</f>
        <v>B1</v>
      </c>
      <c r="BF130" s="43" t="n"/>
      <c r="BG130" s="41" t="str">
        <f>IF(BF130&lt;&gt;"",BF130,BE130)</f>
        <v>B1</v>
      </c>
      <c r="BH130" s="40" t="str">
        <f>IFERROR(CHOOSE(INDEX(B_RANK,MATCH(BG130,B_LVL,0)),"Band A","Band B","B+ · Player-Coach","Band C","C+ · Player-Coach","Band D","Band E"),"Band X · Consultant")</f>
        <v>Band B</v>
      </c>
      <c r="BI130" s="40" t="str">
        <f>IF(BG130=AY130,"• Same",IF(INDEX(B_VAL,MATCH(BG130,B_LVL,0))&gt;INDEX(B_VAL,MATCH(AY130,B_LVL,0)),"▲ Up","▼ Down"))</f>
        <v>• Same</v>
      </c>
      <c r="BJ130" s="40" t="str">
        <f>IF(OR($M130="",$M130="—",$M130="Not in this file"),"",IFERROR(INDEX($BG$7:$BG$592,MATCH($M130,$D$7:$D$592,0)),""))</f>
        <v>C2</v>
      </c>
      <c r="BK130" s="40" t="str">
        <f>IFERROR(IF(BJ130="","—",IF(OR(LEFT(BG130,1)="X",LEFT(BJ130,1)="X"),"—",IF(AND(LEFT(BG130,1)="E",LEFT(BJ130,1)="E"),"Exception · Band E",IF(AND(INDEX(B_VAL,MATCH(BJ130,B_LVL,0))&gt;=7,INDEX(B_RANK,MATCH(BG130,B_LVL,0))&gt;=INDEX(B_RANK,MATCH(BJ130,B_LVL,0))),"⚠ Same band as a head manager",IF(INDEX(B_VAL,MATCH(BG130,B_LVL,0))&gt;=INDEX(B_VAL,MATCH(BJ130,B_LVL,0)),"⚠ At or above the manager's level","OK"))))),"—")</f>
        <v>OK</v>
      </c>
      <c r="BL130" s="43" t="n"/>
      <c r="BM130" s="44">
        <f>IFERROR(INDEX(LMH_PTS,MATCH(Y130,LMH_KEY,0)),0)</f>
        <v>9</v>
      </c>
      <c r="BN130" s="38">
        <f>IFERROR(INDEX(LMH_PTS,MATCH(Z130,LMH_KEY,0)),0)</f>
        <v>3</v>
      </c>
      <c r="BO130" s="38">
        <f>IFERROR(INDEX(LMH_PTS,MATCH(AA130,LMH_KEY,0)),0)</f>
        <v>3</v>
      </c>
      <c r="BP130" s="38">
        <f>IFERROR(INDEX(LMH_PTS,MATCH(AB130,LMH_KEY,0)),0)</f>
        <v>1</v>
      </c>
      <c r="BQ130" s="38">
        <f>IFERROR(INDEX(LMH_PTS,MATCH(AC130,LMH_KEY,0)),0)</f>
        <v>1</v>
      </c>
      <c r="BR130" s="38">
        <f>IFERROR(INDEX(LMH_PTS,MATCH(AD130,LMH_KEY,0)),0)</f>
        <v>1</v>
      </c>
      <c r="BS130" s="38">
        <f>IFERROR(INDEX(LMH_PTS,MATCH(AE130,LMH_KEY,0)),0)</f>
        <v>1</v>
      </c>
      <c r="BT130" s="38">
        <f>IFERROR(INDEX(LMH_STEP,MATCH(AF130,LMH_KEY,0)),0)</f>
        <v>0</v>
      </c>
      <c r="BU130" s="38">
        <f>IFERROR(INDEX(LMH_STEP,MATCH(AG130,LMH_KEY,0)),0)</f>
        <v>0</v>
      </c>
      <c r="BV130" s="38">
        <f>IFERROR(INDEX(LMH_STEP,MATCH(AH130,LMH_KEY,0)),0)</f>
        <v>0</v>
      </c>
      <c r="BW130" s="38">
        <f>IFERROR(INDEX(LMH_STEP,MATCH(AI130,LMH_KEY,0)),0)</f>
        <v>0</v>
      </c>
      <c r="BX130" s="38">
        <f>IFERROR(INDEX(LMH_STEP,MATCH(AJ130,LMH_KEY,0)),0)</f>
        <v>0</v>
      </c>
      <c r="BY130" s="38">
        <f>IFERROR(INDEX(LMH_STEP,MATCH(AK130,LMH_KEY,0)),0)</f>
        <v>0</v>
      </c>
      <c r="BZ130" s="38">
        <f>IFERROR(INDEX(LMH_STEP,MATCH(AL130,LMH_KEY,0)),0)</f>
        <v>0</v>
      </c>
      <c r="CA130" s="38" t="inlineStr">
        <is>
          <t>CARBON|Functional|Functional Specialist – POD Lead|B1|B-IC</t>
        </is>
      </c>
    </row>
    <row r="131" ht="110" customHeight="1">
      <c r="A131" s="28" t="inlineStr">
        <is>
          <t>CARBON</t>
        </is>
      </c>
      <c r="B131" s="29" t="inlineStr">
        <is>
          <t>Functional</t>
        </is>
      </c>
      <c r="C131" s="29" t="n">
        <v>5</v>
      </c>
      <c r="D131" s="29" t="inlineStr">
        <is>
          <t>IRIS2545</t>
        </is>
      </c>
      <c r="E131" s="29" t="inlineStr">
        <is>
          <t>Vishal Gujar</t>
        </is>
      </c>
      <c r="F131" s="29" t="inlineStr">
        <is>
          <t>Functional Specialist</t>
        </is>
      </c>
      <c r="G131" s="29" t="inlineStr">
        <is>
          <t>Functional Specialist</t>
        </is>
      </c>
      <c r="H131" s="29" t="inlineStr">
        <is>
          <t>Solution Consulting &amp; Implementation</t>
        </is>
      </c>
      <c r="I131" s="29" t="inlineStr">
        <is>
          <t>Solution Consulting &amp; Implementation</t>
        </is>
      </c>
      <c r="J131" s="29" t="inlineStr">
        <is>
          <t>IC</t>
        </is>
      </c>
      <c r="K131" s="29" t="inlineStr">
        <is>
          <t>RC-173</t>
        </is>
      </c>
      <c r="L131" s="29" t="inlineStr">
        <is>
          <t>Sharanya Balachandran</t>
        </is>
      </c>
      <c r="M131" s="29" t="inlineStr">
        <is>
          <t>IRIS1970</t>
        </is>
      </c>
      <c r="N131" s="29" t="n">
        <v>6</v>
      </c>
      <c r="O131" s="29" t="n">
        <v>0.2</v>
      </c>
      <c r="P131" s="29" t="inlineStr">
        <is>
          <t>MBA</t>
        </is>
      </c>
      <c r="Q131" s="29" t="inlineStr">
        <is>
          <t>Not in current mapping files</t>
        </is>
      </c>
      <c r="R131" s="29" t="inlineStr">
        <is>
          <t>B1</t>
        </is>
      </c>
      <c r="S131" s="30" t="inlineStr">
        <is>
          <t>20 of 20</t>
        </is>
      </c>
      <c r="T131" s="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t>
        </is>
      </c>
      <c r="U131" s="32" t="inlineStr">
        <is>
          <t>KRAs not received · manager to supply</t>
        </is>
      </c>
      <c r="V131" s="31" t="inlineStr">
        <is>
          <t>Latest rating: Not rated · manager · 9-box: Not placed · manager · Readiness: No rating data</t>
        </is>
      </c>
      <c r="W131" s="31" t="inlineStr">
        <is>
          <t>C M · Au M · Ac M · L L · BI M · Exp H · 6 yrs vs 2–4 yrs · Edu H · MBA</t>
        </is>
      </c>
      <c r="X131" s="33" t="inlineStr">
        <is>
          <t>Open ▸</t>
        </is>
      </c>
      <c r="Y131" s="34" t="str">
        <f>IFERROR(INDEX(DL_C,MATCH($CA131,DL_KEY,0)),"M")</f>
        <v>H</v>
      </c>
      <c r="Z131" s="35" t="str">
        <f>IFERROR(INDEX(DL_Au,MATCH($CA131,DL_KEY,0)),"M")</f>
        <v>M</v>
      </c>
      <c r="AA131" s="35" t="str">
        <f>IFERROR(INDEX(DL_Ac,MATCH($CA131,DL_KEY,0)),"M")</f>
        <v>M</v>
      </c>
      <c r="AB131" s="35" t="str">
        <f>IFERROR(INDEX(DL_L,MATCH($CA131,DL_KEY,0)),"M")</f>
        <v>L</v>
      </c>
      <c r="AC131" s="35" t="str">
        <f>IFERROR(INDEX(DL_BI,MATCH($CA131,DL_KEY,0)),"M")</f>
        <v>L</v>
      </c>
      <c r="AD131" s="35" t="str">
        <f>IFERROR(INDEX(DL_Exp,MATCH($CA131,DL_KEY,0)),"M")</f>
        <v>L</v>
      </c>
      <c r="AE131" s="35" t="str">
        <f>IFERROR(INDEX(DL_Edu,MATCH($CA131,DL_KEY,0)),"M")</f>
        <v>L</v>
      </c>
      <c r="AF131" s="34" t="inlineStr">
        <is>
          <t>M</t>
        </is>
      </c>
      <c r="AG131" s="35" t="inlineStr">
        <is>
          <t>M</t>
        </is>
      </c>
      <c r="AH131" s="35" t="inlineStr">
        <is>
          <t>M</t>
        </is>
      </c>
      <c r="AI131" s="35" t="inlineStr">
        <is>
          <t>M</t>
        </is>
      </c>
      <c r="AJ131" s="35" t="inlineStr">
        <is>
          <t>M</t>
        </is>
      </c>
      <c r="AK131" s="35" t="inlineStr">
        <is>
          <t>M</t>
        </is>
      </c>
      <c r="AL131" s="35" t="inlineStr">
        <is>
          <t>M</t>
        </is>
      </c>
      <c r="AM131" s="36" t="n">
        <v>0.583</v>
      </c>
      <c r="AN131" s="37" t="n">
        <v>0.16</v>
      </c>
      <c r="AO131" s="37" t="n">
        <v>0.09</v>
      </c>
      <c r="AP131" s="37" t="n">
        <v>0</v>
      </c>
      <c r="AQ131" s="37" t="n">
        <v>0.063</v>
      </c>
      <c r="AR131" s="37" t="n">
        <v>0.06</v>
      </c>
      <c r="AS131" s="37" t="n">
        <v>0.04</v>
      </c>
      <c r="AT131" s="38" t="inlineStr">
        <is>
          <t>2–5</t>
        </is>
      </c>
      <c r="AU131" s="38" t="inlineStr">
        <is>
          <t>Graduate; relevant certification preferred</t>
        </is>
      </c>
      <c r="AV131" s="38" t="inlineStr">
        <is>
          <t>None · guides 1–3 juniors informally</t>
        </is>
      </c>
      <c r="AW131" s="38" t="inlineStr">
        <is>
          <t>P2 · SFIA 3 Apply</t>
        </is>
      </c>
      <c r="AX1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1" s="39" t="inlineStr">
        <is>
          <t>A3</t>
        </is>
      </c>
      <c r="AZ131" s="40" t="inlineStr">
        <is>
          <t>Band A · Practitioner · Senior Associate</t>
        </is>
      </c>
      <c r="BA131" s="40" t="inlineStr">
        <is>
          <t>Model B1 from the six ratings, the market-derived weights and rules R1–R13 · then Level rule: manager B1; a reportee sits at least one level below · B1 → A3 · move down · pay and title protected for one cycle</t>
        </is>
      </c>
      <c r="BB131" s="41" t="inlineStr">
        <is>
          <t>B1</t>
        </is>
      </c>
      <c r="BC131" s="40" t="inlineStr">
        <is>
          <t>The six ratings on the market-average weights of Band A · all tracks score 3.65 → B1 · Hay, Mercer IPE and public plans · experience 6 yrs vs the B1 market range 4–8</t>
        </is>
      </c>
      <c r="BD131" s="42">
        <f>IF(SUM(BM131,BN131,BO131,BP131,BQ131,BR131,BS131)=0,0,(BM131*BT131+BN131*BU131+BO131*BV131+BP131*BW131+BQ131*BX131+BR131*BY131+BS131*BZ131)/SUM(BM131,BN131,BO131,BP131,BQ131,BR131,BS131))</f>
        <v>0</v>
      </c>
      <c r="BE131" s="41" t="str">
        <f>IF(LEFT(AY131,1)="X",AY131,IF(OR(AY131="B+",AY131="C+"),INDEX(LAD_PC,MAX(1,MIN(14,MATCH(AY131,LAD_PC,0)+IF(BD131&gt;=0.5,1,IF(BD131&lt;=-0.5,-1,0))))),INDEX(LAD_STD,MAX(1,MIN(12,MATCH(AY131,LAD_STD,0)+IF(BD131&gt;=0.5,1,IF(BD131&lt;=-0.5,-1,0)))))))</f>
        <v>A3</v>
      </c>
      <c r="BF131" s="43" t="n"/>
      <c r="BG131" s="41" t="str">
        <f>IF(BF131&lt;&gt;"",BF131,BE131)</f>
        <v>A3</v>
      </c>
      <c r="BH131" s="40" t="str">
        <f>IFERROR(CHOOSE(INDEX(B_RANK,MATCH(BG131,B_LVL,0)),"Band A","Band B","B+ · Player-Coach","Band C","C+ · Player-Coach","Band D","Band E"),"Band X · Consultant")</f>
        <v>Band A</v>
      </c>
      <c r="BI131" s="40" t="str">
        <f>IF(BG131=AY131,"• Same",IF(INDEX(B_VAL,MATCH(BG131,B_LVL,0))&gt;INDEX(B_VAL,MATCH(AY131,B_LVL,0)),"▲ Up","▼ Down"))</f>
        <v>• Same</v>
      </c>
      <c r="BJ131" s="40" t="str">
        <f>IF(OR($M131="",$M131="—",$M131="Not in this file"),"",IFERROR(INDEX($BG$7:$BG$592,MATCH($M131,$D$7:$D$592,0)),""))</f>
        <v>B1</v>
      </c>
      <c r="BK131" s="40" t="str">
        <f>IFERROR(IF(BJ131="","—",IF(OR(LEFT(BG131,1)="X",LEFT(BJ131,1)="X"),"—",IF(AND(LEFT(BG131,1)="E",LEFT(BJ131,1)="E"),"Exception · Band E",IF(AND(INDEX(B_VAL,MATCH(BJ131,B_LVL,0))&gt;=7,INDEX(B_RANK,MATCH(BG131,B_LVL,0))&gt;=INDEX(B_RANK,MATCH(BJ131,B_LVL,0))),"⚠ Same band as a head manager",IF(INDEX(B_VAL,MATCH(BG131,B_LVL,0))&gt;=INDEX(B_VAL,MATCH(BJ131,B_LVL,0)),"⚠ At or above the manager's level","OK"))))),"—")</f>
        <v>OK</v>
      </c>
      <c r="BL131" s="43" t="n"/>
      <c r="BM131" s="44">
        <f>IFERROR(INDEX(LMH_PTS,MATCH(Y131,LMH_KEY,0)),0)</f>
        <v>9</v>
      </c>
      <c r="BN131" s="38">
        <f>IFERROR(INDEX(LMH_PTS,MATCH(Z131,LMH_KEY,0)),0)</f>
        <v>3</v>
      </c>
      <c r="BO131" s="38">
        <f>IFERROR(INDEX(LMH_PTS,MATCH(AA131,LMH_KEY,0)),0)</f>
        <v>3</v>
      </c>
      <c r="BP131" s="38">
        <f>IFERROR(INDEX(LMH_PTS,MATCH(AB131,LMH_KEY,0)),0)</f>
        <v>1</v>
      </c>
      <c r="BQ131" s="38">
        <f>IFERROR(INDEX(LMH_PTS,MATCH(AC131,LMH_KEY,0)),0)</f>
        <v>1</v>
      </c>
      <c r="BR131" s="38">
        <f>IFERROR(INDEX(LMH_PTS,MATCH(AD131,LMH_KEY,0)),0)</f>
        <v>1</v>
      </c>
      <c r="BS131" s="38">
        <f>IFERROR(INDEX(LMH_PTS,MATCH(AE131,LMH_KEY,0)),0)</f>
        <v>1</v>
      </c>
      <c r="BT131" s="38">
        <f>IFERROR(INDEX(LMH_STEP,MATCH(AF131,LMH_KEY,0)),0)</f>
        <v>0</v>
      </c>
      <c r="BU131" s="38">
        <f>IFERROR(INDEX(LMH_STEP,MATCH(AG131,LMH_KEY,0)),0)</f>
        <v>0</v>
      </c>
      <c r="BV131" s="38">
        <f>IFERROR(INDEX(LMH_STEP,MATCH(AH131,LMH_KEY,0)),0)</f>
        <v>0</v>
      </c>
      <c r="BW131" s="38">
        <f>IFERROR(INDEX(LMH_STEP,MATCH(AI131,LMH_KEY,0)),0)</f>
        <v>0</v>
      </c>
      <c r="BX131" s="38">
        <f>IFERROR(INDEX(LMH_STEP,MATCH(AJ131,LMH_KEY,0)),0)</f>
        <v>0</v>
      </c>
      <c r="BY131" s="38">
        <f>IFERROR(INDEX(LMH_STEP,MATCH(AK131,LMH_KEY,0)),0)</f>
        <v>0</v>
      </c>
      <c r="BZ131" s="38">
        <f>IFERROR(INDEX(LMH_STEP,MATCH(AL131,LMH_KEY,0)),0)</f>
        <v>0</v>
      </c>
      <c r="CA131" s="38" t="inlineStr">
        <is>
          <t>CARBON|Functional|Functional Specialist|A3|A</t>
        </is>
      </c>
    </row>
    <row r="132" ht="110" customHeight="1">
      <c r="A132" s="28" t="inlineStr">
        <is>
          <t>CARBON</t>
        </is>
      </c>
      <c r="B132" s="29" t="inlineStr">
        <is>
          <t>Sales</t>
        </is>
      </c>
      <c r="C132" s="29" t="n">
        <v>3</v>
      </c>
      <c r="D132" s="29" t="inlineStr">
        <is>
          <t>IRIS2489</t>
        </is>
      </c>
      <c r="E132" s="29" t="inlineStr">
        <is>
          <t>Sreyash Duragkar</t>
        </is>
      </c>
      <c r="F132" s="29" t="inlineStr">
        <is>
          <t>Director- Enterprise Sales</t>
        </is>
      </c>
      <c r="G132" s="29" t="inlineStr">
        <is>
          <t>Principal – Enterprise Sales</t>
        </is>
      </c>
      <c r="H132" s="29" t="inlineStr">
        <is>
          <t>Sales &amp; Business Development</t>
        </is>
      </c>
      <c r="I132" s="29" t="inlineStr">
        <is>
          <t>Sales Leadership</t>
        </is>
      </c>
      <c r="J132" s="29" t="inlineStr">
        <is>
          <t>IC</t>
        </is>
      </c>
      <c r="K132" s="29" t="inlineStr">
        <is>
          <t>RC-170</t>
        </is>
      </c>
      <c r="L132" s="29" t="inlineStr">
        <is>
          <t>Anuradha RK</t>
        </is>
      </c>
      <c r="M132" s="29" t="inlineStr">
        <is>
          <t>IRIS0391</t>
        </is>
      </c>
      <c r="N132" s="29" t="n">
        <v>2.6</v>
      </c>
      <c r="O132" s="29" t="n">
        <v>0.6</v>
      </c>
      <c r="P132" s="29" t="inlineStr">
        <is>
          <t>PGDM</t>
        </is>
      </c>
      <c r="Q132" s="29" t="inlineStr">
        <is>
          <t>Not in current mapping files</t>
        </is>
      </c>
      <c r="R132" s="29" t="inlineStr">
        <is>
          <t>C1</t>
        </is>
      </c>
      <c r="S132" s="30" t="inlineStr">
        <is>
          <t>0 of 20</t>
        </is>
      </c>
      <c r="T132"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32" s="32" t="inlineStr">
        <is>
          <t>KRAs not received · manager to supply</t>
        </is>
      </c>
      <c r="V132" s="31" t="inlineStr">
        <is>
          <t>Latest rating: Not rated · manager · 9-box: Not placed · manager · Readiness: No rating data</t>
        </is>
      </c>
      <c r="W132" s="31" t="inlineStr">
        <is>
          <t>C H · Au H · Ac H · L H · BI H · Exp L · 2.6 yrs vs 10–14 yrs · Edu M · PGDM</t>
        </is>
      </c>
      <c r="X132" s="33" t="inlineStr">
        <is>
          <t>Open ▸</t>
        </is>
      </c>
      <c r="Y132" s="34" t="str">
        <f>IFERROR(INDEX(DL_C,MATCH($CA132,DL_KEY,0)),"M")</f>
        <v>H</v>
      </c>
      <c r="Z132" s="35" t="str">
        <f>IFERROR(INDEX(DL_Au,MATCH($CA132,DL_KEY,0)),"M")</f>
        <v>M</v>
      </c>
      <c r="AA132" s="35" t="str">
        <f>IFERROR(INDEX(DL_Ac,MATCH($CA132,DL_KEY,0)),"M")</f>
        <v>L</v>
      </c>
      <c r="AB132" s="35" t="str">
        <f>IFERROR(INDEX(DL_L,MATCH($CA132,DL_KEY,0)),"M")</f>
        <v>L</v>
      </c>
      <c r="AC132" s="35" t="str">
        <f>IFERROR(INDEX(DL_BI,MATCH($CA132,DL_KEY,0)),"M")</f>
        <v>M</v>
      </c>
      <c r="AD132" s="35" t="str">
        <f>IFERROR(INDEX(DL_Exp,MATCH($CA132,DL_KEY,0)),"M")</f>
        <v>L</v>
      </c>
      <c r="AE132" s="35" t="str">
        <f>IFERROR(INDEX(DL_Edu,MATCH($CA132,DL_KEY,0)),"M")</f>
        <v>L</v>
      </c>
      <c r="AF132" s="34" t="inlineStr">
        <is>
          <t>M</t>
        </is>
      </c>
      <c r="AG132" s="35" t="inlineStr">
        <is>
          <t>M</t>
        </is>
      </c>
      <c r="AH132" s="35" t="inlineStr">
        <is>
          <t>M</t>
        </is>
      </c>
      <c r="AI132" s="35" t="inlineStr">
        <is>
          <t>M</t>
        </is>
      </c>
      <c r="AJ132" s="35" t="inlineStr">
        <is>
          <t>M</t>
        </is>
      </c>
      <c r="AK132" s="35" t="inlineStr">
        <is>
          <t>M</t>
        </is>
      </c>
      <c r="AL132" s="35" t="inlineStr">
        <is>
          <t>M</t>
        </is>
      </c>
      <c r="AM132" s="36" t="n">
        <v>0.5429999999999999</v>
      </c>
      <c r="AN132" s="37" t="n">
        <v>0.177</v>
      </c>
      <c r="AO132" s="37" t="n">
        <v>0.103</v>
      </c>
      <c r="AP132" s="37" t="n">
        <v>0.05</v>
      </c>
      <c r="AQ132" s="37" t="n">
        <v>0.077</v>
      </c>
      <c r="AR132" s="37" t="n">
        <v>0.04</v>
      </c>
      <c r="AS132" s="37" t="n">
        <v>0.01</v>
      </c>
      <c r="AT132" s="38" t="inlineStr">
        <is>
          <t>12–17</t>
        </is>
      </c>
      <c r="AU132" s="38" t="inlineStr">
        <is>
          <t>Postgraduate / professional qualification preferred</t>
        </is>
      </c>
      <c r="AV132" s="38" t="inlineStr">
        <is>
          <t>5–8, mostly managers</t>
        </is>
      </c>
      <c r="AW132" s="38" t="inlineStr">
        <is>
          <t>P6 / M5 · SFIA 5–6</t>
        </is>
      </c>
      <c r="AX1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2" s="39" t="inlineStr">
        <is>
          <t>C1</t>
        </is>
      </c>
      <c r="AZ132" s="40" t="inlineStr">
        <is>
          <t>Band C · Principal / Head · Principal</t>
        </is>
      </c>
      <c r="BA132" s="40" t="inlineStr">
        <is>
          <t>Model C1 from the six ratings, the market-derived weights and rules R1–R13 · then No change · already below the manager</t>
        </is>
      </c>
      <c r="BB132" s="41" t="inlineStr">
        <is>
          <t>D1</t>
        </is>
      </c>
      <c r="BC132" s="40" t="inlineStr">
        <is>
          <t>The six ratings on the market-average weights of Band C · Principal specialist score 8.72 → D1 · Hay, Mercer IPE and public plans · experience 2.6 yrs vs the D1 market range 15–20 yrs</t>
        </is>
      </c>
      <c r="BD132" s="42">
        <f>IF(SUM(BM132,BN132,BO132,BP132,BQ132,BR132,BS132)=0,0,(BM132*BT132+BN132*BU132+BO132*BV132+BP132*BW132+BQ132*BX132+BR132*BY132+BS132*BZ132)/SUM(BM132,BN132,BO132,BP132,BQ132,BR132,BS132))</f>
        <v>0</v>
      </c>
      <c r="BE132" s="41" t="str">
        <f>IF(LEFT(AY132,1)="X",AY132,IF(OR(AY132="B+",AY132="C+"),INDEX(LAD_PC,MAX(1,MIN(14,MATCH(AY132,LAD_PC,0)+IF(BD132&gt;=0.5,1,IF(BD132&lt;=-0.5,-1,0))))),INDEX(LAD_STD,MAX(1,MIN(12,MATCH(AY132,LAD_STD,0)+IF(BD132&gt;=0.5,1,IF(BD132&lt;=-0.5,-1,0)))))))</f>
        <v>C1</v>
      </c>
      <c r="BF132" s="43" t="n"/>
      <c r="BG132" s="41" t="str">
        <f>IF(BF132&lt;&gt;"",BF132,BE132)</f>
        <v>C1</v>
      </c>
      <c r="BH132" s="40" t="str">
        <f>IFERROR(CHOOSE(INDEX(B_RANK,MATCH(BG132,B_LVL,0)),"Band A","Band B","B+ · Player-Coach","Band C","C+ · Player-Coach","Band D","Band E"),"Band X · Consultant")</f>
        <v>Band C</v>
      </c>
      <c r="BI132" s="40" t="str">
        <f>IF(BG132=AY132,"• Same",IF(INDEX(B_VAL,MATCH(BG132,B_LVL,0))&gt;INDEX(B_VAL,MATCH(AY132,B_LVL,0)),"▲ Up","▼ Down"))</f>
        <v>• Same</v>
      </c>
      <c r="BJ132" s="40" t="str">
        <f>IF(OR($M132="",$M132="—",$M132="Not in this file"),"",IFERROR(INDEX($BG$7:$BG$592,MATCH($M132,$D$7:$D$592,0)),""))</f>
        <v>D2</v>
      </c>
      <c r="BK132" s="40" t="str">
        <f>IFERROR(IF(BJ132="","—",IF(OR(LEFT(BG132,1)="X",LEFT(BJ132,1)="X"),"—",IF(AND(LEFT(BG132,1)="E",LEFT(BJ132,1)="E"),"Exception · Band E",IF(AND(INDEX(B_VAL,MATCH(BJ132,B_LVL,0))&gt;=7,INDEX(B_RANK,MATCH(BG132,B_LVL,0))&gt;=INDEX(B_RANK,MATCH(BJ132,B_LVL,0))),"⚠ Same band as a head manager",IF(INDEX(B_VAL,MATCH(BG132,B_LVL,0))&gt;=INDEX(B_VAL,MATCH(BJ132,B_LVL,0)),"⚠ At or above the manager's level","OK"))))),"—")</f>
        <v>OK</v>
      </c>
      <c r="BL132" s="43" t="n"/>
      <c r="BM132" s="44">
        <f>IFERROR(INDEX(LMH_PTS,MATCH(Y132,LMH_KEY,0)),0)</f>
        <v>9</v>
      </c>
      <c r="BN132" s="38">
        <f>IFERROR(INDEX(LMH_PTS,MATCH(Z132,LMH_KEY,0)),0)</f>
        <v>3</v>
      </c>
      <c r="BO132" s="38">
        <f>IFERROR(INDEX(LMH_PTS,MATCH(AA132,LMH_KEY,0)),0)</f>
        <v>1</v>
      </c>
      <c r="BP132" s="38">
        <f>IFERROR(INDEX(LMH_PTS,MATCH(AB132,LMH_KEY,0)),0)</f>
        <v>1</v>
      </c>
      <c r="BQ132" s="38">
        <f>IFERROR(INDEX(LMH_PTS,MATCH(AC132,LMH_KEY,0)),0)</f>
        <v>3</v>
      </c>
      <c r="BR132" s="38">
        <f>IFERROR(INDEX(LMH_PTS,MATCH(AD132,LMH_KEY,0)),0)</f>
        <v>1</v>
      </c>
      <c r="BS132" s="38">
        <f>IFERROR(INDEX(LMH_PTS,MATCH(AE132,LMH_KEY,0)),0)</f>
        <v>1</v>
      </c>
      <c r="BT132" s="38">
        <f>IFERROR(INDEX(LMH_STEP,MATCH(AF132,LMH_KEY,0)),0)</f>
        <v>0</v>
      </c>
      <c r="BU132" s="38">
        <f>IFERROR(INDEX(LMH_STEP,MATCH(AG132,LMH_KEY,0)),0)</f>
        <v>0</v>
      </c>
      <c r="BV132" s="38">
        <f>IFERROR(INDEX(LMH_STEP,MATCH(AH132,LMH_KEY,0)),0)</f>
        <v>0</v>
      </c>
      <c r="BW132" s="38">
        <f>IFERROR(INDEX(LMH_STEP,MATCH(AI132,LMH_KEY,0)),0)</f>
        <v>0</v>
      </c>
      <c r="BX132" s="38">
        <f>IFERROR(INDEX(LMH_STEP,MATCH(AJ132,LMH_KEY,0)),0)</f>
        <v>0</v>
      </c>
      <c r="BY132" s="38">
        <f>IFERROR(INDEX(LMH_STEP,MATCH(AK132,LMH_KEY,0)),0)</f>
        <v>0</v>
      </c>
      <c r="BZ132" s="38">
        <f>IFERROR(INDEX(LMH_STEP,MATCH(AL132,LMH_KEY,0)),0)</f>
        <v>0</v>
      </c>
      <c r="CA132" s="38" t="inlineStr">
        <is>
          <t>CARBON|Sales|Principal – Enterprise Sales|C1|C-IC</t>
        </is>
      </c>
    </row>
    <row r="133" ht="110" customHeight="1">
      <c r="A133" s="28" t="inlineStr">
        <is>
          <t>CARBON</t>
        </is>
      </c>
      <c r="B133" s="29" t="inlineStr">
        <is>
          <t>Marketing</t>
        </is>
      </c>
      <c r="C133" s="29" t="n">
        <v>3</v>
      </c>
      <c r="D133" s="29" t="inlineStr">
        <is>
          <t>IRIS2239</t>
        </is>
      </c>
      <c r="E133" s="29" t="inlineStr">
        <is>
          <t>Saahit Togaru</t>
        </is>
      </c>
      <c r="F133" s="29" t="inlineStr">
        <is>
          <t>Senior Manager - Strategy &amp; Product Marketing</t>
        </is>
      </c>
      <c r="G133" s="29" t="inlineStr">
        <is>
          <t>Senior Marketing Manager</t>
        </is>
      </c>
      <c r="H133" s="29" t="inlineStr">
        <is>
          <t>Marketing &amp; Communications</t>
        </is>
      </c>
      <c r="I133" s="29" t="inlineStr">
        <is>
          <t>Marketing Leadership</t>
        </is>
      </c>
      <c r="J133" s="29" t="inlineStr">
        <is>
          <t>People Manager</t>
        </is>
      </c>
      <c r="K133" s="29" t="inlineStr">
        <is>
          <t>RC-120</t>
        </is>
      </c>
      <c r="L133" s="29" t="inlineStr">
        <is>
          <t>Anuradha RK</t>
        </is>
      </c>
      <c r="M133" s="29" t="inlineStr">
        <is>
          <t>IRIS0391</t>
        </is>
      </c>
      <c r="N133" s="29" t="n">
        <v>10.7</v>
      </c>
      <c r="O133" s="29" t="n">
        <v>2.4</v>
      </c>
      <c r="P133" s="29" t="inlineStr">
        <is>
          <t>Masters in Liberal Arts</t>
        </is>
      </c>
      <c r="Q133" s="29" t="inlineStr">
        <is>
          <t>Not in current mapping files</t>
        </is>
      </c>
      <c r="R133" s="29" t="inlineStr">
        <is>
          <t>B3</t>
        </is>
      </c>
      <c r="S133" s="30" t="inlineStr">
        <is>
          <t>20 of 20</t>
        </is>
      </c>
      <c r="T133" s="31" t="inlineStr">
        <is>
          <t>Growth, Revenue and building the brand; Marketing Demand Capture Demand Gene Strategies GTM Strategies</t>
        </is>
      </c>
      <c r="U133" s="32" t="inlineStr">
        <is>
          <t>KRAs not received · manager to supply</t>
        </is>
      </c>
      <c r="V133" s="31" t="inlineStr">
        <is>
          <t>Latest rating: Not rated · manager · 9-box: Underperformer / Exit Risk · Readiness: No rating data</t>
        </is>
      </c>
      <c r="W133" s="31" t="inlineStr">
        <is>
          <t>C M · Au M · Ac M · L M · BI M · Exp M · 10.7 yrs vs 8–12 yrs · Edu M · Masters in Liberal Arts</t>
        </is>
      </c>
      <c r="X133" s="33" t="inlineStr">
        <is>
          <t>Open ▸</t>
        </is>
      </c>
      <c r="Y133" s="34" t="str">
        <f>IFERROR(INDEX(DL_C,MATCH($CA133,DL_KEY,0)),"M")</f>
        <v>H</v>
      </c>
      <c r="Z133" s="35" t="str">
        <f>IFERROR(INDEX(DL_Au,MATCH($CA133,DL_KEY,0)),"M")</f>
        <v>M</v>
      </c>
      <c r="AA133" s="35" t="str">
        <f>IFERROR(INDEX(DL_Ac,MATCH($CA133,DL_KEY,0)),"M")</f>
        <v>L</v>
      </c>
      <c r="AB133" s="35" t="str">
        <f>IFERROR(INDEX(DL_L,MATCH($CA133,DL_KEY,0)),"M")</f>
        <v>M</v>
      </c>
      <c r="AC133" s="35" t="str">
        <f>IFERROR(INDEX(DL_BI,MATCH($CA133,DL_KEY,0)),"M")</f>
        <v>M</v>
      </c>
      <c r="AD133" s="35" t="str">
        <f>IFERROR(INDEX(DL_Exp,MATCH($CA133,DL_KEY,0)),"M")</f>
        <v>L</v>
      </c>
      <c r="AE133" s="35" t="str">
        <f>IFERROR(INDEX(DL_Edu,MATCH($CA133,DL_KEY,0)),"M")</f>
        <v>L</v>
      </c>
      <c r="AF133" s="34" t="inlineStr">
        <is>
          <t>M</t>
        </is>
      </c>
      <c r="AG133" s="35" t="inlineStr">
        <is>
          <t>M</t>
        </is>
      </c>
      <c r="AH133" s="35" t="inlineStr">
        <is>
          <t>M</t>
        </is>
      </c>
      <c r="AI133" s="35" t="inlineStr">
        <is>
          <t>M</t>
        </is>
      </c>
      <c r="AJ133" s="35" t="inlineStr">
        <is>
          <t>M</t>
        </is>
      </c>
      <c r="AK133" s="35" t="inlineStr">
        <is>
          <t>M</t>
        </is>
      </c>
      <c r="AL133" s="35" t="inlineStr">
        <is>
          <t>M</t>
        </is>
      </c>
      <c r="AM133" s="36" t="n">
        <v>0.37</v>
      </c>
      <c r="AN133" s="37" t="n">
        <v>0.183</v>
      </c>
      <c r="AO133" s="37" t="n">
        <v>0.113</v>
      </c>
      <c r="AP133" s="37" t="n">
        <v>0.15</v>
      </c>
      <c r="AQ133" s="37" t="n">
        <v>0.08699999999999999</v>
      </c>
      <c r="AR133" s="37" t="n">
        <v>0.06</v>
      </c>
      <c r="AS133" s="37" t="n">
        <v>0.04</v>
      </c>
      <c r="AT133" s="38" t="inlineStr">
        <is>
          <t>8–13</t>
        </is>
      </c>
      <c r="AU133" s="38" t="inlineStr">
        <is>
          <t>Postgraduate or professional qualification preferred</t>
        </is>
      </c>
      <c r="AV133" s="38" t="inlineStr">
        <is>
          <t>IC: none · People: 5–8 incl. team leads</t>
        </is>
      </c>
      <c r="AW133" s="38" t="inlineStr">
        <is>
          <t>P5 / M4 · SFIA 5 Ensure, advise</t>
        </is>
      </c>
      <c r="AX1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3" s="39" t="inlineStr">
        <is>
          <t>B3</t>
        </is>
      </c>
      <c r="AZ133" s="40" t="inlineStr">
        <is>
          <t>Band B · Specialist / Manager · Senior Manager</t>
        </is>
      </c>
      <c r="BA133" s="40" t="inlineStr">
        <is>
          <t>Model B3 from the six ratings, the market-derived weights and rules R1–R13 · then No change · already below the manager</t>
        </is>
      </c>
      <c r="BB133" s="41" t="inlineStr">
        <is>
          <t>B3</t>
        </is>
      </c>
      <c r="BC133" s="40" t="inlineStr">
        <is>
          <t>The six ratings on the market-average weights of Band B · People Manager score 6.00 → B3 · Hay, Mercer IPE and public plans · experience 10.7 yrs vs the B3 market range 8–13</t>
        </is>
      </c>
      <c r="BD133" s="42">
        <f>IF(SUM(BM133,BN133,BO133,BP133,BQ133,BR133,BS133)=0,0,(BM133*BT133+BN133*BU133+BO133*BV133+BP133*BW133+BQ133*BX133+BR133*BY133+BS133*BZ133)/SUM(BM133,BN133,BO133,BP133,BQ133,BR133,BS133))</f>
        <v>0</v>
      </c>
      <c r="BE133" s="41" t="str">
        <f>IF(LEFT(AY133,1)="X",AY133,IF(OR(AY133="B+",AY133="C+"),INDEX(LAD_PC,MAX(1,MIN(14,MATCH(AY133,LAD_PC,0)+IF(BD133&gt;=0.5,1,IF(BD133&lt;=-0.5,-1,0))))),INDEX(LAD_STD,MAX(1,MIN(12,MATCH(AY133,LAD_STD,0)+IF(BD133&gt;=0.5,1,IF(BD133&lt;=-0.5,-1,0)))))))</f>
        <v>B3</v>
      </c>
      <c r="BF133" s="43" t="n"/>
      <c r="BG133" s="41" t="str">
        <f>IF(BF133&lt;&gt;"",BF133,BE133)</f>
        <v>B3</v>
      </c>
      <c r="BH133" s="40" t="str">
        <f>IFERROR(CHOOSE(INDEX(B_RANK,MATCH(BG133,B_LVL,0)),"Band A","Band B","B+ · Player-Coach","Band C","C+ · Player-Coach","Band D","Band E"),"Band X · Consultant")</f>
        <v>Band B</v>
      </c>
      <c r="BI133" s="40" t="str">
        <f>IF(BG133=AY133,"• Same",IF(INDEX(B_VAL,MATCH(BG133,B_LVL,0))&gt;INDEX(B_VAL,MATCH(AY133,B_LVL,0)),"▲ Up","▼ Down"))</f>
        <v>• Same</v>
      </c>
      <c r="BJ133" s="40" t="str">
        <f>IF(OR($M133="",$M133="—",$M133="Not in this file"),"",IFERROR(INDEX($BG$7:$BG$592,MATCH($M133,$D$7:$D$592,0)),""))</f>
        <v>D2</v>
      </c>
      <c r="BK133" s="40" t="str">
        <f>IFERROR(IF(BJ133="","—",IF(OR(LEFT(BG133,1)="X",LEFT(BJ133,1)="X"),"—",IF(AND(LEFT(BG133,1)="E",LEFT(BJ133,1)="E"),"Exception · Band E",IF(AND(INDEX(B_VAL,MATCH(BJ133,B_LVL,0))&gt;=7,INDEX(B_RANK,MATCH(BG133,B_LVL,0))&gt;=INDEX(B_RANK,MATCH(BJ133,B_LVL,0))),"⚠ Same band as a head manager",IF(INDEX(B_VAL,MATCH(BG133,B_LVL,0))&gt;=INDEX(B_VAL,MATCH(BJ133,B_LVL,0)),"⚠ At or above the manager's level","OK"))))),"—")</f>
        <v>OK</v>
      </c>
      <c r="BL133" s="43" t="n"/>
      <c r="BM133" s="44">
        <f>IFERROR(INDEX(LMH_PTS,MATCH(Y133,LMH_KEY,0)),0)</f>
        <v>9</v>
      </c>
      <c r="BN133" s="38">
        <f>IFERROR(INDEX(LMH_PTS,MATCH(Z133,LMH_KEY,0)),0)</f>
        <v>3</v>
      </c>
      <c r="BO133" s="38">
        <f>IFERROR(INDEX(LMH_PTS,MATCH(AA133,LMH_KEY,0)),0)</f>
        <v>1</v>
      </c>
      <c r="BP133" s="38">
        <f>IFERROR(INDEX(LMH_PTS,MATCH(AB133,LMH_KEY,0)),0)</f>
        <v>3</v>
      </c>
      <c r="BQ133" s="38">
        <f>IFERROR(INDEX(LMH_PTS,MATCH(AC133,LMH_KEY,0)),0)</f>
        <v>3</v>
      </c>
      <c r="BR133" s="38">
        <f>IFERROR(INDEX(LMH_PTS,MATCH(AD133,LMH_KEY,0)),0)</f>
        <v>1</v>
      </c>
      <c r="BS133" s="38">
        <f>IFERROR(INDEX(LMH_PTS,MATCH(AE133,LMH_KEY,0)),0)</f>
        <v>1</v>
      </c>
      <c r="BT133" s="38">
        <f>IFERROR(INDEX(LMH_STEP,MATCH(AF133,LMH_KEY,0)),0)</f>
        <v>0</v>
      </c>
      <c r="BU133" s="38">
        <f>IFERROR(INDEX(LMH_STEP,MATCH(AG133,LMH_KEY,0)),0)</f>
        <v>0</v>
      </c>
      <c r="BV133" s="38">
        <f>IFERROR(INDEX(LMH_STEP,MATCH(AH133,LMH_KEY,0)),0)</f>
        <v>0</v>
      </c>
      <c r="BW133" s="38">
        <f>IFERROR(INDEX(LMH_STEP,MATCH(AI133,LMH_KEY,0)),0)</f>
        <v>0</v>
      </c>
      <c r="BX133" s="38">
        <f>IFERROR(INDEX(LMH_STEP,MATCH(AJ133,LMH_KEY,0)),0)</f>
        <v>0</v>
      </c>
      <c r="BY133" s="38">
        <f>IFERROR(INDEX(LMH_STEP,MATCH(AK133,LMH_KEY,0)),0)</f>
        <v>0</v>
      </c>
      <c r="BZ133" s="38">
        <f>IFERROR(INDEX(LMH_STEP,MATCH(AL133,LMH_KEY,0)),0)</f>
        <v>0</v>
      </c>
      <c r="CA133" s="38" t="inlineStr">
        <is>
          <t>CARBON|Marketing|Senior Marketing Manager|B3|B-M</t>
        </is>
      </c>
    </row>
    <row r="134" ht="110" customHeight="1">
      <c r="A134" s="28" t="inlineStr">
        <is>
          <t>CARBON</t>
        </is>
      </c>
      <c r="B134" s="29" t="inlineStr">
        <is>
          <t>Marketing</t>
        </is>
      </c>
      <c r="C134" s="29" t="n">
        <v>4</v>
      </c>
      <c r="D134" s="29" t="inlineStr">
        <is>
          <t>IRIS2358</t>
        </is>
      </c>
      <c r="E134" s="29" t="inlineStr">
        <is>
          <t>Sobhan Pramanik</t>
        </is>
      </c>
      <c r="F134" s="29" t="inlineStr">
        <is>
          <t>Manager - Marketing</t>
        </is>
      </c>
      <c r="G134" s="29" t="inlineStr">
        <is>
          <t>Marketing Manager</t>
        </is>
      </c>
      <c r="H134" s="29" t="inlineStr">
        <is>
          <t>Marketing &amp; Communications</t>
        </is>
      </c>
      <c r="I134" s="29" t="inlineStr">
        <is>
          <t>Demand Generation, Brand &amp; Events</t>
        </is>
      </c>
      <c r="J134" s="29" t="inlineStr">
        <is>
          <t>People Manager</t>
        </is>
      </c>
      <c r="K134" s="29" t="inlineStr">
        <is>
          <t>RC-116</t>
        </is>
      </c>
      <c r="L134" s="29" t="inlineStr">
        <is>
          <t>Saahit Togaru</t>
        </is>
      </c>
      <c r="M134" s="29" t="inlineStr">
        <is>
          <t>IRIS2239</t>
        </is>
      </c>
      <c r="N134" s="29" t="n">
        <v>8.5</v>
      </c>
      <c r="O134" s="29" t="n">
        <v>1.5</v>
      </c>
      <c r="P134" s="29" t="inlineStr">
        <is>
          <t>B.Tech</t>
        </is>
      </c>
      <c r="Q134" s="29" t="inlineStr">
        <is>
          <t>L5 – Manager</t>
        </is>
      </c>
      <c r="R134" s="29" t="inlineStr">
        <is>
          <t>B2</t>
        </is>
      </c>
      <c r="S134" s="30" t="inlineStr">
        <is>
          <t>20 of 20</t>
        </is>
      </c>
      <c r="T134" s="31" t="inlineStr">
        <is>
          <t>• Role / sub-team: Marketing — Manager - Marketing.
• Core purpose: Building brand awareness and demand for IRIS CARBON globally.
• Decision-making autonomy: Can independently content Strategy.
• Is this something only they do: Everyone on the team.</t>
        </is>
      </c>
      <c r="U134" s="31" t="inlineStr">
        <is>
          <t>Received · manager annual · OKR Tracker - Marketing 2026 · FY27.xlsx</t>
        </is>
      </c>
      <c r="V134" s="31" t="inlineStr">
        <is>
          <t>Latest rating: 3 · Potential: High · 9-box: Future Leader · Readiness: Ready in 6–12 months</t>
        </is>
      </c>
      <c r="W134" s="31" t="inlineStr">
        <is>
          <t>C M · Au M · Ac M · L M · BI M · Exp M · 8.5 yrs vs 6–9 yrs · Edu M · B.Tech</t>
        </is>
      </c>
      <c r="X134" s="33" t="inlineStr">
        <is>
          <t>Open ▸</t>
        </is>
      </c>
      <c r="Y134" s="34" t="str">
        <f>IFERROR(INDEX(DL_C,MATCH($CA134,DL_KEY,0)),"M")</f>
        <v>H</v>
      </c>
      <c r="Z134" s="35" t="str">
        <f>IFERROR(INDEX(DL_Au,MATCH($CA134,DL_KEY,0)),"M")</f>
        <v>M</v>
      </c>
      <c r="AA134" s="35" t="str">
        <f>IFERROR(INDEX(DL_Ac,MATCH($CA134,DL_KEY,0)),"M")</f>
        <v>L</v>
      </c>
      <c r="AB134" s="35" t="str">
        <f>IFERROR(INDEX(DL_L,MATCH($CA134,DL_KEY,0)),"M")</f>
        <v>M</v>
      </c>
      <c r="AC134" s="35" t="str">
        <f>IFERROR(INDEX(DL_BI,MATCH($CA134,DL_KEY,0)),"M")</f>
        <v>M</v>
      </c>
      <c r="AD134" s="35" t="str">
        <f>IFERROR(INDEX(DL_Exp,MATCH($CA134,DL_KEY,0)),"M")</f>
        <v>L</v>
      </c>
      <c r="AE134" s="35" t="str">
        <f>IFERROR(INDEX(DL_Edu,MATCH($CA134,DL_KEY,0)),"M")</f>
        <v>L</v>
      </c>
      <c r="AF134" s="34" t="inlineStr">
        <is>
          <t>M</t>
        </is>
      </c>
      <c r="AG134" s="35" t="inlineStr">
        <is>
          <t>M</t>
        </is>
      </c>
      <c r="AH134" s="35" t="inlineStr">
        <is>
          <t>M</t>
        </is>
      </c>
      <c r="AI134" s="35" t="inlineStr">
        <is>
          <t>M</t>
        </is>
      </c>
      <c r="AJ134" s="35" t="inlineStr">
        <is>
          <t>M</t>
        </is>
      </c>
      <c r="AK134" s="35" t="inlineStr">
        <is>
          <t>M</t>
        </is>
      </c>
      <c r="AL134" s="35" t="inlineStr">
        <is>
          <t>M</t>
        </is>
      </c>
      <c r="AM134" s="36" t="n">
        <v>0.37</v>
      </c>
      <c r="AN134" s="37" t="n">
        <v>0.183</v>
      </c>
      <c r="AO134" s="37" t="n">
        <v>0.113</v>
      </c>
      <c r="AP134" s="37" t="n">
        <v>0.15</v>
      </c>
      <c r="AQ134" s="37" t="n">
        <v>0.08699999999999999</v>
      </c>
      <c r="AR134" s="37" t="n">
        <v>0.06</v>
      </c>
      <c r="AS134" s="37" t="n">
        <v>0.04</v>
      </c>
      <c r="AT134" s="38" t="inlineStr">
        <is>
          <t>6–10</t>
        </is>
      </c>
      <c r="AU134" s="38" t="inlineStr">
        <is>
          <t>Graduate or postgraduate; professional qualification preferred</t>
        </is>
      </c>
      <c r="AV134" s="38" t="inlineStr">
        <is>
          <t>IC: none · People: 6–8 knowledge work, 8–12 standardised delivery</t>
        </is>
      </c>
      <c r="AW134" s="38" t="inlineStr">
        <is>
          <t>P4 / M3 · SFIA 4–5</t>
        </is>
      </c>
      <c r="AX1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4" s="39" t="inlineStr">
        <is>
          <t>B2</t>
        </is>
      </c>
      <c r="AZ134" s="40" t="inlineStr">
        <is>
          <t>Band B · Specialist / Manager · Manager</t>
        </is>
      </c>
      <c r="BA134" s="40" t="inlineStr">
        <is>
          <t>Model B2 from the six ratings, the market-derived weights and rules R1–R13 · then No change · already below the manager</t>
        </is>
      </c>
      <c r="BB134" s="41" t="inlineStr">
        <is>
          <t>B2</t>
        </is>
      </c>
      <c r="BC134" s="40" t="inlineStr">
        <is>
          <t>The six ratings on the market-average weights of Band B · People Manager score 5.09 → B2 · Hay, Mercer IPE and public plans · experience 8.5 yrs vs the B2 market range 6–10</t>
        </is>
      </c>
      <c r="BD134" s="42">
        <f>IF(SUM(BM134,BN134,BO134,BP134,BQ134,BR134,BS134)=0,0,(BM134*BT134+BN134*BU134+BO134*BV134+BP134*BW134+BQ134*BX134+BR134*BY134+BS134*BZ134)/SUM(BM134,BN134,BO134,BP134,BQ134,BR134,BS134))</f>
        <v>0</v>
      </c>
      <c r="BE134" s="41" t="str">
        <f>IF(LEFT(AY134,1)="X",AY134,IF(OR(AY134="B+",AY134="C+"),INDEX(LAD_PC,MAX(1,MIN(14,MATCH(AY134,LAD_PC,0)+IF(BD134&gt;=0.5,1,IF(BD134&lt;=-0.5,-1,0))))),INDEX(LAD_STD,MAX(1,MIN(12,MATCH(AY134,LAD_STD,0)+IF(BD134&gt;=0.5,1,IF(BD134&lt;=-0.5,-1,0)))))))</f>
        <v>B2</v>
      </c>
      <c r="BF134" s="43" t="n"/>
      <c r="BG134" s="41" t="str">
        <f>IF(BF134&lt;&gt;"",BF134,BE134)</f>
        <v>B2</v>
      </c>
      <c r="BH134" s="40" t="str">
        <f>IFERROR(CHOOSE(INDEX(B_RANK,MATCH(BG134,B_LVL,0)),"Band A","Band B","B+ · Player-Coach","Band C","C+ · Player-Coach","Band D","Band E"),"Band X · Consultant")</f>
        <v>Band B</v>
      </c>
      <c r="BI134" s="40" t="str">
        <f>IF(BG134=AY134,"• Same",IF(INDEX(B_VAL,MATCH(BG134,B_LVL,0))&gt;INDEX(B_VAL,MATCH(AY134,B_LVL,0)),"▲ Up","▼ Down"))</f>
        <v>• Same</v>
      </c>
      <c r="BJ134" s="40" t="str">
        <f>IF(OR($M134="",$M134="—",$M134="Not in this file"),"",IFERROR(INDEX($BG$7:$BG$592,MATCH($M134,$D$7:$D$592,0)),""))</f>
        <v>B3</v>
      </c>
      <c r="BK134" s="40" t="str">
        <f>IFERROR(IF(BJ134="","—",IF(OR(LEFT(BG134,1)="X",LEFT(BJ134,1)="X"),"—",IF(AND(LEFT(BG134,1)="E",LEFT(BJ134,1)="E"),"Exception · Band E",IF(AND(INDEX(B_VAL,MATCH(BJ134,B_LVL,0))&gt;=7,INDEX(B_RANK,MATCH(BG134,B_LVL,0))&gt;=INDEX(B_RANK,MATCH(BJ134,B_LVL,0))),"⚠ Same band as a head manager",IF(INDEX(B_VAL,MATCH(BG134,B_LVL,0))&gt;=INDEX(B_VAL,MATCH(BJ134,B_LVL,0)),"⚠ At or above the manager's level","OK"))))),"—")</f>
        <v>OK</v>
      </c>
      <c r="BL134" s="43" t="n"/>
      <c r="BM134" s="44">
        <f>IFERROR(INDEX(LMH_PTS,MATCH(Y134,LMH_KEY,0)),0)</f>
        <v>9</v>
      </c>
      <c r="BN134" s="38">
        <f>IFERROR(INDEX(LMH_PTS,MATCH(Z134,LMH_KEY,0)),0)</f>
        <v>3</v>
      </c>
      <c r="BO134" s="38">
        <f>IFERROR(INDEX(LMH_PTS,MATCH(AA134,LMH_KEY,0)),0)</f>
        <v>1</v>
      </c>
      <c r="BP134" s="38">
        <f>IFERROR(INDEX(LMH_PTS,MATCH(AB134,LMH_KEY,0)),0)</f>
        <v>3</v>
      </c>
      <c r="BQ134" s="38">
        <f>IFERROR(INDEX(LMH_PTS,MATCH(AC134,LMH_KEY,0)),0)</f>
        <v>3</v>
      </c>
      <c r="BR134" s="38">
        <f>IFERROR(INDEX(LMH_PTS,MATCH(AD134,LMH_KEY,0)),0)</f>
        <v>1</v>
      </c>
      <c r="BS134" s="38">
        <f>IFERROR(INDEX(LMH_PTS,MATCH(AE134,LMH_KEY,0)),0)</f>
        <v>1</v>
      </c>
      <c r="BT134" s="38">
        <f>IFERROR(INDEX(LMH_STEP,MATCH(AF134,LMH_KEY,0)),0)</f>
        <v>0</v>
      </c>
      <c r="BU134" s="38">
        <f>IFERROR(INDEX(LMH_STEP,MATCH(AG134,LMH_KEY,0)),0)</f>
        <v>0</v>
      </c>
      <c r="BV134" s="38">
        <f>IFERROR(INDEX(LMH_STEP,MATCH(AH134,LMH_KEY,0)),0)</f>
        <v>0</v>
      </c>
      <c r="BW134" s="38">
        <f>IFERROR(INDEX(LMH_STEP,MATCH(AI134,LMH_KEY,0)),0)</f>
        <v>0</v>
      </c>
      <c r="BX134" s="38">
        <f>IFERROR(INDEX(LMH_STEP,MATCH(AJ134,LMH_KEY,0)),0)</f>
        <v>0</v>
      </c>
      <c r="BY134" s="38">
        <f>IFERROR(INDEX(LMH_STEP,MATCH(AK134,LMH_KEY,0)),0)</f>
        <v>0</v>
      </c>
      <c r="BZ134" s="38">
        <f>IFERROR(INDEX(LMH_STEP,MATCH(AL134,LMH_KEY,0)),0)</f>
        <v>0</v>
      </c>
      <c r="CA134" s="38" t="inlineStr">
        <is>
          <t>CARBON|Marketing|Marketing Manager|B2|B-M</t>
        </is>
      </c>
    </row>
    <row r="135" ht="110" customHeight="1">
      <c r="A135" s="28" t="inlineStr">
        <is>
          <t>CARBON</t>
        </is>
      </c>
      <c r="B135" s="29" t="inlineStr">
        <is>
          <t>Marketing</t>
        </is>
      </c>
      <c r="C135" s="29" t="n">
        <v>5</v>
      </c>
      <c r="D135" s="29" t="inlineStr">
        <is>
          <t>IRIS2400</t>
        </is>
      </c>
      <c r="E135" s="29" t="inlineStr">
        <is>
          <t>Bharani Kumar</t>
        </is>
      </c>
      <c r="F135" s="29" t="inlineStr">
        <is>
          <t>Creative Lead</t>
        </is>
      </c>
      <c r="G135" s="29" t="inlineStr">
        <is>
          <t>Design Specialist – POD Lead</t>
        </is>
      </c>
      <c r="H135" s="29" t="inlineStr">
        <is>
          <t>Design &amp; Creative</t>
        </is>
      </c>
      <c r="I135" s="29" t="inlineStr">
        <is>
          <t>Brand, Graphic &amp; Video Design</t>
        </is>
      </c>
      <c r="J135" s="29" t="inlineStr">
        <is>
          <t>POD Lead</t>
        </is>
      </c>
      <c r="K135" s="29" t="inlineStr">
        <is>
          <t>RC-053</t>
        </is>
      </c>
      <c r="L135" s="29" t="inlineStr">
        <is>
          <t>Sobhan Pramanik</t>
        </is>
      </c>
      <c r="M135" s="29" t="inlineStr">
        <is>
          <t>IRIS2358</t>
        </is>
      </c>
      <c r="N135" s="29" t="n">
        <v>12.2</v>
      </c>
      <c r="O135" s="29" t="n">
        <v>1.2</v>
      </c>
      <c r="P135" s="29" t="inlineStr">
        <is>
          <t>BA</t>
        </is>
      </c>
      <c r="Q135" s="29" t="inlineStr">
        <is>
          <t>L5 – Lead · IC</t>
        </is>
      </c>
      <c r="R135" s="29" t="inlineStr">
        <is>
          <t>B1</t>
        </is>
      </c>
      <c r="S135" s="30" t="inlineStr">
        <is>
          <t>20 of 20</t>
        </is>
      </c>
      <c r="T135" s="31" t="inlineStr">
        <is>
          <t>• Role / sub-team: Marketing — Creative Lead.
• Core purpose: Input not given by Participant.
• Decision-making autonomy: Input not given by Participant.
• Is this something only they do: Input not given by Participant.</t>
        </is>
      </c>
      <c r="U135" s="31" t="inlineStr">
        <is>
          <t>Received · manager annual · c</t>
        </is>
      </c>
      <c r="V135" s="31" t="inlineStr">
        <is>
          <t>Latest rating: Not rated · manager · Potential: Medium · 9-box: Core Contributor · Readiness: Develop in role</t>
        </is>
      </c>
      <c r="W135" s="31" t="inlineStr">
        <is>
          <t>C M · Au M · Ac M · L L · BI M · Exp H · 12.2 yrs vs 4–7 yrs · Edu M · BA</t>
        </is>
      </c>
      <c r="X135" s="33" t="inlineStr">
        <is>
          <t>Open ▸</t>
        </is>
      </c>
      <c r="Y135" s="34" t="str">
        <f>IFERROR(INDEX(DL_C,MATCH($CA135,DL_KEY,0)),"M")</f>
        <v>H</v>
      </c>
      <c r="Z135" s="35" t="str">
        <f>IFERROR(INDEX(DL_Au,MATCH($CA135,DL_KEY,0)),"M")</f>
        <v>M</v>
      </c>
      <c r="AA135" s="35" t="str">
        <f>IFERROR(INDEX(DL_Ac,MATCH($CA135,DL_KEY,0)),"M")</f>
        <v>L</v>
      </c>
      <c r="AB135" s="35" t="str">
        <f>IFERROR(INDEX(DL_L,MATCH($CA135,DL_KEY,0)),"M")</f>
        <v>L</v>
      </c>
      <c r="AC135" s="35" t="str">
        <f>IFERROR(INDEX(DL_BI,MATCH($CA135,DL_KEY,0)),"M")</f>
        <v>M</v>
      </c>
      <c r="AD135" s="35" t="str">
        <f>IFERROR(INDEX(DL_Exp,MATCH($CA135,DL_KEY,0)),"M")</f>
        <v>L</v>
      </c>
      <c r="AE135" s="35" t="str">
        <f>IFERROR(INDEX(DL_Edu,MATCH($CA135,DL_KEY,0)),"M")</f>
        <v>L</v>
      </c>
      <c r="AF135" s="34" t="inlineStr">
        <is>
          <t>M</t>
        </is>
      </c>
      <c r="AG135" s="35" t="inlineStr">
        <is>
          <t>M</t>
        </is>
      </c>
      <c r="AH135" s="35" t="inlineStr">
        <is>
          <t>M</t>
        </is>
      </c>
      <c r="AI135" s="35" t="inlineStr">
        <is>
          <t>M</t>
        </is>
      </c>
      <c r="AJ135" s="35" t="inlineStr">
        <is>
          <t>M</t>
        </is>
      </c>
      <c r="AK135" s="35" t="inlineStr">
        <is>
          <t>M</t>
        </is>
      </c>
      <c r="AL135" s="35" t="inlineStr">
        <is>
          <t>M</t>
        </is>
      </c>
      <c r="AM135" s="36" t="n">
        <v>0.513</v>
      </c>
      <c r="AN135" s="37" t="n">
        <v>0.173</v>
      </c>
      <c r="AO135" s="37" t="n">
        <v>0.09699999999999999</v>
      </c>
      <c r="AP135" s="37" t="n">
        <v>0.05</v>
      </c>
      <c r="AQ135" s="37" t="n">
        <v>0.07000000000000001</v>
      </c>
      <c r="AR135" s="37" t="n">
        <v>0.06</v>
      </c>
      <c r="AS135" s="37" t="n">
        <v>0.04</v>
      </c>
      <c r="AT135" s="38" t="inlineStr">
        <is>
          <t>4–8</t>
        </is>
      </c>
      <c r="AU135" s="38" t="inlineStr">
        <is>
          <t>Graduate + relevant qualification or certification preferred</t>
        </is>
      </c>
      <c r="AV135" s="38" t="inlineStr">
        <is>
          <t>IC: none · Team Lead: 3–5</t>
        </is>
      </c>
      <c r="AW135" s="38" t="inlineStr">
        <is>
          <t>P3 / M2 · SFIA 4 Enable</t>
        </is>
      </c>
      <c r="AX1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5" s="39" t="inlineStr">
        <is>
          <t>B1</t>
        </is>
      </c>
      <c r="AZ135" s="40" t="inlineStr">
        <is>
          <t>Band B · Specialist / Manager · Team Lead / Asst Manager</t>
        </is>
      </c>
      <c r="BA135" s="40" t="inlineStr">
        <is>
          <t>Model B1 from the six ratings, the market-derived weights and rules R1–R13 · then No change · already below the manager</t>
        </is>
      </c>
      <c r="BB135" s="41" t="inlineStr">
        <is>
          <t>B1</t>
        </is>
      </c>
      <c r="BC135" s="40" t="inlineStr">
        <is>
          <t>The six ratings on the market-average weights of Band B · Specialist / POD Lead score 4.25 → B1 · Hay, Mercer IPE and public plans · experience 12.2 yrs vs the B1 market range 4–8</t>
        </is>
      </c>
      <c r="BD135" s="42">
        <f>IF(SUM(BM135,BN135,BO135,BP135,BQ135,BR135,BS135)=0,0,(BM135*BT135+BN135*BU135+BO135*BV135+BP135*BW135+BQ135*BX135+BR135*BY135+BS135*BZ135)/SUM(BM135,BN135,BO135,BP135,BQ135,BR135,BS135))</f>
        <v>0</v>
      </c>
      <c r="BE135" s="41" t="str">
        <f>IF(LEFT(AY135,1)="X",AY135,IF(OR(AY135="B+",AY135="C+"),INDEX(LAD_PC,MAX(1,MIN(14,MATCH(AY135,LAD_PC,0)+IF(BD135&gt;=0.5,1,IF(BD135&lt;=-0.5,-1,0))))),INDEX(LAD_STD,MAX(1,MIN(12,MATCH(AY135,LAD_STD,0)+IF(BD135&gt;=0.5,1,IF(BD135&lt;=-0.5,-1,0)))))))</f>
        <v>B1</v>
      </c>
      <c r="BF135" s="43" t="n"/>
      <c r="BG135" s="41" t="str">
        <f>IF(BF135&lt;&gt;"",BF135,BE135)</f>
        <v>B1</v>
      </c>
      <c r="BH135" s="40" t="str">
        <f>IFERROR(CHOOSE(INDEX(B_RANK,MATCH(BG135,B_LVL,0)),"Band A","Band B","B+ · Player-Coach","Band C","C+ · Player-Coach","Band D","Band E"),"Band X · Consultant")</f>
        <v>Band B</v>
      </c>
      <c r="BI135" s="40" t="str">
        <f>IF(BG135=AY135,"• Same",IF(INDEX(B_VAL,MATCH(BG135,B_LVL,0))&gt;INDEX(B_VAL,MATCH(AY135,B_LVL,0)),"▲ Up","▼ Down"))</f>
        <v>• Same</v>
      </c>
      <c r="BJ135" s="40" t="str">
        <f>IF(OR($M135="",$M135="—",$M135="Not in this file"),"",IFERROR(INDEX($BG$7:$BG$592,MATCH($M135,$D$7:$D$592,0)),""))</f>
        <v>B2</v>
      </c>
      <c r="BK135" s="40" t="str">
        <f>IFERROR(IF(BJ135="","—",IF(OR(LEFT(BG135,1)="X",LEFT(BJ135,1)="X"),"—",IF(AND(LEFT(BG135,1)="E",LEFT(BJ135,1)="E"),"Exception · Band E",IF(AND(INDEX(B_VAL,MATCH(BJ135,B_LVL,0))&gt;=7,INDEX(B_RANK,MATCH(BG135,B_LVL,0))&gt;=INDEX(B_RANK,MATCH(BJ135,B_LVL,0))),"⚠ Same band as a head manager",IF(INDEX(B_VAL,MATCH(BG135,B_LVL,0))&gt;=INDEX(B_VAL,MATCH(BJ135,B_LVL,0)),"⚠ At or above the manager's level","OK"))))),"—")</f>
        <v>OK</v>
      </c>
      <c r="BL135" s="43" t="n"/>
      <c r="BM135" s="44">
        <f>IFERROR(INDEX(LMH_PTS,MATCH(Y135,LMH_KEY,0)),0)</f>
        <v>9</v>
      </c>
      <c r="BN135" s="38">
        <f>IFERROR(INDEX(LMH_PTS,MATCH(Z135,LMH_KEY,0)),0)</f>
        <v>3</v>
      </c>
      <c r="BO135" s="38">
        <f>IFERROR(INDEX(LMH_PTS,MATCH(AA135,LMH_KEY,0)),0)</f>
        <v>1</v>
      </c>
      <c r="BP135" s="38">
        <f>IFERROR(INDEX(LMH_PTS,MATCH(AB135,LMH_KEY,0)),0)</f>
        <v>1</v>
      </c>
      <c r="BQ135" s="38">
        <f>IFERROR(INDEX(LMH_PTS,MATCH(AC135,LMH_KEY,0)),0)</f>
        <v>3</v>
      </c>
      <c r="BR135" s="38">
        <f>IFERROR(INDEX(LMH_PTS,MATCH(AD135,LMH_KEY,0)),0)</f>
        <v>1</v>
      </c>
      <c r="BS135" s="38">
        <f>IFERROR(INDEX(LMH_PTS,MATCH(AE135,LMH_KEY,0)),0)</f>
        <v>1</v>
      </c>
      <c r="BT135" s="38">
        <f>IFERROR(INDEX(LMH_STEP,MATCH(AF135,LMH_KEY,0)),0)</f>
        <v>0</v>
      </c>
      <c r="BU135" s="38">
        <f>IFERROR(INDEX(LMH_STEP,MATCH(AG135,LMH_KEY,0)),0)</f>
        <v>0</v>
      </c>
      <c r="BV135" s="38">
        <f>IFERROR(INDEX(LMH_STEP,MATCH(AH135,LMH_KEY,0)),0)</f>
        <v>0</v>
      </c>
      <c r="BW135" s="38">
        <f>IFERROR(INDEX(LMH_STEP,MATCH(AI135,LMH_KEY,0)),0)</f>
        <v>0</v>
      </c>
      <c r="BX135" s="38">
        <f>IFERROR(INDEX(LMH_STEP,MATCH(AJ135,LMH_KEY,0)),0)</f>
        <v>0</v>
      </c>
      <c r="BY135" s="38">
        <f>IFERROR(INDEX(LMH_STEP,MATCH(AK135,LMH_KEY,0)),0)</f>
        <v>0</v>
      </c>
      <c r="BZ135" s="38">
        <f>IFERROR(INDEX(LMH_STEP,MATCH(AL135,LMH_KEY,0)),0)</f>
        <v>0</v>
      </c>
      <c r="CA135" s="38" t="inlineStr">
        <is>
          <t>CARBON|Marketing|Design Specialist – POD Lead|B1|B-IC</t>
        </is>
      </c>
    </row>
    <row r="136" ht="110" customHeight="1">
      <c r="A136" s="28" t="inlineStr">
        <is>
          <t>CARBON</t>
        </is>
      </c>
      <c r="B136" s="29" t="inlineStr">
        <is>
          <t>Marketing</t>
        </is>
      </c>
      <c r="C136" s="29" t="n">
        <v>6</v>
      </c>
      <c r="D136" s="29" t="inlineStr">
        <is>
          <t>IRIS2387</t>
        </is>
      </c>
      <c r="E136" s="29" t="inlineStr">
        <is>
          <t>Avidi Jeevitesh</t>
        </is>
      </c>
      <c r="F136" s="29" t="inlineStr">
        <is>
          <t>Senior Designer</t>
        </is>
      </c>
      <c r="G136" s="29" t="inlineStr">
        <is>
          <t>Senior Designer</t>
        </is>
      </c>
      <c r="H136" s="29" t="inlineStr">
        <is>
          <t>Design &amp; Creative</t>
        </is>
      </c>
      <c r="I136" s="29" t="inlineStr">
        <is>
          <t>Brand, Graphic &amp; Video Design</t>
        </is>
      </c>
      <c r="J136" s="29" t="inlineStr">
        <is>
          <t>IC</t>
        </is>
      </c>
      <c r="K136" s="29" t="inlineStr">
        <is>
          <t>RC-052</t>
        </is>
      </c>
      <c r="L136" s="29" t="inlineStr">
        <is>
          <t>Bharani Kumar</t>
        </is>
      </c>
      <c r="M136" s="29" t="inlineStr">
        <is>
          <t>IRIS2400</t>
        </is>
      </c>
      <c r="N136" s="29" t="n">
        <v>10.6</v>
      </c>
      <c r="O136" s="29" t="n">
        <v>1.3</v>
      </c>
      <c r="P136" s="29" t="inlineStr">
        <is>
          <t>Under Gratuate</t>
        </is>
      </c>
      <c r="Q136" s="29" t="inlineStr">
        <is>
          <t>L4 – Senior</t>
        </is>
      </c>
      <c r="R136" s="29" t="inlineStr">
        <is>
          <t>A3</t>
        </is>
      </c>
      <c r="S136" s="30" t="inlineStr">
        <is>
          <t>20 of 20</t>
        </is>
      </c>
      <c r="T136" s="31" t="inlineStr">
        <is>
          <t>• This role manages the visual identity of brand assets, including e-books, social-media posts and solution briefs.</t>
        </is>
      </c>
      <c r="U136" s="32" t="inlineStr">
        <is>
          <t>KRAs not received · manager to supply</t>
        </is>
      </c>
      <c r="V136" s="31" t="inlineStr">
        <is>
          <t>Latest rating: Not rated · manager · Potential: Medium · 9-box: Reliable Specialist · Readiness: Develop in role</t>
        </is>
      </c>
      <c r="W136" s="31" t="inlineStr">
        <is>
          <t>C M · Au M · Ac M · L L · BI M · Exp H · 10.6 yrs vs 2–4 yrs · Edu L · Under Gratuate</t>
        </is>
      </c>
      <c r="X136" s="33" t="inlineStr">
        <is>
          <t>Open ▸</t>
        </is>
      </c>
      <c r="Y136" s="34" t="str">
        <f>IFERROR(INDEX(DL_C,MATCH($CA136,DL_KEY,0)),"M")</f>
        <v>H</v>
      </c>
      <c r="Z136" s="35" t="str">
        <f>IFERROR(INDEX(DL_Au,MATCH($CA136,DL_KEY,0)),"M")</f>
        <v>M</v>
      </c>
      <c r="AA136" s="35" t="str">
        <f>IFERROR(INDEX(DL_Ac,MATCH($CA136,DL_KEY,0)),"M")</f>
        <v>L</v>
      </c>
      <c r="AB136" s="35" t="str">
        <f>IFERROR(INDEX(DL_L,MATCH($CA136,DL_KEY,0)),"M")</f>
        <v>L</v>
      </c>
      <c r="AC136" s="35" t="str">
        <f>IFERROR(INDEX(DL_BI,MATCH($CA136,DL_KEY,0)),"M")</f>
        <v>M</v>
      </c>
      <c r="AD136" s="35" t="str">
        <f>IFERROR(INDEX(DL_Exp,MATCH($CA136,DL_KEY,0)),"M")</f>
        <v>L</v>
      </c>
      <c r="AE136" s="35" t="str">
        <f>IFERROR(INDEX(DL_Edu,MATCH($CA136,DL_KEY,0)),"M")</f>
        <v>L</v>
      </c>
      <c r="AF136" s="34" t="inlineStr">
        <is>
          <t>M</t>
        </is>
      </c>
      <c r="AG136" s="35" t="inlineStr">
        <is>
          <t>M</t>
        </is>
      </c>
      <c r="AH136" s="35" t="inlineStr">
        <is>
          <t>M</t>
        </is>
      </c>
      <c r="AI136" s="35" t="inlineStr">
        <is>
          <t>M</t>
        </is>
      </c>
      <c r="AJ136" s="35" t="inlineStr">
        <is>
          <t>M</t>
        </is>
      </c>
      <c r="AK136" s="35" t="inlineStr">
        <is>
          <t>M</t>
        </is>
      </c>
      <c r="AL136" s="35" t="inlineStr">
        <is>
          <t>M</t>
        </is>
      </c>
      <c r="AM136" s="36" t="n">
        <v>0.583</v>
      </c>
      <c r="AN136" s="37" t="n">
        <v>0.16</v>
      </c>
      <c r="AO136" s="37" t="n">
        <v>0.09</v>
      </c>
      <c r="AP136" s="37" t="n">
        <v>0</v>
      </c>
      <c r="AQ136" s="37" t="n">
        <v>0.063</v>
      </c>
      <c r="AR136" s="37" t="n">
        <v>0.06</v>
      </c>
      <c r="AS136" s="37" t="n">
        <v>0.04</v>
      </c>
      <c r="AT136" s="38" t="inlineStr">
        <is>
          <t>2–5</t>
        </is>
      </c>
      <c r="AU136" s="38" t="inlineStr">
        <is>
          <t>Graduate; relevant certification preferred</t>
        </is>
      </c>
      <c r="AV136" s="38" t="inlineStr">
        <is>
          <t>None · guides 1–3 juniors informally</t>
        </is>
      </c>
      <c r="AW136" s="38" t="inlineStr">
        <is>
          <t>P2 · SFIA 3 Apply</t>
        </is>
      </c>
      <c r="AX1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6" s="39" t="inlineStr">
        <is>
          <t>A3</t>
        </is>
      </c>
      <c r="AZ136" s="40" t="inlineStr">
        <is>
          <t>Band A · Practitioner · Senior Associate</t>
        </is>
      </c>
      <c r="BA136" s="40" t="inlineStr">
        <is>
          <t>Model A3 from the six ratings, the market-derived weights and rules R1–R13 · then No change · already below the manager</t>
        </is>
      </c>
      <c r="BB136" s="41" t="inlineStr">
        <is>
          <t>A3</t>
        </is>
      </c>
      <c r="BC136" s="40" t="inlineStr">
        <is>
          <t>The six ratings on the market-average weights of Band A · all tracks score 2.85 → A3 · Hay, Mercer IPE and public plans · experience 10.6 yrs vs the A3 market range 2–5</t>
        </is>
      </c>
      <c r="BD136" s="42">
        <f>IF(SUM(BM136,BN136,BO136,BP136,BQ136,BR136,BS136)=0,0,(BM136*BT136+BN136*BU136+BO136*BV136+BP136*BW136+BQ136*BX136+BR136*BY136+BS136*BZ136)/SUM(BM136,BN136,BO136,BP136,BQ136,BR136,BS136))</f>
        <v>0</v>
      </c>
      <c r="BE136" s="41" t="str">
        <f>IF(LEFT(AY136,1)="X",AY136,IF(OR(AY136="B+",AY136="C+"),INDEX(LAD_PC,MAX(1,MIN(14,MATCH(AY136,LAD_PC,0)+IF(BD136&gt;=0.5,1,IF(BD136&lt;=-0.5,-1,0))))),INDEX(LAD_STD,MAX(1,MIN(12,MATCH(AY136,LAD_STD,0)+IF(BD136&gt;=0.5,1,IF(BD136&lt;=-0.5,-1,0)))))))</f>
        <v>A3</v>
      </c>
      <c r="BF136" s="43" t="n"/>
      <c r="BG136" s="41" t="str">
        <f>IF(BF136&lt;&gt;"",BF136,BE136)</f>
        <v>A3</v>
      </c>
      <c r="BH136" s="40" t="str">
        <f>IFERROR(CHOOSE(INDEX(B_RANK,MATCH(BG136,B_LVL,0)),"Band A","Band B","B+ · Player-Coach","Band C","C+ · Player-Coach","Band D","Band E"),"Band X · Consultant")</f>
        <v>Band A</v>
      </c>
      <c r="BI136" s="40" t="str">
        <f>IF(BG136=AY136,"• Same",IF(INDEX(B_VAL,MATCH(BG136,B_LVL,0))&gt;INDEX(B_VAL,MATCH(AY136,B_LVL,0)),"▲ Up","▼ Down"))</f>
        <v>• Same</v>
      </c>
      <c r="BJ136" s="40" t="str">
        <f>IF(OR($M136="",$M136="—",$M136="Not in this file"),"",IFERROR(INDEX($BG$7:$BG$592,MATCH($M136,$D$7:$D$592,0)),""))</f>
        <v>B1</v>
      </c>
      <c r="BK136" s="40" t="str">
        <f>IFERROR(IF(BJ136="","—",IF(OR(LEFT(BG136,1)="X",LEFT(BJ136,1)="X"),"—",IF(AND(LEFT(BG136,1)="E",LEFT(BJ136,1)="E"),"Exception · Band E",IF(AND(INDEX(B_VAL,MATCH(BJ136,B_LVL,0))&gt;=7,INDEX(B_RANK,MATCH(BG136,B_LVL,0))&gt;=INDEX(B_RANK,MATCH(BJ136,B_LVL,0))),"⚠ Same band as a head manager",IF(INDEX(B_VAL,MATCH(BG136,B_LVL,0))&gt;=INDEX(B_VAL,MATCH(BJ136,B_LVL,0)),"⚠ At or above the manager's level","OK"))))),"—")</f>
        <v>OK</v>
      </c>
      <c r="BL136" s="43" t="n"/>
      <c r="BM136" s="44">
        <f>IFERROR(INDEX(LMH_PTS,MATCH(Y136,LMH_KEY,0)),0)</f>
        <v>9</v>
      </c>
      <c r="BN136" s="38">
        <f>IFERROR(INDEX(LMH_PTS,MATCH(Z136,LMH_KEY,0)),0)</f>
        <v>3</v>
      </c>
      <c r="BO136" s="38">
        <f>IFERROR(INDEX(LMH_PTS,MATCH(AA136,LMH_KEY,0)),0)</f>
        <v>1</v>
      </c>
      <c r="BP136" s="38">
        <f>IFERROR(INDEX(LMH_PTS,MATCH(AB136,LMH_KEY,0)),0)</f>
        <v>1</v>
      </c>
      <c r="BQ136" s="38">
        <f>IFERROR(INDEX(LMH_PTS,MATCH(AC136,LMH_KEY,0)),0)</f>
        <v>3</v>
      </c>
      <c r="BR136" s="38">
        <f>IFERROR(INDEX(LMH_PTS,MATCH(AD136,LMH_KEY,0)),0)</f>
        <v>1</v>
      </c>
      <c r="BS136" s="38">
        <f>IFERROR(INDEX(LMH_PTS,MATCH(AE136,LMH_KEY,0)),0)</f>
        <v>1</v>
      </c>
      <c r="BT136" s="38">
        <f>IFERROR(INDEX(LMH_STEP,MATCH(AF136,LMH_KEY,0)),0)</f>
        <v>0</v>
      </c>
      <c r="BU136" s="38">
        <f>IFERROR(INDEX(LMH_STEP,MATCH(AG136,LMH_KEY,0)),0)</f>
        <v>0</v>
      </c>
      <c r="BV136" s="38">
        <f>IFERROR(INDEX(LMH_STEP,MATCH(AH136,LMH_KEY,0)),0)</f>
        <v>0</v>
      </c>
      <c r="BW136" s="38">
        <f>IFERROR(INDEX(LMH_STEP,MATCH(AI136,LMH_KEY,0)),0)</f>
        <v>0</v>
      </c>
      <c r="BX136" s="38">
        <f>IFERROR(INDEX(LMH_STEP,MATCH(AJ136,LMH_KEY,0)),0)</f>
        <v>0</v>
      </c>
      <c r="BY136" s="38">
        <f>IFERROR(INDEX(LMH_STEP,MATCH(AK136,LMH_KEY,0)),0)</f>
        <v>0</v>
      </c>
      <c r="BZ136" s="38">
        <f>IFERROR(INDEX(LMH_STEP,MATCH(AL136,LMH_KEY,0)),0)</f>
        <v>0</v>
      </c>
      <c r="CA136" s="38" t="inlineStr">
        <is>
          <t>CARBON|Marketing|Senior Designer|A3|A</t>
        </is>
      </c>
    </row>
    <row r="137" ht="110" customHeight="1">
      <c r="A137" s="28" t="inlineStr">
        <is>
          <t>CARBON</t>
        </is>
      </c>
      <c r="B137" s="29" t="inlineStr">
        <is>
          <t>Marketing</t>
        </is>
      </c>
      <c r="C137" s="29" t="n">
        <v>5</v>
      </c>
      <c r="D137" s="29" t="inlineStr">
        <is>
          <t>IRIS2348</t>
        </is>
      </c>
      <c r="E137" s="29" t="inlineStr">
        <is>
          <t>Alisha Sheikh</t>
        </is>
      </c>
      <c r="F137" s="29" t="inlineStr">
        <is>
          <t>Content Marketer</t>
        </is>
      </c>
      <c r="G137" s="29" t="inlineStr">
        <is>
          <t>Senior Content Marketing Associate</t>
        </is>
      </c>
      <c r="H137" s="29" t="inlineStr">
        <is>
          <t>Marketing &amp; Communications</t>
        </is>
      </c>
      <c r="I137" s="29" t="inlineStr">
        <is>
          <t>Content Marketing</t>
        </is>
      </c>
      <c r="J137" s="29" t="inlineStr">
        <is>
          <t>IC</t>
        </is>
      </c>
      <c r="K137" s="29" t="inlineStr">
        <is>
          <t>RC-112</t>
        </is>
      </c>
      <c r="L137" s="29" t="inlineStr">
        <is>
          <t>Sobhan Pramanik</t>
        </is>
      </c>
      <c r="M137" s="29" t="inlineStr">
        <is>
          <t>IRIS2358</t>
        </is>
      </c>
      <c r="N137" s="29" t="n">
        <v>3</v>
      </c>
      <c r="O137" s="29" t="n">
        <v>1.6</v>
      </c>
      <c r="P137" s="29" t="inlineStr">
        <is>
          <t>MBA</t>
        </is>
      </c>
      <c r="Q137" s="29" t="inlineStr">
        <is>
          <t>L3 – Professional / Associate</t>
        </is>
      </c>
      <c r="R137" s="29" t="inlineStr">
        <is>
          <t>A3</t>
        </is>
      </c>
      <c r="S137" s="30" t="inlineStr">
        <is>
          <t>20 of 20</t>
        </is>
      </c>
      <c r="T137" s="31" t="inlineStr">
        <is>
          <t>• This role creates engaging content across multiple formats and channels to strengthen brand presence and engage audiences.</t>
        </is>
      </c>
      <c r="U137" s="32" t="inlineStr">
        <is>
          <t>KRAs not received · manager to supply</t>
        </is>
      </c>
      <c r="V137" s="31" t="inlineStr">
        <is>
          <t>Latest rating: 4 · Potential: Medium · 9-box: High Impact / Growth Talent · Readiness: Ready in 6–12 months</t>
        </is>
      </c>
      <c r="W137" s="31" t="inlineStr">
        <is>
          <t>C M · Au M · Ac M · L L · BI M · Exp M · 3 yrs vs 2–4 yrs · Edu H · MBA</t>
        </is>
      </c>
      <c r="X137" s="33" t="inlineStr">
        <is>
          <t>Open ▸</t>
        </is>
      </c>
      <c r="Y137" s="34" t="str">
        <f>IFERROR(INDEX(DL_C,MATCH($CA137,DL_KEY,0)),"M")</f>
        <v>H</v>
      </c>
      <c r="Z137" s="35" t="str">
        <f>IFERROR(INDEX(DL_Au,MATCH($CA137,DL_KEY,0)),"M")</f>
        <v>M</v>
      </c>
      <c r="AA137" s="35" t="str">
        <f>IFERROR(INDEX(DL_Ac,MATCH($CA137,DL_KEY,0)),"M")</f>
        <v>L</v>
      </c>
      <c r="AB137" s="35" t="str">
        <f>IFERROR(INDEX(DL_L,MATCH($CA137,DL_KEY,0)),"M")</f>
        <v>L</v>
      </c>
      <c r="AC137" s="35" t="str">
        <f>IFERROR(INDEX(DL_BI,MATCH($CA137,DL_KEY,0)),"M")</f>
        <v>M</v>
      </c>
      <c r="AD137" s="35" t="str">
        <f>IFERROR(INDEX(DL_Exp,MATCH($CA137,DL_KEY,0)),"M")</f>
        <v>L</v>
      </c>
      <c r="AE137" s="35" t="str">
        <f>IFERROR(INDEX(DL_Edu,MATCH($CA137,DL_KEY,0)),"M")</f>
        <v>L</v>
      </c>
      <c r="AF137" s="34" t="inlineStr">
        <is>
          <t>M</t>
        </is>
      </c>
      <c r="AG137" s="35" t="inlineStr">
        <is>
          <t>M</t>
        </is>
      </c>
      <c r="AH137" s="35" t="inlineStr">
        <is>
          <t>M</t>
        </is>
      </c>
      <c r="AI137" s="35" t="inlineStr">
        <is>
          <t>M</t>
        </is>
      </c>
      <c r="AJ137" s="35" t="inlineStr">
        <is>
          <t>M</t>
        </is>
      </c>
      <c r="AK137" s="35" t="inlineStr">
        <is>
          <t>M</t>
        </is>
      </c>
      <c r="AL137" s="35" t="inlineStr">
        <is>
          <t>M</t>
        </is>
      </c>
      <c r="AM137" s="36" t="n">
        <v>0.583</v>
      </c>
      <c r="AN137" s="37" t="n">
        <v>0.16</v>
      </c>
      <c r="AO137" s="37" t="n">
        <v>0.09</v>
      </c>
      <c r="AP137" s="37" t="n">
        <v>0</v>
      </c>
      <c r="AQ137" s="37" t="n">
        <v>0.063</v>
      </c>
      <c r="AR137" s="37" t="n">
        <v>0.06</v>
      </c>
      <c r="AS137" s="37" t="n">
        <v>0.04</v>
      </c>
      <c r="AT137" s="38" t="inlineStr">
        <is>
          <t>2–5</t>
        </is>
      </c>
      <c r="AU137" s="38" t="inlineStr">
        <is>
          <t>Graduate; relevant certification preferred</t>
        </is>
      </c>
      <c r="AV137" s="38" t="inlineStr">
        <is>
          <t>None · guides 1–3 juniors informally</t>
        </is>
      </c>
      <c r="AW137" s="38" t="inlineStr">
        <is>
          <t>P2 · SFIA 3 Apply</t>
        </is>
      </c>
      <c r="AX1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7" s="39" t="inlineStr">
        <is>
          <t>A3</t>
        </is>
      </c>
      <c r="AZ137" s="40" t="inlineStr">
        <is>
          <t>Band A · Practitioner · Senior Associate</t>
        </is>
      </c>
      <c r="BA137" s="40" t="inlineStr">
        <is>
          <t>Model A3 from the six ratings, the market-derived weights and rules R1–R13 · then No change · already below the manager</t>
        </is>
      </c>
      <c r="BB137" s="41" t="inlineStr">
        <is>
          <t>A3</t>
        </is>
      </c>
      <c r="BC137" s="40" t="inlineStr">
        <is>
          <t>The six ratings on the market-average weights of Band A · all tracks score 2.63 → A3 · Hay, Mercer IPE and public plans · experience 3 yrs vs the A3 market range 2–5</t>
        </is>
      </c>
      <c r="BD137" s="42">
        <f>IF(SUM(BM137,BN137,BO137,BP137,BQ137,BR137,BS137)=0,0,(BM137*BT137+BN137*BU137+BO137*BV137+BP137*BW137+BQ137*BX137+BR137*BY137+BS137*BZ137)/SUM(BM137,BN137,BO137,BP137,BQ137,BR137,BS137))</f>
        <v>0</v>
      </c>
      <c r="BE137" s="41" t="str">
        <f>IF(LEFT(AY137,1)="X",AY137,IF(OR(AY137="B+",AY137="C+"),INDEX(LAD_PC,MAX(1,MIN(14,MATCH(AY137,LAD_PC,0)+IF(BD137&gt;=0.5,1,IF(BD137&lt;=-0.5,-1,0))))),INDEX(LAD_STD,MAX(1,MIN(12,MATCH(AY137,LAD_STD,0)+IF(BD137&gt;=0.5,1,IF(BD137&lt;=-0.5,-1,0)))))))</f>
        <v>A3</v>
      </c>
      <c r="BF137" s="43" t="n"/>
      <c r="BG137" s="41" t="str">
        <f>IF(BF137&lt;&gt;"",BF137,BE137)</f>
        <v>A3</v>
      </c>
      <c r="BH137" s="40" t="str">
        <f>IFERROR(CHOOSE(INDEX(B_RANK,MATCH(BG137,B_LVL,0)),"Band A","Band B","B+ · Player-Coach","Band C","C+ · Player-Coach","Band D","Band E"),"Band X · Consultant")</f>
        <v>Band A</v>
      </c>
      <c r="BI137" s="40" t="str">
        <f>IF(BG137=AY137,"• Same",IF(INDEX(B_VAL,MATCH(BG137,B_LVL,0))&gt;INDEX(B_VAL,MATCH(AY137,B_LVL,0)),"▲ Up","▼ Down"))</f>
        <v>• Same</v>
      </c>
      <c r="BJ137" s="40" t="str">
        <f>IF(OR($M137="",$M137="—",$M137="Not in this file"),"",IFERROR(INDEX($BG$7:$BG$592,MATCH($M137,$D$7:$D$592,0)),""))</f>
        <v>B2</v>
      </c>
      <c r="BK137" s="40" t="str">
        <f>IFERROR(IF(BJ137="","—",IF(OR(LEFT(BG137,1)="X",LEFT(BJ137,1)="X"),"—",IF(AND(LEFT(BG137,1)="E",LEFT(BJ137,1)="E"),"Exception · Band E",IF(AND(INDEX(B_VAL,MATCH(BJ137,B_LVL,0))&gt;=7,INDEX(B_RANK,MATCH(BG137,B_LVL,0))&gt;=INDEX(B_RANK,MATCH(BJ137,B_LVL,0))),"⚠ Same band as a head manager",IF(INDEX(B_VAL,MATCH(BG137,B_LVL,0))&gt;=INDEX(B_VAL,MATCH(BJ137,B_LVL,0)),"⚠ At or above the manager's level","OK"))))),"—")</f>
        <v>OK</v>
      </c>
      <c r="BL137" s="43" t="n"/>
      <c r="BM137" s="44">
        <f>IFERROR(INDEX(LMH_PTS,MATCH(Y137,LMH_KEY,0)),0)</f>
        <v>9</v>
      </c>
      <c r="BN137" s="38">
        <f>IFERROR(INDEX(LMH_PTS,MATCH(Z137,LMH_KEY,0)),0)</f>
        <v>3</v>
      </c>
      <c r="BO137" s="38">
        <f>IFERROR(INDEX(LMH_PTS,MATCH(AA137,LMH_KEY,0)),0)</f>
        <v>1</v>
      </c>
      <c r="BP137" s="38">
        <f>IFERROR(INDEX(LMH_PTS,MATCH(AB137,LMH_KEY,0)),0)</f>
        <v>1</v>
      </c>
      <c r="BQ137" s="38">
        <f>IFERROR(INDEX(LMH_PTS,MATCH(AC137,LMH_KEY,0)),0)</f>
        <v>3</v>
      </c>
      <c r="BR137" s="38">
        <f>IFERROR(INDEX(LMH_PTS,MATCH(AD137,LMH_KEY,0)),0)</f>
        <v>1</v>
      </c>
      <c r="BS137" s="38">
        <f>IFERROR(INDEX(LMH_PTS,MATCH(AE137,LMH_KEY,0)),0)</f>
        <v>1</v>
      </c>
      <c r="BT137" s="38">
        <f>IFERROR(INDEX(LMH_STEP,MATCH(AF137,LMH_KEY,0)),0)</f>
        <v>0</v>
      </c>
      <c r="BU137" s="38">
        <f>IFERROR(INDEX(LMH_STEP,MATCH(AG137,LMH_KEY,0)),0)</f>
        <v>0</v>
      </c>
      <c r="BV137" s="38">
        <f>IFERROR(INDEX(LMH_STEP,MATCH(AH137,LMH_KEY,0)),0)</f>
        <v>0</v>
      </c>
      <c r="BW137" s="38">
        <f>IFERROR(INDEX(LMH_STEP,MATCH(AI137,LMH_KEY,0)),0)</f>
        <v>0</v>
      </c>
      <c r="BX137" s="38">
        <f>IFERROR(INDEX(LMH_STEP,MATCH(AJ137,LMH_KEY,0)),0)</f>
        <v>0</v>
      </c>
      <c r="BY137" s="38">
        <f>IFERROR(INDEX(LMH_STEP,MATCH(AK137,LMH_KEY,0)),0)</f>
        <v>0</v>
      </c>
      <c r="BZ137" s="38">
        <f>IFERROR(INDEX(LMH_STEP,MATCH(AL137,LMH_KEY,0)),0)</f>
        <v>0</v>
      </c>
      <c r="CA137" s="38" t="inlineStr">
        <is>
          <t>CARBON|Marketing|Senior Content Marketing Associate|A3|A</t>
        </is>
      </c>
    </row>
    <row r="138" ht="110" customHeight="1">
      <c r="A138" s="28" t="inlineStr">
        <is>
          <t>CARBON</t>
        </is>
      </c>
      <c r="B138" s="29" t="inlineStr">
        <is>
          <t>Marketing</t>
        </is>
      </c>
      <c r="C138" s="29" t="n">
        <v>5</v>
      </c>
      <c r="D138" s="29" t="inlineStr">
        <is>
          <t>IRIS2005</t>
        </is>
      </c>
      <c r="E138" s="29" t="inlineStr">
        <is>
          <t>Danish Baksh</t>
        </is>
      </c>
      <c r="F138" s="29" t="inlineStr">
        <is>
          <t>Marketing Web Developer</t>
        </is>
      </c>
      <c r="G138" s="29" t="inlineStr">
        <is>
          <t>Senior Digital Marketing Associate</t>
        </is>
      </c>
      <c r="H138" s="29" t="inlineStr">
        <is>
          <t>Marketing &amp; Communications</t>
        </is>
      </c>
      <c r="I138" s="29" t="inlineStr">
        <is>
          <t>Digital Marketing, Web &amp; Social</t>
        </is>
      </c>
      <c r="J138" s="29" t="inlineStr">
        <is>
          <t>IC</t>
        </is>
      </c>
      <c r="K138" s="29" t="inlineStr">
        <is>
          <t>RC-117</t>
        </is>
      </c>
      <c r="L138" s="29" t="inlineStr">
        <is>
          <t>Sobhan Pramanik</t>
        </is>
      </c>
      <c r="M138" s="29" t="inlineStr">
        <is>
          <t>IRIS2358</t>
        </is>
      </c>
      <c r="N138" s="29" t="n">
        <v>10.5</v>
      </c>
      <c r="O138" s="29" t="n">
        <v>4.5</v>
      </c>
      <c r="P138" s="29" t="inlineStr">
        <is>
          <t>B.E</t>
        </is>
      </c>
      <c r="Q138" s="29" t="inlineStr">
        <is>
          <t>L3 – Professional / Associate</t>
        </is>
      </c>
      <c r="R138" s="29" t="inlineStr">
        <is>
          <t>A3</t>
        </is>
      </c>
      <c r="S138" s="30" t="inlineStr">
        <is>
          <t>20 of 20</t>
        </is>
      </c>
      <c r="T138" s="31" t="inlineStr">
        <is>
          <t>• This role builds, runs and optimises websites to attract visitors and convert them into customers.</t>
        </is>
      </c>
      <c r="U138" s="31" t="inlineStr">
        <is>
          <t>Received · manager annual · 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t>
        </is>
      </c>
      <c r="V138" s="31" t="inlineStr">
        <is>
          <t>Latest rating: 3 · Potential: Medium · 9-box: Reliable Specialist · Readiness: Develop in role</t>
        </is>
      </c>
      <c r="W138" s="31" t="inlineStr">
        <is>
          <t>C M · Au M · Ac M · L L · BI M · Exp H · 10.5 yrs vs 2–4 yrs · Edu M · B.E</t>
        </is>
      </c>
      <c r="X138" s="33" t="inlineStr">
        <is>
          <t>Open ▸</t>
        </is>
      </c>
      <c r="Y138" s="34" t="str">
        <f>IFERROR(INDEX(DL_C,MATCH($CA138,DL_KEY,0)),"M")</f>
        <v>H</v>
      </c>
      <c r="Z138" s="35" t="str">
        <f>IFERROR(INDEX(DL_Au,MATCH($CA138,DL_KEY,0)),"M")</f>
        <v>M</v>
      </c>
      <c r="AA138" s="35" t="str">
        <f>IFERROR(INDEX(DL_Ac,MATCH($CA138,DL_KEY,0)),"M")</f>
        <v>L</v>
      </c>
      <c r="AB138" s="35" t="str">
        <f>IFERROR(INDEX(DL_L,MATCH($CA138,DL_KEY,0)),"M")</f>
        <v>L</v>
      </c>
      <c r="AC138" s="35" t="str">
        <f>IFERROR(INDEX(DL_BI,MATCH($CA138,DL_KEY,0)),"M")</f>
        <v>M</v>
      </c>
      <c r="AD138" s="35" t="str">
        <f>IFERROR(INDEX(DL_Exp,MATCH($CA138,DL_KEY,0)),"M")</f>
        <v>L</v>
      </c>
      <c r="AE138" s="35" t="str">
        <f>IFERROR(INDEX(DL_Edu,MATCH($CA138,DL_KEY,0)),"M")</f>
        <v>L</v>
      </c>
      <c r="AF138" s="34" t="inlineStr">
        <is>
          <t>M</t>
        </is>
      </c>
      <c r="AG138" s="35" t="inlineStr">
        <is>
          <t>M</t>
        </is>
      </c>
      <c r="AH138" s="35" t="inlineStr">
        <is>
          <t>M</t>
        </is>
      </c>
      <c r="AI138" s="35" t="inlineStr">
        <is>
          <t>M</t>
        </is>
      </c>
      <c r="AJ138" s="35" t="inlineStr">
        <is>
          <t>M</t>
        </is>
      </c>
      <c r="AK138" s="35" t="inlineStr">
        <is>
          <t>M</t>
        </is>
      </c>
      <c r="AL138" s="35" t="inlineStr">
        <is>
          <t>M</t>
        </is>
      </c>
      <c r="AM138" s="36" t="n">
        <v>0.583</v>
      </c>
      <c r="AN138" s="37" t="n">
        <v>0.16</v>
      </c>
      <c r="AO138" s="37" t="n">
        <v>0.09</v>
      </c>
      <c r="AP138" s="37" t="n">
        <v>0</v>
      </c>
      <c r="AQ138" s="37" t="n">
        <v>0.063</v>
      </c>
      <c r="AR138" s="37" t="n">
        <v>0.06</v>
      </c>
      <c r="AS138" s="37" t="n">
        <v>0.04</v>
      </c>
      <c r="AT138" s="38" t="inlineStr">
        <is>
          <t>2–5</t>
        </is>
      </c>
      <c r="AU138" s="38" t="inlineStr">
        <is>
          <t>Graduate; relevant certification preferred</t>
        </is>
      </c>
      <c r="AV138" s="38" t="inlineStr">
        <is>
          <t>None · guides 1–3 juniors informally</t>
        </is>
      </c>
      <c r="AW138" s="38" t="inlineStr">
        <is>
          <t>P2 · SFIA 3 Apply</t>
        </is>
      </c>
      <c r="AX1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8" s="39" t="inlineStr">
        <is>
          <t>A3</t>
        </is>
      </c>
      <c r="AZ138" s="40" t="inlineStr">
        <is>
          <t>Band A · Practitioner · Senior Associate</t>
        </is>
      </c>
      <c r="BA138" s="40" t="inlineStr">
        <is>
          <t>Model A3 from the six ratings, the market-derived weights and rules R1–R13 · then No change · already below the manager</t>
        </is>
      </c>
      <c r="BB138" s="41" t="inlineStr">
        <is>
          <t>A3</t>
        </is>
      </c>
      <c r="BC138" s="40" t="inlineStr">
        <is>
          <t>The six ratings on the market-average weights of Band A · all tracks score 3.30 → A3 · Hay, Mercer IPE and public plans · experience 10.5 yrs vs the A3 market range 2–5</t>
        </is>
      </c>
      <c r="BD138" s="42">
        <f>IF(SUM(BM138,BN138,BO138,BP138,BQ138,BR138,BS138)=0,0,(BM138*BT138+BN138*BU138+BO138*BV138+BP138*BW138+BQ138*BX138+BR138*BY138+BS138*BZ138)/SUM(BM138,BN138,BO138,BP138,BQ138,BR138,BS138))</f>
        <v>0</v>
      </c>
      <c r="BE138" s="41" t="str">
        <f>IF(LEFT(AY138,1)="X",AY138,IF(OR(AY138="B+",AY138="C+"),INDEX(LAD_PC,MAX(1,MIN(14,MATCH(AY138,LAD_PC,0)+IF(BD138&gt;=0.5,1,IF(BD138&lt;=-0.5,-1,0))))),INDEX(LAD_STD,MAX(1,MIN(12,MATCH(AY138,LAD_STD,0)+IF(BD138&gt;=0.5,1,IF(BD138&lt;=-0.5,-1,0)))))))</f>
        <v>A3</v>
      </c>
      <c r="BF138" s="43" t="n"/>
      <c r="BG138" s="41" t="str">
        <f>IF(BF138&lt;&gt;"",BF138,BE138)</f>
        <v>A3</v>
      </c>
      <c r="BH138" s="40" t="str">
        <f>IFERROR(CHOOSE(INDEX(B_RANK,MATCH(BG138,B_LVL,0)),"Band A","Band B","B+ · Player-Coach","Band C","C+ · Player-Coach","Band D","Band E"),"Band X · Consultant")</f>
        <v>Band A</v>
      </c>
      <c r="BI138" s="40" t="str">
        <f>IF(BG138=AY138,"• Same",IF(INDEX(B_VAL,MATCH(BG138,B_LVL,0))&gt;INDEX(B_VAL,MATCH(AY138,B_LVL,0)),"▲ Up","▼ Down"))</f>
        <v>• Same</v>
      </c>
      <c r="BJ138" s="40" t="str">
        <f>IF(OR($M138="",$M138="—",$M138="Not in this file"),"",IFERROR(INDEX($BG$7:$BG$592,MATCH($M138,$D$7:$D$592,0)),""))</f>
        <v>B2</v>
      </c>
      <c r="BK138" s="40" t="str">
        <f>IFERROR(IF(BJ138="","—",IF(OR(LEFT(BG138,1)="X",LEFT(BJ138,1)="X"),"—",IF(AND(LEFT(BG138,1)="E",LEFT(BJ138,1)="E"),"Exception · Band E",IF(AND(INDEX(B_VAL,MATCH(BJ138,B_LVL,0))&gt;=7,INDEX(B_RANK,MATCH(BG138,B_LVL,0))&gt;=INDEX(B_RANK,MATCH(BJ138,B_LVL,0))),"⚠ Same band as a head manager",IF(INDEX(B_VAL,MATCH(BG138,B_LVL,0))&gt;=INDEX(B_VAL,MATCH(BJ138,B_LVL,0)),"⚠ At or above the manager's level","OK"))))),"—")</f>
        <v>OK</v>
      </c>
      <c r="BL138" s="43" t="n"/>
      <c r="BM138" s="44">
        <f>IFERROR(INDEX(LMH_PTS,MATCH(Y138,LMH_KEY,0)),0)</f>
        <v>9</v>
      </c>
      <c r="BN138" s="38">
        <f>IFERROR(INDEX(LMH_PTS,MATCH(Z138,LMH_KEY,0)),0)</f>
        <v>3</v>
      </c>
      <c r="BO138" s="38">
        <f>IFERROR(INDEX(LMH_PTS,MATCH(AA138,LMH_KEY,0)),0)</f>
        <v>1</v>
      </c>
      <c r="BP138" s="38">
        <f>IFERROR(INDEX(LMH_PTS,MATCH(AB138,LMH_KEY,0)),0)</f>
        <v>1</v>
      </c>
      <c r="BQ138" s="38">
        <f>IFERROR(INDEX(LMH_PTS,MATCH(AC138,LMH_KEY,0)),0)</f>
        <v>3</v>
      </c>
      <c r="BR138" s="38">
        <f>IFERROR(INDEX(LMH_PTS,MATCH(AD138,LMH_KEY,0)),0)</f>
        <v>1</v>
      </c>
      <c r="BS138" s="38">
        <f>IFERROR(INDEX(LMH_PTS,MATCH(AE138,LMH_KEY,0)),0)</f>
        <v>1</v>
      </c>
      <c r="BT138" s="38">
        <f>IFERROR(INDEX(LMH_STEP,MATCH(AF138,LMH_KEY,0)),0)</f>
        <v>0</v>
      </c>
      <c r="BU138" s="38">
        <f>IFERROR(INDEX(LMH_STEP,MATCH(AG138,LMH_KEY,0)),0)</f>
        <v>0</v>
      </c>
      <c r="BV138" s="38">
        <f>IFERROR(INDEX(LMH_STEP,MATCH(AH138,LMH_KEY,0)),0)</f>
        <v>0</v>
      </c>
      <c r="BW138" s="38">
        <f>IFERROR(INDEX(LMH_STEP,MATCH(AI138,LMH_KEY,0)),0)</f>
        <v>0</v>
      </c>
      <c r="BX138" s="38">
        <f>IFERROR(INDEX(LMH_STEP,MATCH(AJ138,LMH_KEY,0)),0)</f>
        <v>0</v>
      </c>
      <c r="BY138" s="38">
        <f>IFERROR(INDEX(LMH_STEP,MATCH(AK138,LMH_KEY,0)),0)</f>
        <v>0</v>
      </c>
      <c r="BZ138" s="38">
        <f>IFERROR(INDEX(LMH_STEP,MATCH(AL138,LMH_KEY,0)),0)</f>
        <v>0</v>
      </c>
      <c r="CA138" s="38" t="inlineStr">
        <is>
          <t>CARBON|Marketing|Senior Digital Marketing Associate|A3|A</t>
        </is>
      </c>
    </row>
    <row r="139" ht="110" customHeight="1">
      <c r="A139" s="28" t="inlineStr">
        <is>
          <t>CARBON</t>
        </is>
      </c>
      <c r="B139" s="29" t="inlineStr">
        <is>
          <t>Marketing</t>
        </is>
      </c>
      <c r="C139" s="29" t="n">
        <v>5</v>
      </c>
      <c r="D139" s="29" t="inlineStr">
        <is>
          <t>IRIS2541</t>
        </is>
      </c>
      <c r="E139" s="29" t="inlineStr">
        <is>
          <t>Aakansha Gupta</t>
        </is>
      </c>
      <c r="F139" s="29" t="inlineStr">
        <is>
          <t>Marketing Associate</t>
        </is>
      </c>
      <c r="G139" s="29" t="inlineStr">
        <is>
          <t>Content Marketing Associate</t>
        </is>
      </c>
      <c r="H139" s="29" t="inlineStr">
        <is>
          <t>Marketing &amp; Communications</t>
        </is>
      </c>
      <c r="I139" s="29" t="inlineStr">
        <is>
          <t>Content Marketing</t>
        </is>
      </c>
      <c r="J139" s="29" t="inlineStr">
        <is>
          <t>IC</t>
        </is>
      </c>
      <c r="K139" s="29" t="inlineStr">
        <is>
          <t>RC-111</t>
        </is>
      </c>
      <c r="L139" s="29" t="inlineStr">
        <is>
          <t>Sobhan Pramanik</t>
        </is>
      </c>
      <c r="M139" s="29" t="inlineStr">
        <is>
          <t>IRIS2358</t>
        </is>
      </c>
      <c r="N139" s="29" t="n">
        <v>0.3</v>
      </c>
      <c r="O139" s="29" t="n">
        <v>0.3</v>
      </c>
      <c r="P139" s="29" t="inlineStr">
        <is>
          <t>BBA.LLB</t>
        </is>
      </c>
      <c r="Q139" s="29" t="inlineStr">
        <is>
          <t>Not in current mapping files</t>
        </is>
      </c>
      <c r="R139" s="29" t="inlineStr">
        <is>
          <t>A2</t>
        </is>
      </c>
      <c r="S139" s="30" t="inlineStr">
        <is>
          <t>20 of 20</t>
        </is>
      </c>
      <c r="T139" s="31" t="inlineStr">
        <is>
          <t>• This role creates content for products being sold and promotes it through social media.</t>
        </is>
      </c>
      <c r="U139" s="32" t="inlineStr">
        <is>
          <t>KRAs not received · manager to supply</t>
        </is>
      </c>
      <c r="V139" s="31" t="inlineStr">
        <is>
          <t>Latest rating: Not rated · manager · 9-box: Not placed · manager · Readiness: No rating data</t>
        </is>
      </c>
      <c r="W139" s="31" t="inlineStr">
        <is>
          <t>C M · Au M · Ac M · L L · BI M · Exp M · 0.3 yrs vs 0–2 yrs · Edu H · BBA.LLB</t>
        </is>
      </c>
      <c r="X139" s="33" t="inlineStr">
        <is>
          <t>Open ▸</t>
        </is>
      </c>
      <c r="Y139" s="34" t="str">
        <f>IFERROR(INDEX(DL_C,MATCH($CA139,DL_KEY,0)),"M")</f>
        <v>H</v>
      </c>
      <c r="Z139" s="35" t="str">
        <f>IFERROR(INDEX(DL_Au,MATCH($CA139,DL_KEY,0)),"M")</f>
        <v>M</v>
      </c>
      <c r="AA139" s="35" t="str">
        <f>IFERROR(INDEX(DL_Ac,MATCH($CA139,DL_KEY,0)),"M")</f>
        <v>L</v>
      </c>
      <c r="AB139" s="35" t="str">
        <f>IFERROR(INDEX(DL_L,MATCH($CA139,DL_KEY,0)),"M")</f>
        <v>L</v>
      </c>
      <c r="AC139" s="35" t="str">
        <f>IFERROR(INDEX(DL_BI,MATCH($CA139,DL_KEY,0)),"M")</f>
        <v>M</v>
      </c>
      <c r="AD139" s="35" t="str">
        <f>IFERROR(INDEX(DL_Exp,MATCH($CA139,DL_KEY,0)),"M")</f>
        <v>L</v>
      </c>
      <c r="AE139" s="35" t="str">
        <f>IFERROR(INDEX(DL_Edu,MATCH($CA139,DL_KEY,0)),"M")</f>
        <v>L</v>
      </c>
      <c r="AF139" s="34" t="inlineStr">
        <is>
          <t>M</t>
        </is>
      </c>
      <c r="AG139" s="35" t="inlineStr">
        <is>
          <t>M</t>
        </is>
      </c>
      <c r="AH139" s="35" t="inlineStr">
        <is>
          <t>M</t>
        </is>
      </c>
      <c r="AI139" s="35" t="inlineStr">
        <is>
          <t>M</t>
        </is>
      </c>
      <c r="AJ139" s="35" t="inlineStr">
        <is>
          <t>M</t>
        </is>
      </c>
      <c r="AK139" s="35" t="inlineStr">
        <is>
          <t>M</t>
        </is>
      </c>
      <c r="AL139" s="35" t="inlineStr">
        <is>
          <t>M</t>
        </is>
      </c>
      <c r="AM139" s="36" t="n">
        <v>0.583</v>
      </c>
      <c r="AN139" s="37" t="n">
        <v>0.16</v>
      </c>
      <c r="AO139" s="37" t="n">
        <v>0.09</v>
      </c>
      <c r="AP139" s="37" t="n">
        <v>0</v>
      </c>
      <c r="AQ139" s="37" t="n">
        <v>0.063</v>
      </c>
      <c r="AR139" s="37" t="n">
        <v>0.06</v>
      </c>
      <c r="AS139" s="37" t="n">
        <v>0.04</v>
      </c>
      <c r="AT139" s="38" t="inlineStr">
        <is>
          <t>0–3</t>
        </is>
      </c>
      <c r="AU139" s="38" t="inlineStr">
        <is>
          <t>Graduate · or diploma with experience</t>
        </is>
      </c>
      <c r="AV139" s="38" t="inlineStr">
        <is>
          <t>No direct reports</t>
        </is>
      </c>
      <c r="AW139" s="38" t="inlineStr">
        <is>
          <t>P1–P2 · SFIA 2 Assist</t>
        </is>
      </c>
      <c r="AX1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9" s="39" t="inlineStr">
        <is>
          <t>A2</t>
        </is>
      </c>
      <c r="AZ139" s="40" t="inlineStr">
        <is>
          <t>Band A · Practitioner · Associate</t>
        </is>
      </c>
      <c r="BA139" s="40" t="inlineStr">
        <is>
          <t>Model A2 from the six ratings, the market-derived weights and rules R1–R13 · then No change · already below the manager</t>
        </is>
      </c>
      <c r="BB139" s="41" t="inlineStr">
        <is>
          <t>A2</t>
        </is>
      </c>
      <c r="BC139" s="40" t="inlineStr">
        <is>
          <t>The six ratings on the market-average weights of Band A · all tracks score 2.05 → A2 · Hay, Mercer IPE and public plans · experience 0.3 yrs vs the A2 market range 0–3</t>
        </is>
      </c>
      <c r="BD139" s="42">
        <f>IF(SUM(BM139,BN139,BO139,BP139,BQ139,BR139,BS139)=0,0,(BM139*BT139+BN139*BU139+BO139*BV139+BP139*BW139+BQ139*BX139+BR139*BY139+BS139*BZ139)/SUM(BM139,BN139,BO139,BP139,BQ139,BR139,BS139))</f>
        <v>0</v>
      </c>
      <c r="BE139" s="41" t="str">
        <f>IF(LEFT(AY139,1)="X",AY139,IF(OR(AY139="B+",AY139="C+"),INDEX(LAD_PC,MAX(1,MIN(14,MATCH(AY139,LAD_PC,0)+IF(BD139&gt;=0.5,1,IF(BD139&lt;=-0.5,-1,0))))),INDEX(LAD_STD,MAX(1,MIN(12,MATCH(AY139,LAD_STD,0)+IF(BD139&gt;=0.5,1,IF(BD139&lt;=-0.5,-1,0)))))))</f>
        <v>A2</v>
      </c>
      <c r="BF139" s="43" t="n"/>
      <c r="BG139" s="41" t="str">
        <f>IF(BF139&lt;&gt;"",BF139,BE139)</f>
        <v>A2</v>
      </c>
      <c r="BH139" s="40" t="str">
        <f>IFERROR(CHOOSE(INDEX(B_RANK,MATCH(BG139,B_LVL,0)),"Band A","Band B","B+ · Player-Coach","Band C","C+ · Player-Coach","Band D","Band E"),"Band X · Consultant")</f>
        <v>Band A</v>
      </c>
      <c r="BI139" s="40" t="str">
        <f>IF(BG139=AY139,"• Same",IF(INDEX(B_VAL,MATCH(BG139,B_LVL,0))&gt;INDEX(B_VAL,MATCH(AY139,B_LVL,0)),"▲ Up","▼ Down"))</f>
        <v>• Same</v>
      </c>
      <c r="BJ139" s="40" t="str">
        <f>IF(OR($M139="",$M139="—",$M139="Not in this file"),"",IFERROR(INDEX($BG$7:$BG$592,MATCH($M139,$D$7:$D$592,0)),""))</f>
        <v>B2</v>
      </c>
      <c r="BK139" s="40" t="str">
        <f>IFERROR(IF(BJ139="","—",IF(OR(LEFT(BG139,1)="X",LEFT(BJ139,1)="X"),"—",IF(AND(LEFT(BG139,1)="E",LEFT(BJ139,1)="E"),"Exception · Band E",IF(AND(INDEX(B_VAL,MATCH(BJ139,B_LVL,0))&gt;=7,INDEX(B_RANK,MATCH(BG139,B_LVL,0))&gt;=INDEX(B_RANK,MATCH(BJ139,B_LVL,0))),"⚠ Same band as a head manager",IF(INDEX(B_VAL,MATCH(BG139,B_LVL,0))&gt;=INDEX(B_VAL,MATCH(BJ139,B_LVL,0)),"⚠ At or above the manager's level","OK"))))),"—")</f>
        <v>OK</v>
      </c>
      <c r="BL139" s="43" t="n"/>
      <c r="BM139" s="44">
        <f>IFERROR(INDEX(LMH_PTS,MATCH(Y139,LMH_KEY,0)),0)</f>
        <v>9</v>
      </c>
      <c r="BN139" s="38">
        <f>IFERROR(INDEX(LMH_PTS,MATCH(Z139,LMH_KEY,0)),0)</f>
        <v>3</v>
      </c>
      <c r="BO139" s="38">
        <f>IFERROR(INDEX(LMH_PTS,MATCH(AA139,LMH_KEY,0)),0)</f>
        <v>1</v>
      </c>
      <c r="BP139" s="38">
        <f>IFERROR(INDEX(LMH_PTS,MATCH(AB139,LMH_KEY,0)),0)</f>
        <v>1</v>
      </c>
      <c r="BQ139" s="38">
        <f>IFERROR(INDEX(LMH_PTS,MATCH(AC139,LMH_KEY,0)),0)</f>
        <v>3</v>
      </c>
      <c r="BR139" s="38">
        <f>IFERROR(INDEX(LMH_PTS,MATCH(AD139,LMH_KEY,0)),0)</f>
        <v>1</v>
      </c>
      <c r="BS139" s="38">
        <f>IFERROR(INDEX(LMH_PTS,MATCH(AE139,LMH_KEY,0)),0)</f>
        <v>1</v>
      </c>
      <c r="BT139" s="38">
        <f>IFERROR(INDEX(LMH_STEP,MATCH(AF139,LMH_KEY,0)),0)</f>
        <v>0</v>
      </c>
      <c r="BU139" s="38">
        <f>IFERROR(INDEX(LMH_STEP,MATCH(AG139,LMH_KEY,0)),0)</f>
        <v>0</v>
      </c>
      <c r="BV139" s="38">
        <f>IFERROR(INDEX(LMH_STEP,MATCH(AH139,LMH_KEY,0)),0)</f>
        <v>0</v>
      </c>
      <c r="BW139" s="38">
        <f>IFERROR(INDEX(LMH_STEP,MATCH(AI139,LMH_KEY,0)),0)</f>
        <v>0</v>
      </c>
      <c r="BX139" s="38">
        <f>IFERROR(INDEX(LMH_STEP,MATCH(AJ139,LMH_KEY,0)),0)</f>
        <v>0</v>
      </c>
      <c r="BY139" s="38">
        <f>IFERROR(INDEX(LMH_STEP,MATCH(AK139,LMH_KEY,0)),0)</f>
        <v>0</v>
      </c>
      <c r="BZ139" s="38">
        <f>IFERROR(INDEX(LMH_STEP,MATCH(AL139,LMH_KEY,0)),0)</f>
        <v>0</v>
      </c>
      <c r="CA139" s="38" t="inlineStr">
        <is>
          <t>CARBON|Marketing|Content Marketing Associate|A2|A</t>
        </is>
      </c>
    </row>
    <row r="140" ht="110" customHeight="1">
      <c r="A140" s="28" t="inlineStr">
        <is>
          <t>iDEAL</t>
        </is>
      </c>
      <c r="B140" s="29" t="inlineStr">
        <is>
          <t>Marketing</t>
        </is>
      </c>
      <c r="C140" s="29" t="n">
        <v>5</v>
      </c>
      <c r="D140" s="29" t="inlineStr">
        <is>
          <t>IRIS2511</t>
        </is>
      </c>
      <c r="E140" s="29" t="inlineStr">
        <is>
          <t>Muskan Jain</t>
        </is>
      </c>
      <c r="F140" s="29" t="inlineStr">
        <is>
          <t>Marketing Associate</t>
        </is>
      </c>
      <c r="G140" s="29" t="inlineStr">
        <is>
          <t>Content Marketing Associate</t>
        </is>
      </c>
      <c r="H140" s="29" t="inlineStr">
        <is>
          <t>Marketing &amp; Communications</t>
        </is>
      </c>
      <c r="I140" s="29" t="inlineStr">
        <is>
          <t>Content Marketing</t>
        </is>
      </c>
      <c r="J140" s="29" t="inlineStr">
        <is>
          <t>IC</t>
        </is>
      </c>
      <c r="K140" s="29" t="inlineStr">
        <is>
          <t>RC-111</t>
        </is>
      </c>
      <c r="L140" s="29" t="inlineStr">
        <is>
          <t>Sobhan Pramanik</t>
        </is>
      </c>
      <c r="M140" s="29" t="inlineStr">
        <is>
          <t>IRIS2358</t>
        </is>
      </c>
      <c r="N140" s="29" t="n">
        <v>0.4</v>
      </c>
      <c r="O140" s="29" t="n">
        <v>0.4</v>
      </c>
      <c r="P140" s="29" t="inlineStr">
        <is>
          <t>PGDM</t>
        </is>
      </c>
      <c r="Q140" s="29" t="inlineStr">
        <is>
          <t>L3 – Professional / Associate</t>
        </is>
      </c>
      <c r="R140" s="29" t="inlineStr">
        <is>
          <t>A2</t>
        </is>
      </c>
      <c r="S140" s="30" t="inlineStr">
        <is>
          <t>20 of 20</t>
        </is>
      </c>
      <c r="T140" s="31" t="inlineStr">
        <is>
          <t>• This role is intended to get the inbound leads through the website content and branding. That can be converted into full time clients.</t>
        </is>
      </c>
      <c r="U140" s="32" t="inlineStr">
        <is>
          <t>KRAs not received · manager to supply</t>
        </is>
      </c>
      <c r="V140" s="31" t="inlineStr">
        <is>
          <t>Latest rating: Not rated · manager · Potential: Medium · 9-box: Core Contributor · Readiness: Develop in role</t>
        </is>
      </c>
      <c r="W140" s="31" t="inlineStr">
        <is>
          <t>C M · Au M · Ac M · L L · BI M · Exp M · 0.4 yrs vs 0–2 yrs · Edu H · PGDM</t>
        </is>
      </c>
      <c r="X140" s="33" t="inlineStr">
        <is>
          <t>Open ▸</t>
        </is>
      </c>
      <c r="Y140" s="34" t="str">
        <f>IFERROR(INDEX(DL_C,MATCH($CA140,DL_KEY,0)),"M")</f>
        <v>H</v>
      </c>
      <c r="Z140" s="35" t="str">
        <f>IFERROR(INDEX(DL_Au,MATCH($CA140,DL_KEY,0)),"M")</f>
        <v>M</v>
      </c>
      <c r="AA140" s="35" t="str">
        <f>IFERROR(INDEX(DL_Ac,MATCH($CA140,DL_KEY,0)),"M")</f>
        <v>L</v>
      </c>
      <c r="AB140" s="35" t="str">
        <f>IFERROR(INDEX(DL_L,MATCH($CA140,DL_KEY,0)),"M")</f>
        <v>L</v>
      </c>
      <c r="AC140" s="35" t="str">
        <f>IFERROR(INDEX(DL_BI,MATCH($CA140,DL_KEY,0)),"M")</f>
        <v>M</v>
      </c>
      <c r="AD140" s="35" t="str">
        <f>IFERROR(INDEX(DL_Exp,MATCH($CA140,DL_KEY,0)),"M")</f>
        <v>L</v>
      </c>
      <c r="AE140" s="35" t="str">
        <f>IFERROR(INDEX(DL_Edu,MATCH($CA140,DL_KEY,0)),"M")</f>
        <v>L</v>
      </c>
      <c r="AF140" s="34" t="inlineStr">
        <is>
          <t>M</t>
        </is>
      </c>
      <c r="AG140" s="35" t="inlineStr">
        <is>
          <t>M</t>
        </is>
      </c>
      <c r="AH140" s="35" t="inlineStr">
        <is>
          <t>M</t>
        </is>
      </c>
      <c r="AI140" s="35" t="inlineStr">
        <is>
          <t>M</t>
        </is>
      </c>
      <c r="AJ140" s="35" t="inlineStr">
        <is>
          <t>M</t>
        </is>
      </c>
      <c r="AK140" s="35" t="inlineStr">
        <is>
          <t>M</t>
        </is>
      </c>
      <c r="AL140" s="35" t="inlineStr">
        <is>
          <t>M</t>
        </is>
      </c>
      <c r="AM140" s="36" t="n">
        <v>0.583</v>
      </c>
      <c r="AN140" s="37" t="n">
        <v>0.16</v>
      </c>
      <c r="AO140" s="37" t="n">
        <v>0.09</v>
      </c>
      <c r="AP140" s="37" t="n">
        <v>0</v>
      </c>
      <c r="AQ140" s="37" t="n">
        <v>0.063</v>
      </c>
      <c r="AR140" s="37" t="n">
        <v>0.06</v>
      </c>
      <c r="AS140" s="37" t="n">
        <v>0.04</v>
      </c>
      <c r="AT140" s="38" t="inlineStr">
        <is>
          <t>0–3</t>
        </is>
      </c>
      <c r="AU140" s="38" t="inlineStr">
        <is>
          <t>Graduate · or diploma with experience</t>
        </is>
      </c>
      <c r="AV140" s="38" t="inlineStr">
        <is>
          <t>No direct reports</t>
        </is>
      </c>
      <c r="AW140" s="38" t="inlineStr">
        <is>
          <t>P1–P2 · SFIA 2 Assist</t>
        </is>
      </c>
      <c r="AX1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0" s="39" t="inlineStr">
        <is>
          <t>A2</t>
        </is>
      </c>
      <c r="AZ140" s="40" t="inlineStr">
        <is>
          <t>Band A · Practitioner · Associate</t>
        </is>
      </c>
      <c r="BA140" s="40" t="inlineStr">
        <is>
          <t>Model A2 from the six ratings, the market-derived weights and rules R1–R13 · then No change · already below the manager</t>
        </is>
      </c>
      <c r="BB140" s="41" t="inlineStr">
        <is>
          <t>A2</t>
        </is>
      </c>
      <c r="BC140" s="40" t="inlineStr">
        <is>
          <t>The six ratings on the market-average weights of Band A · all tracks score 2.08 → A2 · Hay, Mercer IPE and public plans · experience 0.4 yrs vs the A2 market range 0–3</t>
        </is>
      </c>
      <c r="BD140" s="42">
        <f>IF(SUM(BM140,BN140,BO140,BP140,BQ140,BR140,BS140)=0,0,(BM140*BT140+BN140*BU140+BO140*BV140+BP140*BW140+BQ140*BX140+BR140*BY140+BS140*BZ140)/SUM(BM140,BN140,BO140,BP140,BQ140,BR140,BS140))</f>
        <v>0</v>
      </c>
      <c r="BE140" s="41" t="str">
        <f>IF(LEFT(AY140,1)="X",AY140,IF(OR(AY140="B+",AY140="C+"),INDEX(LAD_PC,MAX(1,MIN(14,MATCH(AY140,LAD_PC,0)+IF(BD140&gt;=0.5,1,IF(BD140&lt;=-0.5,-1,0))))),INDEX(LAD_STD,MAX(1,MIN(12,MATCH(AY140,LAD_STD,0)+IF(BD140&gt;=0.5,1,IF(BD140&lt;=-0.5,-1,0)))))))</f>
        <v>A2</v>
      </c>
      <c r="BF140" s="43" t="n"/>
      <c r="BG140" s="41" t="str">
        <f>IF(BF140&lt;&gt;"",BF140,BE140)</f>
        <v>A2</v>
      </c>
      <c r="BH140" s="40" t="str">
        <f>IFERROR(CHOOSE(INDEX(B_RANK,MATCH(BG140,B_LVL,0)),"Band A","Band B","B+ · Player-Coach","Band C","C+ · Player-Coach","Band D","Band E"),"Band X · Consultant")</f>
        <v>Band A</v>
      </c>
      <c r="BI140" s="40" t="str">
        <f>IF(BG140=AY140,"• Same",IF(INDEX(B_VAL,MATCH(BG140,B_LVL,0))&gt;INDEX(B_VAL,MATCH(AY140,B_LVL,0)),"▲ Up","▼ Down"))</f>
        <v>• Same</v>
      </c>
      <c r="BJ140" s="40" t="str">
        <f>IF(OR($M140="",$M140="—",$M140="Not in this file"),"",IFERROR(INDEX($BG$7:$BG$592,MATCH($M140,$D$7:$D$592,0)),""))</f>
        <v>B2</v>
      </c>
      <c r="BK140" s="40" t="str">
        <f>IFERROR(IF(BJ140="","—",IF(OR(LEFT(BG140,1)="X",LEFT(BJ140,1)="X"),"—",IF(AND(LEFT(BG140,1)="E",LEFT(BJ140,1)="E"),"Exception · Band E",IF(AND(INDEX(B_VAL,MATCH(BJ140,B_LVL,0))&gt;=7,INDEX(B_RANK,MATCH(BG140,B_LVL,0))&gt;=INDEX(B_RANK,MATCH(BJ140,B_LVL,0))),"⚠ Same band as a head manager",IF(INDEX(B_VAL,MATCH(BG140,B_LVL,0))&gt;=INDEX(B_VAL,MATCH(BJ140,B_LVL,0)),"⚠ At or above the manager's level","OK"))))),"—")</f>
        <v>OK</v>
      </c>
      <c r="BL140" s="43" t="n"/>
      <c r="BM140" s="44">
        <f>IFERROR(INDEX(LMH_PTS,MATCH(Y140,LMH_KEY,0)),0)</f>
        <v>9</v>
      </c>
      <c r="BN140" s="38">
        <f>IFERROR(INDEX(LMH_PTS,MATCH(Z140,LMH_KEY,0)),0)</f>
        <v>3</v>
      </c>
      <c r="BO140" s="38">
        <f>IFERROR(INDEX(LMH_PTS,MATCH(AA140,LMH_KEY,0)),0)</f>
        <v>1</v>
      </c>
      <c r="BP140" s="38">
        <f>IFERROR(INDEX(LMH_PTS,MATCH(AB140,LMH_KEY,0)),0)</f>
        <v>1</v>
      </c>
      <c r="BQ140" s="38">
        <f>IFERROR(INDEX(LMH_PTS,MATCH(AC140,LMH_KEY,0)),0)</f>
        <v>3</v>
      </c>
      <c r="BR140" s="38">
        <f>IFERROR(INDEX(LMH_PTS,MATCH(AD140,LMH_KEY,0)),0)</f>
        <v>1</v>
      </c>
      <c r="BS140" s="38">
        <f>IFERROR(INDEX(LMH_PTS,MATCH(AE140,LMH_KEY,0)),0)</f>
        <v>1</v>
      </c>
      <c r="BT140" s="38">
        <f>IFERROR(INDEX(LMH_STEP,MATCH(AF140,LMH_KEY,0)),0)</f>
        <v>0</v>
      </c>
      <c r="BU140" s="38">
        <f>IFERROR(INDEX(LMH_STEP,MATCH(AG140,LMH_KEY,0)),0)</f>
        <v>0</v>
      </c>
      <c r="BV140" s="38">
        <f>IFERROR(INDEX(LMH_STEP,MATCH(AH140,LMH_KEY,0)),0)</f>
        <v>0</v>
      </c>
      <c r="BW140" s="38">
        <f>IFERROR(INDEX(LMH_STEP,MATCH(AI140,LMH_KEY,0)),0)</f>
        <v>0</v>
      </c>
      <c r="BX140" s="38">
        <f>IFERROR(INDEX(LMH_STEP,MATCH(AJ140,LMH_KEY,0)),0)</f>
        <v>0</v>
      </c>
      <c r="BY140" s="38">
        <f>IFERROR(INDEX(LMH_STEP,MATCH(AK140,LMH_KEY,0)),0)</f>
        <v>0</v>
      </c>
      <c r="BZ140" s="38">
        <f>IFERROR(INDEX(LMH_STEP,MATCH(AL140,LMH_KEY,0)),0)</f>
        <v>0</v>
      </c>
      <c r="CA140" s="38" t="inlineStr">
        <is>
          <t>iDEAL|Marketing|Content Marketing Associate|A2|A</t>
        </is>
      </c>
    </row>
    <row r="141" ht="110" customHeight="1">
      <c r="A141" s="28" t="inlineStr">
        <is>
          <t>CARBON</t>
        </is>
      </c>
      <c r="B141" s="29" t="inlineStr">
        <is>
          <t>Marketing</t>
        </is>
      </c>
      <c r="C141" s="29" t="n">
        <v>5</v>
      </c>
      <c r="D141" s="29" t="inlineStr">
        <is>
          <t>IRIS2516</t>
        </is>
      </c>
      <c r="E141" s="29" t="inlineStr">
        <is>
          <t>Rimsha Khan</t>
        </is>
      </c>
      <c r="F141" s="29" t="inlineStr">
        <is>
          <t>Marketing Associate</t>
        </is>
      </c>
      <c r="G141" s="29" t="inlineStr">
        <is>
          <t>Content Marketing Associate</t>
        </is>
      </c>
      <c r="H141" s="29" t="inlineStr">
        <is>
          <t>Marketing &amp; Communications</t>
        </is>
      </c>
      <c r="I141" s="29" t="inlineStr">
        <is>
          <t>Content Marketing</t>
        </is>
      </c>
      <c r="J141" s="29" t="inlineStr">
        <is>
          <t>IC</t>
        </is>
      </c>
      <c r="K141" s="29" t="inlineStr">
        <is>
          <t>RC-111</t>
        </is>
      </c>
      <c r="L141" s="29" t="inlineStr">
        <is>
          <t>Sobhan Pramanik</t>
        </is>
      </c>
      <c r="M141" s="29" t="inlineStr">
        <is>
          <t>IRIS2358</t>
        </is>
      </c>
      <c r="N141" s="29" t="n">
        <v>0.4</v>
      </c>
      <c r="O141" s="29" t="n">
        <v>0.4</v>
      </c>
      <c r="P141" s="29" t="inlineStr">
        <is>
          <t>PGDM</t>
        </is>
      </c>
      <c r="Q141" s="29" t="inlineStr">
        <is>
          <t>L3 – Professional / Associate</t>
        </is>
      </c>
      <c r="R141" s="29" t="inlineStr">
        <is>
          <t>A2</t>
        </is>
      </c>
      <c r="S141" s="30" t="inlineStr">
        <is>
          <t>18 of 20</t>
        </is>
      </c>
      <c r="T141" s="31" t="inlineStr">
        <is>
          <t>• This role focuses on brand content writing and generating MQLs through organic channels.</t>
        </is>
      </c>
      <c r="U141" s="32" t="inlineStr">
        <is>
          <t>KRAs not received · manager to supply</t>
        </is>
      </c>
      <c r="V141" s="31" t="inlineStr">
        <is>
          <t>Latest rating: Not rated · manager · Potential: Low · 9-box: Misplaced Talent / Enigma · Readiness: Develop in role</t>
        </is>
      </c>
      <c r="W141" s="31" t="inlineStr">
        <is>
          <t>C M · Au M · Ac M · L L · BI M · Exp M · 0.4 yrs vs 0–2 yrs · Edu H · PGDM</t>
        </is>
      </c>
      <c r="X141" s="33" t="inlineStr">
        <is>
          <t>Open ▸</t>
        </is>
      </c>
      <c r="Y141" s="34" t="str">
        <f>IFERROR(INDEX(DL_C,MATCH($CA141,DL_KEY,0)),"M")</f>
        <v>H</v>
      </c>
      <c r="Z141" s="35" t="str">
        <f>IFERROR(INDEX(DL_Au,MATCH($CA141,DL_KEY,0)),"M")</f>
        <v>M</v>
      </c>
      <c r="AA141" s="35" t="str">
        <f>IFERROR(INDEX(DL_Ac,MATCH($CA141,DL_KEY,0)),"M")</f>
        <v>L</v>
      </c>
      <c r="AB141" s="35" t="str">
        <f>IFERROR(INDEX(DL_L,MATCH($CA141,DL_KEY,0)),"M")</f>
        <v>L</v>
      </c>
      <c r="AC141" s="35" t="str">
        <f>IFERROR(INDEX(DL_BI,MATCH($CA141,DL_KEY,0)),"M")</f>
        <v>M</v>
      </c>
      <c r="AD141" s="35" t="str">
        <f>IFERROR(INDEX(DL_Exp,MATCH($CA141,DL_KEY,0)),"M")</f>
        <v>L</v>
      </c>
      <c r="AE141" s="35" t="str">
        <f>IFERROR(INDEX(DL_Edu,MATCH($CA141,DL_KEY,0)),"M")</f>
        <v>L</v>
      </c>
      <c r="AF141" s="34" t="inlineStr">
        <is>
          <t>M</t>
        </is>
      </c>
      <c r="AG141" s="35" t="inlineStr">
        <is>
          <t>M</t>
        </is>
      </c>
      <c r="AH141" s="35" t="inlineStr">
        <is>
          <t>M</t>
        </is>
      </c>
      <c r="AI141" s="35" t="inlineStr">
        <is>
          <t>M</t>
        </is>
      </c>
      <c r="AJ141" s="35" t="inlineStr">
        <is>
          <t>M</t>
        </is>
      </c>
      <c r="AK141" s="35" t="inlineStr">
        <is>
          <t>M</t>
        </is>
      </c>
      <c r="AL141" s="35" t="inlineStr">
        <is>
          <t>M</t>
        </is>
      </c>
      <c r="AM141" s="36" t="n">
        <v>0.583</v>
      </c>
      <c r="AN141" s="37" t="n">
        <v>0.16</v>
      </c>
      <c r="AO141" s="37" t="n">
        <v>0.09</v>
      </c>
      <c r="AP141" s="37" t="n">
        <v>0</v>
      </c>
      <c r="AQ141" s="37" t="n">
        <v>0.063</v>
      </c>
      <c r="AR141" s="37" t="n">
        <v>0.06</v>
      </c>
      <c r="AS141" s="37" t="n">
        <v>0.04</v>
      </c>
      <c r="AT141" s="38" t="inlineStr">
        <is>
          <t>0–3</t>
        </is>
      </c>
      <c r="AU141" s="38" t="inlineStr">
        <is>
          <t>Graduate · or diploma with experience</t>
        </is>
      </c>
      <c r="AV141" s="38" t="inlineStr">
        <is>
          <t>No direct reports</t>
        </is>
      </c>
      <c r="AW141" s="38" t="inlineStr">
        <is>
          <t>P1–P2 · SFIA 2 Assist</t>
        </is>
      </c>
      <c r="AX1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1" s="39" t="inlineStr">
        <is>
          <t>A2</t>
        </is>
      </c>
      <c r="AZ141" s="40" t="inlineStr">
        <is>
          <t>Band A · Practitioner · Associate</t>
        </is>
      </c>
      <c r="BA141" s="40" t="inlineStr">
        <is>
          <t>Model A2 from the six ratings, the market-derived weights and rules R1–R13 · then No change · already below the manager</t>
        </is>
      </c>
      <c r="BB141" s="41" t="inlineStr">
        <is>
          <t>A2</t>
        </is>
      </c>
      <c r="BC141" s="40" t="inlineStr">
        <is>
          <t>The six ratings on the market-average weights of Band A · all tracks score 2.00 → A2 · Hay, Mercer IPE and public plans · experience 0.4 yrs vs the A2 market range 0–3</t>
        </is>
      </c>
      <c r="BD141" s="42">
        <f>IF(SUM(BM141,BN141,BO141,BP141,BQ141,BR141,BS141)=0,0,(BM141*BT141+BN141*BU141+BO141*BV141+BP141*BW141+BQ141*BX141+BR141*BY141+BS141*BZ141)/SUM(BM141,BN141,BO141,BP141,BQ141,BR141,BS141))</f>
        <v>0</v>
      </c>
      <c r="BE141" s="41" t="str">
        <f>IF(LEFT(AY141,1)="X",AY141,IF(OR(AY141="B+",AY141="C+"),INDEX(LAD_PC,MAX(1,MIN(14,MATCH(AY141,LAD_PC,0)+IF(BD141&gt;=0.5,1,IF(BD141&lt;=-0.5,-1,0))))),INDEX(LAD_STD,MAX(1,MIN(12,MATCH(AY141,LAD_STD,0)+IF(BD141&gt;=0.5,1,IF(BD141&lt;=-0.5,-1,0)))))))</f>
        <v>A2</v>
      </c>
      <c r="BF141" s="43" t="n"/>
      <c r="BG141" s="41" t="str">
        <f>IF(BF141&lt;&gt;"",BF141,BE141)</f>
        <v>A2</v>
      </c>
      <c r="BH141" s="40" t="str">
        <f>IFERROR(CHOOSE(INDEX(B_RANK,MATCH(BG141,B_LVL,0)),"Band A","Band B","B+ · Player-Coach","Band C","C+ · Player-Coach","Band D","Band E"),"Band X · Consultant")</f>
        <v>Band A</v>
      </c>
      <c r="BI141" s="40" t="str">
        <f>IF(BG141=AY141,"• Same",IF(INDEX(B_VAL,MATCH(BG141,B_LVL,0))&gt;INDEX(B_VAL,MATCH(AY141,B_LVL,0)),"▲ Up","▼ Down"))</f>
        <v>• Same</v>
      </c>
      <c r="BJ141" s="40" t="str">
        <f>IF(OR($M141="",$M141="—",$M141="Not in this file"),"",IFERROR(INDEX($BG$7:$BG$592,MATCH($M141,$D$7:$D$592,0)),""))</f>
        <v>B2</v>
      </c>
      <c r="BK141" s="40" t="str">
        <f>IFERROR(IF(BJ141="","—",IF(OR(LEFT(BG141,1)="X",LEFT(BJ141,1)="X"),"—",IF(AND(LEFT(BG141,1)="E",LEFT(BJ141,1)="E"),"Exception · Band E",IF(AND(INDEX(B_VAL,MATCH(BJ141,B_LVL,0))&gt;=7,INDEX(B_RANK,MATCH(BG141,B_LVL,0))&gt;=INDEX(B_RANK,MATCH(BJ141,B_LVL,0))),"⚠ Same band as a head manager",IF(INDEX(B_VAL,MATCH(BG141,B_LVL,0))&gt;=INDEX(B_VAL,MATCH(BJ141,B_LVL,0)),"⚠ At or above the manager's level","OK"))))),"—")</f>
        <v>OK</v>
      </c>
      <c r="BL141" s="43" t="n"/>
      <c r="BM141" s="44">
        <f>IFERROR(INDEX(LMH_PTS,MATCH(Y141,LMH_KEY,0)),0)</f>
        <v>9</v>
      </c>
      <c r="BN141" s="38">
        <f>IFERROR(INDEX(LMH_PTS,MATCH(Z141,LMH_KEY,0)),0)</f>
        <v>3</v>
      </c>
      <c r="BO141" s="38">
        <f>IFERROR(INDEX(LMH_PTS,MATCH(AA141,LMH_KEY,0)),0)</f>
        <v>1</v>
      </c>
      <c r="BP141" s="38">
        <f>IFERROR(INDEX(LMH_PTS,MATCH(AB141,LMH_KEY,0)),0)</f>
        <v>1</v>
      </c>
      <c r="BQ141" s="38">
        <f>IFERROR(INDEX(LMH_PTS,MATCH(AC141,LMH_KEY,0)),0)</f>
        <v>3</v>
      </c>
      <c r="BR141" s="38">
        <f>IFERROR(INDEX(LMH_PTS,MATCH(AD141,LMH_KEY,0)),0)</f>
        <v>1</v>
      </c>
      <c r="BS141" s="38">
        <f>IFERROR(INDEX(LMH_PTS,MATCH(AE141,LMH_KEY,0)),0)</f>
        <v>1</v>
      </c>
      <c r="BT141" s="38">
        <f>IFERROR(INDEX(LMH_STEP,MATCH(AF141,LMH_KEY,0)),0)</f>
        <v>0</v>
      </c>
      <c r="BU141" s="38">
        <f>IFERROR(INDEX(LMH_STEP,MATCH(AG141,LMH_KEY,0)),0)</f>
        <v>0</v>
      </c>
      <c r="BV141" s="38">
        <f>IFERROR(INDEX(LMH_STEP,MATCH(AH141,LMH_KEY,0)),0)</f>
        <v>0</v>
      </c>
      <c r="BW141" s="38">
        <f>IFERROR(INDEX(LMH_STEP,MATCH(AI141,LMH_KEY,0)),0)</f>
        <v>0</v>
      </c>
      <c r="BX141" s="38">
        <f>IFERROR(INDEX(LMH_STEP,MATCH(AJ141,LMH_KEY,0)),0)</f>
        <v>0</v>
      </c>
      <c r="BY141" s="38">
        <f>IFERROR(INDEX(LMH_STEP,MATCH(AK141,LMH_KEY,0)),0)</f>
        <v>0</v>
      </c>
      <c r="BZ141" s="38">
        <f>IFERROR(INDEX(LMH_STEP,MATCH(AL141,LMH_KEY,0)),0)</f>
        <v>0</v>
      </c>
      <c r="CA141" s="38" t="inlineStr">
        <is>
          <t>CARBON|Marketing|Content Marketing Associate|A2|A</t>
        </is>
      </c>
    </row>
    <row r="142" ht="110" customHeight="1">
      <c r="A142" s="28" t="inlineStr">
        <is>
          <t>CARBON</t>
        </is>
      </c>
      <c r="B142" s="29" t="inlineStr">
        <is>
          <t>Marketing</t>
        </is>
      </c>
      <c r="C142" s="29" t="n">
        <v>5</v>
      </c>
      <c r="D142" s="29" t="inlineStr">
        <is>
          <t>IRIS2517</t>
        </is>
      </c>
      <c r="E142" s="29" t="inlineStr">
        <is>
          <t>Shubhangi Sharma</t>
        </is>
      </c>
      <c r="F142" s="29" t="inlineStr">
        <is>
          <t>Marketing Associate</t>
        </is>
      </c>
      <c r="G142" s="29" t="inlineStr">
        <is>
          <t>Content Marketing Associate</t>
        </is>
      </c>
      <c r="H142" s="29" t="inlineStr">
        <is>
          <t>Marketing &amp; Communications</t>
        </is>
      </c>
      <c r="I142" s="29" t="inlineStr">
        <is>
          <t>Content Marketing</t>
        </is>
      </c>
      <c r="J142" s="29" t="inlineStr">
        <is>
          <t>IC</t>
        </is>
      </c>
      <c r="K142" s="29" t="inlineStr">
        <is>
          <t>RC-111</t>
        </is>
      </c>
      <c r="L142" s="29" t="inlineStr">
        <is>
          <t>Sobhan Pramanik</t>
        </is>
      </c>
      <c r="M142" s="29" t="inlineStr">
        <is>
          <t>IRIS2358</t>
        </is>
      </c>
      <c r="N142" s="29" t="n">
        <v>0.4</v>
      </c>
      <c r="O142" s="29" t="n">
        <v>0.4</v>
      </c>
      <c r="P142" s="29" t="inlineStr">
        <is>
          <t>PGDM</t>
        </is>
      </c>
      <c r="Q142" s="29" t="inlineStr">
        <is>
          <t>L3 – Professional / Associate</t>
        </is>
      </c>
      <c r="R142" s="29" t="inlineStr">
        <is>
          <t>A2</t>
        </is>
      </c>
      <c r="S142" s="30" t="inlineStr">
        <is>
          <t>20 of 20</t>
        </is>
      </c>
      <c r="T142" s="31" t="inlineStr">
        <is>
          <t>• This role focuses on branding and content marketing to generate MQLs through organic channels, campaigns and events.</t>
        </is>
      </c>
      <c r="U142" s="32" t="inlineStr">
        <is>
          <t>KRAs not received · manager to supply</t>
        </is>
      </c>
      <c r="V142" s="31" t="inlineStr">
        <is>
          <t>Latest rating: Not rated · manager · Potential: Medium · 9-box: Core Contributor · Readiness: Develop in role</t>
        </is>
      </c>
      <c r="W142" s="31" t="inlineStr">
        <is>
          <t>C M · Au M · Ac M · L L · BI M · Exp M · 0.4 yrs vs 0–2 yrs · Edu H · PGDM</t>
        </is>
      </c>
      <c r="X142" s="33" t="inlineStr">
        <is>
          <t>Open ▸</t>
        </is>
      </c>
      <c r="Y142" s="34" t="str">
        <f>IFERROR(INDEX(DL_C,MATCH($CA142,DL_KEY,0)),"M")</f>
        <v>H</v>
      </c>
      <c r="Z142" s="35" t="str">
        <f>IFERROR(INDEX(DL_Au,MATCH($CA142,DL_KEY,0)),"M")</f>
        <v>M</v>
      </c>
      <c r="AA142" s="35" t="str">
        <f>IFERROR(INDEX(DL_Ac,MATCH($CA142,DL_KEY,0)),"M")</f>
        <v>L</v>
      </c>
      <c r="AB142" s="35" t="str">
        <f>IFERROR(INDEX(DL_L,MATCH($CA142,DL_KEY,0)),"M")</f>
        <v>L</v>
      </c>
      <c r="AC142" s="35" t="str">
        <f>IFERROR(INDEX(DL_BI,MATCH($CA142,DL_KEY,0)),"M")</f>
        <v>M</v>
      </c>
      <c r="AD142" s="35" t="str">
        <f>IFERROR(INDEX(DL_Exp,MATCH($CA142,DL_KEY,0)),"M")</f>
        <v>L</v>
      </c>
      <c r="AE142" s="35" t="str">
        <f>IFERROR(INDEX(DL_Edu,MATCH($CA142,DL_KEY,0)),"M")</f>
        <v>L</v>
      </c>
      <c r="AF142" s="34" t="inlineStr">
        <is>
          <t>M</t>
        </is>
      </c>
      <c r="AG142" s="35" t="inlineStr">
        <is>
          <t>M</t>
        </is>
      </c>
      <c r="AH142" s="35" t="inlineStr">
        <is>
          <t>M</t>
        </is>
      </c>
      <c r="AI142" s="35" t="inlineStr">
        <is>
          <t>M</t>
        </is>
      </c>
      <c r="AJ142" s="35" t="inlineStr">
        <is>
          <t>M</t>
        </is>
      </c>
      <c r="AK142" s="35" t="inlineStr">
        <is>
          <t>M</t>
        </is>
      </c>
      <c r="AL142" s="35" t="inlineStr">
        <is>
          <t>M</t>
        </is>
      </c>
      <c r="AM142" s="36" t="n">
        <v>0.583</v>
      </c>
      <c r="AN142" s="37" t="n">
        <v>0.16</v>
      </c>
      <c r="AO142" s="37" t="n">
        <v>0.09</v>
      </c>
      <c r="AP142" s="37" t="n">
        <v>0</v>
      </c>
      <c r="AQ142" s="37" t="n">
        <v>0.063</v>
      </c>
      <c r="AR142" s="37" t="n">
        <v>0.06</v>
      </c>
      <c r="AS142" s="37" t="n">
        <v>0.04</v>
      </c>
      <c r="AT142" s="38" t="inlineStr">
        <is>
          <t>0–3</t>
        </is>
      </c>
      <c r="AU142" s="38" t="inlineStr">
        <is>
          <t>Graduate · or diploma with experience</t>
        </is>
      </c>
      <c r="AV142" s="38" t="inlineStr">
        <is>
          <t>No direct reports</t>
        </is>
      </c>
      <c r="AW142" s="38" t="inlineStr">
        <is>
          <t>P1–P2 · SFIA 2 Assist</t>
        </is>
      </c>
      <c r="AX1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2" s="39" t="inlineStr">
        <is>
          <t>A2</t>
        </is>
      </c>
      <c r="AZ142" s="40" t="inlineStr">
        <is>
          <t>Band A · Practitioner · Associate</t>
        </is>
      </c>
      <c r="BA142" s="40" t="inlineStr">
        <is>
          <t>Model A2 from the six ratings, the market-derived weights and rules R1–R13 · then No change · already below the manager</t>
        </is>
      </c>
      <c r="BB142" s="41" t="inlineStr">
        <is>
          <t>A2</t>
        </is>
      </c>
      <c r="BC142" s="40" t="inlineStr">
        <is>
          <t>The six ratings on the market-average weights of Band A · all tracks score 2.08 → A2 · Hay, Mercer IPE and public plans · experience 0.4 yrs vs the A2 market range 0–3</t>
        </is>
      </c>
      <c r="BD142" s="42">
        <f>IF(SUM(BM142,BN142,BO142,BP142,BQ142,BR142,BS142)=0,0,(BM142*BT142+BN142*BU142+BO142*BV142+BP142*BW142+BQ142*BX142+BR142*BY142+BS142*BZ142)/SUM(BM142,BN142,BO142,BP142,BQ142,BR142,BS142))</f>
        <v>0</v>
      </c>
      <c r="BE142" s="41" t="str">
        <f>IF(LEFT(AY142,1)="X",AY142,IF(OR(AY142="B+",AY142="C+"),INDEX(LAD_PC,MAX(1,MIN(14,MATCH(AY142,LAD_PC,0)+IF(BD142&gt;=0.5,1,IF(BD142&lt;=-0.5,-1,0))))),INDEX(LAD_STD,MAX(1,MIN(12,MATCH(AY142,LAD_STD,0)+IF(BD142&gt;=0.5,1,IF(BD142&lt;=-0.5,-1,0)))))))</f>
        <v>A2</v>
      </c>
      <c r="BF142" s="43" t="n"/>
      <c r="BG142" s="41" t="str">
        <f>IF(BF142&lt;&gt;"",BF142,BE142)</f>
        <v>A2</v>
      </c>
      <c r="BH142" s="40" t="str">
        <f>IFERROR(CHOOSE(INDEX(B_RANK,MATCH(BG142,B_LVL,0)),"Band A","Band B","B+ · Player-Coach","Band C","C+ · Player-Coach","Band D","Band E"),"Band X · Consultant")</f>
        <v>Band A</v>
      </c>
      <c r="BI142" s="40" t="str">
        <f>IF(BG142=AY142,"• Same",IF(INDEX(B_VAL,MATCH(BG142,B_LVL,0))&gt;INDEX(B_VAL,MATCH(AY142,B_LVL,0)),"▲ Up","▼ Down"))</f>
        <v>• Same</v>
      </c>
      <c r="BJ142" s="40" t="str">
        <f>IF(OR($M142="",$M142="—",$M142="Not in this file"),"",IFERROR(INDEX($BG$7:$BG$592,MATCH($M142,$D$7:$D$592,0)),""))</f>
        <v>B2</v>
      </c>
      <c r="BK142" s="40" t="str">
        <f>IFERROR(IF(BJ142="","—",IF(OR(LEFT(BG142,1)="X",LEFT(BJ142,1)="X"),"—",IF(AND(LEFT(BG142,1)="E",LEFT(BJ142,1)="E"),"Exception · Band E",IF(AND(INDEX(B_VAL,MATCH(BJ142,B_LVL,0))&gt;=7,INDEX(B_RANK,MATCH(BG142,B_LVL,0))&gt;=INDEX(B_RANK,MATCH(BJ142,B_LVL,0))),"⚠ Same band as a head manager",IF(INDEX(B_VAL,MATCH(BG142,B_LVL,0))&gt;=INDEX(B_VAL,MATCH(BJ142,B_LVL,0)),"⚠ At or above the manager's level","OK"))))),"—")</f>
        <v>OK</v>
      </c>
      <c r="BL142" s="43" t="n"/>
      <c r="BM142" s="44">
        <f>IFERROR(INDEX(LMH_PTS,MATCH(Y142,LMH_KEY,0)),0)</f>
        <v>9</v>
      </c>
      <c r="BN142" s="38">
        <f>IFERROR(INDEX(LMH_PTS,MATCH(Z142,LMH_KEY,0)),0)</f>
        <v>3</v>
      </c>
      <c r="BO142" s="38">
        <f>IFERROR(INDEX(LMH_PTS,MATCH(AA142,LMH_KEY,0)),0)</f>
        <v>1</v>
      </c>
      <c r="BP142" s="38">
        <f>IFERROR(INDEX(LMH_PTS,MATCH(AB142,LMH_KEY,0)),0)</f>
        <v>1</v>
      </c>
      <c r="BQ142" s="38">
        <f>IFERROR(INDEX(LMH_PTS,MATCH(AC142,LMH_KEY,0)),0)</f>
        <v>3</v>
      </c>
      <c r="BR142" s="38">
        <f>IFERROR(INDEX(LMH_PTS,MATCH(AD142,LMH_KEY,0)),0)</f>
        <v>1</v>
      </c>
      <c r="BS142" s="38">
        <f>IFERROR(INDEX(LMH_PTS,MATCH(AE142,LMH_KEY,0)),0)</f>
        <v>1</v>
      </c>
      <c r="BT142" s="38">
        <f>IFERROR(INDEX(LMH_STEP,MATCH(AF142,LMH_KEY,0)),0)</f>
        <v>0</v>
      </c>
      <c r="BU142" s="38">
        <f>IFERROR(INDEX(LMH_STEP,MATCH(AG142,LMH_KEY,0)),0)</f>
        <v>0</v>
      </c>
      <c r="BV142" s="38">
        <f>IFERROR(INDEX(LMH_STEP,MATCH(AH142,LMH_KEY,0)),0)</f>
        <v>0</v>
      </c>
      <c r="BW142" s="38">
        <f>IFERROR(INDEX(LMH_STEP,MATCH(AI142,LMH_KEY,0)),0)</f>
        <v>0</v>
      </c>
      <c r="BX142" s="38">
        <f>IFERROR(INDEX(LMH_STEP,MATCH(AJ142,LMH_KEY,0)),0)</f>
        <v>0</v>
      </c>
      <c r="BY142" s="38">
        <f>IFERROR(INDEX(LMH_STEP,MATCH(AK142,LMH_KEY,0)),0)</f>
        <v>0</v>
      </c>
      <c r="BZ142" s="38">
        <f>IFERROR(INDEX(LMH_STEP,MATCH(AL142,LMH_KEY,0)),0)</f>
        <v>0</v>
      </c>
      <c r="CA142" s="38" t="inlineStr">
        <is>
          <t>CARBON|Marketing|Content Marketing Associate|A2|A</t>
        </is>
      </c>
    </row>
    <row r="143" ht="110" customHeight="1">
      <c r="A143" s="28" t="inlineStr">
        <is>
          <t>CARBON</t>
        </is>
      </c>
      <c r="B143" s="29" t="inlineStr">
        <is>
          <t>Marketing</t>
        </is>
      </c>
      <c r="C143" s="29" t="n">
        <v>4</v>
      </c>
      <c r="D143" s="29" t="inlineStr">
        <is>
          <t>IRIS2502</t>
        </is>
      </c>
      <c r="E143" s="29" t="inlineStr">
        <is>
          <t>Sudipta Kundu</t>
        </is>
      </c>
      <c r="F143" s="29" t="inlineStr">
        <is>
          <t>Marketing Manager- Partner and Automation</t>
        </is>
      </c>
      <c r="G143" s="29" t="inlineStr">
        <is>
          <t>Senior Marketing Specialist – POD Lead</t>
        </is>
      </c>
      <c r="H143" s="29" t="inlineStr">
        <is>
          <t>Marketing &amp; Communications</t>
        </is>
      </c>
      <c r="I143" s="29" t="inlineStr">
        <is>
          <t>Demand Generation, Brand &amp; Events</t>
        </is>
      </c>
      <c r="J143" s="29" t="inlineStr">
        <is>
          <t>POD Lead</t>
        </is>
      </c>
      <c r="K143" s="29" t="inlineStr">
        <is>
          <t>RC-115</t>
        </is>
      </c>
      <c r="L143" s="29" t="inlineStr">
        <is>
          <t>Saahit Togaru</t>
        </is>
      </c>
      <c r="M143" s="29" t="inlineStr">
        <is>
          <t>IRIS2239</t>
        </is>
      </c>
      <c r="N143" s="29" t="n">
        <v>8.800000000000001</v>
      </c>
      <c r="O143" s="29" t="n">
        <v>0.5</v>
      </c>
      <c r="P143" s="29" t="inlineStr">
        <is>
          <t>MBA</t>
        </is>
      </c>
      <c r="Q143" s="29" t="inlineStr">
        <is>
          <t>L5 – Manager</t>
        </is>
      </c>
      <c r="R143" s="29" t="inlineStr">
        <is>
          <t>B2</t>
        </is>
      </c>
      <c r="S143" s="30" t="inlineStr">
        <is>
          <t>20 of 20</t>
        </is>
      </c>
      <c r="T143" s="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t>
        </is>
      </c>
      <c r="U143" s="31" t="inlineStr">
        <is>
          <t>Received · manager annual · OKR Tracker - Marketing 2026 · FY27.xlsx</t>
        </is>
      </c>
      <c r="V143" s="31" t="inlineStr">
        <is>
          <t>Latest rating: 2 · Potential: Medium · 9-box: Reliable Specialist · Readiness: Performance first</t>
        </is>
      </c>
      <c r="W143" s="31" t="inlineStr">
        <is>
          <t>C M · Au M · Ac L · L L · BI L · Exp M · 8.8 yrs vs 6–9 yrs · Edu H · MBA</t>
        </is>
      </c>
      <c r="X143" s="33" t="inlineStr">
        <is>
          <t>Open ▸</t>
        </is>
      </c>
      <c r="Y143" s="34" t="str">
        <f>IFERROR(INDEX(DL_C,MATCH($CA143,DL_KEY,0)),"M")</f>
        <v>H</v>
      </c>
      <c r="Z143" s="35" t="str">
        <f>IFERROR(INDEX(DL_Au,MATCH($CA143,DL_KEY,0)),"M")</f>
        <v>M</v>
      </c>
      <c r="AA143" s="35" t="str">
        <f>IFERROR(INDEX(DL_Ac,MATCH($CA143,DL_KEY,0)),"M")</f>
        <v>L</v>
      </c>
      <c r="AB143" s="35" t="str">
        <f>IFERROR(INDEX(DL_L,MATCH($CA143,DL_KEY,0)),"M")</f>
        <v>L</v>
      </c>
      <c r="AC143" s="35" t="str">
        <f>IFERROR(INDEX(DL_BI,MATCH($CA143,DL_KEY,0)),"M")</f>
        <v>M</v>
      </c>
      <c r="AD143" s="35" t="str">
        <f>IFERROR(INDEX(DL_Exp,MATCH($CA143,DL_KEY,0)),"M")</f>
        <v>L</v>
      </c>
      <c r="AE143" s="35" t="str">
        <f>IFERROR(INDEX(DL_Edu,MATCH($CA143,DL_KEY,0)),"M")</f>
        <v>L</v>
      </c>
      <c r="AF143" s="34" t="inlineStr">
        <is>
          <t>M</t>
        </is>
      </c>
      <c r="AG143" s="35" t="inlineStr">
        <is>
          <t>M</t>
        </is>
      </c>
      <c r="AH143" s="35" t="inlineStr">
        <is>
          <t>M</t>
        </is>
      </c>
      <c r="AI143" s="35" t="inlineStr">
        <is>
          <t>M</t>
        </is>
      </c>
      <c r="AJ143" s="35" t="inlineStr">
        <is>
          <t>M</t>
        </is>
      </c>
      <c r="AK143" s="35" t="inlineStr">
        <is>
          <t>M</t>
        </is>
      </c>
      <c r="AL143" s="35" t="inlineStr">
        <is>
          <t>M</t>
        </is>
      </c>
      <c r="AM143" s="36" t="n">
        <v>0.513</v>
      </c>
      <c r="AN143" s="37" t="n">
        <v>0.173</v>
      </c>
      <c r="AO143" s="37" t="n">
        <v>0.09699999999999999</v>
      </c>
      <c r="AP143" s="37" t="n">
        <v>0.05</v>
      </c>
      <c r="AQ143" s="37" t="n">
        <v>0.07000000000000001</v>
      </c>
      <c r="AR143" s="37" t="n">
        <v>0.06</v>
      </c>
      <c r="AS143" s="37" t="n">
        <v>0.04</v>
      </c>
      <c r="AT143" s="38" t="inlineStr">
        <is>
          <t>6–10</t>
        </is>
      </c>
      <c r="AU143" s="38" t="inlineStr">
        <is>
          <t>Graduate or postgraduate; professional qualification preferred</t>
        </is>
      </c>
      <c r="AV143" s="38" t="inlineStr">
        <is>
          <t>IC: none · People: 6–8 knowledge work, 8–12 standardised delivery</t>
        </is>
      </c>
      <c r="AW143" s="38" t="inlineStr">
        <is>
          <t>P4 / M3 · SFIA 4–5</t>
        </is>
      </c>
      <c r="AX1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3" s="39" t="inlineStr">
        <is>
          <t>B2</t>
        </is>
      </c>
      <c r="AZ143" s="40" t="inlineStr">
        <is>
          <t>Band B · Specialist / Manager · Manager</t>
        </is>
      </c>
      <c r="BA143" s="40" t="inlineStr">
        <is>
          <t>Model B2 from the six ratings, the market-derived weights and rules R1–R13 · then No change · already below the manager</t>
        </is>
      </c>
      <c r="BB143" s="41" t="inlineStr">
        <is>
          <t>B2</t>
        </is>
      </c>
      <c r="BC143" s="40" t="inlineStr">
        <is>
          <t>The six ratings on the market-average weights of Band B · Specialist / POD Lead score 4.54 → B2 · Hay, Mercer IPE and public plans · experience 8.8 yrs vs the B2 market range 6–10</t>
        </is>
      </c>
      <c r="BD143" s="42">
        <f>IF(SUM(BM143,BN143,BO143,BP143,BQ143,BR143,BS143)=0,0,(BM143*BT143+BN143*BU143+BO143*BV143+BP143*BW143+BQ143*BX143+BR143*BY143+BS143*BZ143)/SUM(BM143,BN143,BO143,BP143,BQ143,BR143,BS143))</f>
        <v>0</v>
      </c>
      <c r="BE143" s="41" t="str">
        <f>IF(LEFT(AY143,1)="X",AY143,IF(OR(AY143="B+",AY143="C+"),INDEX(LAD_PC,MAX(1,MIN(14,MATCH(AY143,LAD_PC,0)+IF(BD143&gt;=0.5,1,IF(BD143&lt;=-0.5,-1,0))))),INDEX(LAD_STD,MAX(1,MIN(12,MATCH(AY143,LAD_STD,0)+IF(BD143&gt;=0.5,1,IF(BD143&lt;=-0.5,-1,0)))))))</f>
        <v>B2</v>
      </c>
      <c r="BF143" s="43" t="n"/>
      <c r="BG143" s="41" t="str">
        <f>IF(BF143&lt;&gt;"",BF143,BE143)</f>
        <v>B2</v>
      </c>
      <c r="BH143" s="40" t="str">
        <f>IFERROR(CHOOSE(INDEX(B_RANK,MATCH(BG143,B_LVL,0)),"Band A","Band B","B+ · Player-Coach","Band C","C+ · Player-Coach","Band D","Band E"),"Band X · Consultant")</f>
        <v>Band B</v>
      </c>
      <c r="BI143" s="40" t="str">
        <f>IF(BG143=AY143,"• Same",IF(INDEX(B_VAL,MATCH(BG143,B_LVL,0))&gt;INDEX(B_VAL,MATCH(AY143,B_LVL,0)),"▲ Up","▼ Down"))</f>
        <v>• Same</v>
      </c>
      <c r="BJ143" s="40" t="str">
        <f>IF(OR($M143="",$M143="—",$M143="Not in this file"),"",IFERROR(INDEX($BG$7:$BG$592,MATCH($M143,$D$7:$D$592,0)),""))</f>
        <v>B3</v>
      </c>
      <c r="BK143" s="40" t="str">
        <f>IFERROR(IF(BJ143="","—",IF(OR(LEFT(BG143,1)="X",LEFT(BJ143,1)="X"),"—",IF(AND(LEFT(BG143,1)="E",LEFT(BJ143,1)="E"),"Exception · Band E",IF(AND(INDEX(B_VAL,MATCH(BJ143,B_LVL,0))&gt;=7,INDEX(B_RANK,MATCH(BG143,B_LVL,0))&gt;=INDEX(B_RANK,MATCH(BJ143,B_LVL,0))),"⚠ Same band as a head manager",IF(INDEX(B_VAL,MATCH(BG143,B_LVL,0))&gt;=INDEX(B_VAL,MATCH(BJ143,B_LVL,0)),"⚠ At or above the manager's level","OK"))))),"—")</f>
        <v>OK</v>
      </c>
      <c r="BL143" s="43" t="n"/>
      <c r="BM143" s="44">
        <f>IFERROR(INDEX(LMH_PTS,MATCH(Y143,LMH_KEY,0)),0)</f>
        <v>9</v>
      </c>
      <c r="BN143" s="38">
        <f>IFERROR(INDEX(LMH_PTS,MATCH(Z143,LMH_KEY,0)),0)</f>
        <v>3</v>
      </c>
      <c r="BO143" s="38">
        <f>IFERROR(INDEX(LMH_PTS,MATCH(AA143,LMH_KEY,0)),0)</f>
        <v>1</v>
      </c>
      <c r="BP143" s="38">
        <f>IFERROR(INDEX(LMH_PTS,MATCH(AB143,LMH_KEY,0)),0)</f>
        <v>1</v>
      </c>
      <c r="BQ143" s="38">
        <f>IFERROR(INDEX(LMH_PTS,MATCH(AC143,LMH_KEY,0)),0)</f>
        <v>3</v>
      </c>
      <c r="BR143" s="38">
        <f>IFERROR(INDEX(LMH_PTS,MATCH(AD143,LMH_KEY,0)),0)</f>
        <v>1</v>
      </c>
      <c r="BS143" s="38">
        <f>IFERROR(INDEX(LMH_PTS,MATCH(AE143,LMH_KEY,0)),0)</f>
        <v>1</v>
      </c>
      <c r="BT143" s="38">
        <f>IFERROR(INDEX(LMH_STEP,MATCH(AF143,LMH_KEY,0)),0)</f>
        <v>0</v>
      </c>
      <c r="BU143" s="38">
        <f>IFERROR(INDEX(LMH_STEP,MATCH(AG143,LMH_KEY,0)),0)</f>
        <v>0</v>
      </c>
      <c r="BV143" s="38">
        <f>IFERROR(INDEX(LMH_STEP,MATCH(AH143,LMH_KEY,0)),0)</f>
        <v>0</v>
      </c>
      <c r="BW143" s="38">
        <f>IFERROR(INDEX(LMH_STEP,MATCH(AI143,LMH_KEY,0)),0)</f>
        <v>0</v>
      </c>
      <c r="BX143" s="38">
        <f>IFERROR(INDEX(LMH_STEP,MATCH(AJ143,LMH_KEY,0)),0)</f>
        <v>0</v>
      </c>
      <c r="BY143" s="38">
        <f>IFERROR(INDEX(LMH_STEP,MATCH(AK143,LMH_KEY,0)),0)</f>
        <v>0</v>
      </c>
      <c r="BZ143" s="38">
        <f>IFERROR(INDEX(LMH_STEP,MATCH(AL143,LMH_KEY,0)),0)</f>
        <v>0</v>
      </c>
      <c r="CA143" s="38" t="inlineStr">
        <is>
          <t>CARBON|Marketing|Senior Marketing Specialist – POD Lead|B2|B-IC</t>
        </is>
      </c>
    </row>
    <row r="144" ht="110" customHeight="1">
      <c r="A144" s="28" t="inlineStr">
        <is>
          <t>CARBON</t>
        </is>
      </c>
      <c r="B144" s="29" t="inlineStr">
        <is>
          <t>Marketing</t>
        </is>
      </c>
      <c r="C144" s="29" t="n">
        <v>5</v>
      </c>
      <c r="D144" s="29" t="inlineStr">
        <is>
          <t>IRIS2316</t>
        </is>
      </c>
      <c r="E144" s="29" t="inlineStr">
        <is>
          <t>Mounika Kattula</t>
        </is>
      </c>
      <c r="F144" s="29" t="inlineStr">
        <is>
          <t>Marketing Associate</t>
        </is>
      </c>
      <c r="G144" s="29" t="inlineStr">
        <is>
          <t>Senior Marketing Operations Associate</t>
        </is>
      </c>
      <c r="H144" s="29" t="inlineStr">
        <is>
          <t>Marketing &amp; Communications</t>
        </is>
      </c>
      <c r="I144" s="29" t="inlineStr">
        <is>
          <t>Marketing Operations &amp; Automation</t>
        </is>
      </c>
      <c r="J144" s="29" t="inlineStr">
        <is>
          <t>IC</t>
        </is>
      </c>
      <c r="K144" s="29" t="inlineStr">
        <is>
          <t>RC-122</t>
        </is>
      </c>
      <c r="L144" s="29" t="inlineStr">
        <is>
          <t>Sudipta Kundu</t>
        </is>
      </c>
      <c r="M144" s="29" t="inlineStr">
        <is>
          <t>IRIS2502</t>
        </is>
      </c>
      <c r="N144" s="29" t="n">
        <v>4.1</v>
      </c>
      <c r="O144" s="29" t="n">
        <v>2</v>
      </c>
      <c r="P144" s="29" t="inlineStr">
        <is>
          <t>MBA</t>
        </is>
      </c>
      <c r="Q144" s="29" t="inlineStr">
        <is>
          <t>L3 – Professional / Associate</t>
        </is>
      </c>
      <c r="R144" s="29" t="inlineStr">
        <is>
          <t>A3</t>
        </is>
      </c>
      <c r="S144" s="30" t="inlineStr">
        <is>
          <t>20 of 20</t>
        </is>
      </c>
      <c r="T144" s="31" t="inlineStr">
        <is>
          <t>• This role leads database strategy, research and CRM management to keep data accurate, organised and effectively used across the business.</t>
        </is>
      </c>
      <c r="U144" s="31" t="inlineStr">
        <is>
          <t>Received · manager annual · 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t>
        </is>
      </c>
      <c r="V144" s="31" t="inlineStr">
        <is>
          <t>Latest rating: 4 · Potential: High · 9-box: Emerging Talent · Readiness: Ready now</t>
        </is>
      </c>
      <c r="W144" s="31" t="inlineStr">
        <is>
          <t>C M · Au M · Ac M · L M · BI H · Exp H · 4.1 yrs vs 2–4 yrs · Edu H · MBA</t>
        </is>
      </c>
      <c r="X144" s="33" t="inlineStr">
        <is>
          <t>Open ▸</t>
        </is>
      </c>
      <c r="Y144" s="34" t="str">
        <f>IFERROR(INDEX(DL_C,MATCH($CA144,DL_KEY,0)),"M")</f>
        <v>H</v>
      </c>
      <c r="Z144" s="35" t="str">
        <f>IFERROR(INDEX(DL_Au,MATCH($CA144,DL_KEY,0)),"M")</f>
        <v>M</v>
      </c>
      <c r="AA144" s="35" t="str">
        <f>IFERROR(INDEX(DL_Ac,MATCH($CA144,DL_KEY,0)),"M")</f>
        <v>L</v>
      </c>
      <c r="AB144" s="35" t="str">
        <f>IFERROR(INDEX(DL_L,MATCH($CA144,DL_KEY,0)),"M")</f>
        <v>L</v>
      </c>
      <c r="AC144" s="35" t="str">
        <f>IFERROR(INDEX(DL_BI,MATCH($CA144,DL_KEY,0)),"M")</f>
        <v>M</v>
      </c>
      <c r="AD144" s="35" t="str">
        <f>IFERROR(INDEX(DL_Exp,MATCH($CA144,DL_KEY,0)),"M")</f>
        <v>L</v>
      </c>
      <c r="AE144" s="35" t="str">
        <f>IFERROR(INDEX(DL_Edu,MATCH($CA144,DL_KEY,0)),"M")</f>
        <v>L</v>
      </c>
      <c r="AF144" s="34" t="inlineStr">
        <is>
          <t>M</t>
        </is>
      </c>
      <c r="AG144" s="35" t="inlineStr">
        <is>
          <t>M</t>
        </is>
      </c>
      <c r="AH144" s="35" t="inlineStr">
        <is>
          <t>M</t>
        </is>
      </c>
      <c r="AI144" s="35" t="inlineStr">
        <is>
          <t>M</t>
        </is>
      </c>
      <c r="AJ144" s="35" t="inlineStr">
        <is>
          <t>M</t>
        </is>
      </c>
      <c r="AK144" s="35" t="inlineStr">
        <is>
          <t>M</t>
        </is>
      </c>
      <c r="AL144" s="35" t="inlineStr">
        <is>
          <t>M</t>
        </is>
      </c>
      <c r="AM144" s="36" t="n">
        <v>0.583</v>
      </c>
      <c r="AN144" s="37" t="n">
        <v>0.16</v>
      </c>
      <c r="AO144" s="37" t="n">
        <v>0.09</v>
      </c>
      <c r="AP144" s="37" t="n">
        <v>0</v>
      </c>
      <c r="AQ144" s="37" t="n">
        <v>0.063</v>
      </c>
      <c r="AR144" s="37" t="n">
        <v>0.06</v>
      </c>
      <c r="AS144" s="37" t="n">
        <v>0.04</v>
      </c>
      <c r="AT144" s="38" t="inlineStr">
        <is>
          <t>2–5</t>
        </is>
      </c>
      <c r="AU144" s="38" t="inlineStr">
        <is>
          <t>Graduate; relevant certification preferred</t>
        </is>
      </c>
      <c r="AV144" s="38" t="inlineStr">
        <is>
          <t>None · guides 1–3 juniors informally</t>
        </is>
      </c>
      <c r="AW144" s="38" t="inlineStr">
        <is>
          <t>P2 · SFIA 3 Apply</t>
        </is>
      </c>
      <c r="AX1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4" s="39" t="inlineStr">
        <is>
          <t>A3</t>
        </is>
      </c>
      <c r="AZ144" s="40" t="inlineStr">
        <is>
          <t>Band A · Practitioner · Senior Associate</t>
        </is>
      </c>
      <c r="BA144" s="40" t="inlineStr">
        <is>
          <t>Model A3 from the six ratings, the market-derived weights and rules R1–R13 · then No change · already below the manager</t>
        </is>
      </c>
      <c r="BB144" s="41" t="inlineStr">
        <is>
          <t>A3</t>
        </is>
      </c>
      <c r="BC144" s="40" t="inlineStr">
        <is>
          <t>The six ratings on the market-average weights of Band A · all tracks score 2.92 → A3 · Hay, Mercer IPE and public plans · experience 4.1 yrs vs the A3 market range 2–5</t>
        </is>
      </c>
      <c r="BD144" s="42">
        <f>IF(SUM(BM144,BN144,BO144,BP144,BQ144,BR144,BS144)=0,0,(BM144*BT144+BN144*BU144+BO144*BV144+BP144*BW144+BQ144*BX144+BR144*BY144+BS144*BZ144)/SUM(BM144,BN144,BO144,BP144,BQ144,BR144,BS144))</f>
        <v>0</v>
      </c>
      <c r="BE144" s="41" t="str">
        <f>IF(LEFT(AY144,1)="X",AY144,IF(OR(AY144="B+",AY144="C+"),INDEX(LAD_PC,MAX(1,MIN(14,MATCH(AY144,LAD_PC,0)+IF(BD144&gt;=0.5,1,IF(BD144&lt;=-0.5,-1,0))))),INDEX(LAD_STD,MAX(1,MIN(12,MATCH(AY144,LAD_STD,0)+IF(BD144&gt;=0.5,1,IF(BD144&lt;=-0.5,-1,0)))))))</f>
        <v>A3</v>
      </c>
      <c r="BF144" s="43" t="n"/>
      <c r="BG144" s="41" t="str">
        <f>IF(BF144&lt;&gt;"",BF144,BE144)</f>
        <v>A3</v>
      </c>
      <c r="BH144" s="40" t="str">
        <f>IFERROR(CHOOSE(INDEX(B_RANK,MATCH(BG144,B_LVL,0)),"Band A","Band B","B+ · Player-Coach","Band C","C+ · Player-Coach","Band D","Band E"),"Band X · Consultant")</f>
        <v>Band A</v>
      </c>
      <c r="BI144" s="40" t="str">
        <f>IF(BG144=AY144,"• Same",IF(INDEX(B_VAL,MATCH(BG144,B_LVL,0))&gt;INDEX(B_VAL,MATCH(AY144,B_LVL,0)),"▲ Up","▼ Down"))</f>
        <v>• Same</v>
      </c>
      <c r="BJ144" s="40" t="str">
        <f>IF(OR($M144="",$M144="—",$M144="Not in this file"),"",IFERROR(INDEX($BG$7:$BG$592,MATCH($M144,$D$7:$D$592,0)),""))</f>
        <v>B2</v>
      </c>
      <c r="BK144" s="40" t="str">
        <f>IFERROR(IF(BJ144="","—",IF(OR(LEFT(BG144,1)="X",LEFT(BJ144,1)="X"),"—",IF(AND(LEFT(BG144,1)="E",LEFT(BJ144,1)="E"),"Exception · Band E",IF(AND(INDEX(B_VAL,MATCH(BJ144,B_LVL,0))&gt;=7,INDEX(B_RANK,MATCH(BG144,B_LVL,0))&gt;=INDEX(B_RANK,MATCH(BJ144,B_LVL,0))),"⚠ Same band as a head manager",IF(INDEX(B_VAL,MATCH(BG144,B_LVL,0))&gt;=INDEX(B_VAL,MATCH(BJ144,B_LVL,0)),"⚠ At or above the manager's level","OK"))))),"—")</f>
        <v>OK</v>
      </c>
      <c r="BL144" s="43" t="n"/>
      <c r="BM144" s="44">
        <f>IFERROR(INDEX(LMH_PTS,MATCH(Y144,LMH_KEY,0)),0)</f>
        <v>9</v>
      </c>
      <c r="BN144" s="38">
        <f>IFERROR(INDEX(LMH_PTS,MATCH(Z144,LMH_KEY,0)),0)</f>
        <v>3</v>
      </c>
      <c r="BO144" s="38">
        <f>IFERROR(INDEX(LMH_PTS,MATCH(AA144,LMH_KEY,0)),0)</f>
        <v>1</v>
      </c>
      <c r="BP144" s="38">
        <f>IFERROR(INDEX(LMH_PTS,MATCH(AB144,LMH_KEY,0)),0)</f>
        <v>1</v>
      </c>
      <c r="BQ144" s="38">
        <f>IFERROR(INDEX(LMH_PTS,MATCH(AC144,LMH_KEY,0)),0)</f>
        <v>3</v>
      </c>
      <c r="BR144" s="38">
        <f>IFERROR(INDEX(LMH_PTS,MATCH(AD144,LMH_KEY,0)),0)</f>
        <v>1</v>
      </c>
      <c r="BS144" s="38">
        <f>IFERROR(INDEX(LMH_PTS,MATCH(AE144,LMH_KEY,0)),0)</f>
        <v>1</v>
      </c>
      <c r="BT144" s="38">
        <f>IFERROR(INDEX(LMH_STEP,MATCH(AF144,LMH_KEY,0)),0)</f>
        <v>0</v>
      </c>
      <c r="BU144" s="38">
        <f>IFERROR(INDEX(LMH_STEP,MATCH(AG144,LMH_KEY,0)),0)</f>
        <v>0</v>
      </c>
      <c r="BV144" s="38">
        <f>IFERROR(INDEX(LMH_STEP,MATCH(AH144,LMH_KEY,0)),0)</f>
        <v>0</v>
      </c>
      <c r="BW144" s="38">
        <f>IFERROR(INDEX(LMH_STEP,MATCH(AI144,LMH_KEY,0)),0)</f>
        <v>0</v>
      </c>
      <c r="BX144" s="38">
        <f>IFERROR(INDEX(LMH_STEP,MATCH(AJ144,LMH_KEY,0)),0)</f>
        <v>0</v>
      </c>
      <c r="BY144" s="38">
        <f>IFERROR(INDEX(LMH_STEP,MATCH(AK144,LMH_KEY,0)),0)</f>
        <v>0</v>
      </c>
      <c r="BZ144" s="38">
        <f>IFERROR(INDEX(LMH_STEP,MATCH(AL144,LMH_KEY,0)),0)</f>
        <v>0</v>
      </c>
      <c r="CA144" s="38" t="inlineStr">
        <is>
          <t>CARBON|Marketing|Senior Marketing Operations Associate|A3|A</t>
        </is>
      </c>
    </row>
    <row r="145" ht="110" customHeight="1">
      <c r="A145" s="28" t="inlineStr">
        <is>
          <t>CARBON</t>
        </is>
      </c>
      <c r="B145" s="29" t="inlineStr">
        <is>
          <t>Marketing</t>
        </is>
      </c>
      <c r="C145" s="29" t="n">
        <v>6</v>
      </c>
      <c r="D145" s="29" t="inlineStr">
        <is>
          <t>IRIS2535</t>
        </is>
      </c>
      <c r="E145" s="29" t="inlineStr">
        <is>
          <t>Kaninika Kali</t>
        </is>
      </c>
      <c r="F145" s="29" t="inlineStr">
        <is>
          <t>Associate- MarkOps</t>
        </is>
      </c>
      <c r="G145" s="29" t="inlineStr">
        <is>
          <t>Marketing Operations Associate</t>
        </is>
      </c>
      <c r="H145" s="29" t="inlineStr">
        <is>
          <t>Marketing &amp; Communications</t>
        </is>
      </c>
      <c r="I145" s="29" t="inlineStr">
        <is>
          <t>Marketing Operations &amp; Automation</t>
        </is>
      </c>
      <c r="J145" s="29" t="inlineStr">
        <is>
          <t>IC</t>
        </is>
      </c>
      <c r="K145" s="29" t="inlineStr">
        <is>
          <t>RC-121</t>
        </is>
      </c>
      <c r="L145" s="29" t="inlineStr">
        <is>
          <t>Mounika Kattula</t>
        </is>
      </c>
      <c r="M145" s="29" t="inlineStr">
        <is>
          <t>IRIS2316</t>
        </is>
      </c>
      <c r="N145" s="29" t="n">
        <v>0.3</v>
      </c>
      <c r="O145" s="29" t="n">
        <v>0.3</v>
      </c>
      <c r="P145" s="29" t="inlineStr">
        <is>
          <t>B.Tech</t>
        </is>
      </c>
      <c r="Q145" s="29" t="inlineStr">
        <is>
          <t>L1 – Intern</t>
        </is>
      </c>
      <c r="R145" s="29" t="inlineStr">
        <is>
          <t>A2</t>
        </is>
      </c>
      <c r="S145" s="30" t="inlineStr">
        <is>
          <t>20 of 20</t>
        </is>
      </c>
      <c r="T145" s="31" t="inlineStr">
        <is>
          <t>• This role conducts database research, data enrichment and data-quality maintenance.</t>
        </is>
      </c>
      <c r="U145" s="31" t="inlineStr">
        <is>
          <t>Received · manager annual · 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t>
        </is>
      </c>
      <c r="V145" s="31" t="inlineStr">
        <is>
          <t>Latest rating: 3 · Potential: Low · 9-box: Core Contributor · Readiness: Develop in role</t>
        </is>
      </c>
      <c r="W145" s="31" t="inlineStr">
        <is>
          <t>C M · Au M · Ac M · L L · BI M · Exp M · 0.3 yrs vs 0–2 yrs · Edu M · B.Tech</t>
        </is>
      </c>
      <c r="X145" s="33" t="inlineStr">
        <is>
          <t>Open ▸</t>
        </is>
      </c>
      <c r="Y145" s="34" t="str">
        <f>IFERROR(INDEX(DL_C,MATCH($CA145,DL_KEY,0)),"M")</f>
        <v>H</v>
      </c>
      <c r="Z145" s="35" t="str">
        <f>IFERROR(INDEX(DL_Au,MATCH($CA145,DL_KEY,0)),"M")</f>
        <v>M</v>
      </c>
      <c r="AA145" s="35" t="str">
        <f>IFERROR(INDEX(DL_Ac,MATCH($CA145,DL_KEY,0)),"M")</f>
        <v>L</v>
      </c>
      <c r="AB145" s="35" t="str">
        <f>IFERROR(INDEX(DL_L,MATCH($CA145,DL_KEY,0)),"M")</f>
        <v>L</v>
      </c>
      <c r="AC145" s="35" t="str">
        <f>IFERROR(INDEX(DL_BI,MATCH($CA145,DL_KEY,0)),"M")</f>
        <v>M</v>
      </c>
      <c r="AD145" s="35" t="str">
        <f>IFERROR(INDEX(DL_Exp,MATCH($CA145,DL_KEY,0)),"M")</f>
        <v>L</v>
      </c>
      <c r="AE145" s="35" t="str">
        <f>IFERROR(INDEX(DL_Edu,MATCH($CA145,DL_KEY,0)),"M")</f>
        <v>L</v>
      </c>
      <c r="AF145" s="34" t="inlineStr">
        <is>
          <t>M</t>
        </is>
      </c>
      <c r="AG145" s="35" t="inlineStr">
        <is>
          <t>M</t>
        </is>
      </c>
      <c r="AH145" s="35" t="inlineStr">
        <is>
          <t>M</t>
        </is>
      </c>
      <c r="AI145" s="35" t="inlineStr">
        <is>
          <t>M</t>
        </is>
      </c>
      <c r="AJ145" s="35" t="inlineStr">
        <is>
          <t>M</t>
        </is>
      </c>
      <c r="AK145" s="35" t="inlineStr">
        <is>
          <t>M</t>
        </is>
      </c>
      <c r="AL145" s="35" t="inlineStr">
        <is>
          <t>M</t>
        </is>
      </c>
      <c r="AM145" s="36" t="n">
        <v>0.583</v>
      </c>
      <c r="AN145" s="37" t="n">
        <v>0.16</v>
      </c>
      <c r="AO145" s="37" t="n">
        <v>0.09</v>
      </c>
      <c r="AP145" s="37" t="n">
        <v>0</v>
      </c>
      <c r="AQ145" s="37" t="n">
        <v>0.063</v>
      </c>
      <c r="AR145" s="37" t="n">
        <v>0.06</v>
      </c>
      <c r="AS145" s="37" t="n">
        <v>0.04</v>
      </c>
      <c r="AT145" s="38" t="inlineStr">
        <is>
          <t>0–3</t>
        </is>
      </c>
      <c r="AU145" s="38" t="inlineStr">
        <is>
          <t>Graduate · or diploma with experience</t>
        </is>
      </c>
      <c r="AV145" s="38" t="inlineStr">
        <is>
          <t>No direct reports</t>
        </is>
      </c>
      <c r="AW145" s="38" t="inlineStr">
        <is>
          <t>P1–P2 · SFIA 2 Assist</t>
        </is>
      </c>
      <c r="AX1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5" s="39" t="inlineStr">
        <is>
          <t>A2</t>
        </is>
      </c>
      <c r="AZ145" s="40" t="inlineStr">
        <is>
          <t>Band A · Practitioner · Associate</t>
        </is>
      </c>
      <c r="BA145" s="40" t="inlineStr">
        <is>
          <t>Model A2 from the six ratings, the market-derived weights and rules R1–R13 · then No change · already below the manager</t>
        </is>
      </c>
      <c r="BB145" s="41" t="inlineStr">
        <is>
          <t>A2</t>
        </is>
      </c>
      <c r="BC145" s="40" t="inlineStr">
        <is>
          <t>The six ratings on the market-average weights of Band A · all tracks score 1.95 → A2 · Hay, Mercer IPE and public plans · experience 0.3 yrs vs the A2 market range 0–3</t>
        </is>
      </c>
      <c r="BD145" s="42">
        <f>IF(SUM(BM145,BN145,BO145,BP145,BQ145,BR145,BS145)=0,0,(BM145*BT145+BN145*BU145+BO145*BV145+BP145*BW145+BQ145*BX145+BR145*BY145+BS145*BZ145)/SUM(BM145,BN145,BO145,BP145,BQ145,BR145,BS145))</f>
        <v>0</v>
      </c>
      <c r="BE145" s="41" t="str">
        <f>IF(LEFT(AY145,1)="X",AY145,IF(OR(AY145="B+",AY145="C+"),INDEX(LAD_PC,MAX(1,MIN(14,MATCH(AY145,LAD_PC,0)+IF(BD145&gt;=0.5,1,IF(BD145&lt;=-0.5,-1,0))))),INDEX(LAD_STD,MAX(1,MIN(12,MATCH(AY145,LAD_STD,0)+IF(BD145&gt;=0.5,1,IF(BD145&lt;=-0.5,-1,0)))))))</f>
        <v>A2</v>
      </c>
      <c r="BF145" s="43" t="n"/>
      <c r="BG145" s="41" t="str">
        <f>IF(BF145&lt;&gt;"",BF145,BE145)</f>
        <v>A2</v>
      </c>
      <c r="BH145" s="40" t="str">
        <f>IFERROR(CHOOSE(INDEX(B_RANK,MATCH(BG145,B_LVL,0)),"Band A","Band B","B+ · Player-Coach","Band C","C+ · Player-Coach","Band D","Band E"),"Band X · Consultant")</f>
        <v>Band A</v>
      </c>
      <c r="BI145" s="40" t="str">
        <f>IF(BG145=AY145,"• Same",IF(INDEX(B_VAL,MATCH(BG145,B_LVL,0))&gt;INDEX(B_VAL,MATCH(AY145,B_LVL,0)),"▲ Up","▼ Down"))</f>
        <v>• Same</v>
      </c>
      <c r="BJ145" s="40" t="str">
        <f>IF(OR($M145="",$M145="—",$M145="Not in this file"),"",IFERROR(INDEX($BG$7:$BG$592,MATCH($M145,$D$7:$D$592,0)),""))</f>
        <v>A3</v>
      </c>
      <c r="BK145" s="40" t="str">
        <f>IFERROR(IF(BJ145="","—",IF(OR(LEFT(BG145,1)="X",LEFT(BJ145,1)="X"),"—",IF(AND(LEFT(BG145,1)="E",LEFT(BJ145,1)="E"),"Exception · Band E",IF(AND(INDEX(B_VAL,MATCH(BJ145,B_LVL,0))&gt;=7,INDEX(B_RANK,MATCH(BG145,B_LVL,0))&gt;=INDEX(B_RANK,MATCH(BJ145,B_LVL,0))),"⚠ Same band as a head manager",IF(INDEX(B_VAL,MATCH(BG145,B_LVL,0))&gt;=INDEX(B_VAL,MATCH(BJ145,B_LVL,0)),"⚠ At or above the manager's level","OK"))))),"—")</f>
        <v>OK</v>
      </c>
      <c r="BL145" s="43" t="n"/>
      <c r="BM145" s="44">
        <f>IFERROR(INDEX(LMH_PTS,MATCH(Y145,LMH_KEY,0)),0)</f>
        <v>9</v>
      </c>
      <c r="BN145" s="38">
        <f>IFERROR(INDEX(LMH_PTS,MATCH(Z145,LMH_KEY,0)),0)</f>
        <v>3</v>
      </c>
      <c r="BO145" s="38">
        <f>IFERROR(INDEX(LMH_PTS,MATCH(AA145,LMH_KEY,0)),0)</f>
        <v>1</v>
      </c>
      <c r="BP145" s="38">
        <f>IFERROR(INDEX(LMH_PTS,MATCH(AB145,LMH_KEY,0)),0)</f>
        <v>1</v>
      </c>
      <c r="BQ145" s="38">
        <f>IFERROR(INDEX(LMH_PTS,MATCH(AC145,LMH_KEY,0)),0)</f>
        <v>3</v>
      </c>
      <c r="BR145" s="38">
        <f>IFERROR(INDEX(LMH_PTS,MATCH(AD145,LMH_KEY,0)),0)</f>
        <v>1</v>
      </c>
      <c r="BS145" s="38">
        <f>IFERROR(INDEX(LMH_PTS,MATCH(AE145,LMH_KEY,0)),0)</f>
        <v>1</v>
      </c>
      <c r="BT145" s="38">
        <f>IFERROR(INDEX(LMH_STEP,MATCH(AF145,LMH_KEY,0)),0)</f>
        <v>0</v>
      </c>
      <c r="BU145" s="38">
        <f>IFERROR(INDEX(LMH_STEP,MATCH(AG145,LMH_KEY,0)),0)</f>
        <v>0</v>
      </c>
      <c r="BV145" s="38">
        <f>IFERROR(INDEX(LMH_STEP,MATCH(AH145,LMH_KEY,0)),0)</f>
        <v>0</v>
      </c>
      <c r="BW145" s="38">
        <f>IFERROR(INDEX(LMH_STEP,MATCH(AI145,LMH_KEY,0)),0)</f>
        <v>0</v>
      </c>
      <c r="BX145" s="38">
        <f>IFERROR(INDEX(LMH_STEP,MATCH(AJ145,LMH_KEY,0)),0)</f>
        <v>0</v>
      </c>
      <c r="BY145" s="38">
        <f>IFERROR(INDEX(LMH_STEP,MATCH(AK145,LMH_KEY,0)),0)</f>
        <v>0</v>
      </c>
      <c r="BZ145" s="38">
        <f>IFERROR(INDEX(LMH_STEP,MATCH(AL145,LMH_KEY,0)),0)</f>
        <v>0</v>
      </c>
      <c r="CA145" s="38" t="inlineStr">
        <is>
          <t>CARBON|Marketing|Marketing Operations Associate|A2|A</t>
        </is>
      </c>
    </row>
    <row r="146" ht="110" customHeight="1">
      <c r="A146" s="28" t="inlineStr">
        <is>
          <t>CARBON</t>
        </is>
      </c>
      <c r="B146" s="29" t="inlineStr">
        <is>
          <t>Marketing</t>
        </is>
      </c>
      <c r="C146" s="29" t="n">
        <v>6</v>
      </c>
      <c r="D146" s="29" t="inlineStr">
        <is>
          <t>IRIS2534</t>
        </is>
      </c>
      <c r="E146" s="29" t="inlineStr">
        <is>
          <t>Vishal</t>
        </is>
      </c>
      <c r="F146" s="29" t="inlineStr">
        <is>
          <t>Associate- MarkOps</t>
        </is>
      </c>
      <c r="G146" s="29" t="inlineStr">
        <is>
          <t>Marketing Operations Associate</t>
        </is>
      </c>
      <c r="H146" s="29" t="inlineStr">
        <is>
          <t>Marketing &amp; Communications</t>
        </is>
      </c>
      <c r="I146" s="29" t="inlineStr">
        <is>
          <t>Marketing Operations &amp; Automation</t>
        </is>
      </c>
      <c r="J146" s="29" t="inlineStr">
        <is>
          <t>IC</t>
        </is>
      </c>
      <c r="K146" s="29" t="inlineStr">
        <is>
          <t>RC-121</t>
        </is>
      </c>
      <c r="L146" s="29" t="inlineStr">
        <is>
          <t>Mounika Kattula</t>
        </is>
      </c>
      <c r="M146" s="29" t="inlineStr">
        <is>
          <t>IRIS2316</t>
        </is>
      </c>
      <c r="N146" s="29" t="n">
        <v>0.3</v>
      </c>
      <c r="O146" s="29" t="n">
        <v>0.3</v>
      </c>
      <c r="P146" s="29" t="inlineStr">
        <is>
          <t>B.E</t>
        </is>
      </c>
      <c r="Q146" s="29" t="inlineStr">
        <is>
          <t>L1 – Intern</t>
        </is>
      </c>
      <c r="R146" s="29" t="inlineStr">
        <is>
          <t>A2</t>
        </is>
      </c>
      <c r="S146" s="30" t="inlineStr">
        <is>
          <t>20 of 20</t>
        </is>
      </c>
      <c r="T146" s="31" t="inlineStr">
        <is>
          <t>• This role manages and improves data, maintains HubSpot and supports SDR requests.</t>
        </is>
      </c>
      <c r="U146" s="31" t="inlineStr">
        <is>
          <t>Received · manager annual · 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t>
        </is>
      </c>
      <c r="V146" s="31" t="inlineStr">
        <is>
          <t>Latest rating: 4 · Potential: Medium · 9-box: Core Contributor · Readiness: Ready in 6–12 months</t>
        </is>
      </c>
      <c r="W146" s="31" t="inlineStr">
        <is>
          <t>C M · Au M · Ac M · L L · BI M · Exp M · 0.3 yrs vs 0–2 yrs · Edu M · B.E</t>
        </is>
      </c>
      <c r="X146" s="33" t="inlineStr">
        <is>
          <t>Open ▸</t>
        </is>
      </c>
      <c r="Y146" s="34" t="str">
        <f>IFERROR(INDEX(DL_C,MATCH($CA146,DL_KEY,0)),"M")</f>
        <v>H</v>
      </c>
      <c r="Z146" s="35" t="str">
        <f>IFERROR(INDEX(DL_Au,MATCH($CA146,DL_KEY,0)),"M")</f>
        <v>M</v>
      </c>
      <c r="AA146" s="35" t="str">
        <f>IFERROR(INDEX(DL_Ac,MATCH($CA146,DL_KEY,0)),"M")</f>
        <v>L</v>
      </c>
      <c r="AB146" s="35" t="str">
        <f>IFERROR(INDEX(DL_L,MATCH($CA146,DL_KEY,0)),"M")</f>
        <v>L</v>
      </c>
      <c r="AC146" s="35" t="str">
        <f>IFERROR(INDEX(DL_BI,MATCH($CA146,DL_KEY,0)),"M")</f>
        <v>M</v>
      </c>
      <c r="AD146" s="35" t="str">
        <f>IFERROR(INDEX(DL_Exp,MATCH($CA146,DL_KEY,0)),"M")</f>
        <v>L</v>
      </c>
      <c r="AE146" s="35" t="str">
        <f>IFERROR(INDEX(DL_Edu,MATCH($CA146,DL_KEY,0)),"M")</f>
        <v>L</v>
      </c>
      <c r="AF146" s="34" t="inlineStr">
        <is>
          <t>M</t>
        </is>
      </c>
      <c r="AG146" s="35" t="inlineStr">
        <is>
          <t>M</t>
        </is>
      </c>
      <c r="AH146" s="35" t="inlineStr">
        <is>
          <t>M</t>
        </is>
      </c>
      <c r="AI146" s="35" t="inlineStr">
        <is>
          <t>M</t>
        </is>
      </c>
      <c r="AJ146" s="35" t="inlineStr">
        <is>
          <t>M</t>
        </is>
      </c>
      <c r="AK146" s="35" t="inlineStr">
        <is>
          <t>M</t>
        </is>
      </c>
      <c r="AL146" s="35" t="inlineStr">
        <is>
          <t>M</t>
        </is>
      </c>
      <c r="AM146" s="36" t="n">
        <v>0.583</v>
      </c>
      <c r="AN146" s="37" t="n">
        <v>0.16</v>
      </c>
      <c r="AO146" s="37" t="n">
        <v>0.09</v>
      </c>
      <c r="AP146" s="37" t="n">
        <v>0</v>
      </c>
      <c r="AQ146" s="37" t="n">
        <v>0.063</v>
      </c>
      <c r="AR146" s="37" t="n">
        <v>0.06</v>
      </c>
      <c r="AS146" s="37" t="n">
        <v>0.04</v>
      </c>
      <c r="AT146" s="38" t="inlineStr">
        <is>
          <t>0–3</t>
        </is>
      </c>
      <c r="AU146" s="38" t="inlineStr">
        <is>
          <t>Graduate · or diploma with experience</t>
        </is>
      </c>
      <c r="AV146" s="38" t="inlineStr">
        <is>
          <t>No direct reports</t>
        </is>
      </c>
      <c r="AW146" s="38" t="inlineStr">
        <is>
          <t>P1–P2 · SFIA 2 Assist</t>
        </is>
      </c>
      <c r="AX1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6" s="39" t="inlineStr">
        <is>
          <t>A2</t>
        </is>
      </c>
      <c r="AZ146" s="40" t="inlineStr">
        <is>
          <t>Band A · Practitioner · Associate</t>
        </is>
      </c>
      <c r="BA146" s="40" t="inlineStr">
        <is>
          <t>Model A2 from the six ratings, the market-derived weights and rules R1–R13 · then No change · already below the manager</t>
        </is>
      </c>
      <c r="BB146" s="41" t="inlineStr">
        <is>
          <t>A2</t>
        </is>
      </c>
      <c r="BC146" s="40" t="inlineStr">
        <is>
          <t>The six ratings on the market-average weights of Band A · all tracks score 1.95 → A2 · Hay, Mercer IPE and public plans · experience 0.3 yrs vs the A2 market range 0–3</t>
        </is>
      </c>
      <c r="BD146" s="42">
        <f>IF(SUM(BM146,BN146,BO146,BP146,BQ146,BR146,BS146)=0,0,(BM146*BT146+BN146*BU146+BO146*BV146+BP146*BW146+BQ146*BX146+BR146*BY146+BS146*BZ146)/SUM(BM146,BN146,BO146,BP146,BQ146,BR146,BS146))</f>
        <v>0</v>
      </c>
      <c r="BE146" s="41" t="str">
        <f>IF(LEFT(AY146,1)="X",AY146,IF(OR(AY146="B+",AY146="C+"),INDEX(LAD_PC,MAX(1,MIN(14,MATCH(AY146,LAD_PC,0)+IF(BD146&gt;=0.5,1,IF(BD146&lt;=-0.5,-1,0))))),INDEX(LAD_STD,MAX(1,MIN(12,MATCH(AY146,LAD_STD,0)+IF(BD146&gt;=0.5,1,IF(BD146&lt;=-0.5,-1,0)))))))</f>
        <v>A2</v>
      </c>
      <c r="BF146" s="43" t="n"/>
      <c r="BG146" s="41" t="str">
        <f>IF(BF146&lt;&gt;"",BF146,BE146)</f>
        <v>A2</v>
      </c>
      <c r="BH146" s="40" t="str">
        <f>IFERROR(CHOOSE(INDEX(B_RANK,MATCH(BG146,B_LVL,0)),"Band A","Band B","B+ · Player-Coach","Band C","C+ · Player-Coach","Band D","Band E"),"Band X · Consultant")</f>
        <v>Band A</v>
      </c>
      <c r="BI146" s="40" t="str">
        <f>IF(BG146=AY146,"• Same",IF(INDEX(B_VAL,MATCH(BG146,B_LVL,0))&gt;INDEX(B_VAL,MATCH(AY146,B_LVL,0)),"▲ Up","▼ Down"))</f>
        <v>• Same</v>
      </c>
      <c r="BJ146" s="40" t="str">
        <f>IF(OR($M146="",$M146="—",$M146="Not in this file"),"",IFERROR(INDEX($BG$7:$BG$592,MATCH($M146,$D$7:$D$592,0)),""))</f>
        <v>A3</v>
      </c>
      <c r="BK146" s="40" t="str">
        <f>IFERROR(IF(BJ146="","—",IF(OR(LEFT(BG146,1)="X",LEFT(BJ146,1)="X"),"—",IF(AND(LEFT(BG146,1)="E",LEFT(BJ146,1)="E"),"Exception · Band E",IF(AND(INDEX(B_VAL,MATCH(BJ146,B_LVL,0))&gt;=7,INDEX(B_RANK,MATCH(BG146,B_LVL,0))&gt;=INDEX(B_RANK,MATCH(BJ146,B_LVL,0))),"⚠ Same band as a head manager",IF(INDEX(B_VAL,MATCH(BG146,B_LVL,0))&gt;=INDEX(B_VAL,MATCH(BJ146,B_LVL,0)),"⚠ At or above the manager's level","OK"))))),"—")</f>
        <v>OK</v>
      </c>
      <c r="BL146" s="43" t="n"/>
      <c r="BM146" s="44">
        <f>IFERROR(INDEX(LMH_PTS,MATCH(Y146,LMH_KEY,0)),0)</f>
        <v>9</v>
      </c>
      <c r="BN146" s="38">
        <f>IFERROR(INDEX(LMH_PTS,MATCH(Z146,LMH_KEY,0)),0)</f>
        <v>3</v>
      </c>
      <c r="BO146" s="38">
        <f>IFERROR(INDEX(LMH_PTS,MATCH(AA146,LMH_KEY,0)),0)</f>
        <v>1</v>
      </c>
      <c r="BP146" s="38">
        <f>IFERROR(INDEX(LMH_PTS,MATCH(AB146,LMH_KEY,0)),0)</f>
        <v>1</v>
      </c>
      <c r="BQ146" s="38">
        <f>IFERROR(INDEX(LMH_PTS,MATCH(AC146,LMH_KEY,0)),0)</f>
        <v>3</v>
      </c>
      <c r="BR146" s="38">
        <f>IFERROR(INDEX(LMH_PTS,MATCH(AD146,LMH_KEY,0)),0)</f>
        <v>1</v>
      </c>
      <c r="BS146" s="38">
        <f>IFERROR(INDEX(LMH_PTS,MATCH(AE146,LMH_KEY,0)),0)</f>
        <v>1</v>
      </c>
      <c r="BT146" s="38">
        <f>IFERROR(INDEX(LMH_STEP,MATCH(AF146,LMH_KEY,0)),0)</f>
        <v>0</v>
      </c>
      <c r="BU146" s="38">
        <f>IFERROR(INDEX(LMH_STEP,MATCH(AG146,LMH_KEY,0)),0)</f>
        <v>0</v>
      </c>
      <c r="BV146" s="38">
        <f>IFERROR(INDEX(LMH_STEP,MATCH(AH146,LMH_KEY,0)),0)</f>
        <v>0</v>
      </c>
      <c r="BW146" s="38">
        <f>IFERROR(INDEX(LMH_STEP,MATCH(AI146,LMH_KEY,0)),0)</f>
        <v>0</v>
      </c>
      <c r="BX146" s="38">
        <f>IFERROR(INDEX(LMH_STEP,MATCH(AJ146,LMH_KEY,0)),0)</f>
        <v>0</v>
      </c>
      <c r="BY146" s="38">
        <f>IFERROR(INDEX(LMH_STEP,MATCH(AK146,LMH_KEY,0)),0)</f>
        <v>0</v>
      </c>
      <c r="BZ146" s="38">
        <f>IFERROR(INDEX(LMH_STEP,MATCH(AL146,LMH_KEY,0)),0)</f>
        <v>0</v>
      </c>
      <c r="CA146" s="38" t="inlineStr">
        <is>
          <t>CARBON|Marketing|Marketing Operations Associate|A2|A</t>
        </is>
      </c>
    </row>
    <row r="147" ht="110" customHeight="1">
      <c r="A147" s="28" t="inlineStr">
        <is>
          <t>CARBON</t>
        </is>
      </c>
      <c r="B147" s="29" t="inlineStr">
        <is>
          <t>Marketing</t>
        </is>
      </c>
      <c r="C147" s="29" t="n">
        <v>5</v>
      </c>
      <c r="D147" s="29" t="inlineStr">
        <is>
          <t>IRIS2514</t>
        </is>
      </c>
      <c r="E147" s="29" t="inlineStr">
        <is>
          <t>Jatin Khare</t>
        </is>
      </c>
      <c r="F147" s="29" t="inlineStr">
        <is>
          <t>Marketing Associate</t>
        </is>
      </c>
      <c r="G147" s="29" t="inlineStr">
        <is>
          <t>Content Marketing Associate</t>
        </is>
      </c>
      <c r="H147" s="29" t="inlineStr">
        <is>
          <t>Marketing &amp; Communications</t>
        </is>
      </c>
      <c r="I147" s="29" t="inlineStr">
        <is>
          <t>Content Marketing</t>
        </is>
      </c>
      <c r="J147" s="29" t="inlineStr">
        <is>
          <t>IC</t>
        </is>
      </c>
      <c r="K147" s="29" t="inlineStr">
        <is>
          <t>RC-111</t>
        </is>
      </c>
      <c r="L147" s="29" t="inlineStr">
        <is>
          <t>Sudipta Kundu</t>
        </is>
      </c>
      <c r="M147" s="29" t="inlineStr">
        <is>
          <t>IRIS2502</t>
        </is>
      </c>
      <c r="N147" s="29" t="n">
        <v>0.4</v>
      </c>
      <c r="O147" s="29" t="n">
        <v>0.4</v>
      </c>
      <c r="P147" s="29" t="inlineStr">
        <is>
          <t>PGDM</t>
        </is>
      </c>
      <c r="Q147" s="29" t="inlineStr">
        <is>
          <t>L3 – Professional / Associate</t>
        </is>
      </c>
      <c r="R147" s="29" t="inlineStr">
        <is>
          <t>A2</t>
        </is>
      </c>
      <c r="S147" s="30" t="inlineStr">
        <is>
          <t>19 of 20</t>
        </is>
      </c>
      <c r="T147" s="31" t="inlineStr">
        <is>
          <t>• This role manages event marketing and operations by coordinating internal and external stakeholders for exhibition events.</t>
        </is>
      </c>
      <c r="U147" s="32" t="inlineStr">
        <is>
          <t>KRAs not received · manager to supply</t>
        </is>
      </c>
      <c r="V147" s="31" t="inlineStr">
        <is>
          <t>Latest rating: Not rated · manager · Potential: Medium · 9-box: Core Contributor · Readiness: Develop in role</t>
        </is>
      </c>
      <c r="W147" s="31" t="inlineStr">
        <is>
          <t>C M · Au M · Ac M · L L · BI M · Exp M · 0.4 yrs vs 0–2 yrs · Edu H · PGDM</t>
        </is>
      </c>
      <c r="X147" s="33" t="inlineStr">
        <is>
          <t>Open ▸</t>
        </is>
      </c>
      <c r="Y147" s="34" t="str">
        <f>IFERROR(INDEX(DL_C,MATCH($CA147,DL_KEY,0)),"M")</f>
        <v>H</v>
      </c>
      <c r="Z147" s="35" t="str">
        <f>IFERROR(INDEX(DL_Au,MATCH($CA147,DL_KEY,0)),"M")</f>
        <v>M</v>
      </c>
      <c r="AA147" s="35" t="str">
        <f>IFERROR(INDEX(DL_Ac,MATCH($CA147,DL_KEY,0)),"M")</f>
        <v>L</v>
      </c>
      <c r="AB147" s="35" t="str">
        <f>IFERROR(INDEX(DL_L,MATCH($CA147,DL_KEY,0)),"M")</f>
        <v>L</v>
      </c>
      <c r="AC147" s="35" t="str">
        <f>IFERROR(INDEX(DL_BI,MATCH($CA147,DL_KEY,0)),"M")</f>
        <v>M</v>
      </c>
      <c r="AD147" s="35" t="str">
        <f>IFERROR(INDEX(DL_Exp,MATCH($CA147,DL_KEY,0)),"M")</f>
        <v>L</v>
      </c>
      <c r="AE147" s="35" t="str">
        <f>IFERROR(INDEX(DL_Edu,MATCH($CA147,DL_KEY,0)),"M")</f>
        <v>L</v>
      </c>
      <c r="AF147" s="34" t="inlineStr">
        <is>
          <t>M</t>
        </is>
      </c>
      <c r="AG147" s="35" t="inlineStr">
        <is>
          <t>M</t>
        </is>
      </c>
      <c r="AH147" s="35" t="inlineStr">
        <is>
          <t>M</t>
        </is>
      </c>
      <c r="AI147" s="35" t="inlineStr">
        <is>
          <t>M</t>
        </is>
      </c>
      <c r="AJ147" s="35" t="inlineStr">
        <is>
          <t>M</t>
        </is>
      </c>
      <c r="AK147" s="35" t="inlineStr">
        <is>
          <t>M</t>
        </is>
      </c>
      <c r="AL147" s="35" t="inlineStr">
        <is>
          <t>M</t>
        </is>
      </c>
      <c r="AM147" s="36" t="n">
        <v>0.583</v>
      </c>
      <c r="AN147" s="37" t="n">
        <v>0.16</v>
      </c>
      <c r="AO147" s="37" t="n">
        <v>0.09</v>
      </c>
      <c r="AP147" s="37" t="n">
        <v>0</v>
      </c>
      <c r="AQ147" s="37" t="n">
        <v>0.063</v>
      </c>
      <c r="AR147" s="37" t="n">
        <v>0.06</v>
      </c>
      <c r="AS147" s="37" t="n">
        <v>0.04</v>
      </c>
      <c r="AT147" s="38" t="inlineStr">
        <is>
          <t>0–3</t>
        </is>
      </c>
      <c r="AU147" s="38" t="inlineStr">
        <is>
          <t>Graduate · or diploma with experience</t>
        </is>
      </c>
      <c r="AV147" s="38" t="inlineStr">
        <is>
          <t>No direct reports</t>
        </is>
      </c>
      <c r="AW147" s="38" t="inlineStr">
        <is>
          <t>P1–P2 · SFIA 2 Assist</t>
        </is>
      </c>
      <c r="AX1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7" s="39" t="inlineStr">
        <is>
          <t>A2</t>
        </is>
      </c>
      <c r="AZ147" s="40" t="inlineStr">
        <is>
          <t>Band A · Practitioner · Associate</t>
        </is>
      </c>
      <c r="BA147" s="40" t="inlineStr">
        <is>
          <t>Model A2 from the six ratings, the market-derived weights and rules R1–R13 · then No change · already below the manager</t>
        </is>
      </c>
      <c r="BB147" s="41" t="inlineStr">
        <is>
          <t>A2</t>
        </is>
      </c>
      <c r="BC147" s="40" t="inlineStr">
        <is>
          <t>The six ratings on the market-average weights of Band A · all tracks score 2.08 → A2 · Hay, Mercer IPE and public plans · experience 0.4 yrs vs the A2 market range 0–3</t>
        </is>
      </c>
      <c r="BD147" s="42">
        <f>IF(SUM(BM147,BN147,BO147,BP147,BQ147,BR147,BS147)=0,0,(BM147*BT147+BN147*BU147+BO147*BV147+BP147*BW147+BQ147*BX147+BR147*BY147+BS147*BZ147)/SUM(BM147,BN147,BO147,BP147,BQ147,BR147,BS147))</f>
        <v>0</v>
      </c>
      <c r="BE147" s="41" t="str">
        <f>IF(LEFT(AY147,1)="X",AY147,IF(OR(AY147="B+",AY147="C+"),INDEX(LAD_PC,MAX(1,MIN(14,MATCH(AY147,LAD_PC,0)+IF(BD147&gt;=0.5,1,IF(BD147&lt;=-0.5,-1,0))))),INDEX(LAD_STD,MAX(1,MIN(12,MATCH(AY147,LAD_STD,0)+IF(BD147&gt;=0.5,1,IF(BD147&lt;=-0.5,-1,0)))))))</f>
        <v>A2</v>
      </c>
      <c r="BF147" s="43" t="n"/>
      <c r="BG147" s="41" t="str">
        <f>IF(BF147&lt;&gt;"",BF147,BE147)</f>
        <v>A2</v>
      </c>
      <c r="BH147" s="40" t="str">
        <f>IFERROR(CHOOSE(INDEX(B_RANK,MATCH(BG147,B_LVL,0)),"Band A","Band B","B+ · Player-Coach","Band C","C+ · Player-Coach","Band D","Band E"),"Band X · Consultant")</f>
        <v>Band A</v>
      </c>
      <c r="BI147" s="40" t="str">
        <f>IF(BG147=AY147,"• Same",IF(INDEX(B_VAL,MATCH(BG147,B_LVL,0))&gt;INDEX(B_VAL,MATCH(AY147,B_LVL,0)),"▲ Up","▼ Down"))</f>
        <v>• Same</v>
      </c>
      <c r="BJ147" s="40" t="str">
        <f>IF(OR($M147="",$M147="—",$M147="Not in this file"),"",IFERROR(INDEX($BG$7:$BG$592,MATCH($M147,$D$7:$D$592,0)),""))</f>
        <v>B2</v>
      </c>
      <c r="BK147" s="40" t="str">
        <f>IFERROR(IF(BJ147="","—",IF(OR(LEFT(BG147,1)="X",LEFT(BJ147,1)="X"),"—",IF(AND(LEFT(BG147,1)="E",LEFT(BJ147,1)="E"),"Exception · Band E",IF(AND(INDEX(B_VAL,MATCH(BJ147,B_LVL,0))&gt;=7,INDEX(B_RANK,MATCH(BG147,B_LVL,0))&gt;=INDEX(B_RANK,MATCH(BJ147,B_LVL,0))),"⚠ Same band as a head manager",IF(INDEX(B_VAL,MATCH(BG147,B_LVL,0))&gt;=INDEX(B_VAL,MATCH(BJ147,B_LVL,0)),"⚠ At or above the manager's level","OK"))))),"—")</f>
        <v>OK</v>
      </c>
      <c r="BL147" s="43" t="n"/>
      <c r="BM147" s="44">
        <f>IFERROR(INDEX(LMH_PTS,MATCH(Y147,LMH_KEY,0)),0)</f>
        <v>9</v>
      </c>
      <c r="BN147" s="38">
        <f>IFERROR(INDEX(LMH_PTS,MATCH(Z147,LMH_KEY,0)),0)</f>
        <v>3</v>
      </c>
      <c r="BO147" s="38">
        <f>IFERROR(INDEX(LMH_PTS,MATCH(AA147,LMH_KEY,0)),0)</f>
        <v>1</v>
      </c>
      <c r="BP147" s="38">
        <f>IFERROR(INDEX(LMH_PTS,MATCH(AB147,LMH_KEY,0)),0)</f>
        <v>1</v>
      </c>
      <c r="BQ147" s="38">
        <f>IFERROR(INDEX(LMH_PTS,MATCH(AC147,LMH_KEY,0)),0)</f>
        <v>3</v>
      </c>
      <c r="BR147" s="38">
        <f>IFERROR(INDEX(LMH_PTS,MATCH(AD147,LMH_KEY,0)),0)</f>
        <v>1</v>
      </c>
      <c r="BS147" s="38">
        <f>IFERROR(INDEX(LMH_PTS,MATCH(AE147,LMH_KEY,0)),0)</f>
        <v>1</v>
      </c>
      <c r="BT147" s="38">
        <f>IFERROR(INDEX(LMH_STEP,MATCH(AF147,LMH_KEY,0)),0)</f>
        <v>0</v>
      </c>
      <c r="BU147" s="38">
        <f>IFERROR(INDEX(LMH_STEP,MATCH(AG147,LMH_KEY,0)),0)</f>
        <v>0</v>
      </c>
      <c r="BV147" s="38">
        <f>IFERROR(INDEX(LMH_STEP,MATCH(AH147,LMH_KEY,0)),0)</f>
        <v>0</v>
      </c>
      <c r="BW147" s="38">
        <f>IFERROR(INDEX(LMH_STEP,MATCH(AI147,LMH_KEY,0)),0)</f>
        <v>0</v>
      </c>
      <c r="BX147" s="38">
        <f>IFERROR(INDEX(LMH_STEP,MATCH(AJ147,LMH_KEY,0)),0)</f>
        <v>0</v>
      </c>
      <c r="BY147" s="38">
        <f>IFERROR(INDEX(LMH_STEP,MATCH(AK147,LMH_KEY,0)),0)</f>
        <v>0</v>
      </c>
      <c r="BZ147" s="38">
        <f>IFERROR(INDEX(LMH_STEP,MATCH(AL147,LMH_KEY,0)),0)</f>
        <v>0</v>
      </c>
      <c r="CA147" s="38" t="inlineStr">
        <is>
          <t>CARBON|Marketing|Content Marketing Associate|A2|A</t>
        </is>
      </c>
    </row>
    <row r="148" ht="110" customHeight="1">
      <c r="A148" s="28" t="inlineStr">
        <is>
          <t>CARBON</t>
        </is>
      </c>
      <c r="B148" s="29" t="inlineStr">
        <is>
          <t>Marketing</t>
        </is>
      </c>
      <c r="C148" s="29" t="n">
        <v>5</v>
      </c>
      <c r="D148" s="29" t="inlineStr">
        <is>
          <t>IRIS2391</t>
        </is>
      </c>
      <c r="E148" s="29" t="inlineStr">
        <is>
          <t>Ritam Mukhopadhyay</t>
        </is>
      </c>
      <c r="F148" s="29" t="inlineStr">
        <is>
          <t>Marketing Operations Executive</t>
        </is>
      </c>
      <c r="G148" s="29" t="inlineStr">
        <is>
          <t>Marketing Operations Associate</t>
        </is>
      </c>
      <c r="H148" s="29" t="inlineStr">
        <is>
          <t>Marketing &amp; Communications</t>
        </is>
      </c>
      <c r="I148" s="29" t="inlineStr">
        <is>
          <t>Marketing Operations &amp; Automation</t>
        </is>
      </c>
      <c r="J148" s="29" t="inlineStr">
        <is>
          <t>IC</t>
        </is>
      </c>
      <c r="K148" s="29" t="inlineStr">
        <is>
          <t>RC-121</t>
        </is>
      </c>
      <c r="L148" s="29" t="inlineStr">
        <is>
          <t>Sudipta Kundu</t>
        </is>
      </c>
      <c r="M148" s="29" t="inlineStr">
        <is>
          <t>IRIS2502</t>
        </is>
      </c>
      <c r="N148" s="29" t="n">
        <v>1.2</v>
      </c>
      <c r="O148" s="29" t="n">
        <v>1.2</v>
      </c>
      <c r="P148" s="29" t="inlineStr">
        <is>
          <t>B.Tech</t>
        </is>
      </c>
      <c r="Q148" s="29" t="inlineStr">
        <is>
          <t>L3 – Professional / Associate</t>
        </is>
      </c>
      <c r="R148" s="29" t="inlineStr">
        <is>
          <t>A2</t>
        </is>
      </c>
      <c r="S148" s="30" t="inlineStr">
        <is>
          <t>20 of 20</t>
        </is>
      </c>
      <c r="T148" s="31" t="inlineStr">
        <is>
          <t>• This role creates marketing reporting dashboards for leadership and maintains processes and data governance.</t>
        </is>
      </c>
      <c r="U148" s="31" t="inlineStr">
        <is>
          <t>Received · manager annual · 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t>
        </is>
      </c>
      <c r="V148" s="31" t="inlineStr">
        <is>
          <t>Latest rating: 3 · Potential: Medium · 9-box: Reliable Specialist · Readiness: Develop in role</t>
        </is>
      </c>
      <c r="W148" s="31" t="inlineStr">
        <is>
          <t>C M · Au M · Ac M · L L · BI M · Exp M · 1.2 yrs vs 0–2 yrs · Edu M · B.Tech</t>
        </is>
      </c>
      <c r="X148" s="33" t="inlineStr">
        <is>
          <t>Open ▸</t>
        </is>
      </c>
      <c r="Y148" s="34" t="str">
        <f>IFERROR(INDEX(DL_C,MATCH($CA148,DL_KEY,0)),"M")</f>
        <v>H</v>
      </c>
      <c r="Z148" s="35" t="str">
        <f>IFERROR(INDEX(DL_Au,MATCH($CA148,DL_KEY,0)),"M")</f>
        <v>M</v>
      </c>
      <c r="AA148" s="35" t="str">
        <f>IFERROR(INDEX(DL_Ac,MATCH($CA148,DL_KEY,0)),"M")</f>
        <v>L</v>
      </c>
      <c r="AB148" s="35" t="str">
        <f>IFERROR(INDEX(DL_L,MATCH($CA148,DL_KEY,0)),"M")</f>
        <v>L</v>
      </c>
      <c r="AC148" s="35" t="str">
        <f>IFERROR(INDEX(DL_BI,MATCH($CA148,DL_KEY,0)),"M")</f>
        <v>M</v>
      </c>
      <c r="AD148" s="35" t="str">
        <f>IFERROR(INDEX(DL_Exp,MATCH($CA148,DL_KEY,0)),"M")</f>
        <v>L</v>
      </c>
      <c r="AE148" s="35" t="str">
        <f>IFERROR(INDEX(DL_Edu,MATCH($CA148,DL_KEY,0)),"M")</f>
        <v>L</v>
      </c>
      <c r="AF148" s="34" t="inlineStr">
        <is>
          <t>M</t>
        </is>
      </c>
      <c r="AG148" s="35" t="inlineStr">
        <is>
          <t>M</t>
        </is>
      </c>
      <c r="AH148" s="35" t="inlineStr">
        <is>
          <t>M</t>
        </is>
      </c>
      <c r="AI148" s="35" t="inlineStr">
        <is>
          <t>M</t>
        </is>
      </c>
      <c r="AJ148" s="35" t="inlineStr">
        <is>
          <t>M</t>
        </is>
      </c>
      <c r="AK148" s="35" t="inlineStr">
        <is>
          <t>M</t>
        </is>
      </c>
      <c r="AL148" s="35" t="inlineStr">
        <is>
          <t>M</t>
        </is>
      </c>
      <c r="AM148" s="36" t="n">
        <v>0.583</v>
      </c>
      <c r="AN148" s="37" t="n">
        <v>0.16</v>
      </c>
      <c r="AO148" s="37" t="n">
        <v>0.09</v>
      </c>
      <c r="AP148" s="37" t="n">
        <v>0</v>
      </c>
      <c r="AQ148" s="37" t="n">
        <v>0.063</v>
      </c>
      <c r="AR148" s="37" t="n">
        <v>0.06</v>
      </c>
      <c r="AS148" s="37" t="n">
        <v>0.04</v>
      </c>
      <c r="AT148" s="38" t="inlineStr">
        <is>
          <t>0–3</t>
        </is>
      </c>
      <c r="AU148" s="38" t="inlineStr">
        <is>
          <t>Graduate · or diploma with experience</t>
        </is>
      </c>
      <c r="AV148" s="38" t="inlineStr">
        <is>
          <t>No direct reports</t>
        </is>
      </c>
      <c r="AW148" s="38" t="inlineStr">
        <is>
          <t>P1–P2 · SFIA 2 Assist</t>
        </is>
      </c>
      <c r="AX1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8" s="39" t="inlineStr">
        <is>
          <t>A2</t>
        </is>
      </c>
      <c r="AZ148" s="40" t="inlineStr">
        <is>
          <t>Band A · Practitioner · Associate</t>
        </is>
      </c>
      <c r="BA148" s="40" t="inlineStr">
        <is>
          <t>Model A2 from the six ratings, the market-derived weights and rules R1–R13 · then No change · already below the manager</t>
        </is>
      </c>
      <c r="BB148" s="41" t="inlineStr">
        <is>
          <t>A2</t>
        </is>
      </c>
      <c r="BC148" s="40" t="inlineStr">
        <is>
          <t>The six ratings on the market-average weights of Band A · all tracks score 2.37 → A2 · Hay, Mercer IPE and public plans · experience 1.2 yrs vs the A2 market range 0–3</t>
        </is>
      </c>
      <c r="BD148" s="42">
        <f>IF(SUM(BM148,BN148,BO148,BP148,BQ148,BR148,BS148)=0,0,(BM148*BT148+BN148*BU148+BO148*BV148+BP148*BW148+BQ148*BX148+BR148*BY148+BS148*BZ148)/SUM(BM148,BN148,BO148,BP148,BQ148,BR148,BS148))</f>
        <v>0</v>
      </c>
      <c r="BE148" s="41" t="str">
        <f>IF(LEFT(AY148,1)="X",AY148,IF(OR(AY148="B+",AY148="C+"),INDEX(LAD_PC,MAX(1,MIN(14,MATCH(AY148,LAD_PC,0)+IF(BD148&gt;=0.5,1,IF(BD148&lt;=-0.5,-1,0))))),INDEX(LAD_STD,MAX(1,MIN(12,MATCH(AY148,LAD_STD,0)+IF(BD148&gt;=0.5,1,IF(BD148&lt;=-0.5,-1,0)))))))</f>
        <v>A2</v>
      </c>
      <c r="BF148" s="43" t="n"/>
      <c r="BG148" s="41" t="str">
        <f>IF(BF148&lt;&gt;"",BF148,BE148)</f>
        <v>A2</v>
      </c>
      <c r="BH148" s="40" t="str">
        <f>IFERROR(CHOOSE(INDEX(B_RANK,MATCH(BG148,B_LVL,0)),"Band A","Band B","B+ · Player-Coach","Band C","C+ · Player-Coach","Band D","Band E"),"Band X · Consultant")</f>
        <v>Band A</v>
      </c>
      <c r="BI148" s="40" t="str">
        <f>IF(BG148=AY148,"• Same",IF(INDEX(B_VAL,MATCH(BG148,B_LVL,0))&gt;INDEX(B_VAL,MATCH(AY148,B_LVL,0)),"▲ Up","▼ Down"))</f>
        <v>• Same</v>
      </c>
      <c r="BJ148" s="40" t="str">
        <f>IF(OR($M148="",$M148="—",$M148="Not in this file"),"",IFERROR(INDEX($BG$7:$BG$592,MATCH($M148,$D$7:$D$592,0)),""))</f>
        <v>B2</v>
      </c>
      <c r="BK148" s="40" t="str">
        <f>IFERROR(IF(BJ148="","—",IF(OR(LEFT(BG148,1)="X",LEFT(BJ148,1)="X"),"—",IF(AND(LEFT(BG148,1)="E",LEFT(BJ148,1)="E"),"Exception · Band E",IF(AND(INDEX(B_VAL,MATCH(BJ148,B_LVL,0))&gt;=7,INDEX(B_RANK,MATCH(BG148,B_LVL,0))&gt;=INDEX(B_RANK,MATCH(BJ148,B_LVL,0))),"⚠ Same band as a head manager",IF(INDEX(B_VAL,MATCH(BG148,B_LVL,0))&gt;=INDEX(B_VAL,MATCH(BJ148,B_LVL,0)),"⚠ At or above the manager's level","OK"))))),"—")</f>
        <v>OK</v>
      </c>
      <c r="BL148" s="43" t="n"/>
      <c r="BM148" s="44">
        <f>IFERROR(INDEX(LMH_PTS,MATCH(Y148,LMH_KEY,0)),0)</f>
        <v>9</v>
      </c>
      <c r="BN148" s="38">
        <f>IFERROR(INDEX(LMH_PTS,MATCH(Z148,LMH_KEY,0)),0)</f>
        <v>3</v>
      </c>
      <c r="BO148" s="38">
        <f>IFERROR(INDEX(LMH_PTS,MATCH(AA148,LMH_KEY,0)),0)</f>
        <v>1</v>
      </c>
      <c r="BP148" s="38">
        <f>IFERROR(INDEX(LMH_PTS,MATCH(AB148,LMH_KEY,0)),0)</f>
        <v>1</v>
      </c>
      <c r="BQ148" s="38">
        <f>IFERROR(INDEX(LMH_PTS,MATCH(AC148,LMH_KEY,0)),0)</f>
        <v>3</v>
      </c>
      <c r="BR148" s="38">
        <f>IFERROR(INDEX(LMH_PTS,MATCH(AD148,LMH_KEY,0)),0)</f>
        <v>1</v>
      </c>
      <c r="BS148" s="38">
        <f>IFERROR(INDEX(LMH_PTS,MATCH(AE148,LMH_KEY,0)),0)</f>
        <v>1</v>
      </c>
      <c r="BT148" s="38">
        <f>IFERROR(INDEX(LMH_STEP,MATCH(AF148,LMH_KEY,0)),0)</f>
        <v>0</v>
      </c>
      <c r="BU148" s="38">
        <f>IFERROR(INDEX(LMH_STEP,MATCH(AG148,LMH_KEY,0)),0)</f>
        <v>0</v>
      </c>
      <c r="BV148" s="38">
        <f>IFERROR(INDEX(LMH_STEP,MATCH(AH148,LMH_KEY,0)),0)</f>
        <v>0</v>
      </c>
      <c r="BW148" s="38">
        <f>IFERROR(INDEX(LMH_STEP,MATCH(AI148,LMH_KEY,0)),0)</f>
        <v>0</v>
      </c>
      <c r="BX148" s="38">
        <f>IFERROR(INDEX(LMH_STEP,MATCH(AJ148,LMH_KEY,0)),0)</f>
        <v>0</v>
      </c>
      <c r="BY148" s="38">
        <f>IFERROR(INDEX(LMH_STEP,MATCH(AK148,LMH_KEY,0)),0)</f>
        <v>0</v>
      </c>
      <c r="BZ148" s="38">
        <f>IFERROR(INDEX(LMH_STEP,MATCH(AL148,LMH_KEY,0)),0)</f>
        <v>0</v>
      </c>
      <c r="CA148" s="38" t="inlineStr">
        <is>
          <t>CARBON|Marketing|Marketing Operations Associate|A2|A</t>
        </is>
      </c>
    </row>
    <row r="149" ht="110" customHeight="1">
      <c r="A149" s="28" t="inlineStr">
        <is>
          <t>CARBON</t>
        </is>
      </c>
      <c r="B149" s="29" t="inlineStr">
        <is>
          <t>Marketing</t>
        </is>
      </c>
      <c r="C149" s="29" t="n">
        <v>4</v>
      </c>
      <c r="D149" s="29" t="inlineStr">
        <is>
          <t>IRIS2324</t>
        </is>
      </c>
      <c r="E149" s="29" t="inlineStr">
        <is>
          <t>Priyadarshini Dey</t>
        </is>
      </c>
      <c r="F149" s="29" t="inlineStr">
        <is>
          <t>Team Lead SDR</t>
        </is>
      </c>
      <c r="G149" s="29" t="inlineStr">
        <is>
          <t>Team Lead – Sales Development</t>
        </is>
      </c>
      <c r="H149" s="29" t="inlineStr">
        <is>
          <t>Sales &amp; Business Development</t>
        </is>
      </c>
      <c r="I149" s="29" t="inlineStr">
        <is>
          <t>Sales Development &amp; Prospecting</t>
        </is>
      </c>
      <c r="J149" s="29" t="inlineStr">
        <is>
          <t>People Manager</t>
        </is>
      </c>
      <c r="K149" s="29" t="inlineStr">
        <is>
          <t>RC-166</t>
        </is>
      </c>
      <c r="L149" s="29" t="inlineStr">
        <is>
          <t>Saahit Togaru</t>
        </is>
      </c>
      <c r="M149" s="29" t="inlineStr">
        <is>
          <t>IRIS2239</t>
        </is>
      </c>
      <c r="N149" s="29" t="n">
        <v>4.2</v>
      </c>
      <c r="O149" s="29" t="n">
        <v>1.9</v>
      </c>
      <c r="P149" s="29" t="inlineStr">
        <is>
          <t>B.Tech</t>
        </is>
      </c>
      <c r="Q149" s="29" t="inlineStr">
        <is>
          <t>L4 – Senior</t>
        </is>
      </c>
      <c r="R149" s="29" t="inlineStr">
        <is>
          <t>B1</t>
        </is>
      </c>
      <c r="S149" s="30" t="inlineStr">
        <is>
          <t>20 of 20</t>
        </is>
      </c>
      <c r="T149" s="31" t="inlineStr">
        <is>
          <t>My role of an SDR is to reach out to prospects, understand and recognise ICPs and put out what IRIS CARBON does in a consultative and strategic way; Outreach Pipeline Generation Strategies for the team</t>
        </is>
      </c>
      <c r="U149"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
        </is>
      </c>
      <c r="V149" s="31" t="inlineStr">
        <is>
          <t>Latest rating: Not rated · manager · 9-box: Underperformer / Exit Risk · Readiness: No rating data</t>
        </is>
      </c>
      <c r="W149" s="31" t="inlineStr">
        <is>
          <t>C M · Au M · Ac M · L M · BI M · Exp M · 4.2 yrs vs 4–7 yrs · Edu M · B.Tech</t>
        </is>
      </c>
      <c r="X149" s="33" t="inlineStr">
        <is>
          <t>Open ▸</t>
        </is>
      </c>
      <c r="Y149" s="34" t="str">
        <f>IFERROR(INDEX(DL_C,MATCH($CA149,DL_KEY,0)),"M")</f>
        <v>H</v>
      </c>
      <c r="Z149" s="35" t="str">
        <f>IFERROR(INDEX(DL_Au,MATCH($CA149,DL_KEY,0)),"M")</f>
        <v>M</v>
      </c>
      <c r="AA149" s="35" t="str">
        <f>IFERROR(INDEX(DL_Ac,MATCH($CA149,DL_KEY,0)),"M")</f>
        <v>L</v>
      </c>
      <c r="AB149" s="35" t="str">
        <f>IFERROR(INDEX(DL_L,MATCH($CA149,DL_KEY,0)),"M")</f>
        <v>M</v>
      </c>
      <c r="AC149" s="35" t="str">
        <f>IFERROR(INDEX(DL_BI,MATCH($CA149,DL_KEY,0)),"M")</f>
        <v>M</v>
      </c>
      <c r="AD149" s="35" t="str">
        <f>IFERROR(INDEX(DL_Exp,MATCH($CA149,DL_KEY,0)),"M")</f>
        <v>L</v>
      </c>
      <c r="AE149" s="35" t="str">
        <f>IFERROR(INDEX(DL_Edu,MATCH($CA149,DL_KEY,0)),"M")</f>
        <v>L</v>
      </c>
      <c r="AF149" s="34" t="inlineStr">
        <is>
          <t>M</t>
        </is>
      </c>
      <c r="AG149" s="35" t="inlineStr">
        <is>
          <t>M</t>
        </is>
      </c>
      <c r="AH149" s="35" t="inlineStr">
        <is>
          <t>M</t>
        </is>
      </c>
      <c r="AI149" s="35" t="inlineStr">
        <is>
          <t>M</t>
        </is>
      </c>
      <c r="AJ149" s="35" t="inlineStr">
        <is>
          <t>M</t>
        </is>
      </c>
      <c r="AK149" s="35" t="inlineStr">
        <is>
          <t>M</t>
        </is>
      </c>
      <c r="AL149" s="35" t="inlineStr">
        <is>
          <t>M</t>
        </is>
      </c>
      <c r="AM149" s="36" t="n">
        <v>0.37</v>
      </c>
      <c r="AN149" s="37" t="n">
        <v>0.183</v>
      </c>
      <c r="AO149" s="37" t="n">
        <v>0.113</v>
      </c>
      <c r="AP149" s="37" t="n">
        <v>0.15</v>
      </c>
      <c r="AQ149" s="37" t="n">
        <v>0.08699999999999999</v>
      </c>
      <c r="AR149" s="37" t="n">
        <v>0.06</v>
      </c>
      <c r="AS149" s="37" t="n">
        <v>0.04</v>
      </c>
      <c r="AT149" s="38" t="inlineStr">
        <is>
          <t>4–8</t>
        </is>
      </c>
      <c r="AU149" s="38" t="inlineStr">
        <is>
          <t>Graduate + relevant qualification or certification preferred</t>
        </is>
      </c>
      <c r="AV149" s="38" t="inlineStr">
        <is>
          <t>IC: none · Team Lead: 3–5</t>
        </is>
      </c>
      <c r="AW149" s="38" t="inlineStr">
        <is>
          <t>P3 / M2 · SFIA 4 Enable</t>
        </is>
      </c>
      <c r="AX1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9" s="39" t="inlineStr">
        <is>
          <t>B1</t>
        </is>
      </c>
      <c r="AZ149" s="40" t="inlineStr">
        <is>
          <t>Band B · Specialist / Manager · Team Lead / Asst Manager</t>
        </is>
      </c>
      <c r="BA149" s="40" t="inlineStr">
        <is>
          <t>Model B1 from the six ratings, the market-derived weights and rules R1–R13 · then No change · already below the manager</t>
        </is>
      </c>
      <c r="BB149" s="41" t="inlineStr">
        <is>
          <t>B1</t>
        </is>
      </c>
      <c r="BC149" s="40" t="inlineStr">
        <is>
          <t>The six ratings on the market-average weights of Band B · People Manager score 3.77 → B1 · Hay, Mercer IPE and public plans · experience 4.2 yrs vs the B1 market range 4–8</t>
        </is>
      </c>
      <c r="BD149" s="42">
        <f>IF(SUM(BM149,BN149,BO149,BP149,BQ149,BR149,BS149)=0,0,(BM149*BT149+BN149*BU149+BO149*BV149+BP149*BW149+BQ149*BX149+BR149*BY149+BS149*BZ149)/SUM(BM149,BN149,BO149,BP149,BQ149,BR149,BS149))</f>
        <v>0</v>
      </c>
      <c r="BE149" s="41" t="str">
        <f>IF(LEFT(AY149,1)="X",AY149,IF(OR(AY149="B+",AY149="C+"),INDEX(LAD_PC,MAX(1,MIN(14,MATCH(AY149,LAD_PC,0)+IF(BD149&gt;=0.5,1,IF(BD149&lt;=-0.5,-1,0))))),INDEX(LAD_STD,MAX(1,MIN(12,MATCH(AY149,LAD_STD,0)+IF(BD149&gt;=0.5,1,IF(BD149&lt;=-0.5,-1,0)))))))</f>
        <v>B1</v>
      </c>
      <c r="BF149" s="43" t="n"/>
      <c r="BG149" s="41" t="str">
        <f>IF(BF149&lt;&gt;"",BF149,BE149)</f>
        <v>B1</v>
      </c>
      <c r="BH149" s="40" t="str">
        <f>IFERROR(CHOOSE(INDEX(B_RANK,MATCH(BG149,B_LVL,0)),"Band A","Band B","B+ · Player-Coach","Band C","C+ · Player-Coach","Band D","Band E"),"Band X · Consultant")</f>
        <v>Band B</v>
      </c>
      <c r="BI149" s="40" t="str">
        <f>IF(BG149=AY149,"• Same",IF(INDEX(B_VAL,MATCH(BG149,B_LVL,0))&gt;INDEX(B_VAL,MATCH(AY149,B_LVL,0)),"▲ Up","▼ Down"))</f>
        <v>• Same</v>
      </c>
      <c r="BJ149" s="40" t="str">
        <f>IF(OR($M149="",$M149="—",$M149="Not in this file"),"",IFERROR(INDEX($BG$7:$BG$592,MATCH($M149,$D$7:$D$592,0)),""))</f>
        <v>B3</v>
      </c>
      <c r="BK149" s="40" t="str">
        <f>IFERROR(IF(BJ149="","—",IF(OR(LEFT(BG149,1)="X",LEFT(BJ149,1)="X"),"—",IF(AND(LEFT(BG149,1)="E",LEFT(BJ149,1)="E"),"Exception · Band E",IF(AND(INDEX(B_VAL,MATCH(BJ149,B_LVL,0))&gt;=7,INDEX(B_RANK,MATCH(BG149,B_LVL,0))&gt;=INDEX(B_RANK,MATCH(BJ149,B_LVL,0))),"⚠ Same band as a head manager",IF(INDEX(B_VAL,MATCH(BG149,B_LVL,0))&gt;=INDEX(B_VAL,MATCH(BJ149,B_LVL,0)),"⚠ At or above the manager's level","OK"))))),"—")</f>
        <v>OK</v>
      </c>
      <c r="BL149" s="43" t="n"/>
      <c r="BM149" s="44">
        <f>IFERROR(INDEX(LMH_PTS,MATCH(Y149,LMH_KEY,0)),0)</f>
        <v>9</v>
      </c>
      <c r="BN149" s="38">
        <f>IFERROR(INDEX(LMH_PTS,MATCH(Z149,LMH_KEY,0)),0)</f>
        <v>3</v>
      </c>
      <c r="BO149" s="38">
        <f>IFERROR(INDEX(LMH_PTS,MATCH(AA149,LMH_KEY,0)),0)</f>
        <v>1</v>
      </c>
      <c r="BP149" s="38">
        <f>IFERROR(INDEX(LMH_PTS,MATCH(AB149,LMH_KEY,0)),0)</f>
        <v>3</v>
      </c>
      <c r="BQ149" s="38">
        <f>IFERROR(INDEX(LMH_PTS,MATCH(AC149,LMH_KEY,0)),0)</f>
        <v>3</v>
      </c>
      <c r="BR149" s="38">
        <f>IFERROR(INDEX(LMH_PTS,MATCH(AD149,LMH_KEY,0)),0)</f>
        <v>1</v>
      </c>
      <c r="BS149" s="38">
        <f>IFERROR(INDEX(LMH_PTS,MATCH(AE149,LMH_KEY,0)),0)</f>
        <v>1</v>
      </c>
      <c r="BT149" s="38">
        <f>IFERROR(INDEX(LMH_STEP,MATCH(AF149,LMH_KEY,0)),0)</f>
        <v>0</v>
      </c>
      <c r="BU149" s="38">
        <f>IFERROR(INDEX(LMH_STEP,MATCH(AG149,LMH_KEY,0)),0)</f>
        <v>0</v>
      </c>
      <c r="BV149" s="38">
        <f>IFERROR(INDEX(LMH_STEP,MATCH(AH149,LMH_KEY,0)),0)</f>
        <v>0</v>
      </c>
      <c r="BW149" s="38">
        <f>IFERROR(INDEX(LMH_STEP,MATCH(AI149,LMH_KEY,0)),0)</f>
        <v>0</v>
      </c>
      <c r="BX149" s="38">
        <f>IFERROR(INDEX(LMH_STEP,MATCH(AJ149,LMH_KEY,0)),0)</f>
        <v>0</v>
      </c>
      <c r="BY149" s="38">
        <f>IFERROR(INDEX(LMH_STEP,MATCH(AK149,LMH_KEY,0)),0)</f>
        <v>0</v>
      </c>
      <c r="BZ149" s="38">
        <f>IFERROR(INDEX(LMH_STEP,MATCH(AL149,LMH_KEY,0)),0)</f>
        <v>0</v>
      </c>
      <c r="CA149" s="38" t="inlineStr">
        <is>
          <t>CARBON|Marketing|Team Lead – Sales Development|B1|B-M</t>
        </is>
      </c>
    </row>
    <row r="150" ht="110" customHeight="1">
      <c r="A150" s="28" t="inlineStr">
        <is>
          <t>CARBON</t>
        </is>
      </c>
      <c r="B150" s="29" t="inlineStr">
        <is>
          <t>Marketing</t>
        </is>
      </c>
      <c r="C150" s="29" t="n">
        <v>5</v>
      </c>
      <c r="D150" s="29" t="inlineStr">
        <is>
          <t>IRIS2513</t>
        </is>
      </c>
      <c r="E150" s="29" t="inlineStr">
        <is>
          <t>Satyarth Singh</t>
        </is>
      </c>
      <c r="F150" s="29" t="inlineStr">
        <is>
          <t>Marketing Associate</t>
        </is>
      </c>
      <c r="G150" s="29" t="inlineStr">
        <is>
          <t>Sales Development Representative</t>
        </is>
      </c>
      <c r="H150" s="29" t="inlineStr">
        <is>
          <t>Sales &amp; Business Development</t>
        </is>
      </c>
      <c r="I150" s="29" t="inlineStr">
        <is>
          <t>Sales Development &amp; Prospecting</t>
        </is>
      </c>
      <c r="J150" s="29" t="inlineStr">
        <is>
          <t>IC</t>
        </is>
      </c>
      <c r="K150" s="29" t="inlineStr">
        <is>
          <t>RC-163</t>
        </is>
      </c>
      <c r="L150" s="29" t="inlineStr">
        <is>
          <t>Priyadarshini Dey</t>
        </is>
      </c>
      <c r="M150" s="29" t="inlineStr">
        <is>
          <t>IRIS2324</t>
        </is>
      </c>
      <c r="N150" s="29" t="n">
        <v>0.4</v>
      </c>
      <c r="O150" s="29" t="n">
        <v>0.4</v>
      </c>
      <c r="P150" s="29" t="inlineStr">
        <is>
          <t>PGDM</t>
        </is>
      </c>
      <c r="Q150" s="29" t="inlineStr">
        <is>
          <t>L3 – Professional / Associate</t>
        </is>
      </c>
      <c r="R150" s="29" t="inlineStr">
        <is>
          <t>A2</t>
        </is>
      </c>
      <c r="S150" s="30" t="inlineStr">
        <is>
          <t>19 of 20</t>
        </is>
      </c>
      <c r="T150" s="31" t="inlineStr">
        <is>
          <t>• This role books pre-sales discovery meetings, primarily through outbound calls, between relevant ICPs and the sales and functional teams.</t>
        </is>
      </c>
      <c r="U150" s="32" t="inlineStr">
        <is>
          <t>KRAs not received · manager to supply</t>
        </is>
      </c>
      <c r="V150" s="31" t="inlineStr">
        <is>
          <t>Latest rating: Not rated · manager · 9-box: Not placed · manager · Readiness: No rating data</t>
        </is>
      </c>
      <c r="W150" s="31" t="inlineStr">
        <is>
          <t>C M · Au M · Ac M · L L · BI M · Exp M · 0.4 yrs vs 0–2 yrs · Edu H · PGDM</t>
        </is>
      </c>
      <c r="X150" s="33" t="inlineStr">
        <is>
          <t>Open ▸</t>
        </is>
      </c>
      <c r="Y150" s="34" t="str">
        <f>IFERROR(INDEX(DL_C,MATCH($CA150,DL_KEY,0)),"M")</f>
        <v>H</v>
      </c>
      <c r="Z150" s="35" t="str">
        <f>IFERROR(INDEX(DL_Au,MATCH($CA150,DL_KEY,0)),"M")</f>
        <v>M</v>
      </c>
      <c r="AA150" s="35" t="str">
        <f>IFERROR(INDEX(DL_Ac,MATCH($CA150,DL_KEY,0)),"M")</f>
        <v>L</v>
      </c>
      <c r="AB150" s="35" t="str">
        <f>IFERROR(INDEX(DL_L,MATCH($CA150,DL_KEY,0)),"M")</f>
        <v>L</v>
      </c>
      <c r="AC150" s="35" t="str">
        <f>IFERROR(INDEX(DL_BI,MATCH($CA150,DL_KEY,0)),"M")</f>
        <v>M</v>
      </c>
      <c r="AD150" s="35" t="str">
        <f>IFERROR(INDEX(DL_Exp,MATCH($CA150,DL_KEY,0)),"M")</f>
        <v>L</v>
      </c>
      <c r="AE150" s="35" t="str">
        <f>IFERROR(INDEX(DL_Edu,MATCH($CA150,DL_KEY,0)),"M")</f>
        <v>L</v>
      </c>
      <c r="AF150" s="34" t="inlineStr">
        <is>
          <t>M</t>
        </is>
      </c>
      <c r="AG150" s="35" t="inlineStr">
        <is>
          <t>M</t>
        </is>
      </c>
      <c r="AH150" s="35" t="inlineStr">
        <is>
          <t>M</t>
        </is>
      </c>
      <c r="AI150" s="35" t="inlineStr">
        <is>
          <t>M</t>
        </is>
      </c>
      <c r="AJ150" s="35" t="inlineStr">
        <is>
          <t>M</t>
        </is>
      </c>
      <c r="AK150" s="35" t="inlineStr">
        <is>
          <t>M</t>
        </is>
      </c>
      <c r="AL150" s="35" t="inlineStr">
        <is>
          <t>M</t>
        </is>
      </c>
      <c r="AM150" s="36" t="n">
        <v>0.583</v>
      </c>
      <c r="AN150" s="37" t="n">
        <v>0.16</v>
      </c>
      <c r="AO150" s="37" t="n">
        <v>0.09</v>
      </c>
      <c r="AP150" s="37" t="n">
        <v>0</v>
      </c>
      <c r="AQ150" s="37" t="n">
        <v>0.063</v>
      </c>
      <c r="AR150" s="37" t="n">
        <v>0.06</v>
      </c>
      <c r="AS150" s="37" t="n">
        <v>0.04</v>
      </c>
      <c r="AT150" s="38" t="inlineStr">
        <is>
          <t>0–3</t>
        </is>
      </c>
      <c r="AU150" s="38" t="inlineStr">
        <is>
          <t>Graduate · or diploma with experience</t>
        </is>
      </c>
      <c r="AV150" s="38" t="inlineStr">
        <is>
          <t>No direct reports</t>
        </is>
      </c>
      <c r="AW150" s="38" t="inlineStr">
        <is>
          <t>P1–P2 · SFIA 2 Assist</t>
        </is>
      </c>
      <c r="AX1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0" s="39" t="inlineStr">
        <is>
          <t>A2</t>
        </is>
      </c>
      <c r="AZ150" s="40" t="inlineStr">
        <is>
          <t>Band A · Practitioner · Associate</t>
        </is>
      </c>
      <c r="BA150" s="40" t="inlineStr">
        <is>
          <t>Model A2 from the six ratings, the market-derived weights and rules R1–R13 · then No change · already below the manager</t>
        </is>
      </c>
      <c r="BB150" s="41" t="inlineStr">
        <is>
          <t>A2</t>
        </is>
      </c>
      <c r="BC150" s="40" t="inlineStr">
        <is>
          <t>The six ratings on the market-average weights of Band A · all tracks score 2.00 → A2 · Hay, Mercer IPE and public plans · experience 0.4 yrs vs the A2 market range 0–3</t>
        </is>
      </c>
      <c r="BD150" s="42">
        <f>IF(SUM(BM150,BN150,BO150,BP150,BQ150,BR150,BS150)=0,0,(BM150*BT150+BN150*BU150+BO150*BV150+BP150*BW150+BQ150*BX150+BR150*BY150+BS150*BZ150)/SUM(BM150,BN150,BO150,BP150,BQ150,BR150,BS150))</f>
        <v>0</v>
      </c>
      <c r="BE150" s="41" t="str">
        <f>IF(LEFT(AY150,1)="X",AY150,IF(OR(AY150="B+",AY150="C+"),INDEX(LAD_PC,MAX(1,MIN(14,MATCH(AY150,LAD_PC,0)+IF(BD150&gt;=0.5,1,IF(BD150&lt;=-0.5,-1,0))))),INDEX(LAD_STD,MAX(1,MIN(12,MATCH(AY150,LAD_STD,0)+IF(BD150&gt;=0.5,1,IF(BD150&lt;=-0.5,-1,0)))))))</f>
        <v>A2</v>
      </c>
      <c r="BF150" s="43" t="n"/>
      <c r="BG150" s="41" t="str">
        <f>IF(BF150&lt;&gt;"",BF150,BE150)</f>
        <v>A2</v>
      </c>
      <c r="BH150" s="40" t="str">
        <f>IFERROR(CHOOSE(INDEX(B_RANK,MATCH(BG150,B_LVL,0)),"Band A","Band B","B+ · Player-Coach","Band C","C+ · Player-Coach","Band D","Band E"),"Band X · Consultant")</f>
        <v>Band A</v>
      </c>
      <c r="BI150" s="40" t="str">
        <f>IF(BG150=AY150,"• Same",IF(INDEX(B_VAL,MATCH(BG150,B_LVL,0))&gt;INDEX(B_VAL,MATCH(AY150,B_LVL,0)),"▲ Up","▼ Down"))</f>
        <v>• Same</v>
      </c>
      <c r="BJ150" s="40" t="str">
        <f>IF(OR($M150="",$M150="—",$M150="Not in this file"),"",IFERROR(INDEX($BG$7:$BG$592,MATCH($M150,$D$7:$D$592,0)),""))</f>
        <v>B1</v>
      </c>
      <c r="BK150" s="40" t="str">
        <f>IFERROR(IF(BJ150="","—",IF(OR(LEFT(BG150,1)="X",LEFT(BJ150,1)="X"),"—",IF(AND(LEFT(BG150,1)="E",LEFT(BJ150,1)="E"),"Exception · Band E",IF(AND(INDEX(B_VAL,MATCH(BJ150,B_LVL,0))&gt;=7,INDEX(B_RANK,MATCH(BG150,B_LVL,0))&gt;=INDEX(B_RANK,MATCH(BJ150,B_LVL,0))),"⚠ Same band as a head manager",IF(INDEX(B_VAL,MATCH(BG150,B_LVL,0))&gt;=INDEX(B_VAL,MATCH(BJ150,B_LVL,0)),"⚠ At or above the manager's level","OK"))))),"—")</f>
        <v>OK</v>
      </c>
      <c r="BL150" s="43" t="n"/>
      <c r="BM150" s="44">
        <f>IFERROR(INDEX(LMH_PTS,MATCH(Y150,LMH_KEY,0)),0)</f>
        <v>9</v>
      </c>
      <c r="BN150" s="38">
        <f>IFERROR(INDEX(LMH_PTS,MATCH(Z150,LMH_KEY,0)),0)</f>
        <v>3</v>
      </c>
      <c r="BO150" s="38">
        <f>IFERROR(INDEX(LMH_PTS,MATCH(AA150,LMH_KEY,0)),0)</f>
        <v>1</v>
      </c>
      <c r="BP150" s="38">
        <f>IFERROR(INDEX(LMH_PTS,MATCH(AB150,LMH_KEY,0)),0)</f>
        <v>1</v>
      </c>
      <c r="BQ150" s="38">
        <f>IFERROR(INDEX(LMH_PTS,MATCH(AC150,LMH_KEY,0)),0)</f>
        <v>3</v>
      </c>
      <c r="BR150" s="38">
        <f>IFERROR(INDEX(LMH_PTS,MATCH(AD150,LMH_KEY,0)),0)</f>
        <v>1</v>
      </c>
      <c r="BS150" s="38">
        <f>IFERROR(INDEX(LMH_PTS,MATCH(AE150,LMH_KEY,0)),0)</f>
        <v>1</v>
      </c>
      <c r="BT150" s="38">
        <f>IFERROR(INDEX(LMH_STEP,MATCH(AF150,LMH_KEY,0)),0)</f>
        <v>0</v>
      </c>
      <c r="BU150" s="38">
        <f>IFERROR(INDEX(LMH_STEP,MATCH(AG150,LMH_KEY,0)),0)</f>
        <v>0</v>
      </c>
      <c r="BV150" s="38">
        <f>IFERROR(INDEX(LMH_STEP,MATCH(AH150,LMH_KEY,0)),0)</f>
        <v>0</v>
      </c>
      <c r="BW150" s="38">
        <f>IFERROR(INDEX(LMH_STEP,MATCH(AI150,LMH_KEY,0)),0)</f>
        <v>0</v>
      </c>
      <c r="BX150" s="38">
        <f>IFERROR(INDEX(LMH_STEP,MATCH(AJ150,LMH_KEY,0)),0)</f>
        <v>0</v>
      </c>
      <c r="BY150" s="38">
        <f>IFERROR(INDEX(LMH_STEP,MATCH(AK150,LMH_KEY,0)),0)</f>
        <v>0</v>
      </c>
      <c r="BZ150" s="38">
        <f>IFERROR(INDEX(LMH_STEP,MATCH(AL150,LMH_KEY,0)),0)</f>
        <v>0</v>
      </c>
      <c r="CA150" s="38" t="inlineStr">
        <is>
          <t>CARBON|Marketing|Sales Development Representative|A2|A</t>
        </is>
      </c>
    </row>
    <row r="151" ht="110" customHeight="1">
      <c r="A151" s="28" t="inlineStr">
        <is>
          <t>CARBON</t>
        </is>
      </c>
      <c r="B151" s="29" t="inlineStr">
        <is>
          <t>Marketing</t>
        </is>
      </c>
      <c r="C151" s="29" t="n">
        <v>5</v>
      </c>
      <c r="D151" s="29" t="inlineStr">
        <is>
          <t>IRIS2512</t>
        </is>
      </c>
      <c r="E151" s="29" t="inlineStr">
        <is>
          <t>Shobhit Dhingra</t>
        </is>
      </c>
      <c r="F151" s="29" t="inlineStr">
        <is>
          <t>Marketing Associate</t>
        </is>
      </c>
      <c r="G151" s="29" t="inlineStr">
        <is>
          <t>Sales Development Representative</t>
        </is>
      </c>
      <c r="H151" s="29" t="inlineStr">
        <is>
          <t>Sales &amp; Business Development</t>
        </is>
      </c>
      <c r="I151" s="29" t="inlineStr">
        <is>
          <t>Sales Development &amp; Prospecting</t>
        </is>
      </c>
      <c r="J151" s="29" t="inlineStr">
        <is>
          <t>IC</t>
        </is>
      </c>
      <c r="K151" s="29" t="inlineStr">
        <is>
          <t>RC-163</t>
        </is>
      </c>
      <c r="L151" s="29" t="inlineStr">
        <is>
          <t>Priyadarshini Dey</t>
        </is>
      </c>
      <c r="M151" s="29" t="inlineStr">
        <is>
          <t>IRIS2324</t>
        </is>
      </c>
      <c r="N151" s="29" t="n">
        <v>0.4</v>
      </c>
      <c r="O151" s="29" t="n">
        <v>0.4</v>
      </c>
      <c r="P151" s="29" t="inlineStr">
        <is>
          <t>B.Com</t>
        </is>
      </c>
      <c r="Q151" s="29" t="inlineStr">
        <is>
          <t>L3 – Professional / Associate</t>
        </is>
      </c>
      <c r="R151" s="29" t="inlineStr">
        <is>
          <t>A2</t>
        </is>
      </c>
      <c r="S151" s="30" t="inlineStr">
        <is>
          <t>20 of 20</t>
        </is>
      </c>
      <c r="T151" s="31" t="inlineStr">
        <is>
          <t>• This role creates immediate revenue impact by generating leads and new business opportunities.</t>
        </is>
      </c>
      <c r="U151" s="31" t="inlineStr">
        <is>
          <t>Received · manager annual · 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t>
        </is>
      </c>
      <c r="V151" s="31" t="inlineStr">
        <is>
          <t>Latest rating: 1 · Potential: Medium · 9-box: Core Contributor · Readiness: Performance first</t>
        </is>
      </c>
      <c r="W151" s="31" t="inlineStr">
        <is>
          <t>C M · Au M · Ac M · L L · BI M · Exp M · 0.4 yrs vs 0–2 yrs · Edu M · B.Com</t>
        </is>
      </c>
      <c r="X151" s="33" t="inlineStr">
        <is>
          <t>Open ▸</t>
        </is>
      </c>
      <c r="Y151" s="34" t="str">
        <f>IFERROR(INDEX(DL_C,MATCH($CA151,DL_KEY,0)),"M")</f>
        <v>H</v>
      </c>
      <c r="Z151" s="35" t="str">
        <f>IFERROR(INDEX(DL_Au,MATCH($CA151,DL_KEY,0)),"M")</f>
        <v>M</v>
      </c>
      <c r="AA151" s="35" t="str">
        <f>IFERROR(INDEX(DL_Ac,MATCH($CA151,DL_KEY,0)),"M")</f>
        <v>L</v>
      </c>
      <c r="AB151" s="35" t="str">
        <f>IFERROR(INDEX(DL_L,MATCH($CA151,DL_KEY,0)),"M")</f>
        <v>L</v>
      </c>
      <c r="AC151" s="35" t="str">
        <f>IFERROR(INDEX(DL_BI,MATCH($CA151,DL_KEY,0)),"M")</f>
        <v>M</v>
      </c>
      <c r="AD151" s="35" t="str">
        <f>IFERROR(INDEX(DL_Exp,MATCH($CA151,DL_KEY,0)),"M")</f>
        <v>L</v>
      </c>
      <c r="AE151" s="35" t="str">
        <f>IFERROR(INDEX(DL_Edu,MATCH($CA151,DL_KEY,0)),"M")</f>
        <v>L</v>
      </c>
      <c r="AF151" s="34" t="inlineStr">
        <is>
          <t>M</t>
        </is>
      </c>
      <c r="AG151" s="35" t="inlineStr">
        <is>
          <t>M</t>
        </is>
      </c>
      <c r="AH151" s="35" t="inlineStr">
        <is>
          <t>M</t>
        </is>
      </c>
      <c r="AI151" s="35" t="inlineStr">
        <is>
          <t>M</t>
        </is>
      </c>
      <c r="AJ151" s="35" t="inlineStr">
        <is>
          <t>M</t>
        </is>
      </c>
      <c r="AK151" s="35" t="inlineStr">
        <is>
          <t>M</t>
        </is>
      </c>
      <c r="AL151" s="35" t="inlineStr">
        <is>
          <t>M</t>
        </is>
      </c>
      <c r="AM151" s="36" t="n">
        <v>0.583</v>
      </c>
      <c r="AN151" s="37" t="n">
        <v>0.16</v>
      </c>
      <c r="AO151" s="37" t="n">
        <v>0.09</v>
      </c>
      <c r="AP151" s="37" t="n">
        <v>0</v>
      </c>
      <c r="AQ151" s="37" t="n">
        <v>0.063</v>
      </c>
      <c r="AR151" s="37" t="n">
        <v>0.06</v>
      </c>
      <c r="AS151" s="37" t="n">
        <v>0.04</v>
      </c>
      <c r="AT151" s="38" t="inlineStr">
        <is>
          <t>0–3</t>
        </is>
      </c>
      <c r="AU151" s="38" t="inlineStr">
        <is>
          <t>Graduate · or diploma with experience</t>
        </is>
      </c>
      <c r="AV151" s="38" t="inlineStr">
        <is>
          <t>No direct reports</t>
        </is>
      </c>
      <c r="AW151" s="38" t="inlineStr">
        <is>
          <t>P1–P2 · SFIA 2 Assist</t>
        </is>
      </c>
      <c r="AX1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1" s="39" t="inlineStr">
        <is>
          <t>A2</t>
        </is>
      </c>
      <c r="AZ151" s="40" t="inlineStr">
        <is>
          <t>Band A · Practitioner · Associate</t>
        </is>
      </c>
      <c r="BA151" s="40" t="inlineStr">
        <is>
          <t>Model A2 from the six ratings, the market-derived weights and rules R1–R13 · then No change · already below the manager</t>
        </is>
      </c>
      <c r="BB151" s="41" t="inlineStr">
        <is>
          <t>A2</t>
        </is>
      </c>
      <c r="BC151" s="40" t="inlineStr">
        <is>
          <t>The six ratings on the market-average weights of Band A · all tracks score 1.98 → A2 · Hay, Mercer IPE and public plans · experience 0.4 yrs vs the A2 market range 0–3</t>
        </is>
      </c>
      <c r="BD151" s="42">
        <f>IF(SUM(BM151,BN151,BO151,BP151,BQ151,BR151,BS151)=0,0,(BM151*BT151+BN151*BU151+BO151*BV151+BP151*BW151+BQ151*BX151+BR151*BY151+BS151*BZ151)/SUM(BM151,BN151,BO151,BP151,BQ151,BR151,BS151))</f>
        <v>0</v>
      </c>
      <c r="BE151" s="41" t="str">
        <f>IF(LEFT(AY151,1)="X",AY151,IF(OR(AY151="B+",AY151="C+"),INDEX(LAD_PC,MAX(1,MIN(14,MATCH(AY151,LAD_PC,0)+IF(BD151&gt;=0.5,1,IF(BD151&lt;=-0.5,-1,0))))),INDEX(LAD_STD,MAX(1,MIN(12,MATCH(AY151,LAD_STD,0)+IF(BD151&gt;=0.5,1,IF(BD151&lt;=-0.5,-1,0)))))))</f>
        <v>A2</v>
      </c>
      <c r="BF151" s="43" t="n"/>
      <c r="BG151" s="41" t="str">
        <f>IF(BF151&lt;&gt;"",BF151,BE151)</f>
        <v>A2</v>
      </c>
      <c r="BH151" s="40" t="str">
        <f>IFERROR(CHOOSE(INDEX(B_RANK,MATCH(BG151,B_LVL,0)),"Band A","Band B","B+ · Player-Coach","Band C","C+ · Player-Coach","Band D","Band E"),"Band X · Consultant")</f>
        <v>Band A</v>
      </c>
      <c r="BI151" s="40" t="str">
        <f>IF(BG151=AY151,"• Same",IF(INDEX(B_VAL,MATCH(BG151,B_LVL,0))&gt;INDEX(B_VAL,MATCH(AY151,B_LVL,0)),"▲ Up","▼ Down"))</f>
        <v>• Same</v>
      </c>
      <c r="BJ151" s="40" t="str">
        <f>IF(OR($M151="",$M151="—",$M151="Not in this file"),"",IFERROR(INDEX($BG$7:$BG$592,MATCH($M151,$D$7:$D$592,0)),""))</f>
        <v>B1</v>
      </c>
      <c r="BK151" s="40" t="str">
        <f>IFERROR(IF(BJ151="","—",IF(OR(LEFT(BG151,1)="X",LEFT(BJ151,1)="X"),"—",IF(AND(LEFT(BG151,1)="E",LEFT(BJ151,1)="E"),"Exception · Band E",IF(AND(INDEX(B_VAL,MATCH(BJ151,B_LVL,0))&gt;=7,INDEX(B_RANK,MATCH(BG151,B_LVL,0))&gt;=INDEX(B_RANK,MATCH(BJ151,B_LVL,0))),"⚠ Same band as a head manager",IF(INDEX(B_VAL,MATCH(BG151,B_LVL,0))&gt;=INDEX(B_VAL,MATCH(BJ151,B_LVL,0)),"⚠ At or above the manager's level","OK"))))),"—")</f>
        <v>OK</v>
      </c>
      <c r="BL151" s="43" t="n"/>
      <c r="BM151" s="44">
        <f>IFERROR(INDEX(LMH_PTS,MATCH(Y151,LMH_KEY,0)),0)</f>
        <v>9</v>
      </c>
      <c r="BN151" s="38">
        <f>IFERROR(INDEX(LMH_PTS,MATCH(Z151,LMH_KEY,0)),0)</f>
        <v>3</v>
      </c>
      <c r="BO151" s="38">
        <f>IFERROR(INDEX(LMH_PTS,MATCH(AA151,LMH_KEY,0)),0)</f>
        <v>1</v>
      </c>
      <c r="BP151" s="38">
        <f>IFERROR(INDEX(LMH_PTS,MATCH(AB151,LMH_KEY,0)),0)</f>
        <v>1</v>
      </c>
      <c r="BQ151" s="38">
        <f>IFERROR(INDEX(LMH_PTS,MATCH(AC151,LMH_KEY,0)),0)</f>
        <v>3</v>
      </c>
      <c r="BR151" s="38">
        <f>IFERROR(INDEX(LMH_PTS,MATCH(AD151,LMH_KEY,0)),0)</f>
        <v>1</v>
      </c>
      <c r="BS151" s="38">
        <f>IFERROR(INDEX(LMH_PTS,MATCH(AE151,LMH_KEY,0)),0)</f>
        <v>1</v>
      </c>
      <c r="BT151" s="38">
        <f>IFERROR(INDEX(LMH_STEP,MATCH(AF151,LMH_KEY,0)),0)</f>
        <v>0</v>
      </c>
      <c r="BU151" s="38">
        <f>IFERROR(INDEX(LMH_STEP,MATCH(AG151,LMH_KEY,0)),0)</f>
        <v>0</v>
      </c>
      <c r="BV151" s="38">
        <f>IFERROR(INDEX(LMH_STEP,MATCH(AH151,LMH_KEY,0)),0)</f>
        <v>0</v>
      </c>
      <c r="BW151" s="38">
        <f>IFERROR(INDEX(LMH_STEP,MATCH(AI151,LMH_KEY,0)),0)</f>
        <v>0</v>
      </c>
      <c r="BX151" s="38">
        <f>IFERROR(INDEX(LMH_STEP,MATCH(AJ151,LMH_KEY,0)),0)</f>
        <v>0</v>
      </c>
      <c r="BY151" s="38">
        <f>IFERROR(INDEX(LMH_STEP,MATCH(AK151,LMH_KEY,0)),0)</f>
        <v>0</v>
      </c>
      <c r="BZ151" s="38">
        <f>IFERROR(INDEX(LMH_STEP,MATCH(AL151,LMH_KEY,0)),0)</f>
        <v>0</v>
      </c>
      <c r="CA151" s="38" t="inlineStr">
        <is>
          <t>CARBON|Marketing|Sales Development Representative|A2|A</t>
        </is>
      </c>
    </row>
    <row r="152" ht="110" customHeight="1">
      <c r="A152" s="28" t="inlineStr">
        <is>
          <t>CARBON</t>
        </is>
      </c>
      <c r="B152" s="29" t="inlineStr">
        <is>
          <t>Marketing</t>
        </is>
      </c>
      <c r="C152" s="29" t="n">
        <v>5</v>
      </c>
      <c r="D152" s="29" t="inlineStr">
        <is>
          <t>INTN0287</t>
        </is>
      </c>
      <c r="E152" s="29" t="inlineStr">
        <is>
          <t>Anika Mariam</t>
        </is>
      </c>
      <c r="F152" s="29" t="inlineStr">
        <is>
          <t>Intern</t>
        </is>
      </c>
      <c r="G152" s="29" t="inlineStr">
        <is>
          <t>Intern – Sales Development &amp; Prospecting</t>
        </is>
      </c>
      <c r="H152" s="29" t="inlineStr">
        <is>
          <t>Sales &amp; Business Development</t>
        </is>
      </c>
      <c r="I152" s="29" t="inlineStr">
        <is>
          <t>Sales Development &amp; Prospecting</t>
        </is>
      </c>
      <c r="J152" s="29" t="inlineStr">
        <is>
          <t>IC</t>
        </is>
      </c>
      <c r="K152" s="29" t="inlineStr">
        <is>
          <t>RC-162</t>
        </is>
      </c>
      <c r="L152" s="29" t="inlineStr">
        <is>
          <t>Priyadarshini Dey</t>
        </is>
      </c>
      <c r="M152" s="29" t="inlineStr">
        <is>
          <t>IRIS2324</t>
        </is>
      </c>
      <c r="N152" s="29" t="n">
        <v>0.8</v>
      </c>
      <c r="O152" s="29" t="n">
        <v>0.7</v>
      </c>
      <c r="P152" s="29" t="inlineStr">
        <is>
          <t>B.Tech</t>
        </is>
      </c>
      <c r="Q152" s="29" t="inlineStr">
        <is>
          <t>L1 – Intern</t>
        </is>
      </c>
      <c r="R152" s="29" t="inlineStr">
        <is>
          <t>A1</t>
        </is>
      </c>
      <c r="S152" s="30" t="inlineStr">
        <is>
          <t>19 of 20</t>
        </is>
      </c>
      <c r="T152" s="31" t="inlineStr">
        <is>
          <t>• This role builds pipeline through meaningful prospect conversations and explains how the solution addresses prospect problems.</t>
        </is>
      </c>
      <c r="U152"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2" s="31" t="inlineStr">
        <is>
          <t>Latest rating: 2 · Potential: Medium · 9-box: Core Contributor · Readiness: Performance first</t>
        </is>
      </c>
      <c r="W152" s="31" t="inlineStr">
        <is>
          <t>C — · Au — · Ac — · L — · BI — · Exp H · 0.8 yrs vs 0 yrs · fresher / intern · Edu M · B.Tech</t>
        </is>
      </c>
      <c r="X152" s="33" t="inlineStr">
        <is>
          <t>Open ▸</t>
        </is>
      </c>
      <c r="Y152" s="34" t="str">
        <f>IFERROR(INDEX(DL_C,MATCH($CA152,DL_KEY,0)),"M")</f>
        <v>H</v>
      </c>
      <c r="Z152" s="35" t="str">
        <f>IFERROR(INDEX(DL_Au,MATCH($CA152,DL_KEY,0)),"M")</f>
        <v>M</v>
      </c>
      <c r="AA152" s="35" t="str">
        <f>IFERROR(INDEX(DL_Ac,MATCH($CA152,DL_KEY,0)),"M")</f>
        <v>L</v>
      </c>
      <c r="AB152" s="35" t="str">
        <f>IFERROR(INDEX(DL_L,MATCH($CA152,DL_KEY,0)),"M")</f>
        <v>L</v>
      </c>
      <c r="AC152" s="35" t="str">
        <f>IFERROR(INDEX(DL_BI,MATCH($CA152,DL_KEY,0)),"M")</f>
        <v>M</v>
      </c>
      <c r="AD152" s="35" t="str">
        <f>IFERROR(INDEX(DL_Exp,MATCH($CA152,DL_KEY,0)),"M")</f>
        <v>L</v>
      </c>
      <c r="AE152" s="35" t="str">
        <f>IFERROR(INDEX(DL_Edu,MATCH($CA152,DL_KEY,0)),"M")</f>
        <v>L</v>
      </c>
      <c r="AF152" s="34" t="inlineStr">
        <is>
          <t>M</t>
        </is>
      </c>
      <c r="AG152" s="35" t="inlineStr">
        <is>
          <t>M</t>
        </is>
      </c>
      <c r="AH152" s="35" t="inlineStr">
        <is>
          <t>M</t>
        </is>
      </c>
      <c r="AI152" s="35" t="inlineStr">
        <is>
          <t>M</t>
        </is>
      </c>
      <c r="AJ152" s="35" t="inlineStr">
        <is>
          <t>M</t>
        </is>
      </c>
      <c r="AK152" s="35" t="inlineStr">
        <is>
          <t>M</t>
        </is>
      </c>
      <c r="AL152" s="35" t="inlineStr">
        <is>
          <t>M</t>
        </is>
      </c>
      <c r="AM152" s="36" t="n">
        <v>0.583</v>
      </c>
      <c r="AN152" s="37" t="n">
        <v>0.16</v>
      </c>
      <c r="AO152" s="37" t="n">
        <v>0.09</v>
      </c>
      <c r="AP152" s="37" t="n">
        <v>0</v>
      </c>
      <c r="AQ152" s="37" t="n">
        <v>0.063</v>
      </c>
      <c r="AR152" s="37" t="n">
        <v>0.06</v>
      </c>
      <c r="AS152" s="37" t="n">
        <v>0.04</v>
      </c>
      <c r="AT152" s="38" t="inlineStr">
        <is>
          <t>0 yrs · fresher / intern</t>
        </is>
      </c>
      <c r="AU152" s="38" t="inlineStr">
        <is>
          <t>Pursuing or completed graduation / diploma</t>
        </is>
      </c>
      <c r="AV152" s="38" t="inlineStr">
        <is>
          <t>No direct reports</t>
        </is>
      </c>
      <c r="AW152" s="38" t="inlineStr">
        <is>
          <t>Entry / P1 · intern · SFIA 1 Follow</t>
        </is>
      </c>
      <c r="AX1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2" s="39" t="inlineStr">
        <is>
          <t>A1</t>
        </is>
      </c>
      <c r="AZ152" s="40" t="inlineStr">
        <is>
          <t>Band A · Practitioner · Intern / Trainee</t>
        </is>
      </c>
      <c r="BA152" s="40" t="inlineStr">
        <is>
          <t>Model A1 from the six ratings, the market-derived weights and rules R1–R13 · then No change · already below the manager</t>
        </is>
      </c>
      <c r="BB152" s="41" t="inlineStr">
        <is>
          <t>A1</t>
        </is>
      </c>
      <c r="BC152" s="40" t="inlineStr">
        <is>
          <t>Placed by a category rule — no full set of ratings · benchmark follows the HR proposed level</t>
        </is>
      </c>
      <c r="BD152" s="42">
        <f>IF(SUM(BM152,BN152,BO152,BP152,BQ152,BR152,BS152)=0,0,(BM152*BT152+BN152*BU152+BO152*BV152+BP152*BW152+BQ152*BX152+BR152*BY152+BS152*BZ152)/SUM(BM152,BN152,BO152,BP152,BQ152,BR152,BS152))</f>
        <v>0</v>
      </c>
      <c r="BE152" s="41" t="str">
        <f>IF(LEFT(AY152,1)="X",AY152,IF(OR(AY152="B+",AY152="C+"),INDEX(LAD_PC,MAX(1,MIN(14,MATCH(AY152,LAD_PC,0)+IF(BD152&gt;=0.5,1,IF(BD152&lt;=-0.5,-1,0))))),INDEX(LAD_STD,MAX(1,MIN(12,MATCH(AY152,LAD_STD,0)+IF(BD152&gt;=0.5,1,IF(BD152&lt;=-0.5,-1,0)))))))</f>
        <v>A1</v>
      </c>
      <c r="BF152" s="43" t="n"/>
      <c r="BG152" s="41" t="str">
        <f>IF(BF152&lt;&gt;"",BF152,BE152)</f>
        <v>A1</v>
      </c>
      <c r="BH152" s="40" t="str">
        <f>IFERROR(CHOOSE(INDEX(B_RANK,MATCH(BG152,B_LVL,0)),"Band A","Band B","B+ · Player-Coach","Band C","C+ · Player-Coach","Band D","Band E"),"Band X · Consultant")</f>
        <v>Band A</v>
      </c>
      <c r="BI152" s="40" t="str">
        <f>IF(BG152=AY152,"• Same",IF(INDEX(B_VAL,MATCH(BG152,B_LVL,0))&gt;INDEX(B_VAL,MATCH(AY152,B_LVL,0)),"▲ Up","▼ Down"))</f>
        <v>• Same</v>
      </c>
      <c r="BJ152" s="40" t="str">
        <f>IF(OR($M152="",$M152="—",$M152="Not in this file"),"",IFERROR(INDEX($BG$7:$BG$592,MATCH($M152,$D$7:$D$592,0)),""))</f>
        <v>B1</v>
      </c>
      <c r="BK152" s="40" t="str">
        <f>IFERROR(IF(BJ152="","—",IF(OR(LEFT(BG152,1)="X",LEFT(BJ152,1)="X"),"—",IF(AND(LEFT(BG152,1)="E",LEFT(BJ152,1)="E"),"Exception · Band E",IF(AND(INDEX(B_VAL,MATCH(BJ152,B_LVL,0))&gt;=7,INDEX(B_RANK,MATCH(BG152,B_LVL,0))&gt;=INDEX(B_RANK,MATCH(BJ152,B_LVL,0))),"⚠ Same band as a head manager",IF(INDEX(B_VAL,MATCH(BG152,B_LVL,0))&gt;=INDEX(B_VAL,MATCH(BJ152,B_LVL,0)),"⚠ At or above the manager's level","OK"))))),"—")</f>
        <v>OK</v>
      </c>
      <c r="BL152" s="43" t="n"/>
      <c r="BM152" s="44">
        <f>IFERROR(INDEX(LMH_PTS,MATCH(Y152,LMH_KEY,0)),0)</f>
        <v>9</v>
      </c>
      <c r="BN152" s="38">
        <f>IFERROR(INDEX(LMH_PTS,MATCH(Z152,LMH_KEY,0)),0)</f>
        <v>3</v>
      </c>
      <c r="BO152" s="38">
        <f>IFERROR(INDEX(LMH_PTS,MATCH(AA152,LMH_KEY,0)),0)</f>
        <v>1</v>
      </c>
      <c r="BP152" s="38">
        <f>IFERROR(INDEX(LMH_PTS,MATCH(AB152,LMH_KEY,0)),0)</f>
        <v>1</v>
      </c>
      <c r="BQ152" s="38">
        <f>IFERROR(INDEX(LMH_PTS,MATCH(AC152,LMH_KEY,0)),0)</f>
        <v>3</v>
      </c>
      <c r="BR152" s="38">
        <f>IFERROR(INDEX(LMH_PTS,MATCH(AD152,LMH_KEY,0)),0)</f>
        <v>1</v>
      </c>
      <c r="BS152" s="38">
        <f>IFERROR(INDEX(LMH_PTS,MATCH(AE152,LMH_KEY,0)),0)</f>
        <v>1</v>
      </c>
      <c r="BT152" s="38">
        <f>IFERROR(INDEX(LMH_STEP,MATCH(AF152,LMH_KEY,0)),0)</f>
        <v>0</v>
      </c>
      <c r="BU152" s="38">
        <f>IFERROR(INDEX(LMH_STEP,MATCH(AG152,LMH_KEY,0)),0)</f>
        <v>0</v>
      </c>
      <c r="BV152" s="38">
        <f>IFERROR(INDEX(LMH_STEP,MATCH(AH152,LMH_KEY,0)),0)</f>
        <v>0</v>
      </c>
      <c r="BW152" s="38">
        <f>IFERROR(INDEX(LMH_STEP,MATCH(AI152,LMH_KEY,0)),0)</f>
        <v>0</v>
      </c>
      <c r="BX152" s="38">
        <f>IFERROR(INDEX(LMH_STEP,MATCH(AJ152,LMH_KEY,0)),0)</f>
        <v>0</v>
      </c>
      <c r="BY152" s="38">
        <f>IFERROR(INDEX(LMH_STEP,MATCH(AK152,LMH_KEY,0)),0)</f>
        <v>0</v>
      </c>
      <c r="BZ152" s="38">
        <f>IFERROR(INDEX(LMH_STEP,MATCH(AL152,LMH_KEY,0)),0)</f>
        <v>0</v>
      </c>
      <c r="CA152" s="38" t="inlineStr">
        <is>
          <t>CARBON|Marketing|Intern – Sales Development &amp; Prospecting|A1|A</t>
        </is>
      </c>
    </row>
    <row r="153" ht="110" customHeight="1">
      <c r="A153" s="28" t="inlineStr">
        <is>
          <t>CARBON</t>
        </is>
      </c>
      <c r="B153" s="29" t="inlineStr">
        <is>
          <t>Marketing</t>
        </is>
      </c>
      <c r="C153" s="29" t="n">
        <v>5</v>
      </c>
      <c r="D153" s="29" t="inlineStr">
        <is>
          <t>INTN0285</t>
        </is>
      </c>
      <c r="E153" s="29" t="inlineStr">
        <is>
          <t>Deblina Chatterjee</t>
        </is>
      </c>
      <c r="F153" s="29" t="inlineStr">
        <is>
          <t>Intern</t>
        </is>
      </c>
      <c r="G153" s="29" t="inlineStr">
        <is>
          <t>Intern – Sales Development &amp; Prospecting</t>
        </is>
      </c>
      <c r="H153" s="29" t="inlineStr">
        <is>
          <t>Sales &amp; Business Development</t>
        </is>
      </c>
      <c r="I153" s="29" t="inlineStr">
        <is>
          <t>Sales Development &amp; Prospecting</t>
        </is>
      </c>
      <c r="J153" s="29" t="inlineStr">
        <is>
          <t>IC</t>
        </is>
      </c>
      <c r="K153" s="29" t="inlineStr">
        <is>
          <t>RC-162</t>
        </is>
      </c>
      <c r="L153" s="29" t="inlineStr">
        <is>
          <t>Priyadarshini Dey</t>
        </is>
      </c>
      <c r="M153" s="29" t="inlineStr">
        <is>
          <t>IRIS2324</t>
        </is>
      </c>
      <c r="N153" s="29" t="n">
        <v>1.2</v>
      </c>
      <c r="O153" s="29" t="n">
        <v>0.7</v>
      </c>
      <c r="P153" s="29" t="inlineStr">
        <is>
          <t>B.Tech</t>
        </is>
      </c>
      <c r="Q153" s="29" t="inlineStr">
        <is>
          <t>L1 – Intern</t>
        </is>
      </c>
      <c r="R153" s="29" t="inlineStr">
        <is>
          <t>A1</t>
        </is>
      </c>
      <c r="S153" s="30" t="inlineStr">
        <is>
          <t>19 of 20</t>
        </is>
      </c>
      <c r="T153" s="31" t="inlineStr">
        <is>
          <t>• This role develops new business opportunities by connecting the company with relevant customers and partners, while supporting outreach and relationship building.</t>
        </is>
      </c>
      <c r="U153"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3" s="31" t="inlineStr">
        <is>
          <t>Latest rating: 3 · Potential: High · 9-box: Emerging Talent · Readiness: Ready in 6–12 months</t>
        </is>
      </c>
      <c r="W153" s="31" t="inlineStr">
        <is>
          <t>C — · Au — · Ac — · L — · BI — · Exp H · 1.2 yrs vs 0 yrs · fresher / intern · Edu M · B.Tech</t>
        </is>
      </c>
      <c r="X153" s="33" t="inlineStr">
        <is>
          <t>Open ▸</t>
        </is>
      </c>
      <c r="Y153" s="34" t="str">
        <f>IFERROR(INDEX(DL_C,MATCH($CA153,DL_KEY,0)),"M")</f>
        <v>H</v>
      </c>
      <c r="Z153" s="35" t="str">
        <f>IFERROR(INDEX(DL_Au,MATCH($CA153,DL_KEY,0)),"M")</f>
        <v>M</v>
      </c>
      <c r="AA153" s="35" t="str">
        <f>IFERROR(INDEX(DL_Ac,MATCH($CA153,DL_KEY,0)),"M")</f>
        <v>L</v>
      </c>
      <c r="AB153" s="35" t="str">
        <f>IFERROR(INDEX(DL_L,MATCH($CA153,DL_KEY,0)),"M")</f>
        <v>L</v>
      </c>
      <c r="AC153" s="35" t="str">
        <f>IFERROR(INDEX(DL_BI,MATCH($CA153,DL_KEY,0)),"M")</f>
        <v>M</v>
      </c>
      <c r="AD153" s="35" t="str">
        <f>IFERROR(INDEX(DL_Exp,MATCH($CA153,DL_KEY,0)),"M")</f>
        <v>L</v>
      </c>
      <c r="AE153" s="35" t="str">
        <f>IFERROR(INDEX(DL_Edu,MATCH($CA153,DL_KEY,0)),"M")</f>
        <v>L</v>
      </c>
      <c r="AF153" s="34" t="inlineStr">
        <is>
          <t>M</t>
        </is>
      </c>
      <c r="AG153" s="35" t="inlineStr">
        <is>
          <t>M</t>
        </is>
      </c>
      <c r="AH153" s="35" t="inlineStr">
        <is>
          <t>M</t>
        </is>
      </c>
      <c r="AI153" s="35" t="inlineStr">
        <is>
          <t>M</t>
        </is>
      </c>
      <c r="AJ153" s="35" t="inlineStr">
        <is>
          <t>M</t>
        </is>
      </c>
      <c r="AK153" s="35" t="inlineStr">
        <is>
          <t>M</t>
        </is>
      </c>
      <c r="AL153" s="35" t="inlineStr">
        <is>
          <t>M</t>
        </is>
      </c>
      <c r="AM153" s="36" t="n">
        <v>0.583</v>
      </c>
      <c r="AN153" s="37" t="n">
        <v>0.16</v>
      </c>
      <c r="AO153" s="37" t="n">
        <v>0.09</v>
      </c>
      <c r="AP153" s="37" t="n">
        <v>0</v>
      </c>
      <c r="AQ153" s="37" t="n">
        <v>0.063</v>
      </c>
      <c r="AR153" s="37" t="n">
        <v>0.06</v>
      </c>
      <c r="AS153" s="37" t="n">
        <v>0.04</v>
      </c>
      <c r="AT153" s="38" t="inlineStr">
        <is>
          <t>0 yrs · fresher / intern</t>
        </is>
      </c>
      <c r="AU153" s="38" t="inlineStr">
        <is>
          <t>Pursuing or completed graduation / diploma</t>
        </is>
      </c>
      <c r="AV153" s="38" t="inlineStr">
        <is>
          <t>No direct reports</t>
        </is>
      </c>
      <c r="AW153" s="38" t="inlineStr">
        <is>
          <t>Entry / P1 · intern · SFIA 1 Follow</t>
        </is>
      </c>
      <c r="AX1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3" s="39" t="inlineStr">
        <is>
          <t>A1</t>
        </is>
      </c>
      <c r="AZ153" s="40" t="inlineStr">
        <is>
          <t>Band A · Practitioner · Intern / Trainee</t>
        </is>
      </c>
      <c r="BA153" s="40" t="inlineStr">
        <is>
          <t>Model A1 from the six ratings, the market-derived weights and rules R1–R13 · then No change · already below the manager</t>
        </is>
      </c>
      <c r="BB153" s="41" t="inlineStr">
        <is>
          <t>A1</t>
        </is>
      </c>
      <c r="BC153" s="40" t="inlineStr">
        <is>
          <t>Placed by a category rule — no full set of ratings · benchmark follows the HR proposed level</t>
        </is>
      </c>
      <c r="BD153" s="42">
        <f>IF(SUM(BM153,BN153,BO153,BP153,BQ153,BR153,BS153)=0,0,(BM153*BT153+BN153*BU153+BO153*BV153+BP153*BW153+BQ153*BX153+BR153*BY153+BS153*BZ153)/SUM(BM153,BN153,BO153,BP153,BQ153,BR153,BS153))</f>
        <v>0</v>
      </c>
      <c r="BE153" s="41" t="str">
        <f>IF(LEFT(AY153,1)="X",AY153,IF(OR(AY153="B+",AY153="C+"),INDEX(LAD_PC,MAX(1,MIN(14,MATCH(AY153,LAD_PC,0)+IF(BD153&gt;=0.5,1,IF(BD153&lt;=-0.5,-1,0))))),INDEX(LAD_STD,MAX(1,MIN(12,MATCH(AY153,LAD_STD,0)+IF(BD153&gt;=0.5,1,IF(BD153&lt;=-0.5,-1,0)))))))</f>
        <v>A1</v>
      </c>
      <c r="BF153" s="43" t="n"/>
      <c r="BG153" s="41" t="str">
        <f>IF(BF153&lt;&gt;"",BF153,BE153)</f>
        <v>A1</v>
      </c>
      <c r="BH153" s="40" t="str">
        <f>IFERROR(CHOOSE(INDEX(B_RANK,MATCH(BG153,B_LVL,0)),"Band A","Band B","B+ · Player-Coach","Band C","C+ · Player-Coach","Band D","Band E"),"Band X · Consultant")</f>
        <v>Band A</v>
      </c>
      <c r="BI153" s="40" t="str">
        <f>IF(BG153=AY153,"• Same",IF(INDEX(B_VAL,MATCH(BG153,B_LVL,0))&gt;INDEX(B_VAL,MATCH(AY153,B_LVL,0)),"▲ Up","▼ Down"))</f>
        <v>• Same</v>
      </c>
      <c r="BJ153" s="40" t="str">
        <f>IF(OR($M153="",$M153="—",$M153="Not in this file"),"",IFERROR(INDEX($BG$7:$BG$592,MATCH($M153,$D$7:$D$592,0)),""))</f>
        <v>B1</v>
      </c>
      <c r="BK153" s="40" t="str">
        <f>IFERROR(IF(BJ153="","—",IF(OR(LEFT(BG153,1)="X",LEFT(BJ153,1)="X"),"—",IF(AND(LEFT(BG153,1)="E",LEFT(BJ153,1)="E"),"Exception · Band E",IF(AND(INDEX(B_VAL,MATCH(BJ153,B_LVL,0))&gt;=7,INDEX(B_RANK,MATCH(BG153,B_LVL,0))&gt;=INDEX(B_RANK,MATCH(BJ153,B_LVL,0))),"⚠ Same band as a head manager",IF(INDEX(B_VAL,MATCH(BG153,B_LVL,0))&gt;=INDEX(B_VAL,MATCH(BJ153,B_LVL,0)),"⚠ At or above the manager's level","OK"))))),"—")</f>
        <v>OK</v>
      </c>
      <c r="BL153" s="43" t="n"/>
      <c r="BM153" s="44">
        <f>IFERROR(INDEX(LMH_PTS,MATCH(Y153,LMH_KEY,0)),0)</f>
        <v>9</v>
      </c>
      <c r="BN153" s="38">
        <f>IFERROR(INDEX(LMH_PTS,MATCH(Z153,LMH_KEY,0)),0)</f>
        <v>3</v>
      </c>
      <c r="BO153" s="38">
        <f>IFERROR(INDEX(LMH_PTS,MATCH(AA153,LMH_KEY,0)),0)</f>
        <v>1</v>
      </c>
      <c r="BP153" s="38">
        <f>IFERROR(INDEX(LMH_PTS,MATCH(AB153,LMH_KEY,0)),0)</f>
        <v>1</v>
      </c>
      <c r="BQ153" s="38">
        <f>IFERROR(INDEX(LMH_PTS,MATCH(AC153,LMH_KEY,0)),0)</f>
        <v>3</v>
      </c>
      <c r="BR153" s="38">
        <f>IFERROR(INDEX(LMH_PTS,MATCH(AD153,LMH_KEY,0)),0)</f>
        <v>1</v>
      </c>
      <c r="BS153" s="38">
        <f>IFERROR(INDEX(LMH_PTS,MATCH(AE153,LMH_KEY,0)),0)</f>
        <v>1</v>
      </c>
      <c r="BT153" s="38">
        <f>IFERROR(INDEX(LMH_STEP,MATCH(AF153,LMH_KEY,0)),0)</f>
        <v>0</v>
      </c>
      <c r="BU153" s="38">
        <f>IFERROR(INDEX(LMH_STEP,MATCH(AG153,LMH_KEY,0)),0)</f>
        <v>0</v>
      </c>
      <c r="BV153" s="38">
        <f>IFERROR(INDEX(LMH_STEP,MATCH(AH153,LMH_KEY,0)),0)</f>
        <v>0</v>
      </c>
      <c r="BW153" s="38">
        <f>IFERROR(INDEX(LMH_STEP,MATCH(AI153,LMH_KEY,0)),0)</f>
        <v>0</v>
      </c>
      <c r="BX153" s="38">
        <f>IFERROR(INDEX(LMH_STEP,MATCH(AJ153,LMH_KEY,0)),0)</f>
        <v>0</v>
      </c>
      <c r="BY153" s="38">
        <f>IFERROR(INDEX(LMH_STEP,MATCH(AK153,LMH_KEY,0)),0)</f>
        <v>0</v>
      </c>
      <c r="BZ153" s="38">
        <f>IFERROR(INDEX(LMH_STEP,MATCH(AL153,LMH_KEY,0)),0)</f>
        <v>0</v>
      </c>
      <c r="CA153" s="38" t="inlineStr">
        <is>
          <t>CARBON|Marketing|Intern – Sales Development &amp; Prospecting|A1|A</t>
        </is>
      </c>
    </row>
    <row r="154" ht="110" customHeight="1">
      <c r="A154" s="28" t="inlineStr">
        <is>
          <t>CARBON</t>
        </is>
      </c>
      <c r="B154" s="29" t="inlineStr">
        <is>
          <t>Marketing</t>
        </is>
      </c>
      <c r="C154" s="29" t="n">
        <v>4</v>
      </c>
      <c r="D154" s="29" t="inlineStr">
        <is>
          <t>IRIS2345</t>
        </is>
      </c>
      <c r="E154" s="29" t="inlineStr">
        <is>
          <t>Vijay Krishna Chintha</t>
        </is>
      </c>
      <c r="F154" s="29" t="inlineStr">
        <is>
          <t>Team Lead SDR</t>
        </is>
      </c>
      <c r="G154" s="29" t="inlineStr">
        <is>
          <t>Team Lead – Sales Development</t>
        </is>
      </c>
      <c r="H154" s="29" t="inlineStr">
        <is>
          <t>Sales &amp; Business Development</t>
        </is>
      </c>
      <c r="I154" s="29" t="inlineStr">
        <is>
          <t>Sales Development &amp; Prospecting</t>
        </is>
      </c>
      <c r="J154" s="29" t="inlineStr">
        <is>
          <t>People Manager</t>
        </is>
      </c>
      <c r="K154" s="29" t="inlineStr">
        <is>
          <t>RC-166</t>
        </is>
      </c>
      <c r="L154" s="29" t="inlineStr">
        <is>
          <t>Saahit Togaru</t>
        </is>
      </c>
      <c r="M154" s="29" t="inlineStr">
        <is>
          <t>IRIS2239</t>
        </is>
      </c>
      <c r="N154" s="29" t="n">
        <v>6.8</v>
      </c>
      <c r="O154" s="29" t="n">
        <v>1.6</v>
      </c>
      <c r="P154" s="29" t="inlineStr">
        <is>
          <t>PGDM</t>
        </is>
      </c>
      <c r="Q154" s="29" t="inlineStr">
        <is>
          <t>L4 – Senior</t>
        </is>
      </c>
      <c r="R154" s="29" t="inlineStr">
        <is>
          <t>B1</t>
        </is>
      </c>
      <c r="S154" s="30" t="inlineStr">
        <is>
          <t>20 of 20</t>
        </is>
      </c>
      <c r="T154" s="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U154"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
        </is>
      </c>
      <c r="V154" s="31" t="inlineStr">
        <is>
          <t>Latest rating: 2 · Potential: Low · 9-box: Underperformer / Exit Risk · Readiness: Performance first</t>
        </is>
      </c>
      <c r="W154" s="31" t="inlineStr">
        <is>
          <t>C M · Au M · Ac M · L M · BI M · Exp M · 6.8 yrs vs 4–7 yrs · Edu H · PGDM</t>
        </is>
      </c>
      <c r="X154" s="33" t="inlineStr">
        <is>
          <t>Open ▸</t>
        </is>
      </c>
      <c r="Y154" s="34" t="str">
        <f>IFERROR(INDEX(DL_C,MATCH($CA154,DL_KEY,0)),"M")</f>
        <v>H</v>
      </c>
      <c r="Z154" s="35" t="str">
        <f>IFERROR(INDEX(DL_Au,MATCH($CA154,DL_KEY,0)),"M")</f>
        <v>M</v>
      </c>
      <c r="AA154" s="35" t="str">
        <f>IFERROR(INDEX(DL_Ac,MATCH($CA154,DL_KEY,0)),"M")</f>
        <v>L</v>
      </c>
      <c r="AB154" s="35" t="str">
        <f>IFERROR(INDEX(DL_L,MATCH($CA154,DL_KEY,0)),"M")</f>
        <v>M</v>
      </c>
      <c r="AC154" s="35" t="str">
        <f>IFERROR(INDEX(DL_BI,MATCH($CA154,DL_KEY,0)),"M")</f>
        <v>M</v>
      </c>
      <c r="AD154" s="35" t="str">
        <f>IFERROR(INDEX(DL_Exp,MATCH($CA154,DL_KEY,0)),"M")</f>
        <v>L</v>
      </c>
      <c r="AE154" s="35" t="str">
        <f>IFERROR(INDEX(DL_Edu,MATCH($CA154,DL_KEY,0)),"M")</f>
        <v>L</v>
      </c>
      <c r="AF154" s="34" t="inlineStr">
        <is>
          <t>M</t>
        </is>
      </c>
      <c r="AG154" s="35" t="inlineStr">
        <is>
          <t>M</t>
        </is>
      </c>
      <c r="AH154" s="35" t="inlineStr">
        <is>
          <t>M</t>
        </is>
      </c>
      <c r="AI154" s="35" t="inlineStr">
        <is>
          <t>M</t>
        </is>
      </c>
      <c r="AJ154" s="35" t="inlineStr">
        <is>
          <t>M</t>
        </is>
      </c>
      <c r="AK154" s="35" t="inlineStr">
        <is>
          <t>M</t>
        </is>
      </c>
      <c r="AL154" s="35" t="inlineStr">
        <is>
          <t>M</t>
        </is>
      </c>
      <c r="AM154" s="36" t="n">
        <v>0.37</v>
      </c>
      <c r="AN154" s="37" t="n">
        <v>0.183</v>
      </c>
      <c r="AO154" s="37" t="n">
        <v>0.113</v>
      </c>
      <c r="AP154" s="37" t="n">
        <v>0.15</v>
      </c>
      <c r="AQ154" s="37" t="n">
        <v>0.08699999999999999</v>
      </c>
      <c r="AR154" s="37" t="n">
        <v>0.06</v>
      </c>
      <c r="AS154" s="37" t="n">
        <v>0.04</v>
      </c>
      <c r="AT154" s="38" t="inlineStr">
        <is>
          <t>4–8</t>
        </is>
      </c>
      <c r="AU154" s="38" t="inlineStr">
        <is>
          <t>Graduate + relevant qualification or certification preferred</t>
        </is>
      </c>
      <c r="AV154" s="38" t="inlineStr">
        <is>
          <t>IC: none · Team Lead: 3–5</t>
        </is>
      </c>
      <c r="AW154" s="38" t="inlineStr">
        <is>
          <t>P3 / M2 · SFIA 4 Enable</t>
        </is>
      </c>
      <c r="AX1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4" s="39" t="inlineStr">
        <is>
          <t>B1</t>
        </is>
      </c>
      <c r="AZ154" s="40" t="inlineStr">
        <is>
          <t>Band B · Specialist / Manager · Team Lead / Asst Manager</t>
        </is>
      </c>
      <c r="BA154" s="40" t="inlineStr">
        <is>
          <t>Model B1 from the six ratings, the market-derived weights and rules R1–R13 · then No change · already below the manager</t>
        </is>
      </c>
      <c r="BB154" s="41" t="inlineStr">
        <is>
          <t>B1</t>
        </is>
      </c>
      <c r="BC154" s="40" t="inlineStr">
        <is>
          <t>The six ratings on the market-average weights of Band B · People Manager score 3.72 → B1 · Hay, Mercer IPE and public plans · experience 6.8 yrs vs the B1 market range 4–8</t>
        </is>
      </c>
      <c r="BD154" s="42">
        <f>IF(SUM(BM154,BN154,BO154,BP154,BQ154,BR154,BS154)=0,0,(BM154*BT154+BN154*BU154+BO154*BV154+BP154*BW154+BQ154*BX154+BR154*BY154+BS154*BZ154)/SUM(BM154,BN154,BO154,BP154,BQ154,BR154,BS154))</f>
        <v>0</v>
      </c>
      <c r="BE154" s="41" t="str">
        <f>IF(LEFT(AY154,1)="X",AY154,IF(OR(AY154="B+",AY154="C+"),INDEX(LAD_PC,MAX(1,MIN(14,MATCH(AY154,LAD_PC,0)+IF(BD154&gt;=0.5,1,IF(BD154&lt;=-0.5,-1,0))))),INDEX(LAD_STD,MAX(1,MIN(12,MATCH(AY154,LAD_STD,0)+IF(BD154&gt;=0.5,1,IF(BD154&lt;=-0.5,-1,0)))))))</f>
        <v>B1</v>
      </c>
      <c r="BF154" s="43" t="n"/>
      <c r="BG154" s="41" t="str">
        <f>IF(BF154&lt;&gt;"",BF154,BE154)</f>
        <v>B1</v>
      </c>
      <c r="BH154" s="40" t="str">
        <f>IFERROR(CHOOSE(INDEX(B_RANK,MATCH(BG154,B_LVL,0)),"Band A","Band B","B+ · Player-Coach","Band C","C+ · Player-Coach","Band D","Band E"),"Band X · Consultant")</f>
        <v>Band B</v>
      </c>
      <c r="BI154" s="40" t="str">
        <f>IF(BG154=AY154,"• Same",IF(INDEX(B_VAL,MATCH(BG154,B_LVL,0))&gt;INDEX(B_VAL,MATCH(AY154,B_LVL,0)),"▲ Up","▼ Down"))</f>
        <v>• Same</v>
      </c>
      <c r="BJ154" s="40" t="str">
        <f>IF(OR($M154="",$M154="—",$M154="Not in this file"),"",IFERROR(INDEX($BG$7:$BG$592,MATCH($M154,$D$7:$D$592,0)),""))</f>
        <v>B3</v>
      </c>
      <c r="BK154" s="40" t="str">
        <f>IFERROR(IF(BJ154="","—",IF(OR(LEFT(BG154,1)="X",LEFT(BJ154,1)="X"),"—",IF(AND(LEFT(BG154,1)="E",LEFT(BJ154,1)="E"),"Exception · Band E",IF(AND(INDEX(B_VAL,MATCH(BJ154,B_LVL,0))&gt;=7,INDEX(B_RANK,MATCH(BG154,B_LVL,0))&gt;=INDEX(B_RANK,MATCH(BJ154,B_LVL,0))),"⚠ Same band as a head manager",IF(INDEX(B_VAL,MATCH(BG154,B_LVL,0))&gt;=INDEX(B_VAL,MATCH(BJ154,B_LVL,0)),"⚠ At or above the manager's level","OK"))))),"—")</f>
        <v>OK</v>
      </c>
      <c r="BL154" s="43" t="n"/>
      <c r="BM154" s="44">
        <f>IFERROR(INDEX(LMH_PTS,MATCH(Y154,LMH_KEY,0)),0)</f>
        <v>9</v>
      </c>
      <c r="BN154" s="38">
        <f>IFERROR(INDEX(LMH_PTS,MATCH(Z154,LMH_KEY,0)),0)</f>
        <v>3</v>
      </c>
      <c r="BO154" s="38">
        <f>IFERROR(INDEX(LMH_PTS,MATCH(AA154,LMH_KEY,0)),0)</f>
        <v>1</v>
      </c>
      <c r="BP154" s="38">
        <f>IFERROR(INDEX(LMH_PTS,MATCH(AB154,LMH_KEY,0)),0)</f>
        <v>3</v>
      </c>
      <c r="BQ154" s="38">
        <f>IFERROR(INDEX(LMH_PTS,MATCH(AC154,LMH_KEY,0)),0)</f>
        <v>3</v>
      </c>
      <c r="BR154" s="38">
        <f>IFERROR(INDEX(LMH_PTS,MATCH(AD154,LMH_KEY,0)),0)</f>
        <v>1</v>
      </c>
      <c r="BS154" s="38">
        <f>IFERROR(INDEX(LMH_PTS,MATCH(AE154,LMH_KEY,0)),0)</f>
        <v>1</v>
      </c>
      <c r="BT154" s="38">
        <f>IFERROR(INDEX(LMH_STEP,MATCH(AF154,LMH_KEY,0)),0)</f>
        <v>0</v>
      </c>
      <c r="BU154" s="38">
        <f>IFERROR(INDEX(LMH_STEP,MATCH(AG154,LMH_KEY,0)),0)</f>
        <v>0</v>
      </c>
      <c r="BV154" s="38">
        <f>IFERROR(INDEX(LMH_STEP,MATCH(AH154,LMH_KEY,0)),0)</f>
        <v>0</v>
      </c>
      <c r="BW154" s="38">
        <f>IFERROR(INDEX(LMH_STEP,MATCH(AI154,LMH_KEY,0)),0)</f>
        <v>0</v>
      </c>
      <c r="BX154" s="38">
        <f>IFERROR(INDEX(LMH_STEP,MATCH(AJ154,LMH_KEY,0)),0)</f>
        <v>0</v>
      </c>
      <c r="BY154" s="38">
        <f>IFERROR(INDEX(LMH_STEP,MATCH(AK154,LMH_KEY,0)),0)</f>
        <v>0</v>
      </c>
      <c r="BZ154" s="38">
        <f>IFERROR(INDEX(LMH_STEP,MATCH(AL154,LMH_KEY,0)),0)</f>
        <v>0</v>
      </c>
      <c r="CA154" s="38" t="inlineStr">
        <is>
          <t>CARBON|Marketing|Team Lead – Sales Development|B1|B-M</t>
        </is>
      </c>
    </row>
    <row r="155" ht="110" customHeight="1">
      <c r="A155" s="28" t="inlineStr">
        <is>
          <t>CARBON</t>
        </is>
      </c>
      <c r="B155" s="29" t="inlineStr">
        <is>
          <t>Marketing</t>
        </is>
      </c>
      <c r="C155" s="29" t="n">
        <v>5</v>
      </c>
      <c r="D155" s="29" t="inlineStr">
        <is>
          <t>IRIS2531</t>
        </is>
      </c>
      <c r="E155" s="29" t="inlineStr">
        <is>
          <t>Fatima Bhaiji</t>
        </is>
      </c>
      <c r="F155" s="29" t="inlineStr">
        <is>
          <t>Sales Development Representative</t>
        </is>
      </c>
      <c r="G155" s="29" t="inlineStr">
        <is>
          <t>Senior Sales Development Representative</t>
        </is>
      </c>
      <c r="H155" s="29" t="inlineStr">
        <is>
          <t>Sales &amp; Business Development</t>
        </is>
      </c>
      <c r="I155" s="29" t="inlineStr">
        <is>
          <t>Sales Development &amp; Prospecting</t>
        </is>
      </c>
      <c r="J155" s="29" t="inlineStr">
        <is>
          <t>IC</t>
        </is>
      </c>
      <c r="K155" s="29" t="inlineStr">
        <is>
          <t>RC-164</t>
        </is>
      </c>
      <c r="L155" s="29" t="inlineStr">
        <is>
          <t>Vijay Krishna Chintha</t>
        </is>
      </c>
      <c r="M155" s="29" t="inlineStr">
        <is>
          <t>IRIS2345</t>
        </is>
      </c>
      <c r="N155" s="29" t="n">
        <v>7.1</v>
      </c>
      <c r="O155" s="29" t="n">
        <v>0.3</v>
      </c>
      <c r="P155" s="29" t="inlineStr">
        <is>
          <t>BFM</t>
        </is>
      </c>
      <c r="Q155" s="29" t="inlineStr">
        <is>
          <t>L3 – Professional / Associate</t>
        </is>
      </c>
      <c r="R155" s="29" t="inlineStr">
        <is>
          <t>A3</t>
        </is>
      </c>
      <c r="S155" s="30" t="inlineStr">
        <is>
          <t>20 of 20</t>
        </is>
      </c>
      <c r="T155" s="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t>
        </is>
      </c>
      <c r="U155" s="31" t="inlineStr">
        <is>
          <t>Received · manager annual · 1. Build a strong pipeline of qualified leads through close sales collaboration and complete 72 DCCs annually
2. Generate 27 Sales Accepted Leads · SALs = Active Buy annually by qualifying high-intent opportunities for Account Executives and Functional Experts</t>
        </is>
      </c>
      <c r="V155" s="31" t="inlineStr">
        <is>
          <t>Latest rating: 3 · Potential: High · 9-box: Emerging Talent · Readiness: Ready in 6–12 months</t>
        </is>
      </c>
      <c r="W155" s="31" t="inlineStr">
        <is>
          <t>C L · Au L · Ac L · L L · BI L · Exp H · 7.1 yrs vs 2–4 yrs · Edu M · BFM</t>
        </is>
      </c>
      <c r="X155" s="33" t="inlineStr">
        <is>
          <t>Open ▸</t>
        </is>
      </c>
      <c r="Y155" s="34" t="str">
        <f>IFERROR(INDEX(DL_C,MATCH($CA155,DL_KEY,0)),"M")</f>
        <v>H</v>
      </c>
      <c r="Z155" s="35" t="str">
        <f>IFERROR(INDEX(DL_Au,MATCH($CA155,DL_KEY,0)),"M")</f>
        <v>M</v>
      </c>
      <c r="AA155" s="35" t="str">
        <f>IFERROR(INDEX(DL_Ac,MATCH($CA155,DL_KEY,0)),"M")</f>
        <v>L</v>
      </c>
      <c r="AB155" s="35" t="str">
        <f>IFERROR(INDEX(DL_L,MATCH($CA155,DL_KEY,0)),"M")</f>
        <v>L</v>
      </c>
      <c r="AC155" s="35" t="str">
        <f>IFERROR(INDEX(DL_BI,MATCH($CA155,DL_KEY,0)),"M")</f>
        <v>M</v>
      </c>
      <c r="AD155" s="35" t="str">
        <f>IFERROR(INDEX(DL_Exp,MATCH($CA155,DL_KEY,0)),"M")</f>
        <v>L</v>
      </c>
      <c r="AE155" s="35" t="str">
        <f>IFERROR(INDEX(DL_Edu,MATCH($CA155,DL_KEY,0)),"M")</f>
        <v>L</v>
      </c>
      <c r="AF155" s="34" t="inlineStr">
        <is>
          <t>M</t>
        </is>
      </c>
      <c r="AG155" s="35" t="inlineStr">
        <is>
          <t>M</t>
        </is>
      </c>
      <c r="AH155" s="35" t="inlineStr">
        <is>
          <t>M</t>
        </is>
      </c>
      <c r="AI155" s="35" t="inlineStr">
        <is>
          <t>M</t>
        </is>
      </c>
      <c r="AJ155" s="35" t="inlineStr">
        <is>
          <t>M</t>
        </is>
      </c>
      <c r="AK155" s="35" t="inlineStr">
        <is>
          <t>M</t>
        </is>
      </c>
      <c r="AL155" s="35" t="inlineStr">
        <is>
          <t>M</t>
        </is>
      </c>
      <c r="AM155" s="36" t="n">
        <v>0.583</v>
      </c>
      <c r="AN155" s="37" t="n">
        <v>0.16</v>
      </c>
      <c r="AO155" s="37" t="n">
        <v>0.09</v>
      </c>
      <c r="AP155" s="37" t="n">
        <v>0</v>
      </c>
      <c r="AQ155" s="37" t="n">
        <v>0.063</v>
      </c>
      <c r="AR155" s="37" t="n">
        <v>0.06</v>
      </c>
      <c r="AS155" s="37" t="n">
        <v>0.04</v>
      </c>
      <c r="AT155" s="38" t="inlineStr">
        <is>
          <t>2–5</t>
        </is>
      </c>
      <c r="AU155" s="38" t="inlineStr">
        <is>
          <t>Graduate; relevant certification preferred</t>
        </is>
      </c>
      <c r="AV155" s="38" t="inlineStr">
        <is>
          <t>None · guides 1–3 juniors informally</t>
        </is>
      </c>
      <c r="AW155" s="38" t="inlineStr">
        <is>
          <t>P2 · SFIA 3 Apply</t>
        </is>
      </c>
      <c r="AX1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5" s="39" t="inlineStr">
        <is>
          <t>A3</t>
        </is>
      </c>
      <c r="AZ155" s="40" t="inlineStr">
        <is>
          <t>Band A · Practitioner · Senior Associate</t>
        </is>
      </c>
      <c r="BA155" s="40" t="inlineStr">
        <is>
          <t>Model A3 from the six ratings, the market-derived weights and rules R1–R13 · then No change · already below the manager</t>
        </is>
      </c>
      <c r="BB155" s="41" t="inlineStr">
        <is>
          <t>A2</t>
        </is>
      </c>
      <c r="BC155" s="40" t="inlineStr">
        <is>
          <t>The six ratings on the market-average weights of Band A · all tracks score 2.30 → A2 · Hay, Mercer IPE and public plans · experience 7.1 yrs vs the A2 market range 0–3</t>
        </is>
      </c>
      <c r="BD155" s="42">
        <f>IF(SUM(BM155,BN155,BO155,BP155,BQ155,BR155,BS155)=0,0,(BM155*BT155+BN155*BU155+BO155*BV155+BP155*BW155+BQ155*BX155+BR155*BY155+BS155*BZ155)/SUM(BM155,BN155,BO155,BP155,BQ155,BR155,BS155))</f>
        <v>0</v>
      </c>
      <c r="BE155" s="41" t="str">
        <f>IF(LEFT(AY155,1)="X",AY155,IF(OR(AY155="B+",AY155="C+"),INDEX(LAD_PC,MAX(1,MIN(14,MATCH(AY155,LAD_PC,0)+IF(BD155&gt;=0.5,1,IF(BD155&lt;=-0.5,-1,0))))),INDEX(LAD_STD,MAX(1,MIN(12,MATCH(AY155,LAD_STD,0)+IF(BD155&gt;=0.5,1,IF(BD155&lt;=-0.5,-1,0)))))))</f>
        <v>A3</v>
      </c>
      <c r="BF155" s="43" t="n"/>
      <c r="BG155" s="41" t="str">
        <f>IF(BF155&lt;&gt;"",BF155,BE155)</f>
        <v>A3</v>
      </c>
      <c r="BH155" s="40" t="str">
        <f>IFERROR(CHOOSE(INDEX(B_RANK,MATCH(BG155,B_LVL,0)),"Band A","Band B","B+ · Player-Coach","Band C","C+ · Player-Coach","Band D","Band E"),"Band X · Consultant")</f>
        <v>Band A</v>
      </c>
      <c r="BI155" s="40" t="str">
        <f>IF(BG155=AY155,"• Same",IF(INDEX(B_VAL,MATCH(BG155,B_LVL,0))&gt;INDEX(B_VAL,MATCH(AY155,B_LVL,0)),"▲ Up","▼ Down"))</f>
        <v>• Same</v>
      </c>
      <c r="BJ155" s="40" t="str">
        <f>IF(OR($M155="",$M155="—",$M155="Not in this file"),"",IFERROR(INDEX($BG$7:$BG$592,MATCH($M155,$D$7:$D$592,0)),""))</f>
        <v>B1</v>
      </c>
      <c r="BK155" s="40" t="str">
        <f>IFERROR(IF(BJ155="","—",IF(OR(LEFT(BG155,1)="X",LEFT(BJ155,1)="X"),"—",IF(AND(LEFT(BG155,1)="E",LEFT(BJ155,1)="E"),"Exception · Band E",IF(AND(INDEX(B_VAL,MATCH(BJ155,B_LVL,0))&gt;=7,INDEX(B_RANK,MATCH(BG155,B_LVL,0))&gt;=INDEX(B_RANK,MATCH(BJ155,B_LVL,0))),"⚠ Same band as a head manager",IF(INDEX(B_VAL,MATCH(BG155,B_LVL,0))&gt;=INDEX(B_VAL,MATCH(BJ155,B_LVL,0)),"⚠ At or above the manager's level","OK"))))),"—")</f>
        <v>OK</v>
      </c>
      <c r="BL155" s="43" t="n"/>
      <c r="BM155" s="44">
        <f>IFERROR(INDEX(LMH_PTS,MATCH(Y155,LMH_KEY,0)),0)</f>
        <v>9</v>
      </c>
      <c r="BN155" s="38">
        <f>IFERROR(INDEX(LMH_PTS,MATCH(Z155,LMH_KEY,0)),0)</f>
        <v>3</v>
      </c>
      <c r="BO155" s="38">
        <f>IFERROR(INDEX(LMH_PTS,MATCH(AA155,LMH_KEY,0)),0)</f>
        <v>1</v>
      </c>
      <c r="BP155" s="38">
        <f>IFERROR(INDEX(LMH_PTS,MATCH(AB155,LMH_KEY,0)),0)</f>
        <v>1</v>
      </c>
      <c r="BQ155" s="38">
        <f>IFERROR(INDEX(LMH_PTS,MATCH(AC155,LMH_KEY,0)),0)</f>
        <v>3</v>
      </c>
      <c r="BR155" s="38">
        <f>IFERROR(INDEX(LMH_PTS,MATCH(AD155,LMH_KEY,0)),0)</f>
        <v>1</v>
      </c>
      <c r="BS155" s="38">
        <f>IFERROR(INDEX(LMH_PTS,MATCH(AE155,LMH_KEY,0)),0)</f>
        <v>1</v>
      </c>
      <c r="BT155" s="38">
        <f>IFERROR(INDEX(LMH_STEP,MATCH(AF155,LMH_KEY,0)),0)</f>
        <v>0</v>
      </c>
      <c r="BU155" s="38">
        <f>IFERROR(INDEX(LMH_STEP,MATCH(AG155,LMH_KEY,0)),0)</f>
        <v>0</v>
      </c>
      <c r="BV155" s="38">
        <f>IFERROR(INDEX(LMH_STEP,MATCH(AH155,LMH_KEY,0)),0)</f>
        <v>0</v>
      </c>
      <c r="BW155" s="38">
        <f>IFERROR(INDEX(LMH_STEP,MATCH(AI155,LMH_KEY,0)),0)</f>
        <v>0</v>
      </c>
      <c r="BX155" s="38">
        <f>IFERROR(INDEX(LMH_STEP,MATCH(AJ155,LMH_KEY,0)),0)</f>
        <v>0</v>
      </c>
      <c r="BY155" s="38">
        <f>IFERROR(INDEX(LMH_STEP,MATCH(AK155,LMH_KEY,0)),0)</f>
        <v>0</v>
      </c>
      <c r="BZ155" s="38">
        <f>IFERROR(INDEX(LMH_STEP,MATCH(AL155,LMH_KEY,0)),0)</f>
        <v>0</v>
      </c>
      <c r="CA155" s="38" t="inlineStr">
        <is>
          <t>CARBON|Marketing|Senior Sales Development Representative|A3|A</t>
        </is>
      </c>
    </row>
    <row r="156" ht="110" customHeight="1">
      <c r="A156" s="28" t="inlineStr">
        <is>
          <t>CARBON</t>
        </is>
      </c>
      <c r="B156" s="29" t="inlineStr">
        <is>
          <t>Marketing</t>
        </is>
      </c>
      <c r="C156" s="29" t="n">
        <v>5</v>
      </c>
      <c r="D156" s="29" t="inlineStr">
        <is>
          <t>IRIS2543</t>
        </is>
      </c>
      <c r="E156" s="29" t="inlineStr">
        <is>
          <t>Rahul Nishikant Pawar</t>
        </is>
      </c>
      <c r="F156" s="29" t="inlineStr">
        <is>
          <t>Senior Sales Development Representative</t>
        </is>
      </c>
      <c r="G156" s="29" t="inlineStr">
        <is>
          <t>Senior Sales Development Representative</t>
        </is>
      </c>
      <c r="H156" s="29" t="inlineStr">
        <is>
          <t>Sales &amp; Business Development</t>
        </is>
      </c>
      <c r="I156" s="29" t="inlineStr">
        <is>
          <t>Sales Development &amp; Prospecting</t>
        </is>
      </c>
      <c r="J156" s="29" t="inlineStr">
        <is>
          <t>IC</t>
        </is>
      </c>
      <c r="K156" s="29" t="inlineStr">
        <is>
          <t>RC-164</t>
        </is>
      </c>
      <c r="L156" s="29" t="inlineStr">
        <is>
          <t>Vijay Krishna Chintha</t>
        </is>
      </c>
      <c r="M156" s="29" t="inlineStr">
        <is>
          <t>IRIS2345</t>
        </is>
      </c>
      <c r="N156" s="29" t="n">
        <v>5.3</v>
      </c>
      <c r="O156" s="29" t="n">
        <v>0.2</v>
      </c>
      <c r="P156" s="29" t="inlineStr">
        <is>
          <t>HSC</t>
        </is>
      </c>
      <c r="Q156" s="29" t="inlineStr">
        <is>
          <t>Not in current mapping files</t>
        </is>
      </c>
      <c r="R156" s="29" t="inlineStr">
        <is>
          <t>A3</t>
        </is>
      </c>
      <c r="S156" s="30" t="inlineStr">
        <is>
          <t>20 of 20</t>
        </is>
      </c>
      <c r="T156" s="31" t="inlineStr">
        <is>
          <t>Schedule qualified meetings; Finding alternatives New strategies</t>
        </is>
      </c>
      <c r="U156" s="32" t="inlineStr">
        <is>
          <t>KRAs not received · manager to supply</t>
        </is>
      </c>
      <c r="V156" s="31" t="inlineStr">
        <is>
          <t>Latest rating: Not rated · manager · 9-box: Not placed · manager · Readiness: No rating data</t>
        </is>
      </c>
      <c r="W156" s="31" t="inlineStr">
        <is>
          <t>C M · Au M · Ac M · L L · BI M · Exp H · 5.3 yrs vs 2–4 yrs · Edu L · HSC</t>
        </is>
      </c>
      <c r="X156" s="33" t="inlineStr">
        <is>
          <t>Open ▸</t>
        </is>
      </c>
      <c r="Y156" s="34" t="str">
        <f>IFERROR(INDEX(DL_C,MATCH($CA156,DL_KEY,0)),"M")</f>
        <v>H</v>
      </c>
      <c r="Z156" s="35" t="str">
        <f>IFERROR(INDEX(DL_Au,MATCH($CA156,DL_KEY,0)),"M")</f>
        <v>M</v>
      </c>
      <c r="AA156" s="35" t="str">
        <f>IFERROR(INDEX(DL_Ac,MATCH($CA156,DL_KEY,0)),"M")</f>
        <v>L</v>
      </c>
      <c r="AB156" s="35" t="str">
        <f>IFERROR(INDEX(DL_L,MATCH($CA156,DL_KEY,0)),"M")</f>
        <v>L</v>
      </c>
      <c r="AC156" s="35" t="str">
        <f>IFERROR(INDEX(DL_BI,MATCH($CA156,DL_KEY,0)),"M")</f>
        <v>M</v>
      </c>
      <c r="AD156" s="35" t="str">
        <f>IFERROR(INDEX(DL_Exp,MATCH($CA156,DL_KEY,0)),"M")</f>
        <v>L</v>
      </c>
      <c r="AE156" s="35" t="str">
        <f>IFERROR(INDEX(DL_Edu,MATCH($CA156,DL_KEY,0)),"M")</f>
        <v>L</v>
      </c>
      <c r="AF156" s="34" t="inlineStr">
        <is>
          <t>M</t>
        </is>
      </c>
      <c r="AG156" s="35" t="inlineStr">
        <is>
          <t>M</t>
        </is>
      </c>
      <c r="AH156" s="35" t="inlineStr">
        <is>
          <t>M</t>
        </is>
      </c>
      <c r="AI156" s="35" t="inlineStr">
        <is>
          <t>M</t>
        </is>
      </c>
      <c r="AJ156" s="35" t="inlineStr">
        <is>
          <t>M</t>
        </is>
      </c>
      <c r="AK156" s="35" t="inlineStr">
        <is>
          <t>M</t>
        </is>
      </c>
      <c r="AL156" s="35" t="inlineStr">
        <is>
          <t>M</t>
        </is>
      </c>
      <c r="AM156" s="36" t="n">
        <v>0.583</v>
      </c>
      <c r="AN156" s="37" t="n">
        <v>0.16</v>
      </c>
      <c r="AO156" s="37" t="n">
        <v>0.09</v>
      </c>
      <c r="AP156" s="37" t="n">
        <v>0</v>
      </c>
      <c r="AQ156" s="37" t="n">
        <v>0.063</v>
      </c>
      <c r="AR156" s="37" t="n">
        <v>0.06</v>
      </c>
      <c r="AS156" s="37" t="n">
        <v>0.04</v>
      </c>
      <c r="AT156" s="38" t="inlineStr">
        <is>
          <t>2–5</t>
        </is>
      </c>
      <c r="AU156" s="38" t="inlineStr">
        <is>
          <t>Graduate; relevant certification preferred</t>
        </is>
      </c>
      <c r="AV156" s="38" t="inlineStr">
        <is>
          <t>None · guides 1–3 juniors informally</t>
        </is>
      </c>
      <c r="AW156" s="38" t="inlineStr">
        <is>
          <t>P2 · SFIA 3 Apply</t>
        </is>
      </c>
      <c r="AX1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6" s="39" t="inlineStr">
        <is>
          <t>A3</t>
        </is>
      </c>
      <c r="AZ156" s="40" t="inlineStr">
        <is>
          <t>Band A · Practitioner · Senior Associate</t>
        </is>
      </c>
      <c r="BA156" s="40" t="inlineStr">
        <is>
          <t>Model A3 from the six ratings, the market-derived weights and rules R1–R13 · then No change · already below the manager</t>
        </is>
      </c>
      <c r="BB156" s="41" t="inlineStr">
        <is>
          <t>A3</t>
        </is>
      </c>
      <c r="BC156" s="40" t="inlineStr">
        <is>
          <t>The six ratings on the market-average weights of Band A · all tracks score 2.60 → A3 · Hay, Mercer IPE and public plans · experience 5.3 yrs vs the A3 market range 2–5</t>
        </is>
      </c>
      <c r="BD156" s="42">
        <f>IF(SUM(BM156,BN156,BO156,BP156,BQ156,BR156,BS156)=0,0,(BM156*BT156+BN156*BU156+BO156*BV156+BP156*BW156+BQ156*BX156+BR156*BY156+BS156*BZ156)/SUM(BM156,BN156,BO156,BP156,BQ156,BR156,BS156))</f>
        <v>0</v>
      </c>
      <c r="BE156" s="41" t="str">
        <f>IF(LEFT(AY156,1)="X",AY156,IF(OR(AY156="B+",AY156="C+"),INDEX(LAD_PC,MAX(1,MIN(14,MATCH(AY156,LAD_PC,0)+IF(BD156&gt;=0.5,1,IF(BD156&lt;=-0.5,-1,0))))),INDEX(LAD_STD,MAX(1,MIN(12,MATCH(AY156,LAD_STD,0)+IF(BD156&gt;=0.5,1,IF(BD156&lt;=-0.5,-1,0)))))))</f>
        <v>A3</v>
      </c>
      <c r="BF156" s="43" t="n"/>
      <c r="BG156" s="41" t="str">
        <f>IF(BF156&lt;&gt;"",BF156,BE156)</f>
        <v>A3</v>
      </c>
      <c r="BH156" s="40" t="str">
        <f>IFERROR(CHOOSE(INDEX(B_RANK,MATCH(BG156,B_LVL,0)),"Band A","Band B","B+ · Player-Coach","Band C","C+ · Player-Coach","Band D","Band E"),"Band X · Consultant")</f>
        <v>Band A</v>
      </c>
      <c r="BI156" s="40" t="str">
        <f>IF(BG156=AY156,"• Same",IF(INDEX(B_VAL,MATCH(BG156,B_LVL,0))&gt;INDEX(B_VAL,MATCH(AY156,B_LVL,0)),"▲ Up","▼ Down"))</f>
        <v>• Same</v>
      </c>
      <c r="BJ156" s="40" t="str">
        <f>IF(OR($M156="",$M156="—",$M156="Not in this file"),"",IFERROR(INDEX($BG$7:$BG$592,MATCH($M156,$D$7:$D$592,0)),""))</f>
        <v>B1</v>
      </c>
      <c r="BK156" s="40" t="str">
        <f>IFERROR(IF(BJ156="","—",IF(OR(LEFT(BG156,1)="X",LEFT(BJ156,1)="X"),"—",IF(AND(LEFT(BG156,1)="E",LEFT(BJ156,1)="E"),"Exception · Band E",IF(AND(INDEX(B_VAL,MATCH(BJ156,B_LVL,0))&gt;=7,INDEX(B_RANK,MATCH(BG156,B_LVL,0))&gt;=INDEX(B_RANK,MATCH(BJ156,B_LVL,0))),"⚠ Same band as a head manager",IF(INDEX(B_VAL,MATCH(BG156,B_LVL,0))&gt;=INDEX(B_VAL,MATCH(BJ156,B_LVL,0)),"⚠ At or above the manager's level","OK"))))),"—")</f>
        <v>OK</v>
      </c>
      <c r="BL156" s="43" t="n"/>
      <c r="BM156" s="44">
        <f>IFERROR(INDEX(LMH_PTS,MATCH(Y156,LMH_KEY,0)),0)</f>
        <v>9</v>
      </c>
      <c r="BN156" s="38">
        <f>IFERROR(INDEX(LMH_PTS,MATCH(Z156,LMH_KEY,0)),0)</f>
        <v>3</v>
      </c>
      <c r="BO156" s="38">
        <f>IFERROR(INDEX(LMH_PTS,MATCH(AA156,LMH_KEY,0)),0)</f>
        <v>1</v>
      </c>
      <c r="BP156" s="38">
        <f>IFERROR(INDEX(LMH_PTS,MATCH(AB156,LMH_KEY,0)),0)</f>
        <v>1</v>
      </c>
      <c r="BQ156" s="38">
        <f>IFERROR(INDEX(LMH_PTS,MATCH(AC156,LMH_KEY,0)),0)</f>
        <v>3</v>
      </c>
      <c r="BR156" s="38">
        <f>IFERROR(INDEX(LMH_PTS,MATCH(AD156,LMH_KEY,0)),0)</f>
        <v>1</v>
      </c>
      <c r="BS156" s="38">
        <f>IFERROR(INDEX(LMH_PTS,MATCH(AE156,LMH_KEY,0)),0)</f>
        <v>1</v>
      </c>
      <c r="BT156" s="38">
        <f>IFERROR(INDEX(LMH_STEP,MATCH(AF156,LMH_KEY,0)),0)</f>
        <v>0</v>
      </c>
      <c r="BU156" s="38">
        <f>IFERROR(INDEX(LMH_STEP,MATCH(AG156,LMH_KEY,0)),0)</f>
        <v>0</v>
      </c>
      <c r="BV156" s="38">
        <f>IFERROR(INDEX(LMH_STEP,MATCH(AH156,LMH_KEY,0)),0)</f>
        <v>0</v>
      </c>
      <c r="BW156" s="38">
        <f>IFERROR(INDEX(LMH_STEP,MATCH(AI156,LMH_KEY,0)),0)</f>
        <v>0</v>
      </c>
      <c r="BX156" s="38">
        <f>IFERROR(INDEX(LMH_STEP,MATCH(AJ156,LMH_KEY,0)),0)</f>
        <v>0</v>
      </c>
      <c r="BY156" s="38">
        <f>IFERROR(INDEX(LMH_STEP,MATCH(AK156,LMH_KEY,0)),0)</f>
        <v>0</v>
      </c>
      <c r="BZ156" s="38">
        <f>IFERROR(INDEX(LMH_STEP,MATCH(AL156,LMH_KEY,0)),0)</f>
        <v>0</v>
      </c>
      <c r="CA156" s="38" t="inlineStr">
        <is>
          <t>CARBON|Marketing|Senior Sales Development Representative|A3|A</t>
        </is>
      </c>
    </row>
    <row r="157" ht="110" customHeight="1">
      <c r="A157" s="28" t="inlineStr">
        <is>
          <t>CARBON</t>
        </is>
      </c>
      <c r="B157" s="29" t="inlineStr">
        <is>
          <t>Marketing</t>
        </is>
      </c>
      <c r="C157" s="29" t="n">
        <v>5</v>
      </c>
      <c r="D157" s="29" t="inlineStr">
        <is>
          <t>IRIS2518</t>
        </is>
      </c>
      <c r="E157" s="29" t="inlineStr">
        <is>
          <t>Diksha Gunjyal</t>
        </is>
      </c>
      <c r="F157" s="29" t="inlineStr">
        <is>
          <t>Marketing Associate</t>
        </is>
      </c>
      <c r="G157" s="29" t="inlineStr">
        <is>
          <t>Sales Development Representative</t>
        </is>
      </c>
      <c r="H157" s="29" t="inlineStr">
        <is>
          <t>Sales &amp; Business Development</t>
        </is>
      </c>
      <c r="I157" s="29" t="inlineStr">
        <is>
          <t>Sales Development &amp; Prospecting</t>
        </is>
      </c>
      <c r="J157" s="29" t="inlineStr">
        <is>
          <t>IC</t>
        </is>
      </c>
      <c r="K157" s="29" t="inlineStr">
        <is>
          <t>RC-163</t>
        </is>
      </c>
      <c r="L157" s="29" t="inlineStr">
        <is>
          <t>Vijay Krishna Chintha</t>
        </is>
      </c>
      <c r="M157" s="29" t="inlineStr">
        <is>
          <t>IRIS2345</t>
        </is>
      </c>
      <c r="N157" s="29" t="n">
        <v>0.4</v>
      </c>
      <c r="O157" s="29" t="n">
        <v>0.4</v>
      </c>
      <c r="P157" s="29" t="inlineStr">
        <is>
          <t>B.Sc</t>
        </is>
      </c>
      <c r="Q157" s="29" t="inlineStr">
        <is>
          <t>L3 – Professional / Associate</t>
        </is>
      </c>
      <c r="R157" s="29" t="inlineStr">
        <is>
          <t>A2</t>
        </is>
      </c>
      <c r="S157" s="30" t="inlineStr">
        <is>
          <t>20 of 20</t>
        </is>
      </c>
      <c r="T157" s="31" t="inlineStr">
        <is>
          <t>• This role reaches out to relevant ICPs to support sales and build the IRIS brand.</t>
        </is>
      </c>
      <c r="U157" s="31" t="inlineStr">
        <is>
          <t>Received · manager annual · 1.Recently joined the organization · around 3 months ago and is currently ramping up while building a strong understanding
2. Started actively prospecting through multi-channel outreach across target accounts to build pipeline</t>
        </is>
      </c>
      <c r="V157" s="31" t="inlineStr">
        <is>
          <t>Latest rating: 1 · Potential: Low · 9-box: Performance Risk · Readiness: Performance first</t>
        </is>
      </c>
      <c r="W157" s="31" t="inlineStr">
        <is>
          <t>C M · Au M · Ac M · L L · BI M · Exp M · 0.4 yrs vs 0–2 yrs · Edu M · B.Sc</t>
        </is>
      </c>
      <c r="X157" s="33" t="inlineStr">
        <is>
          <t>Open ▸</t>
        </is>
      </c>
      <c r="Y157" s="34" t="str">
        <f>IFERROR(INDEX(DL_C,MATCH($CA157,DL_KEY,0)),"M")</f>
        <v>H</v>
      </c>
      <c r="Z157" s="35" t="str">
        <f>IFERROR(INDEX(DL_Au,MATCH($CA157,DL_KEY,0)),"M")</f>
        <v>M</v>
      </c>
      <c r="AA157" s="35" t="str">
        <f>IFERROR(INDEX(DL_Ac,MATCH($CA157,DL_KEY,0)),"M")</f>
        <v>L</v>
      </c>
      <c r="AB157" s="35" t="str">
        <f>IFERROR(INDEX(DL_L,MATCH($CA157,DL_KEY,0)),"M")</f>
        <v>L</v>
      </c>
      <c r="AC157" s="35" t="str">
        <f>IFERROR(INDEX(DL_BI,MATCH($CA157,DL_KEY,0)),"M")</f>
        <v>M</v>
      </c>
      <c r="AD157" s="35" t="str">
        <f>IFERROR(INDEX(DL_Exp,MATCH($CA157,DL_KEY,0)),"M")</f>
        <v>L</v>
      </c>
      <c r="AE157" s="35" t="str">
        <f>IFERROR(INDEX(DL_Edu,MATCH($CA157,DL_KEY,0)),"M")</f>
        <v>L</v>
      </c>
      <c r="AF157" s="34" t="inlineStr">
        <is>
          <t>M</t>
        </is>
      </c>
      <c r="AG157" s="35" t="inlineStr">
        <is>
          <t>M</t>
        </is>
      </c>
      <c r="AH157" s="35" t="inlineStr">
        <is>
          <t>M</t>
        </is>
      </c>
      <c r="AI157" s="35" t="inlineStr">
        <is>
          <t>M</t>
        </is>
      </c>
      <c r="AJ157" s="35" t="inlineStr">
        <is>
          <t>M</t>
        </is>
      </c>
      <c r="AK157" s="35" t="inlineStr">
        <is>
          <t>M</t>
        </is>
      </c>
      <c r="AL157" s="35" t="inlineStr">
        <is>
          <t>M</t>
        </is>
      </c>
      <c r="AM157" s="36" t="n">
        <v>0.583</v>
      </c>
      <c r="AN157" s="37" t="n">
        <v>0.16</v>
      </c>
      <c r="AO157" s="37" t="n">
        <v>0.09</v>
      </c>
      <c r="AP157" s="37" t="n">
        <v>0</v>
      </c>
      <c r="AQ157" s="37" t="n">
        <v>0.063</v>
      </c>
      <c r="AR157" s="37" t="n">
        <v>0.06</v>
      </c>
      <c r="AS157" s="37" t="n">
        <v>0.04</v>
      </c>
      <c r="AT157" s="38" t="inlineStr">
        <is>
          <t>0–3</t>
        </is>
      </c>
      <c r="AU157" s="38" t="inlineStr">
        <is>
          <t>Graduate · or diploma with experience</t>
        </is>
      </c>
      <c r="AV157" s="38" t="inlineStr">
        <is>
          <t>No direct reports</t>
        </is>
      </c>
      <c r="AW157" s="38" t="inlineStr">
        <is>
          <t>P1–P2 · SFIA 2 Assist</t>
        </is>
      </c>
      <c r="AX1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7" s="39" t="inlineStr">
        <is>
          <t>A2</t>
        </is>
      </c>
      <c r="AZ157" s="40" t="inlineStr">
        <is>
          <t>Band A · Practitioner · Associate</t>
        </is>
      </c>
      <c r="BA157" s="40" t="inlineStr">
        <is>
          <t>Model A2 from the six ratings, the market-derived weights and rules R1–R13 · then No change · already below the manager</t>
        </is>
      </c>
      <c r="BB157" s="41" t="inlineStr">
        <is>
          <t>A2</t>
        </is>
      </c>
      <c r="BC157" s="40" t="inlineStr">
        <is>
          <t>The six ratings on the market-average weights of Band A · all tracks score 1.95 → A2 · Hay, Mercer IPE and public plans · experience 0.4 yrs vs the A2 market range 0–3</t>
        </is>
      </c>
      <c r="BD157" s="42">
        <f>IF(SUM(BM157,BN157,BO157,BP157,BQ157,BR157,BS157)=0,0,(BM157*BT157+BN157*BU157+BO157*BV157+BP157*BW157+BQ157*BX157+BR157*BY157+BS157*BZ157)/SUM(BM157,BN157,BO157,BP157,BQ157,BR157,BS157))</f>
        <v>0</v>
      </c>
      <c r="BE157" s="41" t="str">
        <f>IF(LEFT(AY157,1)="X",AY157,IF(OR(AY157="B+",AY157="C+"),INDEX(LAD_PC,MAX(1,MIN(14,MATCH(AY157,LAD_PC,0)+IF(BD157&gt;=0.5,1,IF(BD157&lt;=-0.5,-1,0))))),INDEX(LAD_STD,MAX(1,MIN(12,MATCH(AY157,LAD_STD,0)+IF(BD157&gt;=0.5,1,IF(BD157&lt;=-0.5,-1,0)))))))</f>
        <v>A2</v>
      </c>
      <c r="BF157" s="43" t="n"/>
      <c r="BG157" s="41" t="str">
        <f>IF(BF157&lt;&gt;"",BF157,BE157)</f>
        <v>A2</v>
      </c>
      <c r="BH157" s="40" t="str">
        <f>IFERROR(CHOOSE(INDEX(B_RANK,MATCH(BG157,B_LVL,0)),"Band A","Band B","B+ · Player-Coach","Band C","C+ · Player-Coach","Band D","Band E"),"Band X · Consultant")</f>
        <v>Band A</v>
      </c>
      <c r="BI157" s="40" t="str">
        <f>IF(BG157=AY157,"• Same",IF(INDEX(B_VAL,MATCH(BG157,B_LVL,0))&gt;INDEX(B_VAL,MATCH(AY157,B_LVL,0)),"▲ Up","▼ Down"))</f>
        <v>• Same</v>
      </c>
      <c r="BJ157" s="40" t="str">
        <f>IF(OR($M157="",$M157="—",$M157="Not in this file"),"",IFERROR(INDEX($BG$7:$BG$592,MATCH($M157,$D$7:$D$592,0)),""))</f>
        <v>B1</v>
      </c>
      <c r="BK157" s="40" t="str">
        <f>IFERROR(IF(BJ157="","—",IF(OR(LEFT(BG157,1)="X",LEFT(BJ157,1)="X"),"—",IF(AND(LEFT(BG157,1)="E",LEFT(BJ157,1)="E"),"Exception · Band E",IF(AND(INDEX(B_VAL,MATCH(BJ157,B_LVL,0))&gt;=7,INDEX(B_RANK,MATCH(BG157,B_LVL,0))&gt;=INDEX(B_RANK,MATCH(BJ157,B_LVL,0))),"⚠ Same band as a head manager",IF(INDEX(B_VAL,MATCH(BG157,B_LVL,0))&gt;=INDEX(B_VAL,MATCH(BJ157,B_LVL,0)),"⚠ At or above the manager's level","OK"))))),"—")</f>
        <v>OK</v>
      </c>
      <c r="BL157" s="43" t="n"/>
      <c r="BM157" s="44">
        <f>IFERROR(INDEX(LMH_PTS,MATCH(Y157,LMH_KEY,0)),0)</f>
        <v>9</v>
      </c>
      <c r="BN157" s="38">
        <f>IFERROR(INDEX(LMH_PTS,MATCH(Z157,LMH_KEY,0)),0)</f>
        <v>3</v>
      </c>
      <c r="BO157" s="38">
        <f>IFERROR(INDEX(LMH_PTS,MATCH(AA157,LMH_KEY,0)),0)</f>
        <v>1</v>
      </c>
      <c r="BP157" s="38">
        <f>IFERROR(INDEX(LMH_PTS,MATCH(AB157,LMH_KEY,0)),0)</f>
        <v>1</v>
      </c>
      <c r="BQ157" s="38">
        <f>IFERROR(INDEX(LMH_PTS,MATCH(AC157,LMH_KEY,0)),0)</f>
        <v>3</v>
      </c>
      <c r="BR157" s="38">
        <f>IFERROR(INDEX(LMH_PTS,MATCH(AD157,LMH_KEY,0)),0)</f>
        <v>1</v>
      </c>
      <c r="BS157" s="38">
        <f>IFERROR(INDEX(LMH_PTS,MATCH(AE157,LMH_KEY,0)),0)</f>
        <v>1</v>
      </c>
      <c r="BT157" s="38">
        <f>IFERROR(INDEX(LMH_STEP,MATCH(AF157,LMH_KEY,0)),0)</f>
        <v>0</v>
      </c>
      <c r="BU157" s="38">
        <f>IFERROR(INDEX(LMH_STEP,MATCH(AG157,LMH_KEY,0)),0)</f>
        <v>0</v>
      </c>
      <c r="BV157" s="38">
        <f>IFERROR(INDEX(LMH_STEP,MATCH(AH157,LMH_KEY,0)),0)</f>
        <v>0</v>
      </c>
      <c r="BW157" s="38">
        <f>IFERROR(INDEX(LMH_STEP,MATCH(AI157,LMH_KEY,0)),0)</f>
        <v>0</v>
      </c>
      <c r="BX157" s="38">
        <f>IFERROR(INDEX(LMH_STEP,MATCH(AJ157,LMH_KEY,0)),0)</f>
        <v>0</v>
      </c>
      <c r="BY157" s="38">
        <f>IFERROR(INDEX(LMH_STEP,MATCH(AK157,LMH_KEY,0)),0)</f>
        <v>0</v>
      </c>
      <c r="BZ157" s="38">
        <f>IFERROR(INDEX(LMH_STEP,MATCH(AL157,LMH_KEY,0)),0)</f>
        <v>0</v>
      </c>
      <c r="CA157" s="38" t="inlineStr">
        <is>
          <t>CARBON|Marketing|Sales Development Representative|A2|A</t>
        </is>
      </c>
    </row>
    <row r="158" ht="110" customHeight="1">
      <c r="A158" s="28" t="inlineStr">
        <is>
          <t>CARBON</t>
        </is>
      </c>
      <c r="B158" s="29" t="inlineStr">
        <is>
          <t>Marketing</t>
        </is>
      </c>
      <c r="C158" s="29" t="n">
        <v>5</v>
      </c>
      <c r="D158" s="29" t="inlineStr">
        <is>
          <t>INTN0286</t>
        </is>
      </c>
      <c r="E158" s="29" t="inlineStr">
        <is>
          <t>Samriddhi Kundu</t>
        </is>
      </c>
      <c r="F158" s="29" t="inlineStr">
        <is>
          <t>Intern</t>
        </is>
      </c>
      <c r="G158" s="29" t="inlineStr">
        <is>
          <t>Intern – Sales Development &amp; Prospecting</t>
        </is>
      </c>
      <c r="H158" s="29" t="inlineStr">
        <is>
          <t>Sales &amp; Business Development</t>
        </is>
      </c>
      <c r="I158" s="29" t="inlineStr">
        <is>
          <t>Sales Development &amp; Prospecting</t>
        </is>
      </c>
      <c r="J158" s="29" t="inlineStr">
        <is>
          <t>IC</t>
        </is>
      </c>
      <c r="K158" s="29" t="inlineStr">
        <is>
          <t>RC-162</t>
        </is>
      </c>
      <c r="L158" s="29" t="inlineStr">
        <is>
          <t>Vijay Krishna Chintha</t>
        </is>
      </c>
      <c r="M158" s="29" t="inlineStr">
        <is>
          <t>IRIS2345</t>
        </is>
      </c>
      <c r="N158" s="29" t="n">
        <v>0.9</v>
      </c>
      <c r="O158" s="29" t="n">
        <v>0.7</v>
      </c>
      <c r="P158" s="29" t="inlineStr">
        <is>
          <t>B.Tech</t>
        </is>
      </c>
      <c r="Q158" s="29" t="inlineStr">
        <is>
          <t>L1 – Intern</t>
        </is>
      </c>
      <c r="R158" s="29" t="inlineStr">
        <is>
          <t>A1</t>
        </is>
      </c>
      <c r="S158" s="30" t="inlineStr">
        <is>
          <t>20 of 20</t>
        </is>
      </c>
      <c r="T158" s="31" t="inlineStr">
        <is>
          <t>• This role engages qualified leads, holds meaningful prospect conversations and generates interest in IRIS Carbon.</t>
        </is>
      </c>
      <c r="U158"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8" s="31" t="inlineStr">
        <is>
          <t>Latest rating: 3 · Potential: High · 9-box: Emerging Talent · Readiness: Ready in 6–12 months</t>
        </is>
      </c>
      <c r="W158" s="31" t="inlineStr">
        <is>
          <t>C — · Au — · Ac — · L — · BI — · Exp H · 0.9 yrs vs 0 yrs · fresher / intern · Edu M · B.Tech</t>
        </is>
      </c>
      <c r="X158" s="33" t="inlineStr">
        <is>
          <t>Open ▸</t>
        </is>
      </c>
      <c r="Y158" s="34" t="str">
        <f>IFERROR(INDEX(DL_C,MATCH($CA158,DL_KEY,0)),"M")</f>
        <v>H</v>
      </c>
      <c r="Z158" s="35" t="str">
        <f>IFERROR(INDEX(DL_Au,MATCH($CA158,DL_KEY,0)),"M")</f>
        <v>M</v>
      </c>
      <c r="AA158" s="35" t="str">
        <f>IFERROR(INDEX(DL_Ac,MATCH($CA158,DL_KEY,0)),"M")</f>
        <v>L</v>
      </c>
      <c r="AB158" s="35" t="str">
        <f>IFERROR(INDEX(DL_L,MATCH($CA158,DL_KEY,0)),"M")</f>
        <v>L</v>
      </c>
      <c r="AC158" s="35" t="str">
        <f>IFERROR(INDEX(DL_BI,MATCH($CA158,DL_KEY,0)),"M")</f>
        <v>M</v>
      </c>
      <c r="AD158" s="35" t="str">
        <f>IFERROR(INDEX(DL_Exp,MATCH($CA158,DL_KEY,0)),"M")</f>
        <v>L</v>
      </c>
      <c r="AE158" s="35" t="str">
        <f>IFERROR(INDEX(DL_Edu,MATCH($CA158,DL_KEY,0)),"M")</f>
        <v>L</v>
      </c>
      <c r="AF158" s="34" t="inlineStr">
        <is>
          <t>M</t>
        </is>
      </c>
      <c r="AG158" s="35" t="inlineStr">
        <is>
          <t>M</t>
        </is>
      </c>
      <c r="AH158" s="35" t="inlineStr">
        <is>
          <t>M</t>
        </is>
      </c>
      <c r="AI158" s="35" t="inlineStr">
        <is>
          <t>M</t>
        </is>
      </c>
      <c r="AJ158" s="35" t="inlineStr">
        <is>
          <t>M</t>
        </is>
      </c>
      <c r="AK158" s="35" t="inlineStr">
        <is>
          <t>M</t>
        </is>
      </c>
      <c r="AL158" s="35" t="inlineStr">
        <is>
          <t>M</t>
        </is>
      </c>
      <c r="AM158" s="36" t="n">
        <v>0.583</v>
      </c>
      <c r="AN158" s="37" t="n">
        <v>0.16</v>
      </c>
      <c r="AO158" s="37" t="n">
        <v>0.09</v>
      </c>
      <c r="AP158" s="37" t="n">
        <v>0</v>
      </c>
      <c r="AQ158" s="37" t="n">
        <v>0.063</v>
      </c>
      <c r="AR158" s="37" t="n">
        <v>0.06</v>
      </c>
      <c r="AS158" s="37" t="n">
        <v>0.04</v>
      </c>
      <c r="AT158" s="38" t="inlineStr">
        <is>
          <t>0 yrs · fresher / intern</t>
        </is>
      </c>
      <c r="AU158" s="38" t="inlineStr">
        <is>
          <t>Pursuing or completed graduation / diploma</t>
        </is>
      </c>
      <c r="AV158" s="38" t="inlineStr">
        <is>
          <t>No direct reports</t>
        </is>
      </c>
      <c r="AW158" s="38" t="inlineStr">
        <is>
          <t>Entry / P1 · intern · SFIA 1 Follow</t>
        </is>
      </c>
      <c r="AX1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8" s="39" t="inlineStr">
        <is>
          <t>A1</t>
        </is>
      </c>
      <c r="AZ158" s="40" t="inlineStr">
        <is>
          <t>Band A · Practitioner · Intern / Trainee</t>
        </is>
      </c>
      <c r="BA158" s="40" t="inlineStr">
        <is>
          <t>Model A1 from the six ratings, the market-derived weights and rules R1–R13 · then No change · already below the manager</t>
        </is>
      </c>
      <c r="BB158" s="41" t="inlineStr">
        <is>
          <t>A1</t>
        </is>
      </c>
      <c r="BC158" s="40" t="inlineStr">
        <is>
          <t>Placed by a category rule — no full set of ratings · benchmark follows the HR proposed level</t>
        </is>
      </c>
      <c r="BD158" s="42">
        <f>IF(SUM(BM158,BN158,BO158,BP158,BQ158,BR158,BS158)=0,0,(BM158*BT158+BN158*BU158+BO158*BV158+BP158*BW158+BQ158*BX158+BR158*BY158+BS158*BZ158)/SUM(BM158,BN158,BO158,BP158,BQ158,BR158,BS158))</f>
        <v>0</v>
      </c>
      <c r="BE158" s="41" t="str">
        <f>IF(LEFT(AY158,1)="X",AY158,IF(OR(AY158="B+",AY158="C+"),INDEX(LAD_PC,MAX(1,MIN(14,MATCH(AY158,LAD_PC,0)+IF(BD158&gt;=0.5,1,IF(BD158&lt;=-0.5,-1,0))))),INDEX(LAD_STD,MAX(1,MIN(12,MATCH(AY158,LAD_STD,0)+IF(BD158&gt;=0.5,1,IF(BD158&lt;=-0.5,-1,0)))))))</f>
        <v>A1</v>
      </c>
      <c r="BF158" s="43" t="n"/>
      <c r="BG158" s="41" t="str">
        <f>IF(BF158&lt;&gt;"",BF158,BE158)</f>
        <v>A1</v>
      </c>
      <c r="BH158" s="40" t="str">
        <f>IFERROR(CHOOSE(INDEX(B_RANK,MATCH(BG158,B_LVL,0)),"Band A","Band B","B+ · Player-Coach","Band C","C+ · Player-Coach","Band D","Band E"),"Band X · Consultant")</f>
        <v>Band A</v>
      </c>
      <c r="BI158" s="40" t="str">
        <f>IF(BG158=AY158,"• Same",IF(INDEX(B_VAL,MATCH(BG158,B_LVL,0))&gt;INDEX(B_VAL,MATCH(AY158,B_LVL,0)),"▲ Up","▼ Down"))</f>
        <v>• Same</v>
      </c>
      <c r="BJ158" s="40" t="str">
        <f>IF(OR($M158="",$M158="—",$M158="Not in this file"),"",IFERROR(INDEX($BG$7:$BG$592,MATCH($M158,$D$7:$D$592,0)),""))</f>
        <v>B1</v>
      </c>
      <c r="BK158" s="40" t="str">
        <f>IFERROR(IF(BJ158="","—",IF(OR(LEFT(BG158,1)="X",LEFT(BJ158,1)="X"),"—",IF(AND(LEFT(BG158,1)="E",LEFT(BJ158,1)="E"),"Exception · Band E",IF(AND(INDEX(B_VAL,MATCH(BJ158,B_LVL,0))&gt;=7,INDEX(B_RANK,MATCH(BG158,B_LVL,0))&gt;=INDEX(B_RANK,MATCH(BJ158,B_LVL,0))),"⚠ Same band as a head manager",IF(INDEX(B_VAL,MATCH(BG158,B_LVL,0))&gt;=INDEX(B_VAL,MATCH(BJ158,B_LVL,0)),"⚠ At or above the manager's level","OK"))))),"—")</f>
        <v>OK</v>
      </c>
      <c r="BL158" s="43" t="n"/>
      <c r="BM158" s="44">
        <f>IFERROR(INDEX(LMH_PTS,MATCH(Y158,LMH_KEY,0)),0)</f>
        <v>9</v>
      </c>
      <c r="BN158" s="38">
        <f>IFERROR(INDEX(LMH_PTS,MATCH(Z158,LMH_KEY,0)),0)</f>
        <v>3</v>
      </c>
      <c r="BO158" s="38">
        <f>IFERROR(INDEX(LMH_PTS,MATCH(AA158,LMH_KEY,0)),0)</f>
        <v>1</v>
      </c>
      <c r="BP158" s="38">
        <f>IFERROR(INDEX(LMH_PTS,MATCH(AB158,LMH_KEY,0)),0)</f>
        <v>1</v>
      </c>
      <c r="BQ158" s="38">
        <f>IFERROR(INDEX(LMH_PTS,MATCH(AC158,LMH_KEY,0)),0)</f>
        <v>3</v>
      </c>
      <c r="BR158" s="38">
        <f>IFERROR(INDEX(LMH_PTS,MATCH(AD158,LMH_KEY,0)),0)</f>
        <v>1</v>
      </c>
      <c r="BS158" s="38">
        <f>IFERROR(INDEX(LMH_PTS,MATCH(AE158,LMH_KEY,0)),0)</f>
        <v>1</v>
      </c>
      <c r="BT158" s="38">
        <f>IFERROR(INDEX(LMH_STEP,MATCH(AF158,LMH_KEY,0)),0)</f>
        <v>0</v>
      </c>
      <c r="BU158" s="38">
        <f>IFERROR(INDEX(LMH_STEP,MATCH(AG158,LMH_KEY,0)),0)</f>
        <v>0</v>
      </c>
      <c r="BV158" s="38">
        <f>IFERROR(INDEX(LMH_STEP,MATCH(AH158,LMH_KEY,0)),0)</f>
        <v>0</v>
      </c>
      <c r="BW158" s="38">
        <f>IFERROR(INDEX(LMH_STEP,MATCH(AI158,LMH_KEY,0)),0)</f>
        <v>0</v>
      </c>
      <c r="BX158" s="38">
        <f>IFERROR(INDEX(LMH_STEP,MATCH(AJ158,LMH_KEY,0)),0)</f>
        <v>0</v>
      </c>
      <c r="BY158" s="38">
        <f>IFERROR(INDEX(LMH_STEP,MATCH(AK158,LMH_KEY,0)),0)</f>
        <v>0</v>
      </c>
      <c r="BZ158" s="38">
        <f>IFERROR(INDEX(LMH_STEP,MATCH(AL158,LMH_KEY,0)),0)</f>
        <v>0</v>
      </c>
      <c r="CA158" s="38" t="inlineStr">
        <is>
          <t>CARBON|Marketing|Intern – Sales Development &amp; Prospecting|A1|A</t>
        </is>
      </c>
    </row>
    <row r="159" ht="110" customHeight="1">
      <c r="A159" s="28" t="inlineStr">
        <is>
          <t>CARBON</t>
        </is>
      </c>
      <c r="B159" s="29" t="inlineStr">
        <is>
          <t>Marketing</t>
        </is>
      </c>
      <c r="C159" s="29" t="n">
        <v>4</v>
      </c>
      <c r="D159" s="29" t="inlineStr">
        <is>
          <t>IRIS2392</t>
        </is>
      </c>
      <c r="E159" s="29" t="inlineStr">
        <is>
          <t>Sanjana Thapa</t>
        </is>
      </c>
      <c r="F159" s="29" t="inlineStr">
        <is>
          <t>Marketing Associate - ABM</t>
        </is>
      </c>
      <c r="G159" s="29" t="inlineStr">
        <is>
          <t>Sales Development Representative</t>
        </is>
      </c>
      <c r="H159" s="29" t="inlineStr">
        <is>
          <t>Sales &amp; Business Development</t>
        </is>
      </c>
      <c r="I159" s="29" t="inlineStr">
        <is>
          <t>Sales Development &amp; Prospecting</t>
        </is>
      </c>
      <c r="J159" s="29" t="inlineStr">
        <is>
          <t>IC</t>
        </is>
      </c>
      <c r="K159" s="29" t="inlineStr">
        <is>
          <t>RC-163</t>
        </is>
      </c>
      <c r="L159" s="29" t="inlineStr">
        <is>
          <t>Saahit Togaru</t>
        </is>
      </c>
      <c r="M159" s="29" t="inlineStr">
        <is>
          <t>IRIS2239</t>
        </is>
      </c>
      <c r="N159" s="29" t="n">
        <v>1.2</v>
      </c>
      <c r="O159" s="29" t="n">
        <v>1.2</v>
      </c>
      <c r="P159" s="29" t="inlineStr">
        <is>
          <t>B.E</t>
        </is>
      </c>
      <c r="Q159" s="29" t="inlineStr">
        <is>
          <t>L3 – Professional / Associate</t>
        </is>
      </c>
      <c r="R159" s="29" t="inlineStr">
        <is>
          <t>A2</t>
        </is>
      </c>
      <c r="S159" s="30" t="inlineStr">
        <is>
          <t>19 of 20</t>
        </is>
      </c>
      <c r="T159" s="31" t="inlineStr">
        <is>
          <t>• This role brings suitable potential leads into the pipeline and creates new revenue opportunities.</t>
        </is>
      </c>
      <c r="U159" s="31" t="inlineStr">
        <is>
          <t>Received · manager annual · 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t>
        </is>
      </c>
      <c r="V159" s="31" t="inlineStr">
        <is>
          <t>Latest rating: 1 · Potential: High · 9-box: High Impact / Growth Talent · Readiness: Ready in 6–12 months</t>
        </is>
      </c>
      <c r="W159" s="31" t="inlineStr">
        <is>
          <t>C M · Au M · Ac M · L L · BI M · Exp M · 1.2 yrs vs 0–2 yrs · Edu M · B.E</t>
        </is>
      </c>
      <c r="X159" s="33" t="inlineStr">
        <is>
          <t>Open ▸</t>
        </is>
      </c>
      <c r="Y159" s="34" t="str">
        <f>IFERROR(INDEX(DL_C,MATCH($CA159,DL_KEY,0)),"M")</f>
        <v>H</v>
      </c>
      <c r="Z159" s="35" t="str">
        <f>IFERROR(INDEX(DL_Au,MATCH($CA159,DL_KEY,0)),"M")</f>
        <v>M</v>
      </c>
      <c r="AA159" s="35" t="str">
        <f>IFERROR(INDEX(DL_Ac,MATCH($CA159,DL_KEY,0)),"M")</f>
        <v>L</v>
      </c>
      <c r="AB159" s="35" t="str">
        <f>IFERROR(INDEX(DL_L,MATCH($CA159,DL_KEY,0)),"M")</f>
        <v>L</v>
      </c>
      <c r="AC159" s="35" t="str">
        <f>IFERROR(INDEX(DL_BI,MATCH($CA159,DL_KEY,0)),"M")</f>
        <v>M</v>
      </c>
      <c r="AD159" s="35" t="str">
        <f>IFERROR(INDEX(DL_Exp,MATCH($CA159,DL_KEY,0)),"M")</f>
        <v>L</v>
      </c>
      <c r="AE159" s="35" t="str">
        <f>IFERROR(INDEX(DL_Edu,MATCH($CA159,DL_KEY,0)),"M")</f>
        <v>L</v>
      </c>
      <c r="AF159" s="34" t="inlineStr">
        <is>
          <t>M</t>
        </is>
      </c>
      <c r="AG159" s="35" t="inlineStr">
        <is>
          <t>M</t>
        </is>
      </c>
      <c r="AH159" s="35" t="inlineStr">
        <is>
          <t>M</t>
        </is>
      </c>
      <c r="AI159" s="35" t="inlineStr">
        <is>
          <t>M</t>
        </is>
      </c>
      <c r="AJ159" s="35" t="inlineStr">
        <is>
          <t>M</t>
        </is>
      </c>
      <c r="AK159" s="35" t="inlineStr">
        <is>
          <t>M</t>
        </is>
      </c>
      <c r="AL159" s="35" t="inlineStr">
        <is>
          <t>M</t>
        </is>
      </c>
      <c r="AM159" s="36" t="n">
        <v>0.583</v>
      </c>
      <c r="AN159" s="37" t="n">
        <v>0.16</v>
      </c>
      <c r="AO159" s="37" t="n">
        <v>0.09</v>
      </c>
      <c r="AP159" s="37" t="n">
        <v>0</v>
      </c>
      <c r="AQ159" s="37" t="n">
        <v>0.063</v>
      </c>
      <c r="AR159" s="37" t="n">
        <v>0.06</v>
      </c>
      <c r="AS159" s="37" t="n">
        <v>0.04</v>
      </c>
      <c r="AT159" s="38" t="inlineStr">
        <is>
          <t>0–3</t>
        </is>
      </c>
      <c r="AU159" s="38" t="inlineStr">
        <is>
          <t>Graduate · or diploma with experience</t>
        </is>
      </c>
      <c r="AV159" s="38" t="inlineStr">
        <is>
          <t>No direct reports</t>
        </is>
      </c>
      <c r="AW159" s="38" t="inlineStr">
        <is>
          <t>P1–P2 · SFIA 2 Assist</t>
        </is>
      </c>
      <c r="AX1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9" s="39" t="inlineStr">
        <is>
          <t>A2</t>
        </is>
      </c>
      <c r="AZ159" s="40" t="inlineStr">
        <is>
          <t>Band A · Practitioner · Associate</t>
        </is>
      </c>
      <c r="BA159" s="40" t="inlineStr">
        <is>
          <t>Model A2 from the six ratings, the market-derived weights and rules R1–R13 · then No change · already below the manager</t>
        </is>
      </c>
      <c r="BB159" s="41" t="inlineStr">
        <is>
          <t>A2</t>
        </is>
      </c>
      <c r="BC159" s="40" t="inlineStr">
        <is>
          <t>The six ratings on the market-average weights of Band A · all tracks score 2.40 → A2 · Hay, Mercer IPE and public plans · experience 1.2 yrs vs the A2 market range 0–3</t>
        </is>
      </c>
      <c r="BD159" s="42">
        <f>IF(SUM(BM159,BN159,BO159,BP159,BQ159,BR159,BS159)=0,0,(BM159*BT159+BN159*BU159+BO159*BV159+BP159*BW159+BQ159*BX159+BR159*BY159+BS159*BZ159)/SUM(BM159,BN159,BO159,BP159,BQ159,BR159,BS159))</f>
        <v>0</v>
      </c>
      <c r="BE159" s="41" t="str">
        <f>IF(LEFT(AY159,1)="X",AY159,IF(OR(AY159="B+",AY159="C+"),INDEX(LAD_PC,MAX(1,MIN(14,MATCH(AY159,LAD_PC,0)+IF(BD159&gt;=0.5,1,IF(BD159&lt;=-0.5,-1,0))))),INDEX(LAD_STD,MAX(1,MIN(12,MATCH(AY159,LAD_STD,0)+IF(BD159&gt;=0.5,1,IF(BD159&lt;=-0.5,-1,0)))))))</f>
        <v>A2</v>
      </c>
      <c r="BF159" s="43" t="n"/>
      <c r="BG159" s="41" t="str">
        <f>IF(BF159&lt;&gt;"",BF159,BE159)</f>
        <v>A2</v>
      </c>
      <c r="BH159" s="40" t="str">
        <f>IFERROR(CHOOSE(INDEX(B_RANK,MATCH(BG159,B_LVL,0)),"Band A","Band B","B+ · Player-Coach","Band C","C+ · Player-Coach","Band D","Band E"),"Band X · Consultant")</f>
        <v>Band A</v>
      </c>
      <c r="BI159" s="40" t="str">
        <f>IF(BG159=AY159,"• Same",IF(INDEX(B_VAL,MATCH(BG159,B_LVL,0))&gt;INDEX(B_VAL,MATCH(AY159,B_LVL,0)),"▲ Up","▼ Down"))</f>
        <v>• Same</v>
      </c>
      <c r="BJ159" s="40" t="str">
        <f>IF(OR($M159="",$M159="—",$M159="Not in this file"),"",IFERROR(INDEX($BG$7:$BG$592,MATCH($M159,$D$7:$D$592,0)),""))</f>
        <v>B3</v>
      </c>
      <c r="BK159" s="40" t="str">
        <f>IFERROR(IF(BJ159="","—",IF(OR(LEFT(BG159,1)="X",LEFT(BJ159,1)="X"),"—",IF(AND(LEFT(BG159,1)="E",LEFT(BJ159,1)="E"),"Exception · Band E",IF(AND(INDEX(B_VAL,MATCH(BJ159,B_LVL,0))&gt;=7,INDEX(B_RANK,MATCH(BG159,B_LVL,0))&gt;=INDEX(B_RANK,MATCH(BJ159,B_LVL,0))),"⚠ Same band as a head manager",IF(INDEX(B_VAL,MATCH(BG159,B_LVL,0))&gt;=INDEX(B_VAL,MATCH(BJ159,B_LVL,0)),"⚠ At or above the manager's level","OK"))))),"—")</f>
        <v>OK</v>
      </c>
      <c r="BL159" s="43" t="n"/>
      <c r="BM159" s="44">
        <f>IFERROR(INDEX(LMH_PTS,MATCH(Y159,LMH_KEY,0)),0)</f>
        <v>9</v>
      </c>
      <c r="BN159" s="38">
        <f>IFERROR(INDEX(LMH_PTS,MATCH(Z159,LMH_KEY,0)),0)</f>
        <v>3</v>
      </c>
      <c r="BO159" s="38">
        <f>IFERROR(INDEX(LMH_PTS,MATCH(AA159,LMH_KEY,0)),0)</f>
        <v>1</v>
      </c>
      <c r="BP159" s="38">
        <f>IFERROR(INDEX(LMH_PTS,MATCH(AB159,LMH_KEY,0)),0)</f>
        <v>1</v>
      </c>
      <c r="BQ159" s="38">
        <f>IFERROR(INDEX(LMH_PTS,MATCH(AC159,LMH_KEY,0)),0)</f>
        <v>3</v>
      </c>
      <c r="BR159" s="38">
        <f>IFERROR(INDEX(LMH_PTS,MATCH(AD159,LMH_KEY,0)),0)</f>
        <v>1</v>
      </c>
      <c r="BS159" s="38">
        <f>IFERROR(INDEX(LMH_PTS,MATCH(AE159,LMH_KEY,0)),0)</f>
        <v>1</v>
      </c>
      <c r="BT159" s="38">
        <f>IFERROR(INDEX(LMH_STEP,MATCH(AF159,LMH_KEY,0)),0)</f>
        <v>0</v>
      </c>
      <c r="BU159" s="38">
        <f>IFERROR(INDEX(LMH_STEP,MATCH(AG159,LMH_KEY,0)),0)</f>
        <v>0</v>
      </c>
      <c r="BV159" s="38">
        <f>IFERROR(INDEX(LMH_STEP,MATCH(AH159,LMH_KEY,0)),0)</f>
        <v>0</v>
      </c>
      <c r="BW159" s="38">
        <f>IFERROR(INDEX(LMH_STEP,MATCH(AI159,LMH_KEY,0)),0)</f>
        <v>0</v>
      </c>
      <c r="BX159" s="38">
        <f>IFERROR(INDEX(LMH_STEP,MATCH(AJ159,LMH_KEY,0)),0)</f>
        <v>0</v>
      </c>
      <c r="BY159" s="38">
        <f>IFERROR(INDEX(LMH_STEP,MATCH(AK159,LMH_KEY,0)),0)</f>
        <v>0</v>
      </c>
      <c r="BZ159" s="38">
        <f>IFERROR(INDEX(LMH_STEP,MATCH(AL159,LMH_KEY,0)),0)</f>
        <v>0</v>
      </c>
      <c r="CA159" s="38" t="inlineStr">
        <is>
          <t>CARBON|Marketing|Sales Development Representative|A2|A</t>
        </is>
      </c>
    </row>
    <row r="160" ht="110" customHeight="1">
      <c r="A160" s="28" t="inlineStr">
        <is>
          <t>CARBON</t>
        </is>
      </c>
      <c r="B160" s="29" t="inlineStr">
        <is>
          <t>Sales</t>
        </is>
      </c>
      <c r="C160" s="29" t="n">
        <v>3</v>
      </c>
      <c r="D160" s="29" t="inlineStr">
        <is>
          <t>IRIS1783</t>
        </is>
      </c>
      <c r="E160" s="29" t="inlineStr">
        <is>
          <t>Swapnil Trikane</t>
        </is>
      </c>
      <c r="F160" s="29" t="inlineStr">
        <is>
          <t>Senior Manager Sales</t>
        </is>
      </c>
      <c r="G160" s="29" t="inlineStr">
        <is>
          <t>Lead Account Executive</t>
        </is>
      </c>
      <c r="H160" s="29" t="inlineStr">
        <is>
          <t>Sales &amp; Business Development</t>
        </is>
      </c>
      <c r="I160" s="29" t="inlineStr">
        <is>
          <t>Sales Leadership</t>
        </is>
      </c>
      <c r="J160" s="29" t="inlineStr">
        <is>
          <t>IC</t>
        </is>
      </c>
      <c r="K160" s="29" t="inlineStr">
        <is>
          <t>RC-169</t>
        </is>
      </c>
      <c r="L160" s="29" t="inlineStr">
        <is>
          <t>Anuradha RK</t>
        </is>
      </c>
      <c r="M160" s="29" t="inlineStr">
        <is>
          <t>IRIS0391</t>
        </is>
      </c>
      <c r="N160" s="29" t="n">
        <v>15.5</v>
      </c>
      <c r="O160" s="29" t="n">
        <v>7.4</v>
      </c>
      <c r="P160" s="29" t="inlineStr">
        <is>
          <t>MBA</t>
        </is>
      </c>
      <c r="Q160" s="29" t="inlineStr">
        <is>
          <t>Not in current mapping files</t>
        </is>
      </c>
      <c r="R160" s="29" t="inlineStr">
        <is>
          <t>B3</t>
        </is>
      </c>
      <c r="S160" s="30" t="inlineStr">
        <is>
          <t>19 of 20</t>
        </is>
      </c>
      <c r="T160" s="31" t="inlineStr">
        <is>
          <t>To bring in new logos for the org. Overachieve Sales targets. Help company grow 10x; To not make any commitmen</t>
        </is>
      </c>
      <c r="U160" s="32" t="inlineStr">
        <is>
          <t>KRAs not received · manager to supply</t>
        </is>
      </c>
      <c r="V160" s="31" t="inlineStr">
        <is>
          <t>Latest rating: Not rated · manager · 9-box: Not placed · manager · Readiness: No rating data</t>
        </is>
      </c>
      <c r="W160" s="31" t="inlineStr">
        <is>
          <t>C M · Au M · Ac M · L L · BI M · Exp H · 15.5 yrs vs 8–12 yrs · Edu M · MBA</t>
        </is>
      </c>
      <c r="X160" s="33" t="inlineStr">
        <is>
          <t>Open ▸</t>
        </is>
      </c>
      <c r="Y160" s="34" t="str">
        <f>IFERROR(INDEX(DL_C,MATCH($CA160,DL_KEY,0)),"M")</f>
        <v>H</v>
      </c>
      <c r="Z160" s="35" t="str">
        <f>IFERROR(INDEX(DL_Au,MATCH($CA160,DL_KEY,0)),"M")</f>
        <v>M</v>
      </c>
      <c r="AA160" s="35" t="str">
        <f>IFERROR(INDEX(DL_Ac,MATCH($CA160,DL_KEY,0)),"M")</f>
        <v>L</v>
      </c>
      <c r="AB160" s="35" t="str">
        <f>IFERROR(INDEX(DL_L,MATCH($CA160,DL_KEY,0)),"M")</f>
        <v>L</v>
      </c>
      <c r="AC160" s="35" t="str">
        <f>IFERROR(INDEX(DL_BI,MATCH($CA160,DL_KEY,0)),"M")</f>
        <v>M</v>
      </c>
      <c r="AD160" s="35" t="str">
        <f>IFERROR(INDEX(DL_Exp,MATCH($CA160,DL_KEY,0)),"M")</f>
        <v>L</v>
      </c>
      <c r="AE160" s="35" t="str">
        <f>IFERROR(INDEX(DL_Edu,MATCH($CA160,DL_KEY,0)),"M")</f>
        <v>L</v>
      </c>
      <c r="AF160" s="34" t="inlineStr">
        <is>
          <t>M</t>
        </is>
      </c>
      <c r="AG160" s="35" t="inlineStr">
        <is>
          <t>M</t>
        </is>
      </c>
      <c r="AH160" s="35" t="inlineStr">
        <is>
          <t>M</t>
        </is>
      </c>
      <c r="AI160" s="35" t="inlineStr">
        <is>
          <t>M</t>
        </is>
      </c>
      <c r="AJ160" s="35" t="inlineStr">
        <is>
          <t>M</t>
        </is>
      </c>
      <c r="AK160" s="35" t="inlineStr">
        <is>
          <t>M</t>
        </is>
      </c>
      <c r="AL160" s="35" t="inlineStr">
        <is>
          <t>M</t>
        </is>
      </c>
      <c r="AM160" s="36" t="n">
        <v>0.513</v>
      </c>
      <c r="AN160" s="37" t="n">
        <v>0.173</v>
      </c>
      <c r="AO160" s="37" t="n">
        <v>0.09699999999999999</v>
      </c>
      <c r="AP160" s="37" t="n">
        <v>0.05</v>
      </c>
      <c r="AQ160" s="37" t="n">
        <v>0.07000000000000001</v>
      </c>
      <c r="AR160" s="37" t="n">
        <v>0.06</v>
      </c>
      <c r="AS160" s="37" t="n">
        <v>0.04</v>
      </c>
      <c r="AT160" s="38" t="inlineStr">
        <is>
          <t>8–13</t>
        </is>
      </c>
      <c r="AU160" s="38" t="inlineStr">
        <is>
          <t>Postgraduate or professional qualification preferred</t>
        </is>
      </c>
      <c r="AV160" s="38" t="inlineStr">
        <is>
          <t>IC: none · People: 5–8 incl. team leads</t>
        </is>
      </c>
      <c r="AW160" s="38" t="inlineStr">
        <is>
          <t>P5 / M4 · SFIA 5 Ensure, advise</t>
        </is>
      </c>
      <c r="AX1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0" s="39" t="inlineStr">
        <is>
          <t>B3</t>
        </is>
      </c>
      <c r="AZ160" s="40" t="inlineStr">
        <is>
          <t>Band B · Specialist / Manager · Lead Specialist</t>
        </is>
      </c>
      <c r="BA160" s="40" t="inlineStr">
        <is>
          <t>Model B3 from the six ratings, the market-derived weights and rules R1–R13 · then No change · already below the manager</t>
        </is>
      </c>
      <c r="BB160" s="41" t="inlineStr">
        <is>
          <t>B3</t>
        </is>
      </c>
      <c r="BC160" s="40" t="inlineStr">
        <is>
          <t>The six ratings on the market-average weights of Band B · Specialist / POD Lead score 5.80 → B3 · Hay, Mercer IPE and public plans · experience 15.5 yrs vs the B3 market range 8–13</t>
        </is>
      </c>
      <c r="BD160" s="42">
        <f>IF(SUM(BM160,BN160,BO160,BP160,BQ160,BR160,BS160)=0,0,(BM160*BT160+BN160*BU160+BO160*BV160+BP160*BW160+BQ160*BX160+BR160*BY160+BS160*BZ160)/SUM(BM160,BN160,BO160,BP160,BQ160,BR160,BS160))</f>
        <v>0</v>
      </c>
      <c r="BE160" s="41" t="str">
        <f>IF(LEFT(AY160,1)="X",AY160,IF(OR(AY160="B+",AY160="C+"),INDEX(LAD_PC,MAX(1,MIN(14,MATCH(AY160,LAD_PC,0)+IF(BD160&gt;=0.5,1,IF(BD160&lt;=-0.5,-1,0))))),INDEX(LAD_STD,MAX(1,MIN(12,MATCH(AY160,LAD_STD,0)+IF(BD160&gt;=0.5,1,IF(BD160&lt;=-0.5,-1,0)))))))</f>
        <v>B3</v>
      </c>
      <c r="BF160" s="43" t="n"/>
      <c r="BG160" s="41" t="str">
        <f>IF(BF160&lt;&gt;"",BF160,BE160)</f>
        <v>B3</v>
      </c>
      <c r="BH160" s="40" t="str">
        <f>IFERROR(CHOOSE(INDEX(B_RANK,MATCH(BG160,B_LVL,0)),"Band A","Band B","B+ · Player-Coach","Band C","C+ · Player-Coach","Band D","Band E"),"Band X · Consultant")</f>
        <v>Band B</v>
      </c>
      <c r="BI160" s="40" t="str">
        <f>IF(BG160=AY160,"• Same",IF(INDEX(B_VAL,MATCH(BG160,B_LVL,0))&gt;INDEX(B_VAL,MATCH(AY160,B_LVL,0)),"▲ Up","▼ Down"))</f>
        <v>• Same</v>
      </c>
      <c r="BJ160" s="40" t="str">
        <f>IF(OR($M160="",$M160="—",$M160="Not in this file"),"",IFERROR(INDEX($BG$7:$BG$592,MATCH($M160,$D$7:$D$592,0)),""))</f>
        <v>D2</v>
      </c>
      <c r="BK160" s="40" t="str">
        <f>IFERROR(IF(BJ160="","—",IF(OR(LEFT(BG160,1)="X",LEFT(BJ160,1)="X"),"—",IF(AND(LEFT(BG160,1)="E",LEFT(BJ160,1)="E"),"Exception · Band E",IF(AND(INDEX(B_VAL,MATCH(BJ160,B_LVL,0))&gt;=7,INDEX(B_RANK,MATCH(BG160,B_LVL,0))&gt;=INDEX(B_RANK,MATCH(BJ160,B_LVL,0))),"⚠ Same band as a head manager",IF(INDEX(B_VAL,MATCH(BG160,B_LVL,0))&gt;=INDEX(B_VAL,MATCH(BJ160,B_LVL,0)),"⚠ At or above the manager's level","OK"))))),"—")</f>
        <v>OK</v>
      </c>
      <c r="BL160" s="43" t="n"/>
      <c r="BM160" s="44">
        <f>IFERROR(INDEX(LMH_PTS,MATCH(Y160,LMH_KEY,0)),0)</f>
        <v>9</v>
      </c>
      <c r="BN160" s="38">
        <f>IFERROR(INDEX(LMH_PTS,MATCH(Z160,LMH_KEY,0)),0)</f>
        <v>3</v>
      </c>
      <c r="BO160" s="38">
        <f>IFERROR(INDEX(LMH_PTS,MATCH(AA160,LMH_KEY,0)),0)</f>
        <v>1</v>
      </c>
      <c r="BP160" s="38">
        <f>IFERROR(INDEX(LMH_PTS,MATCH(AB160,LMH_KEY,0)),0)</f>
        <v>1</v>
      </c>
      <c r="BQ160" s="38">
        <f>IFERROR(INDEX(LMH_PTS,MATCH(AC160,LMH_KEY,0)),0)</f>
        <v>3</v>
      </c>
      <c r="BR160" s="38">
        <f>IFERROR(INDEX(LMH_PTS,MATCH(AD160,LMH_KEY,0)),0)</f>
        <v>1</v>
      </c>
      <c r="BS160" s="38">
        <f>IFERROR(INDEX(LMH_PTS,MATCH(AE160,LMH_KEY,0)),0)</f>
        <v>1</v>
      </c>
      <c r="BT160" s="38">
        <f>IFERROR(INDEX(LMH_STEP,MATCH(AF160,LMH_KEY,0)),0)</f>
        <v>0</v>
      </c>
      <c r="BU160" s="38">
        <f>IFERROR(INDEX(LMH_STEP,MATCH(AG160,LMH_KEY,0)),0)</f>
        <v>0</v>
      </c>
      <c r="BV160" s="38">
        <f>IFERROR(INDEX(LMH_STEP,MATCH(AH160,LMH_KEY,0)),0)</f>
        <v>0</v>
      </c>
      <c r="BW160" s="38">
        <f>IFERROR(INDEX(LMH_STEP,MATCH(AI160,LMH_KEY,0)),0)</f>
        <v>0</v>
      </c>
      <c r="BX160" s="38">
        <f>IFERROR(INDEX(LMH_STEP,MATCH(AJ160,LMH_KEY,0)),0)</f>
        <v>0</v>
      </c>
      <c r="BY160" s="38">
        <f>IFERROR(INDEX(LMH_STEP,MATCH(AK160,LMH_KEY,0)),0)</f>
        <v>0</v>
      </c>
      <c r="BZ160" s="38">
        <f>IFERROR(INDEX(LMH_STEP,MATCH(AL160,LMH_KEY,0)),0)</f>
        <v>0</v>
      </c>
      <c r="CA160" s="38" t="inlineStr">
        <is>
          <t>CARBON|Sales|Lead Account Executive|B3|B-IC</t>
        </is>
      </c>
    </row>
    <row r="161" ht="110" customHeight="1">
      <c r="A161" s="28" t="inlineStr">
        <is>
          <t>CARBON</t>
        </is>
      </c>
      <c r="B161" s="29" t="inlineStr">
        <is>
          <t>Functional</t>
        </is>
      </c>
      <c r="C161" s="29" t="n">
        <v>3</v>
      </c>
      <c r="D161" s="29" t="inlineStr">
        <is>
          <t>IRIS2353</t>
        </is>
      </c>
      <c r="E161" s="29" t="inlineStr">
        <is>
          <t>Farzad Wadia</t>
        </is>
      </c>
      <c r="F161" s="29" t="inlineStr">
        <is>
          <t>ESG Manager</t>
        </is>
      </c>
      <c r="G161" s="29" t="inlineStr">
        <is>
          <t>Product Manager</t>
        </is>
      </c>
      <c r="H161" s="29" t="inlineStr">
        <is>
          <t>Product Management</t>
        </is>
      </c>
      <c r="I161" s="29" t="inlineStr">
        <is>
          <t>Product Management</t>
        </is>
      </c>
      <c r="J161" s="29" t="inlineStr">
        <is>
          <t>People Manager</t>
        </is>
      </c>
      <c r="K161" s="29" t="inlineStr">
        <is>
          <t>RC-127</t>
        </is>
      </c>
      <c r="L161" s="29" t="inlineStr">
        <is>
          <t>Anuradha RK</t>
        </is>
      </c>
      <c r="M161" s="29" t="inlineStr">
        <is>
          <t>IRIS0391</t>
        </is>
      </c>
      <c r="N161" s="29" t="n">
        <v>10.7</v>
      </c>
      <c r="O161" s="29" t="n">
        <v>1.5</v>
      </c>
      <c r="P161" s="29" t="inlineStr">
        <is>
          <t>CA</t>
        </is>
      </c>
      <c r="Q161" s="29" t="inlineStr">
        <is>
          <t>Not in current mapping files</t>
        </is>
      </c>
      <c r="R161" s="29" t="inlineStr">
        <is>
          <t>B2</t>
        </is>
      </c>
      <c r="S161" s="30" t="inlineStr">
        <is>
          <t>20 of 20</t>
        </is>
      </c>
      <c r="T161" s="31" t="inlineStr">
        <is>
          <t>• Role / sub-team: Functional — ESG Manager.
• Core purpose: Lead product in market.
• Decision-making autonomy: Can independently most things.
• Is this something only they do: Partially.
• What's different about this role: The product; The customer.</t>
        </is>
      </c>
      <c r="U161" s="32" t="inlineStr">
        <is>
          <t>KRAs not received · manager to supply</t>
        </is>
      </c>
      <c r="V161" s="31" t="inlineStr">
        <is>
          <t>Latest rating: Not rated · manager · 9-box: Underperformer / Exit Risk · Readiness: No rating data</t>
        </is>
      </c>
      <c r="W161" s="31" t="inlineStr">
        <is>
          <t>C M · Au M · Ac M · L L · BI M · Exp H · 10.7 yrs vs 6–9 yrs · Edu H · CA</t>
        </is>
      </c>
      <c r="X161" s="33" t="inlineStr">
        <is>
          <t>Open ▸</t>
        </is>
      </c>
      <c r="Y161" s="34" t="str">
        <f>IFERROR(INDEX(DL_C,MATCH($CA161,DL_KEY,0)),"M")</f>
        <v>H</v>
      </c>
      <c r="Z161" s="35" t="str">
        <f>IFERROR(INDEX(DL_Au,MATCH($CA161,DL_KEY,0)),"M")</f>
        <v>M</v>
      </c>
      <c r="AA161" s="35" t="str">
        <f>IFERROR(INDEX(DL_Ac,MATCH($CA161,DL_KEY,0)),"M")</f>
        <v>M</v>
      </c>
      <c r="AB161" s="35" t="str">
        <f>IFERROR(INDEX(DL_L,MATCH($CA161,DL_KEY,0)),"M")</f>
        <v>M</v>
      </c>
      <c r="AC161" s="35" t="str">
        <f>IFERROR(INDEX(DL_BI,MATCH($CA161,DL_KEY,0)),"M")</f>
        <v>L</v>
      </c>
      <c r="AD161" s="35" t="str">
        <f>IFERROR(INDEX(DL_Exp,MATCH($CA161,DL_KEY,0)),"M")</f>
        <v>L</v>
      </c>
      <c r="AE161" s="35" t="str">
        <f>IFERROR(INDEX(DL_Edu,MATCH($CA161,DL_KEY,0)),"M")</f>
        <v>L</v>
      </c>
      <c r="AF161" s="34" t="inlineStr">
        <is>
          <t>M</t>
        </is>
      </c>
      <c r="AG161" s="35" t="inlineStr">
        <is>
          <t>M</t>
        </is>
      </c>
      <c r="AH161" s="35" t="inlineStr">
        <is>
          <t>M</t>
        </is>
      </c>
      <c r="AI161" s="35" t="inlineStr">
        <is>
          <t>M</t>
        </is>
      </c>
      <c r="AJ161" s="35" t="inlineStr">
        <is>
          <t>M</t>
        </is>
      </c>
      <c r="AK161" s="35" t="inlineStr">
        <is>
          <t>M</t>
        </is>
      </c>
      <c r="AL161" s="35" t="inlineStr">
        <is>
          <t>M</t>
        </is>
      </c>
      <c r="AM161" s="36" t="n">
        <v>0.37</v>
      </c>
      <c r="AN161" s="37" t="n">
        <v>0.183</v>
      </c>
      <c r="AO161" s="37" t="n">
        <v>0.113</v>
      </c>
      <c r="AP161" s="37" t="n">
        <v>0.15</v>
      </c>
      <c r="AQ161" s="37" t="n">
        <v>0.08699999999999999</v>
      </c>
      <c r="AR161" s="37" t="n">
        <v>0.06</v>
      </c>
      <c r="AS161" s="37" t="n">
        <v>0.04</v>
      </c>
      <c r="AT161" s="38" t="inlineStr">
        <is>
          <t>6–10</t>
        </is>
      </c>
      <c r="AU161" s="38" t="inlineStr">
        <is>
          <t>Graduate or postgraduate; professional qualification preferred</t>
        </is>
      </c>
      <c r="AV161" s="38" t="inlineStr">
        <is>
          <t>IC: none · People: 6–8 knowledge work, 8–12 standardised delivery</t>
        </is>
      </c>
      <c r="AW161" s="38" t="inlineStr">
        <is>
          <t>P4 / M3 · SFIA 4–5</t>
        </is>
      </c>
      <c r="AX1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1" s="39" t="inlineStr">
        <is>
          <t>B2</t>
        </is>
      </c>
      <c r="AZ161" s="40" t="inlineStr">
        <is>
          <t>Band B · Specialist / Manager · Manager</t>
        </is>
      </c>
      <c r="BA161" s="40" t="inlineStr">
        <is>
          <t>Model B2 from the six ratings, the market-derived weights and rules R1–R13 · then No change · already below the manager</t>
        </is>
      </c>
      <c r="BB161" s="41" t="inlineStr">
        <is>
          <t>B2</t>
        </is>
      </c>
      <c r="BC161" s="40" t="inlineStr">
        <is>
          <t>The six ratings on the market-average weights of Band B · People Manager score 5.10 → B2 · Hay, Mercer IPE and public plans · experience 10.7 yrs vs the B2 market range 6–10</t>
        </is>
      </c>
      <c r="BD161" s="42">
        <f>IF(SUM(BM161,BN161,BO161,BP161,BQ161,BR161,BS161)=0,0,(BM161*BT161+BN161*BU161+BO161*BV161+BP161*BW161+BQ161*BX161+BR161*BY161+BS161*BZ161)/SUM(BM161,BN161,BO161,BP161,BQ161,BR161,BS161))</f>
        <v>0</v>
      </c>
      <c r="BE161" s="41" t="str">
        <f>IF(LEFT(AY161,1)="X",AY161,IF(OR(AY161="B+",AY161="C+"),INDEX(LAD_PC,MAX(1,MIN(14,MATCH(AY161,LAD_PC,0)+IF(BD161&gt;=0.5,1,IF(BD161&lt;=-0.5,-1,0))))),INDEX(LAD_STD,MAX(1,MIN(12,MATCH(AY161,LAD_STD,0)+IF(BD161&gt;=0.5,1,IF(BD161&lt;=-0.5,-1,0)))))))</f>
        <v>B2</v>
      </c>
      <c r="BF161" s="43" t="n"/>
      <c r="BG161" s="41" t="str">
        <f>IF(BF161&lt;&gt;"",BF161,BE161)</f>
        <v>B2</v>
      </c>
      <c r="BH161" s="40" t="str">
        <f>IFERROR(CHOOSE(INDEX(B_RANK,MATCH(BG161,B_LVL,0)),"Band A","Band B","B+ · Player-Coach","Band C","C+ · Player-Coach","Band D","Band E"),"Band X · Consultant")</f>
        <v>Band B</v>
      </c>
      <c r="BI161" s="40" t="str">
        <f>IF(BG161=AY161,"• Same",IF(INDEX(B_VAL,MATCH(BG161,B_LVL,0))&gt;INDEX(B_VAL,MATCH(AY161,B_LVL,0)),"▲ Up","▼ Down"))</f>
        <v>• Same</v>
      </c>
      <c r="BJ161" s="40" t="str">
        <f>IF(OR($M161="",$M161="—",$M161="Not in this file"),"",IFERROR(INDEX($BG$7:$BG$592,MATCH($M161,$D$7:$D$592,0)),""))</f>
        <v>D2</v>
      </c>
      <c r="BK161" s="40" t="str">
        <f>IFERROR(IF(BJ161="","—",IF(OR(LEFT(BG161,1)="X",LEFT(BJ161,1)="X"),"—",IF(AND(LEFT(BG161,1)="E",LEFT(BJ161,1)="E"),"Exception · Band E",IF(AND(INDEX(B_VAL,MATCH(BJ161,B_LVL,0))&gt;=7,INDEX(B_RANK,MATCH(BG161,B_LVL,0))&gt;=INDEX(B_RANK,MATCH(BJ161,B_LVL,0))),"⚠ Same band as a head manager",IF(INDEX(B_VAL,MATCH(BG161,B_LVL,0))&gt;=INDEX(B_VAL,MATCH(BJ161,B_LVL,0)),"⚠ At or above the manager's level","OK"))))),"—")</f>
        <v>OK</v>
      </c>
      <c r="BL161" s="43" t="n"/>
      <c r="BM161" s="44">
        <f>IFERROR(INDEX(LMH_PTS,MATCH(Y161,LMH_KEY,0)),0)</f>
        <v>9</v>
      </c>
      <c r="BN161" s="38">
        <f>IFERROR(INDEX(LMH_PTS,MATCH(Z161,LMH_KEY,0)),0)</f>
        <v>3</v>
      </c>
      <c r="BO161" s="38">
        <f>IFERROR(INDEX(LMH_PTS,MATCH(AA161,LMH_KEY,0)),0)</f>
        <v>3</v>
      </c>
      <c r="BP161" s="38">
        <f>IFERROR(INDEX(LMH_PTS,MATCH(AB161,LMH_KEY,0)),0)</f>
        <v>3</v>
      </c>
      <c r="BQ161" s="38">
        <f>IFERROR(INDEX(LMH_PTS,MATCH(AC161,LMH_KEY,0)),0)</f>
        <v>1</v>
      </c>
      <c r="BR161" s="38">
        <f>IFERROR(INDEX(LMH_PTS,MATCH(AD161,LMH_KEY,0)),0)</f>
        <v>1</v>
      </c>
      <c r="BS161" s="38">
        <f>IFERROR(INDEX(LMH_PTS,MATCH(AE161,LMH_KEY,0)),0)</f>
        <v>1</v>
      </c>
      <c r="BT161" s="38">
        <f>IFERROR(INDEX(LMH_STEP,MATCH(AF161,LMH_KEY,0)),0)</f>
        <v>0</v>
      </c>
      <c r="BU161" s="38">
        <f>IFERROR(INDEX(LMH_STEP,MATCH(AG161,LMH_KEY,0)),0)</f>
        <v>0</v>
      </c>
      <c r="BV161" s="38">
        <f>IFERROR(INDEX(LMH_STEP,MATCH(AH161,LMH_KEY,0)),0)</f>
        <v>0</v>
      </c>
      <c r="BW161" s="38">
        <f>IFERROR(INDEX(LMH_STEP,MATCH(AI161,LMH_KEY,0)),0)</f>
        <v>0</v>
      </c>
      <c r="BX161" s="38">
        <f>IFERROR(INDEX(LMH_STEP,MATCH(AJ161,LMH_KEY,0)),0)</f>
        <v>0</v>
      </c>
      <c r="BY161" s="38">
        <f>IFERROR(INDEX(LMH_STEP,MATCH(AK161,LMH_KEY,0)),0)</f>
        <v>0</v>
      </c>
      <c r="BZ161" s="38">
        <f>IFERROR(INDEX(LMH_STEP,MATCH(AL161,LMH_KEY,0)),0)</f>
        <v>0</v>
      </c>
      <c r="CA161" s="38" t="inlineStr">
        <is>
          <t>CARBON|Functional|Product Manager|B2|B-M</t>
        </is>
      </c>
    </row>
    <row r="162" ht="110" customHeight="1">
      <c r="A162" s="28" t="inlineStr">
        <is>
          <t>CARBON</t>
        </is>
      </c>
      <c r="B162" s="29" t="inlineStr">
        <is>
          <t>Functional</t>
        </is>
      </c>
      <c r="C162" s="29" t="n">
        <v>4</v>
      </c>
      <c r="D162" s="29" t="inlineStr">
        <is>
          <t>IRIS2143</t>
        </is>
      </c>
      <c r="E162" s="29" t="inlineStr">
        <is>
          <t>Shambo Mitra</t>
        </is>
      </c>
      <c r="F162" s="29" t="inlineStr">
        <is>
          <t>ESG - Subject Matter Expert</t>
        </is>
      </c>
      <c r="G162" s="29" t="inlineStr">
        <is>
          <t>Senior Functional Specialist</t>
        </is>
      </c>
      <c r="H162" s="29" t="inlineStr">
        <is>
          <t>Solution Consulting &amp; Implementation</t>
        </is>
      </c>
      <c r="I162" s="29" t="inlineStr">
        <is>
          <t>Solution Consulting &amp; Implementation</t>
        </is>
      </c>
      <c r="J162" s="29" t="inlineStr">
        <is>
          <t>IC</t>
        </is>
      </c>
      <c r="K162" s="29" t="inlineStr">
        <is>
          <t>RC-174</t>
        </is>
      </c>
      <c r="L162" s="29" t="inlineStr">
        <is>
          <t>Farzad Wadia</t>
        </is>
      </c>
      <c r="M162" s="29" t="inlineStr">
        <is>
          <t>IRIS2353</t>
        </is>
      </c>
      <c r="N162" s="29" t="n">
        <v>7.3</v>
      </c>
      <c r="O162" s="29" t="n">
        <v>3.3</v>
      </c>
      <c r="P162" s="29" t="inlineStr">
        <is>
          <t>MBA</t>
        </is>
      </c>
      <c r="Q162" s="29" t="inlineStr">
        <is>
          <t>L3 – Professional / Associate</t>
        </is>
      </c>
      <c r="R162" s="29" t="inlineStr">
        <is>
          <t>B2</t>
        </is>
      </c>
      <c r="S162" s="30" t="inlineStr">
        <is>
          <t>20 of 20</t>
        </is>
      </c>
      <c r="T162" s="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t>
        </is>
      </c>
      <c r="U162" s="31" t="inlineStr">
        <is>
          <t>Received · manager annual · Refer to a separate sheet</t>
        </is>
      </c>
      <c r="V162" s="31" t="inlineStr">
        <is>
          <t>Latest rating: 3 · Potential: Medium · 9-box: Reliable Specialist · Readiness: Develop in role</t>
        </is>
      </c>
      <c r="W162" s="31" t="inlineStr">
        <is>
          <t>C H · Au H · Ac H · L M · BI H · Exp H · 7.3 yrs vs 4–7 yrs · Edu H · MBA</t>
        </is>
      </c>
      <c r="X162" s="33" t="inlineStr">
        <is>
          <t>Open ▸</t>
        </is>
      </c>
      <c r="Y162" s="34" t="str">
        <f>IFERROR(INDEX(DL_C,MATCH($CA162,DL_KEY,0)),"M")</f>
        <v>H</v>
      </c>
      <c r="Z162" s="35" t="str">
        <f>IFERROR(INDEX(DL_Au,MATCH($CA162,DL_KEY,0)),"M")</f>
        <v>M</v>
      </c>
      <c r="AA162" s="35" t="str">
        <f>IFERROR(INDEX(DL_Ac,MATCH($CA162,DL_KEY,0)),"M")</f>
        <v>M</v>
      </c>
      <c r="AB162" s="35" t="str">
        <f>IFERROR(INDEX(DL_L,MATCH($CA162,DL_KEY,0)),"M")</f>
        <v>L</v>
      </c>
      <c r="AC162" s="35" t="str">
        <f>IFERROR(INDEX(DL_BI,MATCH($CA162,DL_KEY,0)),"M")</f>
        <v>L</v>
      </c>
      <c r="AD162" s="35" t="str">
        <f>IFERROR(INDEX(DL_Exp,MATCH($CA162,DL_KEY,0)),"M")</f>
        <v>L</v>
      </c>
      <c r="AE162" s="35" t="str">
        <f>IFERROR(INDEX(DL_Edu,MATCH($CA162,DL_KEY,0)),"M")</f>
        <v>L</v>
      </c>
      <c r="AF162" s="34" t="inlineStr">
        <is>
          <t>M</t>
        </is>
      </c>
      <c r="AG162" s="35" t="inlineStr">
        <is>
          <t>M</t>
        </is>
      </c>
      <c r="AH162" s="35" t="inlineStr">
        <is>
          <t>M</t>
        </is>
      </c>
      <c r="AI162" s="35" t="inlineStr">
        <is>
          <t>M</t>
        </is>
      </c>
      <c r="AJ162" s="35" t="inlineStr">
        <is>
          <t>M</t>
        </is>
      </c>
      <c r="AK162" s="35" t="inlineStr">
        <is>
          <t>M</t>
        </is>
      </c>
      <c r="AL162" s="35" t="inlineStr">
        <is>
          <t>M</t>
        </is>
      </c>
      <c r="AM162" s="36" t="n">
        <v>0.513</v>
      </c>
      <c r="AN162" s="37" t="n">
        <v>0.173</v>
      </c>
      <c r="AO162" s="37" t="n">
        <v>0.09699999999999999</v>
      </c>
      <c r="AP162" s="37" t="n">
        <v>0.05</v>
      </c>
      <c r="AQ162" s="37" t="n">
        <v>0.07000000000000001</v>
      </c>
      <c r="AR162" s="37" t="n">
        <v>0.06</v>
      </c>
      <c r="AS162" s="37" t="n">
        <v>0.04</v>
      </c>
      <c r="AT162" s="38" t="inlineStr">
        <is>
          <t>4–8</t>
        </is>
      </c>
      <c r="AU162" s="38" t="inlineStr">
        <is>
          <t>Graduate + relevant qualification or certification preferred</t>
        </is>
      </c>
      <c r="AV162" s="38" t="inlineStr">
        <is>
          <t>IC: none · Team Lead: 3–5</t>
        </is>
      </c>
      <c r="AW162" s="38" t="inlineStr">
        <is>
          <t>P3 / M2 · SFIA 4 Enable</t>
        </is>
      </c>
      <c r="AX1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2" s="39" t="inlineStr">
        <is>
          <t>B1</t>
        </is>
      </c>
      <c r="AZ162" s="40" t="inlineStr">
        <is>
          <t>Band B · Specialist / Manager · Specialist</t>
        </is>
      </c>
      <c r="BA162" s="40" t="inlineStr">
        <is>
          <t>Model B2 from the six ratings, the market-derived weights and rules R1–R13 · then Level rule: manager B2; a reportee sits at least one level below · B2 → B1 · move down · pay and title protected for one cycle</t>
        </is>
      </c>
      <c r="BB162" s="41" t="inlineStr">
        <is>
          <t>B2</t>
        </is>
      </c>
      <c r="BC162" s="40" t="inlineStr">
        <is>
          <t>The six ratings on the market-average weights of Band B · Specialist / POD Lead score 5.03 → B2 · Hay, Mercer IPE and public plans · experience 7.3 yrs vs the B2 market range 6–10</t>
        </is>
      </c>
      <c r="BD162" s="42">
        <f>IF(SUM(BM162,BN162,BO162,BP162,BQ162,BR162,BS162)=0,0,(BM162*BT162+BN162*BU162+BO162*BV162+BP162*BW162+BQ162*BX162+BR162*BY162+BS162*BZ162)/SUM(BM162,BN162,BO162,BP162,BQ162,BR162,BS162))</f>
        <v>0</v>
      </c>
      <c r="BE162" s="41" t="str">
        <f>IF(LEFT(AY162,1)="X",AY162,IF(OR(AY162="B+",AY162="C+"),INDEX(LAD_PC,MAX(1,MIN(14,MATCH(AY162,LAD_PC,0)+IF(BD162&gt;=0.5,1,IF(BD162&lt;=-0.5,-1,0))))),INDEX(LAD_STD,MAX(1,MIN(12,MATCH(AY162,LAD_STD,0)+IF(BD162&gt;=0.5,1,IF(BD162&lt;=-0.5,-1,0)))))))</f>
        <v>B1</v>
      </c>
      <c r="BF162" s="43" t="n"/>
      <c r="BG162" s="41" t="str">
        <f>IF(BF162&lt;&gt;"",BF162,BE162)</f>
        <v>B1</v>
      </c>
      <c r="BH162" s="40" t="str">
        <f>IFERROR(CHOOSE(INDEX(B_RANK,MATCH(BG162,B_LVL,0)),"Band A","Band B","B+ · Player-Coach","Band C","C+ · Player-Coach","Band D","Band E"),"Band X · Consultant")</f>
        <v>Band B</v>
      </c>
      <c r="BI162" s="40" t="str">
        <f>IF(BG162=AY162,"• Same",IF(INDEX(B_VAL,MATCH(BG162,B_LVL,0))&gt;INDEX(B_VAL,MATCH(AY162,B_LVL,0)),"▲ Up","▼ Down"))</f>
        <v>• Same</v>
      </c>
      <c r="BJ162" s="40" t="str">
        <f>IF(OR($M162="",$M162="—",$M162="Not in this file"),"",IFERROR(INDEX($BG$7:$BG$592,MATCH($M162,$D$7:$D$592,0)),""))</f>
        <v>B2</v>
      </c>
      <c r="BK162" s="40" t="str">
        <f>IFERROR(IF(BJ162="","—",IF(OR(LEFT(BG162,1)="X",LEFT(BJ162,1)="X"),"—",IF(AND(LEFT(BG162,1)="E",LEFT(BJ162,1)="E"),"Exception · Band E",IF(AND(INDEX(B_VAL,MATCH(BJ162,B_LVL,0))&gt;=7,INDEX(B_RANK,MATCH(BG162,B_LVL,0))&gt;=INDEX(B_RANK,MATCH(BJ162,B_LVL,0))),"⚠ Same band as a head manager",IF(INDEX(B_VAL,MATCH(BG162,B_LVL,0))&gt;=INDEX(B_VAL,MATCH(BJ162,B_LVL,0)),"⚠ At or above the manager's level","OK"))))),"—")</f>
        <v>OK</v>
      </c>
      <c r="BL162" s="43" t="n"/>
      <c r="BM162" s="44">
        <f>IFERROR(INDEX(LMH_PTS,MATCH(Y162,LMH_KEY,0)),0)</f>
        <v>9</v>
      </c>
      <c r="BN162" s="38">
        <f>IFERROR(INDEX(LMH_PTS,MATCH(Z162,LMH_KEY,0)),0)</f>
        <v>3</v>
      </c>
      <c r="BO162" s="38">
        <f>IFERROR(INDEX(LMH_PTS,MATCH(AA162,LMH_KEY,0)),0)</f>
        <v>3</v>
      </c>
      <c r="BP162" s="38">
        <f>IFERROR(INDEX(LMH_PTS,MATCH(AB162,LMH_KEY,0)),0)</f>
        <v>1</v>
      </c>
      <c r="BQ162" s="38">
        <f>IFERROR(INDEX(LMH_PTS,MATCH(AC162,LMH_KEY,0)),0)</f>
        <v>1</v>
      </c>
      <c r="BR162" s="38">
        <f>IFERROR(INDEX(LMH_PTS,MATCH(AD162,LMH_KEY,0)),0)</f>
        <v>1</v>
      </c>
      <c r="BS162" s="38">
        <f>IFERROR(INDEX(LMH_PTS,MATCH(AE162,LMH_KEY,0)),0)</f>
        <v>1</v>
      </c>
      <c r="BT162" s="38">
        <f>IFERROR(INDEX(LMH_STEP,MATCH(AF162,LMH_KEY,0)),0)</f>
        <v>0</v>
      </c>
      <c r="BU162" s="38">
        <f>IFERROR(INDEX(LMH_STEP,MATCH(AG162,LMH_KEY,0)),0)</f>
        <v>0</v>
      </c>
      <c r="BV162" s="38">
        <f>IFERROR(INDEX(LMH_STEP,MATCH(AH162,LMH_KEY,0)),0)</f>
        <v>0</v>
      </c>
      <c r="BW162" s="38">
        <f>IFERROR(INDEX(LMH_STEP,MATCH(AI162,LMH_KEY,0)),0)</f>
        <v>0</v>
      </c>
      <c r="BX162" s="38">
        <f>IFERROR(INDEX(LMH_STEP,MATCH(AJ162,LMH_KEY,0)),0)</f>
        <v>0</v>
      </c>
      <c r="BY162" s="38">
        <f>IFERROR(INDEX(LMH_STEP,MATCH(AK162,LMH_KEY,0)),0)</f>
        <v>0</v>
      </c>
      <c r="BZ162" s="38">
        <f>IFERROR(INDEX(LMH_STEP,MATCH(AL162,LMH_KEY,0)),0)</f>
        <v>0</v>
      </c>
      <c r="CA162" s="38" t="inlineStr">
        <is>
          <t>CARBON|Functional|Senior Functional Specialist|B1|B-IC</t>
        </is>
      </c>
    </row>
    <row r="163" ht="110" customHeight="1">
      <c r="A163" s="28" t="inlineStr">
        <is>
          <t>CARBON</t>
        </is>
      </c>
      <c r="B163" s="29" t="inlineStr">
        <is>
          <t>Functional</t>
        </is>
      </c>
      <c r="C163" s="29" t="n">
        <v>4</v>
      </c>
      <c r="D163" s="29" t="inlineStr">
        <is>
          <t>IRIS2419</t>
        </is>
      </c>
      <c r="E163" s="29" t="inlineStr">
        <is>
          <t>Alizah Noorani</t>
        </is>
      </c>
      <c r="F163" s="29" t="inlineStr">
        <is>
          <t>ESG Implementation Consultant</t>
        </is>
      </c>
      <c r="G163" s="29" t="inlineStr">
        <is>
          <t>Functional Specialist</t>
        </is>
      </c>
      <c r="H163" s="29" t="inlineStr">
        <is>
          <t>Solution Consulting &amp; Implementation</t>
        </is>
      </c>
      <c r="I163" s="29" t="inlineStr">
        <is>
          <t>Solution Consulting &amp; Implementation</t>
        </is>
      </c>
      <c r="J163" s="29" t="inlineStr">
        <is>
          <t>IC</t>
        </is>
      </c>
      <c r="K163" s="29" t="inlineStr">
        <is>
          <t>RC-173</t>
        </is>
      </c>
      <c r="L163" s="29" t="inlineStr">
        <is>
          <t>Farzad Wadia</t>
        </is>
      </c>
      <c r="M163" s="29" t="inlineStr">
        <is>
          <t>IRIS2353</t>
        </is>
      </c>
      <c r="N163" s="29" t="n">
        <v>4.2</v>
      </c>
      <c r="O163" s="29" t="n">
        <v>1.1</v>
      </c>
      <c r="P163" s="29" t="inlineStr">
        <is>
          <t>M.Sc</t>
        </is>
      </c>
      <c r="Q163" s="29" t="inlineStr">
        <is>
          <t>L3 – Professional / Associate</t>
        </is>
      </c>
      <c r="R163" s="29" t="inlineStr">
        <is>
          <t>B1</t>
        </is>
      </c>
      <c r="S163" s="30" t="inlineStr">
        <is>
          <t>20 of 20</t>
        </is>
      </c>
      <c r="T163" s="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t>
        </is>
      </c>
      <c r="U163" s="31" t="inlineStr">
        <is>
          <t>Received · manager annual · Refer to a separate sheet</t>
        </is>
      </c>
      <c r="V163" s="31" t="inlineStr">
        <is>
          <t>Latest rating: 3 · Potential: Medium · 9-box: Core Contributor · Readiness: Develop in role</t>
        </is>
      </c>
      <c r="W163" s="31" t="inlineStr">
        <is>
          <t>C M · Au M · Ac M · L L · BI M · Exp M · 4.2 yrs vs 4–7 yrs · Edu H · M.Sc</t>
        </is>
      </c>
      <c r="X163" s="33" t="inlineStr">
        <is>
          <t>Open ▸</t>
        </is>
      </c>
      <c r="Y163" s="34" t="str">
        <f>IFERROR(INDEX(DL_C,MATCH($CA163,DL_KEY,0)),"M")</f>
        <v>H</v>
      </c>
      <c r="Z163" s="35" t="str">
        <f>IFERROR(INDEX(DL_Au,MATCH($CA163,DL_KEY,0)),"M")</f>
        <v>M</v>
      </c>
      <c r="AA163" s="35" t="str">
        <f>IFERROR(INDEX(DL_Ac,MATCH($CA163,DL_KEY,0)),"M")</f>
        <v>M</v>
      </c>
      <c r="AB163" s="35" t="str">
        <f>IFERROR(INDEX(DL_L,MATCH($CA163,DL_KEY,0)),"M")</f>
        <v>L</v>
      </c>
      <c r="AC163" s="35" t="str">
        <f>IFERROR(INDEX(DL_BI,MATCH($CA163,DL_KEY,0)),"M")</f>
        <v>L</v>
      </c>
      <c r="AD163" s="35" t="str">
        <f>IFERROR(INDEX(DL_Exp,MATCH($CA163,DL_KEY,0)),"M")</f>
        <v>L</v>
      </c>
      <c r="AE163" s="35" t="str">
        <f>IFERROR(INDEX(DL_Edu,MATCH($CA163,DL_KEY,0)),"M")</f>
        <v>L</v>
      </c>
      <c r="AF163" s="34" t="inlineStr">
        <is>
          <t>M</t>
        </is>
      </c>
      <c r="AG163" s="35" t="inlineStr">
        <is>
          <t>M</t>
        </is>
      </c>
      <c r="AH163" s="35" t="inlineStr">
        <is>
          <t>M</t>
        </is>
      </c>
      <c r="AI163" s="35" t="inlineStr">
        <is>
          <t>M</t>
        </is>
      </c>
      <c r="AJ163" s="35" t="inlineStr">
        <is>
          <t>M</t>
        </is>
      </c>
      <c r="AK163" s="35" t="inlineStr">
        <is>
          <t>M</t>
        </is>
      </c>
      <c r="AL163" s="35" t="inlineStr">
        <is>
          <t>M</t>
        </is>
      </c>
      <c r="AM163" s="36" t="n">
        <v>0.513</v>
      </c>
      <c r="AN163" s="37" t="n">
        <v>0.173</v>
      </c>
      <c r="AO163" s="37" t="n">
        <v>0.09699999999999999</v>
      </c>
      <c r="AP163" s="37" t="n">
        <v>0.05</v>
      </c>
      <c r="AQ163" s="37" t="n">
        <v>0.07000000000000001</v>
      </c>
      <c r="AR163" s="37" t="n">
        <v>0.06</v>
      </c>
      <c r="AS163" s="37" t="n">
        <v>0.04</v>
      </c>
      <c r="AT163" s="38" t="inlineStr">
        <is>
          <t>4–8</t>
        </is>
      </c>
      <c r="AU163" s="38" t="inlineStr">
        <is>
          <t>Graduate + relevant qualification or certification preferred</t>
        </is>
      </c>
      <c r="AV163" s="38" t="inlineStr">
        <is>
          <t>IC: none · Team Lead: 3–5</t>
        </is>
      </c>
      <c r="AW163" s="38" t="inlineStr">
        <is>
          <t>P3 / M2 · SFIA 4 Enable</t>
        </is>
      </c>
      <c r="AX1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3" s="39" t="inlineStr">
        <is>
          <t>B1</t>
        </is>
      </c>
      <c r="AZ163" s="40" t="inlineStr">
        <is>
          <t>Band B · Specialist / Manager · Specialist</t>
        </is>
      </c>
      <c r="BA163" s="40" t="inlineStr">
        <is>
          <t>Model B1 from the six ratings, the market-derived weights and rules R1–R13 · then No change · already below the manager</t>
        </is>
      </c>
      <c r="BB163" s="41" t="inlineStr">
        <is>
          <t>B1</t>
        </is>
      </c>
      <c r="BC163" s="40" t="inlineStr">
        <is>
          <t>The six ratings on the market-average weights of Band B · Specialist / POD Lead score 3.94 → B1 · Hay, Mercer IPE and public plans · experience 4.2 yrs vs the B1 market range 4–8</t>
        </is>
      </c>
      <c r="BD163" s="42">
        <f>IF(SUM(BM163,BN163,BO163,BP163,BQ163,BR163,BS163)=0,0,(BM163*BT163+BN163*BU163+BO163*BV163+BP163*BW163+BQ163*BX163+BR163*BY163+BS163*BZ163)/SUM(BM163,BN163,BO163,BP163,BQ163,BR163,BS163))</f>
        <v>0</v>
      </c>
      <c r="BE163" s="41" t="str">
        <f>IF(LEFT(AY163,1)="X",AY163,IF(OR(AY163="B+",AY163="C+"),INDEX(LAD_PC,MAX(1,MIN(14,MATCH(AY163,LAD_PC,0)+IF(BD163&gt;=0.5,1,IF(BD163&lt;=-0.5,-1,0))))),INDEX(LAD_STD,MAX(1,MIN(12,MATCH(AY163,LAD_STD,0)+IF(BD163&gt;=0.5,1,IF(BD163&lt;=-0.5,-1,0)))))))</f>
        <v>B1</v>
      </c>
      <c r="BF163" s="43" t="n"/>
      <c r="BG163" s="41" t="str">
        <f>IF(BF163&lt;&gt;"",BF163,BE163)</f>
        <v>B1</v>
      </c>
      <c r="BH163" s="40" t="str">
        <f>IFERROR(CHOOSE(INDEX(B_RANK,MATCH(BG163,B_LVL,0)),"Band A","Band B","B+ · Player-Coach","Band C","C+ · Player-Coach","Band D","Band E"),"Band X · Consultant")</f>
        <v>Band B</v>
      </c>
      <c r="BI163" s="40" t="str">
        <f>IF(BG163=AY163,"• Same",IF(INDEX(B_VAL,MATCH(BG163,B_LVL,0))&gt;INDEX(B_VAL,MATCH(AY163,B_LVL,0)),"▲ Up","▼ Down"))</f>
        <v>• Same</v>
      </c>
      <c r="BJ163" s="40" t="str">
        <f>IF(OR($M163="",$M163="—",$M163="Not in this file"),"",IFERROR(INDEX($BG$7:$BG$592,MATCH($M163,$D$7:$D$592,0)),""))</f>
        <v>B2</v>
      </c>
      <c r="BK163" s="40" t="str">
        <f>IFERROR(IF(BJ163="","—",IF(OR(LEFT(BG163,1)="X",LEFT(BJ163,1)="X"),"—",IF(AND(LEFT(BG163,1)="E",LEFT(BJ163,1)="E"),"Exception · Band E",IF(AND(INDEX(B_VAL,MATCH(BJ163,B_LVL,0))&gt;=7,INDEX(B_RANK,MATCH(BG163,B_LVL,0))&gt;=INDEX(B_RANK,MATCH(BJ163,B_LVL,0))),"⚠ Same band as a head manager",IF(INDEX(B_VAL,MATCH(BG163,B_LVL,0))&gt;=INDEX(B_VAL,MATCH(BJ163,B_LVL,0)),"⚠ At or above the manager's level","OK"))))),"—")</f>
        <v>OK</v>
      </c>
      <c r="BL163" s="43" t="n"/>
      <c r="BM163" s="44">
        <f>IFERROR(INDEX(LMH_PTS,MATCH(Y163,LMH_KEY,0)),0)</f>
        <v>9</v>
      </c>
      <c r="BN163" s="38">
        <f>IFERROR(INDEX(LMH_PTS,MATCH(Z163,LMH_KEY,0)),0)</f>
        <v>3</v>
      </c>
      <c r="BO163" s="38">
        <f>IFERROR(INDEX(LMH_PTS,MATCH(AA163,LMH_KEY,0)),0)</f>
        <v>3</v>
      </c>
      <c r="BP163" s="38">
        <f>IFERROR(INDEX(LMH_PTS,MATCH(AB163,LMH_KEY,0)),0)</f>
        <v>1</v>
      </c>
      <c r="BQ163" s="38">
        <f>IFERROR(INDEX(LMH_PTS,MATCH(AC163,LMH_KEY,0)),0)</f>
        <v>1</v>
      </c>
      <c r="BR163" s="38">
        <f>IFERROR(INDEX(LMH_PTS,MATCH(AD163,LMH_KEY,0)),0)</f>
        <v>1</v>
      </c>
      <c r="BS163" s="38">
        <f>IFERROR(INDEX(LMH_PTS,MATCH(AE163,LMH_KEY,0)),0)</f>
        <v>1</v>
      </c>
      <c r="BT163" s="38">
        <f>IFERROR(INDEX(LMH_STEP,MATCH(AF163,LMH_KEY,0)),0)</f>
        <v>0</v>
      </c>
      <c r="BU163" s="38">
        <f>IFERROR(INDEX(LMH_STEP,MATCH(AG163,LMH_KEY,0)),0)</f>
        <v>0</v>
      </c>
      <c r="BV163" s="38">
        <f>IFERROR(INDEX(LMH_STEP,MATCH(AH163,LMH_KEY,0)),0)</f>
        <v>0</v>
      </c>
      <c r="BW163" s="38">
        <f>IFERROR(INDEX(LMH_STEP,MATCH(AI163,LMH_KEY,0)),0)</f>
        <v>0</v>
      </c>
      <c r="BX163" s="38">
        <f>IFERROR(INDEX(LMH_STEP,MATCH(AJ163,LMH_KEY,0)),0)</f>
        <v>0</v>
      </c>
      <c r="BY163" s="38">
        <f>IFERROR(INDEX(LMH_STEP,MATCH(AK163,LMH_KEY,0)),0)</f>
        <v>0</v>
      </c>
      <c r="BZ163" s="38">
        <f>IFERROR(INDEX(LMH_STEP,MATCH(AL163,LMH_KEY,0)),0)</f>
        <v>0</v>
      </c>
      <c r="CA163" s="38" t="inlineStr">
        <is>
          <t>CARBON|Functional|Functional Specialist|B1|B-IC</t>
        </is>
      </c>
    </row>
    <row r="164" ht="110" customHeight="1">
      <c r="A164" s="28" t="inlineStr">
        <is>
          <t>CARBON</t>
        </is>
      </c>
      <c r="B164" s="29" t="inlineStr">
        <is>
          <t>Functional</t>
        </is>
      </c>
      <c r="C164" s="29" t="n">
        <v>4</v>
      </c>
      <c r="D164" s="29" t="inlineStr">
        <is>
          <t>IRIS2233</t>
        </is>
      </c>
      <c r="E164" s="29" t="inlineStr">
        <is>
          <t>Biswajit Biswal</t>
        </is>
      </c>
      <c r="F164" s="29" t="inlineStr">
        <is>
          <t>ESG Executive</t>
        </is>
      </c>
      <c r="G164" s="29" t="inlineStr">
        <is>
          <t>Associate Product Manager – POD Lead</t>
        </is>
      </c>
      <c r="H164" s="29" t="inlineStr">
        <is>
          <t>Product Management</t>
        </is>
      </c>
      <c r="I164" s="29" t="inlineStr">
        <is>
          <t>Product Management</t>
        </is>
      </c>
      <c r="J164" s="29" t="inlineStr">
        <is>
          <t>POD Lead</t>
        </is>
      </c>
      <c r="K164" s="29" t="inlineStr">
        <is>
          <t>RC-125</t>
        </is>
      </c>
      <c r="L164" s="29" t="inlineStr">
        <is>
          <t>Farzad Wadia</t>
        </is>
      </c>
      <c r="M164" s="29" t="inlineStr">
        <is>
          <t>IRIS2353</t>
        </is>
      </c>
      <c r="N164" s="29" t="n">
        <v>6.2</v>
      </c>
      <c r="O164" s="29" t="n">
        <v>2.5</v>
      </c>
      <c r="P164" s="29" t="inlineStr">
        <is>
          <t>B.Tech</t>
        </is>
      </c>
      <c r="Q164" s="29" t="inlineStr">
        <is>
          <t>L3 – Professional / Associate</t>
        </is>
      </c>
      <c r="R164" s="29" t="inlineStr">
        <is>
          <t>B1</t>
        </is>
      </c>
      <c r="S164" s="30" t="inlineStr">
        <is>
          <t>20 of 20</t>
        </is>
      </c>
      <c r="T164" s="31" t="inlineStr">
        <is>
          <t>• Role / sub-team: Functional — ESG Executive.
• Core purpose: Input not given by Participant.
• Decision-making autonomy: Input not given by Participant.
• Is this something only they do: Input not given by Participant.</t>
        </is>
      </c>
      <c r="U164" s="31" t="inlineStr">
        <is>
          <t>Received · manager annual · Refer to a separate sheet</t>
        </is>
      </c>
      <c r="V164" s="31" t="inlineStr">
        <is>
          <t>Latest rating: 4 · Potential: High · 9-box: High Impact / Growth Talent · Readiness: Ready now</t>
        </is>
      </c>
      <c r="W164" s="31" t="inlineStr">
        <is>
          <t>C L · Au L · Ac M · L L · BI M · Exp M · 6.2 yrs vs 4–7 yrs · Edu M · B.Tech</t>
        </is>
      </c>
      <c r="X164" s="33" t="inlineStr">
        <is>
          <t>Open ▸</t>
        </is>
      </c>
      <c r="Y164" s="34" t="str">
        <f>IFERROR(INDEX(DL_C,MATCH($CA164,DL_KEY,0)),"M")</f>
        <v>H</v>
      </c>
      <c r="Z164" s="35" t="str">
        <f>IFERROR(INDEX(DL_Au,MATCH($CA164,DL_KEY,0)),"M")</f>
        <v>M</v>
      </c>
      <c r="AA164" s="35" t="str">
        <f>IFERROR(INDEX(DL_Ac,MATCH($CA164,DL_KEY,0)),"M")</f>
        <v>M</v>
      </c>
      <c r="AB164" s="35" t="str">
        <f>IFERROR(INDEX(DL_L,MATCH($CA164,DL_KEY,0)),"M")</f>
        <v>L</v>
      </c>
      <c r="AC164" s="35" t="str">
        <f>IFERROR(INDEX(DL_BI,MATCH($CA164,DL_KEY,0)),"M")</f>
        <v>L</v>
      </c>
      <c r="AD164" s="35" t="str">
        <f>IFERROR(INDEX(DL_Exp,MATCH($CA164,DL_KEY,0)),"M")</f>
        <v>L</v>
      </c>
      <c r="AE164" s="35" t="str">
        <f>IFERROR(INDEX(DL_Edu,MATCH($CA164,DL_KEY,0)),"M")</f>
        <v>L</v>
      </c>
      <c r="AF164" s="34" t="inlineStr">
        <is>
          <t>M</t>
        </is>
      </c>
      <c r="AG164" s="35" t="inlineStr">
        <is>
          <t>M</t>
        </is>
      </c>
      <c r="AH164" s="35" t="inlineStr">
        <is>
          <t>M</t>
        </is>
      </c>
      <c r="AI164" s="35" t="inlineStr">
        <is>
          <t>M</t>
        </is>
      </c>
      <c r="AJ164" s="35" t="inlineStr">
        <is>
          <t>M</t>
        </is>
      </c>
      <c r="AK164" s="35" t="inlineStr">
        <is>
          <t>M</t>
        </is>
      </c>
      <c r="AL164" s="35" t="inlineStr">
        <is>
          <t>M</t>
        </is>
      </c>
      <c r="AM164" s="36" t="n">
        <v>0.513</v>
      </c>
      <c r="AN164" s="37" t="n">
        <v>0.173</v>
      </c>
      <c r="AO164" s="37" t="n">
        <v>0.09699999999999999</v>
      </c>
      <c r="AP164" s="37" t="n">
        <v>0.05</v>
      </c>
      <c r="AQ164" s="37" t="n">
        <v>0.07000000000000001</v>
      </c>
      <c r="AR164" s="37" t="n">
        <v>0.06</v>
      </c>
      <c r="AS164" s="37" t="n">
        <v>0.04</v>
      </c>
      <c r="AT164" s="38" t="inlineStr">
        <is>
          <t>4–8</t>
        </is>
      </c>
      <c r="AU164" s="38" t="inlineStr">
        <is>
          <t>Graduate + relevant qualification or certification preferred</t>
        </is>
      </c>
      <c r="AV164" s="38" t="inlineStr">
        <is>
          <t>IC: none · Team Lead: 3–5</t>
        </is>
      </c>
      <c r="AW164" s="38" t="inlineStr">
        <is>
          <t>P3 / M2 · SFIA 4 Enable</t>
        </is>
      </c>
      <c r="AX1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4" s="39" t="inlineStr">
        <is>
          <t>B1</t>
        </is>
      </c>
      <c r="AZ164" s="40" t="inlineStr">
        <is>
          <t>Band B · Specialist / Manager · Team Lead / Asst Manager</t>
        </is>
      </c>
      <c r="BA164" s="40" t="inlineStr">
        <is>
          <t>Model B1 from the six ratings, the market-derived weights and rules R1–R13 · then No change · already below the manager</t>
        </is>
      </c>
      <c r="BB164" s="41" t="inlineStr">
        <is>
          <t>A3</t>
        </is>
      </c>
      <c r="BC164" s="40" t="inlineStr">
        <is>
          <t>The six ratings on the market-average weights of Band B · Specialist / POD Lead score 3.35 → A3 · Hay, Mercer IPE and public plans · experience 6.2 yrs vs the A3 market range 2–5</t>
        </is>
      </c>
      <c r="BD164" s="42">
        <f>IF(SUM(BM164,BN164,BO164,BP164,BQ164,BR164,BS164)=0,0,(BM164*BT164+BN164*BU164+BO164*BV164+BP164*BW164+BQ164*BX164+BR164*BY164+BS164*BZ164)/SUM(BM164,BN164,BO164,BP164,BQ164,BR164,BS164))</f>
        <v>0</v>
      </c>
      <c r="BE164" s="41" t="str">
        <f>IF(LEFT(AY164,1)="X",AY164,IF(OR(AY164="B+",AY164="C+"),INDEX(LAD_PC,MAX(1,MIN(14,MATCH(AY164,LAD_PC,0)+IF(BD164&gt;=0.5,1,IF(BD164&lt;=-0.5,-1,0))))),INDEX(LAD_STD,MAX(1,MIN(12,MATCH(AY164,LAD_STD,0)+IF(BD164&gt;=0.5,1,IF(BD164&lt;=-0.5,-1,0)))))))</f>
        <v>B1</v>
      </c>
      <c r="BF164" s="43" t="n"/>
      <c r="BG164" s="41" t="str">
        <f>IF(BF164&lt;&gt;"",BF164,BE164)</f>
        <v>B1</v>
      </c>
      <c r="BH164" s="40" t="str">
        <f>IFERROR(CHOOSE(INDEX(B_RANK,MATCH(BG164,B_LVL,0)),"Band A","Band B","B+ · Player-Coach","Band C","C+ · Player-Coach","Band D","Band E"),"Band X · Consultant")</f>
        <v>Band B</v>
      </c>
      <c r="BI164" s="40" t="str">
        <f>IF(BG164=AY164,"• Same",IF(INDEX(B_VAL,MATCH(BG164,B_LVL,0))&gt;INDEX(B_VAL,MATCH(AY164,B_LVL,0)),"▲ Up","▼ Down"))</f>
        <v>• Same</v>
      </c>
      <c r="BJ164" s="40" t="str">
        <f>IF(OR($M164="",$M164="—",$M164="Not in this file"),"",IFERROR(INDEX($BG$7:$BG$592,MATCH($M164,$D$7:$D$592,0)),""))</f>
        <v>B2</v>
      </c>
      <c r="BK164" s="40" t="str">
        <f>IFERROR(IF(BJ164="","—",IF(OR(LEFT(BG164,1)="X",LEFT(BJ164,1)="X"),"—",IF(AND(LEFT(BG164,1)="E",LEFT(BJ164,1)="E"),"Exception · Band E",IF(AND(INDEX(B_VAL,MATCH(BJ164,B_LVL,0))&gt;=7,INDEX(B_RANK,MATCH(BG164,B_LVL,0))&gt;=INDEX(B_RANK,MATCH(BJ164,B_LVL,0))),"⚠ Same band as a head manager",IF(INDEX(B_VAL,MATCH(BG164,B_LVL,0))&gt;=INDEX(B_VAL,MATCH(BJ164,B_LVL,0)),"⚠ At or above the manager's level","OK"))))),"—")</f>
        <v>OK</v>
      </c>
      <c r="BL164" s="43" t="n"/>
      <c r="BM164" s="44">
        <f>IFERROR(INDEX(LMH_PTS,MATCH(Y164,LMH_KEY,0)),0)</f>
        <v>9</v>
      </c>
      <c r="BN164" s="38">
        <f>IFERROR(INDEX(LMH_PTS,MATCH(Z164,LMH_KEY,0)),0)</f>
        <v>3</v>
      </c>
      <c r="BO164" s="38">
        <f>IFERROR(INDEX(LMH_PTS,MATCH(AA164,LMH_KEY,0)),0)</f>
        <v>3</v>
      </c>
      <c r="BP164" s="38">
        <f>IFERROR(INDEX(LMH_PTS,MATCH(AB164,LMH_KEY,0)),0)</f>
        <v>1</v>
      </c>
      <c r="BQ164" s="38">
        <f>IFERROR(INDEX(LMH_PTS,MATCH(AC164,LMH_KEY,0)),0)</f>
        <v>1</v>
      </c>
      <c r="BR164" s="38">
        <f>IFERROR(INDEX(LMH_PTS,MATCH(AD164,LMH_KEY,0)),0)</f>
        <v>1</v>
      </c>
      <c r="BS164" s="38">
        <f>IFERROR(INDEX(LMH_PTS,MATCH(AE164,LMH_KEY,0)),0)</f>
        <v>1</v>
      </c>
      <c r="BT164" s="38">
        <f>IFERROR(INDEX(LMH_STEP,MATCH(AF164,LMH_KEY,0)),0)</f>
        <v>0</v>
      </c>
      <c r="BU164" s="38">
        <f>IFERROR(INDEX(LMH_STEP,MATCH(AG164,LMH_KEY,0)),0)</f>
        <v>0</v>
      </c>
      <c r="BV164" s="38">
        <f>IFERROR(INDEX(LMH_STEP,MATCH(AH164,LMH_KEY,0)),0)</f>
        <v>0</v>
      </c>
      <c r="BW164" s="38">
        <f>IFERROR(INDEX(LMH_STEP,MATCH(AI164,LMH_KEY,0)),0)</f>
        <v>0</v>
      </c>
      <c r="BX164" s="38">
        <f>IFERROR(INDEX(LMH_STEP,MATCH(AJ164,LMH_KEY,0)),0)</f>
        <v>0</v>
      </c>
      <c r="BY164" s="38">
        <f>IFERROR(INDEX(LMH_STEP,MATCH(AK164,LMH_KEY,0)),0)</f>
        <v>0</v>
      </c>
      <c r="BZ164" s="38">
        <f>IFERROR(INDEX(LMH_STEP,MATCH(AL164,LMH_KEY,0)),0)</f>
        <v>0</v>
      </c>
      <c r="CA164" s="38" t="inlineStr">
        <is>
          <t>CARBON|Functional|Associate Product Manager – POD Lead|B1|B-IC</t>
        </is>
      </c>
    </row>
    <row r="165" ht="110" customHeight="1">
      <c r="A165" s="28" t="inlineStr">
        <is>
          <t>CARBON</t>
        </is>
      </c>
      <c r="B165" s="29" t="inlineStr">
        <is>
          <t>Functional</t>
        </is>
      </c>
      <c r="C165" s="29" t="n">
        <v>5</v>
      </c>
      <c r="D165" s="29" t="inlineStr">
        <is>
          <t>IRIS2493</t>
        </is>
      </c>
      <c r="E165" s="29" t="inlineStr">
        <is>
          <t>Watan Kumar Meena</t>
        </is>
      </c>
      <c r="F165" s="29" t="inlineStr">
        <is>
          <t>Product Associate</t>
        </is>
      </c>
      <c r="G165" s="29" t="inlineStr">
        <is>
          <t>Senior Product Associate</t>
        </is>
      </c>
      <c r="H165" s="29" t="inlineStr">
        <is>
          <t>Product Management</t>
        </is>
      </c>
      <c r="I165" s="29" t="inlineStr">
        <is>
          <t>Product Management</t>
        </is>
      </c>
      <c r="J165" s="29" t="inlineStr">
        <is>
          <t>IC</t>
        </is>
      </c>
      <c r="K165" s="29" t="inlineStr">
        <is>
          <t>RC-124</t>
        </is>
      </c>
      <c r="L165" s="29" t="inlineStr">
        <is>
          <t>Biswajit Biswal</t>
        </is>
      </c>
      <c r="M165" s="29" t="inlineStr">
        <is>
          <t>IRIS2233</t>
        </is>
      </c>
      <c r="N165" s="29" t="n">
        <v>4.9</v>
      </c>
      <c r="O165" s="29" t="n">
        <v>0.5</v>
      </c>
      <c r="P165" s="29" t="inlineStr">
        <is>
          <t>B.Tech</t>
        </is>
      </c>
      <c r="Q165" s="29" t="inlineStr">
        <is>
          <t>L3 – Professional / Associate</t>
        </is>
      </c>
      <c r="R165" s="29" t="inlineStr">
        <is>
          <t>A3</t>
        </is>
      </c>
      <c r="S165" s="30" t="inlineStr">
        <is>
          <t>19 of 20</t>
        </is>
      </c>
      <c r="T165" s="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t>
        </is>
      </c>
      <c r="U165" s="31" t="inlineStr">
        <is>
          <t>Received · manager annual · `</t>
        </is>
      </c>
      <c r="V165" s="31" t="inlineStr">
        <is>
          <t>Latest rating: 3 · Potential: Medium · 9-box: Emerging Talent · Readiness: Develop in role</t>
        </is>
      </c>
      <c r="W165" s="31" t="inlineStr">
        <is>
          <t>C M · Au L · Ac M · L L · BI M · Exp H · 4.9 yrs vs 2–4 yrs · Edu M · B.Tech</t>
        </is>
      </c>
      <c r="X165" s="33" t="inlineStr">
        <is>
          <t>Open ▸</t>
        </is>
      </c>
      <c r="Y165" s="34" t="str">
        <f>IFERROR(INDEX(DL_C,MATCH($CA165,DL_KEY,0)),"M")</f>
        <v>H</v>
      </c>
      <c r="Z165" s="35" t="str">
        <f>IFERROR(INDEX(DL_Au,MATCH($CA165,DL_KEY,0)),"M")</f>
        <v>M</v>
      </c>
      <c r="AA165" s="35" t="str">
        <f>IFERROR(INDEX(DL_Ac,MATCH($CA165,DL_KEY,0)),"M")</f>
        <v>M</v>
      </c>
      <c r="AB165" s="35" t="str">
        <f>IFERROR(INDEX(DL_L,MATCH($CA165,DL_KEY,0)),"M")</f>
        <v>L</v>
      </c>
      <c r="AC165" s="35" t="str">
        <f>IFERROR(INDEX(DL_BI,MATCH($CA165,DL_KEY,0)),"M")</f>
        <v>L</v>
      </c>
      <c r="AD165" s="35" t="str">
        <f>IFERROR(INDEX(DL_Exp,MATCH($CA165,DL_KEY,0)),"M")</f>
        <v>L</v>
      </c>
      <c r="AE165" s="35" t="str">
        <f>IFERROR(INDEX(DL_Edu,MATCH($CA165,DL_KEY,0)),"M")</f>
        <v>L</v>
      </c>
      <c r="AF165" s="34" t="inlineStr">
        <is>
          <t>M</t>
        </is>
      </c>
      <c r="AG165" s="35" t="inlineStr">
        <is>
          <t>M</t>
        </is>
      </c>
      <c r="AH165" s="35" t="inlineStr">
        <is>
          <t>M</t>
        </is>
      </c>
      <c r="AI165" s="35" t="inlineStr">
        <is>
          <t>M</t>
        </is>
      </c>
      <c r="AJ165" s="35" t="inlineStr">
        <is>
          <t>M</t>
        </is>
      </c>
      <c r="AK165" s="35" t="inlineStr">
        <is>
          <t>M</t>
        </is>
      </c>
      <c r="AL165" s="35" t="inlineStr">
        <is>
          <t>M</t>
        </is>
      </c>
      <c r="AM165" s="36" t="n">
        <v>0.583</v>
      </c>
      <c r="AN165" s="37" t="n">
        <v>0.16</v>
      </c>
      <c r="AO165" s="37" t="n">
        <v>0.09</v>
      </c>
      <c r="AP165" s="37" t="n">
        <v>0</v>
      </c>
      <c r="AQ165" s="37" t="n">
        <v>0.063</v>
      </c>
      <c r="AR165" s="37" t="n">
        <v>0.06</v>
      </c>
      <c r="AS165" s="37" t="n">
        <v>0.04</v>
      </c>
      <c r="AT165" s="38" t="inlineStr">
        <is>
          <t>2–5</t>
        </is>
      </c>
      <c r="AU165" s="38" t="inlineStr">
        <is>
          <t>Graduate; relevant certification preferred</t>
        </is>
      </c>
      <c r="AV165" s="38" t="inlineStr">
        <is>
          <t>None · guides 1–3 juniors informally</t>
        </is>
      </c>
      <c r="AW165" s="38" t="inlineStr">
        <is>
          <t>P2 · SFIA 3 Apply</t>
        </is>
      </c>
      <c r="AX1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5" s="39" t="inlineStr">
        <is>
          <t>A3</t>
        </is>
      </c>
      <c r="AZ165" s="40" t="inlineStr">
        <is>
          <t>Band A · Practitioner · Senior Associate</t>
        </is>
      </c>
      <c r="BA165" s="40" t="inlineStr">
        <is>
          <t>Model A3 from the six ratings, the market-derived weights and rules R1–R13 · then No change · already below the manager</t>
        </is>
      </c>
      <c r="BB165" s="41" t="inlineStr">
        <is>
          <t>A3</t>
        </is>
      </c>
      <c r="BC165" s="40" t="inlineStr">
        <is>
          <t>The six ratings on the market-average weights of Band A · all tracks score 2.60 → A3 · Hay, Mercer IPE and public plans · experience 4.9 yrs vs the A3 market range 2–5</t>
        </is>
      </c>
      <c r="BD165" s="42">
        <f>IF(SUM(BM165,BN165,BO165,BP165,BQ165,BR165,BS165)=0,0,(BM165*BT165+BN165*BU165+BO165*BV165+BP165*BW165+BQ165*BX165+BR165*BY165+BS165*BZ165)/SUM(BM165,BN165,BO165,BP165,BQ165,BR165,BS165))</f>
        <v>0</v>
      </c>
      <c r="BE165" s="41" t="str">
        <f>IF(LEFT(AY165,1)="X",AY165,IF(OR(AY165="B+",AY165="C+"),INDEX(LAD_PC,MAX(1,MIN(14,MATCH(AY165,LAD_PC,0)+IF(BD165&gt;=0.5,1,IF(BD165&lt;=-0.5,-1,0))))),INDEX(LAD_STD,MAX(1,MIN(12,MATCH(AY165,LAD_STD,0)+IF(BD165&gt;=0.5,1,IF(BD165&lt;=-0.5,-1,0)))))))</f>
        <v>A3</v>
      </c>
      <c r="BF165" s="43" t="n"/>
      <c r="BG165" s="41" t="str">
        <f>IF(BF165&lt;&gt;"",BF165,BE165)</f>
        <v>A3</v>
      </c>
      <c r="BH165" s="40" t="str">
        <f>IFERROR(CHOOSE(INDEX(B_RANK,MATCH(BG165,B_LVL,0)),"Band A","Band B","B+ · Player-Coach","Band C","C+ · Player-Coach","Band D","Band E"),"Band X · Consultant")</f>
        <v>Band A</v>
      </c>
      <c r="BI165" s="40" t="str">
        <f>IF(BG165=AY165,"• Same",IF(INDEX(B_VAL,MATCH(BG165,B_LVL,0))&gt;INDEX(B_VAL,MATCH(AY165,B_LVL,0)),"▲ Up","▼ Down"))</f>
        <v>• Same</v>
      </c>
      <c r="BJ165" s="40" t="str">
        <f>IF(OR($M165="",$M165="—",$M165="Not in this file"),"",IFERROR(INDEX($BG$7:$BG$592,MATCH($M165,$D$7:$D$592,0)),""))</f>
        <v>B1</v>
      </c>
      <c r="BK165" s="40" t="str">
        <f>IFERROR(IF(BJ165="","—",IF(OR(LEFT(BG165,1)="X",LEFT(BJ165,1)="X"),"—",IF(AND(LEFT(BG165,1)="E",LEFT(BJ165,1)="E"),"Exception · Band E",IF(AND(INDEX(B_VAL,MATCH(BJ165,B_LVL,0))&gt;=7,INDEX(B_RANK,MATCH(BG165,B_LVL,0))&gt;=INDEX(B_RANK,MATCH(BJ165,B_LVL,0))),"⚠ Same band as a head manager",IF(INDEX(B_VAL,MATCH(BG165,B_LVL,0))&gt;=INDEX(B_VAL,MATCH(BJ165,B_LVL,0)),"⚠ At or above the manager's level","OK"))))),"—")</f>
        <v>OK</v>
      </c>
      <c r="BL165" s="43" t="n"/>
      <c r="BM165" s="44">
        <f>IFERROR(INDEX(LMH_PTS,MATCH(Y165,LMH_KEY,0)),0)</f>
        <v>9</v>
      </c>
      <c r="BN165" s="38">
        <f>IFERROR(INDEX(LMH_PTS,MATCH(Z165,LMH_KEY,0)),0)</f>
        <v>3</v>
      </c>
      <c r="BO165" s="38">
        <f>IFERROR(INDEX(LMH_PTS,MATCH(AA165,LMH_KEY,0)),0)</f>
        <v>3</v>
      </c>
      <c r="BP165" s="38">
        <f>IFERROR(INDEX(LMH_PTS,MATCH(AB165,LMH_KEY,0)),0)</f>
        <v>1</v>
      </c>
      <c r="BQ165" s="38">
        <f>IFERROR(INDEX(LMH_PTS,MATCH(AC165,LMH_KEY,0)),0)</f>
        <v>1</v>
      </c>
      <c r="BR165" s="38">
        <f>IFERROR(INDEX(LMH_PTS,MATCH(AD165,LMH_KEY,0)),0)</f>
        <v>1</v>
      </c>
      <c r="BS165" s="38">
        <f>IFERROR(INDEX(LMH_PTS,MATCH(AE165,LMH_KEY,0)),0)</f>
        <v>1</v>
      </c>
      <c r="BT165" s="38">
        <f>IFERROR(INDEX(LMH_STEP,MATCH(AF165,LMH_KEY,0)),0)</f>
        <v>0</v>
      </c>
      <c r="BU165" s="38">
        <f>IFERROR(INDEX(LMH_STEP,MATCH(AG165,LMH_KEY,0)),0)</f>
        <v>0</v>
      </c>
      <c r="BV165" s="38">
        <f>IFERROR(INDEX(LMH_STEP,MATCH(AH165,LMH_KEY,0)),0)</f>
        <v>0</v>
      </c>
      <c r="BW165" s="38">
        <f>IFERROR(INDEX(LMH_STEP,MATCH(AI165,LMH_KEY,0)),0)</f>
        <v>0</v>
      </c>
      <c r="BX165" s="38">
        <f>IFERROR(INDEX(LMH_STEP,MATCH(AJ165,LMH_KEY,0)),0)</f>
        <v>0</v>
      </c>
      <c r="BY165" s="38">
        <f>IFERROR(INDEX(LMH_STEP,MATCH(AK165,LMH_KEY,0)),0)</f>
        <v>0</v>
      </c>
      <c r="BZ165" s="38">
        <f>IFERROR(INDEX(LMH_STEP,MATCH(AL165,LMH_KEY,0)),0)</f>
        <v>0</v>
      </c>
      <c r="CA165" s="38" t="inlineStr">
        <is>
          <t>CARBON|Functional|Senior Product Associate|A3|A</t>
        </is>
      </c>
    </row>
    <row r="166" ht="110" customHeight="1">
      <c r="A166" s="28" t="inlineStr">
        <is>
          <t>CARBON</t>
        </is>
      </c>
      <c r="B166" s="29" t="inlineStr">
        <is>
          <t>Functional</t>
        </is>
      </c>
      <c r="C166" s="29" t="n">
        <v>4</v>
      </c>
      <c r="D166" s="29" t="inlineStr">
        <is>
          <t>IRIS2519</t>
        </is>
      </c>
      <c r="E166" s="29" t="inlineStr">
        <is>
          <t>Karthik Menon</t>
        </is>
      </c>
      <c r="F166" s="29" t="inlineStr">
        <is>
          <t>ESG Functional Consultant</t>
        </is>
      </c>
      <c r="G166" s="29" t="inlineStr">
        <is>
          <t>Functional Specialist</t>
        </is>
      </c>
      <c r="H166" s="29" t="inlineStr">
        <is>
          <t>Customer Success &amp; Support</t>
        </is>
      </c>
      <c r="I166" s="29" t="inlineStr">
        <is>
          <t>Application &amp; Product Support</t>
        </is>
      </c>
      <c r="J166" s="29" t="inlineStr">
        <is>
          <t>IC</t>
        </is>
      </c>
      <c r="K166" s="29" t="inlineStr">
        <is>
          <t>RC-032</t>
        </is>
      </c>
      <c r="L166" s="29" t="inlineStr">
        <is>
          <t>Farzad Wadia</t>
        </is>
      </c>
      <c r="M166" s="29" t="inlineStr">
        <is>
          <t>IRIS2353</t>
        </is>
      </c>
      <c r="N166" s="29" t="n">
        <v>6.2</v>
      </c>
      <c r="O166" s="29" t="n">
        <v>0.4</v>
      </c>
      <c r="P166" s="29" t="inlineStr">
        <is>
          <t>MBA</t>
        </is>
      </c>
      <c r="Q166" s="29" t="inlineStr">
        <is>
          <t>L3 – Professional / Associate</t>
        </is>
      </c>
      <c r="R166" s="29" t="inlineStr">
        <is>
          <t>B1</t>
        </is>
      </c>
      <c r="S166" s="30" t="inlineStr">
        <is>
          <t>19 of 20</t>
        </is>
      </c>
      <c r="T166" s="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t>
        </is>
      </c>
      <c r="U166" s="31" t="inlineStr">
        <is>
          <t>Received · manager annual · Refer to a separate sheet</t>
        </is>
      </c>
      <c r="V166" s="31" t="inlineStr">
        <is>
          <t>Latest rating: 4 · Potential: High · 9-box: High Impact / Growth Talent · Readiness: Ready now</t>
        </is>
      </c>
      <c r="W166" s="31" t="inlineStr">
        <is>
          <t>C M · Au L · Ac M · L L · BI M · Exp M · 6.2 yrs vs 4–7 yrs · Edu H · MBA</t>
        </is>
      </c>
      <c r="X166" s="33" t="inlineStr">
        <is>
          <t>Open ▸</t>
        </is>
      </c>
      <c r="Y166" s="34" t="str">
        <f>IFERROR(INDEX(DL_C,MATCH($CA166,DL_KEY,0)),"M")</f>
        <v>H</v>
      </c>
      <c r="Z166" s="35" t="str">
        <f>IFERROR(INDEX(DL_Au,MATCH($CA166,DL_KEY,0)),"M")</f>
        <v>M</v>
      </c>
      <c r="AA166" s="35" t="str">
        <f>IFERROR(INDEX(DL_Ac,MATCH($CA166,DL_KEY,0)),"M")</f>
        <v>M</v>
      </c>
      <c r="AB166" s="35" t="str">
        <f>IFERROR(INDEX(DL_L,MATCH($CA166,DL_KEY,0)),"M")</f>
        <v>L</v>
      </c>
      <c r="AC166" s="35" t="str">
        <f>IFERROR(INDEX(DL_BI,MATCH($CA166,DL_KEY,0)),"M")</f>
        <v>L</v>
      </c>
      <c r="AD166" s="35" t="str">
        <f>IFERROR(INDEX(DL_Exp,MATCH($CA166,DL_KEY,0)),"M")</f>
        <v>L</v>
      </c>
      <c r="AE166" s="35" t="str">
        <f>IFERROR(INDEX(DL_Edu,MATCH($CA166,DL_KEY,0)),"M")</f>
        <v>L</v>
      </c>
      <c r="AF166" s="34" t="inlineStr">
        <is>
          <t>M</t>
        </is>
      </c>
      <c r="AG166" s="35" t="inlineStr">
        <is>
          <t>M</t>
        </is>
      </c>
      <c r="AH166" s="35" t="inlineStr">
        <is>
          <t>M</t>
        </is>
      </c>
      <c r="AI166" s="35" t="inlineStr">
        <is>
          <t>M</t>
        </is>
      </c>
      <c r="AJ166" s="35" t="inlineStr">
        <is>
          <t>M</t>
        </is>
      </c>
      <c r="AK166" s="35" t="inlineStr">
        <is>
          <t>M</t>
        </is>
      </c>
      <c r="AL166" s="35" t="inlineStr">
        <is>
          <t>M</t>
        </is>
      </c>
      <c r="AM166" s="36" t="n">
        <v>0.513</v>
      </c>
      <c r="AN166" s="37" t="n">
        <v>0.173</v>
      </c>
      <c r="AO166" s="37" t="n">
        <v>0.09699999999999999</v>
      </c>
      <c r="AP166" s="37" t="n">
        <v>0.05</v>
      </c>
      <c r="AQ166" s="37" t="n">
        <v>0.07000000000000001</v>
      </c>
      <c r="AR166" s="37" t="n">
        <v>0.06</v>
      </c>
      <c r="AS166" s="37" t="n">
        <v>0.04</v>
      </c>
      <c r="AT166" s="38" t="inlineStr">
        <is>
          <t>4–8</t>
        </is>
      </c>
      <c r="AU166" s="38" t="inlineStr">
        <is>
          <t>Graduate + relevant qualification or certification preferred</t>
        </is>
      </c>
      <c r="AV166" s="38" t="inlineStr">
        <is>
          <t>IC: none · Team Lead: 3–5</t>
        </is>
      </c>
      <c r="AW166" s="38" t="inlineStr">
        <is>
          <t>P3 / M2 · SFIA 4 Enable</t>
        </is>
      </c>
      <c r="AX1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6" s="39" t="inlineStr">
        <is>
          <t>B1</t>
        </is>
      </c>
      <c r="AZ166" s="40" t="inlineStr">
        <is>
          <t>Band B · Specialist / Manager · Specialist</t>
        </is>
      </c>
      <c r="BA166" s="40" t="inlineStr">
        <is>
          <t>Model B1 from the six ratings, the market-derived weights and rules R1–R13 · then No change · already below the manager</t>
        </is>
      </c>
      <c r="BB166" s="41" t="inlineStr">
        <is>
          <t>B1</t>
        </is>
      </c>
      <c r="BC166" s="40" t="inlineStr">
        <is>
          <t>The six ratings on the market-average weights of Band B · Specialist / POD Lead score 3.52 → B1 · Hay, Mercer IPE and public plans · experience 6.2 yrs vs the B1 market range 4–8</t>
        </is>
      </c>
      <c r="BD166" s="42">
        <f>IF(SUM(BM166,BN166,BO166,BP166,BQ166,BR166,BS166)=0,0,(BM166*BT166+BN166*BU166+BO166*BV166+BP166*BW166+BQ166*BX166+BR166*BY166+BS166*BZ166)/SUM(BM166,BN166,BO166,BP166,BQ166,BR166,BS166))</f>
        <v>0</v>
      </c>
      <c r="BE166" s="41" t="str">
        <f>IF(LEFT(AY166,1)="X",AY166,IF(OR(AY166="B+",AY166="C+"),INDEX(LAD_PC,MAX(1,MIN(14,MATCH(AY166,LAD_PC,0)+IF(BD166&gt;=0.5,1,IF(BD166&lt;=-0.5,-1,0))))),INDEX(LAD_STD,MAX(1,MIN(12,MATCH(AY166,LAD_STD,0)+IF(BD166&gt;=0.5,1,IF(BD166&lt;=-0.5,-1,0)))))))</f>
        <v>B1</v>
      </c>
      <c r="BF166" s="43" t="n"/>
      <c r="BG166" s="41" t="str">
        <f>IF(BF166&lt;&gt;"",BF166,BE166)</f>
        <v>B1</v>
      </c>
      <c r="BH166" s="40" t="str">
        <f>IFERROR(CHOOSE(INDEX(B_RANK,MATCH(BG166,B_LVL,0)),"Band A","Band B","B+ · Player-Coach","Band C","C+ · Player-Coach","Band D","Band E"),"Band X · Consultant")</f>
        <v>Band B</v>
      </c>
      <c r="BI166" s="40" t="str">
        <f>IF(BG166=AY166,"• Same",IF(INDEX(B_VAL,MATCH(BG166,B_LVL,0))&gt;INDEX(B_VAL,MATCH(AY166,B_LVL,0)),"▲ Up","▼ Down"))</f>
        <v>• Same</v>
      </c>
      <c r="BJ166" s="40" t="str">
        <f>IF(OR($M166="",$M166="—",$M166="Not in this file"),"",IFERROR(INDEX($BG$7:$BG$592,MATCH($M166,$D$7:$D$592,0)),""))</f>
        <v>B2</v>
      </c>
      <c r="BK166" s="40" t="str">
        <f>IFERROR(IF(BJ166="","—",IF(OR(LEFT(BG166,1)="X",LEFT(BJ166,1)="X"),"—",IF(AND(LEFT(BG166,1)="E",LEFT(BJ166,1)="E"),"Exception · Band E",IF(AND(INDEX(B_VAL,MATCH(BJ166,B_LVL,0))&gt;=7,INDEX(B_RANK,MATCH(BG166,B_LVL,0))&gt;=INDEX(B_RANK,MATCH(BJ166,B_LVL,0))),"⚠ Same band as a head manager",IF(INDEX(B_VAL,MATCH(BG166,B_LVL,0))&gt;=INDEX(B_VAL,MATCH(BJ166,B_LVL,0)),"⚠ At or above the manager's level","OK"))))),"—")</f>
        <v>OK</v>
      </c>
      <c r="BL166" s="43" t="n"/>
      <c r="BM166" s="44">
        <f>IFERROR(INDEX(LMH_PTS,MATCH(Y166,LMH_KEY,0)),0)</f>
        <v>9</v>
      </c>
      <c r="BN166" s="38">
        <f>IFERROR(INDEX(LMH_PTS,MATCH(Z166,LMH_KEY,0)),0)</f>
        <v>3</v>
      </c>
      <c r="BO166" s="38">
        <f>IFERROR(INDEX(LMH_PTS,MATCH(AA166,LMH_KEY,0)),0)</f>
        <v>3</v>
      </c>
      <c r="BP166" s="38">
        <f>IFERROR(INDEX(LMH_PTS,MATCH(AB166,LMH_KEY,0)),0)</f>
        <v>1</v>
      </c>
      <c r="BQ166" s="38">
        <f>IFERROR(INDEX(LMH_PTS,MATCH(AC166,LMH_KEY,0)),0)</f>
        <v>1</v>
      </c>
      <c r="BR166" s="38">
        <f>IFERROR(INDEX(LMH_PTS,MATCH(AD166,LMH_KEY,0)),0)</f>
        <v>1</v>
      </c>
      <c r="BS166" s="38">
        <f>IFERROR(INDEX(LMH_PTS,MATCH(AE166,LMH_KEY,0)),0)</f>
        <v>1</v>
      </c>
      <c r="BT166" s="38">
        <f>IFERROR(INDEX(LMH_STEP,MATCH(AF166,LMH_KEY,0)),0)</f>
        <v>0</v>
      </c>
      <c r="BU166" s="38">
        <f>IFERROR(INDEX(LMH_STEP,MATCH(AG166,LMH_KEY,0)),0)</f>
        <v>0</v>
      </c>
      <c r="BV166" s="38">
        <f>IFERROR(INDEX(LMH_STEP,MATCH(AH166,LMH_KEY,0)),0)</f>
        <v>0</v>
      </c>
      <c r="BW166" s="38">
        <f>IFERROR(INDEX(LMH_STEP,MATCH(AI166,LMH_KEY,0)),0)</f>
        <v>0</v>
      </c>
      <c r="BX166" s="38">
        <f>IFERROR(INDEX(LMH_STEP,MATCH(AJ166,LMH_KEY,0)),0)</f>
        <v>0</v>
      </c>
      <c r="BY166" s="38">
        <f>IFERROR(INDEX(LMH_STEP,MATCH(AK166,LMH_KEY,0)),0)</f>
        <v>0</v>
      </c>
      <c r="BZ166" s="38">
        <f>IFERROR(INDEX(LMH_STEP,MATCH(AL166,LMH_KEY,0)),0)</f>
        <v>0</v>
      </c>
      <c r="CA166" s="38" t="inlineStr">
        <is>
          <t>CARBON|Functional|Functional Specialist|B1|B-IC</t>
        </is>
      </c>
    </row>
    <row r="167" ht="110" customHeight="1">
      <c r="A167" s="28" t="inlineStr">
        <is>
          <t>CARBON</t>
        </is>
      </c>
      <c r="B167" s="29" t="inlineStr">
        <is>
          <t>Technology</t>
        </is>
      </c>
      <c r="C167" s="29" t="n">
        <v>4</v>
      </c>
      <c r="D167" s="29" t="inlineStr">
        <is>
          <t>IRIS2491</t>
        </is>
      </c>
      <c r="E167" s="29" t="inlineStr">
        <is>
          <t>Ritik Wadje</t>
        </is>
      </c>
      <c r="F167" s="29" t="inlineStr">
        <is>
          <t>Product Designer</t>
        </is>
      </c>
      <c r="G167" s="29" t="inlineStr">
        <is>
          <t>Senior Product Designer</t>
        </is>
      </c>
      <c r="H167" s="29" t="inlineStr">
        <is>
          <t>Design &amp; Creative</t>
        </is>
      </c>
      <c r="I167" s="29" t="inlineStr">
        <is>
          <t>UX / UI Design</t>
        </is>
      </c>
      <c r="J167" s="29" t="inlineStr">
        <is>
          <t>IC</t>
        </is>
      </c>
      <c r="K167" s="29" t="inlineStr">
        <is>
          <t>RC-054</t>
        </is>
      </c>
      <c r="L167" s="29" t="inlineStr">
        <is>
          <t>Farzad Wadia</t>
        </is>
      </c>
      <c r="M167" s="29" t="inlineStr">
        <is>
          <t>IRIS2353</t>
        </is>
      </c>
      <c r="N167" s="29" t="n">
        <v>3.9</v>
      </c>
      <c r="O167" s="29" t="n">
        <v>0.5</v>
      </c>
      <c r="P167" s="29" t="inlineStr">
        <is>
          <t>B.E</t>
        </is>
      </c>
      <c r="Q167" s="29" t="inlineStr">
        <is>
          <t>L3 – Professional / Associate</t>
        </is>
      </c>
      <c r="R167" s="29" t="inlineStr">
        <is>
          <t>A3</t>
        </is>
      </c>
      <c r="S167" s="30" t="inlineStr">
        <is>
          <t>20 of 20</t>
        </is>
      </c>
      <c r="T167" s="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t>
        </is>
      </c>
      <c r="U167" s="31" t="inlineStr">
        <is>
          <t>Received · manager annual · Refer to a separate sheet</t>
        </is>
      </c>
      <c r="V167" s="31" t="inlineStr">
        <is>
          <t>Latest rating: 4 · Potential: High · 9-box: High Impact / Growth Talent · Readiness: Ready now</t>
        </is>
      </c>
      <c r="W167" s="31" t="inlineStr">
        <is>
          <t>C M · Au M · Ac M · L L · BI M · Exp M · 3.9 yrs vs 2–4 yrs · Edu M · B.E</t>
        </is>
      </c>
      <c r="X167" s="33" t="inlineStr">
        <is>
          <t>Open ▸</t>
        </is>
      </c>
      <c r="Y167" s="34" t="str">
        <f>IFERROR(INDEX(DL_C,MATCH($CA167,DL_KEY,0)),"M")</f>
        <v>H</v>
      </c>
      <c r="Z167" s="35" t="str">
        <f>IFERROR(INDEX(DL_Au,MATCH($CA167,DL_KEY,0)),"M")</f>
        <v>M</v>
      </c>
      <c r="AA167" s="35" t="str">
        <f>IFERROR(INDEX(DL_Ac,MATCH($CA167,DL_KEY,0)),"M")</f>
        <v>L</v>
      </c>
      <c r="AB167" s="35" t="str">
        <f>IFERROR(INDEX(DL_L,MATCH($CA167,DL_KEY,0)),"M")</f>
        <v>L</v>
      </c>
      <c r="AC167" s="35" t="str">
        <f>IFERROR(INDEX(DL_BI,MATCH($CA167,DL_KEY,0)),"M")</f>
        <v>M</v>
      </c>
      <c r="AD167" s="35" t="str">
        <f>IFERROR(INDEX(DL_Exp,MATCH($CA167,DL_KEY,0)),"M")</f>
        <v>L</v>
      </c>
      <c r="AE167" s="35" t="str">
        <f>IFERROR(INDEX(DL_Edu,MATCH($CA167,DL_KEY,0)),"M")</f>
        <v>L</v>
      </c>
      <c r="AF167" s="34" t="inlineStr">
        <is>
          <t>M</t>
        </is>
      </c>
      <c r="AG167" s="35" t="inlineStr">
        <is>
          <t>M</t>
        </is>
      </c>
      <c r="AH167" s="35" t="inlineStr">
        <is>
          <t>M</t>
        </is>
      </c>
      <c r="AI167" s="35" t="inlineStr">
        <is>
          <t>M</t>
        </is>
      </c>
      <c r="AJ167" s="35" t="inlineStr">
        <is>
          <t>M</t>
        </is>
      </c>
      <c r="AK167" s="35" t="inlineStr">
        <is>
          <t>M</t>
        </is>
      </c>
      <c r="AL167" s="35" t="inlineStr">
        <is>
          <t>M</t>
        </is>
      </c>
      <c r="AM167" s="36" t="n">
        <v>0.583</v>
      </c>
      <c r="AN167" s="37" t="n">
        <v>0.16</v>
      </c>
      <c r="AO167" s="37" t="n">
        <v>0.09</v>
      </c>
      <c r="AP167" s="37" t="n">
        <v>0</v>
      </c>
      <c r="AQ167" s="37" t="n">
        <v>0.063</v>
      </c>
      <c r="AR167" s="37" t="n">
        <v>0.06</v>
      </c>
      <c r="AS167" s="37" t="n">
        <v>0.04</v>
      </c>
      <c r="AT167" s="38" t="inlineStr">
        <is>
          <t>2–5</t>
        </is>
      </c>
      <c r="AU167" s="38" t="inlineStr">
        <is>
          <t>Graduate; relevant certification preferred</t>
        </is>
      </c>
      <c r="AV167" s="38" t="inlineStr">
        <is>
          <t>None · guides 1–3 juniors informally</t>
        </is>
      </c>
      <c r="AW167" s="38" t="inlineStr">
        <is>
          <t>P2 · SFIA 3 Apply</t>
        </is>
      </c>
      <c r="AX1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7" s="39" t="inlineStr">
        <is>
          <t>A3</t>
        </is>
      </c>
      <c r="AZ167" s="40" t="inlineStr">
        <is>
          <t>Band A · Practitioner · Senior Associate</t>
        </is>
      </c>
      <c r="BA167" s="40" t="inlineStr">
        <is>
          <t>Model A3 from the six ratings, the market-derived weights and rules R1–R13 · then No change · already below the manager</t>
        </is>
      </c>
      <c r="BB167" s="41" t="inlineStr">
        <is>
          <t>A3</t>
        </is>
      </c>
      <c r="BC167" s="40" t="inlineStr">
        <is>
          <t>The six ratings on the market-average weights of Band A · all tracks score 3.37 → A3 · Hay, Mercer IPE and public plans · experience 3.9 yrs vs the A3 market range 2–5</t>
        </is>
      </c>
      <c r="BD167" s="42">
        <f>IF(SUM(BM167,BN167,BO167,BP167,BQ167,BR167,BS167)=0,0,(BM167*BT167+BN167*BU167+BO167*BV167+BP167*BW167+BQ167*BX167+BR167*BY167+BS167*BZ167)/SUM(BM167,BN167,BO167,BP167,BQ167,BR167,BS167))</f>
        <v>0</v>
      </c>
      <c r="BE167" s="41" t="str">
        <f>IF(LEFT(AY167,1)="X",AY167,IF(OR(AY167="B+",AY167="C+"),INDEX(LAD_PC,MAX(1,MIN(14,MATCH(AY167,LAD_PC,0)+IF(BD167&gt;=0.5,1,IF(BD167&lt;=-0.5,-1,0))))),INDEX(LAD_STD,MAX(1,MIN(12,MATCH(AY167,LAD_STD,0)+IF(BD167&gt;=0.5,1,IF(BD167&lt;=-0.5,-1,0)))))))</f>
        <v>A3</v>
      </c>
      <c r="BF167" s="43" t="n"/>
      <c r="BG167" s="41" t="str">
        <f>IF(BF167&lt;&gt;"",BF167,BE167)</f>
        <v>A3</v>
      </c>
      <c r="BH167" s="40" t="str">
        <f>IFERROR(CHOOSE(INDEX(B_RANK,MATCH(BG167,B_LVL,0)),"Band A","Band B","B+ · Player-Coach","Band C","C+ · Player-Coach","Band D","Band E"),"Band X · Consultant")</f>
        <v>Band A</v>
      </c>
      <c r="BI167" s="40" t="str">
        <f>IF(BG167=AY167,"• Same",IF(INDEX(B_VAL,MATCH(BG167,B_LVL,0))&gt;INDEX(B_VAL,MATCH(AY167,B_LVL,0)),"▲ Up","▼ Down"))</f>
        <v>• Same</v>
      </c>
      <c r="BJ167" s="40" t="str">
        <f>IF(OR($M167="",$M167="—",$M167="Not in this file"),"",IFERROR(INDEX($BG$7:$BG$592,MATCH($M167,$D$7:$D$592,0)),""))</f>
        <v>B2</v>
      </c>
      <c r="BK167" s="40" t="str">
        <f>IFERROR(IF(BJ167="","—",IF(OR(LEFT(BG167,1)="X",LEFT(BJ167,1)="X"),"—",IF(AND(LEFT(BG167,1)="E",LEFT(BJ167,1)="E"),"Exception · Band E",IF(AND(INDEX(B_VAL,MATCH(BJ167,B_LVL,0))&gt;=7,INDEX(B_RANK,MATCH(BG167,B_LVL,0))&gt;=INDEX(B_RANK,MATCH(BJ167,B_LVL,0))),"⚠ Same band as a head manager",IF(INDEX(B_VAL,MATCH(BG167,B_LVL,0))&gt;=INDEX(B_VAL,MATCH(BJ167,B_LVL,0)),"⚠ At or above the manager's level","OK"))))),"—")</f>
        <v>OK</v>
      </c>
      <c r="BL167" s="43" t="n"/>
      <c r="BM167" s="44">
        <f>IFERROR(INDEX(LMH_PTS,MATCH(Y167,LMH_KEY,0)),0)</f>
        <v>9</v>
      </c>
      <c r="BN167" s="38">
        <f>IFERROR(INDEX(LMH_PTS,MATCH(Z167,LMH_KEY,0)),0)</f>
        <v>3</v>
      </c>
      <c r="BO167" s="38">
        <f>IFERROR(INDEX(LMH_PTS,MATCH(AA167,LMH_KEY,0)),0)</f>
        <v>1</v>
      </c>
      <c r="BP167" s="38">
        <f>IFERROR(INDEX(LMH_PTS,MATCH(AB167,LMH_KEY,0)),0)</f>
        <v>1</v>
      </c>
      <c r="BQ167" s="38">
        <f>IFERROR(INDEX(LMH_PTS,MATCH(AC167,LMH_KEY,0)),0)</f>
        <v>3</v>
      </c>
      <c r="BR167" s="38">
        <f>IFERROR(INDEX(LMH_PTS,MATCH(AD167,LMH_KEY,0)),0)</f>
        <v>1</v>
      </c>
      <c r="BS167" s="38">
        <f>IFERROR(INDEX(LMH_PTS,MATCH(AE167,LMH_KEY,0)),0)</f>
        <v>1</v>
      </c>
      <c r="BT167" s="38">
        <f>IFERROR(INDEX(LMH_STEP,MATCH(AF167,LMH_KEY,0)),0)</f>
        <v>0</v>
      </c>
      <c r="BU167" s="38">
        <f>IFERROR(INDEX(LMH_STEP,MATCH(AG167,LMH_KEY,0)),0)</f>
        <v>0</v>
      </c>
      <c r="BV167" s="38">
        <f>IFERROR(INDEX(LMH_STEP,MATCH(AH167,LMH_KEY,0)),0)</f>
        <v>0</v>
      </c>
      <c r="BW167" s="38">
        <f>IFERROR(INDEX(LMH_STEP,MATCH(AI167,LMH_KEY,0)),0)</f>
        <v>0</v>
      </c>
      <c r="BX167" s="38">
        <f>IFERROR(INDEX(LMH_STEP,MATCH(AJ167,LMH_KEY,0)),0)</f>
        <v>0</v>
      </c>
      <c r="BY167" s="38">
        <f>IFERROR(INDEX(LMH_STEP,MATCH(AK167,LMH_KEY,0)),0)</f>
        <v>0</v>
      </c>
      <c r="BZ167" s="38">
        <f>IFERROR(INDEX(LMH_STEP,MATCH(AL167,LMH_KEY,0)),0)</f>
        <v>0</v>
      </c>
      <c r="CA167" s="38" t="inlineStr">
        <is>
          <t>CARBON|Technology|Senior Product Designer|A3|A</t>
        </is>
      </c>
    </row>
    <row r="168" ht="110" customHeight="1">
      <c r="A168" s="28" t="inlineStr">
        <is>
          <t>CARBON</t>
        </is>
      </c>
      <c r="B168" s="29" t="inlineStr">
        <is>
          <t>Marketing</t>
        </is>
      </c>
      <c r="C168" s="29" t="n">
        <v>3</v>
      </c>
      <c r="D168" s="29" t="inlineStr">
        <is>
          <t>IRIS2553</t>
        </is>
      </c>
      <c r="E168" s="29" t="inlineStr">
        <is>
          <t>Prashant Sharad Jadhav</t>
        </is>
      </c>
      <c r="F168" s="29" t="inlineStr">
        <is>
          <t>SDR Manager</t>
        </is>
      </c>
      <c r="G168" s="29" t="inlineStr">
        <is>
          <t>Senior Account Executive – POD Lead</t>
        </is>
      </c>
      <c r="H168" s="29" t="inlineStr">
        <is>
          <t>Sales &amp; Business Development</t>
        </is>
      </c>
      <c r="I168" s="29" t="inlineStr">
        <is>
          <t>Sales Development &amp; Prospecting</t>
        </is>
      </c>
      <c r="J168" s="29" t="inlineStr">
        <is>
          <t>POD Lead</t>
        </is>
      </c>
      <c r="K168" s="29" t="inlineStr">
        <is>
          <t>RC-167</t>
        </is>
      </c>
      <c r="L168" s="29" t="inlineStr">
        <is>
          <t>Anuradha RK</t>
        </is>
      </c>
      <c r="M168" s="29" t="inlineStr">
        <is>
          <t>IRIS0391</t>
        </is>
      </c>
      <c r="N168" s="29" t="n">
        <v>16</v>
      </c>
      <c r="O168" s="29" t="n">
        <v>0.1</v>
      </c>
      <c r="P168" s="29" t="inlineStr">
        <is>
          <t>MBA</t>
        </is>
      </c>
      <c r="Q168" s="29" t="inlineStr">
        <is>
          <t>Not in current mapping files</t>
        </is>
      </c>
      <c r="R168" s="29" t="inlineStr">
        <is>
          <t>B2</t>
        </is>
      </c>
      <c r="S168" s="30" t="inlineStr">
        <is>
          <t>20 of 20</t>
        </is>
      </c>
      <c r="T168" s="31"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t>
        </is>
      </c>
      <c r="U168" s="32" t="inlineStr">
        <is>
          <t>KRAs not received · manager to supply</t>
        </is>
      </c>
      <c r="V168" s="31" t="inlineStr">
        <is>
          <t>Latest rating: Not rated · manager · 9-box: Not placed · manager · Readiness: No rating data</t>
        </is>
      </c>
      <c r="W168" s="31" t="inlineStr">
        <is>
          <t>C M · Au M · Ac L · L L · BI L · Exp H · 16 yrs vs 6–9 yrs · Edu H · MBA</t>
        </is>
      </c>
      <c r="X168" s="33" t="inlineStr">
        <is>
          <t>Open ▸</t>
        </is>
      </c>
      <c r="Y168" s="34" t="str">
        <f>IFERROR(INDEX(DL_C,MATCH($CA168,DL_KEY,0)),"M")</f>
        <v>H</v>
      </c>
      <c r="Z168" s="35" t="str">
        <f>IFERROR(INDEX(DL_Au,MATCH($CA168,DL_KEY,0)),"M")</f>
        <v>M</v>
      </c>
      <c r="AA168" s="35" t="str">
        <f>IFERROR(INDEX(DL_Ac,MATCH($CA168,DL_KEY,0)),"M")</f>
        <v>L</v>
      </c>
      <c r="AB168" s="35" t="str">
        <f>IFERROR(INDEX(DL_L,MATCH($CA168,DL_KEY,0)),"M")</f>
        <v>L</v>
      </c>
      <c r="AC168" s="35" t="str">
        <f>IFERROR(INDEX(DL_BI,MATCH($CA168,DL_KEY,0)),"M")</f>
        <v>M</v>
      </c>
      <c r="AD168" s="35" t="str">
        <f>IFERROR(INDEX(DL_Exp,MATCH($CA168,DL_KEY,0)),"M")</f>
        <v>L</v>
      </c>
      <c r="AE168" s="35" t="str">
        <f>IFERROR(INDEX(DL_Edu,MATCH($CA168,DL_KEY,0)),"M")</f>
        <v>L</v>
      </c>
      <c r="AF168" s="34" t="inlineStr">
        <is>
          <t>M</t>
        </is>
      </c>
      <c r="AG168" s="35" t="inlineStr">
        <is>
          <t>M</t>
        </is>
      </c>
      <c r="AH168" s="35" t="inlineStr">
        <is>
          <t>M</t>
        </is>
      </c>
      <c r="AI168" s="35" t="inlineStr">
        <is>
          <t>M</t>
        </is>
      </c>
      <c r="AJ168" s="35" t="inlineStr">
        <is>
          <t>M</t>
        </is>
      </c>
      <c r="AK168" s="35" t="inlineStr">
        <is>
          <t>M</t>
        </is>
      </c>
      <c r="AL168" s="35" t="inlineStr">
        <is>
          <t>M</t>
        </is>
      </c>
      <c r="AM168" s="36" t="n">
        <v>0.513</v>
      </c>
      <c r="AN168" s="37" t="n">
        <v>0.173</v>
      </c>
      <c r="AO168" s="37" t="n">
        <v>0.09699999999999999</v>
      </c>
      <c r="AP168" s="37" t="n">
        <v>0.05</v>
      </c>
      <c r="AQ168" s="37" t="n">
        <v>0.07000000000000001</v>
      </c>
      <c r="AR168" s="37" t="n">
        <v>0.06</v>
      </c>
      <c r="AS168" s="37" t="n">
        <v>0.04</v>
      </c>
      <c r="AT168" s="38" t="inlineStr">
        <is>
          <t>6–10</t>
        </is>
      </c>
      <c r="AU168" s="38" t="inlineStr">
        <is>
          <t>Graduate or postgraduate; professional qualification preferred</t>
        </is>
      </c>
      <c r="AV168" s="38" t="inlineStr">
        <is>
          <t>IC: none · People: 6–8 knowledge work, 8–12 standardised delivery</t>
        </is>
      </c>
      <c r="AW168" s="38" t="inlineStr">
        <is>
          <t>P4 / M3 · SFIA 4–5</t>
        </is>
      </c>
      <c r="AX1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8" s="39" t="inlineStr">
        <is>
          <t>B2</t>
        </is>
      </c>
      <c r="AZ168" s="40" t="inlineStr">
        <is>
          <t>Band B · Specialist / Manager · Manager</t>
        </is>
      </c>
      <c r="BA168" s="40" t="inlineStr">
        <is>
          <t>Model B2 from the six ratings, the market-derived weights and rules R1–R13 · then No change · already below the manager</t>
        </is>
      </c>
      <c r="BB168" s="41" t="inlineStr">
        <is>
          <t>B2</t>
        </is>
      </c>
      <c r="BC168" s="40" t="inlineStr">
        <is>
          <t>The six ratings on the market-average weights of Band B · Specialist / POD Lead score 4.93 → B2 · Hay, Mercer IPE and public plans · experience 16 yrs vs the B2 market range 6–10</t>
        </is>
      </c>
      <c r="BD168" s="42">
        <f>IF(SUM(BM168,BN168,BO168,BP168,BQ168,BR168,BS168)=0,0,(BM168*BT168+BN168*BU168+BO168*BV168+BP168*BW168+BQ168*BX168+BR168*BY168+BS168*BZ168)/SUM(BM168,BN168,BO168,BP168,BQ168,BR168,BS168))</f>
        <v>0</v>
      </c>
      <c r="BE168" s="41" t="str">
        <f>IF(LEFT(AY168,1)="X",AY168,IF(OR(AY168="B+",AY168="C+"),INDEX(LAD_PC,MAX(1,MIN(14,MATCH(AY168,LAD_PC,0)+IF(BD168&gt;=0.5,1,IF(BD168&lt;=-0.5,-1,0))))),INDEX(LAD_STD,MAX(1,MIN(12,MATCH(AY168,LAD_STD,0)+IF(BD168&gt;=0.5,1,IF(BD168&lt;=-0.5,-1,0)))))))</f>
        <v>B2</v>
      </c>
      <c r="BF168" s="43" t="n"/>
      <c r="BG168" s="41" t="str">
        <f>IF(BF168&lt;&gt;"",BF168,BE168)</f>
        <v>B2</v>
      </c>
      <c r="BH168" s="40" t="str">
        <f>IFERROR(CHOOSE(INDEX(B_RANK,MATCH(BG168,B_LVL,0)),"Band A","Band B","B+ · Player-Coach","Band C","C+ · Player-Coach","Band D","Band E"),"Band X · Consultant")</f>
        <v>Band B</v>
      </c>
      <c r="BI168" s="40" t="str">
        <f>IF(BG168=AY168,"• Same",IF(INDEX(B_VAL,MATCH(BG168,B_LVL,0))&gt;INDEX(B_VAL,MATCH(AY168,B_LVL,0)),"▲ Up","▼ Down"))</f>
        <v>• Same</v>
      </c>
      <c r="BJ168" s="40" t="str">
        <f>IF(OR($M168="",$M168="—",$M168="Not in this file"),"",IFERROR(INDEX($BG$7:$BG$592,MATCH($M168,$D$7:$D$592,0)),""))</f>
        <v>D2</v>
      </c>
      <c r="BK168" s="40" t="str">
        <f>IFERROR(IF(BJ168="","—",IF(OR(LEFT(BG168,1)="X",LEFT(BJ168,1)="X"),"—",IF(AND(LEFT(BG168,1)="E",LEFT(BJ168,1)="E"),"Exception · Band E",IF(AND(INDEX(B_VAL,MATCH(BJ168,B_LVL,0))&gt;=7,INDEX(B_RANK,MATCH(BG168,B_LVL,0))&gt;=INDEX(B_RANK,MATCH(BJ168,B_LVL,0))),"⚠ Same band as a head manager",IF(INDEX(B_VAL,MATCH(BG168,B_LVL,0))&gt;=INDEX(B_VAL,MATCH(BJ168,B_LVL,0)),"⚠ At or above the manager's level","OK"))))),"—")</f>
        <v>OK</v>
      </c>
      <c r="BL168" s="43" t="n"/>
      <c r="BM168" s="44">
        <f>IFERROR(INDEX(LMH_PTS,MATCH(Y168,LMH_KEY,0)),0)</f>
        <v>9</v>
      </c>
      <c r="BN168" s="38">
        <f>IFERROR(INDEX(LMH_PTS,MATCH(Z168,LMH_KEY,0)),0)</f>
        <v>3</v>
      </c>
      <c r="BO168" s="38">
        <f>IFERROR(INDEX(LMH_PTS,MATCH(AA168,LMH_KEY,0)),0)</f>
        <v>1</v>
      </c>
      <c r="BP168" s="38">
        <f>IFERROR(INDEX(LMH_PTS,MATCH(AB168,LMH_KEY,0)),0)</f>
        <v>1</v>
      </c>
      <c r="BQ168" s="38">
        <f>IFERROR(INDEX(LMH_PTS,MATCH(AC168,LMH_KEY,0)),0)</f>
        <v>3</v>
      </c>
      <c r="BR168" s="38">
        <f>IFERROR(INDEX(LMH_PTS,MATCH(AD168,LMH_KEY,0)),0)</f>
        <v>1</v>
      </c>
      <c r="BS168" s="38">
        <f>IFERROR(INDEX(LMH_PTS,MATCH(AE168,LMH_KEY,0)),0)</f>
        <v>1</v>
      </c>
      <c r="BT168" s="38">
        <f>IFERROR(INDEX(LMH_STEP,MATCH(AF168,LMH_KEY,0)),0)</f>
        <v>0</v>
      </c>
      <c r="BU168" s="38">
        <f>IFERROR(INDEX(LMH_STEP,MATCH(AG168,LMH_KEY,0)),0)</f>
        <v>0</v>
      </c>
      <c r="BV168" s="38">
        <f>IFERROR(INDEX(LMH_STEP,MATCH(AH168,LMH_KEY,0)),0)</f>
        <v>0</v>
      </c>
      <c r="BW168" s="38">
        <f>IFERROR(INDEX(LMH_STEP,MATCH(AI168,LMH_KEY,0)),0)</f>
        <v>0</v>
      </c>
      <c r="BX168" s="38">
        <f>IFERROR(INDEX(LMH_STEP,MATCH(AJ168,LMH_KEY,0)),0)</f>
        <v>0</v>
      </c>
      <c r="BY168" s="38">
        <f>IFERROR(INDEX(LMH_STEP,MATCH(AK168,LMH_KEY,0)),0)</f>
        <v>0</v>
      </c>
      <c r="BZ168" s="38">
        <f>IFERROR(INDEX(LMH_STEP,MATCH(AL168,LMH_KEY,0)),0)</f>
        <v>0</v>
      </c>
      <c r="CA168" s="38" t="inlineStr">
        <is>
          <t>CARBON|Marketing|Senior Account Executive – POD Lead|B2|B-IC</t>
        </is>
      </c>
    </row>
    <row r="169" ht="110" customHeight="1">
      <c r="A169" s="28" t="inlineStr">
        <is>
          <t>CARBON</t>
        </is>
      </c>
      <c r="B169" s="29" t="inlineStr">
        <is>
          <t>Marketing</t>
        </is>
      </c>
      <c r="C169" s="29" t="n">
        <v>4</v>
      </c>
      <c r="D169" s="29" t="inlineStr">
        <is>
          <t>IRIS2412</t>
        </is>
      </c>
      <c r="E169" s="29" t="inlineStr">
        <is>
          <t>Anand Chiluka</t>
        </is>
      </c>
      <c r="F169" s="29" t="inlineStr">
        <is>
          <t>Team Lead SDR</t>
        </is>
      </c>
      <c r="G169" s="29" t="inlineStr">
        <is>
          <t>Account Executive</t>
        </is>
      </c>
      <c r="H169" s="29" t="inlineStr">
        <is>
          <t>Sales &amp; Business Development</t>
        </is>
      </c>
      <c r="I169" s="29" t="inlineStr">
        <is>
          <t>Sales Development &amp; Prospecting</t>
        </is>
      </c>
      <c r="J169" s="29" t="inlineStr">
        <is>
          <t>IC</t>
        </is>
      </c>
      <c r="K169" s="29" t="inlineStr">
        <is>
          <t>RC-165</t>
        </is>
      </c>
      <c r="L169" s="29" t="inlineStr">
        <is>
          <t>Prashant Sharad Jadhav</t>
        </is>
      </c>
      <c r="M169" s="29" t="inlineStr">
        <is>
          <t>IRIS2553</t>
        </is>
      </c>
      <c r="N169" s="29" t="n">
        <v>11.1</v>
      </c>
      <c r="O169" s="29" t="n">
        <v>1.1</v>
      </c>
      <c r="P169" s="29" t="inlineStr">
        <is>
          <t>B.E</t>
        </is>
      </c>
      <c r="Q169" s="29" t="inlineStr">
        <is>
          <t>L5 – Lead · IC</t>
        </is>
      </c>
      <c r="R169" s="29" t="inlineStr">
        <is>
          <t>B1</t>
        </is>
      </c>
      <c r="S169" s="30" t="inlineStr">
        <is>
          <t>20 of 20</t>
        </is>
      </c>
      <c r="T169" s="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t>
        </is>
      </c>
      <c r="U169" s="32" t="inlineStr">
        <is>
          <t>KRAs not received · manager to supply</t>
        </is>
      </c>
      <c r="V169" s="31" t="inlineStr">
        <is>
          <t>Latest rating: Not rated · manager · 9-box: Not placed · manager · Readiness: No rating data</t>
        </is>
      </c>
      <c r="W169" s="31" t="inlineStr">
        <is>
          <t>C M · Au M · Ac M · L L · BI M · Exp H · 11.1 yrs vs 4–7 yrs · Edu M · B.E</t>
        </is>
      </c>
      <c r="X169" s="33" t="inlineStr">
        <is>
          <t>Open ▸</t>
        </is>
      </c>
      <c r="Y169" s="34" t="str">
        <f>IFERROR(INDEX(DL_C,MATCH($CA169,DL_KEY,0)),"M")</f>
        <v>H</v>
      </c>
      <c r="Z169" s="35" t="str">
        <f>IFERROR(INDEX(DL_Au,MATCH($CA169,DL_KEY,0)),"M")</f>
        <v>M</v>
      </c>
      <c r="AA169" s="35" t="str">
        <f>IFERROR(INDEX(DL_Ac,MATCH($CA169,DL_KEY,0)),"M")</f>
        <v>L</v>
      </c>
      <c r="AB169" s="35" t="str">
        <f>IFERROR(INDEX(DL_L,MATCH($CA169,DL_KEY,0)),"M")</f>
        <v>L</v>
      </c>
      <c r="AC169" s="35" t="str">
        <f>IFERROR(INDEX(DL_BI,MATCH($CA169,DL_KEY,0)),"M")</f>
        <v>M</v>
      </c>
      <c r="AD169" s="35" t="str">
        <f>IFERROR(INDEX(DL_Exp,MATCH($CA169,DL_KEY,0)),"M")</f>
        <v>L</v>
      </c>
      <c r="AE169" s="35" t="str">
        <f>IFERROR(INDEX(DL_Edu,MATCH($CA169,DL_KEY,0)),"M")</f>
        <v>L</v>
      </c>
      <c r="AF169" s="34" t="inlineStr">
        <is>
          <t>M</t>
        </is>
      </c>
      <c r="AG169" s="35" t="inlineStr">
        <is>
          <t>M</t>
        </is>
      </c>
      <c r="AH169" s="35" t="inlineStr">
        <is>
          <t>M</t>
        </is>
      </c>
      <c r="AI169" s="35" t="inlineStr">
        <is>
          <t>M</t>
        </is>
      </c>
      <c r="AJ169" s="35" t="inlineStr">
        <is>
          <t>M</t>
        </is>
      </c>
      <c r="AK169" s="35" t="inlineStr">
        <is>
          <t>M</t>
        </is>
      </c>
      <c r="AL169" s="35" t="inlineStr">
        <is>
          <t>M</t>
        </is>
      </c>
      <c r="AM169" s="36" t="n">
        <v>0.513</v>
      </c>
      <c r="AN169" s="37" t="n">
        <v>0.173</v>
      </c>
      <c r="AO169" s="37" t="n">
        <v>0.09699999999999999</v>
      </c>
      <c r="AP169" s="37" t="n">
        <v>0.05</v>
      </c>
      <c r="AQ169" s="37" t="n">
        <v>0.07000000000000001</v>
      </c>
      <c r="AR169" s="37" t="n">
        <v>0.06</v>
      </c>
      <c r="AS169" s="37" t="n">
        <v>0.04</v>
      </c>
      <c r="AT169" s="38" t="inlineStr">
        <is>
          <t>4–8</t>
        </is>
      </c>
      <c r="AU169" s="38" t="inlineStr">
        <is>
          <t>Graduate + relevant qualification or certification preferred</t>
        </is>
      </c>
      <c r="AV169" s="38" t="inlineStr">
        <is>
          <t>IC: none · Team Lead: 3–5</t>
        </is>
      </c>
      <c r="AW169" s="38" t="inlineStr">
        <is>
          <t>P3 / M2 · SFIA 4 Enable</t>
        </is>
      </c>
      <c r="AX1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9" s="39" t="inlineStr">
        <is>
          <t>B1</t>
        </is>
      </c>
      <c r="AZ169" s="40" t="inlineStr">
        <is>
          <t>Band B · Specialist / Manager · Specialist</t>
        </is>
      </c>
      <c r="BA169" s="40" t="inlineStr">
        <is>
          <t>Model B1 from the six ratings, the market-derived weights and rules R1–R13 · then No change · already below the manager</t>
        </is>
      </c>
      <c r="BB169" s="41" t="inlineStr">
        <is>
          <t>B1</t>
        </is>
      </c>
      <c r="BC169" s="40" t="inlineStr">
        <is>
          <t>The six ratings on the market-average weights of Band B · Specialist / POD Lead score 3.75 → B1 · Hay, Mercer IPE and public plans · experience 11.1 yrs vs the B1 market range 4–8</t>
        </is>
      </c>
      <c r="BD169" s="42">
        <f>IF(SUM(BM169,BN169,BO169,BP169,BQ169,BR169,BS169)=0,0,(BM169*BT169+BN169*BU169+BO169*BV169+BP169*BW169+BQ169*BX169+BR169*BY169+BS169*BZ169)/SUM(BM169,BN169,BO169,BP169,BQ169,BR169,BS169))</f>
        <v>0</v>
      </c>
      <c r="BE169" s="41" t="str">
        <f>IF(LEFT(AY169,1)="X",AY169,IF(OR(AY169="B+",AY169="C+"),INDEX(LAD_PC,MAX(1,MIN(14,MATCH(AY169,LAD_PC,0)+IF(BD169&gt;=0.5,1,IF(BD169&lt;=-0.5,-1,0))))),INDEX(LAD_STD,MAX(1,MIN(12,MATCH(AY169,LAD_STD,0)+IF(BD169&gt;=0.5,1,IF(BD169&lt;=-0.5,-1,0)))))))</f>
        <v>B1</v>
      </c>
      <c r="BF169" s="43" t="n"/>
      <c r="BG169" s="41" t="str">
        <f>IF(BF169&lt;&gt;"",BF169,BE169)</f>
        <v>B1</v>
      </c>
      <c r="BH169" s="40" t="str">
        <f>IFERROR(CHOOSE(INDEX(B_RANK,MATCH(BG169,B_LVL,0)),"Band A","Band B","B+ · Player-Coach","Band C","C+ · Player-Coach","Band D","Band E"),"Band X · Consultant")</f>
        <v>Band B</v>
      </c>
      <c r="BI169" s="40" t="str">
        <f>IF(BG169=AY169,"• Same",IF(INDEX(B_VAL,MATCH(BG169,B_LVL,0))&gt;INDEX(B_VAL,MATCH(AY169,B_LVL,0)),"▲ Up","▼ Down"))</f>
        <v>• Same</v>
      </c>
      <c r="BJ169" s="40" t="str">
        <f>IF(OR($M169="",$M169="—",$M169="Not in this file"),"",IFERROR(INDEX($BG$7:$BG$592,MATCH($M169,$D$7:$D$592,0)),""))</f>
        <v>B2</v>
      </c>
      <c r="BK169" s="40" t="str">
        <f>IFERROR(IF(BJ169="","—",IF(OR(LEFT(BG169,1)="X",LEFT(BJ169,1)="X"),"—",IF(AND(LEFT(BG169,1)="E",LEFT(BJ169,1)="E"),"Exception · Band E",IF(AND(INDEX(B_VAL,MATCH(BJ169,B_LVL,0))&gt;=7,INDEX(B_RANK,MATCH(BG169,B_LVL,0))&gt;=INDEX(B_RANK,MATCH(BJ169,B_LVL,0))),"⚠ Same band as a head manager",IF(INDEX(B_VAL,MATCH(BG169,B_LVL,0))&gt;=INDEX(B_VAL,MATCH(BJ169,B_LVL,0)),"⚠ At or above the manager's level","OK"))))),"—")</f>
        <v>OK</v>
      </c>
      <c r="BL169" s="43" t="n"/>
      <c r="BM169" s="44">
        <f>IFERROR(INDEX(LMH_PTS,MATCH(Y169,LMH_KEY,0)),0)</f>
        <v>9</v>
      </c>
      <c r="BN169" s="38">
        <f>IFERROR(INDEX(LMH_PTS,MATCH(Z169,LMH_KEY,0)),0)</f>
        <v>3</v>
      </c>
      <c r="BO169" s="38">
        <f>IFERROR(INDEX(LMH_PTS,MATCH(AA169,LMH_KEY,0)),0)</f>
        <v>1</v>
      </c>
      <c r="BP169" s="38">
        <f>IFERROR(INDEX(LMH_PTS,MATCH(AB169,LMH_KEY,0)),0)</f>
        <v>1</v>
      </c>
      <c r="BQ169" s="38">
        <f>IFERROR(INDEX(LMH_PTS,MATCH(AC169,LMH_KEY,0)),0)</f>
        <v>3</v>
      </c>
      <c r="BR169" s="38">
        <f>IFERROR(INDEX(LMH_PTS,MATCH(AD169,LMH_KEY,0)),0)</f>
        <v>1</v>
      </c>
      <c r="BS169" s="38">
        <f>IFERROR(INDEX(LMH_PTS,MATCH(AE169,LMH_KEY,0)),0)</f>
        <v>1</v>
      </c>
      <c r="BT169" s="38">
        <f>IFERROR(INDEX(LMH_STEP,MATCH(AF169,LMH_KEY,0)),0)</f>
        <v>0</v>
      </c>
      <c r="BU169" s="38">
        <f>IFERROR(INDEX(LMH_STEP,MATCH(AG169,LMH_KEY,0)),0)</f>
        <v>0</v>
      </c>
      <c r="BV169" s="38">
        <f>IFERROR(INDEX(LMH_STEP,MATCH(AH169,LMH_KEY,0)),0)</f>
        <v>0</v>
      </c>
      <c r="BW169" s="38">
        <f>IFERROR(INDEX(LMH_STEP,MATCH(AI169,LMH_KEY,0)),0)</f>
        <v>0</v>
      </c>
      <c r="BX169" s="38">
        <f>IFERROR(INDEX(LMH_STEP,MATCH(AJ169,LMH_KEY,0)),0)</f>
        <v>0</v>
      </c>
      <c r="BY169" s="38">
        <f>IFERROR(INDEX(LMH_STEP,MATCH(AK169,LMH_KEY,0)),0)</f>
        <v>0</v>
      </c>
      <c r="BZ169" s="38">
        <f>IFERROR(INDEX(LMH_STEP,MATCH(AL169,LMH_KEY,0)),0)</f>
        <v>0</v>
      </c>
      <c r="CA169" s="38" t="inlineStr">
        <is>
          <t>CARBON|Marketing|Account Executive|B1|B-IC</t>
        </is>
      </c>
    </row>
    <row r="170" ht="110" customHeight="1">
      <c r="A170" s="28" t="inlineStr">
        <is>
          <t>CARBON</t>
        </is>
      </c>
      <c r="B170" s="29" t="inlineStr">
        <is>
          <t>Marketing</t>
        </is>
      </c>
      <c r="C170" s="29" t="n">
        <v>4</v>
      </c>
      <c r="D170" s="29" t="inlineStr">
        <is>
          <t>IRIS2554</t>
        </is>
      </c>
      <c r="E170" s="29" t="inlineStr">
        <is>
          <t>Mausam Thakkar</t>
        </is>
      </c>
      <c r="F170" s="29" t="inlineStr">
        <is>
          <t>Senior Sales Development Representative</t>
        </is>
      </c>
      <c r="G170" s="29" t="inlineStr">
        <is>
          <t>Senior Sales Development Representative</t>
        </is>
      </c>
      <c r="H170" s="29" t="inlineStr">
        <is>
          <t>Sales &amp; Business Development</t>
        </is>
      </c>
      <c r="I170" s="29" t="inlineStr">
        <is>
          <t>Sales Development &amp; Prospecting</t>
        </is>
      </c>
      <c r="J170" s="29" t="inlineStr">
        <is>
          <t>IC</t>
        </is>
      </c>
      <c r="K170" s="29" t="inlineStr">
        <is>
          <t>RC-164</t>
        </is>
      </c>
      <c r="L170" s="29" t="inlineStr">
        <is>
          <t>Prashant Sharad Jadhav</t>
        </is>
      </c>
      <c r="M170" s="29" t="inlineStr">
        <is>
          <t>IRIS2553</t>
        </is>
      </c>
      <c r="N170" s="29" t="n">
        <v>4.9</v>
      </c>
      <c r="O170" s="29" t="n">
        <v>0.1</v>
      </c>
      <c r="P170" s="29" t="inlineStr">
        <is>
          <t>MBA</t>
        </is>
      </c>
      <c r="Q170" s="29" t="inlineStr">
        <is>
          <t>Not in current mapping files</t>
        </is>
      </c>
      <c r="R170" s="29" t="inlineStr">
        <is>
          <t>A3</t>
        </is>
      </c>
      <c r="S170" s="30" t="inlineStr">
        <is>
          <t>20 of 20</t>
        </is>
      </c>
      <c r="T170" s="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t>
        </is>
      </c>
      <c r="U170" s="32" t="inlineStr">
        <is>
          <t>KRAs not received · manager to supply</t>
        </is>
      </c>
      <c r="V170" s="31" t="inlineStr">
        <is>
          <t>Latest rating: Not rated · manager · 9-box: Not placed · manager · Readiness: No rating data</t>
        </is>
      </c>
      <c r="W170" s="31" t="inlineStr">
        <is>
          <t>C M · Au M · Ac M · L L · BI M · Exp H · 4.9 yrs vs 2–4 yrs · Edu H · MBA</t>
        </is>
      </c>
      <c r="X170" s="33" t="inlineStr">
        <is>
          <t>Open ▸</t>
        </is>
      </c>
      <c r="Y170" s="34" t="str">
        <f>IFERROR(INDEX(DL_C,MATCH($CA170,DL_KEY,0)),"M")</f>
        <v>H</v>
      </c>
      <c r="Z170" s="35" t="str">
        <f>IFERROR(INDEX(DL_Au,MATCH($CA170,DL_KEY,0)),"M")</f>
        <v>M</v>
      </c>
      <c r="AA170" s="35" t="str">
        <f>IFERROR(INDEX(DL_Ac,MATCH($CA170,DL_KEY,0)),"M")</f>
        <v>L</v>
      </c>
      <c r="AB170" s="35" t="str">
        <f>IFERROR(INDEX(DL_L,MATCH($CA170,DL_KEY,0)),"M")</f>
        <v>L</v>
      </c>
      <c r="AC170" s="35" t="str">
        <f>IFERROR(INDEX(DL_BI,MATCH($CA170,DL_KEY,0)),"M")</f>
        <v>M</v>
      </c>
      <c r="AD170" s="35" t="str">
        <f>IFERROR(INDEX(DL_Exp,MATCH($CA170,DL_KEY,0)),"M")</f>
        <v>L</v>
      </c>
      <c r="AE170" s="35" t="str">
        <f>IFERROR(INDEX(DL_Edu,MATCH($CA170,DL_KEY,0)),"M")</f>
        <v>L</v>
      </c>
      <c r="AF170" s="34" t="inlineStr">
        <is>
          <t>M</t>
        </is>
      </c>
      <c r="AG170" s="35" t="inlineStr">
        <is>
          <t>M</t>
        </is>
      </c>
      <c r="AH170" s="35" t="inlineStr">
        <is>
          <t>M</t>
        </is>
      </c>
      <c r="AI170" s="35" t="inlineStr">
        <is>
          <t>M</t>
        </is>
      </c>
      <c r="AJ170" s="35" t="inlineStr">
        <is>
          <t>M</t>
        </is>
      </c>
      <c r="AK170" s="35" t="inlineStr">
        <is>
          <t>M</t>
        </is>
      </c>
      <c r="AL170" s="35" t="inlineStr">
        <is>
          <t>M</t>
        </is>
      </c>
      <c r="AM170" s="36" t="n">
        <v>0.583</v>
      </c>
      <c r="AN170" s="37" t="n">
        <v>0.16</v>
      </c>
      <c r="AO170" s="37" t="n">
        <v>0.09</v>
      </c>
      <c r="AP170" s="37" t="n">
        <v>0</v>
      </c>
      <c r="AQ170" s="37" t="n">
        <v>0.063</v>
      </c>
      <c r="AR170" s="37" t="n">
        <v>0.06</v>
      </c>
      <c r="AS170" s="37" t="n">
        <v>0.04</v>
      </c>
      <c r="AT170" s="38" t="inlineStr">
        <is>
          <t>2–5</t>
        </is>
      </c>
      <c r="AU170" s="38" t="inlineStr">
        <is>
          <t>Graduate; relevant certification preferred</t>
        </is>
      </c>
      <c r="AV170" s="38" t="inlineStr">
        <is>
          <t>None · guides 1–3 juniors informally</t>
        </is>
      </c>
      <c r="AW170" s="38" t="inlineStr">
        <is>
          <t>P2 · SFIA 3 Apply</t>
        </is>
      </c>
      <c r="AX1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0" s="39" t="inlineStr">
        <is>
          <t>A3</t>
        </is>
      </c>
      <c r="AZ170" s="40" t="inlineStr">
        <is>
          <t>Band A · Practitioner · Senior Associate</t>
        </is>
      </c>
      <c r="BA170" s="40" t="inlineStr">
        <is>
          <t>Model A3 from the six ratings, the market-derived weights and rules R1–R13 · then No change · already below the manager</t>
        </is>
      </c>
      <c r="BB170" s="41" t="inlineStr">
        <is>
          <t>A3</t>
        </is>
      </c>
      <c r="BC170" s="40" t="inlineStr">
        <is>
          <t>The six ratings on the market-average weights of Band A · all tracks score 2.99 → A3 · Hay, Mercer IPE and public plans · experience 4.9 yrs vs the A3 market range 2–5</t>
        </is>
      </c>
      <c r="BD170" s="42">
        <f>IF(SUM(BM170,BN170,BO170,BP170,BQ170,BR170,BS170)=0,0,(BM170*BT170+BN170*BU170+BO170*BV170+BP170*BW170+BQ170*BX170+BR170*BY170+BS170*BZ170)/SUM(BM170,BN170,BO170,BP170,BQ170,BR170,BS170))</f>
        <v>0</v>
      </c>
      <c r="BE170" s="41" t="str">
        <f>IF(LEFT(AY170,1)="X",AY170,IF(OR(AY170="B+",AY170="C+"),INDEX(LAD_PC,MAX(1,MIN(14,MATCH(AY170,LAD_PC,0)+IF(BD170&gt;=0.5,1,IF(BD170&lt;=-0.5,-1,0))))),INDEX(LAD_STD,MAX(1,MIN(12,MATCH(AY170,LAD_STD,0)+IF(BD170&gt;=0.5,1,IF(BD170&lt;=-0.5,-1,0)))))))</f>
        <v>A3</v>
      </c>
      <c r="BF170" s="43" t="n"/>
      <c r="BG170" s="41" t="str">
        <f>IF(BF170&lt;&gt;"",BF170,BE170)</f>
        <v>A3</v>
      </c>
      <c r="BH170" s="40" t="str">
        <f>IFERROR(CHOOSE(INDEX(B_RANK,MATCH(BG170,B_LVL,0)),"Band A","Band B","B+ · Player-Coach","Band C","C+ · Player-Coach","Band D","Band E"),"Band X · Consultant")</f>
        <v>Band A</v>
      </c>
      <c r="BI170" s="40" t="str">
        <f>IF(BG170=AY170,"• Same",IF(INDEX(B_VAL,MATCH(BG170,B_LVL,0))&gt;INDEX(B_VAL,MATCH(AY170,B_LVL,0)),"▲ Up","▼ Down"))</f>
        <v>• Same</v>
      </c>
      <c r="BJ170" s="40" t="str">
        <f>IF(OR($M170="",$M170="—",$M170="Not in this file"),"",IFERROR(INDEX($BG$7:$BG$592,MATCH($M170,$D$7:$D$592,0)),""))</f>
        <v>B2</v>
      </c>
      <c r="BK170" s="40" t="str">
        <f>IFERROR(IF(BJ170="","—",IF(OR(LEFT(BG170,1)="X",LEFT(BJ170,1)="X"),"—",IF(AND(LEFT(BG170,1)="E",LEFT(BJ170,1)="E"),"Exception · Band E",IF(AND(INDEX(B_VAL,MATCH(BJ170,B_LVL,0))&gt;=7,INDEX(B_RANK,MATCH(BG170,B_LVL,0))&gt;=INDEX(B_RANK,MATCH(BJ170,B_LVL,0))),"⚠ Same band as a head manager",IF(INDEX(B_VAL,MATCH(BG170,B_LVL,0))&gt;=INDEX(B_VAL,MATCH(BJ170,B_LVL,0)),"⚠ At or above the manager's level","OK"))))),"—")</f>
        <v>OK</v>
      </c>
      <c r="BL170" s="43" t="n"/>
      <c r="BM170" s="44">
        <f>IFERROR(INDEX(LMH_PTS,MATCH(Y170,LMH_KEY,0)),0)</f>
        <v>9</v>
      </c>
      <c r="BN170" s="38">
        <f>IFERROR(INDEX(LMH_PTS,MATCH(Z170,LMH_KEY,0)),0)</f>
        <v>3</v>
      </c>
      <c r="BO170" s="38">
        <f>IFERROR(INDEX(LMH_PTS,MATCH(AA170,LMH_KEY,0)),0)</f>
        <v>1</v>
      </c>
      <c r="BP170" s="38">
        <f>IFERROR(INDEX(LMH_PTS,MATCH(AB170,LMH_KEY,0)),0)</f>
        <v>1</v>
      </c>
      <c r="BQ170" s="38">
        <f>IFERROR(INDEX(LMH_PTS,MATCH(AC170,LMH_KEY,0)),0)</f>
        <v>3</v>
      </c>
      <c r="BR170" s="38">
        <f>IFERROR(INDEX(LMH_PTS,MATCH(AD170,LMH_KEY,0)),0)</f>
        <v>1</v>
      </c>
      <c r="BS170" s="38">
        <f>IFERROR(INDEX(LMH_PTS,MATCH(AE170,LMH_KEY,0)),0)</f>
        <v>1</v>
      </c>
      <c r="BT170" s="38">
        <f>IFERROR(INDEX(LMH_STEP,MATCH(AF170,LMH_KEY,0)),0)</f>
        <v>0</v>
      </c>
      <c r="BU170" s="38">
        <f>IFERROR(INDEX(LMH_STEP,MATCH(AG170,LMH_KEY,0)),0)</f>
        <v>0</v>
      </c>
      <c r="BV170" s="38">
        <f>IFERROR(INDEX(LMH_STEP,MATCH(AH170,LMH_KEY,0)),0)</f>
        <v>0</v>
      </c>
      <c r="BW170" s="38">
        <f>IFERROR(INDEX(LMH_STEP,MATCH(AI170,LMH_KEY,0)),0)</f>
        <v>0</v>
      </c>
      <c r="BX170" s="38">
        <f>IFERROR(INDEX(LMH_STEP,MATCH(AJ170,LMH_KEY,0)),0)</f>
        <v>0</v>
      </c>
      <c r="BY170" s="38">
        <f>IFERROR(INDEX(LMH_STEP,MATCH(AK170,LMH_KEY,0)),0)</f>
        <v>0</v>
      </c>
      <c r="BZ170" s="38">
        <f>IFERROR(INDEX(LMH_STEP,MATCH(AL170,LMH_KEY,0)),0)</f>
        <v>0</v>
      </c>
      <c r="CA170" s="38" t="inlineStr">
        <is>
          <t>CARBON|Marketing|Senior Sales Development Representative|A3|A</t>
        </is>
      </c>
    </row>
    <row r="171" ht="110" customHeight="1">
      <c r="A171" s="28" t="inlineStr">
        <is>
          <t>CARBON</t>
        </is>
      </c>
      <c r="B171" s="29" t="inlineStr">
        <is>
          <t>Marketing</t>
        </is>
      </c>
      <c r="C171" s="29" t="n">
        <v>4</v>
      </c>
      <c r="D171" s="29" t="inlineStr">
        <is>
          <t>IRIS2546</t>
        </is>
      </c>
      <c r="E171" s="29" t="inlineStr">
        <is>
          <t>Adithya Nair</t>
        </is>
      </c>
      <c r="F171" s="29" t="inlineStr">
        <is>
          <t>Sales Development Representative</t>
        </is>
      </c>
      <c r="G171" s="29" t="inlineStr">
        <is>
          <t>Sales Development Representative</t>
        </is>
      </c>
      <c r="H171" s="29" t="inlineStr">
        <is>
          <t>Sales &amp; Business Development</t>
        </is>
      </c>
      <c r="I171" s="29" t="inlineStr">
        <is>
          <t>Sales Development &amp; Prospecting</t>
        </is>
      </c>
      <c r="J171" s="29" t="inlineStr">
        <is>
          <t>IC</t>
        </is>
      </c>
      <c r="K171" s="29" t="inlineStr">
        <is>
          <t>RC-163</t>
        </is>
      </c>
      <c r="L171" s="29" t="inlineStr">
        <is>
          <t>Prashant Sharad Jadhav</t>
        </is>
      </c>
      <c r="M171" s="29" t="inlineStr">
        <is>
          <t>IRIS2553</t>
        </is>
      </c>
      <c r="N171" s="29" t="n">
        <v>1.3</v>
      </c>
      <c r="O171" s="29" t="n">
        <v>0.2</v>
      </c>
      <c r="P171" s="29" t="inlineStr">
        <is>
          <t>B.Tech</t>
        </is>
      </c>
      <c r="Q171" s="29" t="inlineStr">
        <is>
          <t>Not in current mapping files</t>
        </is>
      </c>
      <c r="R171" s="29" t="inlineStr">
        <is>
          <t>A2</t>
        </is>
      </c>
      <c r="S171" s="30" t="inlineStr">
        <is>
          <t>20 of 20</t>
        </is>
      </c>
      <c r="T171" s="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t>
        </is>
      </c>
      <c r="U171" s="32" t="inlineStr">
        <is>
          <t>KRAs not received · manager to supply</t>
        </is>
      </c>
      <c r="V171" s="31" t="inlineStr">
        <is>
          <t>Latest rating: Not rated · manager · 9-box: Not placed · manager · Readiness: No rating data</t>
        </is>
      </c>
      <c r="W171" s="31" t="inlineStr">
        <is>
          <t>C M · Au M · Ac M · L L · BI M · Exp M · 1.3 yrs vs 0–2 yrs · Edu M · B.Tech</t>
        </is>
      </c>
      <c r="X171" s="33" t="inlineStr">
        <is>
          <t>Open ▸</t>
        </is>
      </c>
      <c r="Y171" s="34" t="str">
        <f>IFERROR(INDEX(DL_C,MATCH($CA171,DL_KEY,0)),"M")</f>
        <v>H</v>
      </c>
      <c r="Z171" s="35" t="str">
        <f>IFERROR(INDEX(DL_Au,MATCH($CA171,DL_KEY,0)),"M")</f>
        <v>M</v>
      </c>
      <c r="AA171" s="35" t="str">
        <f>IFERROR(INDEX(DL_Ac,MATCH($CA171,DL_KEY,0)),"M")</f>
        <v>L</v>
      </c>
      <c r="AB171" s="35" t="str">
        <f>IFERROR(INDEX(DL_L,MATCH($CA171,DL_KEY,0)),"M")</f>
        <v>L</v>
      </c>
      <c r="AC171" s="35" t="str">
        <f>IFERROR(INDEX(DL_BI,MATCH($CA171,DL_KEY,0)),"M")</f>
        <v>M</v>
      </c>
      <c r="AD171" s="35" t="str">
        <f>IFERROR(INDEX(DL_Exp,MATCH($CA171,DL_KEY,0)),"M")</f>
        <v>L</v>
      </c>
      <c r="AE171" s="35" t="str">
        <f>IFERROR(INDEX(DL_Edu,MATCH($CA171,DL_KEY,0)),"M")</f>
        <v>L</v>
      </c>
      <c r="AF171" s="34" t="inlineStr">
        <is>
          <t>M</t>
        </is>
      </c>
      <c r="AG171" s="35" t="inlineStr">
        <is>
          <t>M</t>
        </is>
      </c>
      <c r="AH171" s="35" t="inlineStr">
        <is>
          <t>M</t>
        </is>
      </c>
      <c r="AI171" s="35" t="inlineStr">
        <is>
          <t>M</t>
        </is>
      </c>
      <c r="AJ171" s="35" t="inlineStr">
        <is>
          <t>M</t>
        </is>
      </c>
      <c r="AK171" s="35" t="inlineStr">
        <is>
          <t>M</t>
        </is>
      </c>
      <c r="AL171" s="35" t="inlineStr">
        <is>
          <t>M</t>
        </is>
      </c>
      <c r="AM171" s="36" t="n">
        <v>0.583</v>
      </c>
      <c r="AN171" s="37" t="n">
        <v>0.16</v>
      </c>
      <c r="AO171" s="37" t="n">
        <v>0.09</v>
      </c>
      <c r="AP171" s="37" t="n">
        <v>0</v>
      </c>
      <c r="AQ171" s="37" t="n">
        <v>0.063</v>
      </c>
      <c r="AR171" s="37" t="n">
        <v>0.06</v>
      </c>
      <c r="AS171" s="37" t="n">
        <v>0.04</v>
      </c>
      <c r="AT171" s="38" t="inlineStr">
        <is>
          <t>0–3</t>
        </is>
      </c>
      <c r="AU171" s="38" t="inlineStr">
        <is>
          <t>Graduate · or diploma with experience</t>
        </is>
      </c>
      <c r="AV171" s="38" t="inlineStr">
        <is>
          <t>No direct reports</t>
        </is>
      </c>
      <c r="AW171" s="38" t="inlineStr">
        <is>
          <t>P1–P2 · SFIA 2 Assist</t>
        </is>
      </c>
      <c r="AX1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1" s="39" t="inlineStr">
        <is>
          <t>A2</t>
        </is>
      </c>
      <c r="AZ171" s="40" t="inlineStr">
        <is>
          <t>Band A · Practitioner · Associate</t>
        </is>
      </c>
      <c r="BA171" s="40" t="inlineStr">
        <is>
          <t>Model A2 from the six ratings, the market-derived weights and rules R1–R13 · then No change · already below the manager</t>
        </is>
      </c>
      <c r="BB171" s="41" t="inlineStr">
        <is>
          <t>A2</t>
        </is>
      </c>
      <c r="BC171" s="40" t="inlineStr">
        <is>
          <t>The six ratings on the market-average weights of Band A · all tracks score 2.00 → A2 · Hay, Mercer IPE and public plans · experience 1.3 yrs vs the A2 market range 0–3</t>
        </is>
      </c>
      <c r="BD171" s="42">
        <f>IF(SUM(BM171,BN171,BO171,BP171,BQ171,BR171,BS171)=0,0,(BM171*BT171+BN171*BU171+BO171*BV171+BP171*BW171+BQ171*BX171+BR171*BY171+BS171*BZ171)/SUM(BM171,BN171,BO171,BP171,BQ171,BR171,BS171))</f>
        <v>0</v>
      </c>
      <c r="BE171" s="41" t="str">
        <f>IF(LEFT(AY171,1)="X",AY171,IF(OR(AY171="B+",AY171="C+"),INDEX(LAD_PC,MAX(1,MIN(14,MATCH(AY171,LAD_PC,0)+IF(BD171&gt;=0.5,1,IF(BD171&lt;=-0.5,-1,0))))),INDEX(LAD_STD,MAX(1,MIN(12,MATCH(AY171,LAD_STD,0)+IF(BD171&gt;=0.5,1,IF(BD171&lt;=-0.5,-1,0)))))))</f>
        <v>A2</v>
      </c>
      <c r="BF171" s="43" t="n"/>
      <c r="BG171" s="41" t="str">
        <f>IF(BF171&lt;&gt;"",BF171,BE171)</f>
        <v>A2</v>
      </c>
      <c r="BH171" s="40" t="str">
        <f>IFERROR(CHOOSE(INDEX(B_RANK,MATCH(BG171,B_LVL,0)),"Band A","Band B","B+ · Player-Coach","Band C","C+ · Player-Coach","Band D","Band E"),"Band X · Consultant")</f>
        <v>Band A</v>
      </c>
      <c r="BI171" s="40" t="str">
        <f>IF(BG171=AY171,"• Same",IF(INDEX(B_VAL,MATCH(BG171,B_LVL,0))&gt;INDEX(B_VAL,MATCH(AY171,B_LVL,0)),"▲ Up","▼ Down"))</f>
        <v>• Same</v>
      </c>
      <c r="BJ171" s="40" t="str">
        <f>IF(OR($M171="",$M171="—",$M171="Not in this file"),"",IFERROR(INDEX($BG$7:$BG$592,MATCH($M171,$D$7:$D$592,0)),""))</f>
        <v>B2</v>
      </c>
      <c r="BK171" s="40" t="str">
        <f>IFERROR(IF(BJ171="","—",IF(OR(LEFT(BG171,1)="X",LEFT(BJ171,1)="X"),"—",IF(AND(LEFT(BG171,1)="E",LEFT(BJ171,1)="E"),"Exception · Band E",IF(AND(INDEX(B_VAL,MATCH(BJ171,B_LVL,0))&gt;=7,INDEX(B_RANK,MATCH(BG171,B_LVL,0))&gt;=INDEX(B_RANK,MATCH(BJ171,B_LVL,0))),"⚠ Same band as a head manager",IF(INDEX(B_VAL,MATCH(BG171,B_LVL,0))&gt;=INDEX(B_VAL,MATCH(BJ171,B_LVL,0)),"⚠ At or above the manager's level","OK"))))),"—")</f>
        <v>OK</v>
      </c>
      <c r="BL171" s="43" t="n"/>
      <c r="BM171" s="44">
        <f>IFERROR(INDEX(LMH_PTS,MATCH(Y171,LMH_KEY,0)),0)</f>
        <v>9</v>
      </c>
      <c r="BN171" s="38">
        <f>IFERROR(INDEX(LMH_PTS,MATCH(Z171,LMH_KEY,0)),0)</f>
        <v>3</v>
      </c>
      <c r="BO171" s="38">
        <f>IFERROR(INDEX(LMH_PTS,MATCH(AA171,LMH_KEY,0)),0)</f>
        <v>1</v>
      </c>
      <c r="BP171" s="38">
        <f>IFERROR(INDEX(LMH_PTS,MATCH(AB171,LMH_KEY,0)),0)</f>
        <v>1</v>
      </c>
      <c r="BQ171" s="38">
        <f>IFERROR(INDEX(LMH_PTS,MATCH(AC171,LMH_KEY,0)),0)</f>
        <v>3</v>
      </c>
      <c r="BR171" s="38">
        <f>IFERROR(INDEX(LMH_PTS,MATCH(AD171,LMH_KEY,0)),0)</f>
        <v>1</v>
      </c>
      <c r="BS171" s="38">
        <f>IFERROR(INDEX(LMH_PTS,MATCH(AE171,LMH_KEY,0)),0)</f>
        <v>1</v>
      </c>
      <c r="BT171" s="38">
        <f>IFERROR(INDEX(LMH_STEP,MATCH(AF171,LMH_KEY,0)),0)</f>
        <v>0</v>
      </c>
      <c r="BU171" s="38">
        <f>IFERROR(INDEX(LMH_STEP,MATCH(AG171,LMH_KEY,0)),0)</f>
        <v>0</v>
      </c>
      <c r="BV171" s="38">
        <f>IFERROR(INDEX(LMH_STEP,MATCH(AH171,LMH_KEY,0)),0)</f>
        <v>0</v>
      </c>
      <c r="BW171" s="38">
        <f>IFERROR(INDEX(LMH_STEP,MATCH(AI171,LMH_KEY,0)),0)</f>
        <v>0</v>
      </c>
      <c r="BX171" s="38">
        <f>IFERROR(INDEX(LMH_STEP,MATCH(AJ171,LMH_KEY,0)),0)</f>
        <v>0</v>
      </c>
      <c r="BY171" s="38">
        <f>IFERROR(INDEX(LMH_STEP,MATCH(AK171,LMH_KEY,0)),0)</f>
        <v>0</v>
      </c>
      <c r="BZ171" s="38">
        <f>IFERROR(INDEX(LMH_STEP,MATCH(AL171,LMH_KEY,0)),0)</f>
        <v>0</v>
      </c>
      <c r="CA171" s="38" t="inlineStr">
        <is>
          <t>CARBON|Marketing|Sales Development Representative|A2|A</t>
        </is>
      </c>
    </row>
    <row r="172" ht="110" customHeight="1">
      <c r="A172" s="28" t="inlineStr">
        <is>
          <t>CARBON</t>
        </is>
      </c>
      <c r="B172" s="29" t="inlineStr">
        <is>
          <t>Sales</t>
        </is>
      </c>
      <c r="C172" s="29" t="n">
        <v>3</v>
      </c>
      <c r="D172" s="29" t="inlineStr">
        <is>
          <t>IRIS1734</t>
        </is>
      </c>
      <c r="E172" s="29" t="inlineStr">
        <is>
          <t>Rohit Bansal</t>
        </is>
      </c>
      <c r="F172" s="29" t="inlineStr">
        <is>
          <t>Senior Manager Sales</t>
        </is>
      </c>
      <c r="G172" s="29" t="inlineStr">
        <is>
          <t>Lead Account Executive</t>
        </is>
      </c>
      <c r="H172" s="29" t="inlineStr">
        <is>
          <t>Sales &amp; Business Development</t>
        </is>
      </c>
      <c r="I172" s="29" t="inlineStr">
        <is>
          <t>Sales Leadership</t>
        </is>
      </c>
      <c r="J172" s="29" t="inlineStr">
        <is>
          <t>IC</t>
        </is>
      </c>
      <c r="K172" s="29" t="inlineStr">
        <is>
          <t>RC-168</t>
        </is>
      </c>
      <c r="L172" s="29" t="inlineStr">
        <is>
          <t>Anuradha RK</t>
        </is>
      </c>
      <c r="M172" s="29" t="inlineStr">
        <is>
          <t>IRIS0391</t>
        </is>
      </c>
      <c r="N172" s="29" t="n">
        <v>16.5</v>
      </c>
      <c r="O172" s="29" t="n">
        <v>8.199999999999999</v>
      </c>
      <c r="P172" s="29" t="inlineStr">
        <is>
          <t>MBA</t>
        </is>
      </c>
      <c r="Q172" s="29" t="inlineStr">
        <is>
          <t>Not in current mapping files</t>
        </is>
      </c>
      <c r="R172" s="29" t="inlineStr">
        <is>
          <t>B2</t>
        </is>
      </c>
      <c r="S172" s="30" t="inlineStr">
        <is>
          <t>20 of 20</t>
        </is>
      </c>
      <c r="T172" s="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t>
        </is>
      </c>
      <c r="U172" s="32" t="inlineStr">
        <is>
          <t>KRAs not received · manager to supply</t>
        </is>
      </c>
      <c r="V172" s="31" t="inlineStr">
        <is>
          <t>Latest rating: Not rated · manager · 9-box: Not placed · manager · Readiness: No rating data</t>
        </is>
      </c>
      <c r="W172" s="31" t="inlineStr">
        <is>
          <t>C M · Au M · Ac M · L L · BI M · Exp H · 16.5 yrs vs 6–9 yrs · Edu H · MBA</t>
        </is>
      </c>
      <c r="X172" s="33" t="inlineStr">
        <is>
          <t>Open ▸</t>
        </is>
      </c>
      <c r="Y172" s="34" t="str">
        <f>IFERROR(INDEX(DL_C,MATCH($CA172,DL_KEY,0)),"M")</f>
        <v>H</v>
      </c>
      <c r="Z172" s="35" t="str">
        <f>IFERROR(INDEX(DL_Au,MATCH($CA172,DL_KEY,0)),"M")</f>
        <v>M</v>
      </c>
      <c r="AA172" s="35" t="str">
        <f>IFERROR(INDEX(DL_Ac,MATCH($CA172,DL_KEY,0)),"M")</f>
        <v>L</v>
      </c>
      <c r="AB172" s="35" t="str">
        <f>IFERROR(INDEX(DL_L,MATCH($CA172,DL_KEY,0)),"M")</f>
        <v>L</v>
      </c>
      <c r="AC172" s="35" t="str">
        <f>IFERROR(INDEX(DL_BI,MATCH($CA172,DL_KEY,0)),"M")</f>
        <v>M</v>
      </c>
      <c r="AD172" s="35" t="str">
        <f>IFERROR(INDEX(DL_Exp,MATCH($CA172,DL_KEY,0)),"M")</f>
        <v>L</v>
      </c>
      <c r="AE172" s="35" t="str">
        <f>IFERROR(INDEX(DL_Edu,MATCH($CA172,DL_KEY,0)),"M")</f>
        <v>L</v>
      </c>
      <c r="AF172" s="34" t="inlineStr">
        <is>
          <t>M</t>
        </is>
      </c>
      <c r="AG172" s="35" t="inlineStr">
        <is>
          <t>M</t>
        </is>
      </c>
      <c r="AH172" s="35" t="inlineStr">
        <is>
          <t>M</t>
        </is>
      </c>
      <c r="AI172" s="35" t="inlineStr">
        <is>
          <t>M</t>
        </is>
      </c>
      <c r="AJ172" s="35" t="inlineStr">
        <is>
          <t>M</t>
        </is>
      </c>
      <c r="AK172" s="35" t="inlineStr">
        <is>
          <t>M</t>
        </is>
      </c>
      <c r="AL172" s="35" t="inlineStr">
        <is>
          <t>M</t>
        </is>
      </c>
      <c r="AM172" s="36" t="n">
        <v>0.513</v>
      </c>
      <c r="AN172" s="37" t="n">
        <v>0.173</v>
      </c>
      <c r="AO172" s="37" t="n">
        <v>0.09699999999999999</v>
      </c>
      <c r="AP172" s="37" t="n">
        <v>0.05</v>
      </c>
      <c r="AQ172" s="37" t="n">
        <v>0.07000000000000001</v>
      </c>
      <c r="AR172" s="37" t="n">
        <v>0.06</v>
      </c>
      <c r="AS172" s="37" t="n">
        <v>0.04</v>
      </c>
      <c r="AT172" s="38" t="inlineStr">
        <is>
          <t>6–10</t>
        </is>
      </c>
      <c r="AU172" s="38" t="inlineStr">
        <is>
          <t>Graduate or postgraduate; professional qualification preferred</t>
        </is>
      </c>
      <c r="AV172" s="38" t="inlineStr">
        <is>
          <t>IC: none · People: 6–8 knowledge work, 8–12 standardised delivery</t>
        </is>
      </c>
      <c r="AW172" s="38" t="inlineStr">
        <is>
          <t>P4 / M3 · SFIA 4–5</t>
        </is>
      </c>
      <c r="AX1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2" s="39" t="inlineStr">
        <is>
          <t>B2</t>
        </is>
      </c>
      <c r="AZ172" s="40" t="inlineStr">
        <is>
          <t>Band B · Specialist / Manager · Senior Specialist</t>
        </is>
      </c>
      <c r="BA172" s="40" t="inlineStr">
        <is>
          <t>Model B2 from the six ratings, the market-derived weights and rules R1–R13 · then No change · already below the manager</t>
        </is>
      </c>
      <c r="BB172" s="41" t="inlineStr">
        <is>
          <t>B2</t>
        </is>
      </c>
      <c r="BC172" s="40" t="inlineStr">
        <is>
          <t>The six ratings on the market-average weights of Band B · Specialist / POD Lead score 5.43 → B2 · Hay, Mercer IPE and public plans · experience 16.5 yrs vs the B2 market range 6–10</t>
        </is>
      </c>
      <c r="BD172" s="42">
        <f>IF(SUM(BM172,BN172,BO172,BP172,BQ172,BR172,BS172)=0,0,(BM172*BT172+BN172*BU172+BO172*BV172+BP172*BW172+BQ172*BX172+BR172*BY172+BS172*BZ172)/SUM(BM172,BN172,BO172,BP172,BQ172,BR172,BS172))</f>
        <v>0</v>
      </c>
      <c r="BE172" s="41" t="str">
        <f>IF(LEFT(AY172,1)="X",AY172,IF(OR(AY172="B+",AY172="C+"),INDEX(LAD_PC,MAX(1,MIN(14,MATCH(AY172,LAD_PC,0)+IF(BD172&gt;=0.5,1,IF(BD172&lt;=-0.5,-1,0))))),INDEX(LAD_STD,MAX(1,MIN(12,MATCH(AY172,LAD_STD,0)+IF(BD172&gt;=0.5,1,IF(BD172&lt;=-0.5,-1,0)))))))</f>
        <v>B2</v>
      </c>
      <c r="BF172" s="43" t="n"/>
      <c r="BG172" s="41" t="str">
        <f>IF(BF172&lt;&gt;"",BF172,BE172)</f>
        <v>B2</v>
      </c>
      <c r="BH172" s="40" t="str">
        <f>IFERROR(CHOOSE(INDEX(B_RANK,MATCH(BG172,B_LVL,0)),"Band A","Band B","B+ · Player-Coach","Band C","C+ · Player-Coach","Band D","Band E"),"Band X · Consultant")</f>
        <v>Band B</v>
      </c>
      <c r="BI172" s="40" t="str">
        <f>IF(BG172=AY172,"• Same",IF(INDEX(B_VAL,MATCH(BG172,B_LVL,0))&gt;INDEX(B_VAL,MATCH(AY172,B_LVL,0)),"▲ Up","▼ Down"))</f>
        <v>• Same</v>
      </c>
      <c r="BJ172" s="40" t="str">
        <f>IF(OR($M172="",$M172="—",$M172="Not in this file"),"",IFERROR(INDEX($BG$7:$BG$592,MATCH($M172,$D$7:$D$592,0)),""))</f>
        <v>D2</v>
      </c>
      <c r="BK172" s="40" t="str">
        <f>IFERROR(IF(BJ172="","—",IF(OR(LEFT(BG172,1)="X",LEFT(BJ172,1)="X"),"—",IF(AND(LEFT(BG172,1)="E",LEFT(BJ172,1)="E"),"Exception · Band E",IF(AND(INDEX(B_VAL,MATCH(BJ172,B_LVL,0))&gt;=7,INDEX(B_RANK,MATCH(BG172,B_LVL,0))&gt;=INDEX(B_RANK,MATCH(BJ172,B_LVL,0))),"⚠ Same band as a head manager",IF(INDEX(B_VAL,MATCH(BG172,B_LVL,0))&gt;=INDEX(B_VAL,MATCH(BJ172,B_LVL,0)),"⚠ At or above the manager's level","OK"))))),"—")</f>
        <v>OK</v>
      </c>
      <c r="BL172" s="43" t="n"/>
      <c r="BM172" s="44">
        <f>IFERROR(INDEX(LMH_PTS,MATCH(Y172,LMH_KEY,0)),0)</f>
        <v>9</v>
      </c>
      <c r="BN172" s="38">
        <f>IFERROR(INDEX(LMH_PTS,MATCH(Z172,LMH_KEY,0)),0)</f>
        <v>3</v>
      </c>
      <c r="BO172" s="38">
        <f>IFERROR(INDEX(LMH_PTS,MATCH(AA172,LMH_KEY,0)),0)</f>
        <v>1</v>
      </c>
      <c r="BP172" s="38">
        <f>IFERROR(INDEX(LMH_PTS,MATCH(AB172,LMH_KEY,0)),0)</f>
        <v>1</v>
      </c>
      <c r="BQ172" s="38">
        <f>IFERROR(INDEX(LMH_PTS,MATCH(AC172,LMH_KEY,0)),0)</f>
        <v>3</v>
      </c>
      <c r="BR172" s="38">
        <f>IFERROR(INDEX(LMH_PTS,MATCH(AD172,LMH_KEY,0)),0)</f>
        <v>1</v>
      </c>
      <c r="BS172" s="38">
        <f>IFERROR(INDEX(LMH_PTS,MATCH(AE172,LMH_KEY,0)),0)</f>
        <v>1</v>
      </c>
      <c r="BT172" s="38">
        <f>IFERROR(INDEX(LMH_STEP,MATCH(AF172,LMH_KEY,0)),0)</f>
        <v>0</v>
      </c>
      <c r="BU172" s="38">
        <f>IFERROR(INDEX(LMH_STEP,MATCH(AG172,LMH_KEY,0)),0)</f>
        <v>0</v>
      </c>
      <c r="BV172" s="38">
        <f>IFERROR(INDEX(LMH_STEP,MATCH(AH172,LMH_KEY,0)),0)</f>
        <v>0</v>
      </c>
      <c r="BW172" s="38">
        <f>IFERROR(INDEX(LMH_STEP,MATCH(AI172,LMH_KEY,0)),0)</f>
        <v>0</v>
      </c>
      <c r="BX172" s="38">
        <f>IFERROR(INDEX(LMH_STEP,MATCH(AJ172,LMH_KEY,0)),0)</f>
        <v>0</v>
      </c>
      <c r="BY172" s="38">
        <f>IFERROR(INDEX(LMH_STEP,MATCH(AK172,LMH_KEY,0)),0)</f>
        <v>0</v>
      </c>
      <c r="BZ172" s="38">
        <f>IFERROR(INDEX(LMH_STEP,MATCH(AL172,LMH_KEY,0)),0)</f>
        <v>0</v>
      </c>
      <c r="CA172" s="38" t="inlineStr">
        <is>
          <t>CARBON|Sales|Lead Account Executive|B2|B-IC</t>
        </is>
      </c>
    </row>
    <row r="173" ht="110" customHeight="1">
      <c r="A173" s="28" t="inlineStr">
        <is>
          <t>CARBON</t>
        </is>
      </c>
      <c r="B173" s="29" t="inlineStr">
        <is>
          <t>Sales</t>
        </is>
      </c>
      <c r="C173" s="29" t="n">
        <v>3</v>
      </c>
      <c r="D173" s="29" t="inlineStr">
        <is>
          <t>IRIS2351</t>
        </is>
      </c>
      <c r="E173" s="29" t="inlineStr">
        <is>
          <t>Aniket Das</t>
        </is>
      </c>
      <c r="F173" s="29" t="inlineStr">
        <is>
          <t>Senior Analyst, Strategy and Operations</t>
        </is>
      </c>
      <c r="G173" s="29" t="inlineStr">
        <is>
          <t>Sales Operations Specialist – POD Lead</t>
        </is>
      </c>
      <c r="H173" s="29" t="inlineStr">
        <is>
          <t>Sales &amp; Business Development</t>
        </is>
      </c>
      <c r="I173" s="29" t="inlineStr">
        <is>
          <t>Bids, RFP &amp; Sales Operations</t>
        </is>
      </c>
      <c r="J173" s="29" t="inlineStr">
        <is>
          <t>POD Lead</t>
        </is>
      </c>
      <c r="K173" s="29" t="inlineStr">
        <is>
          <t>RC-150</t>
        </is>
      </c>
      <c r="L173" s="29" t="inlineStr">
        <is>
          <t>Anuradha RK</t>
        </is>
      </c>
      <c r="M173" s="29" t="inlineStr">
        <is>
          <t>IRIS0391</t>
        </is>
      </c>
      <c r="N173" s="29" t="n">
        <v>5.2</v>
      </c>
      <c r="O173" s="29" t="n">
        <v>1.5</v>
      </c>
      <c r="P173" s="29" t="inlineStr">
        <is>
          <t>MBA</t>
        </is>
      </c>
      <c r="Q173" s="29" t="inlineStr">
        <is>
          <t>Not in current mapping files</t>
        </is>
      </c>
      <c r="R173" s="29" t="inlineStr">
        <is>
          <t>B1</t>
        </is>
      </c>
      <c r="S173" s="30" t="inlineStr">
        <is>
          <t>20 of 20</t>
        </is>
      </c>
      <c r="T173" s="31" t="inlineStr">
        <is>
          <t>Managing Business Revenue Metrics and Analysing Pipeline Funnel; Business CRM and Data Hub</t>
        </is>
      </c>
      <c r="U173" s="32" t="inlineStr">
        <is>
          <t>KRAs not received · manager to supply</t>
        </is>
      </c>
      <c r="V173" s="31" t="inlineStr">
        <is>
          <t>Latest rating: Not rated · manager · 9-box: Not placed · manager · Readiness: No rating data</t>
        </is>
      </c>
      <c r="W173" s="31" t="inlineStr">
        <is>
          <t>C M · Au L · Ac M · L L · BI M · Exp M · 5.2 yrs vs 4–7 yrs · Edu H · MBA</t>
        </is>
      </c>
      <c r="X173" s="33" t="inlineStr">
        <is>
          <t>Open ▸</t>
        </is>
      </c>
      <c r="Y173" s="34" t="str">
        <f>IFERROR(INDEX(DL_C,MATCH($CA173,DL_KEY,0)),"M")</f>
        <v>H</v>
      </c>
      <c r="Z173" s="35" t="str">
        <f>IFERROR(INDEX(DL_Au,MATCH($CA173,DL_KEY,0)),"M")</f>
        <v>M</v>
      </c>
      <c r="AA173" s="35" t="str">
        <f>IFERROR(INDEX(DL_Ac,MATCH($CA173,DL_KEY,0)),"M")</f>
        <v>L</v>
      </c>
      <c r="AB173" s="35" t="str">
        <f>IFERROR(INDEX(DL_L,MATCH($CA173,DL_KEY,0)),"M")</f>
        <v>L</v>
      </c>
      <c r="AC173" s="35" t="str">
        <f>IFERROR(INDEX(DL_BI,MATCH($CA173,DL_KEY,0)),"M")</f>
        <v>M</v>
      </c>
      <c r="AD173" s="35" t="str">
        <f>IFERROR(INDEX(DL_Exp,MATCH($CA173,DL_KEY,0)),"M")</f>
        <v>L</v>
      </c>
      <c r="AE173" s="35" t="str">
        <f>IFERROR(INDEX(DL_Edu,MATCH($CA173,DL_KEY,0)),"M")</f>
        <v>L</v>
      </c>
      <c r="AF173" s="34" t="inlineStr">
        <is>
          <t>M</t>
        </is>
      </c>
      <c r="AG173" s="35" t="inlineStr">
        <is>
          <t>M</t>
        </is>
      </c>
      <c r="AH173" s="35" t="inlineStr">
        <is>
          <t>M</t>
        </is>
      </c>
      <c r="AI173" s="35" t="inlineStr">
        <is>
          <t>M</t>
        </is>
      </c>
      <c r="AJ173" s="35" t="inlineStr">
        <is>
          <t>M</t>
        </is>
      </c>
      <c r="AK173" s="35" t="inlineStr">
        <is>
          <t>M</t>
        </is>
      </c>
      <c r="AL173" s="35" t="inlineStr">
        <is>
          <t>M</t>
        </is>
      </c>
      <c r="AM173" s="36" t="n">
        <v>0.513</v>
      </c>
      <c r="AN173" s="37" t="n">
        <v>0.173</v>
      </c>
      <c r="AO173" s="37" t="n">
        <v>0.09699999999999999</v>
      </c>
      <c r="AP173" s="37" t="n">
        <v>0.05</v>
      </c>
      <c r="AQ173" s="37" t="n">
        <v>0.07000000000000001</v>
      </c>
      <c r="AR173" s="37" t="n">
        <v>0.06</v>
      </c>
      <c r="AS173" s="37" t="n">
        <v>0.04</v>
      </c>
      <c r="AT173" s="38" t="inlineStr">
        <is>
          <t>4–8</t>
        </is>
      </c>
      <c r="AU173" s="38" t="inlineStr">
        <is>
          <t>Graduate + relevant qualification or certification preferred</t>
        </is>
      </c>
      <c r="AV173" s="38" t="inlineStr">
        <is>
          <t>IC: none · Team Lead: 3–5</t>
        </is>
      </c>
      <c r="AW173" s="38" t="inlineStr">
        <is>
          <t>P3 / M2 · SFIA 4 Enable</t>
        </is>
      </c>
      <c r="AX1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3" s="39" t="inlineStr">
        <is>
          <t>B1</t>
        </is>
      </c>
      <c r="AZ173" s="40" t="inlineStr">
        <is>
          <t>Band B · Specialist / Manager · Team Lead / Asst Manager</t>
        </is>
      </c>
      <c r="BA173" s="40" t="inlineStr">
        <is>
          <t>Model B1 from the six ratings, the market-derived weights and rules R1–R13 · then No change · already below the manager</t>
        </is>
      </c>
      <c r="BB173" s="41" t="inlineStr">
        <is>
          <t>B1</t>
        </is>
      </c>
      <c r="BC173" s="40" t="inlineStr">
        <is>
          <t>The six ratings on the market-average weights of Band B · Specialist / POD Lead score 3.57 → B1 · Hay, Mercer IPE and public plans · experience 5.2 yrs vs the B1 market range 4–8</t>
        </is>
      </c>
      <c r="BD173" s="42">
        <f>IF(SUM(BM173,BN173,BO173,BP173,BQ173,BR173,BS173)=0,0,(BM173*BT173+BN173*BU173+BO173*BV173+BP173*BW173+BQ173*BX173+BR173*BY173+BS173*BZ173)/SUM(BM173,BN173,BO173,BP173,BQ173,BR173,BS173))</f>
        <v>0</v>
      </c>
      <c r="BE173" s="41" t="str">
        <f>IF(LEFT(AY173,1)="X",AY173,IF(OR(AY173="B+",AY173="C+"),INDEX(LAD_PC,MAX(1,MIN(14,MATCH(AY173,LAD_PC,0)+IF(BD173&gt;=0.5,1,IF(BD173&lt;=-0.5,-1,0))))),INDEX(LAD_STD,MAX(1,MIN(12,MATCH(AY173,LAD_STD,0)+IF(BD173&gt;=0.5,1,IF(BD173&lt;=-0.5,-1,0)))))))</f>
        <v>B1</v>
      </c>
      <c r="BF173" s="43" t="n"/>
      <c r="BG173" s="41" t="str">
        <f>IF(BF173&lt;&gt;"",BF173,BE173)</f>
        <v>B1</v>
      </c>
      <c r="BH173" s="40" t="str">
        <f>IFERROR(CHOOSE(INDEX(B_RANK,MATCH(BG173,B_LVL,0)),"Band A","Band B","B+ · Player-Coach","Band C","C+ · Player-Coach","Band D","Band E"),"Band X · Consultant")</f>
        <v>Band B</v>
      </c>
      <c r="BI173" s="40" t="str">
        <f>IF(BG173=AY173,"• Same",IF(INDEX(B_VAL,MATCH(BG173,B_LVL,0))&gt;INDEX(B_VAL,MATCH(AY173,B_LVL,0)),"▲ Up","▼ Down"))</f>
        <v>• Same</v>
      </c>
      <c r="BJ173" s="40" t="str">
        <f>IF(OR($M173="",$M173="—",$M173="Not in this file"),"",IFERROR(INDEX($BG$7:$BG$592,MATCH($M173,$D$7:$D$592,0)),""))</f>
        <v>D2</v>
      </c>
      <c r="BK173" s="40" t="str">
        <f>IFERROR(IF(BJ173="","—",IF(OR(LEFT(BG173,1)="X",LEFT(BJ173,1)="X"),"—",IF(AND(LEFT(BG173,1)="E",LEFT(BJ173,1)="E"),"Exception · Band E",IF(AND(INDEX(B_VAL,MATCH(BJ173,B_LVL,0))&gt;=7,INDEX(B_RANK,MATCH(BG173,B_LVL,0))&gt;=INDEX(B_RANK,MATCH(BJ173,B_LVL,0))),"⚠ Same band as a head manager",IF(INDEX(B_VAL,MATCH(BG173,B_LVL,0))&gt;=INDEX(B_VAL,MATCH(BJ173,B_LVL,0)),"⚠ At or above the manager's level","OK"))))),"—")</f>
        <v>OK</v>
      </c>
      <c r="BL173" s="43" t="n"/>
      <c r="BM173" s="44">
        <f>IFERROR(INDEX(LMH_PTS,MATCH(Y173,LMH_KEY,0)),0)</f>
        <v>9</v>
      </c>
      <c r="BN173" s="38">
        <f>IFERROR(INDEX(LMH_PTS,MATCH(Z173,LMH_KEY,0)),0)</f>
        <v>3</v>
      </c>
      <c r="BO173" s="38">
        <f>IFERROR(INDEX(LMH_PTS,MATCH(AA173,LMH_KEY,0)),0)</f>
        <v>1</v>
      </c>
      <c r="BP173" s="38">
        <f>IFERROR(INDEX(LMH_PTS,MATCH(AB173,LMH_KEY,0)),0)</f>
        <v>1</v>
      </c>
      <c r="BQ173" s="38">
        <f>IFERROR(INDEX(LMH_PTS,MATCH(AC173,LMH_KEY,0)),0)</f>
        <v>3</v>
      </c>
      <c r="BR173" s="38">
        <f>IFERROR(INDEX(LMH_PTS,MATCH(AD173,LMH_KEY,0)),0)</f>
        <v>1</v>
      </c>
      <c r="BS173" s="38">
        <f>IFERROR(INDEX(LMH_PTS,MATCH(AE173,LMH_KEY,0)),0)</f>
        <v>1</v>
      </c>
      <c r="BT173" s="38">
        <f>IFERROR(INDEX(LMH_STEP,MATCH(AF173,LMH_KEY,0)),0)</f>
        <v>0</v>
      </c>
      <c r="BU173" s="38">
        <f>IFERROR(INDEX(LMH_STEP,MATCH(AG173,LMH_KEY,0)),0)</f>
        <v>0</v>
      </c>
      <c r="BV173" s="38">
        <f>IFERROR(INDEX(LMH_STEP,MATCH(AH173,LMH_KEY,0)),0)</f>
        <v>0</v>
      </c>
      <c r="BW173" s="38">
        <f>IFERROR(INDEX(LMH_STEP,MATCH(AI173,LMH_KEY,0)),0)</f>
        <v>0</v>
      </c>
      <c r="BX173" s="38">
        <f>IFERROR(INDEX(LMH_STEP,MATCH(AJ173,LMH_KEY,0)),0)</f>
        <v>0</v>
      </c>
      <c r="BY173" s="38">
        <f>IFERROR(INDEX(LMH_STEP,MATCH(AK173,LMH_KEY,0)),0)</f>
        <v>0</v>
      </c>
      <c r="BZ173" s="38">
        <f>IFERROR(INDEX(LMH_STEP,MATCH(AL173,LMH_KEY,0)),0)</f>
        <v>0</v>
      </c>
      <c r="CA173" s="38" t="inlineStr">
        <is>
          <t>CARBON|Sales|Sales Operations Specialist – POD Lead|B1|B-IC</t>
        </is>
      </c>
    </row>
    <row r="174" ht="110" customHeight="1">
      <c r="A174" s="28" t="inlineStr">
        <is>
          <t>CARBON</t>
        </is>
      </c>
      <c r="B174" s="29" t="inlineStr">
        <is>
          <t>Support</t>
        </is>
      </c>
      <c r="C174" s="29" t="n">
        <v>4</v>
      </c>
      <c r="D174" s="29" t="inlineStr">
        <is>
          <t>IRIS0118</t>
        </is>
      </c>
      <c r="E174" s="29" t="inlineStr">
        <is>
          <t>Mayur Narvekar</t>
        </is>
      </c>
      <c r="F174" s="29" t="inlineStr">
        <is>
          <t>Image Processing Specialist</t>
        </is>
      </c>
      <c r="G174" s="29" t="inlineStr">
        <is>
          <t>MIS Specialist</t>
        </is>
      </c>
      <c r="H174" s="29" t="inlineStr">
        <is>
          <t>Data &amp; Analytics</t>
        </is>
      </c>
      <c r="I174" s="29" t="inlineStr">
        <is>
          <t>MIS &amp; Business Reporting</t>
        </is>
      </c>
      <c r="J174" s="29" t="inlineStr">
        <is>
          <t>IC</t>
        </is>
      </c>
      <c r="K174" s="29" t="inlineStr">
        <is>
          <t>RC-044</t>
        </is>
      </c>
      <c r="L174" s="29" t="inlineStr">
        <is>
          <t>Aniket Das</t>
        </is>
      </c>
      <c r="M174" s="29" t="inlineStr">
        <is>
          <t>IRIS2351</t>
        </is>
      </c>
      <c r="N174" s="29" t="n">
        <v>19.1</v>
      </c>
      <c r="O174" s="29" t="n">
        <v>19.1</v>
      </c>
      <c r="P174" s="29" t="inlineStr">
        <is>
          <t>B.Com</t>
        </is>
      </c>
      <c r="Q174" s="29" t="inlineStr">
        <is>
          <t>L3 – Professional / Associate</t>
        </is>
      </c>
      <c r="R174" s="29" t="inlineStr">
        <is>
          <t>A3</t>
        </is>
      </c>
      <c r="S174" s="30" t="inlineStr">
        <is>
          <t>18 of 20</t>
        </is>
      </c>
      <c r="T174" s="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t>
        </is>
      </c>
      <c r="U174" s="32" t="inlineStr">
        <is>
          <t>KRAs not received · manager to supply</t>
        </is>
      </c>
      <c r="V174" s="31" t="inlineStr">
        <is>
          <t>Latest rating: Not rated · manager · 9-box: Not placed · manager · Readiness: No rating data</t>
        </is>
      </c>
      <c r="W174" s="31" t="inlineStr">
        <is>
          <t>C M · Au M · Ac M · L L · BI M · Exp H · 19.1 yrs vs 2–4 yrs · Edu M · B.Com</t>
        </is>
      </c>
      <c r="X174" s="33" t="inlineStr">
        <is>
          <t>Open ▸</t>
        </is>
      </c>
      <c r="Y174" s="34" t="str">
        <f>IFERROR(INDEX(DL_C,MATCH($CA174,DL_KEY,0)),"M")</f>
        <v>H</v>
      </c>
      <c r="Z174" s="35" t="str">
        <f>IFERROR(INDEX(DL_Au,MATCH($CA174,DL_KEY,0)),"M")</f>
        <v>M</v>
      </c>
      <c r="AA174" s="35" t="str">
        <f>IFERROR(INDEX(DL_Ac,MATCH($CA174,DL_KEY,0)),"M")</f>
        <v>M</v>
      </c>
      <c r="AB174" s="35" t="str">
        <f>IFERROR(INDEX(DL_L,MATCH($CA174,DL_KEY,0)),"M")</f>
        <v>L</v>
      </c>
      <c r="AC174" s="35" t="str">
        <f>IFERROR(INDEX(DL_BI,MATCH($CA174,DL_KEY,0)),"M")</f>
        <v>L</v>
      </c>
      <c r="AD174" s="35" t="str">
        <f>IFERROR(INDEX(DL_Exp,MATCH($CA174,DL_KEY,0)),"M")</f>
        <v>L</v>
      </c>
      <c r="AE174" s="35" t="str">
        <f>IFERROR(INDEX(DL_Edu,MATCH($CA174,DL_KEY,0)),"M")</f>
        <v>L</v>
      </c>
      <c r="AF174" s="34" t="inlineStr">
        <is>
          <t>M</t>
        </is>
      </c>
      <c r="AG174" s="35" t="inlineStr">
        <is>
          <t>M</t>
        </is>
      </c>
      <c r="AH174" s="35" t="inlineStr">
        <is>
          <t>M</t>
        </is>
      </c>
      <c r="AI174" s="35" t="inlineStr">
        <is>
          <t>M</t>
        </is>
      </c>
      <c r="AJ174" s="35" t="inlineStr">
        <is>
          <t>M</t>
        </is>
      </c>
      <c r="AK174" s="35" t="inlineStr">
        <is>
          <t>M</t>
        </is>
      </c>
      <c r="AL174" s="35" t="inlineStr">
        <is>
          <t>M</t>
        </is>
      </c>
      <c r="AM174" s="36" t="n">
        <v>0.583</v>
      </c>
      <c r="AN174" s="37" t="n">
        <v>0.16</v>
      </c>
      <c r="AO174" s="37" t="n">
        <v>0.09</v>
      </c>
      <c r="AP174" s="37" t="n">
        <v>0</v>
      </c>
      <c r="AQ174" s="37" t="n">
        <v>0.063</v>
      </c>
      <c r="AR174" s="37" t="n">
        <v>0.06</v>
      </c>
      <c r="AS174" s="37" t="n">
        <v>0.04</v>
      </c>
      <c r="AT174" s="38" t="inlineStr">
        <is>
          <t>2–5</t>
        </is>
      </c>
      <c r="AU174" s="38" t="inlineStr">
        <is>
          <t>Graduate; relevant certification preferred</t>
        </is>
      </c>
      <c r="AV174" s="38" t="inlineStr">
        <is>
          <t>None · guides 1–3 juniors informally</t>
        </is>
      </c>
      <c r="AW174" s="38" t="inlineStr">
        <is>
          <t>P2 · SFIA 3 Apply</t>
        </is>
      </c>
      <c r="AX1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4" s="39" t="inlineStr">
        <is>
          <t>A3</t>
        </is>
      </c>
      <c r="AZ174" s="40" t="inlineStr">
        <is>
          <t>Band A · Practitioner · Senior Associate</t>
        </is>
      </c>
      <c r="BA174" s="40" t="inlineStr">
        <is>
          <t>Model A3 from the six ratings, the market-derived weights and rules R1–R13 · then No change · already below the manager</t>
        </is>
      </c>
      <c r="BB174" s="41" t="inlineStr">
        <is>
          <t>B1</t>
        </is>
      </c>
      <c r="BC174" s="40" t="inlineStr">
        <is>
          <t>The six ratings on the market-average weights of Band A · all tracks score 3.57 → B1 · Hay, Mercer IPE and public plans · experience 19.1 yrs vs the B1 market range 4–8</t>
        </is>
      </c>
      <c r="BD174" s="42">
        <f>IF(SUM(BM174,BN174,BO174,BP174,BQ174,BR174,BS174)=0,0,(BM174*BT174+BN174*BU174+BO174*BV174+BP174*BW174+BQ174*BX174+BR174*BY174+BS174*BZ174)/SUM(BM174,BN174,BO174,BP174,BQ174,BR174,BS174))</f>
        <v>0</v>
      </c>
      <c r="BE174" s="41" t="str">
        <f>IF(LEFT(AY174,1)="X",AY174,IF(OR(AY174="B+",AY174="C+"),INDEX(LAD_PC,MAX(1,MIN(14,MATCH(AY174,LAD_PC,0)+IF(BD174&gt;=0.5,1,IF(BD174&lt;=-0.5,-1,0))))),INDEX(LAD_STD,MAX(1,MIN(12,MATCH(AY174,LAD_STD,0)+IF(BD174&gt;=0.5,1,IF(BD174&lt;=-0.5,-1,0)))))))</f>
        <v>A3</v>
      </c>
      <c r="BF174" s="43" t="n"/>
      <c r="BG174" s="41" t="str">
        <f>IF(BF174&lt;&gt;"",BF174,BE174)</f>
        <v>A3</v>
      </c>
      <c r="BH174" s="40" t="str">
        <f>IFERROR(CHOOSE(INDEX(B_RANK,MATCH(BG174,B_LVL,0)),"Band A","Band B","B+ · Player-Coach","Band C","C+ · Player-Coach","Band D","Band E"),"Band X · Consultant")</f>
        <v>Band A</v>
      </c>
      <c r="BI174" s="40" t="str">
        <f>IF(BG174=AY174,"• Same",IF(INDEX(B_VAL,MATCH(BG174,B_LVL,0))&gt;INDEX(B_VAL,MATCH(AY174,B_LVL,0)),"▲ Up","▼ Down"))</f>
        <v>• Same</v>
      </c>
      <c r="BJ174" s="40" t="str">
        <f>IF(OR($M174="",$M174="—",$M174="Not in this file"),"",IFERROR(INDEX($BG$7:$BG$592,MATCH($M174,$D$7:$D$592,0)),""))</f>
        <v>B1</v>
      </c>
      <c r="BK174" s="40" t="str">
        <f>IFERROR(IF(BJ174="","—",IF(OR(LEFT(BG174,1)="X",LEFT(BJ174,1)="X"),"—",IF(AND(LEFT(BG174,1)="E",LEFT(BJ174,1)="E"),"Exception · Band E",IF(AND(INDEX(B_VAL,MATCH(BJ174,B_LVL,0))&gt;=7,INDEX(B_RANK,MATCH(BG174,B_LVL,0))&gt;=INDEX(B_RANK,MATCH(BJ174,B_LVL,0))),"⚠ Same band as a head manager",IF(INDEX(B_VAL,MATCH(BG174,B_LVL,0))&gt;=INDEX(B_VAL,MATCH(BJ174,B_LVL,0)),"⚠ At or above the manager's level","OK"))))),"—")</f>
        <v>OK</v>
      </c>
      <c r="BL174" s="43" t="n"/>
      <c r="BM174" s="44">
        <f>IFERROR(INDEX(LMH_PTS,MATCH(Y174,LMH_KEY,0)),0)</f>
        <v>9</v>
      </c>
      <c r="BN174" s="38">
        <f>IFERROR(INDEX(LMH_PTS,MATCH(Z174,LMH_KEY,0)),0)</f>
        <v>3</v>
      </c>
      <c r="BO174" s="38">
        <f>IFERROR(INDEX(LMH_PTS,MATCH(AA174,LMH_KEY,0)),0)</f>
        <v>3</v>
      </c>
      <c r="BP174" s="38">
        <f>IFERROR(INDEX(LMH_PTS,MATCH(AB174,LMH_KEY,0)),0)</f>
        <v>1</v>
      </c>
      <c r="BQ174" s="38">
        <f>IFERROR(INDEX(LMH_PTS,MATCH(AC174,LMH_KEY,0)),0)</f>
        <v>1</v>
      </c>
      <c r="BR174" s="38">
        <f>IFERROR(INDEX(LMH_PTS,MATCH(AD174,LMH_KEY,0)),0)</f>
        <v>1</v>
      </c>
      <c r="BS174" s="38">
        <f>IFERROR(INDEX(LMH_PTS,MATCH(AE174,LMH_KEY,0)),0)</f>
        <v>1</v>
      </c>
      <c r="BT174" s="38">
        <f>IFERROR(INDEX(LMH_STEP,MATCH(AF174,LMH_KEY,0)),0)</f>
        <v>0</v>
      </c>
      <c r="BU174" s="38">
        <f>IFERROR(INDEX(LMH_STEP,MATCH(AG174,LMH_KEY,0)),0)</f>
        <v>0</v>
      </c>
      <c r="BV174" s="38">
        <f>IFERROR(INDEX(LMH_STEP,MATCH(AH174,LMH_KEY,0)),0)</f>
        <v>0</v>
      </c>
      <c r="BW174" s="38">
        <f>IFERROR(INDEX(LMH_STEP,MATCH(AI174,LMH_KEY,0)),0)</f>
        <v>0</v>
      </c>
      <c r="BX174" s="38">
        <f>IFERROR(INDEX(LMH_STEP,MATCH(AJ174,LMH_KEY,0)),0)</f>
        <v>0</v>
      </c>
      <c r="BY174" s="38">
        <f>IFERROR(INDEX(LMH_STEP,MATCH(AK174,LMH_KEY,0)),0)</f>
        <v>0</v>
      </c>
      <c r="BZ174" s="38">
        <f>IFERROR(INDEX(LMH_STEP,MATCH(AL174,LMH_KEY,0)),0)</f>
        <v>0</v>
      </c>
      <c r="CA174" s="38" t="inlineStr">
        <is>
          <t>CARBON|Support|MIS Specialist|A3|A</t>
        </is>
      </c>
    </row>
    <row r="175" ht="110" customHeight="1">
      <c r="A175" s="28" t="inlineStr">
        <is>
          <t>CARBON</t>
        </is>
      </c>
      <c r="B175" s="29" t="inlineStr">
        <is>
          <t>Sales</t>
        </is>
      </c>
      <c r="C175" s="29" t="n">
        <v>3</v>
      </c>
      <c r="D175" s="29" t="inlineStr">
        <is>
          <t>IRISC345</t>
        </is>
      </c>
      <c r="E175" s="29" t="inlineStr">
        <is>
          <t>Andrea Messiga</t>
        </is>
      </c>
      <c r="F175" s="29" t="inlineStr">
        <is>
          <t>Regional Manager- Business Development</t>
        </is>
      </c>
      <c r="G175" s="29" t="inlineStr">
        <is>
          <t>Senior Consultant – Enterprise Sales &amp; Account Management</t>
        </is>
      </c>
      <c r="H175" s="29" t="inlineStr">
        <is>
          <t>Sales &amp; Business Development</t>
        </is>
      </c>
      <c r="I175" s="29" t="inlineStr">
        <is>
          <t>Enterprise Sales &amp; Account Management</t>
        </is>
      </c>
      <c r="J175" s="29" t="inlineStr">
        <is>
          <t>Consultant</t>
        </is>
      </c>
      <c r="K175" s="29" t="inlineStr">
        <is>
          <t>RC-154</t>
        </is>
      </c>
      <c r="L175" s="29" t="inlineStr">
        <is>
          <t>Anuradha RK</t>
        </is>
      </c>
      <c r="M175" s="29" t="inlineStr">
        <is>
          <t>IRIS0391</t>
        </is>
      </c>
      <c r="N175" s="29" t="inlineStr">
        <is>
          <t>Not provided · HRIS</t>
        </is>
      </c>
      <c r="O175" s="29" t="n">
        <v>0.5</v>
      </c>
      <c r="P175" s="29" t="inlineStr">
        <is>
          <t>Not provided · HRIS</t>
        </is>
      </c>
      <c r="Q175" s="29" t="inlineStr">
        <is>
          <t>—</t>
        </is>
      </c>
      <c r="R175" s="29" t="inlineStr">
        <is>
          <t>X3</t>
        </is>
      </c>
      <c r="S175" s="30" t="inlineStr">
        <is>
          <t>0 of 20</t>
        </is>
      </c>
      <c r="T175" s="32" t="inlineStr">
        <is>
          <t>No survey response on file</t>
        </is>
      </c>
      <c r="U175" s="32" t="inlineStr">
        <is>
          <t>KRAs not received · manager to supply</t>
        </is>
      </c>
      <c r="V175" s="31" t="inlineStr">
        <is>
          <t>Latest rating: Not rated · manager · Readiness: n/a · consultant</t>
        </is>
      </c>
      <c r="W175" s="31" t="inlineStr">
        <is>
          <t>Consultant · outside the ladder</t>
        </is>
      </c>
      <c r="X175" s="33" t="inlineStr">
        <is>
          <t>Open ▸</t>
        </is>
      </c>
      <c r="Y175" s="34" t="n"/>
      <c r="Z175" s="35" t="n"/>
      <c r="AA175" s="35" t="n"/>
      <c r="AB175" s="35" t="n"/>
      <c r="AC175" s="35" t="n"/>
      <c r="AD175" s="35" t="n"/>
      <c r="AE175" s="35" t="n"/>
      <c r="AF175" s="34" t="n"/>
      <c r="AG175" s="35" t="n"/>
      <c r="AH175" s="35" t="n"/>
      <c r="AI175" s="35" t="n"/>
      <c r="AJ175" s="35" t="n"/>
      <c r="AK175" s="35" t="n"/>
      <c r="AL175" s="35" t="n"/>
      <c r="AM175" s="36" t="n"/>
      <c r="AN175" s="37" t="n"/>
      <c r="AO175" s="37" t="n"/>
      <c r="AP175" s="37" t="n"/>
      <c r="AQ175" s="37" t="n"/>
      <c r="AR175" s="37" t="n"/>
      <c r="AS175" s="37" t="n"/>
      <c r="AT175" s="38" t="n"/>
      <c r="AU175" s="38" t="n"/>
      <c r="AV175" s="38" t="n"/>
      <c r="AW175" s="38" t="inlineStr">
        <is>
          <t>—</t>
        </is>
      </c>
      <c r="AX1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5" s="39" t="inlineStr">
        <is>
          <t>X3</t>
        </is>
      </c>
      <c r="AZ175" s="40" t="inlineStr">
        <is>
          <t xml:space="preserve">Band X · Consultant · </t>
        </is>
      </c>
      <c r="BA175" s="40" t="inlineStr">
        <is>
          <t>Model X3 from the six ratings, the market-derived weights and rules R1–R13 · then Consultant · outside the ladder</t>
        </is>
      </c>
      <c r="BB175" s="41" t="n"/>
      <c r="BC175" s="40" t="inlineStr">
        <is>
          <t>Consultant · outside the ladder</t>
        </is>
      </c>
      <c r="BD175" s="42">
        <f>IF(SUM(BM175,BN175,BO175,BP175,BQ175,BR175,BS175)=0,0,(BM175*BT175+BN175*BU175+BO175*BV175+BP175*BW175+BQ175*BX175+BR175*BY175+BS175*BZ175)/SUM(BM175,BN175,BO175,BP175,BQ175,BR175,BS175))</f>
        <v>0</v>
      </c>
      <c r="BE175" s="41" t="str">
        <f>IF(LEFT(AY175,1)="X",AY175,IF(OR(AY175="B+",AY175="C+"),INDEX(LAD_PC,MAX(1,MIN(14,MATCH(AY175,LAD_PC,0)+IF(BD175&gt;=0.5,1,IF(BD175&lt;=-0.5,-1,0))))),INDEX(LAD_STD,MAX(1,MIN(12,MATCH(AY175,LAD_STD,0)+IF(BD175&gt;=0.5,1,IF(BD175&lt;=-0.5,-1,0)))))))</f>
        <v>X3</v>
      </c>
      <c r="BF175" s="43" t="n"/>
      <c r="BG175" s="41" t="str">
        <f>IF(BF175&lt;&gt;"",BF175,BE175)</f>
        <v>X3</v>
      </c>
      <c r="BH175" s="40" t="str">
        <f>IFERROR(CHOOSE(INDEX(B_RANK,MATCH(BG175,B_LVL,0)),"Band A","Band B","B+ · Player-Coach","Band C","C+ · Player-Coach","Band D","Band E"),"Band X · Consultant")</f>
        <v>Band X · Consultant</v>
      </c>
      <c r="BI175" s="40" t="str">
        <f>IF(BG175=AY175,"• Same",IF(INDEX(B_VAL,MATCH(BG175,B_LVL,0))&gt;INDEX(B_VAL,MATCH(AY175,B_LVL,0)),"▲ Up","▼ Down"))</f>
        <v>• Same</v>
      </c>
      <c r="BJ175" s="40" t="str">
        <f>IF(OR($M175="",$M175="—",$M175="Not in this file"),"",IFERROR(INDEX($BG$7:$BG$592,MATCH($M175,$D$7:$D$592,0)),""))</f>
        <v>D2</v>
      </c>
      <c r="BK175" s="40" t="str">
        <f>IFERROR(IF(BJ175="","—",IF(OR(LEFT(BG175,1)="X",LEFT(BJ175,1)="X"),"—",IF(AND(LEFT(BG175,1)="E",LEFT(BJ175,1)="E"),"Exception · Band E",IF(AND(INDEX(B_VAL,MATCH(BJ175,B_LVL,0))&gt;=7,INDEX(B_RANK,MATCH(BG175,B_LVL,0))&gt;=INDEX(B_RANK,MATCH(BJ175,B_LVL,0))),"⚠ Same band as a head manager",IF(INDEX(B_VAL,MATCH(BG175,B_LVL,0))&gt;=INDEX(B_VAL,MATCH(BJ175,B_LVL,0)),"⚠ At or above the manager's level","OK"))))),"—")</f>
        <v>—</v>
      </c>
      <c r="BL175" s="43" t="n"/>
      <c r="BM175" s="44">
        <f>IFERROR(INDEX(LMH_PTS,MATCH(Y175,LMH_KEY,0)),0)</f>
        <v>0</v>
      </c>
      <c r="BN175" s="38">
        <f>IFERROR(INDEX(LMH_PTS,MATCH(Z175,LMH_KEY,0)),0)</f>
        <v>0</v>
      </c>
      <c r="BO175" s="38">
        <f>IFERROR(INDEX(LMH_PTS,MATCH(AA175,LMH_KEY,0)),0)</f>
        <v>0</v>
      </c>
      <c r="BP175" s="38">
        <f>IFERROR(INDEX(LMH_PTS,MATCH(AB175,LMH_KEY,0)),0)</f>
        <v>0</v>
      </c>
      <c r="BQ175" s="38">
        <f>IFERROR(INDEX(LMH_PTS,MATCH(AC175,LMH_KEY,0)),0)</f>
        <v>0</v>
      </c>
      <c r="BR175" s="38">
        <f>IFERROR(INDEX(LMH_PTS,MATCH(AD175,LMH_KEY,0)),0)</f>
        <v>0</v>
      </c>
      <c r="BS175" s="38">
        <f>IFERROR(INDEX(LMH_PTS,MATCH(AE175,LMH_KEY,0)),0)</f>
        <v>0</v>
      </c>
      <c r="BT175" s="38">
        <f>IFERROR(INDEX(LMH_STEP,MATCH(AF175,LMH_KEY,0)),0)</f>
        <v>0</v>
      </c>
      <c r="BU175" s="38">
        <f>IFERROR(INDEX(LMH_STEP,MATCH(AG175,LMH_KEY,0)),0)</f>
        <v>0</v>
      </c>
      <c r="BV175" s="38">
        <f>IFERROR(INDEX(LMH_STEP,MATCH(AH175,LMH_KEY,0)),0)</f>
        <v>0</v>
      </c>
      <c r="BW175" s="38">
        <f>IFERROR(INDEX(LMH_STEP,MATCH(AI175,LMH_KEY,0)),0)</f>
        <v>0</v>
      </c>
      <c r="BX175" s="38">
        <f>IFERROR(INDEX(LMH_STEP,MATCH(AJ175,LMH_KEY,0)),0)</f>
        <v>0</v>
      </c>
      <c r="BY175" s="38">
        <f>IFERROR(INDEX(LMH_STEP,MATCH(AK175,LMH_KEY,0)),0)</f>
        <v>0</v>
      </c>
      <c r="BZ175" s="38">
        <f>IFERROR(INDEX(LMH_STEP,MATCH(AL175,LMH_KEY,0)),0)</f>
        <v>0</v>
      </c>
      <c r="CA175" s="38" t="inlineStr">
        <is>
          <t>CARBON|Sales|Senior Consultant – Enterprise Sales &amp; Account Management|X3|X</t>
        </is>
      </c>
    </row>
    <row r="176" ht="110" customHeight="1">
      <c r="A176" s="28" t="inlineStr">
        <is>
          <t>Corporate</t>
        </is>
      </c>
      <c r="B176" s="29" t="inlineStr">
        <is>
          <t>Finance</t>
        </is>
      </c>
      <c r="C176" s="29" t="n">
        <v>1</v>
      </c>
      <c r="D176" s="29" t="inlineStr">
        <is>
          <t>IRIS0919</t>
        </is>
      </c>
      <c r="E176" s="29" t="inlineStr">
        <is>
          <t>Vineet Kandoi</t>
        </is>
      </c>
      <c r="F176" s="29" t="inlineStr">
        <is>
          <t>Chief Financial Officer</t>
        </is>
      </c>
      <c r="G176" s="29" t="inlineStr">
        <is>
          <t>Chief Financial Officer</t>
        </is>
      </c>
      <c r="H176" s="29" t="inlineStr">
        <is>
          <t>Executive Leadership</t>
        </is>
      </c>
      <c r="I176" s="29" t="inlineStr">
        <is>
          <t>Business Head</t>
        </is>
      </c>
      <c r="J176" s="29" t="inlineStr">
        <is>
          <t>People Manager</t>
        </is>
      </c>
      <c r="K176" s="29" t="inlineStr">
        <is>
          <t>RC-EL-BH-E1</t>
        </is>
      </c>
      <c r="L176" s="29" t="inlineStr">
        <is>
          <t>Balachandran K</t>
        </is>
      </c>
      <c r="M176" s="29" t="inlineStr">
        <is>
          <t>IRIS0001</t>
        </is>
      </c>
      <c r="N176" s="29" t="n">
        <v>15</v>
      </c>
      <c r="O176" s="29" t="n">
        <v>15</v>
      </c>
      <c r="P176" s="29" t="inlineStr">
        <is>
          <t>CA + Senior Management Program</t>
        </is>
      </c>
      <c r="Q176" s="29" t="inlineStr">
        <is>
          <t>Not in current mapping files</t>
        </is>
      </c>
      <c r="R176" s="29" t="inlineStr">
        <is>
          <t>E1</t>
        </is>
      </c>
      <c r="S176" s="30" t="inlineStr">
        <is>
          <t>0 of 20</t>
        </is>
      </c>
      <c r="T17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76" s="32" t="inlineStr">
        <is>
          <t>KRAs not received · manager to supply</t>
        </is>
      </c>
      <c r="V176" s="31" t="inlineStr">
        <is>
          <t>Latest rating: Not rated · manager · 9-box: Not placed · manager · Readiness: No rating data</t>
        </is>
      </c>
      <c r="W176" s="31" t="inlineStr">
        <is>
          <t>C M · Au M · Ac M · L M · BI M · Exp L · 15 yrs vs 20+ yrs · Edu H · CA + Senior Management Program</t>
        </is>
      </c>
      <c r="X176" s="33" t="inlineStr">
        <is>
          <t>Open ▸</t>
        </is>
      </c>
      <c r="Y176" s="34" t="str">
        <f>IFERROR(INDEX(DL_C,MATCH($CA176,DL_KEY,0)),"M")</f>
        <v>H</v>
      </c>
      <c r="Z176" s="35" t="str">
        <f>IFERROR(INDEX(DL_Au,MATCH($CA176,DL_KEY,0)),"M")</f>
        <v>M</v>
      </c>
      <c r="AA176" s="35" t="str">
        <f>IFERROR(INDEX(DL_Ac,MATCH($CA176,DL_KEY,0)),"M")</f>
        <v>M</v>
      </c>
      <c r="AB176" s="35" t="str">
        <f>IFERROR(INDEX(DL_L,MATCH($CA176,DL_KEY,0)),"M")</f>
        <v>M</v>
      </c>
      <c r="AC176" s="35" t="str">
        <f>IFERROR(INDEX(DL_BI,MATCH($CA176,DL_KEY,0)),"M")</f>
        <v>L</v>
      </c>
      <c r="AD176" s="35" t="str">
        <f>IFERROR(INDEX(DL_Exp,MATCH($CA176,DL_KEY,0)),"M")</f>
        <v>L</v>
      </c>
      <c r="AE176" s="35" t="str">
        <f>IFERROR(INDEX(DL_Edu,MATCH($CA176,DL_KEY,0)),"M")</f>
        <v>L</v>
      </c>
      <c r="AF176" s="34" t="inlineStr">
        <is>
          <t>M</t>
        </is>
      </c>
      <c r="AG176" s="35" t="inlineStr">
        <is>
          <t>M</t>
        </is>
      </c>
      <c r="AH176" s="35" t="inlineStr">
        <is>
          <t>M</t>
        </is>
      </c>
      <c r="AI176" s="35" t="inlineStr">
        <is>
          <t>M</t>
        </is>
      </c>
      <c r="AJ176" s="35" t="inlineStr">
        <is>
          <t>M</t>
        </is>
      </c>
      <c r="AK176" s="35" t="inlineStr">
        <is>
          <t>M</t>
        </is>
      </c>
      <c r="AL176" s="35" t="inlineStr">
        <is>
          <t>M</t>
        </is>
      </c>
      <c r="AM176" s="36" t="n">
        <v>0.363</v>
      </c>
      <c r="AN176" s="37" t="n">
        <v>0.19</v>
      </c>
      <c r="AO176" s="37" t="n">
        <v>0.113</v>
      </c>
      <c r="AP176" s="37" t="n">
        <v>0.2</v>
      </c>
      <c r="AQ176" s="37" t="n">
        <v>0.08699999999999999</v>
      </c>
      <c r="AR176" s="37" t="n">
        <v>0.04</v>
      </c>
      <c r="AS176" s="37" t="n">
        <v>0.01</v>
      </c>
      <c r="AT176" s="38" t="inlineStr">
        <is>
          <t>20+ yrs</t>
        </is>
      </c>
      <c r="AU176" s="38" t="inlineStr">
        <is>
          <t>Postgraduate / professional qualification; business leadership record</t>
        </is>
      </c>
      <c r="AV176" s="38" t="inlineStr">
        <is>
          <t>5–8 function heads</t>
        </is>
      </c>
      <c r="AW176" s="38" t="inlineStr">
        <is>
          <t>E5 · SFIA 7</t>
        </is>
      </c>
      <c r="AX1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6" s="39" t="inlineStr">
        <is>
          <t>E1</t>
        </is>
      </c>
      <c r="AZ176" s="40" t="inlineStr">
        <is>
          <t>Band E · Enterprise leadership · CXO / President</t>
        </is>
      </c>
      <c r="BA176" s="40" t="inlineStr">
        <is>
          <t>Model E1 from the six ratings, the market-derived weights and rules R1–R13 · then Band E with Band E · agreed exception · manager E2</t>
        </is>
      </c>
      <c r="BB176" s="41" t="inlineStr">
        <is>
          <t>E1</t>
        </is>
      </c>
      <c r="BC176" s="40" t="inlineStr">
        <is>
          <t>The six ratings on the market-average weights of Bands D–E · Leadership score 10.90 → E1 · Hay, Mercer IPE and public plans · experience 15 yrs vs the E1 market range 20+ yrs</t>
        </is>
      </c>
      <c r="BD176" s="42">
        <f>IF(SUM(BM176,BN176,BO176,BP176,BQ176,BR176,BS176)=0,0,(BM176*BT176+BN176*BU176+BO176*BV176+BP176*BW176+BQ176*BX176+BR176*BY176+BS176*BZ176)/SUM(BM176,BN176,BO176,BP176,BQ176,BR176,BS176))</f>
        <v>0</v>
      </c>
      <c r="BE176" s="41" t="str">
        <f>IF(LEFT(AY176,1)="X",AY176,IF(OR(AY176="B+",AY176="C+"),INDEX(LAD_PC,MAX(1,MIN(14,MATCH(AY176,LAD_PC,0)+IF(BD176&gt;=0.5,1,IF(BD176&lt;=-0.5,-1,0))))),INDEX(LAD_STD,MAX(1,MIN(12,MATCH(AY176,LAD_STD,0)+IF(BD176&gt;=0.5,1,IF(BD176&lt;=-0.5,-1,0)))))))</f>
        <v>E1</v>
      </c>
      <c r="BF176" s="43" t="n"/>
      <c r="BG176" s="41" t="str">
        <f>IF(BF176&lt;&gt;"",BF176,BE176)</f>
        <v>E1</v>
      </c>
      <c r="BH176" s="40" t="str">
        <f>IFERROR(CHOOSE(INDEX(B_RANK,MATCH(BG176,B_LVL,0)),"Band A","Band B","B+ · Player-Coach","Band C","C+ · Player-Coach","Band D","Band E"),"Band X · Consultant")</f>
        <v>Band E</v>
      </c>
      <c r="BI176" s="40" t="str">
        <f>IF(BG176=AY176,"• Same",IF(INDEX(B_VAL,MATCH(BG176,B_LVL,0))&gt;INDEX(B_VAL,MATCH(AY176,B_LVL,0)),"▲ Up","▼ Down"))</f>
        <v>• Same</v>
      </c>
      <c r="BJ176" s="40" t="str">
        <f>IF(OR($M176="",$M176="—",$M176="Not in this file"),"",IFERROR(INDEX($BG$7:$BG$592,MATCH($M176,$D$7:$D$592,0)),""))</f>
        <v>E2</v>
      </c>
      <c r="BK176" s="40" t="str">
        <f>IFERROR(IF(BJ176="","—",IF(OR(LEFT(BG176,1)="X",LEFT(BJ176,1)="X"),"—",IF(AND(LEFT(BG176,1)="E",LEFT(BJ176,1)="E"),"Exception · Band E",IF(AND(INDEX(B_VAL,MATCH(BJ176,B_LVL,0))&gt;=7,INDEX(B_RANK,MATCH(BG176,B_LVL,0))&gt;=INDEX(B_RANK,MATCH(BJ176,B_LVL,0))),"⚠ Same band as a head manager",IF(INDEX(B_VAL,MATCH(BG176,B_LVL,0))&gt;=INDEX(B_VAL,MATCH(BJ176,B_LVL,0)),"⚠ At or above the manager's level","OK"))))),"—")</f>
        <v>Exception · Band E</v>
      </c>
      <c r="BL176" s="43" t="n"/>
      <c r="BM176" s="44">
        <f>IFERROR(INDEX(LMH_PTS,MATCH(Y176,LMH_KEY,0)),0)</f>
        <v>9</v>
      </c>
      <c r="BN176" s="38">
        <f>IFERROR(INDEX(LMH_PTS,MATCH(Z176,LMH_KEY,0)),0)</f>
        <v>3</v>
      </c>
      <c r="BO176" s="38">
        <f>IFERROR(INDEX(LMH_PTS,MATCH(AA176,LMH_KEY,0)),0)</f>
        <v>3</v>
      </c>
      <c r="BP176" s="38">
        <f>IFERROR(INDEX(LMH_PTS,MATCH(AB176,LMH_KEY,0)),0)</f>
        <v>3</v>
      </c>
      <c r="BQ176" s="38">
        <f>IFERROR(INDEX(LMH_PTS,MATCH(AC176,LMH_KEY,0)),0)</f>
        <v>1</v>
      </c>
      <c r="BR176" s="38">
        <f>IFERROR(INDEX(LMH_PTS,MATCH(AD176,LMH_KEY,0)),0)</f>
        <v>1</v>
      </c>
      <c r="BS176" s="38">
        <f>IFERROR(INDEX(LMH_PTS,MATCH(AE176,LMH_KEY,0)),0)</f>
        <v>1</v>
      </c>
      <c r="BT176" s="38">
        <f>IFERROR(INDEX(LMH_STEP,MATCH(AF176,LMH_KEY,0)),0)</f>
        <v>0</v>
      </c>
      <c r="BU176" s="38">
        <f>IFERROR(INDEX(LMH_STEP,MATCH(AG176,LMH_KEY,0)),0)</f>
        <v>0</v>
      </c>
      <c r="BV176" s="38">
        <f>IFERROR(INDEX(LMH_STEP,MATCH(AH176,LMH_KEY,0)),0)</f>
        <v>0</v>
      </c>
      <c r="BW176" s="38">
        <f>IFERROR(INDEX(LMH_STEP,MATCH(AI176,LMH_KEY,0)),0)</f>
        <v>0</v>
      </c>
      <c r="BX176" s="38">
        <f>IFERROR(INDEX(LMH_STEP,MATCH(AJ176,LMH_KEY,0)),0)</f>
        <v>0</v>
      </c>
      <c r="BY176" s="38">
        <f>IFERROR(INDEX(LMH_STEP,MATCH(AK176,LMH_KEY,0)),0)</f>
        <v>0</v>
      </c>
      <c r="BZ176" s="38">
        <f>IFERROR(INDEX(LMH_STEP,MATCH(AL176,LMH_KEY,0)),0)</f>
        <v>0</v>
      </c>
      <c r="CA176" s="38" t="inlineStr">
        <is>
          <t>Corporate|Finance|Chief Financial Officer|E1|DE</t>
        </is>
      </c>
    </row>
    <row r="177" ht="110" customHeight="1">
      <c r="A177" s="28" t="inlineStr">
        <is>
          <t>Corporate</t>
        </is>
      </c>
      <c r="B177" s="29" t="inlineStr">
        <is>
          <t>Finance</t>
        </is>
      </c>
      <c r="C177" s="29" t="n">
        <v>2</v>
      </c>
      <c r="D177" s="29" t="inlineStr">
        <is>
          <t>IRIS1918</t>
        </is>
      </c>
      <c r="E177" s="29" t="inlineStr">
        <is>
          <t>Nishant Gupta</t>
        </is>
      </c>
      <c r="F177" s="29" t="inlineStr">
        <is>
          <t>Head Finance &amp; Accounts</t>
        </is>
      </c>
      <c r="G177" s="29" t="inlineStr">
        <is>
          <t>Associate Head – Finance &amp; Accounts</t>
        </is>
      </c>
      <c r="H177" s="29" t="inlineStr">
        <is>
          <t>Finance &amp; Accounts</t>
        </is>
      </c>
      <c r="I177" s="29" t="inlineStr">
        <is>
          <t>Finance Leadership</t>
        </is>
      </c>
      <c r="J177" s="29" t="inlineStr">
        <is>
          <t>People Manager</t>
        </is>
      </c>
      <c r="K177" s="29" t="inlineStr">
        <is>
          <t>RC-097</t>
        </is>
      </c>
      <c r="L177" s="29" t="inlineStr">
        <is>
          <t>Vineet Kandoi</t>
        </is>
      </c>
      <c r="M177" s="29" t="inlineStr">
        <is>
          <t>IRIS0919</t>
        </is>
      </c>
      <c r="N177" s="29" t="n">
        <v>7.3</v>
      </c>
      <c r="O177" s="29" t="n">
        <v>5.3</v>
      </c>
      <c r="P177" s="29" t="inlineStr">
        <is>
          <t>CA</t>
        </is>
      </c>
      <c r="Q177" s="29" t="inlineStr">
        <is>
          <t>Not in current mapping files</t>
        </is>
      </c>
      <c r="R177" s="29" t="inlineStr">
        <is>
          <t>C1</t>
        </is>
      </c>
      <c r="S177" s="30" t="inlineStr">
        <is>
          <t>0 of 20</t>
        </is>
      </c>
      <c r="T17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77" s="32" t="inlineStr">
        <is>
          <t>KRAs not received · manager to supply</t>
        </is>
      </c>
      <c r="V177" s="31" t="inlineStr">
        <is>
          <t>Latest rating: Not rated · manager · 9-box: Not placed · manager · Readiness: No rating data</t>
        </is>
      </c>
      <c r="W177" s="31" t="inlineStr">
        <is>
          <t>C H · Au H · Ac M · L M · BI M · Exp L · 7.3 yrs vs 10–14 yrs · Edu H · CA</t>
        </is>
      </c>
      <c r="X177" s="33" t="inlineStr">
        <is>
          <t>Open ▸</t>
        </is>
      </c>
      <c r="Y177" s="34" t="str">
        <f>IFERROR(INDEX(DL_C,MATCH($CA177,DL_KEY,0)),"M")</f>
        <v>H</v>
      </c>
      <c r="Z177" s="35" t="str">
        <f>IFERROR(INDEX(DL_Au,MATCH($CA177,DL_KEY,0)),"M")</f>
        <v>M</v>
      </c>
      <c r="AA177" s="35" t="str">
        <f>IFERROR(INDEX(DL_Ac,MATCH($CA177,DL_KEY,0)),"M")</f>
        <v>M</v>
      </c>
      <c r="AB177" s="35" t="str">
        <f>IFERROR(INDEX(DL_L,MATCH($CA177,DL_KEY,0)),"M")</f>
        <v>M</v>
      </c>
      <c r="AC177" s="35" t="str">
        <f>IFERROR(INDEX(DL_BI,MATCH($CA177,DL_KEY,0)),"M")</f>
        <v>L</v>
      </c>
      <c r="AD177" s="35" t="str">
        <f>IFERROR(INDEX(DL_Exp,MATCH($CA177,DL_KEY,0)),"M")</f>
        <v>L</v>
      </c>
      <c r="AE177" s="35" t="str">
        <f>IFERROR(INDEX(DL_Edu,MATCH($CA177,DL_KEY,0)),"M")</f>
        <v>L</v>
      </c>
      <c r="AF177" s="34" t="inlineStr">
        <is>
          <t>M</t>
        </is>
      </c>
      <c r="AG177" s="35" t="inlineStr">
        <is>
          <t>M</t>
        </is>
      </c>
      <c r="AH177" s="35" t="inlineStr">
        <is>
          <t>M</t>
        </is>
      </c>
      <c r="AI177" s="35" t="inlineStr">
        <is>
          <t>M</t>
        </is>
      </c>
      <c r="AJ177" s="35" t="inlineStr">
        <is>
          <t>M</t>
        </is>
      </c>
      <c r="AK177" s="35" t="inlineStr">
        <is>
          <t>M</t>
        </is>
      </c>
      <c r="AL177" s="35" t="inlineStr">
        <is>
          <t>M</t>
        </is>
      </c>
      <c r="AM177" s="36" t="n">
        <v>0.433</v>
      </c>
      <c r="AN177" s="37" t="n">
        <v>0.18</v>
      </c>
      <c r="AO177" s="37" t="n">
        <v>0.107</v>
      </c>
      <c r="AP177" s="37" t="n">
        <v>0.15</v>
      </c>
      <c r="AQ177" s="37" t="n">
        <v>0.08</v>
      </c>
      <c r="AR177" s="37" t="n">
        <v>0.04</v>
      </c>
      <c r="AS177" s="37" t="n">
        <v>0.01</v>
      </c>
      <c r="AT177" s="38" t="inlineStr">
        <is>
          <t>12–17</t>
        </is>
      </c>
      <c r="AU177" s="38" t="inlineStr">
        <is>
          <t>Postgraduate / professional qualification preferred</t>
        </is>
      </c>
      <c r="AV177" s="38" t="inlineStr">
        <is>
          <t>5–8, mostly managers</t>
        </is>
      </c>
      <c r="AW177" s="38" t="inlineStr">
        <is>
          <t>P6 / M5 · SFIA 5–6</t>
        </is>
      </c>
      <c r="AX1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7" s="39" t="inlineStr">
        <is>
          <t>C1</t>
        </is>
      </c>
      <c r="AZ177" s="40" t="inlineStr">
        <is>
          <t>Band C · Principal / Head · Associate Head</t>
        </is>
      </c>
      <c r="BA177" s="40" t="inlineStr">
        <is>
          <t>Model C1 from the six ratings, the market-derived weights and rules R1–R13 · then No change · already below the manager</t>
        </is>
      </c>
      <c r="BB177" s="41" t="inlineStr">
        <is>
          <t>C1</t>
        </is>
      </c>
      <c r="BC177" s="40" t="inlineStr">
        <is>
          <t>The six ratings on the market-average weights of Band C · Head / manager score 7.47 → C1 · Hay, Mercer IPE and public plans · experience 7.3 yrs vs the C1 market range 12–17</t>
        </is>
      </c>
      <c r="BD177" s="42">
        <f>IF(SUM(BM177,BN177,BO177,BP177,BQ177,BR177,BS177)=0,0,(BM177*BT177+BN177*BU177+BO177*BV177+BP177*BW177+BQ177*BX177+BR177*BY177+BS177*BZ177)/SUM(BM177,BN177,BO177,BP177,BQ177,BR177,BS177))</f>
        <v>0</v>
      </c>
      <c r="BE177" s="41" t="str">
        <f>IF(LEFT(AY177,1)="X",AY177,IF(OR(AY177="B+",AY177="C+"),INDEX(LAD_PC,MAX(1,MIN(14,MATCH(AY177,LAD_PC,0)+IF(BD177&gt;=0.5,1,IF(BD177&lt;=-0.5,-1,0))))),INDEX(LAD_STD,MAX(1,MIN(12,MATCH(AY177,LAD_STD,0)+IF(BD177&gt;=0.5,1,IF(BD177&lt;=-0.5,-1,0)))))))</f>
        <v>C1</v>
      </c>
      <c r="BF177" s="43" t="n"/>
      <c r="BG177" s="41" t="str">
        <f>IF(BF177&lt;&gt;"",BF177,BE177)</f>
        <v>C1</v>
      </c>
      <c r="BH177" s="40" t="str">
        <f>IFERROR(CHOOSE(INDEX(B_RANK,MATCH(BG177,B_LVL,0)),"Band A","Band B","B+ · Player-Coach","Band C","C+ · Player-Coach","Band D","Band E"),"Band X · Consultant")</f>
        <v>Band C</v>
      </c>
      <c r="BI177" s="40" t="str">
        <f>IF(BG177=AY177,"• Same",IF(INDEX(B_VAL,MATCH(BG177,B_LVL,0))&gt;INDEX(B_VAL,MATCH(AY177,B_LVL,0)),"▲ Up","▼ Down"))</f>
        <v>• Same</v>
      </c>
      <c r="BJ177" s="40" t="str">
        <f>IF(OR($M177="",$M177="—",$M177="Not in this file"),"",IFERROR(INDEX($BG$7:$BG$592,MATCH($M177,$D$7:$D$592,0)),""))</f>
        <v>E1</v>
      </c>
      <c r="BK177" s="40" t="str">
        <f>IFERROR(IF(BJ177="","—",IF(OR(LEFT(BG177,1)="X",LEFT(BJ177,1)="X"),"—",IF(AND(LEFT(BG177,1)="E",LEFT(BJ177,1)="E"),"Exception · Band E",IF(AND(INDEX(B_VAL,MATCH(BJ177,B_LVL,0))&gt;=7,INDEX(B_RANK,MATCH(BG177,B_LVL,0))&gt;=INDEX(B_RANK,MATCH(BJ177,B_LVL,0))),"⚠ Same band as a head manager",IF(INDEX(B_VAL,MATCH(BG177,B_LVL,0))&gt;=INDEX(B_VAL,MATCH(BJ177,B_LVL,0)),"⚠ At or above the manager's level","OK"))))),"—")</f>
        <v>OK</v>
      </c>
      <c r="BL177" s="43" t="n"/>
      <c r="BM177" s="44">
        <f>IFERROR(INDEX(LMH_PTS,MATCH(Y177,LMH_KEY,0)),0)</f>
        <v>9</v>
      </c>
      <c r="BN177" s="38">
        <f>IFERROR(INDEX(LMH_PTS,MATCH(Z177,LMH_KEY,0)),0)</f>
        <v>3</v>
      </c>
      <c r="BO177" s="38">
        <f>IFERROR(INDEX(LMH_PTS,MATCH(AA177,LMH_KEY,0)),0)</f>
        <v>3</v>
      </c>
      <c r="BP177" s="38">
        <f>IFERROR(INDEX(LMH_PTS,MATCH(AB177,LMH_KEY,0)),0)</f>
        <v>3</v>
      </c>
      <c r="BQ177" s="38">
        <f>IFERROR(INDEX(LMH_PTS,MATCH(AC177,LMH_KEY,0)),0)</f>
        <v>1</v>
      </c>
      <c r="BR177" s="38">
        <f>IFERROR(INDEX(LMH_PTS,MATCH(AD177,LMH_KEY,0)),0)</f>
        <v>1</v>
      </c>
      <c r="BS177" s="38">
        <f>IFERROR(INDEX(LMH_PTS,MATCH(AE177,LMH_KEY,0)),0)</f>
        <v>1</v>
      </c>
      <c r="BT177" s="38">
        <f>IFERROR(INDEX(LMH_STEP,MATCH(AF177,LMH_KEY,0)),0)</f>
        <v>0</v>
      </c>
      <c r="BU177" s="38">
        <f>IFERROR(INDEX(LMH_STEP,MATCH(AG177,LMH_KEY,0)),0)</f>
        <v>0</v>
      </c>
      <c r="BV177" s="38">
        <f>IFERROR(INDEX(LMH_STEP,MATCH(AH177,LMH_KEY,0)),0)</f>
        <v>0</v>
      </c>
      <c r="BW177" s="38">
        <f>IFERROR(INDEX(LMH_STEP,MATCH(AI177,LMH_KEY,0)),0)</f>
        <v>0</v>
      </c>
      <c r="BX177" s="38">
        <f>IFERROR(INDEX(LMH_STEP,MATCH(AJ177,LMH_KEY,0)),0)</f>
        <v>0</v>
      </c>
      <c r="BY177" s="38">
        <f>IFERROR(INDEX(LMH_STEP,MATCH(AK177,LMH_KEY,0)),0)</f>
        <v>0</v>
      </c>
      <c r="BZ177" s="38">
        <f>IFERROR(INDEX(LMH_STEP,MATCH(AL177,LMH_KEY,0)),0)</f>
        <v>0</v>
      </c>
      <c r="CA177" s="38" t="inlineStr">
        <is>
          <t>Corporate|Finance|Associate Head – Finance &amp; Accounts|C1|C-M</t>
        </is>
      </c>
    </row>
    <row r="178" ht="110" customHeight="1">
      <c r="A178" s="28" t="inlineStr">
        <is>
          <t>Corporate</t>
        </is>
      </c>
      <c r="B178" s="29" t="inlineStr">
        <is>
          <t>Finance</t>
        </is>
      </c>
      <c r="C178" s="29" t="n">
        <v>3</v>
      </c>
      <c r="D178" s="29" t="inlineStr">
        <is>
          <t>IRIS1508</t>
        </is>
      </c>
      <c r="E178" s="29" t="inlineStr">
        <is>
          <t>Winny Nair</t>
        </is>
      </c>
      <c r="F178" s="29" t="inlineStr">
        <is>
          <t>Manager - Finance and Accounts</t>
        </is>
      </c>
      <c r="G178" s="29" t="inlineStr">
        <is>
          <t>Senior Finance Specialist – POD Lead</t>
        </is>
      </c>
      <c r="H178" s="29" t="inlineStr">
        <is>
          <t>Finance &amp; Accounts</t>
        </is>
      </c>
      <c r="I178" s="29" t="inlineStr">
        <is>
          <t>Financial Reporting, Compliance &amp; Audit</t>
        </is>
      </c>
      <c r="J178" s="29" t="inlineStr">
        <is>
          <t>POD Lead</t>
        </is>
      </c>
      <c r="K178" s="29" t="inlineStr">
        <is>
          <t>RC-099</t>
        </is>
      </c>
      <c r="L178" s="29" t="inlineStr">
        <is>
          <t>Nishant Gupta</t>
        </is>
      </c>
      <c r="M178" s="29" t="inlineStr">
        <is>
          <t>IRIS1918</t>
        </is>
      </c>
      <c r="N178" s="29" t="n">
        <v>19.9</v>
      </c>
      <c r="O178" s="29" t="n">
        <v>11.7</v>
      </c>
      <c r="P178" s="29" t="inlineStr">
        <is>
          <t>PGDM</t>
        </is>
      </c>
      <c r="Q178" s="29" t="inlineStr">
        <is>
          <t>Not in current mapping files</t>
        </is>
      </c>
      <c r="R178" s="29" t="inlineStr">
        <is>
          <t>B2</t>
        </is>
      </c>
      <c r="S178" s="30" t="inlineStr">
        <is>
          <t>19 of 20</t>
        </is>
      </c>
      <c r="T178" s="31"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t>
        </is>
      </c>
      <c r="U178" s="32" t="inlineStr">
        <is>
          <t>KRAs not received · manager to supply</t>
        </is>
      </c>
      <c r="V178" s="31" t="inlineStr">
        <is>
          <t>Latest rating: Not rated · manager · 9-box: Not placed · manager · Readiness: No rating data</t>
        </is>
      </c>
      <c r="W178" s="31" t="inlineStr">
        <is>
          <t>C M · Au L · Ac M · L L · BI M · Exp H · 19.9 yrs vs 6–9 yrs · Edu H · PGDM</t>
        </is>
      </c>
      <c r="X178" s="33" t="inlineStr">
        <is>
          <t>Open ▸</t>
        </is>
      </c>
      <c r="Y178" s="34" t="str">
        <f>IFERROR(INDEX(DL_C,MATCH($CA178,DL_KEY,0)),"M")</f>
        <v>H</v>
      </c>
      <c r="Z178" s="35" t="str">
        <f>IFERROR(INDEX(DL_Au,MATCH($CA178,DL_KEY,0)),"M")</f>
        <v>M</v>
      </c>
      <c r="AA178" s="35" t="str">
        <f>IFERROR(INDEX(DL_Ac,MATCH($CA178,DL_KEY,0)),"M")</f>
        <v>M</v>
      </c>
      <c r="AB178" s="35" t="str">
        <f>IFERROR(INDEX(DL_L,MATCH($CA178,DL_KEY,0)),"M")</f>
        <v>L</v>
      </c>
      <c r="AC178" s="35" t="str">
        <f>IFERROR(INDEX(DL_BI,MATCH($CA178,DL_KEY,0)),"M")</f>
        <v>L</v>
      </c>
      <c r="AD178" s="35" t="str">
        <f>IFERROR(INDEX(DL_Exp,MATCH($CA178,DL_KEY,0)),"M")</f>
        <v>L</v>
      </c>
      <c r="AE178" s="35" t="str">
        <f>IFERROR(INDEX(DL_Edu,MATCH($CA178,DL_KEY,0)),"M")</f>
        <v>L</v>
      </c>
      <c r="AF178" s="34" t="inlineStr">
        <is>
          <t>M</t>
        </is>
      </c>
      <c r="AG178" s="35" t="inlineStr">
        <is>
          <t>M</t>
        </is>
      </c>
      <c r="AH178" s="35" t="inlineStr">
        <is>
          <t>M</t>
        </is>
      </c>
      <c r="AI178" s="35" t="inlineStr">
        <is>
          <t>M</t>
        </is>
      </c>
      <c r="AJ178" s="35" t="inlineStr">
        <is>
          <t>M</t>
        </is>
      </c>
      <c r="AK178" s="35" t="inlineStr">
        <is>
          <t>M</t>
        </is>
      </c>
      <c r="AL178" s="35" t="inlineStr">
        <is>
          <t>M</t>
        </is>
      </c>
      <c r="AM178" s="36" t="n">
        <v>0.513</v>
      </c>
      <c r="AN178" s="37" t="n">
        <v>0.173</v>
      </c>
      <c r="AO178" s="37" t="n">
        <v>0.09699999999999999</v>
      </c>
      <c r="AP178" s="37" t="n">
        <v>0.05</v>
      </c>
      <c r="AQ178" s="37" t="n">
        <v>0.07000000000000001</v>
      </c>
      <c r="AR178" s="37" t="n">
        <v>0.06</v>
      </c>
      <c r="AS178" s="37" t="n">
        <v>0.04</v>
      </c>
      <c r="AT178" s="38" t="inlineStr">
        <is>
          <t>6–10</t>
        </is>
      </c>
      <c r="AU178" s="38" t="inlineStr">
        <is>
          <t>Graduate or postgraduate; professional qualification preferred</t>
        </is>
      </c>
      <c r="AV178" s="38" t="inlineStr">
        <is>
          <t>IC: none · People: 6–8 knowledge work, 8–12 standardised delivery</t>
        </is>
      </c>
      <c r="AW178" s="38" t="inlineStr">
        <is>
          <t>P4 / M3 · SFIA 4–5</t>
        </is>
      </c>
      <c r="AX1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8" s="39" t="inlineStr">
        <is>
          <t>B2</t>
        </is>
      </c>
      <c r="AZ178" s="40" t="inlineStr">
        <is>
          <t>Band B · Specialist / Manager · Manager</t>
        </is>
      </c>
      <c r="BA178" s="40" t="inlineStr">
        <is>
          <t>Model B2 from the six ratings, the market-derived weights and rules R1–R13 · then No change · already below the manager</t>
        </is>
      </c>
      <c r="BB178" s="41" t="inlineStr">
        <is>
          <t>B2</t>
        </is>
      </c>
      <c r="BC178" s="40" t="inlineStr">
        <is>
          <t>The six ratings on the market-average weights of Band B · Specialist / POD Lead score 5.17 → B2 · Hay, Mercer IPE and public plans · experience 19.9 yrs vs the B2 market range 6–10</t>
        </is>
      </c>
      <c r="BD178" s="42">
        <f>IF(SUM(BM178,BN178,BO178,BP178,BQ178,BR178,BS178)=0,0,(BM178*BT178+BN178*BU178+BO178*BV178+BP178*BW178+BQ178*BX178+BR178*BY178+BS178*BZ178)/SUM(BM178,BN178,BO178,BP178,BQ178,BR178,BS178))</f>
        <v>0</v>
      </c>
      <c r="BE178" s="41" t="str">
        <f>IF(LEFT(AY178,1)="X",AY178,IF(OR(AY178="B+",AY178="C+"),INDEX(LAD_PC,MAX(1,MIN(14,MATCH(AY178,LAD_PC,0)+IF(BD178&gt;=0.5,1,IF(BD178&lt;=-0.5,-1,0))))),INDEX(LAD_STD,MAX(1,MIN(12,MATCH(AY178,LAD_STD,0)+IF(BD178&gt;=0.5,1,IF(BD178&lt;=-0.5,-1,0)))))))</f>
        <v>B2</v>
      </c>
      <c r="BF178" s="43" t="n"/>
      <c r="BG178" s="41" t="str">
        <f>IF(BF178&lt;&gt;"",BF178,BE178)</f>
        <v>B2</v>
      </c>
      <c r="BH178" s="40" t="str">
        <f>IFERROR(CHOOSE(INDEX(B_RANK,MATCH(BG178,B_LVL,0)),"Band A","Band B","B+ · Player-Coach","Band C","C+ · Player-Coach","Band D","Band E"),"Band X · Consultant")</f>
        <v>Band B</v>
      </c>
      <c r="BI178" s="40" t="str">
        <f>IF(BG178=AY178,"• Same",IF(INDEX(B_VAL,MATCH(BG178,B_LVL,0))&gt;INDEX(B_VAL,MATCH(AY178,B_LVL,0)),"▲ Up","▼ Down"))</f>
        <v>• Same</v>
      </c>
      <c r="BJ178" s="40" t="str">
        <f>IF(OR($M178="",$M178="—",$M178="Not in this file"),"",IFERROR(INDEX($BG$7:$BG$592,MATCH($M178,$D$7:$D$592,0)),""))</f>
        <v>C1</v>
      </c>
      <c r="BK178" s="40" t="str">
        <f>IFERROR(IF(BJ178="","—",IF(OR(LEFT(BG178,1)="X",LEFT(BJ178,1)="X"),"—",IF(AND(LEFT(BG178,1)="E",LEFT(BJ178,1)="E"),"Exception · Band E",IF(AND(INDEX(B_VAL,MATCH(BJ178,B_LVL,0))&gt;=7,INDEX(B_RANK,MATCH(BG178,B_LVL,0))&gt;=INDEX(B_RANK,MATCH(BJ178,B_LVL,0))),"⚠ Same band as a head manager",IF(INDEX(B_VAL,MATCH(BG178,B_LVL,0))&gt;=INDEX(B_VAL,MATCH(BJ178,B_LVL,0)),"⚠ At or above the manager's level","OK"))))),"—")</f>
        <v>OK</v>
      </c>
      <c r="BL178" s="43" t="n"/>
      <c r="BM178" s="44">
        <f>IFERROR(INDEX(LMH_PTS,MATCH(Y178,LMH_KEY,0)),0)</f>
        <v>9</v>
      </c>
      <c r="BN178" s="38">
        <f>IFERROR(INDEX(LMH_PTS,MATCH(Z178,LMH_KEY,0)),0)</f>
        <v>3</v>
      </c>
      <c r="BO178" s="38">
        <f>IFERROR(INDEX(LMH_PTS,MATCH(AA178,LMH_KEY,0)),0)</f>
        <v>3</v>
      </c>
      <c r="BP178" s="38">
        <f>IFERROR(INDEX(LMH_PTS,MATCH(AB178,LMH_KEY,0)),0)</f>
        <v>1</v>
      </c>
      <c r="BQ178" s="38">
        <f>IFERROR(INDEX(LMH_PTS,MATCH(AC178,LMH_KEY,0)),0)</f>
        <v>1</v>
      </c>
      <c r="BR178" s="38">
        <f>IFERROR(INDEX(LMH_PTS,MATCH(AD178,LMH_KEY,0)),0)</f>
        <v>1</v>
      </c>
      <c r="BS178" s="38">
        <f>IFERROR(INDEX(LMH_PTS,MATCH(AE178,LMH_KEY,0)),0)</f>
        <v>1</v>
      </c>
      <c r="BT178" s="38">
        <f>IFERROR(INDEX(LMH_STEP,MATCH(AF178,LMH_KEY,0)),0)</f>
        <v>0</v>
      </c>
      <c r="BU178" s="38">
        <f>IFERROR(INDEX(LMH_STEP,MATCH(AG178,LMH_KEY,0)),0)</f>
        <v>0</v>
      </c>
      <c r="BV178" s="38">
        <f>IFERROR(INDEX(LMH_STEP,MATCH(AH178,LMH_KEY,0)),0)</f>
        <v>0</v>
      </c>
      <c r="BW178" s="38">
        <f>IFERROR(INDEX(LMH_STEP,MATCH(AI178,LMH_KEY,0)),0)</f>
        <v>0</v>
      </c>
      <c r="BX178" s="38">
        <f>IFERROR(INDEX(LMH_STEP,MATCH(AJ178,LMH_KEY,0)),0)</f>
        <v>0</v>
      </c>
      <c r="BY178" s="38">
        <f>IFERROR(INDEX(LMH_STEP,MATCH(AK178,LMH_KEY,0)),0)</f>
        <v>0</v>
      </c>
      <c r="BZ178" s="38">
        <f>IFERROR(INDEX(LMH_STEP,MATCH(AL178,LMH_KEY,0)),0)</f>
        <v>0</v>
      </c>
      <c r="CA178" s="38" t="inlineStr">
        <is>
          <t>Corporate|Finance|Senior Finance Specialist – POD Lead|B2|B-IC</t>
        </is>
      </c>
    </row>
    <row r="179" ht="110" customHeight="1">
      <c r="A179" s="28" t="inlineStr">
        <is>
          <t>Corporate</t>
        </is>
      </c>
      <c r="B179" s="29" t="inlineStr">
        <is>
          <t>Finance</t>
        </is>
      </c>
      <c r="C179" s="29" t="n">
        <v>4</v>
      </c>
      <c r="D179" s="29" t="inlineStr">
        <is>
          <t>IRIS2214</t>
        </is>
      </c>
      <c r="E179" s="29" t="inlineStr">
        <is>
          <t>Shreya Singh</t>
        </is>
      </c>
      <c r="F179" s="29" t="inlineStr">
        <is>
          <t>Assistant Manager - Finance and Accounts</t>
        </is>
      </c>
      <c r="G179" s="29" t="inlineStr">
        <is>
          <t>Finance Specialist – POD Lead</t>
        </is>
      </c>
      <c r="H179" s="29" t="inlineStr">
        <is>
          <t>Finance &amp; Accounts</t>
        </is>
      </c>
      <c r="I179" s="29" t="inlineStr">
        <is>
          <t>Financial Reporting, Compliance &amp; Audit</t>
        </is>
      </c>
      <c r="J179" s="29" t="inlineStr">
        <is>
          <t>POD Lead</t>
        </is>
      </c>
      <c r="K179" s="29" t="inlineStr">
        <is>
          <t>RC-098</t>
        </is>
      </c>
      <c r="L179" s="29" t="inlineStr">
        <is>
          <t>Winny Nair</t>
        </is>
      </c>
      <c r="M179" s="29" t="inlineStr">
        <is>
          <t>IRIS1508</t>
        </is>
      </c>
      <c r="N179" s="29" t="n">
        <v>6.1</v>
      </c>
      <c r="O179" s="29" t="n">
        <v>2.8</v>
      </c>
      <c r="P179" s="29" t="inlineStr">
        <is>
          <t>B.Com</t>
        </is>
      </c>
      <c r="Q179" s="29" t="inlineStr">
        <is>
          <t>Not in current mapping files</t>
        </is>
      </c>
      <c r="R179" s="29" t="inlineStr">
        <is>
          <t>B1</t>
        </is>
      </c>
      <c r="S179" s="30" t="inlineStr">
        <is>
          <t>20 of 20</t>
        </is>
      </c>
      <c r="T179" s="31"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t>
        </is>
      </c>
      <c r="U179" s="32" t="inlineStr">
        <is>
          <t>KRAs not received · manager to supply</t>
        </is>
      </c>
      <c r="V179" s="31" t="inlineStr">
        <is>
          <t>Latest rating: Not rated · manager · 9-box: Not placed · manager · Readiness: No rating data</t>
        </is>
      </c>
      <c r="W179" s="31" t="inlineStr">
        <is>
          <t>C M · Au M · Ac M · L M · BI M · Exp M · 6.1 yrs vs 4–7 yrs · Edu M · B.Com</t>
        </is>
      </c>
      <c r="X179" s="33" t="inlineStr">
        <is>
          <t>Open ▸</t>
        </is>
      </c>
      <c r="Y179" s="34" t="str">
        <f>IFERROR(INDEX(DL_C,MATCH($CA179,DL_KEY,0)),"M")</f>
        <v>H</v>
      </c>
      <c r="Z179" s="35" t="str">
        <f>IFERROR(INDEX(DL_Au,MATCH($CA179,DL_KEY,0)),"M")</f>
        <v>M</v>
      </c>
      <c r="AA179" s="35" t="str">
        <f>IFERROR(INDEX(DL_Ac,MATCH($CA179,DL_KEY,0)),"M")</f>
        <v>M</v>
      </c>
      <c r="AB179" s="35" t="str">
        <f>IFERROR(INDEX(DL_L,MATCH($CA179,DL_KEY,0)),"M")</f>
        <v>L</v>
      </c>
      <c r="AC179" s="35" t="str">
        <f>IFERROR(INDEX(DL_BI,MATCH($CA179,DL_KEY,0)),"M")</f>
        <v>L</v>
      </c>
      <c r="AD179" s="35" t="str">
        <f>IFERROR(INDEX(DL_Exp,MATCH($CA179,DL_KEY,0)),"M")</f>
        <v>L</v>
      </c>
      <c r="AE179" s="35" t="str">
        <f>IFERROR(INDEX(DL_Edu,MATCH($CA179,DL_KEY,0)),"M")</f>
        <v>L</v>
      </c>
      <c r="AF179" s="34" t="inlineStr">
        <is>
          <t>M</t>
        </is>
      </c>
      <c r="AG179" s="35" t="inlineStr">
        <is>
          <t>M</t>
        </is>
      </c>
      <c r="AH179" s="35" t="inlineStr">
        <is>
          <t>M</t>
        </is>
      </c>
      <c r="AI179" s="35" t="inlineStr">
        <is>
          <t>M</t>
        </is>
      </c>
      <c r="AJ179" s="35" t="inlineStr">
        <is>
          <t>M</t>
        </is>
      </c>
      <c r="AK179" s="35" t="inlineStr">
        <is>
          <t>M</t>
        </is>
      </c>
      <c r="AL179" s="35" t="inlineStr">
        <is>
          <t>M</t>
        </is>
      </c>
      <c r="AM179" s="36" t="n">
        <v>0.513</v>
      </c>
      <c r="AN179" s="37" t="n">
        <v>0.173</v>
      </c>
      <c r="AO179" s="37" t="n">
        <v>0.09699999999999999</v>
      </c>
      <c r="AP179" s="37" t="n">
        <v>0.05</v>
      </c>
      <c r="AQ179" s="37" t="n">
        <v>0.07000000000000001</v>
      </c>
      <c r="AR179" s="37" t="n">
        <v>0.06</v>
      </c>
      <c r="AS179" s="37" t="n">
        <v>0.04</v>
      </c>
      <c r="AT179" s="38" t="inlineStr">
        <is>
          <t>4–8</t>
        </is>
      </c>
      <c r="AU179" s="38" t="inlineStr">
        <is>
          <t>Graduate + relevant qualification or certification preferred</t>
        </is>
      </c>
      <c r="AV179" s="38" t="inlineStr">
        <is>
          <t>IC: none · Team Lead: 3–5</t>
        </is>
      </c>
      <c r="AW179" s="38" t="inlineStr">
        <is>
          <t>P3 / M2 · SFIA 4 Enable</t>
        </is>
      </c>
      <c r="AX1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9" s="39" t="inlineStr">
        <is>
          <t>B1</t>
        </is>
      </c>
      <c r="AZ179" s="40" t="inlineStr">
        <is>
          <t>Band B · Specialist / Manager · Team Lead / Asst Manager</t>
        </is>
      </c>
      <c r="BA179" s="40" t="inlineStr">
        <is>
          <t>Model B1 from the six ratings, the market-derived weights and rules R1–R13 · then No change · already below the manager</t>
        </is>
      </c>
      <c r="BB179" s="41" t="inlineStr">
        <is>
          <t>B1</t>
        </is>
      </c>
      <c r="BC179" s="40" t="inlineStr">
        <is>
          <t>The six ratings on the market-average weights of Band B · Specialist / POD Lead score 3.94 → B1 · Hay, Mercer IPE and public plans · experience 6.1 yrs vs the B1 market range 4–8</t>
        </is>
      </c>
      <c r="BD179" s="42">
        <f>IF(SUM(BM179,BN179,BO179,BP179,BQ179,BR179,BS179)=0,0,(BM179*BT179+BN179*BU179+BO179*BV179+BP179*BW179+BQ179*BX179+BR179*BY179+BS179*BZ179)/SUM(BM179,BN179,BO179,BP179,BQ179,BR179,BS179))</f>
        <v>0</v>
      </c>
      <c r="BE179" s="41" t="str">
        <f>IF(LEFT(AY179,1)="X",AY179,IF(OR(AY179="B+",AY179="C+"),INDEX(LAD_PC,MAX(1,MIN(14,MATCH(AY179,LAD_PC,0)+IF(BD179&gt;=0.5,1,IF(BD179&lt;=-0.5,-1,0))))),INDEX(LAD_STD,MAX(1,MIN(12,MATCH(AY179,LAD_STD,0)+IF(BD179&gt;=0.5,1,IF(BD179&lt;=-0.5,-1,0)))))))</f>
        <v>B1</v>
      </c>
      <c r="BF179" s="43" t="n"/>
      <c r="BG179" s="41" t="str">
        <f>IF(BF179&lt;&gt;"",BF179,BE179)</f>
        <v>B1</v>
      </c>
      <c r="BH179" s="40" t="str">
        <f>IFERROR(CHOOSE(INDEX(B_RANK,MATCH(BG179,B_LVL,0)),"Band A","Band B","B+ · Player-Coach","Band C","C+ · Player-Coach","Band D","Band E"),"Band X · Consultant")</f>
        <v>Band B</v>
      </c>
      <c r="BI179" s="40" t="str">
        <f>IF(BG179=AY179,"• Same",IF(INDEX(B_VAL,MATCH(BG179,B_LVL,0))&gt;INDEX(B_VAL,MATCH(AY179,B_LVL,0)),"▲ Up","▼ Down"))</f>
        <v>• Same</v>
      </c>
      <c r="BJ179" s="40" t="str">
        <f>IF(OR($M179="",$M179="—",$M179="Not in this file"),"",IFERROR(INDEX($BG$7:$BG$592,MATCH($M179,$D$7:$D$592,0)),""))</f>
        <v>B2</v>
      </c>
      <c r="BK179" s="40" t="str">
        <f>IFERROR(IF(BJ179="","—",IF(OR(LEFT(BG179,1)="X",LEFT(BJ179,1)="X"),"—",IF(AND(LEFT(BG179,1)="E",LEFT(BJ179,1)="E"),"Exception · Band E",IF(AND(INDEX(B_VAL,MATCH(BJ179,B_LVL,0))&gt;=7,INDEX(B_RANK,MATCH(BG179,B_LVL,0))&gt;=INDEX(B_RANK,MATCH(BJ179,B_LVL,0))),"⚠ Same band as a head manager",IF(INDEX(B_VAL,MATCH(BG179,B_LVL,0))&gt;=INDEX(B_VAL,MATCH(BJ179,B_LVL,0)),"⚠ At or above the manager's level","OK"))))),"—")</f>
        <v>OK</v>
      </c>
      <c r="BL179" s="43" t="n"/>
      <c r="BM179" s="44">
        <f>IFERROR(INDEX(LMH_PTS,MATCH(Y179,LMH_KEY,0)),0)</f>
        <v>9</v>
      </c>
      <c r="BN179" s="38">
        <f>IFERROR(INDEX(LMH_PTS,MATCH(Z179,LMH_KEY,0)),0)</f>
        <v>3</v>
      </c>
      <c r="BO179" s="38">
        <f>IFERROR(INDEX(LMH_PTS,MATCH(AA179,LMH_KEY,0)),0)</f>
        <v>3</v>
      </c>
      <c r="BP179" s="38">
        <f>IFERROR(INDEX(LMH_PTS,MATCH(AB179,LMH_KEY,0)),0)</f>
        <v>1</v>
      </c>
      <c r="BQ179" s="38">
        <f>IFERROR(INDEX(LMH_PTS,MATCH(AC179,LMH_KEY,0)),0)</f>
        <v>1</v>
      </c>
      <c r="BR179" s="38">
        <f>IFERROR(INDEX(LMH_PTS,MATCH(AD179,LMH_KEY,0)),0)</f>
        <v>1</v>
      </c>
      <c r="BS179" s="38">
        <f>IFERROR(INDEX(LMH_PTS,MATCH(AE179,LMH_KEY,0)),0)</f>
        <v>1</v>
      </c>
      <c r="BT179" s="38">
        <f>IFERROR(INDEX(LMH_STEP,MATCH(AF179,LMH_KEY,0)),0)</f>
        <v>0</v>
      </c>
      <c r="BU179" s="38">
        <f>IFERROR(INDEX(LMH_STEP,MATCH(AG179,LMH_KEY,0)),0)</f>
        <v>0</v>
      </c>
      <c r="BV179" s="38">
        <f>IFERROR(INDEX(LMH_STEP,MATCH(AH179,LMH_KEY,0)),0)</f>
        <v>0</v>
      </c>
      <c r="BW179" s="38">
        <f>IFERROR(INDEX(LMH_STEP,MATCH(AI179,LMH_KEY,0)),0)</f>
        <v>0</v>
      </c>
      <c r="BX179" s="38">
        <f>IFERROR(INDEX(LMH_STEP,MATCH(AJ179,LMH_KEY,0)),0)</f>
        <v>0</v>
      </c>
      <c r="BY179" s="38">
        <f>IFERROR(INDEX(LMH_STEP,MATCH(AK179,LMH_KEY,0)),0)</f>
        <v>0</v>
      </c>
      <c r="BZ179" s="38">
        <f>IFERROR(INDEX(LMH_STEP,MATCH(AL179,LMH_KEY,0)),0)</f>
        <v>0</v>
      </c>
      <c r="CA179" s="38" t="inlineStr">
        <is>
          <t>Corporate|Finance|Finance Specialist – POD Lead|B1|B-IC</t>
        </is>
      </c>
    </row>
    <row r="180" ht="110" customHeight="1">
      <c r="A180" s="28" t="inlineStr">
        <is>
          <t>Corporate</t>
        </is>
      </c>
      <c r="B180" s="29" t="inlineStr">
        <is>
          <t>Finance</t>
        </is>
      </c>
      <c r="C180" s="29" t="n">
        <v>5</v>
      </c>
      <c r="D180" s="29" t="inlineStr">
        <is>
          <t>IRIS1724</t>
        </is>
      </c>
      <c r="E180" s="29" t="inlineStr">
        <is>
          <t>Anita Chavan</t>
        </is>
      </c>
      <c r="F180" s="29" t="inlineStr">
        <is>
          <t>Senior Executive Accounts</t>
        </is>
      </c>
      <c r="G180" s="29" t="inlineStr">
        <is>
          <t>Accounts Specialist – POD Lead</t>
        </is>
      </c>
      <c r="H180" s="29" t="inlineStr">
        <is>
          <t>Finance &amp; Accounts</t>
        </is>
      </c>
      <c r="I180" s="29" t="inlineStr">
        <is>
          <t>Accounting &amp; Transaction Processing</t>
        </is>
      </c>
      <c r="J180" s="29" t="inlineStr">
        <is>
          <t>POD Lead</t>
        </is>
      </c>
      <c r="K180" s="29" t="inlineStr">
        <is>
          <t>RC-096</t>
        </is>
      </c>
      <c r="L180" s="29" t="inlineStr">
        <is>
          <t>Shreya Singh</t>
        </is>
      </c>
      <c r="M180" s="29" t="inlineStr">
        <is>
          <t>IRIS2214</t>
        </is>
      </c>
      <c r="N180" s="29" t="n">
        <v>20.6</v>
      </c>
      <c r="O180" s="29" t="n">
        <v>8.300000000000001</v>
      </c>
      <c r="P180" s="29" t="inlineStr">
        <is>
          <t>B.Com</t>
        </is>
      </c>
      <c r="Q180" s="29" t="inlineStr">
        <is>
          <t>Not in current mapping files</t>
        </is>
      </c>
      <c r="R180" s="29" t="inlineStr">
        <is>
          <t>B1</t>
        </is>
      </c>
      <c r="S180" s="30" t="inlineStr">
        <is>
          <t>20 of 20</t>
        </is>
      </c>
      <c r="T180" s="31"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t>
        </is>
      </c>
      <c r="U180" s="32" t="inlineStr">
        <is>
          <t>KRAs not received · manager to supply</t>
        </is>
      </c>
      <c r="V180" s="31" t="inlineStr">
        <is>
          <t>Latest rating: Not rated · manager · 9-box: Not placed · manager · Readiness: No rating data</t>
        </is>
      </c>
      <c r="W180" s="31" t="inlineStr">
        <is>
          <t>C M · Au M · Ac M · L M · BI M · Exp H · 20.6 yrs vs 2–4 yrs · Edu M · B.Com</t>
        </is>
      </c>
      <c r="X180" s="33" t="inlineStr">
        <is>
          <t>Open ▸</t>
        </is>
      </c>
      <c r="Y180" s="34" t="str">
        <f>IFERROR(INDEX(DL_C,MATCH($CA180,DL_KEY,0)),"M")</f>
        <v>H</v>
      </c>
      <c r="Z180" s="35" t="str">
        <f>IFERROR(INDEX(DL_Au,MATCH($CA180,DL_KEY,0)),"M")</f>
        <v>M</v>
      </c>
      <c r="AA180" s="35" t="str">
        <f>IFERROR(INDEX(DL_Ac,MATCH($CA180,DL_KEY,0)),"M")</f>
        <v>M</v>
      </c>
      <c r="AB180" s="35" t="str">
        <f>IFERROR(INDEX(DL_L,MATCH($CA180,DL_KEY,0)),"M")</f>
        <v>L</v>
      </c>
      <c r="AC180" s="35" t="str">
        <f>IFERROR(INDEX(DL_BI,MATCH($CA180,DL_KEY,0)),"M")</f>
        <v>L</v>
      </c>
      <c r="AD180" s="35" t="str">
        <f>IFERROR(INDEX(DL_Exp,MATCH($CA180,DL_KEY,0)),"M")</f>
        <v>L</v>
      </c>
      <c r="AE180" s="35" t="str">
        <f>IFERROR(INDEX(DL_Edu,MATCH($CA180,DL_KEY,0)),"M")</f>
        <v>M</v>
      </c>
      <c r="AF180" s="34" t="inlineStr">
        <is>
          <t>M</t>
        </is>
      </c>
      <c r="AG180" s="35" t="inlineStr">
        <is>
          <t>M</t>
        </is>
      </c>
      <c r="AH180" s="35" t="inlineStr">
        <is>
          <t>M</t>
        </is>
      </c>
      <c r="AI180" s="35" t="inlineStr">
        <is>
          <t>M</t>
        </is>
      </c>
      <c r="AJ180" s="35" t="inlineStr">
        <is>
          <t>M</t>
        </is>
      </c>
      <c r="AK180" s="35" t="inlineStr">
        <is>
          <t>M</t>
        </is>
      </c>
      <c r="AL180" s="35" t="inlineStr">
        <is>
          <t>M</t>
        </is>
      </c>
      <c r="AM180" s="36" t="n">
        <v>0.583</v>
      </c>
      <c r="AN180" s="37" t="n">
        <v>0.16</v>
      </c>
      <c r="AO180" s="37" t="n">
        <v>0.09</v>
      </c>
      <c r="AP180" s="37" t="n">
        <v>0</v>
      </c>
      <c r="AQ180" s="37" t="n">
        <v>0.063</v>
      </c>
      <c r="AR180" s="37" t="n">
        <v>0.06</v>
      </c>
      <c r="AS180" s="37" t="n">
        <v>0.04</v>
      </c>
      <c r="AT180" s="38" t="inlineStr">
        <is>
          <t>2–5</t>
        </is>
      </c>
      <c r="AU180" s="38" t="inlineStr">
        <is>
          <t>Graduate; relevant certification preferred</t>
        </is>
      </c>
      <c r="AV180" s="38" t="inlineStr">
        <is>
          <t>None · guides 1–3 juniors informally</t>
        </is>
      </c>
      <c r="AW180" s="38" t="inlineStr">
        <is>
          <t>P2 · SFIA 3 Apply</t>
        </is>
      </c>
      <c r="AX1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0" s="39" t="inlineStr">
        <is>
          <t>A3</t>
        </is>
      </c>
      <c r="AZ180" s="40" t="inlineStr">
        <is>
          <t>Band A · Practitioner · Senior Associate</t>
        </is>
      </c>
      <c r="BA180" s="40" t="inlineStr">
        <is>
          <t>Model B1 from the six ratings, the market-derived weights and rules R1–R13 · then Level rule: manager B1; a reportee sits at least one level below · B1 → A3 · move down · pay and title protected for one cycle</t>
        </is>
      </c>
      <c r="BB180" s="41" t="inlineStr">
        <is>
          <t>B1</t>
        </is>
      </c>
      <c r="BC180" s="40" t="inlineStr">
        <is>
          <t>The six ratings on the market-average weights of Band A · all tracks score 3.62 → B1 · Hay, Mercer IPE and public plans · experience 20.6 yrs vs the B1 market range 4–8</t>
        </is>
      </c>
      <c r="BD180" s="42">
        <f>IF(SUM(BM180,BN180,BO180,BP180,BQ180,BR180,BS180)=0,0,(BM180*BT180+BN180*BU180+BO180*BV180+BP180*BW180+BQ180*BX180+BR180*BY180+BS180*BZ180)/SUM(BM180,BN180,BO180,BP180,BQ180,BR180,BS180))</f>
        <v>0</v>
      </c>
      <c r="BE180" s="41" t="str">
        <f>IF(LEFT(AY180,1)="X",AY180,IF(OR(AY180="B+",AY180="C+"),INDEX(LAD_PC,MAX(1,MIN(14,MATCH(AY180,LAD_PC,0)+IF(BD180&gt;=0.5,1,IF(BD180&lt;=-0.5,-1,0))))),INDEX(LAD_STD,MAX(1,MIN(12,MATCH(AY180,LAD_STD,0)+IF(BD180&gt;=0.5,1,IF(BD180&lt;=-0.5,-1,0)))))))</f>
        <v>A3</v>
      </c>
      <c r="BF180" s="43" t="n"/>
      <c r="BG180" s="41" t="str">
        <f>IF(BF180&lt;&gt;"",BF180,BE180)</f>
        <v>A3</v>
      </c>
      <c r="BH180" s="40" t="str">
        <f>IFERROR(CHOOSE(INDEX(B_RANK,MATCH(BG180,B_LVL,0)),"Band A","Band B","B+ · Player-Coach","Band C","C+ · Player-Coach","Band D","Band E"),"Band X · Consultant")</f>
        <v>Band A</v>
      </c>
      <c r="BI180" s="40" t="str">
        <f>IF(BG180=AY180,"• Same",IF(INDEX(B_VAL,MATCH(BG180,B_LVL,0))&gt;INDEX(B_VAL,MATCH(AY180,B_LVL,0)),"▲ Up","▼ Down"))</f>
        <v>• Same</v>
      </c>
      <c r="BJ180" s="40" t="str">
        <f>IF(OR($M180="",$M180="—",$M180="Not in this file"),"",IFERROR(INDEX($BG$7:$BG$592,MATCH($M180,$D$7:$D$592,0)),""))</f>
        <v>B1</v>
      </c>
      <c r="BK180" s="40" t="str">
        <f>IFERROR(IF(BJ180="","—",IF(OR(LEFT(BG180,1)="X",LEFT(BJ180,1)="X"),"—",IF(AND(LEFT(BG180,1)="E",LEFT(BJ180,1)="E"),"Exception · Band E",IF(AND(INDEX(B_VAL,MATCH(BJ180,B_LVL,0))&gt;=7,INDEX(B_RANK,MATCH(BG180,B_LVL,0))&gt;=INDEX(B_RANK,MATCH(BJ180,B_LVL,0))),"⚠ Same band as a head manager",IF(INDEX(B_VAL,MATCH(BG180,B_LVL,0))&gt;=INDEX(B_VAL,MATCH(BJ180,B_LVL,0)),"⚠ At or above the manager's level","OK"))))),"—")</f>
        <v>OK</v>
      </c>
      <c r="BL180" s="43" t="n"/>
      <c r="BM180" s="44">
        <f>IFERROR(INDEX(LMH_PTS,MATCH(Y180,LMH_KEY,0)),0)</f>
        <v>9</v>
      </c>
      <c r="BN180" s="38">
        <f>IFERROR(INDEX(LMH_PTS,MATCH(Z180,LMH_KEY,0)),0)</f>
        <v>3</v>
      </c>
      <c r="BO180" s="38">
        <f>IFERROR(INDEX(LMH_PTS,MATCH(AA180,LMH_KEY,0)),0)</f>
        <v>3</v>
      </c>
      <c r="BP180" s="38">
        <f>IFERROR(INDEX(LMH_PTS,MATCH(AB180,LMH_KEY,0)),0)</f>
        <v>1</v>
      </c>
      <c r="BQ180" s="38">
        <f>IFERROR(INDEX(LMH_PTS,MATCH(AC180,LMH_KEY,0)),0)</f>
        <v>1</v>
      </c>
      <c r="BR180" s="38">
        <f>IFERROR(INDEX(LMH_PTS,MATCH(AD180,LMH_KEY,0)),0)</f>
        <v>1</v>
      </c>
      <c r="BS180" s="38">
        <f>IFERROR(INDEX(LMH_PTS,MATCH(AE180,LMH_KEY,0)),0)</f>
        <v>3</v>
      </c>
      <c r="BT180" s="38">
        <f>IFERROR(INDEX(LMH_STEP,MATCH(AF180,LMH_KEY,0)),0)</f>
        <v>0</v>
      </c>
      <c r="BU180" s="38">
        <f>IFERROR(INDEX(LMH_STEP,MATCH(AG180,LMH_KEY,0)),0)</f>
        <v>0</v>
      </c>
      <c r="BV180" s="38">
        <f>IFERROR(INDEX(LMH_STEP,MATCH(AH180,LMH_KEY,0)),0)</f>
        <v>0</v>
      </c>
      <c r="BW180" s="38">
        <f>IFERROR(INDEX(LMH_STEP,MATCH(AI180,LMH_KEY,0)),0)</f>
        <v>0</v>
      </c>
      <c r="BX180" s="38">
        <f>IFERROR(INDEX(LMH_STEP,MATCH(AJ180,LMH_KEY,0)),0)</f>
        <v>0</v>
      </c>
      <c r="BY180" s="38">
        <f>IFERROR(INDEX(LMH_STEP,MATCH(AK180,LMH_KEY,0)),0)</f>
        <v>0</v>
      </c>
      <c r="BZ180" s="38">
        <f>IFERROR(INDEX(LMH_STEP,MATCH(AL180,LMH_KEY,0)),0)</f>
        <v>0</v>
      </c>
      <c r="CA180" s="38" t="inlineStr">
        <is>
          <t>Corporate|Finance|Accounts Specialist – POD Lead|A3|A</t>
        </is>
      </c>
    </row>
    <row r="181" ht="110" customHeight="1">
      <c r="A181" s="28" t="inlineStr">
        <is>
          <t>Corporate</t>
        </is>
      </c>
      <c r="B181" s="29" t="inlineStr">
        <is>
          <t>Finance</t>
        </is>
      </c>
      <c r="C181" s="29" t="n">
        <v>6</v>
      </c>
      <c r="D181" s="29" t="inlineStr">
        <is>
          <t>IRIS2217</t>
        </is>
      </c>
      <c r="E181" s="29" t="inlineStr">
        <is>
          <t>Bhushan Kashid</t>
        </is>
      </c>
      <c r="F181" s="29" t="inlineStr">
        <is>
          <t>Executive Accounts</t>
        </is>
      </c>
      <c r="G181" s="29" t="inlineStr">
        <is>
          <t>Senior Accounts Executive</t>
        </is>
      </c>
      <c r="H181" s="29" t="inlineStr">
        <is>
          <t>Finance &amp; Accounts</t>
        </is>
      </c>
      <c r="I181" s="29" t="inlineStr">
        <is>
          <t>Accounting &amp; Transaction Processing</t>
        </is>
      </c>
      <c r="J181" s="29" t="inlineStr">
        <is>
          <t>IC</t>
        </is>
      </c>
      <c r="K181" s="29" t="inlineStr">
        <is>
          <t>RC-095</t>
        </is>
      </c>
      <c r="L181" s="29" t="inlineStr">
        <is>
          <t>Anita Chavan</t>
        </is>
      </c>
      <c r="M181" s="29" t="inlineStr">
        <is>
          <t>IRIS1724</t>
        </is>
      </c>
      <c r="N181" s="29" t="n">
        <v>8.699999999999999</v>
      </c>
      <c r="O181" s="29" t="n">
        <v>2.7</v>
      </c>
      <c r="P181" s="29" t="inlineStr">
        <is>
          <t>B.Com</t>
        </is>
      </c>
      <c r="Q181" s="29" t="inlineStr">
        <is>
          <t>Not in current mapping files</t>
        </is>
      </c>
      <c r="R181" s="29" t="inlineStr">
        <is>
          <t>A3</t>
        </is>
      </c>
      <c r="S181" s="30" t="inlineStr">
        <is>
          <t>19 of 20</t>
        </is>
      </c>
      <c r="T181" s="31"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t>
        </is>
      </c>
      <c r="U181" s="32" t="inlineStr">
        <is>
          <t>KRAs not received · manager to supply</t>
        </is>
      </c>
      <c r="V181" s="31" t="inlineStr">
        <is>
          <t>Latest rating: Not rated · manager · 9-box: Not placed · manager · Readiness: No rating data</t>
        </is>
      </c>
      <c r="W181" s="31" t="inlineStr">
        <is>
          <t>C M · Au M · Ac M · L L · BI M · Exp H · 8.7 yrs vs 0–2 yrs · Edu M · B.Com</t>
        </is>
      </c>
      <c r="X181" s="33" t="inlineStr">
        <is>
          <t>Open ▸</t>
        </is>
      </c>
      <c r="Y181" s="34" t="str">
        <f>IFERROR(INDEX(DL_C,MATCH($CA181,DL_KEY,0)),"M")</f>
        <v>H</v>
      </c>
      <c r="Z181" s="35" t="str">
        <f>IFERROR(INDEX(DL_Au,MATCH($CA181,DL_KEY,0)),"M")</f>
        <v>M</v>
      </c>
      <c r="AA181" s="35" t="str">
        <f>IFERROR(INDEX(DL_Ac,MATCH($CA181,DL_KEY,0)),"M")</f>
        <v>M</v>
      </c>
      <c r="AB181" s="35" t="str">
        <f>IFERROR(INDEX(DL_L,MATCH($CA181,DL_KEY,0)),"M")</f>
        <v>L</v>
      </c>
      <c r="AC181" s="35" t="str">
        <f>IFERROR(INDEX(DL_BI,MATCH($CA181,DL_KEY,0)),"M")</f>
        <v>L</v>
      </c>
      <c r="AD181" s="35" t="str">
        <f>IFERROR(INDEX(DL_Exp,MATCH($CA181,DL_KEY,0)),"M")</f>
        <v>L</v>
      </c>
      <c r="AE181" s="35" t="str">
        <f>IFERROR(INDEX(DL_Edu,MATCH($CA181,DL_KEY,0)),"M")</f>
        <v>M</v>
      </c>
      <c r="AF181" s="34" t="inlineStr">
        <is>
          <t>M</t>
        </is>
      </c>
      <c r="AG181" s="35" t="inlineStr">
        <is>
          <t>M</t>
        </is>
      </c>
      <c r="AH181" s="35" t="inlineStr">
        <is>
          <t>M</t>
        </is>
      </c>
      <c r="AI181" s="35" t="inlineStr">
        <is>
          <t>M</t>
        </is>
      </c>
      <c r="AJ181" s="35" t="inlineStr">
        <is>
          <t>M</t>
        </is>
      </c>
      <c r="AK181" s="35" t="inlineStr">
        <is>
          <t>M</t>
        </is>
      </c>
      <c r="AL181" s="35" t="inlineStr">
        <is>
          <t>M</t>
        </is>
      </c>
      <c r="AM181" s="36" t="n">
        <v>0.583</v>
      </c>
      <c r="AN181" s="37" t="n">
        <v>0.16</v>
      </c>
      <c r="AO181" s="37" t="n">
        <v>0.09</v>
      </c>
      <c r="AP181" s="37" t="n">
        <v>0</v>
      </c>
      <c r="AQ181" s="37" t="n">
        <v>0.063</v>
      </c>
      <c r="AR181" s="37" t="n">
        <v>0.06</v>
      </c>
      <c r="AS181" s="37" t="n">
        <v>0.04</v>
      </c>
      <c r="AT181" s="38" t="inlineStr">
        <is>
          <t>0–3</t>
        </is>
      </c>
      <c r="AU181" s="38" t="inlineStr">
        <is>
          <t>Graduate · or diploma with experience</t>
        </is>
      </c>
      <c r="AV181" s="38" t="inlineStr">
        <is>
          <t>No direct reports</t>
        </is>
      </c>
      <c r="AW181" s="38" t="inlineStr">
        <is>
          <t>P1–P2 · SFIA 2 Assist</t>
        </is>
      </c>
      <c r="AX1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1" s="39" t="inlineStr">
        <is>
          <t>A2</t>
        </is>
      </c>
      <c r="AZ181" s="40" t="inlineStr">
        <is>
          <t>Band A · Practitioner · Associate</t>
        </is>
      </c>
      <c r="BA181" s="40" t="inlineStr">
        <is>
          <t>Model A3 from the six ratings, the market-derived weights and rules R1–R13 · then Level rule: manager A3; a reportee sits at least one level below · A3 → A2 · move down · pay and title protected for one cycle</t>
        </is>
      </c>
      <c r="BB181" s="41" t="inlineStr">
        <is>
          <t>A2</t>
        </is>
      </c>
      <c r="BC181" s="40" t="inlineStr">
        <is>
          <t>The six ratings on the market-average weights of Band A · all tracks score 2.35 → A2 · Hay, Mercer IPE and public plans · experience 8.7 yrs vs the A2 market range 0–3</t>
        </is>
      </c>
      <c r="BD181" s="42">
        <f>IF(SUM(BM181,BN181,BO181,BP181,BQ181,BR181,BS181)=0,0,(BM181*BT181+BN181*BU181+BO181*BV181+BP181*BW181+BQ181*BX181+BR181*BY181+BS181*BZ181)/SUM(BM181,BN181,BO181,BP181,BQ181,BR181,BS181))</f>
        <v>0</v>
      </c>
      <c r="BE181" s="41" t="str">
        <f>IF(LEFT(AY181,1)="X",AY181,IF(OR(AY181="B+",AY181="C+"),INDEX(LAD_PC,MAX(1,MIN(14,MATCH(AY181,LAD_PC,0)+IF(BD181&gt;=0.5,1,IF(BD181&lt;=-0.5,-1,0))))),INDEX(LAD_STD,MAX(1,MIN(12,MATCH(AY181,LAD_STD,0)+IF(BD181&gt;=0.5,1,IF(BD181&lt;=-0.5,-1,0)))))))</f>
        <v>A2</v>
      </c>
      <c r="BF181" s="43" t="n"/>
      <c r="BG181" s="41" t="str">
        <f>IF(BF181&lt;&gt;"",BF181,BE181)</f>
        <v>A2</v>
      </c>
      <c r="BH181" s="40" t="str">
        <f>IFERROR(CHOOSE(INDEX(B_RANK,MATCH(BG181,B_LVL,0)),"Band A","Band B","B+ · Player-Coach","Band C","C+ · Player-Coach","Band D","Band E"),"Band X · Consultant")</f>
        <v>Band A</v>
      </c>
      <c r="BI181" s="40" t="str">
        <f>IF(BG181=AY181,"• Same",IF(INDEX(B_VAL,MATCH(BG181,B_LVL,0))&gt;INDEX(B_VAL,MATCH(AY181,B_LVL,0)),"▲ Up","▼ Down"))</f>
        <v>• Same</v>
      </c>
      <c r="BJ181" s="40" t="str">
        <f>IF(OR($M181="",$M181="—",$M181="Not in this file"),"",IFERROR(INDEX($BG$7:$BG$592,MATCH($M181,$D$7:$D$592,0)),""))</f>
        <v>A3</v>
      </c>
      <c r="BK181" s="40" t="str">
        <f>IFERROR(IF(BJ181="","—",IF(OR(LEFT(BG181,1)="X",LEFT(BJ181,1)="X"),"—",IF(AND(LEFT(BG181,1)="E",LEFT(BJ181,1)="E"),"Exception · Band E",IF(AND(INDEX(B_VAL,MATCH(BJ181,B_LVL,0))&gt;=7,INDEX(B_RANK,MATCH(BG181,B_LVL,0))&gt;=INDEX(B_RANK,MATCH(BJ181,B_LVL,0))),"⚠ Same band as a head manager",IF(INDEX(B_VAL,MATCH(BG181,B_LVL,0))&gt;=INDEX(B_VAL,MATCH(BJ181,B_LVL,0)),"⚠ At or above the manager's level","OK"))))),"—")</f>
        <v>OK</v>
      </c>
      <c r="BL181" s="43" t="n"/>
      <c r="BM181" s="44">
        <f>IFERROR(INDEX(LMH_PTS,MATCH(Y181,LMH_KEY,0)),0)</f>
        <v>9</v>
      </c>
      <c r="BN181" s="38">
        <f>IFERROR(INDEX(LMH_PTS,MATCH(Z181,LMH_KEY,0)),0)</f>
        <v>3</v>
      </c>
      <c r="BO181" s="38">
        <f>IFERROR(INDEX(LMH_PTS,MATCH(AA181,LMH_KEY,0)),0)</f>
        <v>3</v>
      </c>
      <c r="BP181" s="38">
        <f>IFERROR(INDEX(LMH_PTS,MATCH(AB181,LMH_KEY,0)),0)</f>
        <v>1</v>
      </c>
      <c r="BQ181" s="38">
        <f>IFERROR(INDEX(LMH_PTS,MATCH(AC181,LMH_KEY,0)),0)</f>
        <v>1</v>
      </c>
      <c r="BR181" s="38">
        <f>IFERROR(INDEX(LMH_PTS,MATCH(AD181,LMH_KEY,0)),0)</f>
        <v>1</v>
      </c>
      <c r="BS181" s="38">
        <f>IFERROR(INDEX(LMH_PTS,MATCH(AE181,LMH_KEY,0)),0)</f>
        <v>3</v>
      </c>
      <c r="BT181" s="38">
        <f>IFERROR(INDEX(LMH_STEP,MATCH(AF181,LMH_KEY,0)),0)</f>
        <v>0</v>
      </c>
      <c r="BU181" s="38">
        <f>IFERROR(INDEX(LMH_STEP,MATCH(AG181,LMH_KEY,0)),0)</f>
        <v>0</v>
      </c>
      <c r="BV181" s="38">
        <f>IFERROR(INDEX(LMH_STEP,MATCH(AH181,LMH_KEY,0)),0)</f>
        <v>0</v>
      </c>
      <c r="BW181" s="38">
        <f>IFERROR(INDEX(LMH_STEP,MATCH(AI181,LMH_KEY,0)),0)</f>
        <v>0</v>
      </c>
      <c r="BX181" s="38">
        <f>IFERROR(INDEX(LMH_STEP,MATCH(AJ181,LMH_KEY,0)),0)</f>
        <v>0</v>
      </c>
      <c r="BY181" s="38">
        <f>IFERROR(INDEX(LMH_STEP,MATCH(AK181,LMH_KEY,0)),0)</f>
        <v>0</v>
      </c>
      <c r="BZ181" s="38">
        <f>IFERROR(INDEX(LMH_STEP,MATCH(AL181,LMH_KEY,0)),0)</f>
        <v>0</v>
      </c>
      <c r="CA181" s="38" t="inlineStr">
        <is>
          <t>Corporate|Finance|Senior Accounts Executive|A2|A</t>
        </is>
      </c>
    </row>
    <row r="182" ht="110" customHeight="1">
      <c r="A182" s="28" t="inlineStr">
        <is>
          <t>Corporate</t>
        </is>
      </c>
      <c r="B182" s="29" t="inlineStr">
        <is>
          <t>Finance</t>
        </is>
      </c>
      <c r="C182" s="29" t="n">
        <v>5</v>
      </c>
      <c r="D182" s="29" t="inlineStr">
        <is>
          <t>IRIS1557</t>
        </is>
      </c>
      <c r="E182" s="29" t="inlineStr">
        <is>
          <t>Gaurangee Gaurav Tawde</t>
        </is>
      </c>
      <c r="F182" s="29" t="inlineStr">
        <is>
          <t>Senior Executive Accounts</t>
        </is>
      </c>
      <c r="G182" s="29" t="inlineStr">
        <is>
          <t>Accounts Specialist – POD Lead</t>
        </is>
      </c>
      <c r="H182" s="29" t="inlineStr">
        <is>
          <t>Finance &amp; Accounts</t>
        </is>
      </c>
      <c r="I182" s="29" t="inlineStr">
        <is>
          <t>Accounting &amp; Transaction Processing</t>
        </is>
      </c>
      <c r="J182" s="29" t="inlineStr">
        <is>
          <t>POD Lead</t>
        </is>
      </c>
      <c r="K182" s="29" t="inlineStr">
        <is>
          <t>RC-096</t>
        </is>
      </c>
      <c r="L182" s="29" t="inlineStr">
        <is>
          <t>Shreya Singh</t>
        </is>
      </c>
      <c r="M182" s="29" t="inlineStr">
        <is>
          <t>IRIS2214</t>
        </is>
      </c>
      <c r="N182" s="29" t="n">
        <v>20.1</v>
      </c>
      <c r="O182" s="29" t="n">
        <v>11.1</v>
      </c>
      <c r="P182" s="29" t="inlineStr">
        <is>
          <t>PGDM</t>
        </is>
      </c>
      <c r="Q182" s="29" t="inlineStr">
        <is>
          <t>Not in current mapping files</t>
        </is>
      </c>
      <c r="R182" s="29" t="inlineStr">
        <is>
          <t>B1</t>
        </is>
      </c>
      <c r="S182" s="30" t="inlineStr">
        <is>
          <t>20 of 20</t>
        </is>
      </c>
      <c r="T182" s="31"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t>
        </is>
      </c>
      <c r="U182" s="32" t="inlineStr">
        <is>
          <t>KRAs not received · manager to supply</t>
        </is>
      </c>
      <c r="V182" s="31" t="inlineStr">
        <is>
          <t>Latest rating: Not rated · manager · 9-box: Not placed · manager · Readiness: No rating data</t>
        </is>
      </c>
      <c r="W182" s="31" t="inlineStr">
        <is>
          <t>C M · Au M · Ac M · L M · BI M · Exp H · 20.1 yrs vs 2–4 yrs · Edu H · PGDM</t>
        </is>
      </c>
      <c r="X182" s="33" t="inlineStr">
        <is>
          <t>Open ▸</t>
        </is>
      </c>
      <c r="Y182" s="34" t="str">
        <f>IFERROR(INDEX(DL_C,MATCH($CA182,DL_KEY,0)),"M")</f>
        <v>H</v>
      </c>
      <c r="Z182" s="35" t="str">
        <f>IFERROR(INDEX(DL_Au,MATCH($CA182,DL_KEY,0)),"M")</f>
        <v>M</v>
      </c>
      <c r="AA182" s="35" t="str">
        <f>IFERROR(INDEX(DL_Ac,MATCH($CA182,DL_KEY,0)),"M")</f>
        <v>M</v>
      </c>
      <c r="AB182" s="35" t="str">
        <f>IFERROR(INDEX(DL_L,MATCH($CA182,DL_KEY,0)),"M")</f>
        <v>L</v>
      </c>
      <c r="AC182" s="35" t="str">
        <f>IFERROR(INDEX(DL_BI,MATCH($CA182,DL_KEY,0)),"M")</f>
        <v>L</v>
      </c>
      <c r="AD182" s="35" t="str">
        <f>IFERROR(INDEX(DL_Exp,MATCH($CA182,DL_KEY,0)),"M")</f>
        <v>L</v>
      </c>
      <c r="AE182" s="35" t="str">
        <f>IFERROR(INDEX(DL_Edu,MATCH($CA182,DL_KEY,0)),"M")</f>
        <v>M</v>
      </c>
      <c r="AF182" s="34" t="inlineStr">
        <is>
          <t>M</t>
        </is>
      </c>
      <c r="AG182" s="35" t="inlineStr">
        <is>
          <t>M</t>
        </is>
      </c>
      <c r="AH182" s="35" t="inlineStr">
        <is>
          <t>M</t>
        </is>
      </c>
      <c r="AI182" s="35" t="inlineStr">
        <is>
          <t>M</t>
        </is>
      </c>
      <c r="AJ182" s="35" t="inlineStr">
        <is>
          <t>M</t>
        </is>
      </c>
      <c r="AK182" s="35" t="inlineStr">
        <is>
          <t>M</t>
        </is>
      </c>
      <c r="AL182" s="35" t="inlineStr">
        <is>
          <t>M</t>
        </is>
      </c>
      <c r="AM182" s="36" t="n">
        <v>0.583</v>
      </c>
      <c r="AN182" s="37" t="n">
        <v>0.16</v>
      </c>
      <c r="AO182" s="37" t="n">
        <v>0.09</v>
      </c>
      <c r="AP182" s="37" t="n">
        <v>0</v>
      </c>
      <c r="AQ182" s="37" t="n">
        <v>0.063</v>
      </c>
      <c r="AR182" s="37" t="n">
        <v>0.06</v>
      </c>
      <c r="AS182" s="37" t="n">
        <v>0.04</v>
      </c>
      <c r="AT182" s="38" t="inlineStr">
        <is>
          <t>2–5</t>
        </is>
      </c>
      <c r="AU182" s="38" t="inlineStr">
        <is>
          <t>Graduate; relevant certification preferred</t>
        </is>
      </c>
      <c r="AV182" s="38" t="inlineStr">
        <is>
          <t>None · guides 1–3 juniors informally</t>
        </is>
      </c>
      <c r="AW182" s="38" t="inlineStr">
        <is>
          <t>P2 · SFIA 3 Apply</t>
        </is>
      </c>
      <c r="AX1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2" s="39" t="inlineStr">
        <is>
          <t>A3</t>
        </is>
      </c>
      <c r="AZ182" s="40" t="inlineStr">
        <is>
          <t>Band A · Practitioner · Senior Associate</t>
        </is>
      </c>
      <c r="BA182" s="40" t="inlineStr">
        <is>
          <t>Model B1 from the six ratings, the market-derived weights and rules R1–R13 · then Level rule: manager B1; a reportee sits at least one level below · B1 → A3 · move down · pay and title protected for one cycle</t>
        </is>
      </c>
      <c r="BB182" s="41" t="inlineStr">
        <is>
          <t>B1</t>
        </is>
      </c>
      <c r="BC182" s="40" t="inlineStr">
        <is>
          <t>The six ratings on the market-average weights of Band A · all tracks score 3.62 → B1 · Hay, Mercer IPE and public plans · experience 20.1 yrs vs the B1 market range 4–8</t>
        </is>
      </c>
      <c r="BD182" s="42">
        <f>IF(SUM(BM182,BN182,BO182,BP182,BQ182,BR182,BS182)=0,0,(BM182*BT182+BN182*BU182+BO182*BV182+BP182*BW182+BQ182*BX182+BR182*BY182+BS182*BZ182)/SUM(BM182,BN182,BO182,BP182,BQ182,BR182,BS182))</f>
        <v>0</v>
      </c>
      <c r="BE182" s="41" t="str">
        <f>IF(LEFT(AY182,1)="X",AY182,IF(OR(AY182="B+",AY182="C+"),INDEX(LAD_PC,MAX(1,MIN(14,MATCH(AY182,LAD_PC,0)+IF(BD182&gt;=0.5,1,IF(BD182&lt;=-0.5,-1,0))))),INDEX(LAD_STD,MAX(1,MIN(12,MATCH(AY182,LAD_STD,0)+IF(BD182&gt;=0.5,1,IF(BD182&lt;=-0.5,-1,0)))))))</f>
        <v>A3</v>
      </c>
      <c r="BF182" s="43" t="n"/>
      <c r="BG182" s="41" t="str">
        <f>IF(BF182&lt;&gt;"",BF182,BE182)</f>
        <v>A3</v>
      </c>
      <c r="BH182" s="40" t="str">
        <f>IFERROR(CHOOSE(INDEX(B_RANK,MATCH(BG182,B_LVL,0)),"Band A","Band B","B+ · Player-Coach","Band C","C+ · Player-Coach","Band D","Band E"),"Band X · Consultant")</f>
        <v>Band A</v>
      </c>
      <c r="BI182" s="40" t="str">
        <f>IF(BG182=AY182,"• Same",IF(INDEX(B_VAL,MATCH(BG182,B_LVL,0))&gt;INDEX(B_VAL,MATCH(AY182,B_LVL,0)),"▲ Up","▼ Down"))</f>
        <v>• Same</v>
      </c>
      <c r="BJ182" s="40" t="str">
        <f>IF(OR($M182="",$M182="—",$M182="Not in this file"),"",IFERROR(INDEX($BG$7:$BG$592,MATCH($M182,$D$7:$D$592,0)),""))</f>
        <v>B1</v>
      </c>
      <c r="BK182" s="40" t="str">
        <f>IFERROR(IF(BJ182="","—",IF(OR(LEFT(BG182,1)="X",LEFT(BJ182,1)="X"),"—",IF(AND(LEFT(BG182,1)="E",LEFT(BJ182,1)="E"),"Exception · Band E",IF(AND(INDEX(B_VAL,MATCH(BJ182,B_LVL,0))&gt;=7,INDEX(B_RANK,MATCH(BG182,B_LVL,0))&gt;=INDEX(B_RANK,MATCH(BJ182,B_LVL,0))),"⚠ Same band as a head manager",IF(INDEX(B_VAL,MATCH(BG182,B_LVL,0))&gt;=INDEX(B_VAL,MATCH(BJ182,B_LVL,0)),"⚠ At or above the manager's level","OK"))))),"—")</f>
        <v>OK</v>
      </c>
      <c r="BL182" s="43" t="n"/>
      <c r="BM182" s="44">
        <f>IFERROR(INDEX(LMH_PTS,MATCH(Y182,LMH_KEY,0)),0)</f>
        <v>9</v>
      </c>
      <c r="BN182" s="38">
        <f>IFERROR(INDEX(LMH_PTS,MATCH(Z182,LMH_KEY,0)),0)</f>
        <v>3</v>
      </c>
      <c r="BO182" s="38">
        <f>IFERROR(INDEX(LMH_PTS,MATCH(AA182,LMH_KEY,0)),0)</f>
        <v>3</v>
      </c>
      <c r="BP182" s="38">
        <f>IFERROR(INDEX(LMH_PTS,MATCH(AB182,LMH_KEY,0)),0)</f>
        <v>1</v>
      </c>
      <c r="BQ182" s="38">
        <f>IFERROR(INDEX(LMH_PTS,MATCH(AC182,LMH_KEY,0)),0)</f>
        <v>1</v>
      </c>
      <c r="BR182" s="38">
        <f>IFERROR(INDEX(LMH_PTS,MATCH(AD182,LMH_KEY,0)),0)</f>
        <v>1</v>
      </c>
      <c r="BS182" s="38">
        <f>IFERROR(INDEX(LMH_PTS,MATCH(AE182,LMH_KEY,0)),0)</f>
        <v>3</v>
      </c>
      <c r="BT182" s="38">
        <f>IFERROR(INDEX(LMH_STEP,MATCH(AF182,LMH_KEY,0)),0)</f>
        <v>0</v>
      </c>
      <c r="BU182" s="38">
        <f>IFERROR(INDEX(LMH_STEP,MATCH(AG182,LMH_KEY,0)),0)</f>
        <v>0</v>
      </c>
      <c r="BV182" s="38">
        <f>IFERROR(INDEX(LMH_STEP,MATCH(AH182,LMH_KEY,0)),0)</f>
        <v>0</v>
      </c>
      <c r="BW182" s="38">
        <f>IFERROR(INDEX(LMH_STEP,MATCH(AI182,LMH_KEY,0)),0)</f>
        <v>0</v>
      </c>
      <c r="BX182" s="38">
        <f>IFERROR(INDEX(LMH_STEP,MATCH(AJ182,LMH_KEY,0)),0)</f>
        <v>0</v>
      </c>
      <c r="BY182" s="38">
        <f>IFERROR(INDEX(LMH_STEP,MATCH(AK182,LMH_KEY,0)),0)</f>
        <v>0</v>
      </c>
      <c r="BZ182" s="38">
        <f>IFERROR(INDEX(LMH_STEP,MATCH(AL182,LMH_KEY,0)),0)</f>
        <v>0</v>
      </c>
      <c r="CA182" s="38" t="inlineStr">
        <is>
          <t>Corporate|Finance|Accounts Specialist – POD Lead|A3|A</t>
        </is>
      </c>
    </row>
    <row r="183" ht="110" customHeight="1">
      <c r="A183" s="28" t="inlineStr">
        <is>
          <t>Corporate</t>
        </is>
      </c>
      <c r="B183" s="29" t="inlineStr">
        <is>
          <t>Finance</t>
        </is>
      </c>
      <c r="C183" s="29" t="n">
        <v>6</v>
      </c>
      <c r="D183" s="29" t="inlineStr">
        <is>
          <t>IRIS2062</t>
        </is>
      </c>
      <c r="E183" s="29" t="inlineStr">
        <is>
          <t>Riddhi Narkar</t>
        </is>
      </c>
      <c r="F183" s="29" t="inlineStr">
        <is>
          <t>Executive Accounts</t>
        </is>
      </c>
      <c r="G183" s="29" t="inlineStr">
        <is>
          <t>Senior Accounts Executive</t>
        </is>
      </c>
      <c r="H183" s="29" t="inlineStr">
        <is>
          <t>Finance &amp; Accounts</t>
        </is>
      </c>
      <c r="I183" s="29" t="inlineStr">
        <is>
          <t>Accounting &amp; Transaction Processing</t>
        </is>
      </c>
      <c r="J183" s="29" t="inlineStr">
        <is>
          <t>IC</t>
        </is>
      </c>
      <c r="K183" s="29" t="inlineStr">
        <is>
          <t>RC-095</t>
        </is>
      </c>
      <c r="L183" s="29" t="inlineStr">
        <is>
          <t>Gaurangee Gaurav Tawde</t>
        </is>
      </c>
      <c r="M183" s="29" t="inlineStr">
        <is>
          <t>IRIS1557</t>
        </is>
      </c>
      <c r="N183" s="29" t="n">
        <v>9.800000000000001</v>
      </c>
      <c r="O183" s="29" t="n">
        <v>4</v>
      </c>
      <c r="P183" s="29" t="inlineStr">
        <is>
          <t>B.Com</t>
        </is>
      </c>
      <c r="Q183" s="29" t="inlineStr">
        <is>
          <t>Not in current mapping files</t>
        </is>
      </c>
      <c r="R183" s="29" t="inlineStr">
        <is>
          <t>A3</t>
        </is>
      </c>
      <c r="S183" s="30" t="inlineStr">
        <is>
          <t>19 of 20</t>
        </is>
      </c>
      <c r="T183" s="31"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t>
        </is>
      </c>
      <c r="U183" s="32" t="inlineStr">
        <is>
          <t>KRAs not received · manager to supply</t>
        </is>
      </c>
      <c r="V183" s="31" t="inlineStr">
        <is>
          <t>Latest rating: Not rated · manager · 9-box: Not placed · manager · Readiness: No rating data</t>
        </is>
      </c>
      <c r="W183" s="31" t="inlineStr">
        <is>
          <t>C M · Au M · Ac M · L L · BI M · Exp H · 9.8 yrs vs 0–2 yrs · Edu M · B.Com</t>
        </is>
      </c>
      <c r="X183" s="33" t="inlineStr">
        <is>
          <t>Open ▸</t>
        </is>
      </c>
      <c r="Y183" s="34" t="str">
        <f>IFERROR(INDEX(DL_C,MATCH($CA183,DL_KEY,0)),"M")</f>
        <v>H</v>
      </c>
      <c r="Z183" s="35" t="str">
        <f>IFERROR(INDEX(DL_Au,MATCH($CA183,DL_KEY,0)),"M")</f>
        <v>M</v>
      </c>
      <c r="AA183" s="35" t="str">
        <f>IFERROR(INDEX(DL_Ac,MATCH($CA183,DL_KEY,0)),"M")</f>
        <v>M</v>
      </c>
      <c r="AB183" s="35" t="str">
        <f>IFERROR(INDEX(DL_L,MATCH($CA183,DL_KEY,0)),"M")</f>
        <v>L</v>
      </c>
      <c r="AC183" s="35" t="str">
        <f>IFERROR(INDEX(DL_BI,MATCH($CA183,DL_KEY,0)),"M")</f>
        <v>L</v>
      </c>
      <c r="AD183" s="35" t="str">
        <f>IFERROR(INDEX(DL_Exp,MATCH($CA183,DL_KEY,0)),"M")</f>
        <v>L</v>
      </c>
      <c r="AE183" s="35" t="str">
        <f>IFERROR(INDEX(DL_Edu,MATCH($CA183,DL_KEY,0)),"M")</f>
        <v>M</v>
      </c>
      <c r="AF183" s="34" t="inlineStr">
        <is>
          <t>M</t>
        </is>
      </c>
      <c r="AG183" s="35" t="inlineStr">
        <is>
          <t>M</t>
        </is>
      </c>
      <c r="AH183" s="35" t="inlineStr">
        <is>
          <t>M</t>
        </is>
      </c>
      <c r="AI183" s="35" t="inlineStr">
        <is>
          <t>M</t>
        </is>
      </c>
      <c r="AJ183" s="35" t="inlineStr">
        <is>
          <t>M</t>
        </is>
      </c>
      <c r="AK183" s="35" t="inlineStr">
        <is>
          <t>M</t>
        </is>
      </c>
      <c r="AL183" s="35" t="inlineStr">
        <is>
          <t>M</t>
        </is>
      </c>
      <c r="AM183" s="36" t="n">
        <v>0.583</v>
      </c>
      <c r="AN183" s="37" t="n">
        <v>0.16</v>
      </c>
      <c r="AO183" s="37" t="n">
        <v>0.09</v>
      </c>
      <c r="AP183" s="37" t="n">
        <v>0</v>
      </c>
      <c r="AQ183" s="37" t="n">
        <v>0.063</v>
      </c>
      <c r="AR183" s="37" t="n">
        <v>0.06</v>
      </c>
      <c r="AS183" s="37" t="n">
        <v>0.04</v>
      </c>
      <c r="AT183" s="38" t="inlineStr">
        <is>
          <t>0–3</t>
        </is>
      </c>
      <c r="AU183" s="38" t="inlineStr">
        <is>
          <t>Graduate · or diploma with experience</t>
        </is>
      </c>
      <c r="AV183" s="38" t="inlineStr">
        <is>
          <t>No direct reports</t>
        </is>
      </c>
      <c r="AW183" s="38" t="inlineStr">
        <is>
          <t>P1–P2 · SFIA 2 Assist</t>
        </is>
      </c>
      <c r="AX1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3" s="39" t="inlineStr">
        <is>
          <t>A2</t>
        </is>
      </c>
      <c r="AZ183" s="40" t="inlineStr">
        <is>
          <t>Band A · Practitioner · Associate</t>
        </is>
      </c>
      <c r="BA183" s="40" t="inlineStr">
        <is>
          <t>Model A3 from the six ratings, the market-derived weights and rules R1–R13 · then Level rule: manager A3; a reportee sits at least one level below · A3 → A2 · move down · pay and title protected for one cycle</t>
        </is>
      </c>
      <c r="BB183" s="41" t="inlineStr">
        <is>
          <t>A2</t>
        </is>
      </c>
      <c r="BC183" s="40" t="inlineStr">
        <is>
          <t>The six ratings on the market-average weights of Band A · all tracks score 2.32 → A2 · Hay, Mercer IPE and public plans · experience 9.8 yrs vs the A2 market range 0–3</t>
        </is>
      </c>
      <c r="BD183" s="42">
        <f>IF(SUM(BM183,BN183,BO183,BP183,BQ183,BR183,BS183)=0,0,(BM183*BT183+BN183*BU183+BO183*BV183+BP183*BW183+BQ183*BX183+BR183*BY183+BS183*BZ183)/SUM(BM183,BN183,BO183,BP183,BQ183,BR183,BS183))</f>
        <v>0</v>
      </c>
      <c r="BE183" s="41" t="str">
        <f>IF(LEFT(AY183,1)="X",AY183,IF(OR(AY183="B+",AY183="C+"),INDEX(LAD_PC,MAX(1,MIN(14,MATCH(AY183,LAD_PC,0)+IF(BD183&gt;=0.5,1,IF(BD183&lt;=-0.5,-1,0))))),INDEX(LAD_STD,MAX(1,MIN(12,MATCH(AY183,LAD_STD,0)+IF(BD183&gt;=0.5,1,IF(BD183&lt;=-0.5,-1,0)))))))</f>
        <v>A2</v>
      </c>
      <c r="BF183" s="43" t="n"/>
      <c r="BG183" s="41" t="str">
        <f>IF(BF183&lt;&gt;"",BF183,BE183)</f>
        <v>A2</v>
      </c>
      <c r="BH183" s="40" t="str">
        <f>IFERROR(CHOOSE(INDEX(B_RANK,MATCH(BG183,B_LVL,0)),"Band A","Band B","B+ · Player-Coach","Band C","C+ · Player-Coach","Band D","Band E"),"Band X · Consultant")</f>
        <v>Band A</v>
      </c>
      <c r="BI183" s="40" t="str">
        <f>IF(BG183=AY183,"• Same",IF(INDEX(B_VAL,MATCH(BG183,B_LVL,0))&gt;INDEX(B_VAL,MATCH(AY183,B_LVL,0)),"▲ Up","▼ Down"))</f>
        <v>• Same</v>
      </c>
      <c r="BJ183" s="40" t="str">
        <f>IF(OR($M183="",$M183="—",$M183="Not in this file"),"",IFERROR(INDEX($BG$7:$BG$592,MATCH($M183,$D$7:$D$592,0)),""))</f>
        <v>A3</v>
      </c>
      <c r="BK183" s="40" t="str">
        <f>IFERROR(IF(BJ183="","—",IF(OR(LEFT(BG183,1)="X",LEFT(BJ183,1)="X"),"—",IF(AND(LEFT(BG183,1)="E",LEFT(BJ183,1)="E"),"Exception · Band E",IF(AND(INDEX(B_VAL,MATCH(BJ183,B_LVL,0))&gt;=7,INDEX(B_RANK,MATCH(BG183,B_LVL,0))&gt;=INDEX(B_RANK,MATCH(BJ183,B_LVL,0))),"⚠ Same band as a head manager",IF(INDEX(B_VAL,MATCH(BG183,B_LVL,0))&gt;=INDEX(B_VAL,MATCH(BJ183,B_LVL,0)),"⚠ At or above the manager's level","OK"))))),"—")</f>
        <v>OK</v>
      </c>
      <c r="BL183" s="43" t="n"/>
      <c r="BM183" s="44">
        <f>IFERROR(INDEX(LMH_PTS,MATCH(Y183,LMH_KEY,0)),0)</f>
        <v>9</v>
      </c>
      <c r="BN183" s="38">
        <f>IFERROR(INDEX(LMH_PTS,MATCH(Z183,LMH_KEY,0)),0)</f>
        <v>3</v>
      </c>
      <c r="BO183" s="38">
        <f>IFERROR(INDEX(LMH_PTS,MATCH(AA183,LMH_KEY,0)),0)</f>
        <v>3</v>
      </c>
      <c r="BP183" s="38">
        <f>IFERROR(INDEX(LMH_PTS,MATCH(AB183,LMH_KEY,0)),0)</f>
        <v>1</v>
      </c>
      <c r="BQ183" s="38">
        <f>IFERROR(INDEX(LMH_PTS,MATCH(AC183,LMH_KEY,0)),0)</f>
        <v>1</v>
      </c>
      <c r="BR183" s="38">
        <f>IFERROR(INDEX(LMH_PTS,MATCH(AD183,LMH_KEY,0)),0)</f>
        <v>1</v>
      </c>
      <c r="BS183" s="38">
        <f>IFERROR(INDEX(LMH_PTS,MATCH(AE183,LMH_KEY,0)),0)</f>
        <v>3</v>
      </c>
      <c r="BT183" s="38">
        <f>IFERROR(INDEX(LMH_STEP,MATCH(AF183,LMH_KEY,0)),0)</f>
        <v>0</v>
      </c>
      <c r="BU183" s="38">
        <f>IFERROR(INDEX(LMH_STEP,MATCH(AG183,LMH_KEY,0)),0)</f>
        <v>0</v>
      </c>
      <c r="BV183" s="38">
        <f>IFERROR(INDEX(LMH_STEP,MATCH(AH183,LMH_KEY,0)),0)</f>
        <v>0</v>
      </c>
      <c r="BW183" s="38">
        <f>IFERROR(INDEX(LMH_STEP,MATCH(AI183,LMH_KEY,0)),0)</f>
        <v>0</v>
      </c>
      <c r="BX183" s="38">
        <f>IFERROR(INDEX(LMH_STEP,MATCH(AJ183,LMH_KEY,0)),0)</f>
        <v>0</v>
      </c>
      <c r="BY183" s="38">
        <f>IFERROR(INDEX(LMH_STEP,MATCH(AK183,LMH_KEY,0)),0)</f>
        <v>0</v>
      </c>
      <c r="BZ183" s="38">
        <f>IFERROR(INDEX(LMH_STEP,MATCH(AL183,LMH_KEY,0)),0)</f>
        <v>0</v>
      </c>
      <c r="CA183" s="38" t="inlineStr">
        <is>
          <t>Corporate|Finance|Senior Accounts Executive|A2|A</t>
        </is>
      </c>
    </row>
    <row r="184" ht="110" customHeight="1">
      <c r="A184" s="28" t="inlineStr">
        <is>
          <t>Corporate</t>
        </is>
      </c>
      <c r="B184" s="29" t="inlineStr">
        <is>
          <t>Finance</t>
        </is>
      </c>
      <c r="C184" s="29" t="n">
        <v>3</v>
      </c>
      <c r="D184" s="29" t="inlineStr">
        <is>
          <t>IRIS2547</t>
        </is>
      </c>
      <c r="E184" s="29" t="inlineStr">
        <is>
          <t>Lalit Choudhary</t>
        </is>
      </c>
      <c r="F184" s="29" t="inlineStr">
        <is>
          <t>Assistant Manager - Finance and Accounts</t>
        </is>
      </c>
      <c r="G184" s="29" t="inlineStr">
        <is>
          <t>Finance Specialist</t>
        </is>
      </c>
      <c r="H184" s="29" t="inlineStr">
        <is>
          <t>Finance &amp; Accounts</t>
        </is>
      </c>
      <c r="I184" s="29" t="inlineStr">
        <is>
          <t>Financial Reporting, Compliance &amp; Audit</t>
        </is>
      </c>
      <c r="J184" s="29" t="inlineStr">
        <is>
          <t>IC</t>
        </is>
      </c>
      <c r="K184" s="29" t="inlineStr">
        <is>
          <t>RC-098</t>
        </is>
      </c>
      <c r="L184" s="29" t="inlineStr">
        <is>
          <t>Nishant Gupta</t>
        </is>
      </c>
      <c r="M184" s="29" t="inlineStr">
        <is>
          <t>IRIS1918</t>
        </is>
      </c>
      <c r="N184" s="29" t="n">
        <v>4.8</v>
      </c>
      <c r="O184" s="29" t="n">
        <v>0.2</v>
      </c>
      <c r="P184" s="29" t="inlineStr">
        <is>
          <t>CA</t>
        </is>
      </c>
      <c r="Q184" s="29" t="inlineStr">
        <is>
          <t>Not in current mapping files</t>
        </is>
      </c>
      <c r="R184" s="29" t="inlineStr">
        <is>
          <t>B1</t>
        </is>
      </c>
      <c r="S184" s="30" t="inlineStr">
        <is>
          <t>19 of 20</t>
        </is>
      </c>
      <c r="T184" s="31"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t>
        </is>
      </c>
      <c r="U184" s="32" t="inlineStr">
        <is>
          <t>KRAs not received · manager to supply</t>
        </is>
      </c>
      <c r="V184" s="31" t="inlineStr">
        <is>
          <t>Latest rating: Not rated · manager · 9-box: Not placed · manager · Readiness: No rating data</t>
        </is>
      </c>
      <c r="W184" s="31" t="inlineStr">
        <is>
          <t>C M · Au L · Ac M · L L · BI M · Exp M · 4.8 yrs vs 4–7 yrs · Edu H · CA</t>
        </is>
      </c>
      <c r="X184" s="33" t="inlineStr">
        <is>
          <t>Open ▸</t>
        </is>
      </c>
      <c r="Y184" s="34" t="str">
        <f>IFERROR(INDEX(DL_C,MATCH($CA184,DL_KEY,0)),"M")</f>
        <v>H</v>
      </c>
      <c r="Z184" s="35" t="str">
        <f>IFERROR(INDEX(DL_Au,MATCH($CA184,DL_KEY,0)),"M")</f>
        <v>M</v>
      </c>
      <c r="AA184" s="35" t="str">
        <f>IFERROR(INDEX(DL_Ac,MATCH($CA184,DL_KEY,0)),"M")</f>
        <v>M</v>
      </c>
      <c r="AB184" s="35" t="str">
        <f>IFERROR(INDEX(DL_L,MATCH($CA184,DL_KEY,0)),"M")</f>
        <v>L</v>
      </c>
      <c r="AC184" s="35" t="str">
        <f>IFERROR(INDEX(DL_BI,MATCH($CA184,DL_KEY,0)),"M")</f>
        <v>L</v>
      </c>
      <c r="AD184" s="35" t="str">
        <f>IFERROR(INDEX(DL_Exp,MATCH($CA184,DL_KEY,0)),"M")</f>
        <v>L</v>
      </c>
      <c r="AE184" s="35" t="str">
        <f>IFERROR(INDEX(DL_Edu,MATCH($CA184,DL_KEY,0)),"M")</f>
        <v>L</v>
      </c>
      <c r="AF184" s="34" t="inlineStr">
        <is>
          <t>M</t>
        </is>
      </c>
      <c r="AG184" s="35" t="inlineStr">
        <is>
          <t>M</t>
        </is>
      </c>
      <c r="AH184" s="35" t="inlineStr">
        <is>
          <t>M</t>
        </is>
      </c>
      <c r="AI184" s="35" t="inlineStr">
        <is>
          <t>M</t>
        </is>
      </c>
      <c r="AJ184" s="35" t="inlineStr">
        <is>
          <t>M</t>
        </is>
      </c>
      <c r="AK184" s="35" t="inlineStr">
        <is>
          <t>M</t>
        </is>
      </c>
      <c r="AL184" s="35" t="inlineStr">
        <is>
          <t>M</t>
        </is>
      </c>
      <c r="AM184" s="36" t="n">
        <v>0.513</v>
      </c>
      <c r="AN184" s="37" t="n">
        <v>0.173</v>
      </c>
      <c r="AO184" s="37" t="n">
        <v>0.09699999999999999</v>
      </c>
      <c r="AP184" s="37" t="n">
        <v>0.05</v>
      </c>
      <c r="AQ184" s="37" t="n">
        <v>0.07000000000000001</v>
      </c>
      <c r="AR184" s="37" t="n">
        <v>0.06</v>
      </c>
      <c r="AS184" s="37" t="n">
        <v>0.04</v>
      </c>
      <c r="AT184" s="38" t="inlineStr">
        <is>
          <t>4–8</t>
        </is>
      </c>
      <c r="AU184" s="38" t="inlineStr">
        <is>
          <t>Graduate + relevant qualification or certification preferred</t>
        </is>
      </c>
      <c r="AV184" s="38" t="inlineStr">
        <is>
          <t>IC: none · Team Lead: 3–5</t>
        </is>
      </c>
      <c r="AW184" s="38" t="inlineStr">
        <is>
          <t>P3 / M2 · SFIA 4 Enable</t>
        </is>
      </c>
      <c r="AX1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4" s="39" t="inlineStr">
        <is>
          <t>B1</t>
        </is>
      </c>
      <c r="AZ184" s="40" t="inlineStr">
        <is>
          <t>Band B · Specialist / Manager · Specialist</t>
        </is>
      </c>
      <c r="BA184" s="40" t="inlineStr">
        <is>
          <t>Model B1 from the six ratings, the market-derived weights and rules R1–R13 · then No change · already below the manager</t>
        </is>
      </c>
      <c r="BB184" s="41" t="inlineStr">
        <is>
          <t>B1</t>
        </is>
      </c>
      <c r="BC184" s="40" t="inlineStr">
        <is>
          <t>The six ratings on the market-average weights of Band B · Specialist / POD Lead score 3.69 → B1 · Hay, Mercer IPE and public plans · experience 4.8 yrs vs the B1 market range 4–8</t>
        </is>
      </c>
      <c r="BD184" s="42">
        <f>IF(SUM(BM184,BN184,BO184,BP184,BQ184,BR184,BS184)=0,0,(BM184*BT184+BN184*BU184+BO184*BV184+BP184*BW184+BQ184*BX184+BR184*BY184+BS184*BZ184)/SUM(BM184,BN184,BO184,BP184,BQ184,BR184,BS184))</f>
        <v>0</v>
      </c>
      <c r="BE184" s="41" t="str">
        <f>IF(LEFT(AY184,1)="X",AY184,IF(OR(AY184="B+",AY184="C+"),INDEX(LAD_PC,MAX(1,MIN(14,MATCH(AY184,LAD_PC,0)+IF(BD184&gt;=0.5,1,IF(BD184&lt;=-0.5,-1,0))))),INDEX(LAD_STD,MAX(1,MIN(12,MATCH(AY184,LAD_STD,0)+IF(BD184&gt;=0.5,1,IF(BD184&lt;=-0.5,-1,0)))))))</f>
        <v>B1</v>
      </c>
      <c r="BF184" s="43" t="n"/>
      <c r="BG184" s="41" t="str">
        <f>IF(BF184&lt;&gt;"",BF184,BE184)</f>
        <v>B1</v>
      </c>
      <c r="BH184" s="40" t="str">
        <f>IFERROR(CHOOSE(INDEX(B_RANK,MATCH(BG184,B_LVL,0)),"Band A","Band B","B+ · Player-Coach","Band C","C+ · Player-Coach","Band D","Band E"),"Band X · Consultant")</f>
        <v>Band B</v>
      </c>
      <c r="BI184" s="40" t="str">
        <f>IF(BG184=AY184,"• Same",IF(INDEX(B_VAL,MATCH(BG184,B_LVL,0))&gt;INDEX(B_VAL,MATCH(AY184,B_LVL,0)),"▲ Up","▼ Down"))</f>
        <v>• Same</v>
      </c>
      <c r="BJ184" s="40" t="str">
        <f>IF(OR($M184="",$M184="—",$M184="Not in this file"),"",IFERROR(INDEX($BG$7:$BG$592,MATCH($M184,$D$7:$D$592,0)),""))</f>
        <v>C1</v>
      </c>
      <c r="BK184" s="40" t="str">
        <f>IFERROR(IF(BJ184="","—",IF(OR(LEFT(BG184,1)="X",LEFT(BJ184,1)="X"),"—",IF(AND(LEFT(BG184,1)="E",LEFT(BJ184,1)="E"),"Exception · Band E",IF(AND(INDEX(B_VAL,MATCH(BJ184,B_LVL,0))&gt;=7,INDEX(B_RANK,MATCH(BG184,B_LVL,0))&gt;=INDEX(B_RANK,MATCH(BJ184,B_LVL,0))),"⚠ Same band as a head manager",IF(INDEX(B_VAL,MATCH(BG184,B_LVL,0))&gt;=INDEX(B_VAL,MATCH(BJ184,B_LVL,0)),"⚠ At or above the manager's level","OK"))))),"—")</f>
        <v>OK</v>
      </c>
      <c r="BL184" s="43" t="n"/>
      <c r="BM184" s="44">
        <f>IFERROR(INDEX(LMH_PTS,MATCH(Y184,LMH_KEY,0)),0)</f>
        <v>9</v>
      </c>
      <c r="BN184" s="38">
        <f>IFERROR(INDEX(LMH_PTS,MATCH(Z184,LMH_KEY,0)),0)</f>
        <v>3</v>
      </c>
      <c r="BO184" s="38">
        <f>IFERROR(INDEX(LMH_PTS,MATCH(AA184,LMH_KEY,0)),0)</f>
        <v>3</v>
      </c>
      <c r="BP184" s="38">
        <f>IFERROR(INDEX(LMH_PTS,MATCH(AB184,LMH_KEY,0)),0)</f>
        <v>1</v>
      </c>
      <c r="BQ184" s="38">
        <f>IFERROR(INDEX(LMH_PTS,MATCH(AC184,LMH_KEY,0)),0)</f>
        <v>1</v>
      </c>
      <c r="BR184" s="38">
        <f>IFERROR(INDEX(LMH_PTS,MATCH(AD184,LMH_KEY,0)),0)</f>
        <v>1</v>
      </c>
      <c r="BS184" s="38">
        <f>IFERROR(INDEX(LMH_PTS,MATCH(AE184,LMH_KEY,0)),0)</f>
        <v>1</v>
      </c>
      <c r="BT184" s="38">
        <f>IFERROR(INDEX(LMH_STEP,MATCH(AF184,LMH_KEY,0)),0)</f>
        <v>0</v>
      </c>
      <c r="BU184" s="38">
        <f>IFERROR(INDEX(LMH_STEP,MATCH(AG184,LMH_KEY,0)),0)</f>
        <v>0</v>
      </c>
      <c r="BV184" s="38">
        <f>IFERROR(INDEX(LMH_STEP,MATCH(AH184,LMH_KEY,0)),0)</f>
        <v>0</v>
      </c>
      <c r="BW184" s="38">
        <f>IFERROR(INDEX(LMH_STEP,MATCH(AI184,LMH_KEY,0)),0)</f>
        <v>0</v>
      </c>
      <c r="BX184" s="38">
        <f>IFERROR(INDEX(LMH_STEP,MATCH(AJ184,LMH_KEY,0)),0)</f>
        <v>0</v>
      </c>
      <c r="BY184" s="38">
        <f>IFERROR(INDEX(LMH_STEP,MATCH(AK184,LMH_KEY,0)),0)</f>
        <v>0</v>
      </c>
      <c r="BZ184" s="38">
        <f>IFERROR(INDEX(LMH_STEP,MATCH(AL184,LMH_KEY,0)),0)</f>
        <v>0</v>
      </c>
      <c r="CA184" s="38" t="inlineStr">
        <is>
          <t>Corporate|Finance|Finance Specialist|B1|B-IC</t>
        </is>
      </c>
    </row>
    <row r="185" ht="110" customHeight="1">
      <c r="A185" s="28" t="inlineStr">
        <is>
          <t>Corporate</t>
        </is>
      </c>
      <c r="B185" s="29" t="inlineStr">
        <is>
          <t>Finance</t>
        </is>
      </c>
      <c r="C185" s="29" t="n">
        <v>3</v>
      </c>
      <c r="D185" s="29" t="inlineStr">
        <is>
          <t>IRIS2561</t>
        </is>
      </c>
      <c r="E185" s="29" t="inlineStr">
        <is>
          <t>Radhika Karnani</t>
        </is>
      </c>
      <c r="F185" s="29" t="inlineStr">
        <is>
          <t>Assistant Manager - Finance and Accounts</t>
        </is>
      </c>
      <c r="G185" s="29" t="inlineStr">
        <is>
          <t>Finance Specialist</t>
        </is>
      </c>
      <c r="H185" s="29" t="inlineStr">
        <is>
          <t>Finance &amp; Accounts</t>
        </is>
      </c>
      <c r="I185" s="29" t="inlineStr">
        <is>
          <t>Financial Reporting, Compliance &amp; Audit</t>
        </is>
      </c>
      <c r="J185" s="29" t="inlineStr">
        <is>
          <t>IC</t>
        </is>
      </c>
      <c r="K185" s="29" t="inlineStr">
        <is>
          <t>RC-098</t>
        </is>
      </c>
      <c r="L185" s="29" t="inlineStr">
        <is>
          <t>Nishant Gupta</t>
        </is>
      </c>
      <c r="M185" s="29" t="inlineStr">
        <is>
          <t>IRIS1918</t>
        </is>
      </c>
      <c r="N185" s="29" t="inlineStr">
        <is>
          <t>Not provided · HRIS</t>
        </is>
      </c>
      <c r="O185" s="29" t="n">
        <v>0.1</v>
      </c>
      <c r="P185" s="29" t="inlineStr">
        <is>
          <t>CA</t>
        </is>
      </c>
      <c r="Q185" s="29" t="inlineStr">
        <is>
          <t>Not in current mapping files</t>
        </is>
      </c>
      <c r="R185" s="29" t="inlineStr">
        <is>
          <t>B1</t>
        </is>
      </c>
      <c r="S185" s="30" t="inlineStr">
        <is>
          <t>19 of 20</t>
        </is>
      </c>
      <c r="T185" s="31"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t>
        </is>
      </c>
      <c r="U185" s="32" t="inlineStr">
        <is>
          <t>KRAs not received · manager to supply</t>
        </is>
      </c>
      <c r="V185" s="31" t="inlineStr">
        <is>
          <t>Latest rating: Not rated · manager · 9-box: Not placed · manager · Readiness: No rating data</t>
        </is>
      </c>
      <c r="W185" s="31" t="inlineStr">
        <is>
          <t>C M · Au L · Ac M · L L · BI M · Exp — · not on file · Edu H · CA</t>
        </is>
      </c>
      <c r="X185" s="33" t="inlineStr">
        <is>
          <t>Open ▸</t>
        </is>
      </c>
      <c r="Y185" s="34" t="str">
        <f>IFERROR(INDEX(DL_C,MATCH($CA185,DL_KEY,0)),"M")</f>
        <v>H</v>
      </c>
      <c r="Z185" s="35" t="str">
        <f>IFERROR(INDEX(DL_Au,MATCH($CA185,DL_KEY,0)),"M")</f>
        <v>M</v>
      </c>
      <c r="AA185" s="35" t="str">
        <f>IFERROR(INDEX(DL_Ac,MATCH($CA185,DL_KEY,0)),"M")</f>
        <v>M</v>
      </c>
      <c r="AB185" s="35" t="str">
        <f>IFERROR(INDEX(DL_L,MATCH($CA185,DL_KEY,0)),"M")</f>
        <v>L</v>
      </c>
      <c r="AC185" s="35" t="str">
        <f>IFERROR(INDEX(DL_BI,MATCH($CA185,DL_KEY,0)),"M")</f>
        <v>L</v>
      </c>
      <c r="AD185" s="35" t="str">
        <f>IFERROR(INDEX(DL_Exp,MATCH($CA185,DL_KEY,0)),"M")</f>
        <v>L</v>
      </c>
      <c r="AE185" s="35" t="str">
        <f>IFERROR(INDEX(DL_Edu,MATCH($CA185,DL_KEY,0)),"M")</f>
        <v>L</v>
      </c>
      <c r="AF185" s="34" t="inlineStr">
        <is>
          <t>M</t>
        </is>
      </c>
      <c r="AG185" s="35" t="inlineStr">
        <is>
          <t>M</t>
        </is>
      </c>
      <c r="AH185" s="35" t="inlineStr">
        <is>
          <t>M</t>
        </is>
      </c>
      <c r="AI185" s="35" t="inlineStr">
        <is>
          <t>M</t>
        </is>
      </c>
      <c r="AJ185" s="35" t="inlineStr">
        <is>
          <t>M</t>
        </is>
      </c>
      <c r="AK185" s="35" t="inlineStr">
        <is>
          <t>M</t>
        </is>
      </c>
      <c r="AL185" s="35" t="inlineStr">
        <is>
          <t>M</t>
        </is>
      </c>
      <c r="AM185" s="36" t="n">
        <v>0.513</v>
      </c>
      <c r="AN185" s="37" t="n">
        <v>0.173</v>
      </c>
      <c r="AO185" s="37" t="n">
        <v>0.09699999999999999</v>
      </c>
      <c r="AP185" s="37" t="n">
        <v>0.05</v>
      </c>
      <c r="AQ185" s="37" t="n">
        <v>0.07000000000000001</v>
      </c>
      <c r="AR185" s="37" t="n">
        <v>0.06</v>
      </c>
      <c r="AS185" s="37" t="n">
        <v>0.04</v>
      </c>
      <c r="AT185" s="38" t="inlineStr">
        <is>
          <t>4–8</t>
        </is>
      </c>
      <c r="AU185" s="38" t="inlineStr">
        <is>
          <t>Graduate + relevant qualification or certification preferred</t>
        </is>
      </c>
      <c r="AV185" s="38" t="inlineStr">
        <is>
          <t>IC: none · Team Lead: 3–5</t>
        </is>
      </c>
      <c r="AW185" s="38" t="inlineStr">
        <is>
          <t>P3 / M2 · SFIA 4 Enable</t>
        </is>
      </c>
      <c r="AX1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5" s="39" t="inlineStr">
        <is>
          <t>B1</t>
        </is>
      </c>
      <c r="AZ185" s="40" t="inlineStr">
        <is>
          <t>Band B · Specialist / Manager · Specialist</t>
        </is>
      </c>
      <c r="BA185" s="40" t="inlineStr">
        <is>
          <t>Model B1 from the six ratings, the market-derived weights and rules R1–R13 · then No change · already below the manager</t>
        </is>
      </c>
      <c r="BB185" s="41" t="inlineStr">
        <is>
          <t>B1</t>
        </is>
      </c>
      <c r="BC185" s="40" t="inlineStr">
        <is>
          <t>The six ratings on the market-average weights of Band B · Specialist / POD Lead score 3.77 → B1 · Hay, Mercer IPE and public plans · experience Not provided · HRIS yrs vs the B1 market range 4–8</t>
        </is>
      </c>
      <c r="BD185" s="42">
        <f>IF(SUM(BM185,BN185,BO185,BP185,BQ185,BR185,BS185)=0,0,(BM185*BT185+BN185*BU185+BO185*BV185+BP185*BW185+BQ185*BX185+BR185*BY185+BS185*BZ185)/SUM(BM185,BN185,BO185,BP185,BQ185,BR185,BS185))</f>
        <v>0</v>
      </c>
      <c r="BE185" s="41" t="str">
        <f>IF(LEFT(AY185,1)="X",AY185,IF(OR(AY185="B+",AY185="C+"),INDEX(LAD_PC,MAX(1,MIN(14,MATCH(AY185,LAD_PC,0)+IF(BD185&gt;=0.5,1,IF(BD185&lt;=-0.5,-1,0))))),INDEX(LAD_STD,MAX(1,MIN(12,MATCH(AY185,LAD_STD,0)+IF(BD185&gt;=0.5,1,IF(BD185&lt;=-0.5,-1,0)))))))</f>
        <v>B1</v>
      </c>
      <c r="BF185" s="43" t="n"/>
      <c r="BG185" s="41" t="str">
        <f>IF(BF185&lt;&gt;"",BF185,BE185)</f>
        <v>B1</v>
      </c>
      <c r="BH185" s="40" t="str">
        <f>IFERROR(CHOOSE(INDEX(B_RANK,MATCH(BG185,B_LVL,0)),"Band A","Band B","B+ · Player-Coach","Band C","C+ · Player-Coach","Band D","Band E"),"Band X · Consultant")</f>
        <v>Band B</v>
      </c>
      <c r="BI185" s="40" t="str">
        <f>IF(BG185=AY185,"• Same",IF(INDEX(B_VAL,MATCH(BG185,B_LVL,0))&gt;INDEX(B_VAL,MATCH(AY185,B_LVL,0)),"▲ Up","▼ Down"))</f>
        <v>• Same</v>
      </c>
      <c r="BJ185" s="40" t="str">
        <f>IF(OR($M185="",$M185="—",$M185="Not in this file"),"",IFERROR(INDEX($BG$7:$BG$592,MATCH($M185,$D$7:$D$592,0)),""))</f>
        <v>C1</v>
      </c>
      <c r="BK185" s="40" t="str">
        <f>IFERROR(IF(BJ185="","—",IF(OR(LEFT(BG185,1)="X",LEFT(BJ185,1)="X"),"—",IF(AND(LEFT(BG185,1)="E",LEFT(BJ185,1)="E"),"Exception · Band E",IF(AND(INDEX(B_VAL,MATCH(BJ185,B_LVL,0))&gt;=7,INDEX(B_RANK,MATCH(BG185,B_LVL,0))&gt;=INDEX(B_RANK,MATCH(BJ185,B_LVL,0))),"⚠ Same band as a head manager",IF(INDEX(B_VAL,MATCH(BG185,B_LVL,0))&gt;=INDEX(B_VAL,MATCH(BJ185,B_LVL,0)),"⚠ At or above the manager's level","OK"))))),"—")</f>
        <v>OK</v>
      </c>
      <c r="BL185" s="43" t="n"/>
      <c r="BM185" s="44">
        <f>IFERROR(INDEX(LMH_PTS,MATCH(Y185,LMH_KEY,0)),0)</f>
        <v>9</v>
      </c>
      <c r="BN185" s="38">
        <f>IFERROR(INDEX(LMH_PTS,MATCH(Z185,LMH_KEY,0)),0)</f>
        <v>3</v>
      </c>
      <c r="BO185" s="38">
        <f>IFERROR(INDEX(LMH_PTS,MATCH(AA185,LMH_KEY,0)),0)</f>
        <v>3</v>
      </c>
      <c r="BP185" s="38">
        <f>IFERROR(INDEX(LMH_PTS,MATCH(AB185,LMH_KEY,0)),0)</f>
        <v>1</v>
      </c>
      <c r="BQ185" s="38">
        <f>IFERROR(INDEX(LMH_PTS,MATCH(AC185,LMH_KEY,0)),0)</f>
        <v>1</v>
      </c>
      <c r="BR185" s="38">
        <f>IFERROR(INDEX(LMH_PTS,MATCH(AD185,LMH_KEY,0)),0)</f>
        <v>1</v>
      </c>
      <c r="BS185" s="38">
        <f>IFERROR(INDEX(LMH_PTS,MATCH(AE185,LMH_KEY,0)),0)</f>
        <v>1</v>
      </c>
      <c r="BT185" s="38">
        <f>IFERROR(INDEX(LMH_STEP,MATCH(AF185,LMH_KEY,0)),0)</f>
        <v>0</v>
      </c>
      <c r="BU185" s="38">
        <f>IFERROR(INDEX(LMH_STEP,MATCH(AG185,LMH_KEY,0)),0)</f>
        <v>0</v>
      </c>
      <c r="BV185" s="38">
        <f>IFERROR(INDEX(LMH_STEP,MATCH(AH185,LMH_KEY,0)),0)</f>
        <v>0</v>
      </c>
      <c r="BW185" s="38">
        <f>IFERROR(INDEX(LMH_STEP,MATCH(AI185,LMH_KEY,0)),0)</f>
        <v>0</v>
      </c>
      <c r="BX185" s="38">
        <f>IFERROR(INDEX(LMH_STEP,MATCH(AJ185,LMH_KEY,0)),0)</f>
        <v>0</v>
      </c>
      <c r="BY185" s="38">
        <f>IFERROR(INDEX(LMH_STEP,MATCH(AK185,LMH_KEY,0)),0)</f>
        <v>0</v>
      </c>
      <c r="BZ185" s="38">
        <f>IFERROR(INDEX(LMH_STEP,MATCH(AL185,LMH_KEY,0)),0)</f>
        <v>0</v>
      </c>
      <c r="CA185" s="38" t="inlineStr">
        <is>
          <t>Corporate|Finance|Finance Specialist|B1|B-IC</t>
        </is>
      </c>
    </row>
    <row r="186" ht="110" customHeight="1">
      <c r="A186" s="28" t="inlineStr">
        <is>
          <t>Corporate</t>
        </is>
      </c>
      <c r="B186" s="29" t="inlineStr">
        <is>
          <t>Finance</t>
        </is>
      </c>
      <c r="C186" s="29" t="n">
        <v>2</v>
      </c>
      <c r="D186" s="29" t="inlineStr">
        <is>
          <t>IRIS0006</t>
        </is>
      </c>
      <c r="E186" s="29" t="inlineStr">
        <is>
          <t>Sudhakar Sawant</t>
        </is>
      </c>
      <c r="F186" s="29" t="inlineStr">
        <is>
          <t>Head – Admin &amp; Internal Audit</t>
        </is>
      </c>
      <c r="G186" s="29" t="inlineStr">
        <is>
          <t>Associate Head – Admin &amp; Internal Audit</t>
        </is>
      </c>
      <c r="H186" s="29" t="inlineStr">
        <is>
          <t>Finance &amp; Accounts</t>
        </is>
      </c>
      <c r="I186" s="29" t="inlineStr">
        <is>
          <t>Finance Leadership</t>
        </is>
      </c>
      <c r="J186" s="29" t="inlineStr">
        <is>
          <t>People Manager</t>
        </is>
      </c>
      <c r="K186" s="29" t="inlineStr">
        <is>
          <t>RC-097</t>
        </is>
      </c>
      <c r="L186" s="29" t="inlineStr">
        <is>
          <t>Vineet Kandoi</t>
        </is>
      </c>
      <c r="M186" s="29" t="inlineStr">
        <is>
          <t>IRIS0919</t>
        </is>
      </c>
      <c r="N186" s="29" t="n">
        <v>28.3</v>
      </c>
      <c r="O186" s="29" t="n">
        <v>22.1</v>
      </c>
      <c r="P186" s="29" t="inlineStr">
        <is>
          <t>B.Com</t>
        </is>
      </c>
      <c r="Q186" s="29" t="inlineStr">
        <is>
          <t>Not in current mapping files</t>
        </is>
      </c>
      <c r="R186" s="29" t="inlineStr">
        <is>
          <t>C1</t>
        </is>
      </c>
      <c r="S186" s="30" t="inlineStr">
        <is>
          <t>0 of 20</t>
        </is>
      </c>
      <c r="T18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86" s="32" t="inlineStr">
        <is>
          <t>KRAs not received · manager to supply</t>
        </is>
      </c>
      <c r="V186" s="31" t="inlineStr">
        <is>
          <t>Latest rating: Not rated · manager · 9-box: Not placed · manager · Readiness: No rating data</t>
        </is>
      </c>
      <c r="W186" s="31" t="inlineStr">
        <is>
          <t>C H · Au H · Ac L · L M · BI L · Exp H · 28.3 yrs vs 10–14 yrs · Edu L · B.Com</t>
        </is>
      </c>
      <c r="X186" s="33" t="inlineStr">
        <is>
          <t>Open ▸</t>
        </is>
      </c>
      <c r="Y186" s="34" t="str">
        <f>IFERROR(INDEX(DL_C,MATCH($CA186,DL_KEY,0)),"M")</f>
        <v>H</v>
      </c>
      <c r="Z186" s="35" t="str">
        <f>IFERROR(INDEX(DL_Au,MATCH($CA186,DL_KEY,0)),"M")</f>
        <v>M</v>
      </c>
      <c r="AA186" s="35" t="str">
        <f>IFERROR(INDEX(DL_Ac,MATCH($CA186,DL_KEY,0)),"M")</f>
        <v>M</v>
      </c>
      <c r="AB186" s="35" t="str">
        <f>IFERROR(INDEX(DL_L,MATCH($CA186,DL_KEY,0)),"M")</f>
        <v>M</v>
      </c>
      <c r="AC186" s="35" t="str">
        <f>IFERROR(INDEX(DL_BI,MATCH($CA186,DL_KEY,0)),"M")</f>
        <v>L</v>
      </c>
      <c r="AD186" s="35" t="str">
        <f>IFERROR(INDEX(DL_Exp,MATCH($CA186,DL_KEY,0)),"M")</f>
        <v>L</v>
      </c>
      <c r="AE186" s="35" t="str">
        <f>IFERROR(INDEX(DL_Edu,MATCH($CA186,DL_KEY,0)),"M")</f>
        <v>L</v>
      </c>
      <c r="AF186" s="34" t="inlineStr">
        <is>
          <t>M</t>
        </is>
      </c>
      <c r="AG186" s="35" t="inlineStr">
        <is>
          <t>M</t>
        </is>
      </c>
      <c r="AH186" s="35" t="inlineStr">
        <is>
          <t>M</t>
        </is>
      </c>
      <c r="AI186" s="35" t="inlineStr">
        <is>
          <t>M</t>
        </is>
      </c>
      <c r="AJ186" s="35" t="inlineStr">
        <is>
          <t>M</t>
        </is>
      </c>
      <c r="AK186" s="35" t="inlineStr">
        <is>
          <t>M</t>
        </is>
      </c>
      <c r="AL186" s="35" t="inlineStr">
        <is>
          <t>M</t>
        </is>
      </c>
      <c r="AM186" s="36" t="n">
        <v>0.433</v>
      </c>
      <c r="AN186" s="37" t="n">
        <v>0.18</v>
      </c>
      <c r="AO186" s="37" t="n">
        <v>0.107</v>
      </c>
      <c r="AP186" s="37" t="n">
        <v>0.15</v>
      </c>
      <c r="AQ186" s="37" t="n">
        <v>0.08</v>
      </c>
      <c r="AR186" s="37" t="n">
        <v>0.04</v>
      </c>
      <c r="AS186" s="37" t="n">
        <v>0.01</v>
      </c>
      <c r="AT186" s="38" t="inlineStr">
        <is>
          <t>12–17</t>
        </is>
      </c>
      <c r="AU186" s="38" t="inlineStr">
        <is>
          <t>Postgraduate / professional qualification preferred</t>
        </is>
      </c>
      <c r="AV186" s="38" t="inlineStr">
        <is>
          <t>5–8, mostly managers</t>
        </is>
      </c>
      <c r="AW186" s="38" t="inlineStr">
        <is>
          <t>P6 / M5 · SFIA 5–6</t>
        </is>
      </c>
      <c r="AX1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6" s="39" t="inlineStr">
        <is>
          <t>C1</t>
        </is>
      </c>
      <c r="AZ186" s="40" t="inlineStr">
        <is>
          <t>Band C · Principal / Head · Associate Head</t>
        </is>
      </c>
      <c r="BA186" s="40" t="inlineStr">
        <is>
          <t>Model C1 from the six ratings, the market-derived weights and rules R1–R13 · then No change · already below the manager</t>
        </is>
      </c>
      <c r="BB186" s="41" t="inlineStr">
        <is>
          <t>C2</t>
        </is>
      </c>
      <c r="BC186" s="40" t="inlineStr">
        <is>
          <t>The six ratings on the market-average weights of Band C · Head / manager score 7.68 → C2 · Hay, Mercer IPE and public plans · experience 28.3 yrs vs the C2 market range 12–17 yrs</t>
        </is>
      </c>
      <c r="BD186" s="42">
        <f>IF(SUM(BM186,BN186,BO186,BP186,BQ186,BR186,BS186)=0,0,(BM186*BT186+BN186*BU186+BO186*BV186+BP186*BW186+BQ186*BX186+BR186*BY186+BS186*BZ186)/SUM(BM186,BN186,BO186,BP186,BQ186,BR186,BS186))</f>
        <v>0</v>
      </c>
      <c r="BE186" s="41" t="str">
        <f>IF(LEFT(AY186,1)="X",AY186,IF(OR(AY186="B+",AY186="C+"),INDEX(LAD_PC,MAX(1,MIN(14,MATCH(AY186,LAD_PC,0)+IF(BD186&gt;=0.5,1,IF(BD186&lt;=-0.5,-1,0))))),INDEX(LAD_STD,MAX(1,MIN(12,MATCH(AY186,LAD_STD,0)+IF(BD186&gt;=0.5,1,IF(BD186&lt;=-0.5,-1,0)))))))</f>
        <v>C1</v>
      </c>
      <c r="BF186" s="43" t="n"/>
      <c r="BG186" s="41" t="str">
        <f>IF(BF186&lt;&gt;"",BF186,BE186)</f>
        <v>C1</v>
      </c>
      <c r="BH186" s="40" t="str">
        <f>IFERROR(CHOOSE(INDEX(B_RANK,MATCH(BG186,B_LVL,0)),"Band A","Band B","B+ · Player-Coach","Band C","C+ · Player-Coach","Band D","Band E"),"Band X · Consultant")</f>
        <v>Band C</v>
      </c>
      <c r="BI186" s="40" t="str">
        <f>IF(BG186=AY186,"• Same",IF(INDEX(B_VAL,MATCH(BG186,B_LVL,0))&gt;INDEX(B_VAL,MATCH(AY186,B_LVL,0)),"▲ Up","▼ Down"))</f>
        <v>• Same</v>
      </c>
      <c r="BJ186" s="40" t="str">
        <f>IF(OR($M186="",$M186="—",$M186="Not in this file"),"",IFERROR(INDEX($BG$7:$BG$592,MATCH($M186,$D$7:$D$592,0)),""))</f>
        <v>E1</v>
      </c>
      <c r="BK186" s="40" t="str">
        <f>IFERROR(IF(BJ186="","—",IF(OR(LEFT(BG186,1)="X",LEFT(BJ186,1)="X"),"—",IF(AND(LEFT(BG186,1)="E",LEFT(BJ186,1)="E"),"Exception · Band E",IF(AND(INDEX(B_VAL,MATCH(BJ186,B_LVL,0))&gt;=7,INDEX(B_RANK,MATCH(BG186,B_LVL,0))&gt;=INDEX(B_RANK,MATCH(BJ186,B_LVL,0))),"⚠ Same band as a head manager",IF(INDEX(B_VAL,MATCH(BG186,B_LVL,0))&gt;=INDEX(B_VAL,MATCH(BJ186,B_LVL,0)),"⚠ At or above the manager's level","OK"))))),"—")</f>
        <v>OK</v>
      </c>
      <c r="BL186" s="43" t="n"/>
      <c r="BM186" s="44">
        <f>IFERROR(INDEX(LMH_PTS,MATCH(Y186,LMH_KEY,0)),0)</f>
        <v>9</v>
      </c>
      <c r="BN186" s="38">
        <f>IFERROR(INDEX(LMH_PTS,MATCH(Z186,LMH_KEY,0)),0)</f>
        <v>3</v>
      </c>
      <c r="BO186" s="38">
        <f>IFERROR(INDEX(LMH_PTS,MATCH(AA186,LMH_KEY,0)),0)</f>
        <v>3</v>
      </c>
      <c r="BP186" s="38">
        <f>IFERROR(INDEX(LMH_PTS,MATCH(AB186,LMH_KEY,0)),0)</f>
        <v>3</v>
      </c>
      <c r="BQ186" s="38">
        <f>IFERROR(INDEX(LMH_PTS,MATCH(AC186,LMH_KEY,0)),0)</f>
        <v>1</v>
      </c>
      <c r="BR186" s="38">
        <f>IFERROR(INDEX(LMH_PTS,MATCH(AD186,LMH_KEY,0)),0)</f>
        <v>1</v>
      </c>
      <c r="BS186" s="38">
        <f>IFERROR(INDEX(LMH_PTS,MATCH(AE186,LMH_KEY,0)),0)</f>
        <v>1</v>
      </c>
      <c r="BT186" s="38">
        <f>IFERROR(INDEX(LMH_STEP,MATCH(AF186,LMH_KEY,0)),0)</f>
        <v>0</v>
      </c>
      <c r="BU186" s="38">
        <f>IFERROR(INDEX(LMH_STEP,MATCH(AG186,LMH_KEY,0)),0)</f>
        <v>0</v>
      </c>
      <c r="BV186" s="38">
        <f>IFERROR(INDEX(LMH_STEP,MATCH(AH186,LMH_KEY,0)),0)</f>
        <v>0</v>
      </c>
      <c r="BW186" s="38">
        <f>IFERROR(INDEX(LMH_STEP,MATCH(AI186,LMH_KEY,0)),0)</f>
        <v>0</v>
      </c>
      <c r="BX186" s="38">
        <f>IFERROR(INDEX(LMH_STEP,MATCH(AJ186,LMH_KEY,0)),0)</f>
        <v>0</v>
      </c>
      <c r="BY186" s="38">
        <f>IFERROR(INDEX(LMH_STEP,MATCH(AK186,LMH_KEY,0)),0)</f>
        <v>0</v>
      </c>
      <c r="BZ186" s="38">
        <f>IFERROR(INDEX(LMH_STEP,MATCH(AL186,LMH_KEY,0)),0)</f>
        <v>0</v>
      </c>
      <c r="CA186" s="38" t="inlineStr">
        <is>
          <t>Corporate|Finance|Associate Head – Admin &amp; Internal Audit|C1|C-M</t>
        </is>
      </c>
    </row>
    <row r="187" ht="110" customHeight="1">
      <c r="A187" s="28" t="inlineStr">
        <is>
          <t>Corporate</t>
        </is>
      </c>
      <c r="B187" s="29" t="inlineStr">
        <is>
          <t>Administration</t>
        </is>
      </c>
      <c r="C187" s="29" t="n">
        <v>3</v>
      </c>
      <c r="D187" s="29" t="inlineStr">
        <is>
          <t>IRIS1326</t>
        </is>
      </c>
      <c r="E187" s="29" t="inlineStr">
        <is>
          <t>Sujit Acharya</t>
        </is>
      </c>
      <c r="F187" s="29" t="inlineStr">
        <is>
          <t>Manager Administration</t>
        </is>
      </c>
      <c r="G187" s="29" t="inlineStr">
        <is>
          <t>Manager – Administration</t>
        </is>
      </c>
      <c r="H187" s="29" t="inlineStr">
        <is>
          <t>Administration, Legal &amp; Secretarial</t>
        </is>
      </c>
      <c r="I187" s="29" t="inlineStr">
        <is>
          <t>Administration &amp; Facilities</t>
        </is>
      </c>
      <c r="J187" s="29" t="inlineStr">
        <is>
          <t>People Manager</t>
        </is>
      </c>
      <c r="K187" s="29" t="inlineStr">
        <is>
          <t>RC-002</t>
        </is>
      </c>
      <c r="L187" s="29" t="inlineStr">
        <is>
          <t>Sudhakar Sawant</t>
        </is>
      </c>
      <c r="M187" s="29" t="inlineStr">
        <is>
          <t>IRIS0006</t>
        </is>
      </c>
      <c r="N187" s="29" t="n">
        <v>21.7</v>
      </c>
      <c r="O187" s="29" t="n">
        <v>13.5</v>
      </c>
      <c r="P187" s="29" t="inlineStr">
        <is>
          <t>B.Com</t>
        </is>
      </c>
      <c r="Q187" s="29" t="inlineStr">
        <is>
          <t>Not in current mapping files</t>
        </is>
      </c>
      <c r="R187" s="29" t="inlineStr">
        <is>
          <t>B2</t>
        </is>
      </c>
      <c r="S187" s="30" t="inlineStr">
        <is>
          <t>20 of 20</t>
        </is>
      </c>
      <c r="T187" s="31"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t>
        </is>
      </c>
      <c r="U187" s="32" t="inlineStr">
        <is>
          <t>KRAs not received · manager to supply</t>
        </is>
      </c>
      <c r="V187" s="31" t="inlineStr">
        <is>
          <t>Latest rating: Not rated · manager · 9-box: Not placed · manager · Readiness: No rating data</t>
        </is>
      </c>
      <c r="W187" s="31" t="inlineStr">
        <is>
          <t>C L · Au L · Ac L · L L · BI L · Exp H · 21.7 yrs vs 6–9 yrs · Edu M · B.Com</t>
        </is>
      </c>
      <c r="X187" s="33" t="inlineStr">
        <is>
          <t>Open ▸</t>
        </is>
      </c>
      <c r="Y187" s="34" t="str">
        <f>IFERROR(INDEX(DL_C,MATCH($CA187,DL_KEY,0)),"M")</f>
        <v>H</v>
      </c>
      <c r="Z187" s="35" t="str">
        <f>IFERROR(INDEX(DL_Au,MATCH($CA187,DL_KEY,0)),"M")</f>
        <v>M</v>
      </c>
      <c r="AA187" s="35" t="str">
        <f>IFERROR(INDEX(DL_Ac,MATCH($CA187,DL_KEY,0)),"M")</f>
        <v>M</v>
      </c>
      <c r="AB187" s="35" t="str">
        <f>IFERROR(INDEX(DL_L,MATCH($CA187,DL_KEY,0)),"M")</f>
        <v>M</v>
      </c>
      <c r="AC187" s="35" t="str">
        <f>IFERROR(INDEX(DL_BI,MATCH($CA187,DL_KEY,0)),"M")</f>
        <v>L</v>
      </c>
      <c r="AD187" s="35" t="str">
        <f>IFERROR(INDEX(DL_Exp,MATCH($CA187,DL_KEY,0)),"M")</f>
        <v>L</v>
      </c>
      <c r="AE187" s="35" t="str">
        <f>IFERROR(INDEX(DL_Edu,MATCH($CA187,DL_KEY,0)),"M")</f>
        <v>L</v>
      </c>
      <c r="AF187" s="34" t="inlineStr">
        <is>
          <t>M</t>
        </is>
      </c>
      <c r="AG187" s="35" t="inlineStr">
        <is>
          <t>M</t>
        </is>
      </c>
      <c r="AH187" s="35" t="inlineStr">
        <is>
          <t>M</t>
        </is>
      </c>
      <c r="AI187" s="35" t="inlineStr">
        <is>
          <t>M</t>
        </is>
      </c>
      <c r="AJ187" s="35" t="inlineStr">
        <is>
          <t>M</t>
        </is>
      </c>
      <c r="AK187" s="35" t="inlineStr">
        <is>
          <t>M</t>
        </is>
      </c>
      <c r="AL187" s="35" t="inlineStr">
        <is>
          <t>M</t>
        </is>
      </c>
      <c r="AM187" s="36" t="n">
        <v>0.37</v>
      </c>
      <c r="AN187" s="37" t="n">
        <v>0.183</v>
      </c>
      <c r="AO187" s="37" t="n">
        <v>0.113</v>
      </c>
      <c r="AP187" s="37" t="n">
        <v>0.15</v>
      </c>
      <c r="AQ187" s="37" t="n">
        <v>0.08699999999999999</v>
      </c>
      <c r="AR187" s="37" t="n">
        <v>0.06</v>
      </c>
      <c r="AS187" s="37" t="n">
        <v>0.04</v>
      </c>
      <c r="AT187" s="38" t="inlineStr">
        <is>
          <t>6–10</t>
        </is>
      </c>
      <c r="AU187" s="38" t="inlineStr">
        <is>
          <t>Graduate or postgraduate; professional qualification preferred</t>
        </is>
      </c>
      <c r="AV187" s="38" t="inlineStr">
        <is>
          <t>IC: none · People: 6–8 knowledge work, 8–12 standardised delivery</t>
        </is>
      </c>
      <c r="AW187" s="38" t="inlineStr">
        <is>
          <t>P4 / M3 · SFIA 4–5</t>
        </is>
      </c>
      <c r="AX1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7" s="39" t="inlineStr">
        <is>
          <t>B2</t>
        </is>
      </c>
      <c r="AZ187" s="40" t="inlineStr">
        <is>
          <t>Band B · Specialist / Manager · Manager</t>
        </is>
      </c>
      <c r="BA187" s="40" t="inlineStr">
        <is>
          <t>Model B2 from the six ratings, the market-derived weights and rules R1–R13 · then No change · already below the manager</t>
        </is>
      </c>
      <c r="BB187" s="41" t="inlineStr">
        <is>
          <t>B2</t>
        </is>
      </c>
      <c r="BC187" s="40" t="inlineStr">
        <is>
          <t>The six ratings on the market-average weights of Band B · People Manager score 4.52 → B2 · Hay, Mercer IPE and public plans · experience 21.7 yrs vs the B2 market range 6–10</t>
        </is>
      </c>
      <c r="BD187" s="42">
        <f>IF(SUM(BM187,BN187,BO187,BP187,BQ187,BR187,BS187)=0,0,(BM187*BT187+BN187*BU187+BO187*BV187+BP187*BW187+BQ187*BX187+BR187*BY187+BS187*BZ187)/SUM(BM187,BN187,BO187,BP187,BQ187,BR187,BS187))</f>
        <v>0</v>
      </c>
      <c r="BE187" s="41" t="str">
        <f>IF(LEFT(AY187,1)="X",AY187,IF(OR(AY187="B+",AY187="C+"),INDEX(LAD_PC,MAX(1,MIN(14,MATCH(AY187,LAD_PC,0)+IF(BD187&gt;=0.5,1,IF(BD187&lt;=-0.5,-1,0))))),INDEX(LAD_STD,MAX(1,MIN(12,MATCH(AY187,LAD_STD,0)+IF(BD187&gt;=0.5,1,IF(BD187&lt;=-0.5,-1,0)))))))</f>
        <v>B2</v>
      </c>
      <c r="BF187" s="43" t="n"/>
      <c r="BG187" s="41" t="str">
        <f>IF(BF187&lt;&gt;"",BF187,BE187)</f>
        <v>B2</v>
      </c>
      <c r="BH187" s="40" t="str">
        <f>IFERROR(CHOOSE(INDEX(B_RANK,MATCH(BG187,B_LVL,0)),"Band A","Band B","B+ · Player-Coach","Band C","C+ · Player-Coach","Band D","Band E"),"Band X · Consultant")</f>
        <v>Band B</v>
      </c>
      <c r="BI187" s="40" t="str">
        <f>IF(BG187=AY187,"• Same",IF(INDEX(B_VAL,MATCH(BG187,B_LVL,0))&gt;INDEX(B_VAL,MATCH(AY187,B_LVL,0)),"▲ Up","▼ Down"))</f>
        <v>• Same</v>
      </c>
      <c r="BJ187" s="40" t="str">
        <f>IF(OR($M187="",$M187="—",$M187="Not in this file"),"",IFERROR(INDEX($BG$7:$BG$592,MATCH($M187,$D$7:$D$592,0)),""))</f>
        <v>C1</v>
      </c>
      <c r="BK187" s="40" t="str">
        <f>IFERROR(IF(BJ187="","—",IF(OR(LEFT(BG187,1)="X",LEFT(BJ187,1)="X"),"—",IF(AND(LEFT(BG187,1)="E",LEFT(BJ187,1)="E"),"Exception · Band E",IF(AND(INDEX(B_VAL,MATCH(BJ187,B_LVL,0))&gt;=7,INDEX(B_RANK,MATCH(BG187,B_LVL,0))&gt;=INDEX(B_RANK,MATCH(BJ187,B_LVL,0))),"⚠ Same band as a head manager",IF(INDEX(B_VAL,MATCH(BG187,B_LVL,0))&gt;=INDEX(B_VAL,MATCH(BJ187,B_LVL,0)),"⚠ At or above the manager's level","OK"))))),"—")</f>
        <v>OK</v>
      </c>
      <c r="BL187" s="43" t="n"/>
      <c r="BM187" s="44">
        <f>IFERROR(INDEX(LMH_PTS,MATCH(Y187,LMH_KEY,0)),0)</f>
        <v>9</v>
      </c>
      <c r="BN187" s="38">
        <f>IFERROR(INDEX(LMH_PTS,MATCH(Z187,LMH_KEY,0)),0)</f>
        <v>3</v>
      </c>
      <c r="BO187" s="38">
        <f>IFERROR(INDEX(LMH_PTS,MATCH(AA187,LMH_KEY,0)),0)</f>
        <v>3</v>
      </c>
      <c r="BP187" s="38">
        <f>IFERROR(INDEX(LMH_PTS,MATCH(AB187,LMH_KEY,0)),0)</f>
        <v>3</v>
      </c>
      <c r="BQ187" s="38">
        <f>IFERROR(INDEX(LMH_PTS,MATCH(AC187,LMH_KEY,0)),0)</f>
        <v>1</v>
      </c>
      <c r="BR187" s="38">
        <f>IFERROR(INDEX(LMH_PTS,MATCH(AD187,LMH_KEY,0)),0)</f>
        <v>1</v>
      </c>
      <c r="BS187" s="38">
        <f>IFERROR(INDEX(LMH_PTS,MATCH(AE187,LMH_KEY,0)),0)</f>
        <v>1</v>
      </c>
      <c r="BT187" s="38">
        <f>IFERROR(INDEX(LMH_STEP,MATCH(AF187,LMH_KEY,0)),0)</f>
        <v>0</v>
      </c>
      <c r="BU187" s="38">
        <f>IFERROR(INDEX(LMH_STEP,MATCH(AG187,LMH_KEY,0)),0)</f>
        <v>0</v>
      </c>
      <c r="BV187" s="38">
        <f>IFERROR(INDEX(LMH_STEP,MATCH(AH187,LMH_KEY,0)),0)</f>
        <v>0</v>
      </c>
      <c r="BW187" s="38">
        <f>IFERROR(INDEX(LMH_STEP,MATCH(AI187,LMH_KEY,0)),0)</f>
        <v>0</v>
      </c>
      <c r="BX187" s="38">
        <f>IFERROR(INDEX(LMH_STEP,MATCH(AJ187,LMH_KEY,0)),0)</f>
        <v>0</v>
      </c>
      <c r="BY187" s="38">
        <f>IFERROR(INDEX(LMH_STEP,MATCH(AK187,LMH_KEY,0)),0)</f>
        <v>0</v>
      </c>
      <c r="BZ187" s="38">
        <f>IFERROR(INDEX(LMH_STEP,MATCH(AL187,LMH_KEY,0)),0)</f>
        <v>0</v>
      </c>
      <c r="CA187" s="38" t="inlineStr">
        <is>
          <t>Corporate|Administration|Manager – Administration|B2|B-M</t>
        </is>
      </c>
    </row>
    <row r="188" ht="110" customHeight="1">
      <c r="A188" s="28" t="inlineStr">
        <is>
          <t>Corporate</t>
        </is>
      </c>
      <c r="B188" s="29" t="inlineStr">
        <is>
          <t>Administration</t>
        </is>
      </c>
      <c r="C188" s="29" t="n">
        <v>4</v>
      </c>
      <c r="D188" s="29" t="inlineStr">
        <is>
          <t>IRIS2431</t>
        </is>
      </c>
      <c r="E188" s="29" t="inlineStr">
        <is>
          <t>Ashish Pawar</t>
        </is>
      </c>
      <c r="F188" s="29" t="inlineStr">
        <is>
          <t>Executive Administration</t>
        </is>
      </c>
      <c r="G188" s="29" t="inlineStr">
        <is>
          <t>Senior Administration Executive</t>
        </is>
      </c>
      <c r="H188" s="29" t="inlineStr">
        <is>
          <t>Administration, Legal &amp; Secretarial</t>
        </is>
      </c>
      <c r="I188" s="29" t="inlineStr">
        <is>
          <t>Administration &amp; Facilities</t>
        </is>
      </c>
      <c r="J188" s="29" t="inlineStr">
        <is>
          <t>IC</t>
        </is>
      </c>
      <c r="K188" s="29" t="inlineStr">
        <is>
          <t>RC-001</t>
        </is>
      </c>
      <c r="L188" s="29" t="inlineStr">
        <is>
          <t>Sujit Acharya</t>
        </is>
      </c>
      <c r="M188" s="29" t="inlineStr">
        <is>
          <t>IRIS1326</t>
        </is>
      </c>
      <c r="N188" s="29" t="n">
        <v>13.2</v>
      </c>
      <c r="O188" s="29" t="n">
        <v>1</v>
      </c>
      <c r="P188" s="29" t="inlineStr">
        <is>
          <t>BA</t>
        </is>
      </c>
      <c r="Q188" s="29" t="inlineStr">
        <is>
          <t>Not in current mapping files</t>
        </is>
      </c>
      <c r="R188" s="29" t="inlineStr">
        <is>
          <t>A3</t>
        </is>
      </c>
      <c r="S188" s="30" t="inlineStr">
        <is>
          <t>19 of 20</t>
        </is>
      </c>
      <c r="T188" s="31"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t>
        </is>
      </c>
      <c r="U188" s="32" t="inlineStr">
        <is>
          <t>KRAs not received · manager to supply</t>
        </is>
      </c>
      <c r="V188" s="31" t="inlineStr">
        <is>
          <t>Latest rating: Not rated · manager · 9-box: Not placed · manager · Readiness: No rating data</t>
        </is>
      </c>
      <c r="W188" s="31" t="inlineStr">
        <is>
          <t>C L · Au L · Ac L · L L · BI L · Exp H · 13.2 yrs vs 2–4 yrs · Edu M · BA</t>
        </is>
      </c>
      <c r="X188" s="33" t="inlineStr">
        <is>
          <t>Open ▸</t>
        </is>
      </c>
      <c r="Y188" s="34" t="str">
        <f>IFERROR(INDEX(DL_C,MATCH($CA188,DL_KEY,0)),"M")</f>
        <v>H</v>
      </c>
      <c r="Z188" s="35" t="str">
        <f>IFERROR(INDEX(DL_Au,MATCH($CA188,DL_KEY,0)),"M")</f>
        <v>M</v>
      </c>
      <c r="AA188" s="35" t="str">
        <f>IFERROR(INDEX(DL_Ac,MATCH($CA188,DL_KEY,0)),"M")</f>
        <v>M</v>
      </c>
      <c r="AB188" s="35" t="str">
        <f>IFERROR(INDEX(DL_L,MATCH($CA188,DL_KEY,0)),"M")</f>
        <v>L</v>
      </c>
      <c r="AC188" s="35" t="str">
        <f>IFERROR(INDEX(DL_BI,MATCH($CA188,DL_KEY,0)),"M")</f>
        <v>L</v>
      </c>
      <c r="AD188" s="35" t="str">
        <f>IFERROR(INDEX(DL_Exp,MATCH($CA188,DL_KEY,0)),"M")</f>
        <v>L</v>
      </c>
      <c r="AE188" s="35" t="str">
        <f>IFERROR(INDEX(DL_Edu,MATCH($CA188,DL_KEY,0)),"M")</f>
        <v>M</v>
      </c>
      <c r="AF188" s="34" t="inlineStr">
        <is>
          <t>M</t>
        </is>
      </c>
      <c r="AG188" s="35" t="inlineStr">
        <is>
          <t>M</t>
        </is>
      </c>
      <c r="AH188" s="35" t="inlineStr">
        <is>
          <t>M</t>
        </is>
      </c>
      <c r="AI188" s="35" t="inlineStr">
        <is>
          <t>M</t>
        </is>
      </c>
      <c r="AJ188" s="35" t="inlineStr">
        <is>
          <t>M</t>
        </is>
      </c>
      <c r="AK188" s="35" t="inlineStr">
        <is>
          <t>M</t>
        </is>
      </c>
      <c r="AL188" s="35" t="inlineStr">
        <is>
          <t>M</t>
        </is>
      </c>
      <c r="AM188" s="36" t="n">
        <v>0.583</v>
      </c>
      <c r="AN188" s="37" t="n">
        <v>0.16</v>
      </c>
      <c r="AO188" s="37" t="n">
        <v>0.09</v>
      </c>
      <c r="AP188" s="37" t="n">
        <v>0</v>
      </c>
      <c r="AQ188" s="37" t="n">
        <v>0.063</v>
      </c>
      <c r="AR188" s="37" t="n">
        <v>0.06</v>
      </c>
      <c r="AS188" s="37" t="n">
        <v>0.04</v>
      </c>
      <c r="AT188" s="38" t="inlineStr">
        <is>
          <t>2–5</t>
        </is>
      </c>
      <c r="AU188" s="38" t="inlineStr">
        <is>
          <t>Graduate; relevant certification preferred</t>
        </is>
      </c>
      <c r="AV188" s="38" t="inlineStr">
        <is>
          <t>None · guides 1–3 juniors informally</t>
        </is>
      </c>
      <c r="AW188" s="38" t="inlineStr">
        <is>
          <t>P2 · SFIA 3 Apply</t>
        </is>
      </c>
      <c r="AX1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8" s="39" t="inlineStr">
        <is>
          <t>A3</t>
        </is>
      </c>
      <c r="AZ188" s="40" t="inlineStr">
        <is>
          <t>Band A · Practitioner · Senior Associate</t>
        </is>
      </c>
      <c r="BA188" s="40" t="inlineStr">
        <is>
          <t>Model A3 from the six ratings, the market-derived weights and rules R1–R13 · then No change · already below the manager</t>
        </is>
      </c>
      <c r="BB188" s="41" t="inlineStr">
        <is>
          <t>A3</t>
        </is>
      </c>
      <c r="BC188" s="40" t="inlineStr">
        <is>
          <t>The six ratings on the market-average weights of Band A · all tracks score 2.55 → A3 · Hay, Mercer IPE and public plans · experience 13.2 yrs vs the A3 market range 2–5</t>
        </is>
      </c>
      <c r="BD188" s="42">
        <f>IF(SUM(BM188,BN188,BO188,BP188,BQ188,BR188,BS188)=0,0,(BM188*BT188+BN188*BU188+BO188*BV188+BP188*BW188+BQ188*BX188+BR188*BY188+BS188*BZ188)/SUM(BM188,BN188,BO188,BP188,BQ188,BR188,BS188))</f>
        <v>0</v>
      </c>
      <c r="BE188" s="41" t="str">
        <f>IF(LEFT(AY188,1)="X",AY188,IF(OR(AY188="B+",AY188="C+"),INDEX(LAD_PC,MAX(1,MIN(14,MATCH(AY188,LAD_PC,0)+IF(BD188&gt;=0.5,1,IF(BD188&lt;=-0.5,-1,0))))),INDEX(LAD_STD,MAX(1,MIN(12,MATCH(AY188,LAD_STD,0)+IF(BD188&gt;=0.5,1,IF(BD188&lt;=-0.5,-1,0)))))))</f>
        <v>A3</v>
      </c>
      <c r="BF188" s="43" t="n"/>
      <c r="BG188" s="41" t="str">
        <f>IF(BF188&lt;&gt;"",BF188,BE188)</f>
        <v>A3</v>
      </c>
      <c r="BH188" s="40" t="str">
        <f>IFERROR(CHOOSE(INDEX(B_RANK,MATCH(BG188,B_LVL,0)),"Band A","Band B","B+ · Player-Coach","Band C","C+ · Player-Coach","Band D","Band E"),"Band X · Consultant")</f>
        <v>Band A</v>
      </c>
      <c r="BI188" s="40" t="str">
        <f>IF(BG188=AY188,"• Same",IF(INDEX(B_VAL,MATCH(BG188,B_LVL,0))&gt;INDEX(B_VAL,MATCH(AY188,B_LVL,0)),"▲ Up","▼ Down"))</f>
        <v>• Same</v>
      </c>
      <c r="BJ188" s="40" t="str">
        <f>IF(OR($M188="",$M188="—",$M188="Not in this file"),"",IFERROR(INDEX($BG$7:$BG$592,MATCH($M188,$D$7:$D$592,0)),""))</f>
        <v>B2</v>
      </c>
      <c r="BK188" s="40" t="str">
        <f>IFERROR(IF(BJ188="","—",IF(OR(LEFT(BG188,1)="X",LEFT(BJ188,1)="X"),"—",IF(AND(LEFT(BG188,1)="E",LEFT(BJ188,1)="E"),"Exception · Band E",IF(AND(INDEX(B_VAL,MATCH(BJ188,B_LVL,0))&gt;=7,INDEX(B_RANK,MATCH(BG188,B_LVL,0))&gt;=INDEX(B_RANK,MATCH(BJ188,B_LVL,0))),"⚠ Same band as a head manager",IF(INDEX(B_VAL,MATCH(BG188,B_LVL,0))&gt;=INDEX(B_VAL,MATCH(BJ188,B_LVL,0)),"⚠ At or above the manager's level","OK"))))),"—")</f>
        <v>OK</v>
      </c>
      <c r="BL188" s="43" t="n"/>
      <c r="BM188" s="44">
        <f>IFERROR(INDEX(LMH_PTS,MATCH(Y188,LMH_KEY,0)),0)</f>
        <v>9</v>
      </c>
      <c r="BN188" s="38">
        <f>IFERROR(INDEX(LMH_PTS,MATCH(Z188,LMH_KEY,0)),0)</f>
        <v>3</v>
      </c>
      <c r="BO188" s="38">
        <f>IFERROR(INDEX(LMH_PTS,MATCH(AA188,LMH_KEY,0)),0)</f>
        <v>3</v>
      </c>
      <c r="BP188" s="38">
        <f>IFERROR(INDEX(LMH_PTS,MATCH(AB188,LMH_KEY,0)),0)</f>
        <v>1</v>
      </c>
      <c r="BQ188" s="38">
        <f>IFERROR(INDEX(LMH_PTS,MATCH(AC188,LMH_KEY,0)),0)</f>
        <v>1</v>
      </c>
      <c r="BR188" s="38">
        <f>IFERROR(INDEX(LMH_PTS,MATCH(AD188,LMH_KEY,0)),0)</f>
        <v>1</v>
      </c>
      <c r="BS188" s="38">
        <f>IFERROR(INDEX(LMH_PTS,MATCH(AE188,LMH_KEY,0)),0)</f>
        <v>3</v>
      </c>
      <c r="BT188" s="38">
        <f>IFERROR(INDEX(LMH_STEP,MATCH(AF188,LMH_KEY,0)),0)</f>
        <v>0</v>
      </c>
      <c r="BU188" s="38">
        <f>IFERROR(INDEX(LMH_STEP,MATCH(AG188,LMH_KEY,0)),0)</f>
        <v>0</v>
      </c>
      <c r="BV188" s="38">
        <f>IFERROR(INDEX(LMH_STEP,MATCH(AH188,LMH_KEY,0)),0)</f>
        <v>0</v>
      </c>
      <c r="BW188" s="38">
        <f>IFERROR(INDEX(LMH_STEP,MATCH(AI188,LMH_KEY,0)),0)</f>
        <v>0</v>
      </c>
      <c r="BX188" s="38">
        <f>IFERROR(INDEX(LMH_STEP,MATCH(AJ188,LMH_KEY,0)),0)</f>
        <v>0</v>
      </c>
      <c r="BY188" s="38">
        <f>IFERROR(INDEX(LMH_STEP,MATCH(AK188,LMH_KEY,0)),0)</f>
        <v>0</v>
      </c>
      <c r="BZ188" s="38">
        <f>IFERROR(INDEX(LMH_STEP,MATCH(AL188,LMH_KEY,0)),0)</f>
        <v>0</v>
      </c>
      <c r="CA188" s="38" t="inlineStr">
        <is>
          <t>Corporate|Administration|Senior Administration Executive|A3|A</t>
        </is>
      </c>
    </row>
    <row r="189" ht="110" customHeight="1">
      <c r="A189" s="28" t="inlineStr">
        <is>
          <t>Corporate</t>
        </is>
      </c>
      <c r="B189" s="29" t="inlineStr">
        <is>
          <t>Administration</t>
        </is>
      </c>
      <c r="C189" s="29" t="n">
        <v>4</v>
      </c>
      <c r="D189" s="29" t="inlineStr">
        <is>
          <t>IRIS0020</t>
        </is>
      </c>
      <c r="E189" s="29" t="inlineStr">
        <is>
          <t>Mangesh Kosty</t>
        </is>
      </c>
      <c r="F189" s="29" t="inlineStr">
        <is>
          <t>Executive Administration</t>
        </is>
      </c>
      <c r="G189" s="29" t="inlineStr">
        <is>
          <t>Senior Administration Executive</t>
        </is>
      </c>
      <c r="H189" s="29" t="inlineStr">
        <is>
          <t>Administration, Legal &amp; Secretarial</t>
        </is>
      </c>
      <c r="I189" s="29" t="inlineStr">
        <is>
          <t>Administration &amp; Facilities</t>
        </is>
      </c>
      <c r="J189" s="29" t="inlineStr">
        <is>
          <t>IC</t>
        </is>
      </c>
      <c r="K189" s="29" t="inlineStr">
        <is>
          <t>RC-001</t>
        </is>
      </c>
      <c r="L189" s="29" t="inlineStr">
        <is>
          <t>Sujit Acharya</t>
        </is>
      </c>
      <c r="M189" s="29" t="inlineStr">
        <is>
          <t>IRIS1326</t>
        </is>
      </c>
      <c r="N189" s="29" t="n">
        <v>21.7</v>
      </c>
      <c r="O189" s="29" t="n">
        <v>21.7</v>
      </c>
      <c r="P189" s="29" t="inlineStr">
        <is>
          <t>Undergraduate</t>
        </is>
      </c>
      <c r="Q189" s="29" t="inlineStr">
        <is>
          <t>Not in current mapping files</t>
        </is>
      </c>
      <c r="R189" s="29" t="inlineStr">
        <is>
          <t>A3</t>
        </is>
      </c>
      <c r="S189" s="30" t="inlineStr">
        <is>
          <t>0 of 20</t>
        </is>
      </c>
      <c r="T18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89" s="32" t="inlineStr">
        <is>
          <t>KRAs not received · manager to supply</t>
        </is>
      </c>
      <c r="V189" s="31" t="inlineStr">
        <is>
          <t>Latest rating: Not rated · manager · 9-box: Not placed · manager · Readiness: No rating data</t>
        </is>
      </c>
      <c r="W189" s="31" t="inlineStr">
        <is>
          <t>C L · Au L · Ac L · L L · BI L · Exp H · 21.7 yrs vs 2–4 yrs · Edu L · Undergraduate</t>
        </is>
      </c>
      <c r="X189" s="33" t="inlineStr">
        <is>
          <t>Open ▸</t>
        </is>
      </c>
      <c r="Y189" s="34" t="str">
        <f>IFERROR(INDEX(DL_C,MATCH($CA189,DL_KEY,0)),"M")</f>
        <v>H</v>
      </c>
      <c r="Z189" s="35" t="str">
        <f>IFERROR(INDEX(DL_Au,MATCH($CA189,DL_KEY,0)),"M")</f>
        <v>M</v>
      </c>
      <c r="AA189" s="35" t="str">
        <f>IFERROR(INDEX(DL_Ac,MATCH($CA189,DL_KEY,0)),"M")</f>
        <v>M</v>
      </c>
      <c r="AB189" s="35" t="str">
        <f>IFERROR(INDEX(DL_L,MATCH($CA189,DL_KEY,0)),"M")</f>
        <v>L</v>
      </c>
      <c r="AC189" s="35" t="str">
        <f>IFERROR(INDEX(DL_BI,MATCH($CA189,DL_KEY,0)),"M")</f>
        <v>L</v>
      </c>
      <c r="AD189" s="35" t="str">
        <f>IFERROR(INDEX(DL_Exp,MATCH($CA189,DL_KEY,0)),"M")</f>
        <v>L</v>
      </c>
      <c r="AE189" s="35" t="str">
        <f>IFERROR(INDEX(DL_Edu,MATCH($CA189,DL_KEY,0)),"M")</f>
        <v>M</v>
      </c>
      <c r="AF189" s="34" t="inlineStr">
        <is>
          <t>M</t>
        </is>
      </c>
      <c r="AG189" s="35" t="inlineStr">
        <is>
          <t>M</t>
        </is>
      </c>
      <c r="AH189" s="35" t="inlineStr">
        <is>
          <t>M</t>
        </is>
      </c>
      <c r="AI189" s="35" t="inlineStr">
        <is>
          <t>M</t>
        </is>
      </c>
      <c r="AJ189" s="35" t="inlineStr">
        <is>
          <t>M</t>
        </is>
      </c>
      <c r="AK189" s="35" t="inlineStr">
        <is>
          <t>M</t>
        </is>
      </c>
      <c r="AL189" s="35" t="inlineStr">
        <is>
          <t>M</t>
        </is>
      </c>
      <c r="AM189" s="36" t="n">
        <v>0.583</v>
      </c>
      <c r="AN189" s="37" t="n">
        <v>0.16</v>
      </c>
      <c r="AO189" s="37" t="n">
        <v>0.09</v>
      </c>
      <c r="AP189" s="37" t="n">
        <v>0</v>
      </c>
      <c r="AQ189" s="37" t="n">
        <v>0.063</v>
      </c>
      <c r="AR189" s="37" t="n">
        <v>0.06</v>
      </c>
      <c r="AS189" s="37" t="n">
        <v>0.04</v>
      </c>
      <c r="AT189" s="38" t="inlineStr">
        <is>
          <t>2–5</t>
        </is>
      </c>
      <c r="AU189" s="38" t="inlineStr">
        <is>
          <t>Graduate; relevant certification preferred</t>
        </is>
      </c>
      <c r="AV189" s="38" t="inlineStr">
        <is>
          <t>None · guides 1–3 juniors informally</t>
        </is>
      </c>
      <c r="AW189" s="38" t="inlineStr">
        <is>
          <t>P2 · SFIA 3 Apply</t>
        </is>
      </c>
      <c r="AX1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9" s="39" t="inlineStr">
        <is>
          <t>A3</t>
        </is>
      </c>
      <c r="AZ189" s="40" t="inlineStr">
        <is>
          <t>Band A · Practitioner · Senior Associate</t>
        </is>
      </c>
      <c r="BA189" s="40" t="inlineStr">
        <is>
          <t>Model A3 from the six ratings, the market-derived weights and rules R1–R13 · then No change · already below the manager</t>
        </is>
      </c>
      <c r="BB189" s="41" t="inlineStr">
        <is>
          <t>A3</t>
        </is>
      </c>
      <c r="BC189" s="40" t="inlineStr">
        <is>
          <t>The six ratings on the market-average weights of Band A · all tracks score 2.75 → A3 · Hay, Mercer IPE and public plans · experience 21.7 yrs vs the A3 market range 2–5</t>
        </is>
      </c>
      <c r="BD189" s="42">
        <f>IF(SUM(BM189,BN189,BO189,BP189,BQ189,BR189,BS189)=0,0,(BM189*BT189+BN189*BU189+BO189*BV189+BP189*BW189+BQ189*BX189+BR189*BY189+BS189*BZ189)/SUM(BM189,BN189,BO189,BP189,BQ189,BR189,BS189))</f>
        <v>0</v>
      </c>
      <c r="BE189" s="41" t="str">
        <f>IF(LEFT(AY189,1)="X",AY189,IF(OR(AY189="B+",AY189="C+"),INDEX(LAD_PC,MAX(1,MIN(14,MATCH(AY189,LAD_PC,0)+IF(BD189&gt;=0.5,1,IF(BD189&lt;=-0.5,-1,0))))),INDEX(LAD_STD,MAX(1,MIN(12,MATCH(AY189,LAD_STD,0)+IF(BD189&gt;=0.5,1,IF(BD189&lt;=-0.5,-1,0)))))))</f>
        <v>A3</v>
      </c>
      <c r="BF189" s="43" t="n"/>
      <c r="BG189" s="41" t="str">
        <f>IF(BF189&lt;&gt;"",BF189,BE189)</f>
        <v>A3</v>
      </c>
      <c r="BH189" s="40" t="str">
        <f>IFERROR(CHOOSE(INDEX(B_RANK,MATCH(BG189,B_LVL,0)),"Band A","Band B","B+ · Player-Coach","Band C","C+ · Player-Coach","Band D","Band E"),"Band X · Consultant")</f>
        <v>Band A</v>
      </c>
      <c r="BI189" s="40" t="str">
        <f>IF(BG189=AY189,"• Same",IF(INDEX(B_VAL,MATCH(BG189,B_LVL,0))&gt;INDEX(B_VAL,MATCH(AY189,B_LVL,0)),"▲ Up","▼ Down"))</f>
        <v>• Same</v>
      </c>
      <c r="BJ189" s="40" t="str">
        <f>IF(OR($M189="",$M189="—",$M189="Not in this file"),"",IFERROR(INDEX($BG$7:$BG$592,MATCH($M189,$D$7:$D$592,0)),""))</f>
        <v>B2</v>
      </c>
      <c r="BK189" s="40" t="str">
        <f>IFERROR(IF(BJ189="","—",IF(OR(LEFT(BG189,1)="X",LEFT(BJ189,1)="X"),"—",IF(AND(LEFT(BG189,1)="E",LEFT(BJ189,1)="E"),"Exception · Band E",IF(AND(INDEX(B_VAL,MATCH(BJ189,B_LVL,0))&gt;=7,INDEX(B_RANK,MATCH(BG189,B_LVL,0))&gt;=INDEX(B_RANK,MATCH(BJ189,B_LVL,0))),"⚠ Same band as a head manager",IF(INDEX(B_VAL,MATCH(BG189,B_LVL,0))&gt;=INDEX(B_VAL,MATCH(BJ189,B_LVL,0)),"⚠ At or above the manager's level","OK"))))),"—")</f>
        <v>OK</v>
      </c>
      <c r="BL189" s="43" t="n"/>
      <c r="BM189" s="44">
        <f>IFERROR(INDEX(LMH_PTS,MATCH(Y189,LMH_KEY,0)),0)</f>
        <v>9</v>
      </c>
      <c r="BN189" s="38">
        <f>IFERROR(INDEX(LMH_PTS,MATCH(Z189,LMH_KEY,0)),0)</f>
        <v>3</v>
      </c>
      <c r="BO189" s="38">
        <f>IFERROR(INDEX(LMH_PTS,MATCH(AA189,LMH_KEY,0)),0)</f>
        <v>3</v>
      </c>
      <c r="BP189" s="38">
        <f>IFERROR(INDEX(LMH_PTS,MATCH(AB189,LMH_KEY,0)),0)</f>
        <v>1</v>
      </c>
      <c r="BQ189" s="38">
        <f>IFERROR(INDEX(LMH_PTS,MATCH(AC189,LMH_KEY,0)),0)</f>
        <v>1</v>
      </c>
      <c r="BR189" s="38">
        <f>IFERROR(INDEX(LMH_PTS,MATCH(AD189,LMH_KEY,0)),0)</f>
        <v>1</v>
      </c>
      <c r="BS189" s="38">
        <f>IFERROR(INDEX(LMH_PTS,MATCH(AE189,LMH_KEY,0)),0)</f>
        <v>3</v>
      </c>
      <c r="BT189" s="38">
        <f>IFERROR(INDEX(LMH_STEP,MATCH(AF189,LMH_KEY,0)),0)</f>
        <v>0</v>
      </c>
      <c r="BU189" s="38">
        <f>IFERROR(INDEX(LMH_STEP,MATCH(AG189,LMH_KEY,0)),0)</f>
        <v>0</v>
      </c>
      <c r="BV189" s="38">
        <f>IFERROR(INDEX(LMH_STEP,MATCH(AH189,LMH_KEY,0)),0)</f>
        <v>0</v>
      </c>
      <c r="BW189" s="38">
        <f>IFERROR(INDEX(LMH_STEP,MATCH(AI189,LMH_KEY,0)),0)</f>
        <v>0</v>
      </c>
      <c r="BX189" s="38">
        <f>IFERROR(INDEX(LMH_STEP,MATCH(AJ189,LMH_KEY,0)),0)</f>
        <v>0</v>
      </c>
      <c r="BY189" s="38">
        <f>IFERROR(INDEX(LMH_STEP,MATCH(AK189,LMH_KEY,0)),0)</f>
        <v>0</v>
      </c>
      <c r="BZ189" s="38">
        <f>IFERROR(INDEX(LMH_STEP,MATCH(AL189,LMH_KEY,0)),0)</f>
        <v>0</v>
      </c>
      <c r="CA189" s="38" t="inlineStr">
        <is>
          <t>Corporate|Administration|Senior Administration Executive|A3|A</t>
        </is>
      </c>
    </row>
    <row r="190" ht="110" customHeight="1">
      <c r="A190" s="28" t="inlineStr">
        <is>
          <t>Corporate</t>
        </is>
      </c>
      <c r="B190" s="29" t="inlineStr">
        <is>
          <t>Administration</t>
        </is>
      </c>
      <c r="C190" s="29" t="n">
        <v>4</v>
      </c>
      <c r="D190" s="29" t="inlineStr">
        <is>
          <t>IRIS0021</t>
        </is>
      </c>
      <c r="E190" s="29" t="inlineStr">
        <is>
          <t>Rajesh Khurambe</t>
        </is>
      </c>
      <c r="F190" s="29" t="inlineStr">
        <is>
          <t>Executive Administration</t>
        </is>
      </c>
      <c r="G190" s="29" t="inlineStr">
        <is>
          <t>Senior Administration Executive</t>
        </is>
      </c>
      <c r="H190" s="29" t="inlineStr">
        <is>
          <t>Administration, Legal &amp; Secretarial</t>
        </is>
      </c>
      <c r="I190" s="29" t="inlineStr">
        <is>
          <t>Administration &amp; Facilities</t>
        </is>
      </c>
      <c r="J190" s="29" t="inlineStr">
        <is>
          <t>IC</t>
        </is>
      </c>
      <c r="K190" s="29" t="inlineStr">
        <is>
          <t>RC-001</t>
        </is>
      </c>
      <c r="L190" s="29" t="inlineStr">
        <is>
          <t>Sujit Acharya</t>
        </is>
      </c>
      <c r="M190" s="29" t="inlineStr">
        <is>
          <t>IRIS1326</t>
        </is>
      </c>
      <c r="N190" s="29" t="n">
        <v>21.7</v>
      </c>
      <c r="O190" s="29" t="n">
        <v>21.7</v>
      </c>
      <c r="P190" s="29" t="inlineStr">
        <is>
          <t>Undergraduate</t>
        </is>
      </c>
      <c r="Q190" s="29" t="inlineStr">
        <is>
          <t>Not in current mapping files</t>
        </is>
      </c>
      <c r="R190" s="29" t="inlineStr">
        <is>
          <t>A3</t>
        </is>
      </c>
      <c r="S190" s="30" t="inlineStr">
        <is>
          <t>0 of 20</t>
        </is>
      </c>
      <c r="T19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0" s="32" t="inlineStr">
        <is>
          <t>KRAs not received · manager to supply</t>
        </is>
      </c>
      <c r="V190" s="31" t="inlineStr">
        <is>
          <t>Latest rating: Not rated · manager · 9-box: Not placed · manager · Readiness: No rating data</t>
        </is>
      </c>
      <c r="W190" s="31" t="inlineStr">
        <is>
          <t>C L · Au L · Ac L · L L · BI L · Exp H · 21.7 yrs vs 2–4 yrs · Edu L · Undergraduate</t>
        </is>
      </c>
      <c r="X190" s="33" t="inlineStr">
        <is>
          <t>Open ▸</t>
        </is>
      </c>
      <c r="Y190" s="34" t="str">
        <f>IFERROR(INDEX(DL_C,MATCH($CA190,DL_KEY,0)),"M")</f>
        <v>H</v>
      </c>
      <c r="Z190" s="35" t="str">
        <f>IFERROR(INDEX(DL_Au,MATCH($CA190,DL_KEY,0)),"M")</f>
        <v>M</v>
      </c>
      <c r="AA190" s="35" t="str">
        <f>IFERROR(INDEX(DL_Ac,MATCH($CA190,DL_KEY,0)),"M")</f>
        <v>M</v>
      </c>
      <c r="AB190" s="35" t="str">
        <f>IFERROR(INDEX(DL_L,MATCH($CA190,DL_KEY,0)),"M")</f>
        <v>L</v>
      </c>
      <c r="AC190" s="35" t="str">
        <f>IFERROR(INDEX(DL_BI,MATCH($CA190,DL_KEY,0)),"M")</f>
        <v>L</v>
      </c>
      <c r="AD190" s="35" t="str">
        <f>IFERROR(INDEX(DL_Exp,MATCH($CA190,DL_KEY,0)),"M")</f>
        <v>L</v>
      </c>
      <c r="AE190" s="35" t="str">
        <f>IFERROR(INDEX(DL_Edu,MATCH($CA190,DL_KEY,0)),"M")</f>
        <v>M</v>
      </c>
      <c r="AF190" s="34" t="inlineStr">
        <is>
          <t>M</t>
        </is>
      </c>
      <c r="AG190" s="35" t="inlineStr">
        <is>
          <t>M</t>
        </is>
      </c>
      <c r="AH190" s="35" t="inlineStr">
        <is>
          <t>M</t>
        </is>
      </c>
      <c r="AI190" s="35" t="inlineStr">
        <is>
          <t>M</t>
        </is>
      </c>
      <c r="AJ190" s="35" t="inlineStr">
        <is>
          <t>M</t>
        </is>
      </c>
      <c r="AK190" s="35" t="inlineStr">
        <is>
          <t>M</t>
        </is>
      </c>
      <c r="AL190" s="35" t="inlineStr">
        <is>
          <t>M</t>
        </is>
      </c>
      <c r="AM190" s="36" t="n">
        <v>0.583</v>
      </c>
      <c r="AN190" s="37" t="n">
        <v>0.16</v>
      </c>
      <c r="AO190" s="37" t="n">
        <v>0.09</v>
      </c>
      <c r="AP190" s="37" t="n">
        <v>0</v>
      </c>
      <c r="AQ190" s="37" t="n">
        <v>0.063</v>
      </c>
      <c r="AR190" s="37" t="n">
        <v>0.06</v>
      </c>
      <c r="AS190" s="37" t="n">
        <v>0.04</v>
      </c>
      <c r="AT190" s="38" t="inlineStr">
        <is>
          <t>2–5</t>
        </is>
      </c>
      <c r="AU190" s="38" t="inlineStr">
        <is>
          <t>Graduate; relevant certification preferred</t>
        </is>
      </c>
      <c r="AV190" s="38" t="inlineStr">
        <is>
          <t>None · guides 1–3 juniors informally</t>
        </is>
      </c>
      <c r="AW190" s="38" t="inlineStr">
        <is>
          <t>P2 · SFIA 3 Apply</t>
        </is>
      </c>
      <c r="AX1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0" s="39" t="inlineStr">
        <is>
          <t>A3</t>
        </is>
      </c>
      <c r="AZ190" s="40" t="inlineStr">
        <is>
          <t>Band A · Practitioner · Senior Associate</t>
        </is>
      </c>
      <c r="BA190" s="40" t="inlineStr">
        <is>
          <t>Model A3 from the six ratings, the market-derived weights and rules R1–R13 · then No change · already below the manager</t>
        </is>
      </c>
      <c r="BB190" s="41" t="inlineStr">
        <is>
          <t>A3</t>
        </is>
      </c>
      <c r="BC190" s="40" t="inlineStr">
        <is>
          <t>The six ratings on the market-average weights of Band A · all tracks score 2.75 → A3 · Hay, Mercer IPE and public plans · experience 21.7 yrs vs the A3 market range 2–5</t>
        </is>
      </c>
      <c r="BD190" s="42">
        <f>IF(SUM(BM190,BN190,BO190,BP190,BQ190,BR190,BS190)=0,0,(BM190*BT190+BN190*BU190+BO190*BV190+BP190*BW190+BQ190*BX190+BR190*BY190+BS190*BZ190)/SUM(BM190,BN190,BO190,BP190,BQ190,BR190,BS190))</f>
        <v>0</v>
      </c>
      <c r="BE190" s="41" t="str">
        <f>IF(LEFT(AY190,1)="X",AY190,IF(OR(AY190="B+",AY190="C+"),INDEX(LAD_PC,MAX(1,MIN(14,MATCH(AY190,LAD_PC,0)+IF(BD190&gt;=0.5,1,IF(BD190&lt;=-0.5,-1,0))))),INDEX(LAD_STD,MAX(1,MIN(12,MATCH(AY190,LAD_STD,0)+IF(BD190&gt;=0.5,1,IF(BD190&lt;=-0.5,-1,0)))))))</f>
        <v>A3</v>
      </c>
      <c r="BF190" s="43" t="n"/>
      <c r="BG190" s="41" t="str">
        <f>IF(BF190&lt;&gt;"",BF190,BE190)</f>
        <v>A3</v>
      </c>
      <c r="BH190" s="40" t="str">
        <f>IFERROR(CHOOSE(INDEX(B_RANK,MATCH(BG190,B_LVL,0)),"Band A","Band B","B+ · Player-Coach","Band C","C+ · Player-Coach","Band D","Band E"),"Band X · Consultant")</f>
        <v>Band A</v>
      </c>
      <c r="BI190" s="40" t="str">
        <f>IF(BG190=AY190,"• Same",IF(INDEX(B_VAL,MATCH(BG190,B_LVL,0))&gt;INDEX(B_VAL,MATCH(AY190,B_LVL,0)),"▲ Up","▼ Down"))</f>
        <v>• Same</v>
      </c>
      <c r="BJ190" s="40" t="str">
        <f>IF(OR($M190="",$M190="—",$M190="Not in this file"),"",IFERROR(INDEX($BG$7:$BG$592,MATCH($M190,$D$7:$D$592,0)),""))</f>
        <v>B2</v>
      </c>
      <c r="BK190" s="40" t="str">
        <f>IFERROR(IF(BJ190="","—",IF(OR(LEFT(BG190,1)="X",LEFT(BJ190,1)="X"),"—",IF(AND(LEFT(BG190,1)="E",LEFT(BJ190,1)="E"),"Exception · Band E",IF(AND(INDEX(B_VAL,MATCH(BJ190,B_LVL,0))&gt;=7,INDEX(B_RANK,MATCH(BG190,B_LVL,0))&gt;=INDEX(B_RANK,MATCH(BJ190,B_LVL,0))),"⚠ Same band as a head manager",IF(INDEX(B_VAL,MATCH(BG190,B_LVL,0))&gt;=INDEX(B_VAL,MATCH(BJ190,B_LVL,0)),"⚠ At or above the manager's level","OK"))))),"—")</f>
        <v>OK</v>
      </c>
      <c r="BL190" s="43" t="n"/>
      <c r="BM190" s="44">
        <f>IFERROR(INDEX(LMH_PTS,MATCH(Y190,LMH_KEY,0)),0)</f>
        <v>9</v>
      </c>
      <c r="BN190" s="38">
        <f>IFERROR(INDEX(LMH_PTS,MATCH(Z190,LMH_KEY,0)),0)</f>
        <v>3</v>
      </c>
      <c r="BO190" s="38">
        <f>IFERROR(INDEX(LMH_PTS,MATCH(AA190,LMH_KEY,0)),0)</f>
        <v>3</v>
      </c>
      <c r="BP190" s="38">
        <f>IFERROR(INDEX(LMH_PTS,MATCH(AB190,LMH_KEY,0)),0)</f>
        <v>1</v>
      </c>
      <c r="BQ190" s="38">
        <f>IFERROR(INDEX(LMH_PTS,MATCH(AC190,LMH_KEY,0)),0)</f>
        <v>1</v>
      </c>
      <c r="BR190" s="38">
        <f>IFERROR(INDEX(LMH_PTS,MATCH(AD190,LMH_KEY,0)),0)</f>
        <v>1</v>
      </c>
      <c r="BS190" s="38">
        <f>IFERROR(INDEX(LMH_PTS,MATCH(AE190,LMH_KEY,0)),0)</f>
        <v>3</v>
      </c>
      <c r="BT190" s="38">
        <f>IFERROR(INDEX(LMH_STEP,MATCH(AF190,LMH_KEY,0)),0)</f>
        <v>0</v>
      </c>
      <c r="BU190" s="38">
        <f>IFERROR(INDEX(LMH_STEP,MATCH(AG190,LMH_KEY,0)),0)</f>
        <v>0</v>
      </c>
      <c r="BV190" s="38">
        <f>IFERROR(INDEX(LMH_STEP,MATCH(AH190,LMH_KEY,0)),0)</f>
        <v>0</v>
      </c>
      <c r="BW190" s="38">
        <f>IFERROR(INDEX(LMH_STEP,MATCH(AI190,LMH_KEY,0)),0)</f>
        <v>0</v>
      </c>
      <c r="BX190" s="38">
        <f>IFERROR(INDEX(LMH_STEP,MATCH(AJ190,LMH_KEY,0)),0)</f>
        <v>0</v>
      </c>
      <c r="BY190" s="38">
        <f>IFERROR(INDEX(LMH_STEP,MATCH(AK190,LMH_KEY,0)),0)</f>
        <v>0</v>
      </c>
      <c r="BZ190" s="38">
        <f>IFERROR(INDEX(LMH_STEP,MATCH(AL190,LMH_KEY,0)),0)</f>
        <v>0</v>
      </c>
      <c r="CA190" s="38" t="inlineStr">
        <is>
          <t>Corporate|Administration|Senior Administration Executive|A3|A</t>
        </is>
      </c>
    </row>
    <row r="191" ht="110" customHeight="1">
      <c r="A191" s="28" t="inlineStr">
        <is>
          <t>Corporate</t>
        </is>
      </c>
      <c r="B191" s="29" t="inlineStr">
        <is>
          <t>Administration</t>
        </is>
      </c>
      <c r="C191" s="29" t="n">
        <v>4</v>
      </c>
      <c r="D191" s="29" t="inlineStr">
        <is>
          <t>IRIS1008</t>
        </is>
      </c>
      <c r="E191" s="29" t="inlineStr">
        <is>
          <t>Sunil Pawar</t>
        </is>
      </c>
      <c r="F191" s="29" t="inlineStr">
        <is>
          <t>Executive Administration</t>
        </is>
      </c>
      <c r="G191" s="29" t="inlineStr">
        <is>
          <t>Senior Administration Executive</t>
        </is>
      </c>
      <c r="H191" s="29" t="inlineStr">
        <is>
          <t>Administration, Legal &amp; Secretarial</t>
        </is>
      </c>
      <c r="I191" s="29" t="inlineStr">
        <is>
          <t>Administration &amp; Facilities</t>
        </is>
      </c>
      <c r="J191" s="29" t="inlineStr">
        <is>
          <t>IC</t>
        </is>
      </c>
      <c r="K191" s="29" t="inlineStr">
        <is>
          <t>RC-001</t>
        </is>
      </c>
      <c r="L191" s="29" t="inlineStr">
        <is>
          <t>Sujit Acharya</t>
        </is>
      </c>
      <c r="M191" s="29" t="inlineStr">
        <is>
          <t>IRIS1326</t>
        </is>
      </c>
      <c r="N191" s="29" t="n">
        <v>14.9</v>
      </c>
      <c r="O191" s="29" t="n">
        <v>14.9</v>
      </c>
      <c r="P191" s="29" t="inlineStr">
        <is>
          <t>Undergraduate</t>
        </is>
      </c>
      <c r="Q191" s="29" t="inlineStr">
        <is>
          <t>Not in current mapping files</t>
        </is>
      </c>
      <c r="R191" s="29" t="inlineStr">
        <is>
          <t>A3</t>
        </is>
      </c>
      <c r="S191" s="30" t="inlineStr">
        <is>
          <t>0 of 20</t>
        </is>
      </c>
      <c r="T19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1" s="32" t="inlineStr">
        <is>
          <t>KRAs not received · manager to supply</t>
        </is>
      </c>
      <c r="V191" s="31" t="inlineStr">
        <is>
          <t>Latest rating: Not rated · manager · 9-box: Not placed · manager · Readiness: No rating data</t>
        </is>
      </c>
      <c r="W191" s="31" t="inlineStr">
        <is>
          <t>C L · Au L · Ac L · L L · BI L · Exp H · 14.9 yrs vs 2–4 yrs · Edu L · Undergraduate</t>
        </is>
      </c>
      <c r="X191" s="33" t="inlineStr">
        <is>
          <t>Open ▸</t>
        </is>
      </c>
      <c r="Y191" s="34" t="str">
        <f>IFERROR(INDEX(DL_C,MATCH($CA191,DL_KEY,0)),"M")</f>
        <v>H</v>
      </c>
      <c r="Z191" s="35" t="str">
        <f>IFERROR(INDEX(DL_Au,MATCH($CA191,DL_KEY,0)),"M")</f>
        <v>M</v>
      </c>
      <c r="AA191" s="35" t="str">
        <f>IFERROR(INDEX(DL_Ac,MATCH($CA191,DL_KEY,0)),"M")</f>
        <v>M</v>
      </c>
      <c r="AB191" s="35" t="str">
        <f>IFERROR(INDEX(DL_L,MATCH($CA191,DL_KEY,0)),"M")</f>
        <v>L</v>
      </c>
      <c r="AC191" s="35" t="str">
        <f>IFERROR(INDEX(DL_BI,MATCH($CA191,DL_KEY,0)),"M")</f>
        <v>L</v>
      </c>
      <c r="AD191" s="35" t="str">
        <f>IFERROR(INDEX(DL_Exp,MATCH($CA191,DL_KEY,0)),"M")</f>
        <v>L</v>
      </c>
      <c r="AE191" s="35" t="str">
        <f>IFERROR(INDEX(DL_Edu,MATCH($CA191,DL_KEY,0)),"M")</f>
        <v>M</v>
      </c>
      <c r="AF191" s="34" t="inlineStr">
        <is>
          <t>M</t>
        </is>
      </c>
      <c r="AG191" s="35" t="inlineStr">
        <is>
          <t>M</t>
        </is>
      </c>
      <c r="AH191" s="35" t="inlineStr">
        <is>
          <t>M</t>
        </is>
      </c>
      <c r="AI191" s="35" t="inlineStr">
        <is>
          <t>M</t>
        </is>
      </c>
      <c r="AJ191" s="35" t="inlineStr">
        <is>
          <t>M</t>
        </is>
      </c>
      <c r="AK191" s="35" t="inlineStr">
        <is>
          <t>M</t>
        </is>
      </c>
      <c r="AL191" s="35" t="inlineStr">
        <is>
          <t>M</t>
        </is>
      </c>
      <c r="AM191" s="36" t="n">
        <v>0.583</v>
      </c>
      <c r="AN191" s="37" t="n">
        <v>0.16</v>
      </c>
      <c r="AO191" s="37" t="n">
        <v>0.09</v>
      </c>
      <c r="AP191" s="37" t="n">
        <v>0</v>
      </c>
      <c r="AQ191" s="37" t="n">
        <v>0.063</v>
      </c>
      <c r="AR191" s="37" t="n">
        <v>0.06</v>
      </c>
      <c r="AS191" s="37" t="n">
        <v>0.04</v>
      </c>
      <c r="AT191" s="38" t="inlineStr">
        <is>
          <t>2–5</t>
        </is>
      </c>
      <c r="AU191" s="38" t="inlineStr">
        <is>
          <t>Graduate; relevant certification preferred</t>
        </is>
      </c>
      <c r="AV191" s="38" t="inlineStr">
        <is>
          <t>None · guides 1–3 juniors informally</t>
        </is>
      </c>
      <c r="AW191" s="38" t="inlineStr">
        <is>
          <t>P2 · SFIA 3 Apply</t>
        </is>
      </c>
      <c r="AX1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1" s="39" t="inlineStr">
        <is>
          <t>A3</t>
        </is>
      </c>
      <c r="AZ191" s="40" t="inlineStr">
        <is>
          <t>Band A · Practitioner · Senior Associate</t>
        </is>
      </c>
      <c r="BA191" s="40" t="inlineStr">
        <is>
          <t>Model A3 from the six ratings, the market-derived weights and rules R1–R13 · then No change · already below the manager</t>
        </is>
      </c>
      <c r="BB191" s="41" t="inlineStr">
        <is>
          <t>A3</t>
        </is>
      </c>
      <c r="BC191" s="40" t="inlineStr">
        <is>
          <t>The six ratings on the market-average weights of Band A · all tracks score 2.55 → A3 · Hay, Mercer IPE and public plans · experience 14.9 yrs vs the A3 market range 2–5</t>
        </is>
      </c>
      <c r="BD191" s="42">
        <f>IF(SUM(BM191,BN191,BO191,BP191,BQ191,BR191,BS191)=0,0,(BM191*BT191+BN191*BU191+BO191*BV191+BP191*BW191+BQ191*BX191+BR191*BY191+BS191*BZ191)/SUM(BM191,BN191,BO191,BP191,BQ191,BR191,BS191))</f>
        <v>0</v>
      </c>
      <c r="BE191" s="41" t="str">
        <f>IF(LEFT(AY191,1)="X",AY191,IF(OR(AY191="B+",AY191="C+"),INDEX(LAD_PC,MAX(1,MIN(14,MATCH(AY191,LAD_PC,0)+IF(BD191&gt;=0.5,1,IF(BD191&lt;=-0.5,-1,0))))),INDEX(LAD_STD,MAX(1,MIN(12,MATCH(AY191,LAD_STD,0)+IF(BD191&gt;=0.5,1,IF(BD191&lt;=-0.5,-1,0)))))))</f>
        <v>A3</v>
      </c>
      <c r="BF191" s="43" t="n"/>
      <c r="BG191" s="41" t="str">
        <f>IF(BF191&lt;&gt;"",BF191,BE191)</f>
        <v>A3</v>
      </c>
      <c r="BH191" s="40" t="str">
        <f>IFERROR(CHOOSE(INDEX(B_RANK,MATCH(BG191,B_LVL,0)),"Band A","Band B","B+ · Player-Coach","Band C","C+ · Player-Coach","Band D","Band E"),"Band X · Consultant")</f>
        <v>Band A</v>
      </c>
      <c r="BI191" s="40" t="str">
        <f>IF(BG191=AY191,"• Same",IF(INDEX(B_VAL,MATCH(BG191,B_LVL,0))&gt;INDEX(B_VAL,MATCH(AY191,B_LVL,0)),"▲ Up","▼ Down"))</f>
        <v>• Same</v>
      </c>
      <c r="BJ191" s="40" t="str">
        <f>IF(OR($M191="",$M191="—",$M191="Not in this file"),"",IFERROR(INDEX($BG$7:$BG$592,MATCH($M191,$D$7:$D$592,0)),""))</f>
        <v>B2</v>
      </c>
      <c r="BK191" s="40" t="str">
        <f>IFERROR(IF(BJ191="","—",IF(OR(LEFT(BG191,1)="X",LEFT(BJ191,1)="X"),"—",IF(AND(LEFT(BG191,1)="E",LEFT(BJ191,1)="E"),"Exception · Band E",IF(AND(INDEX(B_VAL,MATCH(BJ191,B_LVL,0))&gt;=7,INDEX(B_RANK,MATCH(BG191,B_LVL,0))&gt;=INDEX(B_RANK,MATCH(BJ191,B_LVL,0))),"⚠ Same band as a head manager",IF(INDEX(B_VAL,MATCH(BG191,B_LVL,0))&gt;=INDEX(B_VAL,MATCH(BJ191,B_LVL,0)),"⚠ At or above the manager's level","OK"))))),"—")</f>
        <v>OK</v>
      </c>
      <c r="BL191" s="43" t="n"/>
      <c r="BM191" s="44">
        <f>IFERROR(INDEX(LMH_PTS,MATCH(Y191,LMH_KEY,0)),0)</f>
        <v>9</v>
      </c>
      <c r="BN191" s="38">
        <f>IFERROR(INDEX(LMH_PTS,MATCH(Z191,LMH_KEY,0)),0)</f>
        <v>3</v>
      </c>
      <c r="BO191" s="38">
        <f>IFERROR(INDEX(LMH_PTS,MATCH(AA191,LMH_KEY,0)),0)</f>
        <v>3</v>
      </c>
      <c r="BP191" s="38">
        <f>IFERROR(INDEX(LMH_PTS,MATCH(AB191,LMH_KEY,0)),0)</f>
        <v>1</v>
      </c>
      <c r="BQ191" s="38">
        <f>IFERROR(INDEX(LMH_PTS,MATCH(AC191,LMH_KEY,0)),0)</f>
        <v>1</v>
      </c>
      <c r="BR191" s="38">
        <f>IFERROR(INDEX(LMH_PTS,MATCH(AD191,LMH_KEY,0)),0)</f>
        <v>1</v>
      </c>
      <c r="BS191" s="38">
        <f>IFERROR(INDEX(LMH_PTS,MATCH(AE191,LMH_KEY,0)),0)</f>
        <v>3</v>
      </c>
      <c r="BT191" s="38">
        <f>IFERROR(INDEX(LMH_STEP,MATCH(AF191,LMH_KEY,0)),0)</f>
        <v>0</v>
      </c>
      <c r="BU191" s="38">
        <f>IFERROR(INDEX(LMH_STEP,MATCH(AG191,LMH_KEY,0)),0)</f>
        <v>0</v>
      </c>
      <c r="BV191" s="38">
        <f>IFERROR(INDEX(LMH_STEP,MATCH(AH191,LMH_KEY,0)),0)</f>
        <v>0</v>
      </c>
      <c r="BW191" s="38">
        <f>IFERROR(INDEX(LMH_STEP,MATCH(AI191,LMH_KEY,0)),0)</f>
        <v>0</v>
      </c>
      <c r="BX191" s="38">
        <f>IFERROR(INDEX(LMH_STEP,MATCH(AJ191,LMH_KEY,0)),0)</f>
        <v>0</v>
      </c>
      <c r="BY191" s="38">
        <f>IFERROR(INDEX(LMH_STEP,MATCH(AK191,LMH_KEY,0)),0)</f>
        <v>0</v>
      </c>
      <c r="BZ191" s="38">
        <f>IFERROR(INDEX(LMH_STEP,MATCH(AL191,LMH_KEY,0)),0)</f>
        <v>0</v>
      </c>
      <c r="CA191" s="38" t="inlineStr">
        <is>
          <t>Corporate|Administration|Senior Administration Executive|A3|A</t>
        </is>
      </c>
    </row>
    <row r="192" ht="110" customHeight="1">
      <c r="A192" s="28" t="inlineStr">
        <is>
          <t>Corporate</t>
        </is>
      </c>
      <c r="B192" s="29" t="inlineStr">
        <is>
          <t>Administration</t>
        </is>
      </c>
      <c r="C192" s="29" t="n">
        <v>4</v>
      </c>
      <c r="D192" s="29" t="inlineStr">
        <is>
          <t>IRISC291</t>
        </is>
      </c>
      <c r="E192" s="29" t="inlineStr">
        <is>
          <t>Ganesh Prabhakar Amrutsagar</t>
        </is>
      </c>
      <c r="F192" s="29" t="inlineStr">
        <is>
          <t>Consultant</t>
        </is>
      </c>
      <c r="G192" s="29" t="inlineStr">
        <is>
          <t>Associate Consultant – Administration &amp; Facilities</t>
        </is>
      </c>
      <c r="H192" s="29" t="inlineStr">
        <is>
          <t>Administration, Legal &amp; Secretarial</t>
        </is>
      </c>
      <c r="I192" s="29" t="inlineStr">
        <is>
          <t>Administration &amp; Facilities</t>
        </is>
      </c>
      <c r="J192" s="29" t="inlineStr">
        <is>
          <t>Consultant</t>
        </is>
      </c>
      <c r="K192" s="29" t="inlineStr">
        <is>
          <t>RC-003</t>
        </is>
      </c>
      <c r="L192" s="29" t="inlineStr">
        <is>
          <t>Sujit Acharya</t>
        </is>
      </c>
      <c r="M192" s="29" t="inlineStr">
        <is>
          <t>IRIS1326</t>
        </is>
      </c>
      <c r="N192" s="29" t="n">
        <v>2.6</v>
      </c>
      <c r="O192" s="29" t="n">
        <v>2.6</v>
      </c>
      <c r="P192" s="29" t="inlineStr">
        <is>
          <t>Undergraduate</t>
        </is>
      </c>
      <c r="Q192" s="29" t="inlineStr">
        <is>
          <t>—</t>
        </is>
      </c>
      <c r="R192" s="29" t="inlineStr">
        <is>
          <t>X1</t>
        </is>
      </c>
      <c r="S192" s="30" t="inlineStr">
        <is>
          <t>0 of 20</t>
        </is>
      </c>
      <c r="T192" s="32" t="inlineStr">
        <is>
          <t>No survey response on file</t>
        </is>
      </c>
      <c r="U192" s="32" t="inlineStr">
        <is>
          <t>KRAs not received · manager to supply</t>
        </is>
      </c>
      <c r="V192" s="31" t="inlineStr">
        <is>
          <t>Latest rating: Not rated · manager · Readiness: n/a · consultant</t>
        </is>
      </c>
      <c r="W192" s="31" t="inlineStr">
        <is>
          <t>Consultant · outside the ladder</t>
        </is>
      </c>
      <c r="X192" s="33" t="inlineStr">
        <is>
          <t>Open ▸</t>
        </is>
      </c>
      <c r="Y192" s="34" t="n"/>
      <c r="Z192" s="35" t="n"/>
      <c r="AA192" s="35" t="n"/>
      <c r="AB192" s="35" t="n"/>
      <c r="AC192" s="35" t="n"/>
      <c r="AD192" s="35" t="n"/>
      <c r="AE192" s="35" t="n"/>
      <c r="AF192" s="34" t="n"/>
      <c r="AG192" s="35" t="n"/>
      <c r="AH192" s="35" t="n"/>
      <c r="AI192" s="35" t="n"/>
      <c r="AJ192" s="35" t="n"/>
      <c r="AK192" s="35" t="n"/>
      <c r="AL192" s="35" t="n"/>
      <c r="AM192" s="36" t="n"/>
      <c r="AN192" s="37" t="n"/>
      <c r="AO192" s="37" t="n"/>
      <c r="AP192" s="37" t="n"/>
      <c r="AQ192" s="37" t="n"/>
      <c r="AR192" s="37" t="n"/>
      <c r="AS192" s="37" t="n"/>
      <c r="AT192" s="38" t="n"/>
      <c r="AU192" s="38" t="n"/>
      <c r="AV192" s="38" t="n"/>
      <c r="AW192" s="38" t="inlineStr">
        <is>
          <t>—</t>
        </is>
      </c>
      <c r="AX1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2" s="39" t="inlineStr">
        <is>
          <t>X1</t>
        </is>
      </c>
      <c r="AZ192" s="40" t="inlineStr">
        <is>
          <t xml:space="preserve">Band X · Consultant · </t>
        </is>
      </c>
      <c r="BA192" s="40" t="inlineStr">
        <is>
          <t>Model X1 from the six ratings, the market-derived weights and rules R1–R13 · then Consultant · outside the ladder</t>
        </is>
      </c>
      <c r="BB192" s="41" t="n"/>
      <c r="BC192" s="40" t="inlineStr">
        <is>
          <t>Consultant · outside the ladder</t>
        </is>
      </c>
      <c r="BD192" s="42">
        <f>IF(SUM(BM192,BN192,BO192,BP192,BQ192,BR192,BS192)=0,0,(BM192*BT192+BN192*BU192+BO192*BV192+BP192*BW192+BQ192*BX192+BR192*BY192+BS192*BZ192)/SUM(BM192,BN192,BO192,BP192,BQ192,BR192,BS192))</f>
        <v>0</v>
      </c>
      <c r="BE192" s="41" t="str">
        <f>IF(LEFT(AY192,1)="X",AY192,IF(OR(AY192="B+",AY192="C+"),INDEX(LAD_PC,MAX(1,MIN(14,MATCH(AY192,LAD_PC,0)+IF(BD192&gt;=0.5,1,IF(BD192&lt;=-0.5,-1,0))))),INDEX(LAD_STD,MAX(1,MIN(12,MATCH(AY192,LAD_STD,0)+IF(BD192&gt;=0.5,1,IF(BD192&lt;=-0.5,-1,0)))))))</f>
        <v>X1</v>
      </c>
      <c r="BF192" s="43" t="n"/>
      <c r="BG192" s="41" t="str">
        <f>IF(BF192&lt;&gt;"",BF192,BE192)</f>
        <v>X1</v>
      </c>
      <c r="BH192" s="40" t="str">
        <f>IFERROR(CHOOSE(INDEX(B_RANK,MATCH(BG192,B_LVL,0)),"Band A","Band B","B+ · Player-Coach","Band C","C+ · Player-Coach","Band D","Band E"),"Band X · Consultant")</f>
        <v>Band X · Consultant</v>
      </c>
      <c r="BI192" s="40" t="str">
        <f>IF(BG192=AY192,"• Same",IF(INDEX(B_VAL,MATCH(BG192,B_LVL,0))&gt;INDEX(B_VAL,MATCH(AY192,B_LVL,0)),"▲ Up","▼ Down"))</f>
        <v>• Same</v>
      </c>
      <c r="BJ192" s="40" t="str">
        <f>IF(OR($M192="",$M192="—",$M192="Not in this file"),"",IFERROR(INDEX($BG$7:$BG$592,MATCH($M192,$D$7:$D$592,0)),""))</f>
        <v>B2</v>
      </c>
      <c r="BK192" s="40" t="str">
        <f>IFERROR(IF(BJ192="","—",IF(OR(LEFT(BG192,1)="X",LEFT(BJ192,1)="X"),"—",IF(AND(LEFT(BG192,1)="E",LEFT(BJ192,1)="E"),"Exception · Band E",IF(AND(INDEX(B_VAL,MATCH(BJ192,B_LVL,0))&gt;=7,INDEX(B_RANK,MATCH(BG192,B_LVL,0))&gt;=INDEX(B_RANK,MATCH(BJ192,B_LVL,0))),"⚠ Same band as a head manager",IF(INDEX(B_VAL,MATCH(BG192,B_LVL,0))&gt;=INDEX(B_VAL,MATCH(BJ192,B_LVL,0)),"⚠ At or above the manager's level","OK"))))),"—")</f>
        <v>—</v>
      </c>
      <c r="BL192" s="43" t="n"/>
      <c r="BM192" s="44">
        <f>IFERROR(INDEX(LMH_PTS,MATCH(Y192,LMH_KEY,0)),0)</f>
        <v>0</v>
      </c>
      <c r="BN192" s="38">
        <f>IFERROR(INDEX(LMH_PTS,MATCH(Z192,LMH_KEY,0)),0)</f>
        <v>0</v>
      </c>
      <c r="BO192" s="38">
        <f>IFERROR(INDEX(LMH_PTS,MATCH(AA192,LMH_KEY,0)),0)</f>
        <v>0</v>
      </c>
      <c r="BP192" s="38">
        <f>IFERROR(INDEX(LMH_PTS,MATCH(AB192,LMH_KEY,0)),0)</f>
        <v>0</v>
      </c>
      <c r="BQ192" s="38">
        <f>IFERROR(INDEX(LMH_PTS,MATCH(AC192,LMH_KEY,0)),0)</f>
        <v>0</v>
      </c>
      <c r="BR192" s="38">
        <f>IFERROR(INDEX(LMH_PTS,MATCH(AD192,LMH_KEY,0)),0)</f>
        <v>0</v>
      </c>
      <c r="BS192" s="38">
        <f>IFERROR(INDEX(LMH_PTS,MATCH(AE192,LMH_KEY,0)),0)</f>
        <v>0</v>
      </c>
      <c r="BT192" s="38">
        <f>IFERROR(INDEX(LMH_STEP,MATCH(AF192,LMH_KEY,0)),0)</f>
        <v>0</v>
      </c>
      <c r="BU192" s="38">
        <f>IFERROR(INDEX(LMH_STEP,MATCH(AG192,LMH_KEY,0)),0)</f>
        <v>0</v>
      </c>
      <c r="BV192" s="38">
        <f>IFERROR(INDEX(LMH_STEP,MATCH(AH192,LMH_KEY,0)),0)</f>
        <v>0</v>
      </c>
      <c r="BW192" s="38">
        <f>IFERROR(INDEX(LMH_STEP,MATCH(AI192,LMH_KEY,0)),0)</f>
        <v>0</v>
      </c>
      <c r="BX192" s="38">
        <f>IFERROR(INDEX(LMH_STEP,MATCH(AJ192,LMH_KEY,0)),0)</f>
        <v>0</v>
      </c>
      <c r="BY192" s="38">
        <f>IFERROR(INDEX(LMH_STEP,MATCH(AK192,LMH_KEY,0)),0)</f>
        <v>0</v>
      </c>
      <c r="BZ192" s="38">
        <f>IFERROR(INDEX(LMH_STEP,MATCH(AL192,LMH_KEY,0)),0)</f>
        <v>0</v>
      </c>
      <c r="CA192" s="38" t="inlineStr">
        <is>
          <t>Corporate|Administration|Associate Consultant – Administration &amp; Facilities|X1|X</t>
        </is>
      </c>
    </row>
    <row r="193" ht="110" customHeight="1">
      <c r="A193" s="28" t="inlineStr">
        <is>
          <t>iFile</t>
        </is>
      </c>
      <c r="B193" s="29" t="inlineStr">
        <is>
          <t>Sales</t>
        </is>
      </c>
      <c r="C193" s="29" t="n">
        <v>1</v>
      </c>
      <c r="D193" s="29" t="inlineStr">
        <is>
          <t>IRIS0012</t>
        </is>
      </c>
      <c r="E193" s="29" t="inlineStr">
        <is>
          <t>Shailesh Gupta</t>
        </is>
      </c>
      <c r="F193" s="29" t="inlineStr">
        <is>
          <t>Business Head – SupTech &amp; Bank-RegTech</t>
        </is>
      </c>
      <c r="G193" s="29" t="inlineStr">
        <is>
          <t>Business Head – SupTech &amp; Bank-RegTech</t>
        </is>
      </c>
      <c r="H193" s="29" t="inlineStr">
        <is>
          <t>Executive Leadership</t>
        </is>
      </c>
      <c r="I193" s="29" t="inlineStr">
        <is>
          <t>Business Head</t>
        </is>
      </c>
      <c r="J193" s="29" t="inlineStr">
        <is>
          <t>People Manager</t>
        </is>
      </c>
      <c r="K193" s="29" t="inlineStr">
        <is>
          <t>RC-EL-BH-D2</t>
        </is>
      </c>
      <c r="L193" s="29" t="inlineStr">
        <is>
          <t>Balachandran K</t>
        </is>
      </c>
      <c r="M193" s="29" t="inlineStr">
        <is>
          <t>IRIS0001</t>
        </is>
      </c>
      <c r="N193" s="29" t="n">
        <v>22</v>
      </c>
      <c r="O193" s="29" t="n">
        <v>22</v>
      </c>
      <c r="P193" s="29" t="inlineStr">
        <is>
          <t>MBA</t>
        </is>
      </c>
      <c r="Q193" s="29" t="inlineStr">
        <is>
          <t>Not in current mapping files</t>
        </is>
      </c>
      <c r="R193" s="29" t="inlineStr">
        <is>
          <t>D2</t>
        </is>
      </c>
      <c r="S193" s="30" t="inlineStr">
        <is>
          <t>0 of 20</t>
        </is>
      </c>
      <c r="T19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3" s="32" t="inlineStr">
        <is>
          <t>KRAs not received · manager to supply</t>
        </is>
      </c>
      <c r="V193" s="31" t="inlineStr">
        <is>
          <t>Latest rating: Not rated · manager · 9-box: Not placed · manager · Readiness: No rating data</t>
        </is>
      </c>
      <c r="W193" s="31" t="inlineStr">
        <is>
          <t>C L · Au L · Ac L · L L · BI L · Exp M · 22 yrs vs 18–24 yrs · Edu M · MBA</t>
        </is>
      </c>
      <c r="X193" s="33" t="inlineStr">
        <is>
          <t>Open ▸</t>
        </is>
      </c>
      <c r="Y193" s="34" t="str">
        <f>IFERROR(INDEX(DL_C,MATCH($CA193,DL_KEY,0)),"M")</f>
        <v>H</v>
      </c>
      <c r="Z193" s="35" t="str">
        <f>IFERROR(INDEX(DL_Au,MATCH($CA193,DL_KEY,0)),"M")</f>
        <v>M</v>
      </c>
      <c r="AA193" s="35" t="str">
        <f>IFERROR(INDEX(DL_Ac,MATCH($CA193,DL_KEY,0)),"M")</f>
        <v>M</v>
      </c>
      <c r="AB193" s="35" t="str">
        <f>IFERROR(INDEX(DL_L,MATCH($CA193,DL_KEY,0)),"M")</f>
        <v>M</v>
      </c>
      <c r="AC193" s="35" t="str">
        <f>IFERROR(INDEX(DL_BI,MATCH($CA193,DL_KEY,0)),"M")</f>
        <v>L</v>
      </c>
      <c r="AD193" s="35" t="str">
        <f>IFERROR(INDEX(DL_Exp,MATCH($CA193,DL_KEY,0)),"M")</f>
        <v>L</v>
      </c>
      <c r="AE193" s="35" t="str">
        <f>IFERROR(INDEX(DL_Edu,MATCH($CA193,DL_KEY,0)),"M")</f>
        <v>L</v>
      </c>
      <c r="AF193" s="34" t="inlineStr">
        <is>
          <t>M</t>
        </is>
      </c>
      <c r="AG193" s="35" t="inlineStr">
        <is>
          <t>M</t>
        </is>
      </c>
      <c r="AH193" s="35" t="inlineStr">
        <is>
          <t>M</t>
        </is>
      </c>
      <c r="AI193" s="35" t="inlineStr">
        <is>
          <t>M</t>
        </is>
      </c>
      <c r="AJ193" s="35" t="inlineStr">
        <is>
          <t>M</t>
        </is>
      </c>
      <c r="AK193" s="35" t="inlineStr">
        <is>
          <t>M</t>
        </is>
      </c>
      <c r="AL193" s="35" t="inlineStr">
        <is>
          <t>M</t>
        </is>
      </c>
      <c r="AM193" s="36" t="n">
        <v>0.363</v>
      </c>
      <c r="AN193" s="37" t="n">
        <v>0.19</v>
      </c>
      <c r="AO193" s="37" t="n">
        <v>0.113</v>
      </c>
      <c r="AP193" s="37" t="n">
        <v>0.2</v>
      </c>
      <c r="AQ193" s="37" t="n">
        <v>0.08699999999999999</v>
      </c>
      <c r="AR193" s="37" t="n">
        <v>0.04</v>
      </c>
      <c r="AS193" s="37" t="n">
        <v>0.01</v>
      </c>
      <c r="AT193" s="38" t="inlineStr">
        <is>
          <t>18–24 yrs</t>
        </is>
      </c>
      <c r="AU193" s="38" t="inlineStr">
        <is>
          <t>Postgraduate / professional qualification preferred</t>
        </is>
      </c>
      <c r="AV193" s="38" t="inlineStr">
        <is>
          <t>5–8 AVPs / heads</t>
        </is>
      </c>
      <c r="AW193" s="38" t="inlineStr">
        <is>
          <t>E3–E4 · SFIA 7 Set strategy</t>
        </is>
      </c>
      <c r="AX1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3" s="39" t="inlineStr">
        <is>
          <t>D2</t>
        </is>
      </c>
      <c r="AZ193" s="40" t="inlineStr">
        <is>
          <t>Band D · Business leadership · Senior Vice President / Business Head</t>
        </is>
      </c>
      <c r="BA193" s="40" t="inlineStr">
        <is>
          <t>Model D2 from the six ratings, the market-derived weights and rules R1–R13 · then No change · already below the manager</t>
        </is>
      </c>
      <c r="BB193" s="41" t="inlineStr">
        <is>
          <t>D1</t>
        </is>
      </c>
      <c r="BC193" s="40" t="inlineStr">
        <is>
          <t>The six ratings on the market-average weights of Bands D–E · Leadership score 9.10 → D1 · Hay, Mercer IPE and public plans · experience 22 yrs vs the D1 market range 15–20 yrs</t>
        </is>
      </c>
      <c r="BD193" s="42">
        <f>IF(SUM(BM193,BN193,BO193,BP193,BQ193,BR193,BS193)=0,0,(BM193*BT193+BN193*BU193+BO193*BV193+BP193*BW193+BQ193*BX193+BR193*BY193+BS193*BZ193)/SUM(BM193,BN193,BO193,BP193,BQ193,BR193,BS193))</f>
        <v>0</v>
      </c>
      <c r="BE193" s="41" t="str">
        <f>IF(LEFT(AY193,1)="X",AY193,IF(OR(AY193="B+",AY193="C+"),INDEX(LAD_PC,MAX(1,MIN(14,MATCH(AY193,LAD_PC,0)+IF(BD193&gt;=0.5,1,IF(BD193&lt;=-0.5,-1,0))))),INDEX(LAD_STD,MAX(1,MIN(12,MATCH(AY193,LAD_STD,0)+IF(BD193&gt;=0.5,1,IF(BD193&lt;=-0.5,-1,0)))))))</f>
        <v>D2</v>
      </c>
      <c r="BF193" s="43" t="n"/>
      <c r="BG193" s="41" t="str">
        <f>IF(BF193&lt;&gt;"",BF193,BE193)</f>
        <v>D2</v>
      </c>
      <c r="BH193" s="40" t="str">
        <f>IFERROR(CHOOSE(INDEX(B_RANK,MATCH(BG193,B_LVL,0)),"Band A","Band B","B+ · Player-Coach","Band C","C+ · Player-Coach","Band D","Band E"),"Band X · Consultant")</f>
        <v>Band D</v>
      </c>
      <c r="BI193" s="40" t="str">
        <f>IF(BG193=AY193,"• Same",IF(INDEX(B_VAL,MATCH(BG193,B_LVL,0))&gt;INDEX(B_VAL,MATCH(AY193,B_LVL,0)),"▲ Up","▼ Down"))</f>
        <v>• Same</v>
      </c>
      <c r="BJ193" s="40" t="str">
        <f>IF(OR($M193="",$M193="—",$M193="Not in this file"),"",IFERROR(INDEX($BG$7:$BG$592,MATCH($M193,$D$7:$D$592,0)),""))</f>
        <v>E2</v>
      </c>
      <c r="BK193" s="40" t="str">
        <f>IFERROR(IF(BJ193="","—",IF(OR(LEFT(BG193,1)="X",LEFT(BJ193,1)="X"),"—",IF(AND(LEFT(BG193,1)="E",LEFT(BJ193,1)="E"),"Exception · Band E",IF(AND(INDEX(B_VAL,MATCH(BJ193,B_LVL,0))&gt;=7,INDEX(B_RANK,MATCH(BG193,B_LVL,0))&gt;=INDEX(B_RANK,MATCH(BJ193,B_LVL,0))),"⚠ Same band as a head manager",IF(INDEX(B_VAL,MATCH(BG193,B_LVL,0))&gt;=INDEX(B_VAL,MATCH(BJ193,B_LVL,0)),"⚠ At or above the manager's level","OK"))))),"—")</f>
        <v>OK</v>
      </c>
      <c r="BL193" s="43" t="n"/>
      <c r="BM193" s="44">
        <f>IFERROR(INDEX(LMH_PTS,MATCH(Y193,LMH_KEY,0)),0)</f>
        <v>9</v>
      </c>
      <c r="BN193" s="38">
        <f>IFERROR(INDEX(LMH_PTS,MATCH(Z193,LMH_KEY,0)),0)</f>
        <v>3</v>
      </c>
      <c r="BO193" s="38">
        <f>IFERROR(INDEX(LMH_PTS,MATCH(AA193,LMH_KEY,0)),0)</f>
        <v>3</v>
      </c>
      <c r="BP193" s="38">
        <f>IFERROR(INDEX(LMH_PTS,MATCH(AB193,LMH_KEY,0)),0)</f>
        <v>3</v>
      </c>
      <c r="BQ193" s="38">
        <f>IFERROR(INDEX(LMH_PTS,MATCH(AC193,LMH_KEY,0)),0)</f>
        <v>1</v>
      </c>
      <c r="BR193" s="38">
        <f>IFERROR(INDEX(LMH_PTS,MATCH(AD193,LMH_KEY,0)),0)</f>
        <v>1</v>
      </c>
      <c r="BS193" s="38">
        <f>IFERROR(INDEX(LMH_PTS,MATCH(AE193,LMH_KEY,0)),0)</f>
        <v>1</v>
      </c>
      <c r="BT193" s="38">
        <f>IFERROR(INDEX(LMH_STEP,MATCH(AF193,LMH_KEY,0)),0)</f>
        <v>0</v>
      </c>
      <c r="BU193" s="38">
        <f>IFERROR(INDEX(LMH_STEP,MATCH(AG193,LMH_KEY,0)),0)</f>
        <v>0</v>
      </c>
      <c r="BV193" s="38">
        <f>IFERROR(INDEX(LMH_STEP,MATCH(AH193,LMH_KEY,0)),0)</f>
        <v>0</v>
      </c>
      <c r="BW193" s="38">
        <f>IFERROR(INDEX(LMH_STEP,MATCH(AI193,LMH_KEY,0)),0)</f>
        <v>0</v>
      </c>
      <c r="BX193" s="38">
        <f>IFERROR(INDEX(LMH_STEP,MATCH(AJ193,LMH_KEY,0)),0)</f>
        <v>0</v>
      </c>
      <c r="BY193" s="38">
        <f>IFERROR(INDEX(LMH_STEP,MATCH(AK193,LMH_KEY,0)),0)</f>
        <v>0</v>
      </c>
      <c r="BZ193" s="38">
        <f>IFERROR(INDEX(LMH_STEP,MATCH(AL193,LMH_KEY,0)),0)</f>
        <v>0</v>
      </c>
      <c r="CA193" s="38" t="inlineStr">
        <is>
          <t>iFile|Sales|Business Head – SupTech &amp; Bank-RegTech|D2|DE</t>
        </is>
      </c>
    </row>
    <row r="194" ht="110" customHeight="1">
      <c r="A194" s="28" t="inlineStr">
        <is>
          <t>iDEAL</t>
        </is>
      </c>
      <c r="B194" s="29" t="inlineStr">
        <is>
          <t>iDEAL Business Head</t>
        </is>
      </c>
      <c r="C194" s="29" t="n">
        <v>2</v>
      </c>
      <c r="D194" s="29" t="inlineStr">
        <is>
          <t>IRIS1224</t>
        </is>
      </c>
      <c r="E194" s="29" t="inlineStr">
        <is>
          <t>Hemant Karale</t>
        </is>
      </c>
      <c r="F194" s="29" t="inlineStr">
        <is>
          <t>Business Head IRIS iDEAL</t>
        </is>
      </c>
      <c r="G194" s="29" t="inlineStr">
        <is>
          <t>Business Head – iDEAL</t>
        </is>
      </c>
      <c r="H194" s="29" t="inlineStr">
        <is>
          <t>Executive Leadership</t>
        </is>
      </c>
      <c r="I194" s="29" t="inlineStr">
        <is>
          <t>Business Head</t>
        </is>
      </c>
      <c r="J194" s="29" t="inlineStr">
        <is>
          <t>People Manager</t>
        </is>
      </c>
      <c r="K194" s="29" t="inlineStr">
        <is>
          <t>RC-EL-BH-D1</t>
        </is>
      </c>
      <c r="L194" s="29" t="inlineStr">
        <is>
          <t>Shailesh Gupta</t>
        </is>
      </c>
      <c r="M194" s="29" t="inlineStr">
        <is>
          <t>IRIS0012</t>
        </is>
      </c>
      <c r="N194" s="29" t="n">
        <v>17.6</v>
      </c>
      <c r="O194" s="29" t="n">
        <v>14.2</v>
      </c>
      <c r="P194" s="29" t="inlineStr">
        <is>
          <t>MBA</t>
        </is>
      </c>
      <c r="Q194" s="29" t="inlineStr">
        <is>
          <t>L7 – Head / Sr Director</t>
        </is>
      </c>
      <c r="R194" s="29" t="inlineStr">
        <is>
          <t>D1</t>
        </is>
      </c>
      <c r="S194" s="30" t="inlineStr">
        <is>
          <t>0 of 20</t>
        </is>
      </c>
      <c r="T194" s="31"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t>
        </is>
      </c>
      <c r="U194" s="31" t="inlineStr">
        <is>
          <t>Received · self · KRAs not received · manager to supply</t>
        </is>
      </c>
      <c r="V194" s="31" t="inlineStr">
        <is>
          <t>Latest rating: Not rated · manager · 9-box: Not placed · manager · Readiness: No rating data</t>
        </is>
      </c>
      <c r="W194" s="31" t="inlineStr">
        <is>
          <t>C M · Au M · Ac H · L M · BI H · Exp H · 17.6 yrs vs 12–17 yrs · Edu M · MBA</t>
        </is>
      </c>
      <c r="X194" s="33" t="inlineStr">
        <is>
          <t>Open ▸</t>
        </is>
      </c>
      <c r="Y194" s="34" t="str">
        <f>IFERROR(INDEX(DL_C,MATCH($CA194,DL_KEY,0)),"M")</f>
        <v>H</v>
      </c>
      <c r="Z194" s="35" t="str">
        <f>IFERROR(INDEX(DL_Au,MATCH($CA194,DL_KEY,0)),"M")</f>
        <v>M</v>
      </c>
      <c r="AA194" s="35" t="str">
        <f>IFERROR(INDEX(DL_Ac,MATCH($CA194,DL_KEY,0)),"M")</f>
        <v>M</v>
      </c>
      <c r="AB194" s="35" t="str">
        <f>IFERROR(INDEX(DL_L,MATCH($CA194,DL_KEY,0)),"M")</f>
        <v>M</v>
      </c>
      <c r="AC194" s="35" t="str">
        <f>IFERROR(INDEX(DL_BI,MATCH($CA194,DL_KEY,0)),"M")</f>
        <v>L</v>
      </c>
      <c r="AD194" s="35" t="str">
        <f>IFERROR(INDEX(DL_Exp,MATCH($CA194,DL_KEY,0)),"M")</f>
        <v>L</v>
      </c>
      <c r="AE194" s="35" t="str">
        <f>IFERROR(INDEX(DL_Edu,MATCH($CA194,DL_KEY,0)),"M")</f>
        <v>L</v>
      </c>
      <c r="AF194" s="34" t="inlineStr">
        <is>
          <t>M</t>
        </is>
      </c>
      <c r="AG194" s="35" t="inlineStr">
        <is>
          <t>M</t>
        </is>
      </c>
      <c r="AH194" s="35" t="inlineStr">
        <is>
          <t>M</t>
        </is>
      </c>
      <c r="AI194" s="35" t="inlineStr">
        <is>
          <t>M</t>
        </is>
      </c>
      <c r="AJ194" s="35" t="inlineStr">
        <is>
          <t>M</t>
        </is>
      </c>
      <c r="AK194" s="35" t="inlineStr">
        <is>
          <t>M</t>
        </is>
      </c>
      <c r="AL194" s="35" t="inlineStr">
        <is>
          <t>M</t>
        </is>
      </c>
      <c r="AM194" s="36" t="n">
        <v>0.433</v>
      </c>
      <c r="AN194" s="37" t="n">
        <v>0.18</v>
      </c>
      <c r="AO194" s="37" t="n">
        <v>0.107</v>
      </c>
      <c r="AP194" s="37" t="n">
        <v>0.15</v>
      </c>
      <c r="AQ194" s="37" t="n">
        <v>0.08</v>
      </c>
      <c r="AR194" s="37" t="n">
        <v>0.04</v>
      </c>
      <c r="AS194" s="37" t="n">
        <v>0.01</v>
      </c>
      <c r="AT194" s="38" t="inlineStr">
        <is>
          <t>12–17 yrs</t>
        </is>
      </c>
      <c r="AU194" s="38" t="inlineStr">
        <is>
          <t>Postgraduate / professional qualification preferred</t>
        </is>
      </c>
      <c r="AV194" s="38" t="inlineStr">
        <is>
          <t>5–8 managers / associate heads</t>
        </is>
      </c>
      <c r="AW194" s="38" t="inlineStr">
        <is>
          <t>P7 / M6 · SFIA 6 Initiate, influence</t>
        </is>
      </c>
      <c r="AX1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4" s="39" t="inlineStr">
        <is>
          <t>C2</t>
        </is>
      </c>
      <c r="AZ194" s="40" t="inlineStr">
        <is>
          <t>Band C · Principal / Head · Head of Function</t>
        </is>
      </c>
      <c r="BA194" s="40" t="inlineStr">
        <is>
          <t>Model D1 from the six ratings, the market-derived weights and rules R1–R13 · then Band rule: manager D2 is a head in Band D · Business leadership; a reportee sits in a lower band · D1 → C2 · move down · pay and title protected for one cycle</t>
        </is>
      </c>
      <c r="BB194" s="41" t="inlineStr">
        <is>
          <t>D1</t>
        </is>
      </c>
      <c r="BC194" s="40" t="inlineStr">
        <is>
          <t>The six ratings on the market-average weights of Band C · Head / manager score 8.64 → D1 · Hay, Mercer IPE and public plans · experience 17.6 yrs vs the D1 market range 15–20 yrs</t>
        </is>
      </c>
      <c r="BD194" s="42">
        <f>IF(SUM(BM194,BN194,BO194,BP194,BQ194,BR194,BS194)=0,0,(BM194*BT194+BN194*BU194+BO194*BV194+BP194*BW194+BQ194*BX194+BR194*BY194+BS194*BZ194)/SUM(BM194,BN194,BO194,BP194,BQ194,BR194,BS194))</f>
        <v>0</v>
      </c>
      <c r="BE194" s="41" t="str">
        <f>IF(LEFT(AY194,1)="X",AY194,IF(OR(AY194="B+",AY194="C+"),INDEX(LAD_PC,MAX(1,MIN(14,MATCH(AY194,LAD_PC,0)+IF(BD194&gt;=0.5,1,IF(BD194&lt;=-0.5,-1,0))))),INDEX(LAD_STD,MAX(1,MIN(12,MATCH(AY194,LAD_STD,0)+IF(BD194&gt;=0.5,1,IF(BD194&lt;=-0.5,-1,0)))))))</f>
        <v>C2</v>
      </c>
      <c r="BF194" s="43" t="n"/>
      <c r="BG194" s="41" t="str">
        <f>IF(BF194&lt;&gt;"",BF194,BE194)</f>
        <v>C2</v>
      </c>
      <c r="BH194" s="40" t="str">
        <f>IFERROR(CHOOSE(INDEX(B_RANK,MATCH(BG194,B_LVL,0)),"Band A","Band B","B+ · Player-Coach","Band C","C+ · Player-Coach","Band D","Band E"),"Band X · Consultant")</f>
        <v>Band C</v>
      </c>
      <c r="BI194" s="40" t="str">
        <f>IF(BG194=AY194,"• Same",IF(INDEX(B_VAL,MATCH(BG194,B_LVL,0))&gt;INDEX(B_VAL,MATCH(AY194,B_LVL,0)),"▲ Up","▼ Down"))</f>
        <v>• Same</v>
      </c>
      <c r="BJ194" s="40" t="str">
        <f>IF(OR($M194="",$M194="—",$M194="Not in this file"),"",IFERROR(INDEX($BG$7:$BG$592,MATCH($M194,$D$7:$D$592,0)),""))</f>
        <v>D2</v>
      </c>
      <c r="BK194" s="40" t="str">
        <f>IFERROR(IF(BJ194="","—",IF(OR(LEFT(BG194,1)="X",LEFT(BJ194,1)="X"),"—",IF(AND(LEFT(BG194,1)="E",LEFT(BJ194,1)="E"),"Exception · Band E",IF(AND(INDEX(B_VAL,MATCH(BJ194,B_LVL,0))&gt;=7,INDEX(B_RANK,MATCH(BG194,B_LVL,0))&gt;=INDEX(B_RANK,MATCH(BJ194,B_LVL,0))),"⚠ Same band as a head manager",IF(INDEX(B_VAL,MATCH(BG194,B_LVL,0))&gt;=INDEX(B_VAL,MATCH(BJ194,B_LVL,0)),"⚠ At or above the manager's level","OK"))))),"—")</f>
        <v>OK</v>
      </c>
      <c r="BL194" s="43" t="n"/>
      <c r="BM194" s="44">
        <f>IFERROR(INDEX(LMH_PTS,MATCH(Y194,LMH_KEY,0)),0)</f>
        <v>9</v>
      </c>
      <c r="BN194" s="38">
        <f>IFERROR(INDEX(LMH_PTS,MATCH(Z194,LMH_KEY,0)),0)</f>
        <v>3</v>
      </c>
      <c r="BO194" s="38">
        <f>IFERROR(INDEX(LMH_PTS,MATCH(AA194,LMH_KEY,0)),0)</f>
        <v>3</v>
      </c>
      <c r="BP194" s="38">
        <f>IFERROR(INDEX(LMH_PTS,MATCH(AB194,LMH_KEY,0)),0)</f>
        <v>3</v>
      </c>
      <c r="BQ194" s="38">
        <f>IFERROR(INDEX(LMH_PTS,MATCH(AC194,LMH_KEY,0)),0)</f>
        <v>1</v>
      </c>
      <c r="BR194" s="38">
        <f>IFERROR(INDEX(LMH_PTS,MATCH(AD194,LMH_KEY,0)),0)</f>
        <v>1</v>
      </c>
      <c r="BS194" s="38">
        <f>IFERROR(INDEX(LMH_PTS,MATCH(AE194,LMH_KEY,0)),0)</f>
        <v>1</v>
      </c>
      <c r="BT194" s="38">
        <f>IFERROR(INDEX(LMH_STEP,MATCH(AF194,LMH_KEY,0)),0)</f>
        <v>0</v>
      </c>
      <c r="BU194" s="38">
        <f>IFERROR(INDEX(LMH_STEP,MATCH(AG194,LMH_KEY,0)),0)</f>
        <v>0</v>
      </c>
      <c r="BV194" s="38">
        <f>IFERROR(INDEX(LMH_STEP,MATCH(AH194,LMH_KEY,0)),0)</f>
        <v>0</v>
      </c>
      <c r="BW194" s="38">
        <f>IFERROR(INDEX(LMH_STEP,MATCH(AI194,LMH_KEY,0)),0)</f>
        <v>0</v>
      </c>
      <c r="BX194" s="38">
        <f>IFERROR(INDEX(LMH_STEP,MATCH(AJ194,LMH_KEY,0)),0)</f>
        <v>0</v>
      </c>
      <c r="BY194" s="38">
        <f>IFERROR(INDEX(LMH_STEP,MATCH(AK194,LMH_KEY,0)),0)</f>
        <v>0</v>
      </c>
      <c r="BZ194" s="38">
        <f>IFERROR(INDEX(LMH_STEP,MATCH(AL194,LMH_KEY,0)),0)</f>
        <v>0</v>
      </c>
      <c r="CA194" s="38" t="inlineStr">
        <is>
          <t>iDEAL|iDEAL Business Head|Business Head – iDEAL|C2|C-M</t>
        </is>
      </c>
    </row>
    <row r="195" ht="110" customHeight="1">
      <c r="A195" s="28" t="inlineStr">
        <is>
          <t>iDEAL</t>
        </is>
      </c>
      <c r="B195" s="29" t="inlineStr">
        <is>
          <t>Technology</t>
        </is>
      </c>
      <c r="C195" s="29" t="n">
        <v>3</v>
      </c>
      <c r="D195" s="29" t="inlineStr">
        <is>
          <t>IRIS0810</t>
        </is>
      </c>
      <c r="E195" s="29" t="inlineStr">
        <is>
          <t>Jitendra Kumar</t>
        </is>
      </c>
      <c r="F195" s="29" t="inlineStr">
        <is>
          <t>Technical Architect</t>
        </is>
      </c>
      <c r="G195" s="29" t="inlineStr">
        <is>
          <t>Practice Lead – Solution &amp; Technical Architecture · Player-Coach</t>
        </is>
      </c>
      <c r="H195" s="29" t="inlineStr">
        <is>
          <t>Engineering &amp; Architecture</t>
        </is>
      </c>
      <c r="I195" s="29" t="inlineStr">
        <is>
          <t>Solution &amp; Technical Architecture</t>
        </is>
      </c>
      <c r="J195" s="29" t="inlineStr">
        <is>
          <t>Player-Coach</t>
        </is>
      </c>
      <c r="K195" s="29" t="inlineStr">
        <is>
          <t>RC-056</t>
        </is>
      </c>
      <c r="L195" s="29" t="inlineStr">
        <is>
          <t>Hemant Karale</t>
        </is>
      </c>
      <c r="M195" s="29" t="inlineStr">
        <is>
          <t>IRIS1224</t>
        </is>
      </c>
      <c r="N195" s="29" t="n">
        <v>16.6</v>
      </c>
      <c r="O195" s="29" t="n">
        <v>15.2</v>
      </c>
      <c r="P195" s="29" t="inlineStr">
        <is>
          <t>MCA</t>
        </is>
      </c>
      <c r="Q195" s="29" t="inlineStr">
        <is>
          <t>L3 – Professional / Associate</t>
        </is>
      </c>
      <c r="R195" s="29" t="inlineStr">
        <is>
          <t>B+</t>
        </is>
      </c>
      <c r="S195" s="30" t="inlineStr">
        <is>
          <t>20 of 20</t>
        </is>
      </c>
      <c r="T195" s="31"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t>
        </is>
      </c>
      <c r="U195" s="31" t="inlineStr">
        <is>
          <t>Received · manager annual, quarterly, self ·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t>
        </is>
      </c>
      <c r="V195" s="31" t="inlineStr">
        <is>
          <t>Latest rating: 4 · 9-box: Not placed · manager · Readiness: Ready in 6–12 months</t>
        </is>
      </c>
      <c r="W195" s="31" t="inlineStr">
        <is>
          <t>C M · Au M · Ac M · L L · BI M · Exp H · 16.6 yrs vs 9–14 yrs · Edu M · MCA</t>
        </is>
      </c>
      <c r="X195" s="33" t="inlineStr">
        <is>
          <t>Open ▸</t>
        </is>
      </c>
      <c r="Y195" s="34" t="str">
        <f>IFERROR(INDEX(DL_C,MATCH($CA195,DL_KEY,0)),"M")</f>
        <v>H</v>
      </c>
      <c r="Z195" s="35" t="str">
        <f>IFERROR(INDEX(DL_Au,MATCH($CA195,DL_KEY,0)),"M")</f>
        <v>M</v>
      </c>
      <c r="AA195" s="35" t="str">
        <f>IFERROR(INDEX(DL_Ac,MATCH($CA195,DL_KEY,0)),"M")</f>
        <v>L</v>
      </c>
      <c r="AB195" s="35" t="str">
        <f>IFERROR(INDEX(DL_L,MATCH($CA195,DL_KEY,0)),"M")</f>
        <v>M</v>
      </c>
      <c r="AC195" s="35" t="str">
        <f>IFERROR(INDEX(DL_BI,MATCH($CA195,DL_KEY,0)),"M")</f>
        <v>L</v>
      </c>
      <c r="AD195" s="35" t="str">
        <f>IFERROR(INDEX(DL_Exp,MATCH($CA195,DL_KEY,0)),"M")</f>
        <v>L</v>
      </c>
      <c r="AE195" s="35" t="str">
        <f>IFERROR(INDEX(DL_Edu,MATCH($CA195,DL_KEY,0)),"M")</f>
        <v>L</v>
      </c>
      <c r="AF195" s="34" t="inlineStr">
        <is>
          <t>M</t>
        </is>
      </c>
      <c r="AG195" s="35" t="inlineStr">
        <is>
          <t>M</t>
        </is>
      </c>
      <c r="AH195" s="35" t="inlineStr">
        <is>
          <t>M</t>
        </is>
      </c>
      <c r="AI195" s="35" t="inlineStr">
        <is>
          <t>M</t>
        </is>
      </c>
      <c r="AJ195" s="35" t="inlineStr">
        <is>
          <t>M</t>
        </is>
      </c>
      <c r="AK195" s="35" t="inlineStr">
        <is>
          <t>M</t>
        </is>
      </c>
      <c r="AL195" s="35" t="inlineStr">
        <is>
          <t>M</t>
        </is>
      </c>
      <c r="AM195" s="36" t="n">
        <v>0.44</v>
      </c>
      <c r="AN195" s="37" t="n">
        <v>0.177</v>
      </c>
      <c r="AO195" s="37" t="n">
        <v>0.103</v>
      </c>
      <c r="AP195" s="37" t="n">
        <v>0.1</v>
      </c>
      <c r="AQ195" s="37" t="n">
        <v>0.077</v>
      </c>
      <c r="AR195" s="37" t="n">
        <v>0.06</v>
      </c>
      <c r="AS195" s="37" t="n">
        <v>0.04</v>
      </c>
      <c r="AT195" s="38" t="inlineStr">
        <is>
          <t>9–14</t>
        </is>
      </c>
      <c r="AU195" s="38" t="inlineStr">
        <is>
          <t>Postgraduate or professional qualification preferred</t>
        </is>
      </c>
      <c r="AV195" s="38" t="inlineStr">
        <is>
          <t>3–6 direct reports with ≥ 40% of time on own delivery · McKinsey player/coach 3–5; Google Tech Lead Manager</t>
        </is>
      </c>
      <c r="AW195" s="38" t="inlineStr">
        <is>
          <t>P5–P6 / M4–M5 · SFIA 5 Ensure, advise</t>
        </is>
      </c>
      <c r="AX1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5" s="39" t="inlineStr">
        <is>
          <t>B+</t>
        </is>
      </c>
      <c r="AZ195" s="40" t="inlineStr">
        <is>
          <t>B+ · Player-Coach · Practice Lead · Player-Coach</t>
        </is>
      </c>
      <c r="BA195" s="40" t="inlineStr">
        <is>
          <t>Model B+ from the six ratings, the market-derived weights and rules R1–R13 · then No change · already below the manager</t>
        </is>
      </c>
      <c r="BB195" s="41" t="inlineStr">
        <is>
          <t>B3</t>
        </is>
      </c>
      <c r="BC195" s="40" t="inlineStr">
        <is>
          <t>The six ratings on the market-average weights of B+ · Player-Coach score 6.25 → B3 · Hay, Mercer IPE and public plans · experience 16.6 yrs vs the B3 market range 8–13</t>
        </is>
      </c>
      <c r="BD195" s="42">
        <f>IF(SUM(BM195,BN195,BO195,BP195,BQ195,BR195,BS195)=0,0,(BM195*BT195+BN195*BU195+BO195*BV195+BP195*BW195+BQ195*BX195+BR195*BY195+BS195*BZ195)/SUM(BM195,BN195,BO195,BP195,BQ195,BR195,BS195))</f>
        <v>0</v>
      </c>
      <c r="BE195" s="41" t="str">
        <f>IF(LEFT(AY195,1)="X",AY195,IF(OR(AY195="B+",AY195="C+"),INDEX(LAD_PC,MAX(1,MIN(14,MATCH(AY195,LAD_PC,0)+IF(BD195&gt;=0.5,1,IF(BD195&lt;=-0.5,-1,0))))),INDEX(LAD_STD,MAX(1,MIN(12,MATCH(AY195,LAD_STD,0)+IF(BD195&gt;=0.5,1,IF(BD195&lt;=-0.5,-1,0)))))))</f>
        <v>B+</v>
      </c>
      <c r="BF195" s="43" t="n"/>
      <c r="BG195" s="41" t="str">
        <f>IF(BF195&lt;&gt;"",BF195,BE195)</f>
        <v>B+</v>
      </c>
      <c r="BH195" s="40" t="str">
        <f>IFERROR(CHOOSE(INDEX(B_RANK,MATCH(BG195,B_LVL,0)),"Band A","Band B","B+ · Player-Coach","Band C","C+ · Player-Coach","Band D","Band E"),"Band X · Consultant")</f>
        <v>B+ · Player-Coach</v>
      </c>
      <c r="BI195" s="40" t="str">
        <f>IF(BG195=AY195,"• Same",IF(INDEX(B_VAL,MATCH(BG195,B_LVL,0))&gt;INDEX(B_VAL,MATCH(AY195,B_LVL,0)),"▲ Up","▼ Down"))</f>
        <v>• Same</v>
      </c>
      <c r="BJ195" s="40" t="str">
        <f>IF(OR($M195="",$M195="—",$M195="Not in this file"),"",IFERROR(INDEX($BG$7:$BG$592,MATCH($M195,$D$7:$D$592,0)),""))</f>
        <v>C2</v>
      </c>
      <c r="BK195" s="40" t="str">
        <f>IFERROR(IF(BJ195="","—",IF(OR(LEFT(BG195,1)="X",LEFT(BJ195,1)="X"),"—",IF(AND(LEFT(BG195,1)="E",LEFT(BJ195,1)="E"),"Exception · Band E",IF(AND(INDEX(B_VAL,MATCH(BJ195,B_LVL,0))&gt;=7,INDEX(B_RANK,MATCH(BG195,B_LVL,0))&gt;=INDEX(B_RANK,MATCH(BJ195,B_LVL,0))),"⚠ Same band as a head manager",IF(INDEX(B_VAL,MATCH(BG195,B_LVL,0))&gt;=INDEX(B_VAL,MATCH(BJ195,B_LVL,0)),"⚠ At or above the manager's level","OK"))))),"—")</f>
        <v>OK</v>
      </c>
      <c r="BL195" s="43" t="n"/>
      <c r="BM195" s="44">
        <f>IFERROR(INDEX(LMH_PTS,MATCH(Y195,LMH_KEY,0)),0)</f>
        <v>9</v>
      </c>
      <c r="BN195" s="38">
        <f>IFERROR(INDEX(LMH_PTS,MATCH(Z195,LMH_KEY,0)),0)</f>
        <v>3</v>
      </c>
      <c r="BO195" s="38">
        <f>IFERROR(INDEX(LMH_PTS,MATCH(AA195,LMH_KEY,0)),0)</f>
        <v>1</v>
      </c>
      <c r="BP195" s="38">
        <f>IFERROR(INDEX(LMH_PTS,MATCH(AB195,LMH_KEY,0)),0)</f>
        <v>3</v>
      </c>
      <c r="BQ195" s="38">
        <f>IFERROR(INDEX(LMH_PTS,MATCH(AC195,LMH_KEY,0)),0)</f>
        <v>1</v>
      </c>
      <c r="BR195" s="38">
        <f>IFERROR(INDEX(LMH_PTS,MATCH(AD195,LMH_KEY,0)),0)</f>
        <v>1</v>
      </c>
      <c r="BS195" s="38">
        <f>IFERROR(INDEX(LMH_PTS,MATCH(AE195,LMH_KEY,0)),0)</f>
        <v>1</v>
      </c>
      <c r="BT195" s="38">
        <f>IFERROR(INDEX(LMH_STEP,MATCH(AF195,LMH_KEY,0)),0)</f>
        <v>0</v>
      </c>
      <c r="BU195" s="38">
        <f>IFERROR(INDEX(LMH_STEP,MATCH(AG195,LMH_KEY,0)),0)</f>
        <v>0</v>
      </c>
      <c r="BV195" s="38">
        <f>IFERROR(INDEX(LMH_STEP,MATCH(AH195,LMH_KEY,0)),0)</f>
        <v>0</v>
      </c>
      <c r="BW195" s="38">
        <f>IFERROR(INDEX(LMH_STEP,MATCH(AI195,LMH_KEY,0)),0)</f>
        <v>0</v>
      </c>
      <c r="BX195" s="38">
        <f>IFERROR(INDEX(LMH_STEP,MATCH(AJ195,LMH_KEY,0)),0)</f>
        <v>0</v>
      </c>
      <c r="BY195" s="38">
        <f>IFERROR(INDEX(LMH_STEP,MATCH(AK195,LMH_KEY,0)),0)</f>
        <v>0</v>
      </c>
      <c r="BZ195" s="38">
        <f>IFERROR(INDEX(LMH_STEP,MATCH(AL195,LMH_KEY,0)),0)</f>
        <v>0</v>
      </c>
      <c r="CA195" s="38" t="inlineStr">
        <is>
          <t>iDEAL|Technology|Practice Lead – Solution &amp; Technical Architecture · Player-Coach|B+|B+</t>
        </is>
      </c>
    </row>
    <row r="196" ht="110" customHeight="1">
      <c r="A196" s="28" t="inlineStr">
        <is>
          <t>iDEAL</t>
        </is>
      </c>
      <c r="B196" s="29" t="inlineStr">
        <is>
          <t>Technology</t>
        </is>
      </c>
      <c r="C196" s="29" t="n">
        <v>4</v>
      </c>
      <c r="D196" s="29" t="inlineStr">
        <is>
          <t>IRIS1809</t>
        </is>
      </c>
      <c r="E196" s="29" t="inlineStr">
        <is>
          <t>Jignasha Sawla</t>
        </is>
      </c>
      <c r="F196" s="29" t="inlineStr">
        <is>
          <t>Database Lead</t>
        </is>
      </c>
      <c r="G196" s="29" t="inlineStr">
        <is>
          <t>Database Specialist – POD Lead</t>
        </is>
      </c>
      <c r="H196" s="29" t="inlineStr">
        <is>
          <t>Engineering &amp; Development</t>
        </is>
      </c>
      <c r="I196" s="29" t="inlineStr">
        <is>
          <t>Data Engineering &amp; Database Development</t>
        </is>
      </c>
      <c r="J196" s="29" t="inlineStr">
        <is>
          <t>POD Lead</t>
        </is>
      </c>
      <c r="K196" s="29" t="inlineStr">
        <is>
          <t>RC-075</t>
        </is>
      </c>
      <c r="L196" s="29" t="inlineStr">
        <is>
          <t>Jitendra Kumar</t>
        </is>
      </c>
      <c r="M196" s="29" t="inlineStr">
        <is>
          <t>IRIS0810</t>
        </is>
      </c>
      <c r="N196" s="29" t="n">
        <v>17</v>
      </c>
      <c r="O196" s="29" t="n">
        <v>7</v>
      </c>
      <c r="P196" s="29" t="inlineStr">
        <is>
          <t>B.E</t>
        </is>
      </c>
      <c r="Q196" s="29" t="inlineStr">
        <is>
          <t>L5 – Lead · IC</t>
        </is>
      </c>
      <c r="R196" s="29" t="inlineStr">
        <is>
          <t>B1</t>
        </is>
      </c>
      <c r="S196" s="30" t="inlineStr">
        <is>
          <t>20 of 20</t>
        </is>
      </c>
      <c r="T196" s="31"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t>
        </is>
      </c>
      <c r="U196" s="31" t="inlineStr">
        <is>
          <t>Received · manager annual, quarterly, self · 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t>
        </is>
      </c>
      <c r="V196" s="31" t="inlineStr">
        <is>
          <t>Latest rating: 2 · Potential: Low · 9-box: Performance Risk · Readiness: Performance first</t>
        </is>
      </c>
      <c r="W196" s="31" t="inlineStr">
        <is>
          <t>C M · Au M · Ac M · L L · BI M · Exp H · 17 yrs vs 4–7 yrs · Edu M · B.E</t>
        </is>
      </c>
      <c r="X196" s="33" t="inlineStr">
        <is>
          <t>Open ▸</t>
        </is>
      </c>
      <c r="Y196" s="34" t="str">
        <f>IFERROR(INDEX(DL_C,MATCH($CA196,DL_KEY,0)),"M")</f>
        <v>H</v>
      </c>
      <c r="Z196" s="35" t="str">
        <f>IFERROR(INDEX(DL_Au,MATCH($CA196,DL_KEY,0)),"M")</f>
        <v>M</v>
      </c>
      <c r="AA196" s="35" t="str">
        <f>IFERROR(INDEX(DL_Ac,MATCH($CA196,DL_KEY,0)),"M")</f>
        <v>L</v>
      </c>
      <c r="AB196" s="35" t="str">
        <f>IFERROR(INDEX(DL_L,MATCH($CA196,DL_KEY,0)),"M")</f>
        <v>L</v>
      </c>
      <c r="AC196" s="35" t="str">
        <f>IFERROR(INDEX(DL_BI,MATCH($CA196,DL_KEY,0)),"M")</f>
        <v>L</v>
      </c>
      <c r="AD196" s="35" t="str">
        <f>IFERROR(INDEX(DL_Exp,MATCH($CA196,DL_KEY,0)),"M")</f>
        <v>L</v>
      </c>
      <c r="AE196" s="35" t="str">
        <f>IFERROR(INDEX(DL_Edu,MATCH($CA196,DL_KEY,0)),"M")</f>
        <v>L</v>
      </c>
      <c r="AF196" s="34" t="inlineStr">
        <is>
          <t>M</t>
        </is>
      </c>
      <c r="AG196" s="35" t="inlineStr">
        <is>
          <t>M</t>
        </is>
      </c>
      <c r="AH196" s="35" t="inlineStr">
        <is>
          <t>M</t>
        </is>
      </c>
      <c r="AI196" s="35" t="inlineStr">
        <is>
          <t>M</t>
        </is>
      </c>
      <c r="AJ196" s="35" t="inlineStr">
        <is>
          <t>M</t>
        </is>
      </c>
      <c r="AK196" s="35" t="inlineStr">
        <is>
          <t>M</t>
        </is>
      </c>
      <c r="AL196" s="35" t="inlineStr">
        <is>
          <t>M</t>
        </is>
      </c>
      <c r="AM196" s="36" t="n">
        <v>0.513</v>
      </c>
      <c r="AN196" s="37" t="n">
        <v>0.173</v>
      </c>
      <c r="AO196" s="37" t="n">
        <v>0.09699999999999999</v>
      </c>
      <c r="AP196" s="37" t="n">
        <v>0.05</v>
      </c>
      <c r="AQ196" s="37" t="n">
        <v>0.07000000000000001</v>
      </c>
      <c r="AR196" s="37" t="n">
        <v>0.06</v>
      </c>
      <c r="AS196" s="37" t="n">
        <v>0.04</v>
      </c>
      <c r="AT196" s="38" t="inlineStr">
        <is>
          <t>4–8</t>
        </is>
      </c>
      <c r="AU196" s="38" t="inlineStr">
        <is>
          <t>Graduate + relevant qualification or certification preferred</t>
        </is>
      </c>
      <c r="AV196" s="38" t="inlineStr">
        <is>
          <t>IC: none · Team Lead: 3–5</t>
        </is>
      </c>
      <c r="AW196" s="38" t="inlineStr">
        <is>
          <t>P3 / M2 · SFIA 4 Enable</t>
        </is>
      </c>
      <c r="AX1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6" s="39" t="inlineStr">
        <is>
          <t>B1</t>
        </is>
      </c>
      <c r="AZ196" s="40" t="inlineStr">
        <is>
          <t>Band B · Specialist / Manager · Team Lead / Asst Manager</t>
        </is>
      </c>
      <c r="BA196" s="40" t="inlineStr">
        <is>
          <t>Model B1 from the six ratings, the market-derived weights and rules R1–R13 · then No change · already below the manager</t>
        </is>
      </c>
      <c r="BB196" s="41" t="inlineStr">
        <is>
          <t>B1</t>
        </is>
      </c>
      <c r="BC196" s="40" t="inlineStr">
        <is>
          <t>The six ratings on the market-average weights of Band B · Specialist / POD Lead score 4.06 → B1 · Hay, Mercer IPE and public plans · experience 17 yrs vs the B1 market range 4–8</t>
        </is>
      </c>
      <c r="BD196" s="42">
        <f>IF(SUM(BM196,BN196,BO196,BP196,BQ196,BR196,BS196)=0,0,(BM196*BT196+BN196*BU196+BO196*BV196+BP196*BW196+BQ196*BX196+BR196*BY196+BS196*BZ196)/SUM(BM196,BN196,BO196,BP196,BQ196,BR196,BS196))</f>
        <v>0</v>
      </c>
      <c r="BE196" s="41" t="str">
        <f>IF(LEFT(AY196,1)="X",AY196,IF(OR(AY196="B+",AY196="C+"),INDEX(LAD_PC,MAX(1,MIN(14,MATCH(AY196,LAD_PC,0)+IF(BD196&gt;=0.5,1,IF(BD196&lt;=-0.5,-1,0))))),INDEX(LAD_STD,MAX(1,MIN(12,MATCH(AY196,LAD_STD,0)+IF(BD196&gt;=0.5,1,IF(BD196&lt;=-0.5,-1,0)))))))</f>
        <v>B1</v>
      </c>
      <c r="BF196" s="43" t="n"/>
      <c r="BG196" s="41" t="str">
        <f>IF(BF196&lt;&gt;"",BF196,BE196)</f>
        <v>B1</v>
      </c>
      <c r="BH196" s="40" t="str">
        <f>IFERROR(CHOOSE(INDEX(B_RANK,MATCH(BG196,B_LVL,0)),"Band A","Band B","B+ · Player-Coach","Band C","C+ · Player-Coach","Band D","Band E"),"Band X · Consultant")</f>
        <v>Band B</v>
      </c>
      <c r="BI196" s="40" t="str">
        <f>IF(BG196=AY196,"• Same",IF(INDEX(B_VAL,MATCH(BG196,B_LVL,0))&gt;INDEX(B_VAL,MATCH(AY196,B_LVL,0)),"▲ Up","▼ Down"))</f>
        <v>• Same</v>
      </c>
      <c r="BJ196" s="40" t="str">
        <f>IF(OR($M196="",$M196="—",$M196="Not in this file"),"",IFERROR(INDEX($BG$7:$BG$592,MATCH($M196,$D$7:$D$592,0)),""))</f>
        <v>B+</v>
      </c>
      <c r="BK196" s="40" t="str">
        <f>IFERROR(IF(BJ196="","—",IF(OR(LEFT(BG196,1)="X",LEFT(BJ196,1)="X"),"—",IF(AND(LEFT(BG196,1)="E",LEFT(BJ196,1)="E"),"Exception · Band E",IF(AND(INDEX(B_VAL,MATCH(BJ196,B_LVL,0))&gt;=7,INDEX(B_RANK,MATCH(BG196,B_LVL,0))&gt;=INDEX(B_RANK,MATCH(BJ196,B_LVL,0))),"⚠ Same band as a head manager",IF(INDEX(B_VAL,MATCH(BG196,B_LVL,0))&gt;=INDEX(B_VAL,MATCH(BJ196,B_LVL,0)),"⚠ At or above the manager's level","OK"))))),"—")</f>
        <v>OK</v>
      </c>
      <c r="BL196" s="43" t="n"/>
      <c r="BM196" s="44">
        <f>IFERROR(INDEX(LMH_PTS,MATCH(Y196,LMH_KEY,0)),0)</f>
        <v>9</v>
      </c>
      <c r="BN196" s="38">
        <f>IFERROR(INDEX(LMH_PTS,MATCH(Z196,LMH_KEY,0)),0)</f>
        <v>3</v>
      </c>
      <c r="BO196" s="38">
        <f>IFERROR(INDEX(LMH_PTS,MATCH(AA196,LMH_KEY,0)),0)</f>
        <v>1</v>
      </c>
      <c r="BP196" s="38">
        <f>IFERROR(INDEX(LMH_PTS,MATCH(AB196,LMH_KEY,0)),0)</f>
        <v>1</v>
      </c>
      <c r="BQ196" s="38">
        <f>IFERROR(INDEX(LMH_PTS,MATCH(AC196,LMH_KEY,0)),0)</f>
        <v>1</v>
      </c>
      <c r="BR196" s="38">
        <f>IFERROR(INDEX(LMH_PTS,MATCH(AD196,LMH_KEY,0)),0)</f>
        <v>1</v>
      </c>
      <c r="BS196" s="38">
        <f>IFERROR(INDEX(LMH_PTS,MATCH(AE196,LMH_KEY,0)),0)</f>
        <v>1</v>
      </c>
      <c r="BT196" s="38">
        <f>IFERROR(INDEX(LMH_STEP,MATCH(AF196,LMH_KEY,0)),0)</f>
        <v>0</v>
      </c>
      <c r="BU196" s="38">
        <f>IFERROR(INDEX(LMH_STEP,MATCH(AG196,LMH_KEY,0)),0)</f>
        <v>0</v>
      </c>
      <c r="BV196" s="38">
        <f>IFERROR(INDEX(LMH_STEP,MATCH(AH196,LMH_KEY,0)),0)</f>
        <v>0</v>
      </c>
      <c r="BW196" s="38">
        <f>IFERROR(INDEX(LMH_STEP,MATCH(AI196,LMH_KEY,0)),0)</f>
        <v>0</v>
      </c>
      <c r="BX196" s="38">
        <f>IFERROR(INDEX(LMH_STEP,MATCH(AJ196,LMH_KEY,0)),0)</f>
        <v>0</v>
      </c>
      <c r="BY196" s="38">
        <f>IFERROR(INDEX(LMH_STEP,MATCH(AK196,LMH_KEY,0)),0)</f>
        <v>0</v>
      </c>
      <c r="BZ196" s="38">
        <f>IFERROR(INDEX(LMH_STEP,MATCH(AL196,LMH_KEY,0)),0)</f>
        <v>0</v>
      </c>
      <c r="CA196" s="38" t="inlineStr">
        <is>
          <t>iDEAL|Technology|Database Specialist – POD Lead|B1|B-IC</t>
        </is>
      </c>
    </row>
    <row r="197" ht="110" customHeight="1">
      <c r="A197" s="28" t="inlineStr">
        <is>
          <t>iDEAL</t>
        </is>
      </c>
      <c r="B197" s="29" t="inlineStr">
        <is>
          <t>Technology</t>
        </is>
      </c>
      <c r="C197" s="29" t="n">
        <v>5</v>
      </c>
      <c r="D197" s="29" t="inlineStr">
        <is>
          <t>IRIS1858</t>
        </is>
      </c>
      <c r="E197" s="29" t="inlineStr">
        <is>
          <t>Prasad Bhoite</t>
        </is>
      </c>
      <c r="F197" s="29" t="inlineStr">
        <is>
          <t>Software Engineer</t>
        </is>
      </c>
      <c r="G197" s="29" t="inlineStr">
        <is>
          <t>Senior Database Engineer</t>
        </is>
      </c>
      <c r="H197" s="29" t="inlineStr">
        <is>
          <t>Engineering &amp; Development</t>
        </is>
      </c>
      <c r="I197" s="29" t="inlineStr">
        <is>
          <t>Data Engineering &amp; Database Development</t>
        </is>
      </c>
      <c r="J197" s="29" t="inlineStr">
        <is>
          <t>IC</t>
        </is>
      </c>
      <c r="K197" s="29" t="inlineStr">
        <is>
          <t>RC-074</t>
        </is>
      </c>
      <c r="L197" s="29" t="inlineStr">
        <is>
          <t>Jignasha Sawla</t>
        </is>
      </c>
      <c r="M197" s="29" t="inlineStr">
        <is>
          <t>IRIS1809</t>
        </is>
      </c>
      <c r="N197" s="29" t="n">
        <v>6.9</v>
      </c>
      <c r="O197" s="29" t="n">
        <v>6.3</v>
      </c>
      <c r="P197" s="29" t="inlineStr">
        <is>
          <t>BCA</t>
        </is>
      </c>
      <c r="Q197" s="29" t="inlineStr">
        <is>
          <t>L3 – Professional / Associate</t>
        </is>
      </c>
      <c r="R197" s="29" t="inlineStr">
        <is>
          <t>A3</t>
        </is>
      </c>
      <c r="S197" s="30" t="inlineStr">
        <is>
          <t>20 of 20</t>
        </is>
      </c>
      <c r="T197" s="31"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t>
        </is>
      </c>
      <c r="U197" s="31" t="inlineStr">
        <is>
          <t>Received · manager annual, quarterly, self · 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t>
        </is>
      </c>
      <c r="V197" s="31" t="inlineStr">
        <is>
          <t>Latest rating: 3 · Potential: Medium · 9-box: Emerging Talent · Readiness: Develop in role</t>
        </is>
      </c>
      <c r="W197" s="31" t="inlineStr">
        <is>
          <t>C M · Au L · Ac M · L L · BI M · Exp H · 6.9 yrs vs 2–4 yrs · Edu M · BCA</t>
        </is>
      </c>
      <c r="X197" s="33" t="inlineStr">
        <is>
          <t>Open ▸</t>
        </is>
      </c>
      <c r="Y197" s="34" t="str">
        <f>IFERROR(INDEX(DL_C,MATCH($CA197,DL_KEY,0)),"M")</f>
        <v>H</v>
      </c>
      <c r="Z197" s="35" t="str">
        <f>IFERROR(INDEX(DL_Au,MATCH($CA197,DL_KEY,0)),"M")</f>
        <v>M</v>
      </c>
      <c r="AA197" s="35" t="str">
        <f>IFERROR(INDEX(DL_Ac,MATCH($CA197,DL_KEY,0)),"M")</f>
        <v>L</v>
      </c>
      <c r="AB197" s="35" t="str">
        <f>IFERROR(INDEX(DL_L,MATCH($CA197,DL_KEY,0)),"M")</f>
        <v>L</v>
      </c>
      <c r="AC197" s="35" t="str">
        <f>IFERROR(INDEX(DL_BI,MATCH($CA197,DL_KEY,0)),"M")</f>
        <v>L</v>
      </c>
      <c r="AD197" s="35" t="str">
        <f>IFERROR(INDEX(DL_Exp,MATCH($CA197,DL_KEY,0)),"M")</f>
        <v>L</v>
      </c>
      <c r="AE197" s="35" t="str">
        <f>IFERROR(INDEX(DL_Edu,MATCH($CA197,DL_KEY,0)),"M")</f>
        <v>L</v>
      </c>
      <c r="AF197" s="34" t="inlineStr">
        <is>
          <t>M</t>
        </is>
      </c>
      <c r="AG197" s="35" t="inlineStr">
        <is>
          <t>M</t>
        </is>
      </c>
      <c r="AH197" s="35" t="inlineStr">
        <is>
          <t>M</t>
        </is>
      </c>
      <c r="AI197" s="35" t="inlineStr">
        <is>
          <t>M</t>
        </is>
      </c>
      <c r="AJ197" s="35" t="inlineStr">
        <is>
          <t>M</t>
        </is>
      </c>
      <c r="AK197" s="35" t="inlineStr">
        <is>
          <t>M</t>
        </is>
      </c>
      <c r="AL197" s="35" t="inlineStr">
        <is>
          <t>M</t>
        </is>
      </c>
      <c r="AM197" s="36" t="n">
        <v>0.583</v>
      </c>
      <c r="AN197" s="37" t="n">
        <v>0.16</v>
      </c>
      <c r="AO197" s="37" t="n">
        <v>0.09</v>
      </c>
      <c r="AP197" s="37" t="n">
        <v>0</v>
      </c>
      <c r="AQ197" s="37" t="n">
        <v>0.063</v>
      </c>
      <c r="AR197" s="37" t="n">
        <v>0.06</v>
      </c>
      <c r="AS197" s="37" t="n">
        <v>0.04</v>
      </c>
      <c r="AT197" s="38" t="inlineStr">
        <is>
          <t>2–5</t>
        </is>
      </c>
      <c r="AU197" s="38" t="inlineStr">
        <is>
          <t>Graduate; relevant certification preferred</t>
        </is>
      </c>
      <c r="AV197" s="38" t="inlineStr">
        <is>
          <t>None · guides 1–3 juniors informally</t>
        </is>
      </c>
      <c r="AW197" s="38" t="inlineStr">
        <is>
          <t>P2 · SFIA 3 Apply</t>
        </is>
      </c>
      <c r="AX1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7" s="39" t="inlineStr">
        <is>
          <t>A3</t>
        </is>
      </c>
      <c r="AZ197" s="40" t="inlineStr">
        <is>
          <t>Band A · Practitioner · Senior Associate</t>
        </is>
      </c>
      <c r="BA197" s="40" t="inlineStr">
        <is>
          <t>Model A3 from the six ratings, the market-derived weights and rules R1–R13 · then No change · already below the manager</t>
        </is>
      </c>
      <c r="BB197" s="41" t="inlineStr">
        <is>
          <t>A3</t>
        </is>
      </c>
      <c r="BC197" s="40" t="inlineStr">
        <is>
          <t>The six ratings on the market-average weights of Band A · all tracks score 2.65 → A3 · Hay, Mercer IPE and public plans · experience 6.9 yrs vs the A3 market range 2–5</t>
        </is>
      </c>
      <c r="BD197" s="42">
        <f>IF(SUM(BM197,BN197,BO197,BP197,BQ197,BR197,BS197)=0,0,(BM197*BT197+BN197*BU197+BO197*BV197+BP197*BW197+BQ197*BX197+BR197*BY197+BS197*BZ197)/SUM(BM197,BN197,BO197,BP197,BQ197,BR197,BS197))</f>
        <v>0</v>
      </c>
      <c r="BE197" s="41" t="str">
        <f>IF(LEFT(AY197,1)="X",AY197,IF(OR(AY197="B+",AY197="C+"),INDEX(LAD_PC,MAX(1,MIN(14,MATCH(AY197,LAD_PC,0)+IF(BD197&gt;=0.5,1,IF(BD197&lt;=-0.5,-1,0))))),INDEX(LAD_STD,MAX(1,MIN(12,MATCH(AY197,LAD_STD,0)+IF(BD197&gt;=0.5,1,IF(BD197&lt;=-0.5,-1,0)))))))</f>
        <v>A3</v>
      </c>
      <c r="BF197" s="43" t="n"/>
      <c r="BG197" s="41" t="str">
        <f>IF(BF197&lt;&gt;"",BF197,BE197)</f>
        <v>A3</v>
      </c>
      <c r="BH197" s="40" t="str">
        <f>IFERROR(CHOOSE(INDEX(B_RANK,MATCH(BG197,B_LVL,0)),"Band A","Band B","B+ · Player-Coach","Band C","C+ · Player-Coach","Band D","Band E"),"Band X · Consultant")</f>
        <v>Band A</v>
      </c>
      <c r="BI197" s="40" t="str">
        <f>IF(BG197=AY197,"• Same",IF(INDEX(B_VAL,MATCH(BG197,B_LVL,0))&gt;INDEX(B_VAL,MATCH(AY197,B_LVL,0)),"▲ Up","▼ Down"))</f>
        <v>• Same</v>
      </c>
      <c r="BJ197" s="40" t="str">
        <f>IF(OR($M197="",$M197="—",$M197="Not in this file"),"",IFERROR(INDEX($BG$7:$BG$592,MATCH($M197,$D$7:$D$592,0)),""))</f>
        <v>B1</v>
      </c>
      <c r="BK197" s="40" t="str">
        <f>IFERROR(IF(BJ197="","—",IF(OR(LEFT(BG197,1)="X",LEFT(BJ197,1)="X"),"—",IF(AND(LEFT(BG197,1)="E",LEFT(BJ197,1)="E"),"Exception · Band E",IF(AND(INDEX(B_VAL,MATCH(BJ197,B_LVL,0))&gt;=7,INDEX(B_RANK,MATCH(BG197,B_LVL,0))&gt;=INDEX(B_RANK,MATCH(BJ197,B_LVL,0))),"⚠ Same band as a head manager",IF(INDEX(B_VAL,MATCH(BG197,B_LVL,0))&gt;=INDEX(B_VAL,MATCH(BJ197,B_LVL,0)),"⚠ At or above the manager's level","OK"))))),"—")</f>
        <v>OK</v>
      </c>
      <c r="BL197" s="43" t="n"/>
      <c r="BM197" s="44">
        <f>IFERROR(INDEX(LMH_PTS,MATCH(Y197,LMH_KEY,0)),0)</f>
        <v>9</v>
      </c>
      <c r="BN197" s="38">
        <f>IFERROR(INDEX(LMH_PTS,MATCH(Z197,LMH_KEY,0)),0)</f>
        <v>3</v>
      </c>
      <c r="BO197" s="38">
        <f>IFERROR(INDEX(LMH_PTS,MATCH(AA197,LMH_KEY,0)),0)</f>
        <v>1</v>
      </c>
      <c r="BP197" s="38">
        <f>IFERROR(INDEX(LMH_PTS,MATCH(AB197,LMH_KEY,0)),0)</f>
        <v>1</v>
      </c>
      <c r="BQ197" s="38">
        <f>IFERROR(INDEX(LMH_PTS,MATCH(AC197,LMH_KEY,0)),0)</f>
        <v>1</v>
      </c>
      <c r="BR197" s="38">
        <f>IFERROR(INDEX(LMH_PTS,MATCH(AD197,LMH_KEY,0)),0)</f>
        <v>1</v>
      </c>
      <c r="BS197" s="38">
        <f>IFERROR(INDEX(LMH_PTS,MATCH(AE197,LMH_KEY,0)),0)</f>
        <v>1</v>
      </c>
      <c r="BT197" s="38">
        <f>IFERROR(INDEX(LMH_STEP,MATCH(AF197,LMH_KEY,0)),0)</f>
        <v>0</v>
      </c>
      <c r="BU197" s="38">
        <f>IFERROR(INDEX(LMH_STEP,MATCH(AG197,LMH_KEY,0)),0)</f>
        <v>0</v>
      </c>
      <c r="BV197" s="38">
        <f>IFERROR(INDEX(LMH_STEP,MATCH(AH197,LMH_KEY,0)),0)</f>
        <v>0</v>
      </c>
      <c r="BW197" s="38">
        <f>IFERROR(INDEX(LMH_STEP,MATCH(AI197,LMH_KEY,0)),0)</f>
        <v>0</v>
      </c>
      <c r="BX197" s="38">
        <f>IFERROR(INDEX(LMH_STEP,MATCH(AJ197,LMH_KEY,0)),0)</f>
        <v>0</v>
      </c>
      <c r="BY197" s="38">
        <f>IFERROR(INDEX(LMH_STEP,MATCH(AK197,LMH_KEY,0)),0)</f>
        <v>0</v>
      </c>
      <c r="BZ197" s="38">
        <f>IFERROR(INDEX(LMH_STEP,MATCH(AL197,LMH_KEY,0)),0)</f>
        <v>0</v>
      </c>
      <c r="CA197" s="38" t="inlineStr">
        <is>
          <t>iDEAL|Technology|Senior Database Engineer|A3|A</t>
        </is>
      </c>
    </row>
    <row r="198" ht="110" customHeight="1">
      <c r="A198" s="28" t="inlineStr">
        <is>
          <t>iDEAL</t>
        </is>
      </c>
      <c r="B198" s="29" t="inlineStr">
        <is>
          <t>Technology</t>
        </is>
      </c>
      <c r="C198" s="29" t="n">
        <v>4</v>
      </c>
      <c r="D198" s="29" t="inlineStr">
        <is>
          <t>IRIS2052</t>
        </is>
      </c>
      <c r="E198" s="29" t="inlineStr">
        <is>
          <t>Akshata Sabale</t>
        </is>
      </c>
      <c r="F198" s="29" t="inlineStr">
        <is>
          <t>Software Engineer</t>
        </is>
      </c>
      <c r="G198" s="29" t="inlineStr">
        <is>
          <t>Senior Software Engineer</t>
        </is>
      </c>
      <c r="H198" s="29" t="inlineStr">
        <is>
          <t>Engineering &amp; Development</t>
        </is>
      </c>
      <c r="I198" s="29" t="inlineStr">
        <is>
          <t>Backend Development</t>
        </is>
      </c>
      <c r="J198" s="29" t="inlineStr">
        <is>
          <t>IC</t>
        </is>
      </c>
      <c r="K198" s="29" t="inlineStr">
        <is>
          <t>RC-067</t>
        </is>
      </c>
      <c r="L198" s="29" t="inlineStr">
        <is>
          <t>Jitendra Kumar</t>
        </is>
      </c>
      <c r="M198" s="29" t="inlineStr">
        <is>
          <t>IRIS0810</t>
        </is>
      </c>
      <c r="N198" s="29" t="n">
        <v>5.1</v>
      </c>
      <c r="O198" s="29" t="n">
        <v>4.1</v>
      </c>
      <c r="P198" s="29" t="inlineStr">
        <is>
          <t>B.E</t>
        </is>
      </c>
      <c r="Q198" s="29" t="inlineStr">
        <is>
          <t>L3 – Professional / Associate</t>
        </is>
      </c>
      <c r="R198" s="29" t="inlineStr">
        <is>
          <t>A3</t>
        </is>
      </c>
      <c r="S198" s="30" t="inlineStr">
        <is>
          <t>20 of 20</t>
        </is>
      </c>
      <c r="T198" s="31"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t>
        </is>
      </c>
      <c r="U198" s="31" t="inlineStr">
        <is>
          <t>Received · manager annual, quarterly, self · 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t>
        </is>
      </c>
      <c r="V198" s="31" t="inlineStr">
        <is>
          <t>Latest rating: 3 · Potential: Medium · 9-box: Core Contributor · Readiness: Develop in role</t>
        </is>
      </c>
      <c r="W198" s="31" t="inlineStr">
        <is>
          <t>C M · Au L · Ac M · L L · BI M · Exp H · 5.1 yrs vs 2–4 yrs · Edu M · B.E</t>
        </is>
      </c>
      <c r="X198" s="33" t="inlineStr">
        <is>
          <t>Open ▸</t>
        </is>
      </c>
      <c r="Y198" s="34" t="str">
        <f>IFERROR(INDEX(DL_C,MATCH($CA198,DL_KEY,0)),"M")</f>
        <v>H</v>
      </c>
      <c r="Z198" s="35" t="str">
        <f>IFERROR(INDEX(DL_Au,MATCH($CA198,DL_KEY,0)),"M")</f>
        <v>M</v>
      </c>
      <c r="AA198" s="35" t="str">
        <f>IFERROR(INDEX(DL_Ac,MATCH($CA198,DL_KEY,0)),"M")</f>
        <v>L</v>
      </c>
      <c r="AB198" s="35" t="str">
        <f>IFERROR(INDEX(DL_L,MATCH($CA198,DL_KEY,0)),"M")</f>
        <v>L</v>
      </c>
      <c r="AC198" s="35" t="str">
        <f>IFERROR(INDEX(DL_BI,MATCH($CA198,DL_KEY,0)),"M")</f>
        <v>L</v>
      </c>
      <c r="AD198" s="35" t="str">
        <f>IFERROR(INDEX(DL_Exp,MATCH($CA198,DL_KEY,0)),"M")</f>
        <v>L</v>
      </c>
      <c r="AE198" s="35" t="str">
        <f>IFERROR(INDEX(DL_Edu,MATCH($CA198,DL_KEY,0)),"M")</f>
        <v>L</v>
      </c>
      <c r="AF198" s="34" t="inlineStr">
        <is>
          <t>M</t>
        </is>
      </c>
      <c r="AG198" s="35" t="inlineStr">
        <is>
          <t>M</t>
        </is>
      </c>
      <c r="AH198" s="35" t="inlineStr">
        <is>
          <t>M</t>
        </is>
      </c>
      <c r="AI198" s="35" t="inlineStr">
        <is>
          <t>M</t>
        </is>
      </c>
      <c r="AJ198" s="35" t="inlineStr">
        <is>
          <t>M</t>
        </is>
      </c>
      <c r="AK198" s="35" t="inlineStr">
        <is>
          <t>M</t>
        </is>
      </c>
      <c r="AL198" s="35" t="inlineStr">
        <is>
          <t>M</t>
        </is>
      </c>
      <c r="AM198" s="36" t="n">
        <v>0.583</v>
      </c>
      <c r="AN198" s="37" t="n">
        <v>0.16</v>
      </c>
      <c r="AO198" s="37" t="n">
        <v>0.09</v>
      </c>
      <c r="AP198" s="37" t="n">
        <v>0</v>
      </c>
      <c r="AQ198" s="37" t="n">
        <v>0.063</v>
      </c>
      <c r="AR198" s="37" t="n">
        <v>0.06</v>
      </c>
      <c r="AS198" s="37" t="n">
        <v>0.04</v>
      </c>
      <c r="AT198" s="38" t="inlineStr">
        <is>
          <t>2–5</t>
        </is>
      </c>
      <c r="AU198" s="38" t="inlineStr">
        <is>
          <t>Graduate; relevant certification preferred</t>
        </is>
      </c>
      <c r="AV198" s="38" t="inlineStr">
        <is>
          <t>None · guides 1–3 juniors informally</t>
        </is>
      </c>
      <c r="AW198" s="38" t="inlineStr">
        <is>
          <t>P2 · SFIA 3 Apply</t>
        </is>
      </c>
      <c r="AX1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8" s="39" t="inlineStr">
        <is>
          <t>A3</t>
        </is>
      </c>
      <c r="AZ198" s="40" t="inlineStr">
        <is>
          <t>Band A · Practitioner · Senior Associate</t>
        </is>
      </c>
      <c r="BA198" s="40" t="inlineStr">
        <is>
          <t>Model A3 from the six ratings, the market-derived weights and rules R1–R13 · then No change · already below the manager</t>
        </is>
      </c>
      <c r="BB198" s="41" t="inlineStr">
        <is>
          <t>A3</t>
        </is>
      </c>
      <c r="BC198" s="40" t="inlineStr">
        <is>
          <t>The six ratings on the market-average weights of Band A · all tracks score 2.57 → A3 · Hay, Mercer IPE and public plans · experience 5.1 yrs vs the A3 market range 2–5</t>
        </is>
      </c>
      <c r="BD198" s="42">
        <f>IF(SUM(BM198,BN198,BO198,BP198,BQ198,BR198,BS198)=0,0,(BM198*BT198+BN198*BU198+BO198*BV198+BP198*BW198+BQ198*BX198+BR198*BY198+BS198*BZ198)/SUM(BM198,BN198,BO198,BP198,BQ198,BR198,BS198))</f>
        <v>0</v>
      </c>
      <c r="BE198" s="41" t="str">
        <f>IF(LEFT(AY198,1)="X",AY198,IF(OR(AY198="B+",AY198="C+"),INDEX(LAD_PC,MAX(1,MIN(14,MATCH(AY198,LAD_PC,0)+IF(BD198&gt;=0.5,1,IF(BD198&lt;=-0.5,-1,0))))),INDEX(LAD_STD,MAX(1,MIN(12,MATCH(AY198,LAD_STD,0)+IF(BD198&gt;=0.5,1,IF(BD198&lt;=-0.5,-1,0)))))))</f>
        <v>A3</v>
      </c>
      <c r="BF198" s="43" t="n"/>
      <c r="BG198" s="41" t="str">
        <f>IF(BF198&lt;&gt;"",BF198,BE198)</f>
        <v>A3</v>
      </c>
      <c r="BH198" s="40" t="str">
        <f>IFERROR(CHOOSE(INDEX(B_RANK,MATCH(BG198,B_LVL,0)),"Band A","Band B","B+ · Player-Coach","Band C","C+ · Player-Coach","Band D","Band E"),"Band X · Consultant")</f>
        <v>Band A</v>
      </c>
      <c r="BI198" s="40" t="str">
        <f>IF(BG198=AY198,"• Same",IF(INDEX(B_VAL,MATCH(BG198,B_LVL,0))&gt;INDEX(B_VAL,MATCH(AY198,B_LVL,0)),"▲ Up","▼ Down"))</f>
        <v>• Same</v>
      </c>
      <c r="BJ198" s="40" t="str">
        <f>IF(OR($M198="",$M198="—",$M198="Not in this file"),"",IFERROR(INDEX($BG$7:$BG$592,MATCH($M198,$D$7:$D$592,0)),""))</f>
        <v>B+</v>
      </c>
      <c r="BK198" s="40" t="str">
        <f>IFERROR(IF(BJ198="","—",IF(OR(LEFT(BG198,1)="X",LEFT(BJ198,1)="X"),"—",IF(AND(LEFT(BG198,1)="E",LEFT(BJ198,1)="E"),"Exception · Band E",IF(AND(INDEX(B_VAL,MATCH(BJ198,B_LVL,0))&gt;=7,INDEX(B_RANK,MATCH(BG198,B_LVL,0))&gt;=INDEX(B_RANK,MATCH(BJ198,B_LVL,0))),"⚠ Same band as a head manager",IF(INDEX(B_VAL,MATCH(BG198,B_LVL,0))&gt;=INDEX(B_VAL,MATCH(BJ198,B_LVL,0)),"⚠ At or above the manager's level","OK"))))),"—")</f>
        <v>OK</v>
      </c>
      <c r="BL198" s="43" t="n"/>
      <c r="BM198" s="44">
        <f>IFERROR(INDEX(LMH_PTS,MATCH(Y198,LMH_KEY,0)),0)</f>
        <v>9</v>
      </c>
      <c r="BN198" s="38">
        <f>IFERROR(INDEX(LMH_PTS,MATCH(Z198,LMH_KEY,0)),0)</f>
        <v>3</v>
      </c>
      <c r="BO198" s="38">
        <f>IFERROR(INDEX(LMH_PTS,MATCH(AA198,LMH_KEY,0)),0)</f>
        <v>1</v>
      </c>
      <c r="BP198" s="38">
        <f>IFERROR(INDEX(LMH_PTS,MATCH(AB198,LMH_KEY,0)),0)</f>
        <v>1</v>
      </c>
      <c r="BQ198" s="38">
        <f>IFERROR(INDEX(LMH_PTS,MATCH(AC198,LMH_KEY,0)),0)</f>
        <v>1</v>
      </c>
      <c r="BR198" s="38">
        <f>IFERROR(INDEX(LMH_PTS,MATCH(AD198,LMH_KEY,0)),0)</f>
        <v>1</v>
      </c>
      <c r="BS198" s="38">
        <f>IFERROR(INDEX(LMH_PTS,MATCH(AE198,LMH_KEY,0)),0)</f>
        <v>1</v>
      </c>
      <c r="BT198" s="38">
        <f>IFERROR(INDEX(LMH_STEP,MATCH(AF198,LMH_KEY,0)),0)</f>
        <v>0</v>
      </c>
      <c r="BU198" s="38">
        <f>IFERROR(INDEX(LMH_STEP,MATCH(AG198,LMH_KEY,0)),0)</f>
        <v>0</v>
      </c>
      <c r="BV198" s="38">
        <f>IFERROR(INDEX(LMH_STEP,MATCH(AH198,LMH_KEY,0)),0)</f>
        <v>0</v>
      </c>
      <c r="BW198" s="38">
        <f>IFERROR(INDEX(LMH_STEP,MATCH(AI198,LMH_KEY,0)),0)</f>
        <v>0</v>
      </c>
      <c r="BX198" s="38">
        <f>IFERROR(INDEX(LMH_STEP,MATCH(AJ198,LMH_KEY,0)),0)</f>
        <v>0</v>
      </c>
      <c r="BY198" s="38">
        <f>IFERROR(INDEX(LMH_STEP,MATCH(AK198,LMH_KEY,0)),0)</f>
        <v>0</v>
      </c>
      <c r="BZ198" s="38">
        <f>IFERROR(INDEX(LMH_STEP,MATCH(AL198,LMH_KEY,0)),0)</f>
        <v>0</v>
      </c>
      <c r="CA198" s="38" t="inlineStr">
        <is>
          <t>iDEAL|Technology|Senior Software Engineer|A3|A</t>
        </is>
      </c>
    </row>
    <row r="199" ht="110" customHeight="1">
      <c r="A199" s="28" t="inlineStr">
        <is>
          <t>iDEAL</t>
        </is>
      </c>
      <c r="B199" s="29" t="inlineStr">
        <is>
          <t>Technology</t>
        </is>
      </c>
      <c r="C199" s="29" t="n">
        <v>4</v>
      </c>
      <c r="D199" s="29" t="inlineStr">
        <is>
          <t>IRIS1922</t>
        </is>
      </c>
      <c r="E199" s="29" t="inlineStr">
        <is>
          <t>H Marenna</t>
        </is>
      </c>
      <c r="F199" s="29" t="inlineStr">
        <is>
          <t>Senior Software Engineer</t>
        </is>
      </c>
      <c r="G199" s="29" t="inlineStr">
        <is>
          <t>Senior Database Engineer</t>
        </is>
      </c>
      <c r="H199" s="29" t="inlineStr">
        <is>
          <t>Engineering &amp; Development</t>
        </is>
      </c>
      <c r="I199" s="29" t="inlineStr">
        <is>
          <t>Data Engineering &amp; Database Development</t>
        </is>
      </c>
      <c r="J199" s="29" t="inlineStr">
        <is>
          <t>IC</t>
        </is>
      </c>
      <c r="K199" s="29" t="inlineStr">
        <is>
          <t>RC-074</t>
        </is>
      </c>
      <c r="L199" s="29" t="inlineStr">
        <is>
          <t>Jitendra Kumar</t>
        </is>
      </c>
      <c r="M199" s="29" t="inlineStr">
        <is>
          <t>IRIS0810</t>
        </is>
      </c>
      <c r="N199" s="29" t="n">
        <v>9.199999999999999</v>
      </c>
      <c r="O199" s="29" t="n">
        <v>5.2</v>
      </c>
      <c r="P199" s="29" t="inlineStr">
        <is>
          <t>B.Tech</t>
        </is>
      </c>
      <c r="Q199" s="29" t="inlineStr">
        <is>
          <t>L4 – Senior</t>
        </is>
      </c>
      <c r="R199" s="29" t="inlineStr">
        <is>
          <t>A3</t>
        </is>
      </c>
      <c r="S199" s="30" t="inlineStr">
        <is>
          <t>20 of 20</t>
        </is>
      </c>
      <c r="T199" s="31"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t>
        </is>
      </c>
      <c r="U199" s="31" t="inlineStr">
        <is>
          <t>Received · manager annual, quarterly, self · 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t>
        </is>
      </c>
      <c r="V199" s="31" t="inlineStr">
        <is>
          <t>Latest rating: 2 · Potential: Low · 9-box: Reliable Specialist · Readiness: Performance first</t>
        </is>
      </c>
      <c r="W199" s="31" t="inlineStr">
        <is>
          <t>C M · Au M · Ac M · L L · BI M · Exp H · 9.2 yrs vs 2–4 yrs · Edu M · B.Tech</t>
        </is>
      </c>
      <c r="X199" s="33" t="inlineStr">
        <is>
          <t>Open ▸</t>
        </is>
      </c>
      <c r="Y199" s="34" t="str">
        <f>IFERROR(INDEX(DL_C,MATCH($CA199,DL_KEY,0)),"M")</f>
        <v>H</v>
      </c>
      <c r="Z199" s="35" t="str">
        <f>IFERROR(INDEX(DL_Au,MATCH($CA199,DL_KEY,0)),"M")</f>
        <v>M</v>
      </c>
      <c r="AA199" s="35" t="str">
        <f>IFERROR(INDEX(DL_Ac,MATCH($CA199,DL_KEY,0)),"M")</f>
        <v>L</v>
      </c>
      <c r="AB199" s="35" t="str">
        <f>IFERROR(INDEX(DL_L,MATCH($CA199,DL_KEY,0)),"M")</f>
        <v>L</v>
      </c>
      <c r="AC199" s="35" t="str">
        <f>IFERROR(INDEX(DL_BI,MATCH($CA199,DL_KEY,0)),"M")</f>
        <v>L</v>
      </c>
      <c r="AD199" s="35" t="str">
        <f>IFERROR(INDEX(DL_Exp,MATCH($CA199,DL_KEY,0)),"M")</f>
        <v>L</v>
      </c>
      <c r="AE199" s="35" t="str">
        <f>IFERROR(INDEX(DL_Edu,MATCH($CA199,DL_KEY,0)),"M")</f>
        <v>L</v>
      </c>
      <c r="AF199" s="34" t="inlineStr">
        <is>
          <t>M</t>
        </is>
      </c>
      <c r="AG199" s="35" t="inlineStr">
        <is>
          <t>M</t>
        </is>
      </c>
      <c r="AH199" s="35" t="inlineStr">
        <is>
          <t>M</t>
        </is>
      </c>
      <c r="AI199" s="35" t="inlineStr">
        <is>
          <t>M</t>
        </is>
      </c>
      <c r="AJ199" s="35" t="inlineStr">
        <is>
          <t>M</t>
        </is>
      </c>
      <c r="AK199" s="35" t="inlineStr">
        <is>
          <t>M</t>
        </is>
      </c>
      <c r="AL199" s="35" t="inlineStr">
        <is>
          <t>M</t>
        </is>
      </c>
      <c r="AM199" s="36" t="n">
        <v>0.583</v>
      </c>
      <c r="AN199" s="37" t="n">
        <v>0.16</v>
      </c>
      <c r="AO199" s="37" t="n">
        <v>0.09</v>
      </c>
      <c r="AP199" s="37" t="n">
        <v>0</v>
      </c>
      <c r="AQ199" s="37" t="n">
        <v>0.063</v>
      </c>
      <c r="AR199" s="37" t="n">
        <v>0.06</v>
      </c>
      <c r="AS199" s="37" t="n">
        <v>0.04</v>
      </c>
      <c r="AT199" s="38" t="inlineStr">
        <is>
          <t>2–5</t>
        </is>
      </c>
      <c r="AU199" s="38" t="inlineStr">
        <is>
          <t>Graduate; relevant certification preferred</t>
        </is>
      </c>
      <c r="AV199" s="38" t="inlineStr">
        <is>
          <t>None · guides 1–3 juniors informally</t>
        </is>
      </c>
      <c r="AW199" s="38" t="inlineStr">
        <is>
          <t>P2 · SFIA 3 Apply</t>
        </is>
      </c>
      <c r="AX1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9" s="39" t="inlineStr">
        <is>
          <t>A3</t>
        </is>
      </c>
      <c r="AZ199" s="40" t="inlineStr">
        <is>
          <t>Band A · Practitioner · Senior Associate</t>
        </is>
      </c>
      <c r="BA199" s="40" t="inlineStr">
        <is>
          <t>Model A3 from the six ratings, the market-derived weights and rules R1–R13 · then No change · already below the manager</t>
        </is>
      </c>
      <c r="BB199" s="41" t="inlineStr">
        <is>
          <t>A3</t>
        </is>
      </c>
      <c r="BC199" s="40" t="inlineStr">
        <is>
          <t>The six ratings on the market-average weights of Band A · all tracks score 2.80 → A3 · Hay, Mercer IPE and public plans · experience 9.2 yrs vs the A3 market range 2–5</t>
        </is>
      </c>
      <c r="BD199" s="42">
        <f>IF(SUM(BM199,BN199,BO199,BP199,BQ199,BR199,BS199)=0,0,(BM199*BT199+BN199*BU199+BO199*BV199+BP199*BW199+BQ199*BX199+BR199*BY199+BS199*BZ199)/SUM(BM199,BN199,BO199,BP199,BQ199,BR199,BS199))</f>
        <v>0</v>
      </c>
      <c r="BE199" s="41" t="str">
        <f>IF(LEFT(AY199,1)="X",AY199,IF(OR(AY199="B+",AY199="C+"),INDEX(LAD_PC,MAX(1,MIN(14,MATCH(AY199,LAD_PC,0)+IF(BD199&gt;=0.5,1,IF(BD199&lt;=-0.5,-1,0))))),INDEX(LAD_STD,MAX(1,MIN(12,MATCH(AY199,LAD_STD,0)+IF(BD199&gt;=0.5,1,IF(BD199&lt;=-0.5,-1,0)))))))</f>
        <v>A3</v>
      </c>
      <c r="BF199" s="43" t="n"/>
      <c r="BG199" s="41" t="str">
        <f>IF(BF199&lt;&gt;"",BF199,BE199)</f>
        <v>A3</v>
      </c>
      <c r="BH199" s="40" t="str">
        <f>IFERROR(CHOOSE(INDEX(B_RANK,MATCH(BG199,B_LVL,0)),"Band A","Band B","B+ · Player-Coach","Band C","C+ · Player-Coach","Band D","Band E"),"Band X · Consultant")</f>
        <v>Band A</v>
      </c>
      <c r="BI199" s="40" t="str">
        <f>IF(BG199=AY199,"• Same",IF(INDEX(B_VAL,MATCH(BG199,B_LVL,0))&gt;INDEX(B_VAL,MATCH(AY199,B_LVL,0)),"▲ Up","▼ Down"))</f>
        <v>• Same</v>
      </c>
      <c r="BJ199" s="40" t="str">
        <f>IF(OR($M199="",$M199="—",$M199="Not in this file"),"",IFERROR(INDEX($BG$7:$BG$592,MATCH($M199,$D$7:$D$592,0)),""))</f>
        <v>B+</v>
      </c>
      <c r="BK199" s="40" t="str">
        <f>IFERROR(IF(BJ199="","—",IF(OR(LEFT(BG199,1)="X",LEFT(BJ199,1)="X"),"—",IF(AND(LEFT(BG199,1)="E",LEFT(BJ199,1)="E"),"Exception · Band E",IF(AND(INDEX(B_VAL,MATCH(BJ199,B_LVL,0))&gt;=7,INDEX(B_RANK,MATCH(BG199,B_LVL,0))&gt;=INDEX(B_RANK,MATCH(BJ199,B_LVL,0))),"⚠ Same band as a head manager",IF(INDEX(B_VAL,MATCH(BG199,B_LVL,0))&gt;=INDEX(B_VAL,MATCH(BJ199,B_LVL,0)),"⚠ At or above the manager's level","OK"))))),"—")</f>
        <v>OK</v>
      </c>
      <c r="BL199" s="43" t="n"/>
      <c r="BM199" s="44">
        <f>IFERROR(INDEX(LMH_PTS,MATCH(Y199,LMH_KEY,0)),0)</f>
        <v>9</v>
      </c>
      <c r="BN199" s="38">
        <f>IFERROR(INDEX(LMH_PTS,MATCH(Z199,LMH_KEY,0)),0)</f>
        <v>3</v>
      </c>
      <c r="BO199" s="38">
        <f>IFERROR(INDEX(LMH_PTS,MATCH(AA199,LMH_KEY,0)),0)</f>
        <v>1</v>
      </c>
      <c r="BP199" s="38">
        <f>IFERROR(INDEX(LMH_PTS,MATCH(AB199,LMH_KEY,0)),0)</f>
        <v>1</v>
      </c>
      <c r="BQ199" s="38">
        <f>IFERROR(INDEX(LMH_PTS,MATCH(AC199,LMH_KEY,0)),0)</f>
        <v>1</v>
      </c>
      <c r="BR199" s="38">
        <f>IFERROR(INDEX(LMH_PTS,MATCH(AD199,LMH_KEY,0)),0)</f>
        <v>1</v>
      </c>
      <c r="BS199" s="38">
        <f>IFERROR(INDEX(LMH_PTS,MATCH(AE199,LMH_KEY,0)),0)</f>
        <v>1</v>
      </c>
      <c r="BT199" s="38">
        <f>IFERROR(INDEX(LMH_STEP,MATCH(AF199,LMH_KEY,0)),0)</f>
        <v>0</v>
      </c>
      <c r="BU199" s="38">
        <f>IFERROR(INDEX(LMH_STEP,MATCH(AG199,LMH_KEY,0)),0)</f>
        <v>0</v>
      </c>
      <c r="BV199" s="38">
        <f>IFERROR(INDEX(LMH_STEP,MATCH(AH199,LMH_KEY,0)),0)</f>
        <v>0</v>
      </c>
      <c r="BW199" s="38">
        <f>IFERROR(INDEX(LMH_STEP,MATCH(AI199,LMH_KEY,0)),0)</f>
        <v>0</v>
      </c>
      <c r="BX199" s="38">
        <f>IFERROR(INDEX(LMH_STEP,MATCH(AJ199,LMH_KEY,0)),0)</f>
        <v>0</v>
      </c>
      <c r="BY199" s="38">
        <f>IFERROR(INDEX(LMH_STEP,MATCH(AK199,LMH_KEY,0)),0)</f>
        <v>0</v>
      </c>
      <c r="BZ199" s="38">
        <f>IFERROR(INDEX(LMH_STEP,MATCH(AL199,LMH_KEY,0)),0)</f>
        <v>0</v>
      </c>
      <c r="CA199" s="38" t="inlineStr">
        <is>
          <t>iDEAL|Technology|Senior Database Engineer|A3|A</t>
        </is>
      </c>
    </row>
    <row r="200" ht="110" customHeight="1">
      <c r="A200" s="28" t="inlineStr">
        <is>
          <t>iDEAL</t>
        </is>
      </c>
      <c r="B200" s="29" t="inlineStr">
        <is>
          <t>Technology</t>
        </is>
      </c>
      <c r="C200" s="29" t="n">
        <v>4</v>
      </c>
      <c r="D200" s="29" t="inlineStr">
        <is>
          <t>IRIS2530</t>
        </is>
      </c>
      <c r="E200" s="29" t="inlineStr">
        <is>
          <t>Jay Gudhka</t>
        </is>
      </c>
      <c r="F200" s="29" t="inlineStr">
        <is>
          <t>Senior Software Engineer</t>
        </is>
      </c>
      <c r="G200" s="29" t="inlineStr">
        <is>
          <t>Technical Specialist</t>
        </is>
      </c>
      <c r="H200" s="29" t="inlineStr">
        <is>
          <t>Engineering &amp; Development</t>
        </is>
      </c>
      <c r="I200" s="29" t="inlineStr">
        <is>
          <t>Full-Stack Development</t>
        </is>
      </c>
      <c r="J200" s="29" t="inlineStr">
        <is>
          <t>IC</t>
        </is>
      </c>
      <c r="K200" s="29" t="inlineStr">
        <is>
          <t>RC-085</t>
        </is>
      </c>
      <c r="L200" s="29" t="inlineStr">
        <is>
          <t>Jitendra Kumar</t>
        </is>
      </c>
      <c r="M200" s="29" t="inlineStr">
        <is>
          <t>IRIS0810</t>
        </is>
      </c>
      <c r="N200" s="29" t="n">
        <v>7.2</v>
      </c>
      <c r="O200" s="29" t="n">
        <v>0.4</v>
      </c>
      <c r="P200" s="29" t="inlineStr">
        <is>
          <t>B.E</t>
        </is>
      </c>
      <c r="Q200" s="29" t="inlineStr">
        <is>
          <t>L4 – Senior</t>
        </is>
      </c>
      <c r="R200" s="29" t="inlineStr">
        <is>
          <t>A3</t>
        </is>
      </c>
      <c r="S200" s="30" t="inlineStr">
        <is>
          <t>20 of 20</t>
        </is>
      </c>
      <c r="T200" s="31"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t>
        </is>
      </c>
      <c r="U200" s="31" t="inlineStr">
        <is>
          <t>Received · manager annual, quarterly, self · 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t>
        </is>
      </c>
      <c r="V200" s="31" t="inlineStr">
        <is>
          <t>Latest rating: 3 · Potential: Medium · 9-box: Emerging Talent · Readiness: Develop in role</t>
        </is>
      </c>
      <c r="W200" s="31" t="inlineStr">
        <is>
          <t>C M · Au M · Ac M · L M · BI M · Exp H · 7.2 yrs vs 2–4 yrs · Edu M · B.E</t>
        </is>
      </c>
      <c r="X200" s="33" t="inlineStr">
        <is>
          <t>Open ▸</t>
        </is>
      </c>
      <c r="Y200" s="34" t="str">
        <f>IFERROR(INDEX(DL_C,MATCH($CA200,DL_KEY,0)),"M")</f>
        <v>H</v>
      </c>
      <c r="Z200" s="35" t="str">
        <f>IFERROR(INDEX(DL_Au,MATCH($CA200,DL_KEY,0)),"M")</f>
        <v>M</v>
      </c>
      <c r="AA200" s="35" t="str">
        <f>IFERROR(INDEX(DL_Ac,MATCH($CA200,DL_KEY,0)),"M")</f>
        <v>L</v>
      </c>
      <c r="AB200" s="35" t="str">
        <f>IFERROR(INDEX(DL_L,MATCH($CA200,DL_KEY,0)),"M")</f>
        <v>L</v>
      </c>
      <c r="AC200" s="35" t="str">
        <f>IFERROR(INDEX(DL_BI,MATCH($CA200,DL_KEY,0)),"M")</f>
        <v>L</v>
      </c>
      <c r="AD200" s="35" t="str">
        <f>IFERROR(INDEX(DL_Exp,MATCH($CA200,DL_KEY,0)),"M")</f>
        <v>L</v>
      </c>
      <c r="AE200" s="35" t="str">
        <f>IFERROR(INDEX(DL_Edu,MATCH($CA200,DL_KEY,0)),"M")</f>
        <v>L</v>
      </c>
      <c r="AF200" s="34" t="inlineStr">
        <is>
          <t>M</t>
        </is>
      </c>
      <c r="AG200" s="35" t="inlineStr">
        <is>
          <t>M</t>
        </is>
      </c>
      <c r="AH200" s="35" t="inlineStr">
        <is>
          <t>M</t>
        </is>
      </c>
      <c r="AI200" s="35" t="inlineStr">
        <is>
          <t>M</t>
        </is>
      </c>
      <c r="AJ200" s="35" t="inlineStr">
        <is>
          <t>M</t>
        </is>
      </c>
      <c r="AK200" s="35" t="inlineStr">
        <is>
          <t>M</t>
        </is>
      </c>
      <c r="AL200" s="35" t="inlineStr">
        <is>
          <t>M</t>
        </is>
      </c>
      <c r="AM200" s="36" t="n">
        <v>0.583</v>
      </c>
      <c r="AN200" s="37" t="n">
        <v>0.16</v>
      </c>
      <c r="AO200" s="37" t="n">
        <v>0.09</v>
      </c>
      <c r="AP200" s="37" t="n">
        <v>0</v>
      </c>
      <c r="AQ200" s="37" t="n">
        <v>0.063</v>
      </c>
      <c r="AR200" s="37" t="n">
        <v>0.06</v>
      </c>
      <c r="AS200" s="37" t="n">
        <v>0.04</v>
      </c>
      <c r="AT200" s="38" t="inlineStr">
        <is>
          <t>2–5</t>
        </is>
      </c>
      <c r="AU200" s="38" t="inlineStr">
        <is>
          <t>Graduate; relevant certification preferred</t>
        </is>
      </c>
      <c r="AV200" s="38" t="inlineStr">
        <is>
          <t>None · guides 1–3 juniors informally</t>
        </is>
      </c>
      <c r="AW200" s="38" t="inlineStr">
        <is>
          <t>P2 · SFIA 3 Apply</t>
        </is>
      </c>
      <c r="AX2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0" s="39" t="inlineStr">
        <is>
          <t>A3</t>
        </is>
      </c>
      <c r="AZ200" s="40" t="inlineStr">
        <is>
          <t>Band A · Practitioner · Senior Associate</t>
        </is>
      </c>
      <c r="BA200" s="40" t="inlineStr">
        <is>
          <t>Model A3 from the six ratings, the market-derived weights and rules R1–R13 · then No change · already below the manager</t>
        </is>
      </c>
      <c r="BB200" s="41" t="inlineStr">
        <is>
          <t>A3</t>
        </is>
      </c>
      <c r="BC200" s="40" t="inlineStr">
        <is>
          <t>The six ratings on the market-average weights of Band A · all tracks score 3.49 → A3 · Hay, Mercer IPE and public plans · experience 7.2 yrs vs the A3 market range 2–5</t>
        </is>
      </c>
      <c r="BD200" s="42">
        <f>IF(SUM(BM200,BN200,BO200,BP200,BQ200,BR200,BS200)=0,0,(BM200*BT200+BN200*BU200+BO200*BV200+BP200*BW200+BQ200*BX200+BR200*BY200+BS200*BZ200)/SUM(BM200,BN200,BO200,BP200,BQ200,BR200,BS200))</f>
        <v>0</v>
      </c>
      <c r="BE200" s="41" t="str">
        <f>IF(LEFT(AY200,1)="X",AY200,IF(OR(AY200="B+",AY200="C+"),INDEX(LAD_PC,MAX(1,MIN(14,MATCH(AY200,LAD_PC,0)+IF(BD200&gt;=0.5,1,IF(BD200&lt;=-0.5,-1,0))))),INDEX(LAD_STD,MAX(1,MIN(12,MATCH(AY200,LAD_STD,0)+IF(BD200&gt;=0.5,1,IF(BD200&lt;=-0.5,-1,0)))))))</f>
        <v>A3</v>
      </c>
      <c r="BF200" s="43" t="n"/>
      <c r="BG200" s="41" t="str">
        <f>IF(BF200&lt;&gt;"",BF200,BE200)</f>
        <v>A3</v>
      </c>
      <c r="BH200" s="40" t="str">
        <f>IFERROR(CHOOSE(INDEX(B_RANK,MATCH(BG200,B_LVL,0)),"Band A","Band B","B+ · Player-Coach","Band C","C+ · Player-Coach","Band D","Band E"),"Band X · Consultant")</f>
        <v>Band A</v>
      </c>
      <c r="BI200" s="40" t="str">
        <f>IF(BG200=AY200,"• Same",IF(INDEX(B_VAL,MATCH(BG200,B_LVL,0))&gt;INDEX(B_VAL,MATCH(AY200,B_LVL,0)),"▲ Up","▼ Down"))</f>
        <v>• Same</v>
      </c>
      <c r="BJ200" s="40" t="str">
        <f>IF(OR($M200="",$M200="—",$M200="Not in this file"),"",IFERROR(INDEX($BG$7:$BG$592,MATCH($M200,$D$7:$D$592,0)),""))</f>
        <v>B+</v>
      </c>
      <c r="BK200" s="40" t="str">
        <f>IFERROR(IF(BJ200="","—",IF(OR(LEFT(BG200,1)="X",LEFT(BJ200,1)="X"),"—",IF(AND(LEFT(BG200,1)="E",LEFT(BJ200,1)="E"),"Exception · Band E",IF(AND(INDEX(B_VAL,MATCH(BJ200,B_LVL,0))&gt;=7,INDEX(B_RANK,MATCH(BG200,B_LVL,0))&gt;=INDEX(B_RANK,MATCH(BJ200,B_LVL,0))),"⚠ Same band as a head manager",IF(INDEX(B_VAL,MATCH(BG200,B_LVL,0))&gt;=INDEX(B_VAL,MATCH(BJ200,B_LVL,0)),"⚠ At or above the manager's level","OK"))))),"—")</f>
        <v>OK</v>
      </c>
      <c r="BL200" s="43" t="n"/>
      <c r="BM200" s="44">
        <f>IFERROR(INDEX(LMH_PTS,MATCH(Y200,LMH_KEY,0)),0)</f>
        <v>9</v>
      </c>
      <c r="BN200" s="38">
        <f>IFERROR(INDEX(LMH_PTS,MATCH(Z200,LMH_KEY,0)),0)</f>
        <v>3</v>
      </c>
      <c r="BO200" s="38">
        <f>IFERROR(INDEX(LMH_PTS,MATCH(AA200,LMH_KEY,0)),0)</f>
        <v>1</v>
      </c>
      <c r="BP200" s="38">
        <f>IFERROR(INDEX(LMH_PTS,MATCH(AB200,LMH_KEY,0)),0)</f>
        <v>1</v>
      </c>
      <c r="BQ200" s="38">
        <f>IFERROR(INDEX(LMH_PTS,MATCH(AC200,LMH_KEY,0)),0)</f>
        <v>1</v>
      </c>
      <c r="BR200" s="38">
        <f>IFERROR(INDEX(LMH_PTS,MATCH(AD200,LMH_KEY,0)),0)</f>
        <v>1</v>
      </c>
      <c r="BS200" s="38">
        <f>IFERROR(INDEX(LMH_PTS,MATCH(AE200,LMH_KEY,0)),0)</f>
        <v>1</v>
      </c>
      <c r="BT200" s="38">
        <f>IFERROR(INDEX(LMH_STEP,MATCH(AF200,LMH_KEY,0)),0)</f>
        <v>0</v>
      </c>
      <c r="BU200" s="38">
        <f>IFERROR(INDEX(LMH_STEP,MATCH(AG200,LMH_KEY,0)),0)</f>
        <v>0</v>
      </c>
      <c r="BV200" s="38">
        <f>IFERROR(INDEX(LMH_STEP,MATCH(AH200,LMH_KEY,0)),0)</f>
        <v>0</v>
      </c>
      <c r="BW200" s="38">
        <f>IFERROR(INDEX(LMH_STEP,MATCH(AI200,LMH_KEY,0)),0)</f>
        <v>0</v>
      </c>
      <c r="BX200" s="38">
        <f>IFERROR(INDEX(LMH_STEP,MATCH(AJ200,LMH_KEY,0)),0)</f>
        <v>0</v>
      </c>
      <c r="BY200" s="38">
        <f>IFERROR(INDEX(LMH_STEP,MATCH(AK200,LMH_KEY,0)),0)</f>
        <v>0</v>
      </c>
      <c r="BZ200" s="38">
        <f>IFERROR(INDEX(LMH_STEP,MATCH(AL200,LMH_KEY,0)),0)</f>
        <v>0</v>
      </c>
      <c r="CA200" s="38" t="inlineStr">
        <is>
          <t>iDEAL|Technology|Technical Specialist|A3|A</t>
        </is>
      </c>
    </row>
    <row r="201" ht="110" customHeight="1">
      <c r="A201" s="28" t="inlineStr">
        <is>
          <t>iDEAL</t>
        </is>
      </c>
      <c r="B201" s="29" t="inlineStr">
        <is>
          <t>Technology</t>
        </is>
      </c>
      <c r="C201" s="29" t="n">
        <v>4</v>
      </c>
      <c r="D201" s="29" t="inlineStr">
        <is>
          <t>IRIS2260</t>
        </is>
      </c>
      <c r="E201" s="29" t="inlineStr">
        <is>
          <t>Pratik Ekhande</t>
        </is>
      </c>
      <c r="F201" s="29" t="inlineStr">
        <is>
          <t>Software Engineer</t>
        </is>
      </c>
      <c r="G201" s="29" t="inlineStr">
        <is>
          <t>Senior Software Engineer</t>
        </is>
      </c>
      <c r="H201" s="29" t="inlineStr">
        <is>
          <t>Engineering &amp; Development</t>
        </is>
      </c>
      <c r="I201" s="29" t="inlineStr">
        <is>
          <t>Backend Development</t>
        </is>
      </c>
      <c r="J201" s="29" t="inlineStr">
        <is>
          <t>IC</t>
        </is>
      </c>
      <c r="K201" s="29" t="inlineStr">
        <is>
          <t>RC-067</t>
        </is>
      </c>
      <c r="L201" s="29" t="inlineStr">
        <is>
          <t>Jitendra Kumar</t>
        </is>
      </c>
      <c r="M201" s="29" t="inlineStr">
        <is>
          <t>IRIS0810</t>
        </is>
      </c>
      <c r="N201" s="29" t="n">
        <v>2.3</v>
      </c>
      <c r="O201" s="29" t="n">
        <v>2.3</v>
      </c>
      <c r="P201" s="29" t="inlineStr">
        <is>
          <t>B.E</t>
        </is>
      </c>
      <c r="Q201" s="29" t="inlineStr">
        <is>
          <t>L3 – Professional / Associate</t>
        </is>
      </c>
      <c r="R201" s="29" t="inlineStr">
        <is>
          <t>A3</t>
        </is>
      </c>
      <c r="S201" s="30" t="inlineStr">
        <is>
          <t>20 of 20</t>
        </is>
      </c>
      <c r="T201" s="31"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t>
        </is>
      </c>
      <c r="U201"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1" s="31" t="inlineStr">
        <is>
          <t>Latest rating: 4 · Potential: High · 9-box: Emerging Talent · Readiness: Ready now</t>
        </is>
      </c>
      <c r="W201" s="31" t="inlineStr">
        <is>
          <t>C L · Au L · Ac M · L L · BI M · Exp M · 2.3 yrs vs 2–4 yrs · Edu M · B.E</t>
        </is>
      </c>
      <c r="X201" s="33" t="inlineStr">
        <is>
          <t>Open ▸</t>
        </is>
      </c>
      <c r="Y201" s="34" t="str">
        <f>IFERROR(INDEX(DL_C,MATCH($CA201,DL_KEY,0)),"M")</f>
        <v>H</v>
      </c>
      <c r="Z201" s="35" t="str">
        <f>IFERROR(INDEX(DL_Au,MATCH($CA201,DL_KEY,0)),"M")</f>
        <v>M</v>
      </c>
      <c r="AA201" s="35" t="str">
        <f>IFERROR(INDEX(DL_Ac,MATCH($CA201,DL_KEY,0)),"M")</f>
        <v>L</v>
      </c>
      <c r="AB201" s="35" t="str">
        <f>IFERROR(INDEX(DL_L,MATCH($CA201,DL_KEY,0)),"M")</f>
        <v>L</v>
      </c>
      <c r="AC201" s="35" t="str">
        <f>IFERROR(INDEX(DL_BI,MATCH($CA201,DL_KEY,0)),"M")</f>
        <v>L</v>
      </c>
      <c r="AD201" s="35" t="str">
        <f>IFERROR(INDEX(DL_Exp,MATCH($CA201,DL_KEY,0)),"M")</f>
        <v>L</v>
      </c>
      <c r="AE201" s="35" t="str">
        <f>IFERROR(INDEX(DL_Edu,MATCH($CA201,DL_KEY,0)),"M")</f>
        <v>L</v>
      </c>
      <c r="AF201" s="34" t="inlineStr">
        <is>
          <t>M</t>
        </is>
      </c>
      <c r="AG201" s="35" t="inlineStr">
        <is>
          <t>M</t>
        </is>
      </c>
      <c r="AH201" s="35" t="inlineStr">
        <is>
          <t>M</t>
        </is>
      </c>
      <c r="AI201" s="35" t="inlineStr">
        <is>
          <t>M</t>
        </is>
      </c>
      <c r="AJ201" s="35" t="inlineStr">
        <is>
          <t>M</t>
        </is>
      </c>
      <c r="AK201" s="35" t="inlineStr">
        <is>
          <t>M</t>
        </is>
      </c>
      <c r="AL201" s="35" t="inlineStr">
        <is>
          <t>M</t>
        </is>
      </c>
      <c r="AM201" s="36" t="n">
        <v>0.583</v>
      </c>
      <c r="AN201" s="37" t="n">
        <v>0.16</v>
      </c>
      <c r="AO201" s="37" t="n">
        <v>0.09</v>
      </c>
      <c r="AP201" s="37" t="n">
        <v>0</v>
      </c>
      <c r="AQ201" s="37" t="n">
        <v>0.063</v>
      </c>
      <c r="AR201" s="37" t="n">
        <v>0.06</v>
      </c>
      <c r="AS201" s="37" t="n">
        <v>0.04</v>
      </c>
      <c r="AT201" s="38" t="inlineStr">
        <is>
          <t>2–5</t>
        </is>
      </c>
      <c r="AU201" s="38" t="inlineStr">
        <is>
          <t>Graduate; relevant certification preferred</t>
        </is>
      </c>
      <c r="AV201" s="38" t="inlineStr">
        <is>
          <t>None · guides 1–3 juniors informally</t>
        </is>
      </c>
      <c r="AW201" s="38" t="inlineStr">
        <is>
          <t>P2 · SFIA 3 Apply</t>
        </is>
      </c>
      <c r="AX2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1" s="39" t="inlineStr">
        <is>
          <t>A3</t>
        </is>
      </c>
      <c r="AZ201" s="40" t="inlineStr">
        <is>
          <t>Band A · Practitioner · Senior Associate</t>
        </is>
      </c>
      <c r="BA201" s="40" t="inlineStr">
        <is>
          <t>Model A3 from the six ratings, the market-derived weights and rules R1–R13 · then No change · already below the manager</t>
        </is>
      </c>
      <c r="BB201" s="41" t="inlineStr">
        <is>
          <t>A2</t>
        </is>
      </c>
      <c r="BC201" s="40" t="inlineStr">
        <is>
          <t>The six ratings on the market-average weights of Band A · all tracks score 2.16 → A2 · Hay, Mercer IPE and public plans · experience 2.3 yrs vs the A2 market range 0–3</t>
        </is>
      </c>
      <c r="BD201" s="42">
        <f>IF(SUM(BM201,BN201,BO201,BP201,BQ201,BR201,BS201)=0,0,(BM201*BT201+BN201*BU201+BO201*BV201+BP201*BW201+BQ201*BX201+BR201*BY201+BS201*BZ201)/SUM(BM201,BN201,BO201,BP201,BQ201,BR201,BS201))</f>
        <v>0</v>
      </c>
      <c r="BE201" s="41" t="str">
        <f>IF(LEFT(AY201,1)="X",AY201,IF(OR(AY201="B+",AY201="C+"),INDEX(LAD_PC,MAX(1,MIN(14,MATCH(AY201,LAD_PC,0)+IF(BD201&gt;=0.5,1,IF(BD201&lt;=-0.5,-1,0))))),INDEX(LAD_STD,MAX(1,MIN(12,MATCH(AY201,LAD_STD,0)+IF(BD201&gt;=0.5,1,IF(BD201&lt;=-0.5,-1,0)))))))</f>
        <v>A3</v>
      </c>
      <c r="BF201" s="43" t="n"/>
      <c r="BG201" s="41" t="str">
        <f>IF(BF201&lt;&gt;"",BF201,BE201)</f>
        <v>A3</v>
      </c>
      <c r="BH201" s="40" t="str">
        <f>IFERROR(CHOOSE(INDEX(B_RANK,MATCH(BG201,B_LVL,0)),"Band A","Band B","B+ · Player-Coach","Band C","C+ · Player-Coach","Band D","Band E"),"Band X · Consultant")</f>
        <v>Band A</v>
      </c>
      <c r="BI201" s="40" t="str">
        <f>IF(BG201=AY201,"• Same",IF(INDEX(B_VAL,MATCH(BG201,B_LVL,0))&gt;INDEX(B_VAL,MATCH(AY201,B_LVL,0)),"▲ Up","▼ Down"))</f>
        <v>• Same</v>
      </c>
      <c r="BJ201" s="40" t="str">
        <f>IF(OR($M201="",$M201="—",$M201="Not in this file"),"",IFERROR(INDEX($BG$7:$BG$592,MATCH($M201,$D$7:$D$592,0)),""))</f>
        <v>B+</v>
      </c>
      <c r="BK201" s="40" t="str">
        <f>IFERROR(IF(BJ201="","—",IF(OR(LEFT(BG201,1)="X",LEFT(BJ201,1)="X"),"—",IF(AND(LEFT(BG201,1)="E",LEFT(BJ201,1)="E"),"Exception · Band E",IF(AND(INDEX(B_VAL,MATCH(BJ201,B_LVL,0))&gt;=7,INDEX(B_RANK,MATCH(BG201,B_LVL,0))&gt;=INDEX(B_RANK,MATCH(BJ201,B_LVL,0))),"⚠ Same band as a head manager",IF(INDEX(B_VAL,MATCH(BG201,B_LVL,0))&gt;=INDEX(B_VAL,MATCH(BJ201,B_LVL,0)),"⚠ At or above the manager's level","OK"))))),"—")</f>
        <v>OK</v>
      </c>
      <c r="BL201" s="43" t="n"/>
      <c r="BM201" s="44">
        <f>IFERROR(INDEX(LMH_PTS,MATCH(Y201,LMH_KEY,0)),0)</f>
        <v>9</v>
      </c>
      <c r="BN201" s="38">
        <f>IFERROR(INDEX(LMH_PTS,MATCH(Z201,LMH_KEY,0)),0)</f>
        <v>3</v>
      </c>
      <c r="BO201" s="38">
        <f>IFERROR(INDEX(LMH_PTS,MATCH(AA201,LMH_KEY,0)),0)</f>
        <v>1</v>
      </c>
      <c r="BP201" s="38">
        <f>IFERROR(INDEX(LMH_PTS,MATCH(AB201,LMH_KEY,0)),0)</f>
        <v>1</v>
      </c>
      <c r="BQ201" s="38">
        <f>IFERROR(INDEX(LMH_PTS,MATCH(AC201,LMH_KEY,0)),0)</f>
        <v>1</v>
      </c>
      <c r="BR201" s="38">
        <f>IFERROR(INDEX(LMH_PTS,MATCH(AD201,LMH_KEY,0)),0)</f>
        <v>1</v>
      </c>
      <c r="BS201" s="38">
        <f>IFERROR(INDEX(LMH_PTS,MATCH(AE201,LMH_KEY,0)),0)</f>
        <v>1</v>
      </c>
      <c r="BT201" s="38">
        <f>IFERROR(INDEX(LMH_STEP,MATCH(AF201,LMH_KEY,0)),0)</f>
        <v>0</v>
      </c>
      <c r="BU201" s="38">
        <f>IFERROR(INDEX(LMH_STEP,MATCH(AG201,LMH_KEY,0)),0)</f>
        <v>0</v>
      </c>
      <c r="BV201" s="38">
        <f>IFERROR(INDEX(LMH_STEP,MATCH(AH201,LMH_KEY,0)),0)</f>
        <v>0</v>
      </c>
      <c r="BW201" s="38">
        <f>IFERROR(INDEX(LMH_STEP,MATCH(AI201,LMH_KEY,0)),0)</f>
        <v>0</v>
      </c>
      <c r="BX201" s="38">
        <f>IFERROR(INDEX(LMH_STEP,MATCH(AJ201,LMH_KEY,0)),0)</f>
        <v>0</v>
      </c>
      <c r="BY201" s="38">
        <f>IFERROR(INDEX(LMH_STEP,MATCH(AK201,LMH_KEY,0)),0)</f>
        <v>0</v>
      </c>
      <c r="BZ201" s="38">
        <f>IFERROR(INDEX(LMH_STEP,MATCH(AL201,LMH_KEY,0)),0)</f>
        <v>0</v>
      </c>
      <c r="CA201" s="38" t="inlineStr">
        <is>
          <t>iDEAL|Technology|Senior Software Engineer|A3|A</t>
        </is>
      </c>
    </row>
    <row r="202" ht="110" customHeight="1">
      <c r="A202" s="28" t="inlineStr">
        <is>
          <t>iDEAL</t>
        </is>
      </c>
      <c r="B202" s="29" t="inlineStr">
        <is>
          <t>Technology</t>
        </is>
      </c>
      <c r="C202" s="29" t="n">
        <v>4</v>
      </c>
      <c r="D202" s="29" t="inlineStr">
        <is>
          <t>IRIS2038</t>
        </is>
      </c>
      <c r="E202" s="29" t="inlineStr">
        <is>
          <t>Swapnil Shirke</t>
        </is>
      </c>
      <c r="F202" s="29" t="inlineStr">
        <is>
          <t>Software Engineer</t>
        </is>
      </c>
      <c r="G202" s="29" t="inlineStr">
        <is>
          <t>Senior Software Engineer</t>
        </is>
      </c>
      <c r="H202" s="29" t="inlineStr">
        <is>
          <t>Engineering &amp; Development</t>
        </is>
      </c>
      <c r="I202" s="29" t="inlineStr">
        <is>
          <t>Backend Development</t>
        </is>
      </c>
      <c r="J202" s="29" t="inlineStr">
        <is>
          <t>IC</t>
        </is>
      </c>
      <c r="K202" s="29" t="inlineStr">
        <is>
          <t>RC-067</t>
        </is>
      </c>
      <c r="L202" s="29" t="inlineStr">
        <is>
          <t>Jitendra Kumar</t>
        </is>
      </c>
      <c r="M202" s="29" t="inlineStr">
        <is>
          <t>IRIS0810</t>
        </is>
      </c>
      <c r="N202" s="29" t="n">
        <v>4.2</v>
      </c>
      <c r="O202" s="29" t="n">
        <v>4.2</v>
      </c>
      <c r="P202" s="29" t="inlineStr">
        <is>
          <t>B.E</t>
        </is>
      </c>
      <c r="Q202" s="29" t="inlineStr">
        <is>
          <t>L3 – Professional / Associate</t>
        </is>
      </c>
      <c r="R202" s="29" t="inlineStr">
        <is>
          <t>A3</t>
        </is>
      </c>
      <c r="S202" s="30" t="inlineStr">
        <is>
          <t>20 of 20</t>
        </is>
      </c>
      <c r="T202" s="31" t="inlineStr">
        <is>
          <t>Business Impact: Moved +0.5: the survey / manager mapping marks it business-critical.</t>
        </is>
      </c>
      <c r="U202" s="31" t="inlineStr">
        <is>
          <t>Received · manager annual, quarterly, self · 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t>
        </is>
      </c>
      <c r="V202" s="31" t="inlineStr">
        <is>
          <t>Latest rating: 5 · Potential: High · 9-box: High Impact / Growth Talent · Readiness: Ready now</t>
        </is>
      </c>
      <c r="W202" s="31" t="inlineStr">
        <is>
          <t>C M · Au M · Ac H · L H · BI H · Exp H · 4.2 yrs vs 2–4 yrs · Edu M · B.E</t>
        </is>
      </c>
      <c r="X202" s="33" t="inlineStr">
        <is>
          <t>Open ▸</t>
        </is>
      </c>
      <c r="Y202" s="34" t="str">
        <f>IFERROR(INDEX(DL_C,MATCH($CA202,DL_KEY,0)),"M")</f>
        <v>H</v>
      </c>
      <c r="Z202" s="35" t="str">
        <f>IFERROR(INDEX(DL_Au,MATCH($CA202,DL_KEY,0)),"M")</f>
        <v>M</v>
      </c>
      <c r="AA202" s="35" t="str">
        <f>IFERROR(INDEX(DL_Ac,MATCH($CA202,DL_KEY,0)),"M")</f>
        <v>L</v>
      </c>
      <c r="AB202" s="35" t="str">
        <f>IFERROR(INDEX(DL_L,MATCH($CA202,DL_KEY,0)),"M")</f>
        <v>L</v>
      </c>
      <c r="AC202" s="35" t="str">
        <f>IFERROR(INDEX(DL_BI,MATCH($CA202,DL_KEY,0)),"M")</f>
        <v>L</v>
      </c>
      <c r="AD202" s="35" t="str">
        <f>IFERROR(INDEX(DL_Exp,MATCH($CA202,DL_KEY,0)),"M")</f>
        <v>L</v>
      </c>
      <c r="AE202" s="35" t="str">
        <f>IFERROR(INDEX(DL_Edu,MATCH($CA202,DL_KEY,0)),"M")</f>
        <v>L</v>
      </c>
      <c r="AF202" s="34" t="inlineStr">
        <is>
          <t>M</t>
        </is>
      </c>
      <c r="AG202" s="35" t="inlineStr">
        <is>
          <t>M</t>
        </is>
      </c>
      <c r="AH202" s="35" t="inlineStr">
        <is>
          <t>M</t>
        </is>
      </c>
      <c r="AI202" s="35" t="inlineStr">
        <is>
          <t>M</t>
        </is>
      </c>
      <c r="AJ202" s="35" t="inlineStr">
        <is>
          <t>M</t>
        </is>
      </c>
      <c r="AK202" s="35" t="inlineStr">
        <is>
          <t>M</t>
        </is>
      </c>
      <c r="AL202" s="35" t="inlineStr">
        <is>
          <t>M</t>
        </is>
      </c>
      <c r="AM202" s="36" t="n">
        <v>0.583</v>
      </c>
      <c r="AN202" s="37" t="n">
        <v>0.16</v>
      </c>
      <c r="AO202" s="37" t="n">
        <v>0.09</v>
      </c>
      <c r="AP202" s="37" t="n">
        <v>0</v>
      </c>
      <c r="AQ202" s="37" t="n">
        <v>0.063</v>
      </c>
      <c r="AR202" s="37" t="n">
        <v>0.06</v>
      </c>
      <c r="AS202" s="37" t="n">
        <v>0.04</v>
      </c>
      <c r="AT202" s="38" t="inlineStr">
        <is>
          <t>2–5</t>
        </is>
      </c>
      <c r="AU202" s="38" t="inlineStr">
        <is>
          <t>Graduate; relevant certification preferred</t>
        </is>
      </c>
      <c r="AV202" s="38" t="inlineStr">
        <is>
          <t>None · guides 1–3 juniors informally</t>
        </is>
      </c>
      <c r="AW202" s="38" t="inlineStr">
        <is>
          <t>P2 · SFIA 3 Apply</t>
        </is>
      </c>
      <c r="AX2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2" s="39" t="inlineStr">
        <is>
          <t>A3</t>
        </is>
      </c>
      <c r="AZ202" s="40" t="inlineStr">
        <is>
          <t>Band A · Practitioner · Senior Associate</t>
        </is>
      </c>
      <c r="BA202" s="40" t="inlineStr">
        <is>
          <t>Model A3 from the six ratings, the market-derived weights and rules R1–R13 · then No change · already below the manager</t>
        </is>
      </c>
      <c r="BB202" s="41" t="inlineStr">
        <is>
          <t>A3</t>
        </is>
      </c>
      <c r="BC202" s="40" t="inlineStr">
        <is>
          <t>The six ratings on the market-average weights of Band A · all tracks score 3.02 → A3 · Hay, Mercer IPE and public plans · experience 4.2 yrs vs the A3 market range 2–5</t>
        </is>
      </c>
      <c r="BD202" s="42">
        <f>IF(SUM(BM202,BN202,BO202,BP202,BQ202,BR202,BS202)=0,0,(BM202*BT202+BN202*BU202+BO202*BV202+BP202*BW202+BQ202*BX202+BR202*BY202+BS202*BZ202)/SUM(BM202,BN202,BO202,BP202,BQ202,BR202,BS202))</f>
        <v>0</v>
      </c>
      <c r="BE202" s="41" t="str">
        <f>IF(LEFT(AY202,1)="X",AY202,IF(OR(AY202="B+",AY202="C+"),INDEX(LAD_PC,MAX(1,MIN(14,MATCH(AY202,LAD_PC,0)+IF(BD202&gt;=0.5,1,IF(BD202&lt;=-0.5,-1,0))))),INDEX(LAD_STD,MAX(1,MIN(12,MATCH(AY202,LAD_STD,0)+IF(BD202&gt;=0.5,1,IF(BD202&lt;=-0.5,-1,0)))))))</f>
        <v>A3</v>
      </c>
      <c r="BF202" s="43" t="n"/>
      <c r="BG202" s="41" t="str">
        <f>IF(BF202&lt;&gt;"",BF202,BE202)</f>
        <v>A3</v>
      </c>
      <c r="BH202" s="40" t="str">
        <f>IFERROR(CHOOSE(INDEX(B_RANK,MATCH(BG202,B_LVL,0)),"Band A","Band B","B+ · Player-Coach","Band C","C+ · Player-Coach","Band D","Band E"),"Band X · Consultant")</f>
        <v>Band A</v>
      </c>
      <c r="BI202" s="40" t="str">
        <f>IF(BG202=AY202,"• Same",IF(INDEX(B_VAL,MATCH(BG202,B_LVL,0))&gt;INDEX(B_VAL,MATCH(AY202,B_LVL,0)),"▲ Up","▼ Down"))</f>
        <v>• Same</v>
      </c>
      <c r="BJ202" s="40" t="str">
        <f>IF(OR($M202="",$M202="—",$M202="Not in this file"),"",IFERROR(INDEX($BG$7:$BG$592,MATCH($M202,$D$7:$D$592,0)),""))</f>
        <v>B+</v>
      </c>
      <c r="BK202" s="40" t="str">
        <f>IFERROR(IF(BJ202="","—",IF(OR(LEFT(BG202,1)="X",LEFT(BJ202,1)="X"),"—",IF(AND(LEFT(BG202,1)="E",LEFT(BJ202,1)="E"),"Exception · Band E",IF(AND(INDEX(B_VAL,MATCH(BJ202,B_LVL,0))&gt;=7,INDEX(B_RANK,MATCH(BG202,B_LVL,0))&gt;=INDEX(B_RANK,MATCH(BJ202,B_LVL,0))),"⚠ Same band as a head manager",IF(INDEX(B_VAL,MATCH(BG202,B_LVL,0))&gt;=INDEX(B_VAL,MATCH(BJ202,B_LVL,0)),"⚠ At or above the manager's level","OK"))))),"—")</f>
        <v>OK</v>
      </c>
      <c r="BL202" s="43" t="n"/>
      <c r="BM202" s="44">
        <f>IFERROR(INDEX(LMH_PTS,MATCH(Y202,LMH_KEY,0)),0)</f>
        <v>9</v>
      </c>
      <c r="BN202" s="38">
        <f>IFERROR(INDEX(LMH_PTS,MATCH(Z202,LMH_KEY,0)),0)</f>
        <v>3</v>
      </c>
      <c r="BO202" s="38">
        <f>IFERROR(INDEX(LMH_PTS,MATCH(AA202,LMH_KEY,0)),0)</f>
        <v>1</v>
      </c>
      <c r="BP202" s="38">
        <f>IFERROR(INDEX(LMH_PTS,MATCH(AB202,LMH_KEY,0)),0)</f>
        <v>1</v>
      </c>
      <c r="BQ202" s="38">
        <f>IFERROR(INDEX(LMH_PTS,MATCH(AC202,LMH_KEY,0)),0)</f>
        <v>1</v>
      </c>
      <c r="BR202" s="38">
        <f>IFERROR(INDEX(LMH_PTS,MATCH(AD202,LMH_KEY,0)),0)</f>
        <v>1</v>
      </c>
      <c r="BS202" s="38">
        <f>IFERROR(INDEX(LMH_PTS,MATCH(AE202,LMH_KEY,0)),0)</f>
        <v>1</v>
      </c>
      <c r="BT202" s="38">
        <f>IFERROR(INDEX(LMH_STEP,MATCH(AF202,LMH_KEY,0)),0)</f>
        <v>0</v>
      </c>
      <c r="BU202" s="38">
        <f>IFERROR(INDEX(LMH_STEP,MATCH(AG202,LMH_KEY,0)),0)</f>
        <v>0</v>
      </c>
      <c r="BV202" s="38">
        <f>IFERROR(INDEX(LMH_STEP,MATCH(AH202,LMH_KEY,0)),0)</f>
        <v>0</v>
      </c>
      <c r="BW202" s="38">
        <f>IFERROR(INDEX(LMH_STEP,MATCH(AI202,LMH_KEY,0)),0)</f>
        <v>0</v>
      </c>
      <c r="BX202" s="38">
        <f>IFERROR(INDEX(LMH_STEP,MATCH(AJ202,LMH_KEY,0)),0)</f>
        <v>0</v>
      </c>
      <c r="BY202" s="38">
        <f>IFERROR(INDEX(LMH_STEP,MATCH(AK202,LMH_KEY,0)),0)</f>
        <v>0</v>
      </c>
      <c r="BZ202" s="38">
        <f>IFERROR(INDEX(LMH_STEP,MATCH(AL202,LMH_KEY,0)),0)</f>
        <v>0</v>
      </c>
      <c r="CA202" s="38" t="inlineStr">
        <is>
          <t>iDEAL|Technology|Senior Software Engineer|A3|A</t>
        </is>
      </c>
    </row>
    <row r="203" ht="110" customHeight="1">
      <c r="A203" s="28" t="inlineStr">
        <is>
          <t>iDEAL</t>
        </is>
      </c>
      <c r="B203" s="29" t="inlineStr">
        <is>
          <t>Technology</t>
        </is>
      </c>
      <c r="C203" s="29" t="n">
        <v>5</v>
      </c>
      <c r="D203" s="29" t="inlineStr">
        <is>
          <t>IRIS2426</t>
        </is>
      </c>
      <c r="E203" s="29" t="inlineStr">
        <is>
          <t>Abhay Pandey</t>
        </is>
      </c>
      <c r="F203" s="29" t="inlineStr">
        <is>
          <t>Trainee Software Engineer</t>
        </is>
      </c>
      <c r="G203" s="29" t="inlineStr">
        <is>
          <t>Software Engineer</t>
        </is>
      </c>
      <c r="H203" s="29" t="inlineStr">
        <is>
          <t>Engineering &amp; Development</t>
        </is>
      </c>
      <c r="I203" s="29" t="inlineStr">
        <is>
          <t>Backend Development</t>
        </is>
      </c>
      <c r="J203" s="29" t="inlineStr">
        <is>
          <t>IC</t>
        </is>
      </c>
      <c r="K203" s="29" t="inlineStr">
        <is>
          <t>RC-066</t>
        </is>
      </c>
      <c r="L203" s="29" t="inlineStr">
        <is>
          <t>Swapnil Shirke</t>
        </is>
      </c>
      <c r="M203" s="29" t="inlineStr">
        <is>
          <t>IRIS2038</t>
        </is>
      </c>
      <c r="N203" s="29" t="n">
        <v>1.1</v>
      </c>
      <c r="O203" s="29" t="n">
        <v>1.1</v>
      </c>
      <c r="P203" s="29" t="inlineStr">
        <is>
          <t>B.E</t>
        </is>
      </c>
      <c r="Q203" s="29" t="inlineStr">
        <is>
          <t>L2 – Trainee</t>
        </is>
      </c>
      <c r="R203" s="29" t="inlineStr">
        <is>
          <t>A2</t>
        </is>
      </c>
      <c r="S203" s="30" t="inlineStr">
        <is>
          <t>20 of 20</t>
        </is>
      </c>
      <c r="T203" s="31" t="inlineStr">
        <is>
          <t>Business Impact: No survey or manager-mapping signal on criticality: kept at the start point.</t>
        </is>
      </c>
      <c r="U203" s="31" t="inlineStr">
        <is>
          <t>Received · manager annual, quarterly, self · 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t>
        </is>
      </c>
      <c r="V203" s="31" t="inlineStr">
        <is>
          <t>Latest rating: 3 · Potential: Medium · 9-box: Core Contributor · Readiness: Develop in role</t>
        </is>
      </c>
      <c r="W203" s="31" t="inlineStr">
        <is>
          <t>C M · Au M · Ac M · L L · BI M · Exp M · 1.1 yrs vs 0–2 yrs · Edu M · B.E</t>
        </is>
      </c>
      <c r="X203" s="33" t="inlineStr">
        <is>
          <t>Open ▸</t>
        </is>
      </c>
      <c r="Y203" s="34" t="str">
        <f>IFERROR(INDEX(DL_C,MATCH($CA203,DL_KEY,0)),"M")</f>
        <v>H</v>
      </c>
      <c r="Z203" s="35" t="str">
        <f>IFERROR(INDEX(DL_Au,MATCH($CA203,DL_KEY,0)),"M")</f>
        <v>M</v>
      </c>
      <c r="AA203" s="35" t="str">
        <f>IFERROR(INDEX(DL_Ac,MATCH($CA203,DL_KEY,0)),"M")</f>
        <v>L</v>
      </c>
      <c r="AB203" s="35" t="str">
        <f>IFERROR(INDEX(DL_L,MATCH($CA203,DL_KEY,0)),"M")</f>
        <v>L</v>
      </c>
      <c r="AC203" s="35" t="str">
        <f>IFERROR(INDEX(DL_BI,MATCH($CA203,DL_KEY,0)),"M")</f>
        <v>L</v>
      </c>
      <c r="AD203" s="35" t="str">
        <f>IFERROR(INDEX(DL_Exp,MATCH($CA203,DL_KEY,0)),"M")</f>
        <v>L</v>
      </c>
      <c r="AE203" s="35" t="str">
        <f>IFERROR(INDEX(DL_Edu,MATCH($CA203,DL_KEY,0)),"M")</f>
        <v>L</v>
      </c>
      <c r="AF203" s="34" t="inlineStr">
        <is>
          <t>M</t>
        </is>
      </c>
      <c r="AG203" s="35" t="inlineStr">
        <is>
          <t>M</t>
        </is>
      </c>
      <c r="AH203" s="35" t="inlineStr">
        <is>
          <t>M</t>
        </is>
      </c>
      <c r="AI203" s="35" t="inlineStr">
        <is>
          <t>M</t>
        </is>
      </c>
      <c r="AJ203" s="35" t="inlineStr">
        <is>
          <t>M</t>
        </is>
      </c>
      <c r="AK203" s="35" t="inlineStr">
        <is>
          <t>M</t>
        </is>
      </c>
      <c r="AL203" s="35" t="inlineStr">
        <is>
          <t>M</t>
        </is>
      </c>
      <c r="AM203" s="36" t="n">
        <v>0.583</v>
      </c>
      <c r="AN203" s="37" t="n">
        <v>0.16</v>
      </c>
      <c r="AO203" s="37" t="n">
        <v>0.09</v>
      </c>
      <c r="AP203" s="37" t="n">
        <v>0</v>
      </c>
      <c r="AQ203" s="37" t="n">
        <v>0.063</v>
      </c>
      <c r="AR203" s="37" t="n">
        <v>0.06</v>
      </c>
      <c r="AS203" s="37" t="n">
        <v>0.04</v>
      </c>
      <c r="AT203" s="38" t="inlineStr">
        <is>
          <t>0–3</t>
        </is>
      </c>
      <c r="AU203" s="38" t="inlineStr">
        <is>
          <t>Graduate · or diploma with experience</t>
        </is>
      </c>
      <c r="AV203" s="38" t="inlineStr">
        <is>
          <t>No direct reports</t>
        </is>
      </c>
      <c r="AW203" s="38" t="inlineStr">
        <is>
          <t>P1–P2 · SFIA 2 Assist</t>
        </is>
      </c>
      <c r="AX2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3" s="39" t="inlineStr">
        <is>
          <t>A2</t>
        </is>
      </c>
      <c r="AZ203" s="40" t="inlineStr">
        <is>
          <t>Band A · Practitioner · Associate</t>
        </is>
      </c>
      <c r="BA203" s="40" t="inlineStr">
        <is>
          <t>Model A2 from the six ratings, the market-derived weights and rules R1–R13 · then No change · already below the manager</t>
        </is>
      </c>
      <c r="BB203" s="41" t="inlineStr">
        <is>
          <t>A2</t>
        </is>
      </c>
      <c r="BC203" s="40" t="inlineStr">
        <is>
          <t>The six ratings on the market-average weights of Band A · all tracks score 1.84 → A2 · Hay, Mercer IPE and public plans · experience 1.1 yrs vs the A2 market range 0–3</t>
        </is>
      </c>
      <c r="BD203" s="42">
        <f>IF(SUM(BM203,BN203,BO203,BP203,BQ203,BR203,BS203)=0,0,(BM203*BT203+BN203*BU203+BO203*BV203+BP203*BW203+BQ203*BX203+BR203*BY203+BS203*BZ203)/SUM(BM203,BN203,BO203,BP203,BQ203,BR203,BS203))</f>
        <v>0</v>
      </c>
      <c r="BE203" s="41" t="str">
        <f>IF(LEFT(AY203,1)="X",AY203,IF(OR(AY203="B+",AY203="C+"),INDEX(LAD_PC,MAX(1,MIN(14,MATCH(AY203,LAD_PC,0)+IF(BD203&gt;=0.5,1,IF(BD203&lt;=-0.5,-1,0))))),INDEX(LAD_STD,MAX(1,MIN(12,MATCH(AY203,LAD_STD,0)+IF(BD203&gt;=0.5,1,IF(BD203&lt;=-0.5,-1,0)))))))</f>
        <v>A2</v>
      </c>
      <c r="BF203" s="43" t="n"/>
      <c r="BG203" s="41" t="str">
        <f>IF(BF203&lt;&gt;"",BF203,BE203)</f>
        <v>A2</v>
      </c>
      <c r="BH203" s="40" t="str">
        <f>IFERROR(CHOOSE(INDEX(B_RANK,MATCH(BG203,B_LVL,0)),"Band A","Band B","B+ · Player-Coach","Band C","C+ · Player-Coach","Band D","Band E"),"Band X · Consultant")</f>
        <v>Band A</v>
      </c>
      <c r="BI203" s="40" t="str">
        <f>IF(BG203=AY203,"• Same",IF(INDEX(B_VAL,MATCH(BG203,B_LVL,0))&gt;INDEX(B_VAL,MATCH(AY203,B_LVL,0)),"▲ Up","▼ Down"))</f>
        <v>• Same</v>
      </c>
      <c r="BJ203" s="40" t="str">
        <f>IF(OR($M203="",$M203="—",$M203="Not in this file"),"",IFERROR(INDEX($BG$7:$BG$592,MATCH($M203,$D$7:$D$592,0)),""))</f>
        <v>A3</v>
      </c>
      <c r="BK203" s="40" t="str">
        <f>IFERROR(IF(BJ203="","—",IF(OR(LEFT(BG203,1)="X",LEFT(BJ203,1)="X"),"—",IF(AND(LEFT(BG203,1)="E",LEFT(BJ203,1)="E"),"Exception · Band E",IF(AND(INDEX(B_VAL,MATCH(BJ203,B_LVL,0))&gt;=7,INDEX(B_RANK,MATCH(BG203,B_LVL,0))&gt;=INDEX(B_RANK,MATCH(BJ203,B_LVL,0))),"⚠ Same band as a head manager",IF(INDEX(B_VAL,MATCH(BG203,B_LVL,0))&gt;=INDEX(B_VAL,MATCH(BJ203,B_LVL,0)),"⚠ At or above the manager's level","OK"))))),"—")</f>
        <v>OK</v>
      </c>
      <c r="BL203" s="43" t="n"/>
      <c r="BM203" s="44">
        <f>IFERROR(INDEX(LMH_PTS,MATCH(Y203,LMH_KEY,0)),0)</f>
        <v>9</v>
      </c>
      <c r="BN203" s="38">
        <f>IFERROR(INDEX(LMH_PTS,MATCH(Z203,LMH_KEY,0)),0)</f>
        <v>3</v>
      </c>
      <c r="BO203" s="38">
        <f>IFERROR(INDEX(LMH_PTS,MATCH(AA203,LMH_KEY,0)),0)</f>
        <v>1</v>
      </c>
      <c r="BP203" s="38">
        <f>IFERROR(INDEX(LMH_PTS,MATCH(AB203,LMH_KEY,0)),0)</f>
        <v>1</v>
      </c>
      <c r="BQ203" s="38">
        <f>IFERROR(INDEX(LMH_PTS,MATCH(AC203,LMH_KEY,0)),0)</f>
        <v>1</v>
      </c>
      <c r="BR203" s="38">
        <f>IFERROR(INDEX(LMH_PTS,MATCH(AD203,LMH_KEY,0)),0)</f>
        <v>1</v>
      </c>
      <c r="BS203" s="38">
        <f>IFERROR(INDEX(LMH_PTS,MATCH(AE203,LMH_KEY,0)),0)</f>
        <v>1</v>
      </c>
      <c r="BT203" s="38">
        <f>IFERROR(INDEX(LMH_STEP,MATCH(AF203,LMH_KEY,0)),0)</f>
        <v>0</v>
      </c>
      <c r="BU203" s="38">
        <f>IFERROR(INDEX(LMH_STEP,MATCH(AG203,LMH_KEY,0)),0)</f>
        <v>0</v>
      </c>
      <c r="BV203" s="38">
        <f>IFERROR(INDEX(LMH_STEP,MATCH(AH203,LMH_KEY,0)),0)</f>
        <v>0</v>
      </c>
      <c r="BW203" s="38">
        <f>IFERROR(INDEX(LMH_STEP,MATCH(AI203,LMH_KEY,0)),0)</f>
        <v>0</v>
      </c>
      <c r="BX203" s="38">
        <f>IFERROR(INDEX(LMH_STEP,MATCH(AJ203,LMH_KEY,0)),0)</f>
        <v>0</v>
      </c>
      <c r="BY203" s="38">
        <f>IFERROR(INDEX(LMH_STEP,MATCH(AK203,LMH_KEY,0)),0)</f>
        <v>0</v>
      </c>
      <c r="BZ203" s="38">
        <f>IFERROR(INDEX(LMH_STEP,MATCH(AL203,LMH_KEY,0)),0)</f>
        <v>0</v>
      </c>
      <c r="CA203" s="38" t="inlineStr">
        <is>
          <t>iDEAL|Technology|Software Engineer|A2|A</t>
        </is>
      </c>
    </row>
    <row r="204" ht="110" customHeight="1">
      <c r="A204" s="28" t="inlineStr">
        <is>
          <t>iDEAL</t>
        </is>
      </c>
      <c r="B204" s="29" t="inlineStr">
        <is>
          <t>Technology</t>
        </is>
      </c>
      <c r="C204" s="29" t="n">
        <v>5</v>
      </c>
      <c r="D204" s="29" t="inlineStr">
        <is>
          <t>IRIS2427</t>
        </is>
      </c>
      <c r="E204" s="29" t="inlineStr">
        <is>
          <t>Sumeet Laxman Kurdia</t>
        </is>
      </c>
      <c r="F204" s="29" t="inlineStr">
        <is>
          <t>Trainee Software Engineer</t>
        </is>
      </c>
      <c r="G204" s="29" t="inlineStr">
        <is>
          <t>Software Engineer</t>
        </is>
      </c>
      <c r="H204" s="29" t="inlineStr">
        <is>
          <t>Engineering &amp; Development</t>
        </is>
      </c>
      <c r="I204" s="29" t="inlineStr">
        <is>
          <t>Backend Development</t>
        </is>
      </c>
      <c r="J204" s="29" t="inlineStr">
        <is>
          <t>IC</t>
        </is>
      </c>
      <c r="K204" s="29" t="inlineStr">
        <is>
          <t>RC-066</t>
        </is>
      </c>
      <c r="L204" s="29" t="inlineStr">
        <is>
          <t>Swapnil Shirke</t>
        </is>
      </c>
      <c r="M204" s="29" t="inlineStr">
        <is>
          <t>IRIS2038</t>
        </is>
      </c>
      <c r="N204" s="29" t="n">
        <v>1.9</v>
      </c>
      <c r="O204" s="29" t="n">
        <v>1.1</v>
      </c>
      <c r="P204" s="29" t="inlineStr">
        <is>
          <t>B.Sc</t>
        </is>
      </c>
      <c r="Q204" s="29" t="inlineStr">
        <is>
          <t>L2 – Trainee</t>
        </is>
      </c>
      <c r="R204" s="29" t="inlineStr">
        <is>
          <t>A2</t>
        </is>
      </c>
      <c r="S204" s="30" t="inlineStr">
        <is>
          <t>20 of 20</t>
        </is>
      </c>
      <c r="T204" s="31"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t>
        </is>
      </c>
      <c r="U204" s="31" t="inlineStr">
        <is>
          <t>Received · manager annual, quarterly, self · 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t>
        </is>
      </c>
      <c r="V204" s="31" t="inlineStr">
        <is>
          <t>Latest rating: 3 · Potential: Medium · 9-box: Core Contributor · Readiness: Develop in role</t>
        </is>
      </c>
      <c r="W204" s="31" t="inlineStr">
        <is>
          <t>C M · Au M · Ac M · L L · BI M · Exp M · 1.9 yrs vs 0–2 yrs · Edu M · B.Sc</t>
        </is>
      </c>
      <c r="X204" s="33" t="inlineStr">
        <is>
          <t>Open ▸</t>
        </is>
      </c>
      <c r="Y204" s="34" t="str">
        <f>IFERROR(INDEX(DL_C,MATCH($CA204,DL_KEY,0)),"M")</f>
        <v>H</v>
      </c>
      <c r="Z204" s="35" t="str">
        <f>IFERROR(INDEX(DL_Au,MATCH($CA204,DL_KEY,0)),"M")</f>
        <v>M</v>
      </c>
      <c r="AA204" s="35" t="str">
        <f>IFERROR(INDEX(DL_Ac,MATCH($CA204,DL_KEY,0)),"M")</f>
        <v>L</v>
      </c>
      <c r="AB204" s="35" t="str">
        <f>IFERROR(INDEX(DL_L,MATCH($CA204,DL_KEY,0)),"M")</f>
        <v>L</v>
      </c>
      <c r="AC204" s="35" t="str">
        <f>IFERROR(INDEX(DL_BI,MATCH($CA204,DL_KEY,0)),"M")</f>
        <v>L</v>
      </c>
      <c r="AD204" s="35" t="str">
        <f>IFERROR(INDEX(DL_Exp,MATCH($CA204,DL_KEY,0)),"M")</f>
        <v>L</v>
      </c>
      <c r="AE204" s="35" t="str">
        <f>IFERROR(INDEX(DL_Edu,MATCH($CA204,DL_KEY,0)),"M")</f>
        <v>L</v>
      </c>
      <c r="AF204" s="34" t="inlineStr">
        <is>
          <t>M</t>
        </is>
      </c>
      <c r="AG204" s="35" t="inlineStr">
        <is>
          <t>M</t>
        </is>
      </c>
      <c r="AH204" s="35" t="inlineStr">
        <is>
          <t>M</t>
        </is>
      </c>
      <c r="AI204" s="35" t="inlineStr">
        <is>
          <t>M</t>
        </is>
      </c>
      <c r="AJ204" s="35" t="inlineStr">
        <is>
          <t>M</t>
        </is>
      </c>
      <c r="AK204" s="35" t="inlineStr">
        <is>
          <t>M</t>
        </is>
      </c>
      <c r="AL204" s="35" t="inlineStr">
        <is>
          <t>M</t>
        </is>
      </c>
      <c r="AM204" s="36" t="n">
        <v>0.583</v>
      </c>
      <c r="AN204" s="37" t="n">
        <v>0.16</v>
      </c>
      <c r="AO204" s="37" t="n">
        <v>0.09</v>
      </c>
      <c r="AP204" s="37" t="n">
        <v>0</v>
      </c>
      <c r="AQ204" s="37" t="n">
        <v>0.063</v>
      </c>
      <c r="AR204" s="37" t="n">
        <v>0.06</v>
      </c>
      <c r="AS204" s="37" t="n">
        <v>0.04</v>
      </c>
      <c r="AT204" s="38" t="inlineStr">
        <is>
          <t>0–3</t>
        </is>
      </c>
      <c r="AU204" s="38" t="inlineStr">
        <is>
          <t>Graduate · or diploma with experience</t>
        </is>
      </c>
      <c r="AV204" s="38" t="inlineStr">
        <is>
          <t>No direct reports</t>
        </is>
      </c>
      <c r="AW204" s="38" t="inlineStr">
        <is>
          <t>P1–P2 · SFIA 2 Assist</t>
        </is>
      </c>
      <c r="AX2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4" s="39" t="inlineStr">
        <is>
          <t>A2</t>
        </is>
      </c>
      <c r="AZ204" s="40" t="inlineStr">
        <is>
          <t>Band A · Practitioner · Associate</t>
        </is>
      </c>
      <c r="BA204" s="40" t="inlineStr">
        <is>
          <t>Model A2 from the six ratings, the market-derived weights and rules R1–R13 · then No change · already below the manager</t>
        </is>
      </c>
      <c r="BB204" s="41" t="inlineStr">
        <is>
          <t>A2</t>
        </is>
      </c>
      <c r="BC204" s="40" t="inlineStr">
        <is>
          <t>The six ratings on the market-average weights of Band A · all tracks score 1.60 → A2 · Hay, Mercer IPE and public plans · experience 1.9 yrs vs the A2 market range 0–3</t>
        </is>
      </c>
      <c r="BD204" s="42">
        <f>IF(SUM(BM204,BN204,BO204,BP204,BQ204,BR204,BS204)=0,0,(BM204*BT204+BN204*BU204+BO204*BV204+BP204*BW204+BQ204*BX204+BR204*BY204+BS204*BZ204)/SUM(BM204,BN204,BO204,BP204,BQ204,BR204,BS204))</f>
        <v>0</v>
      </c>
      <c r="BE204" s="41" t="str">
        <f>IF(LEFT(AY204,1)="X",AY204,IF(OR(AY204="B+",AY204="C+"),INDEX(LAD_PC,MAX(1,MIN(14,MATCH(AY204,LAD_PC,0)+IF(BD204&gt;=0.5,1,IF(BD204&lt;=-0.5,-1,0))))),INDEX(LAD_STD,MAX(1,MIN(12,MATCH(AY204,LAD_STD,0)+IF(BD204&gt;=0.5,1,IF(BD204&lt;=-0.5,-1,0)))))))</f>
        <v>A2</v>
      </c>
      <c r="BF204" s="43" t="n"/>
      <c r="BG204" s="41" t="str">
        <f>IF(BF204&lt;&gt;"",BF204,BE204)</f>
        <v>A2</v>
      </c>
      <c r="BH204" s="40" t="str">
        <f>IFERROR(CHOOSE(INDEX(B_RANK,MATCH(BG204,B_LVL,0)),"Band A","Band B","B+ · Player-Coach","Band C","C+ · Player-Coach","Band D","Band E"),"Band X · Consultant")</f>
        <v>Band A</v>
      </c>
      <c r="BI204" s="40" t="str">
        <f>IF(BG204=AY204,"• Same",IF(INDEX(B_VAL,MATCH(BG204,B_LVL,0))&gt;INDEX(B_VAL,MATCH(AY204,B_LVL,0)),"▲ Up","▼ Down"))</f>
        <v>• Same</v>
      </c>
      <c r="BJ204" s="40" t="str">
        <f>IF(OR($M204="",$M204="—",$M204="Not in this file"),"",IFERROR(INDEX($BG$7:$BG$592,MATCH($M204,$D$7:$D$592,0)),""))</f>
        <v>A3</v>
      </c>
      <c r="BK204" s="40" t="str">
        <f>IFERROR(IF(BJ204="","—",IF(OR(LEFT(BG204,1)="X",LEFT(BJ204,1)="X"),"—",IF(AND(LEFT(BG204,1)="E",LEFT(BJ204,1)="E"),"Exception · Band E",IF(AND(INDEX(B_VAL,MATCH(BJ204,B_LVL,0))&gt;=7,INDEX(B_RANK,MATCH(BG204,B_LVL,0))&gt;=INDEX(B_RANK,MATCH(BJ204,B_LVL,0))),"⚠ Same band as a head manager",IF(INDEX(B_VAL,MATCH(BG204,B_LVL,0))&gt;=INDEX(B_VAL,MATCH(BJ204,B_LVL,0)),"⚠ At or above the manager's level","OK"))))),"—")</f>
        <v>OK</v>
      </c>
      <c r="BL204" s="43" t="n"/>
      <c r="BM204" s="44">
        <f>IFERROR(INDEX(LMH_PTS,MATCH(Y204,LMH_KEY,0)),0)</f>
        <v>9</v>
      </c>
      <c r="BN204" s="38">
        <f>IFERROR(INDEX(LMH_PTS,MATCH(Z204,LMH_KEY,0)),0)</f>
        <v>3</v>
      </c>
      <c r="BO204" s="38">
        <f>IFERROR(INDEX(LMH_PTS,MATCH(AA204,LMH_KEY,0)),0)</f>
        <v>1</v>
      </c>
      <c r="BP204" s="38">
        <f>IFERROR(INDEX(LMH_PTS,MATCH(AB204,LMH_KEY,0)),0)</f>
        <v>1</v>
      </c>
      <c r="BQ204" s="38">
        <f>IFERROR(INDEX(LMH_PTS,MATCH(AC204,LMH_KEY,0)),0)</f>
        <v>1</v>
      </c>
      <c r="BR204" s="38">
        <f>IFERROR(INDEX(LMH_PTS,MATCH(AD204,LMH_KEY,0)),0)</f>
        <v>1</v>
      </c>
      <c r="BS204" s="38">
        <f>IFERROR(INDEX(LMH_PTS,MATCH(AE204,LMH_KEY,0)),0)</f>
        <v>1</v>
      </c>
      <c r="BT204" s="38">
        <f>IFERROR(INDEX(LMH_STEP,MATCH(AF204,LMH_KEY,0)),0)</f>
        <v>0</v>
      </c>
      <c r="BU204" s="38">
        <f>IFERROR(INDEX(LMH_STEP,MATCH(AG204,LMH_KEY,0)),0)</f>
        <v>0</v>
      </c>
      <c r="BV204" s="38">
        <f>IFERROR(INDEX(LMH_STEP,MATCH(AH204,LMH_KEY,0)),0)</f>
        <v>0</v>
      </c>
      <c r="BW204" s="38">
        <f>IFERROR(INDEX(LMH_STEP,MATCH(AI204,LMH_KEY,0)),0)</f>
        <v>0</v>
      </c>
      <c r="BX204" s="38">
        <f>IFERROR(INDEX(LMH_STEP,MATCH(AJ204,LMH_KEY,0)),0)</f>
        <v>0</v>
      </c>
      <c r="BY204" s="38">
        <f>IFERROR(INDEX(LMH_STEP,MATCH(AK204,LMH_KEY,0)),0)</f>
        <v>0</v>
      </c>
      <c r="BZ204" s="38">
        <f>IFERROR(INDEX(LMH_STEP,MATCH(AL204,LMH_KEY,0)),0)</f>
        <v>0</v>
      </c>
      <c r="CA204" s="38" t="inlineStr">
        <is>
          <t>iDEAL|Technology|Software Engineer|A2|A</t>
        </is>
      </c>
    </row>
    <row r="205" ht="110" customHeight="1">
      <c r="A205" s="28" t="inlineStr">
        <is>
          <t>iDEAL</t>
        </is>
      </c>
      <c r="B205" s="29" t="inlineStr">
        <is>
          <t>Technology</t>
        </is>
      </c>
      <c r="C205" s="29" t="n">
        <v>5</v>
      </c>
      <c r="D205" s="29" t="inlineStr">
        <is>
          <t>IRIS2538</t>
        </is>
      </c>
      <c r="E205" s="29" t="inlineStr">
        <is>
          <t>Atharv Sameer Shevade</t>
        </is>
      </c>
      <c r="F205" s="29" t="inlineStr">
        <is>
          <t>Trainee Software Engineer</t>
        </is>
      </c>
      <c r="G205" s="29" t="inlineStr">
        <is>
          <t>Trainee Software Engineer</t>
        </is>
      </c>
      <c r="H205" s="29" t="inlineStr">
        <is>
          <t>Engineering &amp; Development</t>
        </is>
      </c>
      <c r="I205" s="29" t="inlineStr">
        <is>
          <t>Full-Stack Development</t>
        </is>
      </c>
      <c r="J205" s="29" t="inlineStr">
        <is>
          <t>IC</t>
        </is>
      </c>
      <c r="K205" s="29" t="inlineStr">
        <is>
          <t>RC-083</t>
        </is>
      </c>
      <c r="L205" s="29" t="inlineStr">
        <is>
          <t>Swapnil Shirke</t>
        </is>
      </c>
      <c r="M205" s="29" t="inlineStr">
        <is>
          <t>IRIS2038</t>
        </is>
      </c>
      <c r="N205" s="29" t="n">
        <v>0.3</v>
      </c>
      <c r="O205" s="29" t="n">
        <v>0.3</v>
      </c>
      <c r="P205" s="29" t="inlineStr">
        <is>
          <t>B.Tech</t>
        </is>
      </c>
      <c r="Q205" s="29" t="inlineStr">
        <is>
          <t>L1 – Intern</t>
        </is>
      </c>
      <c r="R205" s="29" t="inlineStr">
        <is>
          <t>A1</t>
        </is>
      </c>
      <c r="S205" s="30" t="inlineStr">
        <is>
          <t>20 of 20</t>
        </is>
      </c>
      <c r="T205" s="32" t="inlineStr">
        <is>
          <t>Full survey answers not in the files received · How We Grow export needed · HR</t>
        </is>
      </c>
      <c r="U205" s="31" t="inlineStr">
        <is>
          <t>Received · manager annual, quarterly, self · 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t>
        </is>
      </c>
      <c r="V205" s="31" t="inlineStr">
        <is>
          <t>Latest rating: 3 · Potential: Medium · 9-box: Core Contributor · Readiness: Develop in role</t>
        </is>
      </c>
      <c r="W205" s="31" t="inlineStr">
        <is>
          <t>C — · Au — · Ac — · L — · BI — · Exp H · 0.3 yrs vs 0 yrs · fresher / intern · Edu M · B.Tech</t>
        </is>
      </c>
      <c r="X205" s="33" t="inlineStr">
        <is>
          <t>Open ▸</t>
        </is>
      </c>
      <c r="Y205" s="34" t="str">
        <f>IFERROR(INDEX(DL_C,MATCH($CA205,DL_KEY,0)),"M")</f>
        <v>H</v>
      </c>
      <c r="Z205" s="35" t="str">
        <f>IFERROR(INDEX(DL_Au,MATCH($CA205,DL_KEY,0)),"M")</f>
        <v>M</v>
      </c>
      <c r="AA205" s="35" t="str">
        <f>IFERROR(INDEX(DL_Ac,MATCH($CA205,DL_KEY,0)),"M")</f>
        <v>L</v>
      </c>
      <c r="AB205" s="35" t="str">
        <f>IFERROR(INDEX(DL_L,MATCH($CA205,DL_KEY,0)),"M")</f>
        <v>L</v>
      </c>
      <c r="AC205" s="35" t="str">
        <f>IFERROR(INDEX(DL_BI,MATCH($CA205,DL_KEY,0)),"M")</f>
        <v>L</v>
      </c>
      <c r="AD205" s="35" t="str">
        <f>IFERROR(INDEX(DL_Exp,MATCH($CA205,DL_KEY,0)),"M")</f>
        <v>L</v>
      </c>
      <c r="AE205" s="35" t="str">
        <f>IFERROR(INDEX(DL_Edu,MATCH($CA205,DL_KEY,0)),"M")</f>
        <v>L</v>
      </c>
      <c r="AF205" s="34" t="inlineStr">
        <is>
          <t>M</t>
        </is>
      </c>
      <c r="AG205" s="35" t="inlineStr">
        <is>
          <t>M</t>
        </is>
      </c>
      <c r="AH205" s="35" t="inlineStr">
        <is>
          <t>M</t>
        </is>
      </c>
      <c r="AI205" s="35" t="inlineStr">
        <is>
          <t>M</t>
        </is>
      </c>
      <c r="AJ205" s="35" t="inlineStr">
        <is>
          <t>M</t>
        </is>
      </c>
      <c r="AK205" s="35" t="inlineStr">
        <is>
          <t>M</t>
        </is>
      </c>
      <c r="AL205" s="35" t="inlineStr">
        <is>
          <t>M</t>
        </is>
      </c>
      <c r="AM205" s="36" t="n">
        <v>0.583</v>
      </c>
      <c r="AN205" s="37" t="n">
        <v>0.16</v>
      </c>
      <c r="AO205" s="37" t="n">
        <v>0.09</v>
      </c>
      <c r="AP205" s="37" t="n">
        <v>0</v>
      </c>
      <c r="AQ205" s="37" t="n">
        <v>0.063</v>
      </c>
      <c r="AR205" s="37" t="n">
        <v>0.06</v>
      </c>
      <c r="AS205" s="37" t="n">
        <v>0.04</v>
      </c>
      <c r="AT205" s="38" t="inlineStr">
        <is>
          <t>0 yrs · fresher / intern</t>
        </is>
      </c>
      <c r="AU205" s="38" t="inlineStr">
        <is>
          <t>Pursuing or completed graduation / diploma</t>
        </is>
      </c>
      <c r="AV205" s="38" t="inlineStr">
        <is>
          <t>No direct reports</t>
        </is>
      </c>
      <c r="AW205" s="38" t="inlineStr">
        <is>
          <t>Entry / P1 · intern · SFIA 1 Follow</t>
        </is>
      </c>
      <c r="AX2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5" s="39" t="inlineStr">
        <is>
          <t>A1</t>
        </is>
      </c>
      <c r="AZ205" s="40" t="inlineStr">
        <is>
          <t>Band A · Practitioner · Intern / Trainee</t>
        </is>
      </c>
      <c r="BA205" s="40" t="inlineStr">
        <is>
          <t>Model A1 from the six ratings, the market-derived weights and rules R1–R13 · then No change · already below the manager</t>
        </is>
      </c>
      <c r="BB205" s="41" t="inlineStr">
        <is>
          <t>A1</t>
        </is>
      </c>
      <c r="BC205" s="40" t="inlineStr">
        <is>
          <t>Placed by a category rule — no full set of ratings · benchmark follows the HR proposed level</t>
        </is>
      </c>
      <c r="BD205" s="42">
        <f>IF(SUM(BM205,BN205,BO205,BP205,BQ205,BR205,BS205)=0,0,(BM205*BT205+BN205*BU205+BO205*BV205+BP205*BW205+BQ205*BX205+BR205*BY205+BS205*BZ205)/SUM(BM205,BN205,BO205,BP205,BQ205,BR205,BS205))</f>
        <v>0</v>
      </c>
      <c r="BE205" s="41" t="str">
        <f>IF(LEFT(AY205,1)="X",AY205,IF(OR(AY205="B+",AY205="C+"),INDEX(LAD_PC,MAX(1,MIN(14,MATCH(AY205,LAD_PC,0)+IF(BD205&gt;=0.5,1,IF(BD205&lt;=-0.5,-1,0))))),INDEX(LAD_STD,MAX(1,MIN(12,MATCH(AY205,LAD_STD,0)+IF(BD205&gt;=0.5,1,IF(BD205&lt;=-0.5,-1,0)))))))</f>
        <v>A1</v>
      </c>
      <c r="BF205" s="43" t="n"/>
      <c r="BG205" s="41" t="str">
        <f>IF(BF205&lt;&gt;"",BF205,BE205)</f>
        <v>A1</v>
      </c>
      <c r="BH205" s="40" t="str">
        <f>IFERROR(CHOOSE(INDEX(B_RANK,MATCH(BG205,B_LVL,0)),"Band A","Band B","B+ · Player-Coach","Band C","C+ · Player-Coach","Band D","Band E"),"Band X · Consultant")</f>
        <v>Band A</v>
      </c>
      <c r="BI205" s="40" t="str">
        <f>IF(BG205=AY205,"• Same",IF(INDEX(B_VAL,MATCH(BG205,B_LVL,0))&gt;INDEX(B_VAL,MATCH(AY205,B_LVL,0)),"▲ Up","▼ Down"))</f>
        <v>• Same</v>
      </c>
      <c r="BJ205" s="40" t="str">
        <f>IF(OR($M205="",$M205="—",$M205="Not in this file"),"",IFERROR(INDEX($BG$7:$BG$592,MATCH($M205,$D$7:$D$592,0)),""))</f>
        <v>A3</v>
      </c>
      <c r="BK205" s="40" t="str">
        <f>IFERROR(IF(BJ205="","—",IF(OR(LEFT(BG205,1)="X",LEFT(BJ205,1)="X"),"—",IF(AND(LEFT(BG205,1)="E",LEFT(BJ205,1)="E"),"Exception · Band E",IF(AND(INDEX(B_VAL,MATCH(BJ205,B_LVL,0))&gt;=7,INDEX(B_RANK,MATCH(BG205,B_LVL,0))&gt;=INDEX(B_RANK,MATCH(BJ205,B_LVL,0))),"⚠ Same band as a head manager",IF(INDEX(B_VAL,MATCH(BG205,B_LVL,0))&gt;=INDEX(B_VAL,MATCH(BJ205,B_LVL,0)),"⚠ At or above the manager's level","OK"))))),"—")</f>
        <v>OK</v>
      </c>
      <c r="BL205" s="43" t="n"/>
      <c r="BM205" s="44">
        <f>IFERROR(INDEX(LMH_PTS,MATCH(Y205,LMH_KEY,0)),0)</f>
        <v>9</v>
      </c>
      <c r="BN205" s="38">
        <f>IFERROR(INDEX(LMH_PTS,MATCH(Z205,LMH_KEY,0)),0)</f>
        <v>3</v>
      </c>
      <c r="BO205" s="38">
        <f>IFERROR(INDEX(LMH_PTS,MATCH(AA205,LMH_KEY,0)),0)</f>
        <v>1</v>
      </c>
      <c r="BP205" s="38">
        <f>IFERROR(INDEX(LMH_PTS,MATCH(AB205,LMH_KEY,0)),0)</f>
        <v>1</v>
      </c>
      <c r="BQ205" s="38">
        <f>IFERROR(INDEX(LMH_PTS,MATCH(AC205,LMH_KEY,0)),0)</f>
        <v>1</v>
      </c>
      <c r="BR205" s="38">
        <f>IFERROR(INDEX(LMH_PTS,MATCH(AD205,LMH_KEY,0)),0)</f>
        <v>1</v>
      </c>
      <c r="BS205" s="38">
        <f>IFERROR(INDEX(LMH_PTS,MATCH(AE205,LMH_KEY,0)),0)</f>
        <v>1</v>
      </c>
      <c r="BT205" s="38">
        <f>IFERROR(INDEX(LMH_STEP,MATCH(AF205,LMH_KEY,0)),0)</f>
        <v>0</v>
      </c>
      <c r="BU205" s="38">
        <f>IFERROR(INDEX(LMH_STEP,MATCH(AG205,LMH_KEY,0)),0)</f>
        <v>0</v>
      </c>
      <c r="BV205" s="38">
        <f>IFERROR(INDEX(LMH_STEP,MATCH(AH205,LMH_KEY,0)),0)</f>
        <v>0</v>
      </c>
      <c r="BW205" s="38">
        <f>IFERROR(INDEX(LMH_STEP,MATCH(AI205,LMH_KEY,0)),0)</f>
        <v>0</v>
      </c>
      <c r="BX205" s="38">
        <f>IFERROR(INDEX(LMH_STEP,MATCH(AJ205,LMH_KEY,0)),0)</f>
        <v>0</v>
      </c>
      <c r="BY205" s="38">
        <f>IFERROR(INDEX(LMH_STEP,MATCH(AK205,LMH_KEY,0)),0)</f>
        <v>0</v>
      </c>
      <c r="BZ205" s="38">
        <f>IFERROR(INDEX(LMH_STEP,MATCH(AL205,LMH_KEY,0)),0)</f>
        <v>0</v>
      </c>
      <c r="CA205" s="38" t="inlineStr">
        <is>
          <t>iDEAL|Technology|Trainee Software Engineer|A1|A</t>
        </is>
      </c>
    </row>
    <row r="206" ht="110" customHeight="1">
      <c r="A206" s="28" t="inlineStr">
        <is>
          <t>iDEAL</t>
        </is>
      </c>
      <c r="B206" s="29" t="inlineStr">
        <is>
          <t>Technology</t>
        </is>
      </c>
      <c r="C206" s="29" t="n">
        <v>5</v>
      </c>
      <c r="D206" s="29" t="inlineStr">
        <is>
          <t>IRIS2539</t>
        </is>
      </c>
      <c r="E206" s="29" t="inlineStr">
        <is>
          <t>Vinayak Dadasaheb Suryawanshi</t>
        </is>
      </c>
      <c r="F206" s="29" t="inlineStr">
        <is>
          <t>Trainee Software Engineer</t>
        </is>
      </c>
      <c r="G206" s="29" t="inlineStr">
        <is>
          <t>Trainee Software Engineer</t>
        </is>
      </c>
      <c r="H206" s="29" t="inlineStr">
        <is>
          <t>Engineering &amp; Development</t>
        </is>
      </c>
      <c r="I206" s="29" t="inlineStr">
        <is>
          <t>Backend Development</t>
        </is>
      </c>
      <c r="J206" s="29" t="inlineStr">
        <is>
          <t>IC</t>
        </is>
      </c>
      <c r="K206" s="29" t="inlineStr">
        <is>
          <t>RC-065</t>
        </is>
      </c>
      <c r="L206" s="29" t="inlineStr">
        <is>
          <t>Swapnil Shirke</t>
        </is>
      </c>
      <c r="M206" s="29" t="inlineStr">
        <is>
          <t>IRIS2038</t>
        </is>
      </c>
      <c r="N206" s="29" t="n">
        <v>0.3</v>
      </c>
      <c r="O206" s="29" t="n">
        <v>0.3</v>
      </c>
      <c r="P206" s="29" t="inlineStr">
        <is>
          <t>B.Tech</t>
        </is>
      </c>
      <c r="Q206" s="29" t="inlineStr">
        <is>
          <t>L1 – Intern</t>
        </is>
      </c>
      <c r="R206" s="29" t="inlineStr">
        <is>
          <t>A1</t>
        </is>
      </c>
      <c r="S206" s="30" t="inlineStr">
        <is>
          <t>20 of 20</t>
        </is>
      </c>
      <c r="T206" s="32" t="inlineStr">
        <is>
          <t>Full survey answers not in the files received · How We Grow export needed · HR</t>
        </is>
      </c>
      <c r="U206" s="31" t="inlineStr">
        <is>
          <t>Received · manager annual, quarterly, self · 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t>
        </is>
      </c>
      <c r="V206" s="31" t="inlineStr">
        <is>
          <t>Latest rating: 3 · Potential: Medium · 9-box: Emerging Talent · Readiness: Develop in role</t>
        </is>
      </c>
      <c r="W206" s="31" t="inlineStr">
        <is>
          <t>C — · Au — · Ac — · L — · BI — · Exp H · 0.3 yrs vs 0 yrs · fresher / intern · Edu M · B.Tech</t>
        </is>
      </c>
      <c r="X206" s="33" t="inlineStr">
        <is>
          <t>Open ▸</t>
        </is>
      </c>
      <c r="Y206" s="34" t="str">
        <f>IFERROR(INDEX(DL_C,MATCH($CA206,DL_KEY,0)),"M")</f>
        <v>H</v>
      </c>
      <c r="Z206" s="35" t="str">
        <f>IFERROR(INDEX(DL_Au,MATCH($CA206,DL_KEY,0)),"M")</f>
        <v>M</v>
      </c>
      <c r="AA206" s="35" t="str">
        <f>IFERROR(INDEX(DL_Ac,MATCH($CA206,DL_KEY,0)),"M")</f>
        <v>L</v>
      </c>
      <c r="AB206" s="35" t="str">
        <f>IFERROR(INDEX(DL_L,MATCH($CA206,DL_KEY,0)),"M")</f>
        <v>L</v>
      </c>
      <c r="AC206" s="35" t="str">
        <f>IFERROR(INDEX(DL_BI,MATCH($CA206,DL_KEY,0)),"M")</f>
        <v>L</v>
      </c>
      <c r="AD206" s="35" t="str">
        <f>IFERROR(INDEX(DL_Exp,MATCH($CA206,DL_KEY,0)),"M")</f>
        <v>L</v>
      </c>
      <c r="AE206" s="35" t="str">
        <f>IFERROR(INDEX(DL_Edu,MATCH($CA206,DL_KEY,0)),"M")</f>
        <v>L</v>
      </c>
      <c r="AF206" s="34" t="inlineStr">
        <is>
          <t>M</t>
        </is>
      </c>
      <c r="AG206" s="35" t="inlineStr">
        <is>
          <t>M</t>
        </is>
      </c>
      <c r="AH206" s="35" t="inlineStr">
        <is>
          <t>M</t>
        </is>
      </c>
      <c r="AI206" s="35" t="inlineStr">
        <is>
          <t>M</t>
        </is>
      </c>
      <c r="AJ206" s="35" t="inlineStr">
        <is>
          <t>M</t>
        </is>
      </c>
      <c r="AK206" s="35" t="inlineStr">
        <is>
          <t>M</t>
        </is>
      </c>
      <c r="AL206" s="35" t="inlineStr">
        <is>
          <t>M</t>
        </is>
      </c>
      <c r="AM206" s="36" t="n">
        <v>0.583</v>
      </c>
      <c r="AN206" s="37" t="n">
        <v>0.16</v>
      </c>
      <c r="AO206" s="37" t="n">
        <v>0.09</v>
      </c>
      <c r="AP206" s="37" t="n">
        <v>0</v>
      </c>
      <c r="AQ206" s="37" t="n">
        <v>0.063</v>
      </c>
      <c r="AR206" s="37" t="n">
        <v>0.06</v>
      </c>
      <c r="AS206" s="37" t="n">
        <v>0.04</v>
      </c>
      <c r="AT206" s="38" t="inlineStr">
        <is>
          <t>0 yrs · fresher / intern</t>
        </is>
      </c>
      <c r="AU206" s="38" t="inlineStr">
        <is>
          <t>Pursuing or completed graduation / diploma</t>
        </is>
      </c>
      <c r="AV206" s="38" t="inlineStr">
        <is>
          <t>No direct reports</t>
        </is>
      </c>
      <c r="AW206" s="38" t="inlineStr">
        <is>
          <t>Entry / P1 · intern · SFIA 1 Follow</t>
        </is>
      </c>
      <c r="AX2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6" s="39" t="inlineStr">
        <is>
          <t>A1</t>
        </is>
      </c>
      <c r="AZ206" s="40" t="inlineStr">
        <is>
          <t>Band A · Practitioner · Intern / Trainee</t>
        </is>
      </c>
      <c r="BA206" s="40" t="inlineStr">
        <is>
          <t>Model A1 from the six ratings, the market-derived weights and rules R1–R13 · then No change · already below the manager</t>
        </is>
      </c>
      <c r="BB206" s="41" t="inlineStr">
        <is>
          <t>A1</t>
        </is>
      </c>
      <c r="BC206" s="40" t="inlineStr">
        <is>
          <t>Placed by a category rule — no full set of ratings · benchmark follows the HR proposed level</t>
        </is>
      </c>
      <c r="BD206" s="42">
        <f>IF(SUM(BM206,BN206,BO206,BP206,BQ206,BR206,BS206)=0,0,(BM206*BT206+BN206*BU206+BO206*BV206+BP206*BW206+BQ206*BX206+BR206*BY206+BS206*BZ206)/SUM(BM206,BN206,BO206,BP206,BQ206,BR206,BS206))</f>
        <v>0</v>
      </c>
      <c r="BE206" s="41" t="str">
        <f>IF(LEFT(AY206,1)="X",AY206,IF(OR(AY206="B+",AY206="C+"),INDEX(LAD_PC,MAX(1,MIN(14,MATCH(AY206,LAD_PC,0)+IF(BD206&gt;=0.5,1,IF(BD206&lt;=-0.5,-1,0))))),INDEX(LAD_STD,MAX(1,MIN(12,MATCH(AY206,LAD_STD,0)+IF(BD206&gt;=0.5,1,IF(BD206&lt;=-0.5,-1,0)))))))</f>
        <v>A1</v>
      </c>
      <c r="BF206" s="43" t="n"/>
      <c r="BG206" s="41" t="str">
        <f>IF(BF206&lt;&gt;"",BF206,BE206)</f>
        <v>A1</v>
      </c>
      <c r="BH206" s="40" t="str">
        <f>IFERROR(CHOOSE(INDEX(B_RANK,MATCH(BG206,B_LVL,0)),"Band A","Band B","B+ · Player-Coach","Band C","C+ · Player-Coach","Band D","Band E"),"Band X · Consultant")</f>
        <v>Band A</v>
      </c>
      <c r="BI206" s="40" t="str">
        <f>IF(BG206=AY206,"• Same",IF(INDEX(B_VAL,MATCH(BG206,B_LVL,0))&gt;INDEX(B_VAL,MATCH(AY206,B_LVL,0)),"▲ Up","▼ Down"))</f>
        <v>• Same</v>
      </c>
      <c r="BJ206" s="40" t="str">
        <f>IF(OR($M206="",$M206="—",$M206="Not in this file"),"",IFERROR(INDEX($BG$7:$BG$592,MATCH($M206,$D$7:$D$592,0)),""))</f>
        <v>A3</v>
      </c>
      <c r="BK206" s="40" t="str">
        <f>IFERROR(IF(BJ206="","—",IF(OR(LEFT(BG206,1)="X",LEFT(BJ206,1)="X"),"—",IF(AND(LEFT(BG206,1)="E",LEFT(BJ206,1)="E"),"Exception · Band E",IF(AND(INDEX(B_VAL,MATCH(BJ206,B_LVL,0))&gt;=7,INDEX(B_RANK,MATCH(BG206,B_LVL,0))&gt;=INDEX(B_RANK,MATCH(BJ206,B_LVL,0))),"⚠ Same band as a head manager",IF(INDEX(B_VAL,MATCH(BG206,B_LVL,0))&gt;=INDEX(B_VAL,MATCH(BJ206,B_LVL,0)),"⚠ At or above the manager's level","OK"))))),"—")</f>
        <v>OK</v>
      </c>
      <c r="BL206" s="43" t="n"/>
      <c r="BM206" s="44">
        <f>IFERROR(INDEX(LMH_PTS,MATCH(Y206,LMH_KEY,0)),0)</f>
        <v>9</v>
      </c>
      <c r="BN206" s="38">
        <f>IFERROR(INDEX(LMH_PTS,MATCH(Z206,LMH_KEY,0)),0)</f>
        <v>3</v>
      </c>
      <c r="BO206" s="38">
        <f>IFERROR(INDEX(LMH_PTS,MATCH(AA206,LMH_KEY,0)),0)</f>
        <v>1</v>
      </c>
      <c r="BP206" s="38">
        <f>IFERROR(INDEX(LMH_PTS,MATCH(AB206,LMH_KEY,0)),0)</f>
        <v>1</v>
      </c>
      <c r="BQ206" s="38">
        <f>IFERROR(INDEX(LMH_PTS,MATCH(AC206,LMH_KEY,0)),0)</f>
        <v>1</v>
      </c>
      <c r="BR206" s="38">
        <f>IFERROR(INDEX(LMH_PTS,MATCH(AD206,LMH_KEY,0)),0)</f>
        <v>1</v>
      </c>
      <c r="BS206" s="38">
        <f>IFERROR(INDEX(LMH_PTS,MATCH(AE206,LMH_KEY,0)),0)</f>
        <v>1</v>
      </c>
      <c r="BT206" s="38">
        <f>IFERROR(INDEX(LMH_STEP,MATCH(AF206,LMH_KEY,0)),0)</f>
        <v>0</v>
      </c>
      <c r="BU206" s="38">
        <f>IFERROR(INDEX(LMH_STEP,MATCH(AG206,LMH_KEY,0)),0)</f>
        <v>0</v>
      </c>
      <c r="BV206" s="38">
        <f>IFERROR(INDEX(LMH_STEP,MATCH(AH206,LMH_KEY,0)),0)</f>
        <v>0</v>
      </c>
      <c r="BW206" s="38">
        <f>IFERROR(INDEX(LMH_STEP,MATCH(AI206,LMH_KEY,0)),0)</f>
        <v>0</v>
      </c>
      <c r="BX206" s="38">
        <f>IFERROR(INDEX(LMH_STEP,MATCH(AJ206,LMH_KEY,0)),0)</f>
        <v>0</v>
      </c>
      <c r="BY206" s="38">
        <f>IFERROR(INDEX(LMH_STEP,MATCH(AK206,LMH_KEY,0)),0)</f>
        <v>0</v>
      </c>
      <c r="BZ206" s="38">
        <f>IFERROR(INDEX(LMH_STEP,MATCH(AL206,LMH_KEY,0)),0)</f>
        <v>0</v>
      </c>
      <c r="CA206" s="38" t="inlineStr">
        <is>
          <t>iDEAL|Technology|Trainee Software Engineer|A1|A</t>
        </is>
      </c>
    </row>
    <row r="207" ht="110" customHeight="1">
      <c r="A207" s="28" t="inlineStr">
        <is>
          <t>iDEAL</t>
        </is>
      </c>
      <c r="B207" s="29" t="inlineStr">
        <is>
          <t>Technology</t>
        </is>
      </c>
      <c r="C207" s="29" t="n">
        <v>4</v>
      </c>
      <c r="D207" s="29" t="inlineStr">
        <is>
          <t>IRIS2259</t>
        </is>
      </c>
      <c r="E207" s="29" t="inlineStr">
        <is>
          <t>Tushar Kadu Nimbolkar</t>
        </is>
      </c>
      <c r="F207" s="29" t="inlineStr">
        <is>
          <t>Software Engineer</t>
        </is>
      </c>
      <c r="G207" s="29" t="inlineStr">
        <is>
          <t>Senior Database Engineer</t>
        </is>
      </c>
      <c r="H207" s="29" t="inlineStr">
        <is>
          <t>Engineering &amp; Development</t>
        </is>
      </c>
      <c r="I207" s="29" t="inlineStr">
        <is>
          <t>Data Engineering &amp; Database Development</t>
        </is>
      </c>
      <c r="J207" s="29" t="inlineStr">
        <is>
          <t>IC</t>
        </is>
      </c>
      <c r="K207" s="29" t="inlineStr">
        <is>
          <t>RC-074</t>
        </is>
      </c>
      <c r="L207" s="29" t="inlineStr">
        <is>
          <t>Jitendra Kumar</t>
        </is>
      </c>
      <c r="M207" s="29" t="inlineStr">
        <is>
          <t>IRIS0810</t>
        </is>
      </c>
      <c r="N207" s="29" t="n">
        <v>2.3</v>
      </c>
      <c r="O207" s="29" t="n">
        <v>2.3</v>
      </c>
      <c r="P207" s="29" t="inlineStr">
        <is>
          <t>B.E</t>
        </is>
      </c>
      <c r="Q207" s="29" t="inlineStr">
        <is>
          <t>L3 – Professional / Associate</t>
        </is>
      </c>
      <c r="R207" s="29" t="inlineStr">
        <is>
          <t>A3</t>
        </is>
      </c>
      <c r="S207" s="30" t="inlineStr">
        <is>
          <t>20 of 20</t>
        </is>
      </c>
      <c r="T207" s="31"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t>
        </is>
      </c>
      <c r="U207"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7" s="31" t="inlineStr">
        <is>
          <t>Latest rating: 3 · Potential: Medium · 9-box: Emerging Talent · Readiness: Develop in role</t>
        </is>
      </c>
      <c r="W207" s="31" t="inlineStr">
        <is>
          <t>C M · Au M · Ac M · L L · BI M · Exp M · 2.3 yrs vs 2–4 yrs · Edu M · B.E</t>
        </is>
      </c>
      <c r="X207" s="33" t="inlineStr">
        <is>
          <t>Open ▸</t>
        </is>
      </c>
      <c r="Y207" s="34" t="str">
        <f>IFERROR(INDEX(DL_C,MATCH($CA207,DL_KEY,0)),"M")</f>
        <v>H</v>
      </c>
      <c r="Z207" s="35" t="str">
        <f>IFERROR(INDEX(DL_Au,MATCH($CA207,DL_KEY,0)),"M")</f>
        <v>M</v>
      </c>
      <c r="AA207" s="35" t="str">
        <f>IFERROR(INDEX(DL_Ac,MATCH($CA207,DL_KEY,0)),"M")</f>
        <v>L</v>
      </c>
      <c r="AB207" s="35" t="str">
        <f>IFERROR(INDEX(DL_L,MATCH($CA207,DL_KEY,0)),"M")</f>
        <v>L</v>
      </c>
      <c r="AC207" s="35" t="str">
        <f>IFERROR(INDEX(DL_BI,MATCH($CA207,DL_KEY,0)),"M")</f>
        <v>L</v>
      </c>
      <c r="AD207" s="35" t="str">
        <f>IFERROR(INDEX(DL_Exp,MATCH($CA207,DL_KEY,0)),"M")</f>
        <v>L</v>
      </c>
      <c r="AE207" s="35" t="str">
        <f>IFERROR(INDEX(DL_Edu,MATCH($CA207,DL_KEY,0)),"M")</f>
        <v>L</v>
      </c>
      <c r="AF207" s="34" t="inlineStr">
        <is>
          <t>M</t>
        </is>
      </c>
      <c r="AG207" s="35" t="inlineStr">
        <is>
          <t>M</t>
        </is>
      </c>
      <c r="AH207" s="35" t="inlineStr">
        <is>
          <t>M</t>
        </is>
      </c>
      <c r="AI207" s="35" t="inlineStr">
        <is>
          <t>M</t>
        </is>
      </c>
      <c r="AJ207" s="35" t="inlineStr">
        <is>
          <t>M</t>
        </is>
      </c>
      <c r="AK207" s="35" t="inlineStr">
        <is>
          <t>M</t>
        </is>
      </c>
      <c r="AL207" s="35" t="inlineStr">
        <is>
          <t>M</t>
        </is>
      </c>
      <c r="AM207" s="36" t="n">
        <v>0.583</v>
      </c>
      <c r="AN207" s="37" t="n">
        <v>0.16</v>
      </c>
      <c r="AO207" s="37" t="n">
        <v>0.09</v>
      </c>
      <c r="AP207" s="37" t="n">
        <v>0</v>
      </c>
      <c r="AQ207" s="37" t="n">
        <v>0.063</v>
      </c>
      <c r="AR207" s="37" t="n">
        <v>0.06</v>
      </c>
      <c r="AS207" s="37" t="n">
        <v>0.04</v>
      </c>
      <c r="AT207" s="38" t="inlineStr">
        <is>
          <t>2–5</t>
        </is>
      </c>
      <c r="AU207" s="38" t="inlineStr">
        <is>
          <t>Graduate; relevant certification preferred</t>
        </is>
      </c>
      <c r="AV207" s="38" t="inlineStr">
        <is>
          <t>None · guides 1–3 juniors informally</t>
        </is>
      </c>
      <c r="AW207" s="38" t="inlineStr">
        <is>
          <t>P2 · SFIA 3 Apply</t>
        </is>
      </c>
      <c r="AX2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7" s="39" t="inlineStr">
        <is>
          <t>A3</t>
        </is>
      </c>
      <c r="AZ207" s="40" t="inlineStr">
        <is>
          <t>Band A · Practitioner · Senior Associate</t>
        </is>
      </c>
      <c r="BA207" s="40" t="inlineStr">
        <is>
          <t>Model A3 from the six ratings, the market-derived weights and rules R1–R13 · then No change · already below the manager</t>
        </is>
      </c>
      <c r="BB207" s="41" t="inlineStr">
        <is>
          <t>A3</t>
        </is>
      </c>
      <c r="BC207" s="40" t="inlineStr">
        <is>
          <t>The six ratings on the market-average weights of Band A · all tracks score 2.56 → A3 · Hay, Mercer IPE and public plans · experience 2.3 yrs vs the A3 market range 2–5</t>
        </is>
      </c>
      <c r="BD207" s="42">
        <f>IF(SUM(BM207,BN207,BO207,BP207,BQ207,BR207,BS207)=0,0,(BM207*BT207+BN207*BU207+BO207*BV207+BP207*BW207+BQ207*BX207+BR207*BY207+BS207*BZ207)/SUM(BM207,BN207,BO207,BP207,BQ207,BR207,BS207))</f>
        <v>0</v>
      </c>
      <c r="BE207" s="41" t="str">
        <f>IF(LEFT(AY207,1)="X",AY207,IF(OR(AY207="B+",AY207="C+"),INDEX(LAD_PC,MAX(1,MIN(14,MATCH(AY207,LAD_PC,0)+IF(BD207&gt;=0.5,1,IF(BD207&lt;=-0.5,-1,0))))),INDEX(LAD_STD,MAX(1,MIN(12,MATCH(AY207,LAD_STD,0)+IF(BD207&gt;=0.5,1,IF(BD207&lt;=-0.5,-1,0)))))))</f>
        <v>A3</v>
      </c>
      <c r="BF207" s="43" t="n"/>
      <c r="BG207" s="41" t="str">
        <f>IF(BF207&lt;&gt;"",BF207,BE207)</f>
        <v>A3</v>
      </c>
      <c r="BH207" s="40" t="str">
        <f>IFERROR(CHOOSE(INDEX(B_RANK,MATCH(BG207,B_LVL,0)),"Band A","Band B","B+ · Player-Coach","Band C","C+ · Player-Coach","Band D","Band E"),"Band X · Consultant")</f>
        <v>Band A</v>
      </c>
      <c r="BI207" s="40" t="str">
        <f>IF(BG207=AY207,"• Same",IF(INDEX(B_VAL,MATCH(BG207,B_LVL,0))&gt;INDEX(B_VAL,MATCH(AY207,B_LVL,0)),"▲ Up","▼ Down"))</f>
        <v>• Same</v>
      </c>
      <c r="BJ207" s="40" t="str">
        <f>IF(OR($M207="",$M207="—",$M207="Not in this file"),"",IFERROR(INDEX($BG$7:$BG$592,MATCH($M207,$D$7:$D$592,0)),""))</f>
        <v>B+</v>
      </c>
      <c r="BK207" s="40" t="str">
        <f>IFERROR(IF(BJ207="","—",IF(OR(LEFT(BG207,1)="X",LEFT(BJ207,1)="X"),"—",IF(AND(LEFT(BG207,1)="E",LEFT(BJ207,1)="E"),"Exception · Band E",IF(AND(INDEX(B_VAL,MATCH(BJ207,B_LVL,0))&gt;=7,INDEX(B_RANK,MATCH(BG207,B_LVL,0))&gt;=INDEX(B_RANK,MATCH(BJ207,B_LVL,0))),"⚠ Same band as a head manager",IF(INDEX(B_VAL,MATCH(BG207,B_LVL,0))&gt;=INDEX(B_VAL,MATCH(BJ207,B_LVL,0)),"⚠ At or above the manager's level","OK"))))),"—")</f>
        <v>OK</v>
      </c>
      <c r="BL207" s="43" t="n"/>
      <c r="BM207" s="44">
        <f>IFERROR(INDEX(LMH_PTS,MATCH(Y207,LMH_KEY,0)),0)</f>
        <v>9</v>
      </c>
      <c r="BN207" s="38">
        <f>IFERROR(INDEX(LMH_PTS,MATCH(Z207,LMH_KEY,0)),0)</f>
        <v>3</v>
      </c>
      <c r="BO207" s="38">
        <f>IFERROR(INDEX(LMH_PTS,MATCH(AA207,LMH_KEY,0)),0)</f>
        <v>1</v>
      </c>
      <c r="BP207" s="38">
        <f>IFERROR(INDEX(LMH_PTS,MATCH(AB207,LMH_KEY,0)),0)</f>
        <v>1</v>
      </c>
      <c r="BQ207" s="38">
        <f>IFERROR(INDEX(LMH_PTS,MATCH(AC207,LMH_KEY,0)),0)</f>
        <v>1</v>
      </c>
      <c r="BR207" s="38">
        <f>IFERROR(INDEX(LMH_PTS,MATCH(AD207,LMH_KEY,0)),0)</f>
        <v>1</v>
      </c>
      <c r="BS207" s="38">
        <f>IFERROR(INDEX(LMH_PTS,MATCH(AE207,LMH_KEY,0)),0)</f>
        <v>1</v>
      </c>
      <c r="BT207" s="38">
        <f>IFERROR(INDEX(LMH_STEP,MATCH(AF207,LMH_KEY,0)),0)</f>
        <v>0</v>
      </c>
      <c r="BU207" s="38">
        <f>IFERROR(INDEX(LMH_STEP,MATCH(AG207,LMH_KEY,0)),0)</f>
        <v>0</v>
      </c>
      <c r="BV207" s="38">
        <f>IFERROR(INDEX(LMH_STEP,MATCH(AH207,LMH_KEY,0)),0)</f>
        <v>0</v>
      </c>
      <c r="BW207" s="38">
        <f>IFERROR(INDEX(LMH_STEP,MATCH(AI207,LMH_KEY,0)),0)</f>
        <v>0</v>
      </c>
      <c r="BX207" s="38">
        <f>IFERROR(INDEX(LMH_STEP,MATCH(AJ207,LMH_KEY,0)),0)</f>
        <v>0</v>
      </c>
      <c r="BY207" s="38">
        <f>IFERROR(INDEX(LMH_STEP,MATCH(AK207,LMH_KEY,0)),0)</f>
        <v>0</v>
      </c>
      <c r="BZ207" s="38">
        <f>IFERROR(INDEX(LMH_STEP,MATCH(AL207,LMH_KEY,0)),0)</f>
        <v>0</v>
      </c>
      <c r="CA207" s="38" t="inlineStr">
        <is>
          <t>iDEAL|Technology|Senior Database Engineer|A3|A</t>
        </is>
      </c>
    </row>
    <row r="208" ht="110" customHeight="1">
      <c r="A208" s="28" t="inlineStr">
        <is>
          <t>iDEAL</t>
        </is>
      </c>
      <c r="B208" s="29" t="inlineStr">
        <is>
          <t>Technology</t>
        </is>
      </c>
      <c r="C208" s="29" t="n">
        <v>4</v>
      </c>
      <c r="D208" s="29" t="inlineStr">
        <is>
          <t>IRIS2258</t>
        </is>
      </c>
      <c r="E208" s="29" t="inlineStr">
        <is>
          <t>Vaibhav Govind Gahat</t>
        </is>
      </c>
      <c r="F208" s="29" t="inlineStr">
        <is>
          <t>Software Engineer</t>
        </is>
      </c>
      <c r="G208" s="29" t="inlineStr">
        <is>
          <t>Senior Software Engineer</t>
        </is>
      </c>
      <c r="H208" s="29" t="inlineStr">
        <is>
          <t>Engineering &amp; Development</t>
        </is>
      </c>
      <c r="I208" s="29" t="inlineStr">
        <is>
          <t>Backend Development</t>
        </is>
      </c>
      <c r="J208" s="29" t="inlineStr">
        <is>
          <t>IC</t>
        </is>
      </c>
      <c r="K208" s="29" t="inlineStr">
        <is>
          <t>RC-067</t>
        </is>
      </c>
      <c r="L208" s="29" t="inlineStr">
        <is>
          <t>Jitendra Kumar</t>
        </is>
      </c>
      <c r="M208" s="29" t="inlineStr">
        <is>
          <t>IRIS0810</t>
        </is>
      </c>
      <c r="N208" s="29" t="n">
        <v>2.3</v>
      </c>
      <c r="O208" s="29" t="n">
        <v>2.3</v>
      </c>
      <c r="P208" s="29" t="inlineStr">
        <is>
          <t>B.E</t>
        </is>
      </c>
      <c r="Q208" s="29" t="inlineStr">
        <is>
          <t>L3 – Professional / Associate</t>
        </is>
      </c>
      <c r="R208" s="29" t="inlineStr">
        <is>
          <t>A3</t>
        </is>
      </c>
      <c r="S208" s="30" t="inlineStr">
        <is>
          <t>20 of 20</t>
        </is>
      </c>
      <c r="T208" s="31"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t>
        </is>
      </c>
      <c r="U208"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8" s="31" t="inlineStr">
        <is>
          <t>Latest rating: 4 · Potential: High · 9-box: Emerging Talent · Readiness: Ready now</t>
        </is>
      </c>
      <c r="W208" s="31" t="inlineStr">
        <is>
          <t>C M · Au L · Ac M · L L · BI M · Exp M · 2.3 yrs vs 2–4 yrs · Edu M · B.E</t>
        </is>
      </c>
      <c r="X208" s="33" t="inlineStr">
        <is>
          <t>Open ▸</t>
        </is>
      </c>
      <c r="Y208" s="34" t="str">
        <f>IFERROR(INDEX(DL_C,MATCH($CA208,DL_KEY,0)),"M")</f>
        <v>H</v>
      </c>
      <c r="Z208" s="35" t="str">
        <f>IFERROR(INDEX(DL_Au,MATCH($CA208,DL_KEY,0)),"M")</f>
        <v>M</v>
      </c>
      <c r="AA208" s="35" t="str">
        <f>IFERROR(INDEX(DL_Ac,MATCH($CA208,DL_KEY,0)),"M")</f>
        <v>L</v>
      </c>
      <c r="AB208" s="35" t="str">
        <f>IFERROR(INDEX(DL_L,MATCH($CA208,DL_KEY,0)),"M")</f>
        <v>L</v>
      </c>
      <c r="AC208" s="35" t="str">
        <f>IFERROR(INDEX(DL_BI,MATCH($CA208,DL_KEY,0)),"M")</f>
        <v>L</v>
      </c>
      <c r="AD208" s="35" t="str">
        <f>IFERROR(INDEX(DL_Exp,MATCH($CA208,DL_KEY,0)),"M")</f>
        <v>L</v>
      </c>
      <c r="AE208" s="35" t="str">
        <f>IFERROR(INDEX(DL_Edu,MATCH($CA208,DL_KEY,0)),"M")</f>
        <v>L</v>
      </c>
      <c r="AF208" s="34" t="inlineStr">
        <is>
          <t>M</t>
        </is>
      </c>
      <c r="AG208" s="35" t="inlineStr">
        <is>
          <t>M</t>
        </is>
      </c>
      <c r="AH208" s="35" t="inlineStr">
        <is>
          <t>M</t>
        </is>
      </c>
      <c r="AI208" s="35" t="inlineStr">
        <is>
          <t>M</t>
        </is>
      </c>
      <c r="AJ208" s="35" t="inlineStr">
        <is>
          <t>M</t>
        </is>
      </c>
      <c r="AK208" s="35" t="inlineStr">
        <is>
          <t>M</t>
        </is>
      </c>
      <c r="AL208" s="35" t="inlineStr">
        <is>
          <t>M</t>
        </is>
      </c>
      <c r="AM208" s="36" t="n">
        <v>0.583</v>
      </c>
      <c r="AN208" s="37" t="n">
        <v>0.16</v>
      </c>
      <c r="AO208" s="37" t="n">
        <v>0.09</v>
      </c>
      <c r="AP208" s="37" t="n">
        <v>0</v>
      </c>
      <c r="AQ208" s="37" t="n">
        <v>0.063</v>
      </c>
      <c r="AR208" s="37" t="n">
        <v>0.06</v>
      </c>
      <c r="AS208" s="37" t="n">
        <v>0.04</v>
      </c>
      <c r="AT208" s="38" t="inlineStr">
        <is>
          <t>2–5</t>
        </is>
      </c>
      <c r="AU208" s="38" t="inlineStr">
        <is>
          <t>Graduate; relevant certification preferred</t>
        </is>
      </c>
      <c r="AV208" s="38" t="inlineStr">
        <is>
          <t>None · guides 1–3 juniors informally</t>
        </is>
      </c>
      <c r="AW208" s="38" t="inlineStr">
        <is>
          <t>P2 · SFIA 3 Apply</t>
        </is>
      </c>
      <c r="AX2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8" s="39" t="inlineStr">
        <is>
          <t>A3</t>
        </is>
      </c>
      <c r="AZ208" s="40" t="inlineStr">
        <is>
          <t>Band A · Practitioner · Senior Associate</t>
        </is>
      </c>
      <c r="BA208" s="40" t="inlineStr">
        <is>
          <t>Model A3 from the six ratings, the market-derived weights and rules R1–R13 · then No change · already below the manager</t>
        </is>
      </c>
      <c r="BB208" s="41" t="inlineStr">
        <is>
          <t>A2</t>
        </is>
      </c>
      <c r="BC208" s="40" t="inlineStr">
        <is>
          <t>The six ratings on the market-average weights of Band A · all tracks score 2.45 → A2 · Hay, Mercer IPE and public plans · experience 2.3 yrs vs the A2 market range 0–3</t>
        </is>
      </c>
      <c r="BD208" s="42">
        <f>IF(SUM(BM208,BN208,BO208,BP208,BQ208,BR208,BS208)=0,0,(BM208*BT208+BN208*BU208+BO208*BV208+BP208*BW208+BQ208*BX208+BR208*BY208+BS208*BZ208)/SUM(BM208,BN208,BO208,BP208,BQ208,BR208,BS208))</f>
        <v>0</v>
      </c>
      <c r="BE208" s="41" t="str">
        <f>IF(LEFT(AY208,1)="X",AY208,IF(OR(AY208="B+",AY208="C+"),INDEX(LAD_PC,MAX(1,MIN(14,MATCH(AY208,LAD_PC,0)+IF(BD208&gt;=0.5,1,IF(BD208&lt;=-0.5,-1,0))))),INDEX(LAD_STD,MAX(1,MIN(12,MATCH(AY208,LAD_STD,0)+IF(BD208&gt;=0.5,1,IF(BD208&lt;=-0.5,-1,0)))))))</f>
        <v>A3</v>
      </c>
      <c r="BF208" s="43" t="n"/>
      <c r="BG208" s="41" t="str">
        <f>IF(BF208&lt;&gt;"",BF208,BE208)</f>
        <v>A3</v>
      </c>
      <c r="BH208" s="40" t="str">
        <f>IFERROR(CHOOSE(INDEX(B_RANK,MATCH(BG208,B_LVL,0)),"Band A","Band B","B+ · Player-Coach","Band C","C+ · Player-Coach","Band D","Band E"),"Band X · Consultant")</f>
        <v>Band A</v>
      </c>
      <c r="BI208" s="40" t="str">
        <f>IF(BG208=AY208,"• Same",IF(INDEX(B_VAL,MATCH(BG208,B_LVL,0))&gt;INDEX(B_VAL,MATCH(AY208,B_LVL,0)),"▲ Up","▼ Down"))</f>
        <v>• Same</v>
      </c>
      <c r="BJ208" s="40" t="str">
        <f>IF(OR($M208="",$M208="—",$M208="Not in this file"),"",IFERROR(INDEX($BG$7:$BG$592,MATCH($M208,$D$7:$D$592,0)),""))</f>
        <v>B+</v>
      </c>
      <c r="BK208" s="40" t="str">
        <f>IFERROR(IF(BJ208="","—",IF(OR(LEFT(BG208,1)="X",LEFT(BJ208,1)="X"),"—",IF(AND(LEFT(BG208,1)="E",LEFT(BJ208,1)="E"),"Exception · Band E",IF(AND(INDEX(B_VAL,MATCH(BJ208,B_LVL,0))&gt;=7,INDEX(B_RANK,MATCH(BG208,B_LVL,0))&gt;=INDEX(B_RANK,MATCH(BJ208,B_LVL,0))),"⚠ Same band as a head manager",IF(INDEX(B_VAL,MATCH(BG208,B_LVL,0))&gt;=INDEX(B_VAL,MATCH(BJ208,B_LVL,0)),"⚠ At or above the manager's level","OK"))))),"—")</f>
        <v>OK</v>
      </c>
      <c r="BL208" s="43" t="n"/>
      <c r="BM208" s="44">
        <f>IFERROR(INDEX(LMH_PTS,MATCH(Y208,LMH_KEY,0)),0)</f>
        <v>9</v>
      </c>
      <c r="BN208" s="38">
        <f>IFERROR(INDEX(LMH_PTS,MATCH(Z208,LMH_KEY,0)),0)</f>
        <v>3</v>
      </c>
      <c r="BO208" s="38">
        <f>IFERROR(INDEX(LMH_PTS,MATCH(AA208,LMH_KEY,0)),0)</f>
        <v>1</v>
      </c>
      <c r="BP208" s="38">
        <f>IFERROR(INDEX(LMH_PTS,MATCH(AB208,LMH_KEY,0)),0)</f>
        <v>1</v>
      </c>
      <c r="BQ208" s="38">
        <f>IFERROR(INDEX(LMH_PTS,MATCH(AC208,LMH_KEY,0)),0)</f>
        <v>1</v>
      </c>
      <c r="BR208" s="38">
        <f>IFERROR(INDEX(LMH_PTS,MATCH(AD208,LMH_KEY,0)),0)</f>
        <v>1</v>
      </c>
      <c r="BS208" s="38">
        <f>IFERROR(INDEX(LMH_PTS,MATCH(AE208,LMH_KEY,0)),0)</f>
        <v>1</v>
      </c>
      <c r="BT208" s="38">
        <f>IFERROR(INDEX(LMH_STEP,MATCH(AF208,LMH_KEY,0)),0)</f>
        <v>0</v>
      </c>
      <c r="BU208" s="38">
        <f>IFERROR(INDEX(LMH_STEP,MATCH(AG208,LMH_KEY,0)),0)</f>
        <v>0</v>
      </c>
      <c r="BV208" s="38">
        <f>IFERROR(INDEX(LMH_STEP,MATCH(AH208,LMH_KEY,0)),0)</f>
        <v>0</v>
      </c>
      <c r="BW208" s="38">
        <f>IFERROR(INDEX(LMH_STEP,MATCH(AI208,LMH_KEY,0)),0)</f>
        <v>0</v>
      </c>
      <c r="BX208" s="38">
        <f>IFERROR(INDEX(LMH_STEP,MATCH(AJ208,LMH_KEY,0)),0)</f>
        <v>0</v>
      </c>
      <c r="BY208" s="38">
        <f>IFERROR(INDEX(LMH_STEP,MATCH(AK208,LMH_KEY,0)),0)</f>
        <v>0</v>
      </c>
      <c r="BZ208" s="38">
        <f>IFERROR(INDEX(LMH_STEP,MATCH(AL208,LMH_KEY,0)),0)</f>
        <v>0</v>
      </c>
      <c r="CA208" s="38" t="inlineStr">
        <is>
          <t>iDEAL|Technology|Senior Software Engineer|A3|A</t>
        </is>
      </c>
    </row>
    <row r="209" ht="110" customHeight="1">
      <c r="A209" s="28" t="inlineStr">
        <is>
          <t>iDEAL</t>
        </is>
      </c>
      <c r="B209" s="29" t="inlineStr">
        <is>
          <t>Technology</t>
        </is>
      </c>
      <c r="C209" s="29" t="n">
        <v>4</v>
      </c>
      <c r="D209" s="29" t="inlineStr">
        <is>
          <t>IRIS2018</t>
        </is>
      </c>
      <c r="E209" s="29" t="inlineStr">
        <is>
          <t>Varsha Patil</t>
        </is>
      </c>
      <c r="F209" s="29" t="inlineStr">
        <is>
          <t>Software Engineer</t>
        </is>
      </c>
      <c r="G209" s="29" t="inlineStr">
        <is>
          <t>Senior Software Engineer</t>
        </is>
      </c>
      <c r="H209" s="29" t="inlineStr">
        <is>
          <t>Engineering &amp; Development</t>
        </is>
      </c>
      <c r="I209" s="29" t="inlineStr">
        <is>
          <t>Backend Development</t>
        </is>
      </c>
      <c r="J209" s="29" t="inlineStr">
        <is>
          <t>IC</t>
        </is>
      </c>
      <c r="K209" s="29" t="inlineStr">
        <is>
          <t>RC-067</t>
        </is>
      </c>
      <c r="L209" s="29" t="inlineStr">
        <is>
          <t>Jitendra Kumar</t>
        </is>
      </c>
      <c r="M209" s="29" t="inlineStr">
        <is>
          <t>IRIS0810</t>
        </is>
      </c>
      <c r="N209" s="29" t="n">
        <v>5.3</v>
      </c>
      <c r="O209" s="29" t="n">
        <v>4.3</v>
      </c>
      <c r="P209" s="29" t="inlineStr">
        <is>
          <t>B.E</t>
        </is>
      </c>
      <c r="Q209" s="29" t="inlineStr">
        <is>
          <t>L3 – Professional / Associate</t>
        </is>
      </c>
      <c r="R209" s="29" t="inlineStr">
        <is>
          <t>A3</t>
        </is>
      </c>
      <c r="S209" s="30" t="inlineStr">
        <is>
          <t>20 of 20</t>
        </is>
      </c>
      <c r="T209" s="31"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t>
        </is>
      </c>
      <c r="U209" s="31" t="inlineStr">
        <is>
          <t>Received · manager annual, quarterly, self · 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
        </is>
      </c>
      <c r="V209" s="31" t="inlineStr">
        <is>
          <t>Latest rating: 3 · Potential: Medium · 9-box: Core Contributor · Readiness: Develop in role</t>
        </is>
      </c>
      <c r="W209" s="31" t="inlineStr">
        <is>
          <t>C L · Au L · Ac M · L L · BI M · Exp H · 5.3 yrs vs 2–4 yrs · Edu M · B.E</t>
        </is>
      </c>
      <c r="X209" s="33" t="inlineStr">
        <is>
          <t>Open ▸</t>
        </is>
      </c>
      <c r="Y209" s="34" t="str">
        <f>IFERROR(INDEX(DL_C,MATCH($CA209,DL_KEY,0)),"M")</f>
        <v>H</v>
      </c>
      <c r="Z209" s="35" t="str">
        <f>IFERROR(INDEX(DL_Au,MATCH($CA209,DL_KEY,0)),"M")</f>
        <v>M</v>
      </c>
      <c r="AA209" s="35" t="str">
        <f>IFERROR(INDEX(DL_Ac,MATCH($CA209,DL_KEY,0)),"M")</f>
        <v>L</v>
      </c>
      <c r="AB209" s="35" t="str">
        <f>IFERROR(INDEX(DL_L,MATCH($CA209,DL_KEY,0)),"M")</f>
        <v>L</v>
      </c>
      <c r="AC209" s="35" t="str">
        <f>IFERROR(INDEX(DL_BI,MATCH($CA209,DL_KEY,0)),"M")</f>
        <v>L</v>
      </c>
      <c r="AD209" s="35" t="str">
        <f>IFERROR(INDEX(DL_Exp,MATCH($CA209,DL_KEY,0)),"M")</f>
        <v>L</v>
      </c>
      <c r="AE209" s="35" t="str">
        <f>IFERROR(INDEX(DL_Edu,MATCH($CA209,DL_KEY,0)),"M")</f>
        <v>L</v>
      </c>
      <c r="AF209" s="34" t="inlineStr">
        <is>
          <t>M</t>
        </is>
      </c>
      <c r="AG209" s="35" t="inlineStr">
        <is>
          <t>M</t>
        </is>
      </c>
      <c r="AH209" s="35" t="inlineStr">
        <is>
          <t>M</t>
        </is>
      </c>
      <c r="AI209" s="35" t="inlineStr">
        <is>
          <t>M</t>
        </is>
      </c>
      <c r="AJ209" s="35" t="inlineStr">
        <is>
          <t>M</t>
        </is>
      </c>
      <c r="AK209" s="35" t="inlineStr">
        <is>
          <t>M</t>
        </is>
      </c>
      <c r="AL209" s="35" t="inlineStr">
        <is>
          <t>M</t>
        </is>
      </c>
      <c r="AM209" s="36" t="n">
        <v>0.583</v>
      </c>
      <c r="AN209" s="37" t="n">
        <v>0.16</v>
      </c>
      <c r="AO209" s="37" t="n">
        <v>0.09</v>
      </c>
      <c r="AP209" s="37" t="n">
        <v>0</v>
      </c>
      <c r="AQ209" s="37" t="n">
        <v>0.063</v>
      </c>
      <c r="AR209" s="37" t="n">
        <v>0.06</v>
      </c>
      <c r="AS209" s="37" t="n">
        <v>0.04</v>
      </c>
      <c r="AT209" s="38" t="inlineStr">
        <is>
          <t>2–5</t>
        </is>
      </c>
      <c r="AU209" s="38" t="inlineStr">
        <is>
          <t>Graduate; relevant certification preferred</t>
        </is>
      </c>
      <c r="AV209" s="38" t="inlineStr">
        <is>
          <t>None · guides 1–3 juniors informally</t>
        </is>
      </c>
      <c r="AW209" s="38" t="inlineStr">
        <is>
          <t>P2 · SFIA 3 Apply</t>
        </is>
      </c>
      <c r="AX2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9" s="39" t="inlineStr">
        <is>
          <t>A3</t>
        </is>
      </c>
      <c r="AZ209" s="40" t="inlineStr">
        <is>
          <t>Band A · Practitioner · Senior Associate</t>
        </is>
      </c>
      <c r="BA209" s="40" t="inlineStr">
        <is>
          <t>Model A3 from the six ratings, the market-derived weights and rules R1–R13 · then No change · already below the manager</t>
        </is>
      </c>
      <c r="BB209" s="41" t="inlineStr">
        <is>
          <t>A2</t>
        </is>
      </c>
      <c r="BC209" s="40" t="inlineStr">
        <is>
          <t>The six ratings on the market-average weights of Band A · all tracks score 2.28 → A2 · Hay, Mercer IPE and public plans · experience 5.3 yrs vs the A2 market range 0–3</t>
        </is>
      </c>
      <c r="BD209" s="42">
        <f>IF(SUM(BM209,BN209,BO209,BP209,BQ209,BR209,BS209)=0,0,(BM209*BT209+BN209*BU209+BO209*BV209+BP209*BW209+BQ209*BX209+BR209*BY209+BS209*BZ209)/SUM(BM209,BN209,BO209,BP209,BQ209,BR209,BS209))</f>
        <v>0</v>
      </c>
      <c r="BE209" s="41" t="str">
        <f>IF(LEFT(AY209,1)="X",AY209,IF(OR(AY209="B+",AY209="C+"),INDEX(LAD_PC,MAX(1,MIN(14,MATCH(AY209,LAD_PC,0)+IF(BD209&gt;=0.5,1,IF(BD209&lt;=-0.5,-1,0))))),INDEX(LAD_STD,MAX(1,MIN(12,MATCH(AY209,LAD_STD,0)+IF(BD209&gt;=0.5,1,IF(BD209&lt;=-0.5,-1,0)))))))</f>
        <v>A3</v>
      </c>
      <c r="BF209" s="43" t="n"/>
      <c r="BG209" s="41" t="str">
        <f>IF(BF209&lt;&gt;"",BF209,BE209)</f>
        <v>A3</v>
      </c>
      <c r="BH209" s="40" t="str">
        <f>IFERROR(CHOOSE(INDEX(B_RANK,MATCH(BG209,B_LVL,0)),"Band A","Band B","B+ · Player-Coach","Band C","C+ · Player-Coach","Band D","Band E"),"Band X · Consultant")</f>
        <v>Band A</v>
      </c>
      <c r="BI209" s="40" t="str">
        <f>IF(BG209=AY209,"• Same",IF(INDEX(B_VAL,MATCH(BG209,B_LVL,0))&gt;INDEX(B_VAL,MATCH(AY209,B_LVL,0)),"▲ Up","▼ Down"))</f>
        <v>• Same</v>
      </c>
      <c r="BJ209" s="40" t="str">
        <f>IF(OR($M209="",$M209="—",$M209="Not in this file"),"",IFERROR(INDEX($BG$7:$BG$592,MATCH($M209,$D$7:$D$592,0)),""))</f>
        <v>B+</v>
      </c>
      <c r="BK209" s="40" t="str">
        <f>IFERROR(IF(BJ209="","—",IF(OR(LEFT(BG209,1)="X",LEFT(BJ209,1)="X"),"—",IF(AND(LEFT(BG209,1)="E",LEFT(BJ209,1)="E"),"Exception · Band E",IF(AND(INDEX(B_VAL,MATCH(BJ209,B_LVL,0))&gt;=7,INDEX(B_RANK,MATCH(BG209,B_LVL,0))&gt;=INDEX(B_RANK,MATCH(BJ209,B_LVL,0))),"⚠ Same band as a head manager",IF(INDEX(B_VAL,MATCH(BG209,B_LVL,0))&gt;=INDEX(B_VAL,MATCH(BJ209,B_LVL,0)),"⚠ At or above the manager's level","OK"))))),"—")</f>
        <v>OK</v>
      </c>
      <c r="BL209" s="43" t="n"/>
      <c r="BM209" s="44">
        <f>IFERROR(INDEX(LMH_PTS,MATCH(Y209,LMH_KEY,0)),0)</f>
        <v>9</v>
      </c>
      <c r="BN209" s="38">
        <f>IFERROR(INDEX(LMH_PTS,MATCH(Z209,LMH_KEY,0)),0)</f>
        <v>3</v>
      </c>
      <c r="BO209" s="38">
        <f>IFERROR(INDEX(LMH_PTS,MATCH(AA209,LMH_KEY,0)),0)</f>
        <v>1</v>
      </c>
      <c r="BP209" s="38">
        <f>IFERROR(INDEX(LMH_PTS,MATCH(AB209,LMH_KEY,0)),0)</f>
        <v>1</v>
      </c>
      <c r="BQ209" s="38">
        <f>IFERROR(INDEX(LMH_PTS,MATCH(AC209,LMH_KEY,0)),0)</f>
        <v>1</v>
      </c>
      <c r="BR209" s="38">
        <f>IFERROR(INDEX(LMH_PTS,MATCH(AD209,LMH_KEY,0)),0)</f>
        <v>1</v>
      </c>
      <c r="BS209" s="38">
        <f>IFERROR(INDEX(LMH_PTS,MATCH(AE209,LMH_KEY,0)),0)</f>
        <v>1</v>
      </c>
      <c r="BT209" s="38">
        <f>IFERROR(INDEX(LMH_STEP,MATCH(AF209,LMH_KEY,0)),0)</f>
        <v>0</v>
      </c>
      <c r="BU209" s="38">
        <f>IFERROR(INDEX(LMH_STEP,MATCH(AG209,LMH_KEY,0)),0)</f>
        <v>0</v>
      </c>
      <c r="BV209" s="38">
        <f>IFERROR(INDEX(LMH_STEP,MATCH(AH209,LMH_KEY,0)),0)</f>
        <v>0</v>
      </c>
      <c r="BW209" s="38">
        <f>IFERROR(INDEX(LMH_STEP,MATCH(AI209,LMH_KEY,0)),0)</f>
        <v>0</v>
      </c>
      <c r="BX209" s="38">
        <f>IFERROR(INDEX(LMH_STEP,MATCH(AJ209,LMH_KEY,0)),0)</f>
        <v>0</v>
      </c>
      <c r="BY209" s="38">
        <f>IFERROR(INDEX(LMH_STEP,MATCH(AK209,LMH_KEY,0)),0)</f>
        <v>0</v>
      </c>
      <c r="BZ209" s="38">
        <f>IFERROR(INDEX(LMH_STEP,MATCH(AL209,LMH_KEY,0)),0)</f>
        <v>0</v>
      </c>
      <c r="CA209" s="38" t="inlineStr">
        <is>
          <t>iDEAL|Technology|Senior Software Engineer|A3|A</t>
        </is>
      </c>
    </row>
    <row r="210" ht="110" customHeight="1">
      <c r="A210" s="28" t="inlineStr">
        <is>
          <t>iDEAL</t>
        </is>
      </c>
      <c r="B210" s="29" t="inlineStr">
        <is>
          <t>Technology</t>
        </is>
      </c>
      <c r="C210" s="29" t="n">
        <v>3</v>
      </c>
      <c r="D210" s="29" t="inlineStr">
        <is>
          <t>IRIS2104</t>
        </is>
      </c>
      <c r="E210" s="29" t="inlineStr">
        <is>
          <t>Ravi Ranjan</t>
        </is>
      </c>
      <c r="F210" s="29" t="inlineStr">
        <is>
          <t>Lead Software Engineer</t>
        </is>
      </c>
      <c r="G210" s="29" t="inlineStr">
        <is>
          <t>Lead Software Engineer</t>
        </is>
      </c>
      <c r="H210" s="29" t="inlineStr">
        <is>
          <t>Engineering &amp; Development</t>
        </is>
      </c>
      <c r="I210" s="29" t="inlineStr">
        <is>
          <t>Backend Development</t>
        </is>
      </c>
      <c r="J210" s="29" t="inlineStr">
        <is>
          <t>IC</t>
        </is>
      </c>
      <c r="K210" s="29" t="inlineStr">
        <is>
          <t>RC-071</t>
        </is>
      </c>
      <c r="L210" s="29" t="inlineStr">
        <is>
          <t>Hemant Karale</t>
        </is>
      </c>
      <c r="M210" s="29" t="inlineStr">
        <is>
          <t>IRIS1224</t>
        </is>
      </c>
      <c r="N210" s="29" t="n">
        <v>25.6</v>
      </c>
      <c r="O210" s="29" t="n">
        <v>3.6</v>
      </c>
      <c r="P210" s="29" t="inlineStr">
        <is>
          <t>MCA</t>
        </is>
      </c>
      <c r="Q210" s="29" t="inlineStr">
        <is>
          <t>L5 – Lead · IC</t>
        </is>
      </c>
      <c r="R210" s="29" t="inlineStr">
        <is>
          <t>B3</t>
        </is>
      </c>
      <c r="S210" s="30" t="inlineStr">
        <is>
          <t>20 of 20</t>
        </is>
      </c>
      <c r="T210" s="31"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t>
        </is>
      </c>
      <c r="U210" s="31" t="inlineStr">
        <is>
          <t>Received · manager annual, quarterly, self ·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t>
        </is>
      </c>
      <c r="V210" s="31" t="inlineStr">
        <is>
          <t>Latest rating: 4 · 9-box: Not placed · manager · Readiness: Ready in 6–12 months</t>
        </is>
      </c>
      <c r="W210" s="31" t="inlineStr">
        <is>
          <t>C L · Au L · Ac L · L L · BI M · Exp H · 25.6 yrs vs 8–12 yrs · Edu M · MCA</t>
        </is>
      </c>
      <c r="X210" s="33" t="inlineStr">
        <is>
          <t>Open ▸</t>
        </is>
      </c>
      <c r="Y210" s="34" t="str">
        <f>IFERROR(INDEX(DL_C,MATCH($CA210,DL_KEY,0)),"M")</f>
        <v>H</v>
      </c>
      <c r="Z210" s="35" t="str">
        <f>IFERROR(INDEX(DL_Au,MATCH($CA210,DL_KEY,0)),"M")</f>
        <v>M</v>
      </c>
      <c r="AA210" s="35" t="str">
        <f>IFERROR(INDEX(DL_Ac,MATCH($CA210,DL_KEY,0)),"M")</f>
        <v>L</v>
      </c>
      <c r="AB210" s="35" t="str">
        <f>IFERROR(INDEX(DL_L,MATCH($CA210,DL_KEY,0)),"M")</f>
        <v>L</v>
      </c>
      <c r="AC210" s="35" t="str">
        <f>IFERROR(INDEX(DL_BI,MATCH($CA210,DL_KEY,0)),"M")</f>
        <v>L</v>
      </c>
      <c r="AD210" s="35" t="str">
        <f>IFERROR(INDEX(DL_Exp,MATCH($CA210,DL_KEY,0)),"M")</f>
        <v>L</v>
      </c>
      <c r="AE210" s="35" t="str">
        <f>IFERROR(INDEX(DL_Edu,MATCH($CA210,DL_KEY,0)),"M")</f>
        <v>L</v>
      </c>
      <c r="AF210" s="34" t="inlineStr">
        <is>
          <t>M</t>
        </is>
      </c>
      <c r="AG210" s="35" t="inlineStr">
        <is>
          <t>M</t>
        </is>
      </c>
      <c r="AH210" s="35" t="inlineStr">
        <is>
          <t>M</t>
        </is>
      </c>
      <c r="AI210" s="35" t="inlineStr">
        <is>
          <t>M</t>
        </is>
      </c>
      <c r="AJ210" s="35" t="inlineStr">
        <is>
          <t>M</t>
        </is>
      </c>
      <c r="AK210" s="35" t="inlineStr">
        <is>
          <t>M</t>
        </is>
      </c>
      <c r="AL210" s="35" t="inlineStr">
        <is>
          <t>M</t>
        </is>
      </c>
      <c r="AM210" s="36" t="n">
        <v>0.513</v>
      </c>
      <c r="AN210" s="37" t="n">
        <v>0.173</v>
      </c>
      <c r="AO210" s="37" t="n">
        <v>0.09699999999999999</v>
      </c>
      <c r="AP210" s="37" t="n">
        <v>0.05</v>
      </c>
      <c r="AQ210" s="37" t="n">
        <v>0.07000000000000001</v>
      </c>
      <c r="AR210" s="37" t="n">
        <v>0.06</v>
      </c>
      <c r="AS210" s="37" t="n">
        <v>0.04</v>
      </c>
      <c r="AT210" s="38" t="inlineStr">
        <is>
          <t>8–13</t>
        </is>
      </c>
      <c r="AU210" s="38" t="inlineStr">
        <is>
          <t>Postgraduate or professional qualification preferred</t>
        </is>
      </c>
      <c r="AV210" s="38" t="inlineStr">
        <is>
          <t>IC: none · People: 5–8 incl. team leads</t>
        </is>
      </c>
      <c r="AW210" s="38" t="inlineStr">
        <is>
          <t>P5 / M4 · SFIA 5 Ensure, advise</t>
        </is>
      </c>
      <c r="AX2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0" s="39" t="inlineStr">
        <is>
          <t>B3</t>
        </is>
      </c>
      <c r="AZ210" s="40" t="inlineStr">
        <is>
          <t>Band B · Specialist / Manager · Lead Specialist</t>
        </is>
      </c>
      <c r="BA210" s="40" t="inlineStr">
        <is>
          <t>Model B3 from the six ratings, the market-derived weights and rules R1–R13 · then No change · already below the manager</t>
        </is>
      </c>
      <c r="BB210" s="41" t="inlineStr">
        <is>
          <t>B3</t>
        </is>
      </c>
      <c r="BC210" s="40" t="inlineStr">
        <is>
          <t>The six ratings on the market-average weights of Band B · Specialist / POD Lead score 5.68 → B3 · Hay, Mercer IPE and public plans · experience 25.6 yrs vs the B3 market range 8–13</t>
        </is>
      </c>
      <c r="BD210" s="42">
        <f>IF(SUM(BM210,BN210,BO210,BP210,BQ210,BR210,BS210)=0,0,(BM210*BT210+BN210*BU210+BO210*BV210+BP210*BW210+BQ210*BX210+BR210*BY210+BS210*BZ210)/SUM(BM210,BN210,BO210,BP210,BQ210,BR210,BS210))</f>
        <v>0</v>
      </c>
      <c r="BE210" s="41" t="str">
        <f>IF(LEFT(AY210,1)="X",AY210,IF(OR(AY210="B+",AY210="C+"),INDEX(LAD_PC,MAX(1,MIN(14,MATCH(AY210,LAD_PC,0)+IF(BD210&gt;=0.5,1,IF(BD210&lt;=-0.5,-1,0))))),INDEX(LAD_STD,MAX(1,MIN(12,MATCH(AY210,LAD_STD,0)+IF(BD210&gt;=0.5,1,IF(BD210&lt;=-0.5,-1,0)))))))</f>
        <v>B3</v>
      </c>
      <c r="BF210" s="43" t="n"/>
      <c r="BG210" s="41" t="str">
        <f>IF(BF210&lt;&gt;"",BF210,BE210)</f>
        <v>B3</v>
      </c>
      <c r="BH210" s="40" t="str">
        <f>IFERROR(CHOOSE(INDEX(B_RANK,MATCH(BG210,B_LVL,0)),"Band A","Band B","B+ · Player-Coach","Band C","C+ · Player-Coach","Band D","Band E"),"Band X · Consultant")</f>
        <v>Band B</v>
      </c>
      <c r="BI210" s="40" t="str">
        <f>IF(BG210=AY210,"• Same",IF(INDEX(B_VAL,MATCH(BG210,B_LVL,0))&gt;INDEX(B_VAL,MATCH(AY210,B_LVL,0)),"▲ Up","▼ Down"))</f>
        <v>• Same</v>
      </c>
      <c r="BJ210" s="40" t="str">
        <f>IF(OR($M210="",$M210="—",$M210="Not in this file"),"",IFERROR(INDEX($BG$7:$BG$592,MATCH($M210,$D$7:$D$592,0)),""))</f>
        <v>C2</v>
      </c>
      <c r="BK210" s="40" t="str">
        <f>IFERROR(IF(BJ210="","—",IF(OR(LEFT(BG210,1)="X",LEFT(BJ210,1)="X"),"—",IF(AND(LEFT(BG210,1)="E",LEFT(BJ210,1)="E"),"Exception · Band E",IF(AND(INDEX(B_VAL,MATCH(BJ210,B_LVL,0))&gt;=7,INDEX(B_RANK,MATCH(BG210,B_LVL,0))&gt;=INDEX(B_RANK,MATCH(BJ210,B_LVL,0))),"⚠ Same band as a head manager",IF(INDEX(B_VAL,MATCH(BG210,B_LVL,0))&gt;=INDEX(B_VAL,MATCH(BJ210,B_LVL,0)),"⚠ At or above the manager's level","OK"))))),"—")</f>
        <v>OK</v>
      </c>
      <c r="BL210" s="43" t="n"/>
      <c r="BM210" s="44">
        <f>IFERROR(INDEX(LMH_PTS,MATCH(Y210,LMH_KEY,0)),0)</f>
        <v>9</v>
      </c>
      <c r="BN210" s="38">
        <f>IFERROR(INDEX(LMH_PTS,MATCH(Z210,LMH_KEY,0)),0)</f>
        <v>3</v>
      </c>
      <c r="BO210" s="38">
        <f>IFERROR(INDEX(LMH_PTS,MATCH(AA210,LMH_KEY,0)),0)</f>
        <v>1</v>
      </c>
      <c r="BP210" s="38">
        <f>IFERROR(INDEX(LMH_PTS,MATCH(AB210,LMH_KEY,0)),0)</f>
        <v>1</v>
      </c>
      <c r="BQ210" s="38">
        <f>IFERROR(INDEX(LMH_PTS,MATCH(AC210,LMH_KEY,0)),0)</f>
        <v>1</v>
      </c>
      <c r="BR210" s="38">
        <f>IFERROR(INDEX(LMH_PTS,MATCH(AD210,LMH_KEY,0)),0)</f>
        <v>1</v>
      </c>
      <c r="BS210" s="38">
        <f>IFERROR(INDEX(LMH_PTS,MATCH(AE210,LMH_KEY,0)),0)</f>
        <v>1</v>
      </c>
      <c r="BT210" s="38">
        <f>IFERROR(INDEX(LMH_STEP,MATCH(AF210,LMH_KEY,0)),0)</f>
        <v>0</v>
      </c>
      <c r="BU210" s="38">
        <f>IFERROR(INDEX(LMH_STEP,MATCH(AG210,LMH_KEY,0)),0)</f>
        <v>0</v>
      </c>
      <c r="BV210" s="38">
        <f>IFERROR(INDEX(LMH_STEP,MATCH(AH210,LMH_KEY,0)),0)</f>
        <v>0</v>
      </c>
      <c r="BW210" s="38">
        <f>IFERROR(INDEX(LMH_STEP,MATCH(AI210,LMH_KEY,0)),0)</f>
        <v>0</v>
      </c>
      <c r="BX210" s="38">
        <f>IFERROR(INDEX(LMH_STEP,MATCH(AJ210,LMH_KEY,0)),0)</f>
        <v>0</v>
      </c>
      <c r="BY210" s="38">
        <f>IFERROR(INDEX(LMH_STEP,MATCH(AK210,LMH_KEY,0)),0)</f>
        <v>0</v>
      </c>
      <c r="BZ210" s="38">
        <f>IFERROR(INDEX(LMH_STEP,MATCH(AL210,LMH_KEY,0)),0)</f>
        <v>0</v>
      </c>
      <c r="CA210" s="38" t="inlineStr">
        <is>
          <t>iDEAL|Technology|Lead Software Engineer|B3|B-IC</t>
        </is>
      </c>
    </row>
    <row r="211" ht="110" customHeight="1">
      <c r="A211" s="28" t="inlineStr">
        <is>
          <t>iDEAL</t>
        </is>
      </c>
      <c r="B211" s="29" t="inlineStr">
        <is>
          <t>Product Management</t>
        </is>
      </c>
      <c r="C211" s="29" t="n">
        <v>3</v>
      </c>
      <c r="D211" s="29" t="inlineStr">
        <is>
          <t>IRIS0971</t>
        </is>
      </c>
      <c r="E211" s="29" t="inlineStr">
        <is>
          <t>Dnyaneshwar Daund</t>
        </is>
      </c>
      <c r="F211" s="29" t="inlineStr">
        <is>
          <t>Product Manager</t>
        </is>
      </c>
      <c r="G211" s="29" t="inlineStr">
        <is>
          <t>Product Manager</t>
        </is>
      </c>
      <c r="H211" s="29" t="inlineStr">
        <is>
          <t>Product Management</t>
        </is>
      </c>
      <c r="I211" s="29" t="inlineStr">
        <is>
          <t>Product Management</t>
        </is>
      </c>
      <c r="J211" s="29" t="inlineStr">
        <is>
          <t>People Manager</t>
        </is>
      </c>
      <c r="K211" s="29" t="inlineStr">
        <is>
          <t>RC-127</t>
        </is>
      </c>
      <c r="L211" s="29" t="inlineStr">
        <is>
          <t>Hemant Karale</t>
        </is>
      </c>
      <c r="M211" s="29" t="inlineStr">
        <is>
          <t>IRIS1224</t>
        </is>
      </c>
      <c r="N211" s="29" t="n">
        <v>16.2</v>
      </c>
      <c r="O211" s="29" t="n">
        <v>15</v>
      </c>
      <c r="P211" s="29" t="inlineStr">
        <is>
          <t>MMS</t>
        </is>
      </c>
      <c r="Q211" s="29" t="inlineStr">
        <is>
          <t>L5 – Manager</t>
        </is>
      </c>
      <c r="R211" s="29" t="inlineStr">
        <is>
          <t>B2</t>
        </is>
      </c>
      <c r="S211" s="30" t="inlineStr">
        <is>
          <t>20 of 20</t>
        </is>
      </c>
      <c r="T211" s="31"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t>
        </is>
      </c>
      <c r="U211" s="31" t="inlineStr">
        <is>
          <t>Received · manager annual, quarterly, self · 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t>
        </is>
      </c>
      <c r="V211" s="31" t="inlineStr">
        <is>
          <t>Latest rating: 5 · 9-box: Not placed · manager · Readiness: Ready in 6–12 months</t>
        </is>
      </c>
      <c r="W211" s="31" t="inlineStr">
        <is>
          <t>C M · Au M · Ac M · L L · BI M · Exp H · 16.2 yrs vs 6–9 yrs · Edu H · MMS</t>
        </is>
      </c>
      <c r="X211" s="33" t="inlineStr">
        <is>
          <t>Open ▸</t>
        </is>
      </c>
      <c r="Y211" s="34" t="str">
        <f>IFERROR(INDEX(DL_C,MATCH($CA211,DL_KEY,0)),"M")</f>
        <v>H</v>
      </c>
      <c r="Z211" s="35" t="str">
        <f>IFERROR(INDEX(DL_Au,MATCH($CA211,DL_KEY,0)),"M")</f>
        <v>M</v>
      </c>
      <c r="AA211" s="35" t="str">
        <f>IFERROR(INDEX(DL_Ac,MATCH($CA211,DL_KEY,0)),"M")</f>
        <v>M</v>
      </c>
      <c r="AB211" s="35" t="str">
        <f>IFERROR(INDEX(DL_L,MATCH($CA211,DL_KEY,0)),"M")</f>
        <v>M</v>
      </c>
      <c r="AC211" s="35" t="str">
        <f>IFERROR(INDEX(DL_BI,MATCH($CA211,DL_KEY,0)),"M")</f>
        <v>L</v>
      </c>
      <c r="AD211" s="35" t="str">
        <f>IFERROR(INDEX(DL_Exp,MATCH($CA211,DL_KEY,0)),"M")</f>
        <v>L</v>
      </c>
      <c r="AE211" s="35" t="str">
        <f>IFERROR(INDEX(DL_Edu,MATCH($CA211,DL_KEY,0)),"M")</f>
        <v>L</v>
      </c>
      <c r="AF211" s="34" t="inlineStr">
        <is>
          <t>M</t>
        </is>
      </c>
      <c r="AG211" s="35" t="inlineStr">
        <is>
          <t>M</t>
        </is>
      </c>
      <c r="AH211" s="35" t="inlineStr">
        <is>
          <t>M</t>
        </is>
      </c>
      <c r="AI211" s="35" t="inlineStr">
        <is>
          <t>M</t>
        </is>
      </c>
      <c r="AJ211" s="35" t="inlineStr">
        <is>
          <t>M</t>
        </is>
      </c>
      <c r="AK211" s="35" t="inlineStr">
        <is>
          <t>M</t>
        </is>
      </c>
      <c r="AL211" s="35" t="inlineStr">
        <is>
          <t>M</t>
        </is>
      </c>
      <c r="AM211" s="36" t="n">
        <v>0.37</v>
      </c>
      <c r="AN211" s="37" t="n">
        <v>0.183</v>
      </c>
      <c r="AO211" s="37" t="n">
        <v>0.113</v>
      </c>
      <c r="AP211" s="37" t="n">
        <v>0.15</v>
      </c>
      <c r="AQ211" s="37" t="n">
        <v>0.08699999999999999</v>
      </c>
      <c r="AR211" s="37" t="n">
        <v>0.06</v>
      </c>
      <c r="AS211" s="37" t="n">
        <v>0.04</v>
      </c>
      <c r="AT211" s="38" t="inlineStr">
        <is>
          <t>6–10</t>
        </is>
      </c>
      <c r="AU211" s="38" t="inlineStr">
        <is>
          <t>Graduate or postgraduate; professional qualification preferred</t>
        </is>
      </c>
      <c r="AV211" s="38" t="inlineStr">
        <is>
          <t>IC: none · People: 6–8 knowledge work, 8–12 standardised delivery</t>
        </is>
      </c>
      <c r="AW211" s="38" t="inlineStr">
        <is>
          <t>P4 / M3 · SFIA 4–5</t>
        </is>
      </c>
      <c r="AX2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1" s="39" t="inlineStr">
        <is>
          <t>B2</t>
        </is>
      </c>
      <c r="AZ211" s="40" t="inlineStr">
        <is>
          <t>Band B · Specialist / Manager · Manager</t>
        </is>
      </c>
      <c r="BA211" s="40" t="inlineStr">
        <is>
          <t>Model B2 from the six ratings, the market-derived weights and rules R1–R13 · then No change · already below the manager</t>
        </is>
      </c>
      <c r="BB211" s="41" t="inlineStr">
        <is>
          <t>B2</t>
        </is>
      </c>
      <c r="BC211" s="40" t="inlineStr">
        <is>
          <t>The six ratings on the market-average weights of Band B · People Manager score 4.97 → B2 · Hay, Mercer IPE and public plans · experience 16.2 yrs vs the B2 market range 6–10</t>
        </is>
      </c>
      <c r="BD211" s="42">
        <f>IF(SUM(BM211,BN211,BO211,BP211,BQ211,BR211,BS211)=0,0,(BM211*BT211+BN211*BU211+BO211*BV211+BP211*BW211+BQ211*BX211+BR211*BY211+BS211*BZ211)/SUM(BM211,BN211,BO211,BP211,BQ211,BR211,BS211))</f>
        <v>0</v>
      </c>
      <c r="BE211" s="41" t="str">
        <f>IF(LEFT(AY211,1)="X",AY211,IF(OR(AY211="B+",AY211="C+"),INDEX(LAD_PC,MAX(1,MIN(14,MATCH(AY211,LAD_PC,0)+IF(BD211&gt;=0.5,1,IF(BD211&lt;=-0.5,-1,0))))),INDEX(LAD_STD,MAX(1,MIN(12,MATCH(AY211,LAD_STD,0)+IF(BD211&gt;=0.5,1,IF(BD211&lt;=-0.5,-1,0)))))))</f>
        <v>B2</v>
      </c>
      <c r="BF211" s="43" t="n"/>
      <c r="BG211" s="41" t="str">
        <f>IF(BF211&lt;&gt;"",BF211,BE211)</f>
        <v>B2</v>
      </c>
      <c r="BH211" s="40" t="str">
        <f>IFERROR(CHOOSE(INDEX(B_RANK,MATCH(BG211,B_LVL,0)),"Band A","Band B","B+ · Player-Coach","Band C","C+ · Player-Coach","Band D","Band E"),"Band X · Consultant")</f>
        <v>Band B</v>
      </c>
      <c r="BI211" s="40" t="str">
        <f>IF(BG211=AY211,"• Same",IF(INDEX(B_VAL,MATCH(BG211,B_LVL,0))&gt;INDEX(B_VAL,MATCH(AY211,B_LVL,0)),"▲ Up","▼ Down"))</f>
        <v>• Same</v>
      </c>
      <c r="BJ211" s="40" t="str">
        <f>IF(OR($M211="",$M211="—",$M211="Not in this file"),"",IFERROR(INDEX($BG$7:$BG$592,MATCH($M211,$D$7:$D$592,0)),""))</f>
        <v>C2</v>
      </c>
      <c r="BK211" s="40" t="str">
        <f>IFERROR(IF(BJ211="","—",IF(OR(LEFT(BG211,1)="X",LEFT(BJ211,1)="X"),"—",IF(AND(LEFT(BG211,1)="E",LEFT(BJ211,1)="E"),"Exception · Band E",IF(AND(INDEX(B_VAL,MATCH(BJ211,B_LVL,0))&gt;=7,INDEX(B_RANK,MATCH(BG211,B_LVL,0))&gt;=INDEX(B_RANK,MATCH(BJ211,B_LVL,0))),"⚠ Same band as a head manager",IF(INDEX(B_VAL,MATCH(BG211,B_LVL,0))&gt;=INDEX(B_VAL,MATCH(BJ211,B_LVL,0)),"⚠ At or above the manager's level","OK"))))),"—")</f>
        <v>OK</v>
      </c>
      <c r="BL211" s="43" t="n"/>
      <c r="BM211" s="44">
        <f>IFERROR(INDEX(LMH_PTS,MATCH(Y211,LMH_KEY,0)),0)</f>
        <v>9</v>
      </c>
      <c r="BN211" s="38">
        <f>IFERROR(INDEX(LMH_PTS,MATCH(Z211,LMH_KEY,0)),0)</f>
        <v>3</v>
      </c>
      <c r="BO211" s="38">
        <f>IFERROR(INDEX(LMH_PTS,MATCH(AA211,LMH_KEY,0)),0)</f>
        <v>3</v>
      </c>
      <c r="BP211" s="38">
        <f>IFERROR(INDEX(LMH_PTS,MATCH(AB211,LMH_KEY,0)),0)</f>
        <v>3</v>
      </c>
      <c r="BQ211" s="38">
        <f>IFERROR(INDEX(LMH_PTS,MATCH(AC211,LMH_KEY,0)),0)</f>
        <v>1</v>
      </c>
      <c r="BR211" s="38">
        <f>IFERROR(INDEX(LMH_PTS,MATCH(AD211,LMH_KEY,0)),0)</f>
        <v>1</v>
      </c>
      <c r="BS211" s="38">
        <f>IFERROR(INDEX(LMH_PTS,MATCH(AE211,LMH_KEY,0)),0)</f>
        <v>1</v>
      </c>
      <c r="BT211" s="38">
        <f>IFERROR(INDEX(LMH_STEP,MATCH(AF211,LMH_KEY,0)),0)</f>
        <v>0</v>
      </c>
      <c r="BU211" s="38">
        <f>IFERROR(INDEX(LMH_STEP,MATCH(AG211,LMH_KEY,0)),0)</f>
        <v>0</v>
      </c>
      <c r="BV211" s="38">
        <f>IFERROR(INDEX(LMH_STEP,MATCH(AH211,LMH_KEY,0)),0)</f>
        <v>0</v>
      </c>
      <c r="BW211" s="38">
        <f>IFERROR(INDEX(LMH_STEP,MATCH(AI211,LMH_KEY,0)),0)</f>
        <v>0</v>
      </c>
      <c r="BX211" s="38">
        <f>IFERROR(INDEX(LMH_STEP,MATCH(AJ211,LMH_KEY,0)),0)</f>
        <v>0</v>
      </c>
      <c r="BY211" s="38">
        <f>IFERROR(INDEX(LMH_STEP,MATCH(AK211,LMH_KEY,0)),0)</f>
        <v>0</v>
      </c>
      <c r="BZ211" s="38">
        <f>IFERROR(INDEX(LMH_STEP,MATCH(AL211,LMH_KEY,0)),0)</f>
        <v>0</v>
      </c>
      <c r="CA211" s="38" t="inlineStr">
        <is>
          <t>iDEAL|Product Management|Product Manager|B2|B-M</t>
        </is>
      </c>
    </row>
    <row r="212" ht="110" customHeight="1">
      <c r="A212" s="28" t="inlineStr">
        <is>
          <t>iDEAL</t>
        </is>
      </c>
      <c r="B212" s="29" t="inlineStr">
        <is>
          <t>Technology</t>
        </is>
      </c>
      <c r="C212" s="29" t="n">
        <v>4</v>
      </c>
      <c r="D212" s="29" t="inlineStr">
        <is>
          <t>IRIS2125</t>
        </is>
      </c>
      <c r="E212" s="29" t="inlineStr">
        <is>
          <t>Phuzel Siddiqui</t>
        </is>
      </c>
      <c r="F212" s="29" t="inlineStr">
        <is>
          <t>Business Analyst</t>
        </is>
      </c>
      <c r="G212" s="29" t="inlineStr">
        <is>
          <t>Business Analysis Specialist – POD Lead</t>
        </is>
      </c>
      <c r="H212" s="29" t="inlineStr">
        <is>
          <t>Business Analysis</t>
        </is>
      </c>
      <c r="I212" s="29" t="inlineStr">
        <is>
          <t>Business Analysis</t>
        </is>
      </c>
      <c r="J212" s="29" t="inlineStr">
        <is>
          <t>POD Lead</t>
        </is>
      </c>
      <c r="K212" s="29" t="inlineStr">
        <is>
          <t>RC-010</t>
        </is>
      </c>
      <c r="L212" s="29" t="inlineStr">
        <is>
          <t>Dnyaneshwar Daund</t>
        </is>
      </c>
      <c r="M212" s="29" t="inlineStr">
        <is>
          <t>IRIS0971</t>
        </is>
      </c>
      <c r="N212" s="29" t="n">
        <v>9.800000000000001</v>
      </c>
      <c r="O212" s="29" t="n">
        <v>3.4</v>
      </c>
      <c r="P212" s="29" t="inlineStr">
        <is>
          <t>B.E</t>
        </is>
      </c>
      <c r="Q212" s="29" t="inlineStr">
        <is>
          <t>L3 – Professional / Associate</t>
        </is>
      </c>
      <c r="R212" s="29" t="inlineStr">
        <is>
          <t>B1</t>
        </is>
      </c>
      <c r="S212" s="30" t="inlineStr">
        <is>
          <t>18 of 20</t>
        </is>
      </c>
      <c r="T212" s="31"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t>
        </is>
      </c>
      <c r="U212" s="31" t="inlineStr">
        <is>
          <t>Received · manager annual, quarterly, self ·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t>
        </is>
      </c>
      <c r="V212" s="31" t="inlineStr">
        <is>
          <t>Latest rating: 3 · Potential: Medium · 9-box: Emerging Talent · Readiness: Develop in role</t>
        </is>
      </c>
      <c r="W212" s="31" t="inlineStr">
        <is>
          <t>C M · Au L · Ac M · L L · BI M · Exp H · 9.8 yrs vs 4–7 yrs · Edu M · B.E</t>
        </is>
      </c>
      <c r="X212" s="33" t="inlineStr">
        <is>
          <t>Open ▸</t>
        </is>
      </c>
      <c r="Y212" s="34" t="str">
        <f>IFERROR(INDEX(DL_C,MATCH($CA212,DL_KEY,0)),"M")</f>
        <v>H</v>
      </c>
      <c r="Z212" s="35" t="str">
        <f>IFERROR(INDEX(DL_Au,MATCH($CA212,DL_KEY,0)),"M")</f>
        <v>M</v>
      </c>
      <c r="AA212" s="35" t="str">
        <f>IFERROR(INDEX(DL_Ac,MATCH($CA212,DL_KEY,0)),"M")</f>
        <v>L</v>
      </c>
      <c r="AB212" s="35" t="str">
        <f>IFERROR(INDEX(DL_L,MATCH($CA212,DL_KEY,0)),"M")</f>
        <v>L</v>
      </c>
      <c r="AC212" s="35" t="str">
        <f>IFERROR(INDEX(DL_BI,MATCH($CA212,DL_KEY,0)),"M")</f>
        <v>L</v>
      </c>
      <c r="AD212" s="35" t="str">
        <f>IFERROR(INDEX(DL_Exp,MATCH($CA212,DL_KEY,0)),"M")</f>
        <v>L</v>
      </c>
      <c r="AE212" s="35" t="str">
        <f>IFERROR(INDEX(DL_Edu,MATCH($CA212,DL_KEY,0)),"M")</f>
        <v>L</v>
      </c>
      <c r="AF212" s="34" t="inlineStr">
        <is>
          <t>M</t>
        </is>
      </c>
      <c r="AG212" s="35" t="inlineStr">
        <is>
          <t>M</t>
        </is>
      </c>
      <c r="AH212" s="35" t="inlineStr">
        <is>
          <t>M</t>
        </is>
      </c>
      <c r="AI212" s="35" t="inlineStr">
        <is>
          <t>M</t>
        </is>
      </c>
      <c r="AJ212" s="35" t="inlineStr">
        <is>
          <t>M</t>
        </is>
      </c>
      <c r="AK212" s="35" t="inlineStr">
        <is>
          <t>M</t>
        </is>
      </c>
      <c r="AL212" s="35" t="inlineStr">
        <is>
          <t>M</t>
        </is>
      </c>
      <c r="AM212" s="36" t="n">
        <v>0.513</v>
      </c>
      <c r="AN212" s="37" t="n">
        <v>0.173</v>
      </c>
      <c r="AO212" s="37" t="n">
        <v>0.09699999999999999</v>
      </c>
      <c r="AP212" s="37" t="n">
        <v>0.05</v>
      </c>
      <c r="AQ212" s="37" t="n">
        <v>0.07000000000000001</v>
      </c>
      <c r="AR212" s="37" t="n">
        <v>0.06</v>
      </c>
      <c r="AS212" s="37" t="n">
        <v>0.04</v>
      </c>
      <c r="AT212" s="38" t="inlineStr">
        <is>
          <t>4–8</t>
        </is>
      </c>
      <c r="AU212" s="38" t="inlineStr">
        <is>
          <t>Graduate + relevant qualification or certification preferred</t>
        </is>
      </c>
      <c r="AV212" s="38" t="inlineStr">
        <is>
          <t>IC: none · Team Lead: 3–5</t>
        </is>
      </c>
      <c r="AW212" s="38" t="inlineStr">
        <is>
          <t>P3 / M2 · SFIA 4 Enable</t>
        </is>
      </c>
      <c r="AX2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2" s="39" t="inlineStr">
        <is>
          <t>B1</t>
        </is>
      </c>
      <c r="AZ212" s="40" t="inlineStr">
        <is>
          <t>Band B · Specialist / Manager · Team Lead / Asst Manager</t>
        </is>
      </c>
      <c r="BA212" s="40" t="inlineStr">
        <is>
          <t>Model B1 from the six ratings, the market-derived weights and rules R1–R13 · then No change · already below the manager</t>
        </is>
      </c>
      <c r="BB212" s="41" t="inlineStr">
        <is>
          <t>B1</t>
        </is>
      </c>
      <c r="BC212" s="40" t="inlineStr">
        <is>
          <t>The six ratings on the market-average weights of Band B · Specialist / POD Lead score 3.76 → B1 · Hay, Mercer IPE and public plans · experience 9.8 yrs vs the B1 market range 4–8</t>
        </is>
      </c>
      <c r="BD212" s="42">
        <f>IF(SUM(BM212,BN212,BO212,BP212,BQ212,BR212,BS212)=0,0,(BM212*BT212+BN212*BU212+BO212*BV212+BP212*BW212+BQ212*BX212+BR212*BY212+BS212*BZ212)/SUM(BM212,BN212,BO212,BP212,BQ212,BR212,BS212))</f>
        <v>0</v>
      </c>
      <c r="BE212" s="41" t="str">
        <f>IF(LEFT(AY212,1)="X",AY212,IF(OR(AY212="B+",AY212="C+"),INDEX(LAD_PC,MAX(1,MIN(14,MATCH(AY212,LAD_PC,0)+IF(BD212&gt;=0.5,1,IF(BD212&lt;=-0.5,-1,0))))),INDEX(LAD_STD,MAX(1,MIN(12,MATCH(AY212,LAD_STD,0)+IF(BD212&gt;=0.5,1,IF(BD212&lt;=-0.5,-1,0)))))))</f>
        <v>B1</v>
      </c>
      <c r="BF212" s="43" t="n"/>
      <c r="BG212" s="41" t="str">
        <f>IF(BF212&lt;&gt;"",BF212,BE212)</f>
        <v>B1</v>
      </c>
      <c r="BH212" s="40" t="str">
        <f>IFERROR(CHOOSE(INDEX(B_RANK,MATCH(BG212,B_LVL,0)),"Band A","Band B","B+ · Player-Coach","Band C","C+ · Player-Coach","Band D","Band E"),"Band X · Consultant")</f>
        <v>Band B</v>
      </c>
      <c r="BI212" s="40" t="str">
        <f>IF(BG212=AY212,"• Same",IF(INDEX(B_VAL,MATCH(BG212,B_LVL,0))&gt;INDEX(B_VAL,MATCH(AY212,B_LVL,0)),"▲ Up","▼ Down"))</f>
        <v>• Same</v>
      </c>
      <c r="BJ212" s="40" t="str">
        <f>IF(OR($M212="",$M212="—",$M212="Not in this file"),"",IFERROR(INDEX($BG$7:$BG$592,MATCH($M212,$D$7:$D$592,0)),""))</f>
        <v>B2</v>
      </c>
      <c r="BK212" s="40" t="str">
        <f>IFERROR(IF(BJ212="","—",IF(OR(LEFT(BG212,1)="X",LEFT(BJ212,1)="X"),"—",IF(AND(LEFT(BG212,1)="E",LEFT(BJ212,1)="E"),"Exception · Band E",IF(AND(INDEX(B_VAL,MATCH(BJ212,B_LVL,0))&gt;=7,INDEX(B_RANK,MATCH(BG212,B_LVL,0))&gt;=INDEX(B_RANK,MATCH(BJ212,B_LVL,0))),"⚠ Same band as a head manager",IF(INDEX(B_VAL,MATCH(BG212,B_LVL,0))&gt;=INDEX(B_VAL,MATCH(BJ212,B_LVL,0)),"⚠ At or above the manager's level","OK"))))),"—")</f>
        <v>OK</v>
      </c>
      <c r="BL212" s="43" t="n"/>
      <c r="BM212" s="44">
        <f>IFERROR(INDEX(LMH_PTS,MATCH(Y212,LMH_KEY,0)),0)</f>
        <v>9</v>
      </c>
      <c r="BN212" s="38">
        <f>IFERROR(INDEX(LMH_PTS,MATCH(Z212,LMH_KEY,0)),0)</f>
        <v>3</v>
      </c>
      <c r="BO212" s="38">
        <f>IFERROR(INDEX(LMH_PTS,MATCH(AA212,LMH_KEY,0)),0)</f>
        <v>1</v>
      </c>
      <c r="BP212" s="38">
        <f>IFERROR(INDEX(LMH_PTS,MATCH(AB212,LMH_KEY,0)),0)</f>
        <v>1</v>
      </c>
      <c r="BQ212" s="38">
        <f>IFERROR(INDEX(LMH_PTS,MATCH(AC212,LMH_KEY,0)),0)</f>
        <v>1</v>
      </c>
      <c r="BR212" s="38">
        <f>IFERROR(INDEX(LMH_PTS,MATCH(AD212,LMH_KEY,0)),0)</f>
        <v>1</v>
      </c>
      <c r="BS212" s="38">
        <f>IFERROR(INDEX(LMH_PTS,MATCH(AE212,LMH_KEY,0)),0)</f>
        <v>1</v>
      </c>
      <c r="BT212" s="38">
        <f>IFERROR(INDEX(LMH_STEP,MATCH(AF212,LMH_KEY,0)),0)</f>
        <v>0</v>
      </c>
      <c r="BU212" s="38">
        <f>IFERROR(INDEX(LMH_STEP,MATCH(AG212,LMH_KEY,0)),0)</f>
        <v>0</v>
      </c>
      <c r="BV212" s="38">
        <f>IFERROR(INDEX(LMH_STEP,MATCH(AH212,LMH_KEY,0)),0)</f>
        <v>0</v>
      </c>
      <c r="BW212" s="38">
        <f>IFERROR(INDEX(LMH_STEP,MATCH(AI212,LMH_KEY,0)),0)</f>
        <v>0</v>
      </c>
      <c r="BX212" s="38">
        <f>IFERROR(INDEX(LMH_STEP,MATCH(AJ212,LMH_KEY,0)),0)</f>
        <v>0</v>
      </c>
      <c r="BY212" s="38">
        <f>IFERROR(INDEX(LMH_STEP,MATCH(AK212,LMH_KEY,0)),0)</f>
        <v>0</v>
      </c>
      <c r="BZ212" s="38">
        <f>IFERROR(INDEX(LMH_STEP,MATCH(AL212,LMH_KEY,0)),0)</f>
        <v>0</v>
      </c>
      <c r="CA212" s="38" t="inlineStr">
        <is>
          <t>iDEAL|Technology|Business Analysis Specialist – POD Lead|B1|B-IC</t>
        </is>
      </c>
    </row>
    <row r="213" ht="110" customHeight="1">
      <c r="A213" s="28" t="inlineStr">
        <is>
          <t>iDEAL</t>
        </is>
      </c>
      <c r="B213" s="29" t="inlineStr">
        <is>
          <t>Technology</t>
        </is>
      </c>
      <c r="C213" s="29" t="n">
        <v>5</v>
      </c>
      <c r="D213" s="29" t="inlineStr">
        <is>
          <t>IRIS2552</t>
        </is>
      </c>
      <c r="E213" s="29" t="inlineStr">
        <is>
          <t>Shreekanth Samala</t>
        </is>
      </c>
      <c r="F213" s="29" t="inlineStr">
        <is>
          <t>Technical Support Analyst</t>
        </is>
      </c>
      <c r="G213" s="29" t="inlineStr">
        <is>
          <t>Support Specialist</t>
        </is>
      </c>
      <c r="H213" s="29" t="inlineStr">
        <is>
          <t>Customer Success &amp; Support</t>
        </is>
      </c>
      <c r="I213" s="29" t="inlineStr">
        <is>
          <t>Application &amp; Product Support</t>
        </is>
      </c>
      <c r="J213" s="29" t="inlineStr">
        <is>
          <t>IC</t>
        </is>
      </c>
      <c r="K213" s="29" t="inlineStr">
        <is>
          <t>RC-031</t>
        </is>
      </c>
      <c r="L213" s="29" t="inlineStr">
        <is>
          <t>Phuzel Siddiqui</t>
        </is>
      </c>
      <c r="M213" s="29" t="inlineStr">
        <is>
          <t>IRIS2125</t>
        </is>
      </c>
      <c r="N213" s="29" t="n">
        <v>13.4</v>
      </c>
      <c r="O213" s="29" t="n">
        <v>0.1</v>
      </c>
      <c r="P213" s="29" t="inlineStr">
        <is>
          <t>MBA</t>
        </is>
      </c>
      <c r="Q213" s="29" t="inlineStr">
        <is>
          <t>Not in current mapping files</t>
        </is>
      </c>
      <c r="R213" s="29" t="inlineStr">
        <is>
          <t>A3</t>
        </is>
      </c>
      <c r="S213" s="30" t="inlineStr">
        <is>
          <t>20 of 20</t>
        </is>
      </c>
      <c r="T21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13" s="32" t="inlineStr">
        <is>
          <t>KRAs not received · manager to supply</t>
        </is>
      </c>
      <c r="V213" s="31" t="inlineStr">
        <is>
          <t>Latest rating: Not rated · manager · 9-box: Not placed · manager · Readiness: No rating data</t>
        </is>
      </c>
      <c r="W213" s="31" t="inlineStr">
        <is>
          <t>C M · Au M · Ac M · L L · BI M · Exp H · 13.4 yrs vs 2–4 yrs · Edu H · MBA</t>
        </is>
      </c>
      <c r="X213" s="33" t="inlineStr">
        <is>
          <t>Open ▸</t>
        </is>
      </c>
      <c r="Y213" s="34" t="str">
        <f>IFERROR(INDEX(DL_C,MATCH($CA213,DL_KEY,0)),"M")</f>
        <v>H</v>
      </c>
      <c r="Z213" s="35" t="str">
        <f>IFERROR(INDEX(DL_Au,MATCH($CA213,DL_KEY,0)),"M")</f>
        <v>M</v>
      </c>
      <c r="AA213" s="35" t="str">
        <f>IFERROR(INDEX(DL_Ac,MATCH($CA213,DL_KEY,0)),"M")</f>
        <v>M</v>
      </c>
      <c r="AB213" s="35" t="str">
        <f>IFERROR(INDEX(DL_L,MATCH($CA213,DL_KEY,0)),"M")</f>
        <v>L</v>
      </c>
      <c r="AC213" s="35" t="str">
        <f>IFERROR(INDEX(DL_BI,MATCH($CA213,DL_KEY,0)),"M")</f>
        <v>M</v>
      </c>
      <c r="AD213" s="35" t="str">
        <f>IFERROR(INDEX(DL_Exp,MATCH($CA213,DL_KEY,0)),"M")</f>
        <v>L</v>
      </c>
      <c r="AE213" s="35" t="str">
        <f>IFERROR(INDEX(DL_Edu,MATCH($CA213,DL_KEY,0)),"M")</f>
        <v>L</v>
      </c>
      <c r="AF213" s="34" t="inlineStr">
        <is>
          <t>M</t>
        </is>
      </c>
      <c r="AG213" s="35" t="inlineStr">
        <is>
          <t>M</t>
        </is>
      </c>
      <c r="AH213" s="35" t="inlineStr">
        <is>
          <t>M</t>
        </is>
      </c>
      <c r="AI213" s="35" t="inlineStr">
        <is>
          <t>M</t>
        </is>
      </c>
      <c r="AJ213" s="35" t="inlineStr">
        <is>
          <t>M</t>
        </is>
      </c>
      <c r="AK213" s="35" t="inlineStr">
        <is>
          <t>M</t>
        </is>
      </c>
      <c r="AL213" s="35" t="inlineStr">
        <is>
          <t>M</t>
        </is>
      </c>
      <c r="AM213" s="36" t="n">
        <v>0.583</v>
      </c>
      <c r="AN213" s="37" t="n">
        <v>0.16</v>
      </c>
      <c r="AO213" s="37" t="n">
        <v>0.09</v>
      </c>
      <c r="AP213" s="37" t="n">
        <v>0</v>
      </c>
      <c r="AQ213" s="37" t="n">
        <v>0.063</v>
      </c>
      <c r="AR213" s="37" t="n">
        <v>0.06</v>
      </c>
      <c r="AS213" s="37" t="n">
        <v>0.04</v>
      </c>
      <c r="AT213" s="38" t="inlineStr">
        <is>
          <t>2–5</t>
        </is>
      </c>
      <c r="AU213" s="38" t="inlineStr">
        <is>
          <t>Graduate; relevant certification preferred</t>
        </is>
      </c>
      <c r="AV213" s="38" t="inlineStr">
        <is>
          <t>None · guides 1–3 juniors informally</t>
        </is>
      </c>
      <c r="AW213" s="38" t="inlineStr">
        <is>
          <t>P2 · SFIA 3 Apply</t>
        </is>
      </c>
      <c r="AX2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3" s="39" t="inlineStr">
        <is>
          <t>A3</t>
        </is>
      </c>
      <c r="AZ213" s="40" t="inlineStr">
        <is>
          <t>Band A · Practitioner · Senior Associate</t>
        </is>
      </c>
      <c r="BA213" s="40" t="inlineStr">
        <is>
          <t>Model A3 from the six ratings, the market-derived weights and rules R1–R13 · then No change · already below the manager</t>
        </is>
      </c>
      <c r="BB213" s="41" t="inlineStr">
        <is>
          <t>A3</t>
        </is>
      </c>
      <c r="BC213" s="40" t="inlineStr">
        <is>
          <t>The six ratings on the market-average weights of Band A · all tracks score 3.45 → A3 · Hay, Mercer IPE and public plans · experience 13.4 yrs vs the A3 market range 2–5</t>
        </is>
      </c>
      <c r="BD213" s="42">
        <f>IF(SUM(BM213,BN213,BO213,BP213,BQ213,BR213,BS213)=0,0,(BM213*BT213+BN213*BU213+BO213*BV213+BP213*BW213+BQ213*BX213+BR213*BY213+BS213*BZ213)/SUM(BM213,BN213,BO213,BP213,BQ213,BR213,BS213))</f>
        <v>0</v>
      </c>
      <c r="BE213" s="41" t="str">
        <f>IF(LEFT(AY213,1)="X",AY213,IF(OR(AY213="B+",AY213="C+"),INDEX(LAD_PC,MAX(1,MIN(14,MATCH(AY213,LAD_PC,0)+IF(BD213&gt;=0.5,1,IF(BD213&lt;=-0.5,-1,0))))),INDEX(LAD_STD,MAX(1,MIN(12,MATCH(AY213,LAD_STD,0)+IF(BD213&gt;=0.5,1,IF(BD213&lt;=-0.5,-1,0)))))))</f>
        <v>A3</v>
      </c>
      <c r="BF213" s="43" t="n"/>
      <c r="BG213" s="41" t="str">
        <f>IF(BF213&lt;&gt;"",BF213,BE213)</f>
        <v>A3</v>
      </c>
      <c r="BH213" s="40" t="str">
        <f>IFERROR(CHOOSE(INDEX(B_RANK,MATCH(BG213,B_LVL,0)),"Band A","Band B","B+ · Player-Coach","Band C","C+ · Player-Coach","Band D","Band E"),"Band X · Consultant")</f>
        <v>Band A</v>
      </c>
      <c r="BI213" s="40" t="str">
        <f>IF(BG213=AY213,"• Same",IF(INDEX(B_VAL,MATCH(BG213,B_LVL,0))&gt;INDEX(B_VAL,MATCH(AY213,B_LVL,0)),"▲ Up","▼ Down"))</f>
        <v>• Same</v>
      </c>
      <c r="BJ213" s="40" t="str">
        <f>IF(OR($M213="",$M213="—",$M213="Not in this file"),"",IFERROR(INDEX($BG$7:$BG$592,MATCH($M213,$D$7:$D$592,0)),""))</f>
        <v>B1</v>
      </c>
      <c r="BK213" s="40" t="str">
        <f>IFERROR(IF(BJ213="","—",IF(OR(LEFT(BG213,1)="X",LEFT(BJ213,1)="X"),"—",IF(AND(LEFT(BG213,1)="E",LEFT(BJ213,1)="E"),"Exception · Band E",IF(AND(INDEX(B_VAL,MATCH(BJ213,B_LVL,0))&gt;=7,INDEX(B_RANK,MATCH(BG213,B_LVL,0))&gt;=INDEX(B_RANK,MATCH(BJ213,B_LVL,0))),"⚠ Same band as a head manager",IF(INDEX(B_VAL,MATCH(BG213,B_LVL,0))&gt;=INDEX(B_VAL,MATCH(BJ213,B_LVL,0)),"⚠ At or above the manager's level","OK"))))),"—")</f>
        <v>OK</v>
      </c>
      <c r="BL213" s="43" t="n"/>
      <c r="BM213" s="44">
        <f>IFERROR(INDEX(LMH_PTS,MATCH(Y213,LMH_KEY,0)),0)</f>
        <v>9</v>
      </c>
      <c r="BN213" s="38">
        <f>IFERROR(INDEX(LMH_PTS,MATCH(Z213,LMH_KEY,0)),0)</f>
        <v>3</v>
      </c>
      <c r="BO213" s="38">
        <f>IFERROR(INDEX(LMH_PTS,MATCH(AA213,LMH_KEY,0)),0)</f>
        <v>3</v>
      </c>
      <c r="BP213" s="38">
        <f>IFERROR(INDEX(LMH_PTS,MATCH(AB213,LMH_KEY,0)),0)</f>
        <v>1</v>
      </c>
      <c r="BQ213" s="38">
        <f>IFERROR(INDEX(LMH_PTS,MATCH(AC213,LMH_KEY,0)),0)</f>
        <v>3</v>
      </c>
      <c r="BR213" s="38">
        <f>IFERROR(INDEX(LMH_PTS,MATCH(AD213,LMH_KEY,0)),0)</f>
        <v>1</v>
      </c>
      <c r="BS213" s="38">
        <f>IFERROR(INDEX(LMH_PTS,MATCH(AE213,LMH_KEY,0)),0)</f>
        <v>1</v>
      </c>
      <c r="BT213" s="38">
        <f>IFERROR(INDEX(LMH_STEP,MATCH(AF213,LMH_KEY,0)),0)</f>
        <v>0</v>
      </c>
      <c r="BU213" s="38">
        <f>IFERROR(INDEX(LMH_STEP,MATCH(AG213,LMH_KEY,0)),0)</f>
        <v>0</v>
      </c>
      <c r="BV213" s="38">
        <f>IFERROR(INDEX(LMH_STEP,MATCH(AH213,LMH_KEY,0)),0)</f>
        <v>0</v>
      </c>
      <c r="BW213" s="38">
        <f>IFERROR(INDEX(LMH_STEP,MATCH(AI213,LMH_KEY,0)),0)</f>
        <v>0</v>
      </c>
      <c r="BX213" s="38">
        <f>IFERROR(INDEX(LMH_STEP,MATCH(AJ213,LMH_KEY,0)),0)</f>
        <v>0</v>
      </c>
      <c r="BY213" s="38">
        <f>IFERROR(INDEX(LMH_STEP,MATCH(AK213,LMH_KEY,0)),0)</f>
        <v>0</v>
      </c>
      <c r="BZ213" s="38">
        <f>IFERROR(INDEX(LMH_STEP,MATCH(AL213,LMH_KEY,0)),0)</f>
        <v>0</v>
      </c>
      <c r="CA213" s="38" t="inlineStr">
        <is>
          <t>iDEAL|Technology|Support Specialist|A3|A</t>
        </is>
      </c>
    </row>
    <row r="214" ht="110" customHeight="1">
      <c r="A214" s="28" t="inlineStr">
        <is>
          <t>iDEAL</t>
        </is>
      </c>
      <c r="B214" s="29" t="inlineStr">
        <is>
          <t>Technology</t>
        </is>
      </c>
      <c r="C214" s="29" t="n">
        <v>4</v>
      </c>
      <c r="D214" s="29" t="inlineStr">
        <is>
          <t>IRIS0417</t>
        </is>
      </c>
      <c r="E214" s="29" t="inlineStr">
        <is>
          <t>Vishal Pingle</t>
        </is>
      </c>
      <c r="F214" s="29" t="inlineStr">
        <is>
          <t>Senior Business Analyst</t>
        </is>
      </c>
      <c r="G214" s="29" t="inlineStr">
        <is>
          <t>Senior Business Analysis Specialist</t>
        </is>
      </c>
      <c r="H214" s="29" t="inlineStr">
        <is>
          <t>Business Analysis</t>
        </is>
      </c>
      <c r="I214" s="29" t="inlineStr">
        <is>
          <t>Business Analysis</t>
        </is>
      </c>
      <c r="J214" s="29" t="inlineStr">
        <is>
          <t>IC</t>
        </is>
      </c>
      <c r="K214" s="29" t="inlineStr">
        <is>
          <t>RC-010</t>
        </is>
      </c>
      <c r="L214" s="29" t="inlineStr">
        <is>
          <t>Dnyaneshwar Daund</t>
        </is>
      </c>
      <c r="M214" s="29" t="inlineStr">
        <is>
          <t>IRIS0971</t>
        </is>
      </c>
      <c r="N214" s="29" t="n">
        <v>16.5</v>
      </c>
      <c r="O214" s="29" t="n">
        <v>16</v>
      </c>
      <c r="P214" s="29" t="inlineStr">
        <is>
          <t>B.Com</t>
        </is>
      </c>
      <c r="Q214" s="29" t="inlineStr">
        <is>
          <t>L4 – Senior</t>
        </is>
      </c>
      <c r="R214" s="29" t="inlineStr">
        <is>
          <t>B1</t>
        </is>
      </c>
      <c r="S214" s="30" t="inlineStr">
        <is>
          <t>20 of 20</t>
        </is>
      </c>
      <c r="T214" s="31"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t>
        </is>
      </c>
      <c r="U214"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t>
        </is>
      </c>
      <c r="V214" s="31" t="inlineStr">
        <is>
          <t>Latest rating: 3 · Potential: Medium · 9-box: Trusted Professional · Readiness: Develop in role</t>
        </is>
      </c>
      <c r="W214" s="31" t="inlineStr">
        <is>
          <t>C M · Au M · Ac M · L L · BI M · Exp H · 16.5 yrs vs 4–7 yrs · Edu M · B.Com</t>
        </is>
      </c>
      <c r="X214" s="33" t="inlineStr">
        <is>
          <t>Open ▸</t>
        </is>
      </c>
      <c r="Y214" s="34" t="str">
        <f>IFERROR(INDEX(DL_C,MATCH($CA214,DL_KEY,0)),"M")</f>
        <v>H</v>
      </c>
      <c r="Z214" s="35" t="str">
        <f>IFERROR(INDEX(DL_Au,MATCH($CA214,DL_KEY,0)),"M")</f>
        <v>M</v>
      </c>
      <c r="AA214" s="35" t="str">
        <f>IFERROR(INDEX(DL_Ac,MATCH($CA214,DL_KEY,0)),"M")</f>
        <v>L</v>
      </c>
      <c r="AB214" s="35" t="str">
        <f>IFERROR(INDEX(DL_L,MATCH($CA214,DL_KEY,0)),"M")</f>
        <v>L</v>
      </c>
      <c r="AC214" s="35" t="str">
        <f>IFERROR(INDEX(DL_BI,MATCH($CA214,DL_KEY,0)),"M")</f>
        <v>L</v>
      </c>
      <c r="AD214" s="35" t="str">
        <f>IFERROR(INDEX(DL_Exp,MATCH($CA214,DL_KEY,0)),"M")</f>
        <v>L</v>
      </c>
      <c r="AE214" s="35" t="str">
        <f>IFERROR(INDEX(DL_Edu,MATCH($CA214,DL_KEY,0)),"M")</f>
        <v>L</v>
      </c>
      <c r="AF214" s="34" t="inlineStr">
        <is>
          <t>M</t>
        </is>
      </c>
      <c r="AG214" s="35" t="inlineStr">
        <is>
          <t>M</t>
        </is>
      </c>
      <c r="AH214" s="35" t="inlineStr">
        <is>
          <t>M</t>
        </is>
      </c>
      <c r="AI214" s="35" t="inlineStr">
        <is>
          <t>M</t>
        </is>
      </c>
      <c r="AJ214" s="35" t="inlineStr">
        <is>
          <t>M</t>
        </is>
      </c>
      <c r="AK214" s="35" t="inlineStr">
        <is>
          <t>M</t>
        </is>
      </c>
      <c r="AL214" s="35" t="inlineStr">
        <is>
          <t>M</t>
        </is>
      </c>
      <c r="AM214" s="36" t="n">
        <v>0.513</v>
      </c>
      <c r="AN214" s="37" t="n">
        <v>0.173</v>
      </c>
      <c r="AO214" s="37" t="n">
        <v>0.09699999999999999</v>
      </c>
      <c r="AP214" s="37" t="n">
        <v>0.05</v>
      </c>
      <c r="AQ214" s="37" t="n">
        <v>0.07000000000000001</v>
      </c>
      <c r="AR214" s="37" t="n">
        <v>0.06</v>
      </c>
      <c r="AS214" s="37" t="n">
        <v>0.04</v>
      </c>
      <c r="AT214" s="38" t="inlineStr">
        <is>
          <t>4–8</t>
        </is>
      </c>
      <c r="AU214" s="38" t="inlineStr">
        <is>
          <t>Graduate + relevant qualification or certification preferred</t>
        </is>
      </c>
      <c r="AV214" s="38" t="inlineStr">
        <is>
          <t>IC: none · Team Lead: 3–5</t>
        </is>
      </c>
      <c r="AW214" s="38" t="inlineStr">
        <is>
          <t>P3 / M2 · SFIA 4 Enable</t>
        </is>
      </c>
      <c r="AX2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4" s="39" t="inlineStr">
        <is>
          <t>B1</t>
        </is>
      </c>
      <c r="AZ214" s="40" t="inlineStr">
        <is>
          <t>Band B · Specialist / Manager · Specialist</t>
        </is>
      </c>
      <c r="BA214" s="40" t="inlineStr">
        <is>
          <t>Model B1 from the six ratings, the market-derived weights and rules R1–R13 · then No change · already below the manager</t>
        </is>
      </c>
      <c r="BB214" s="41" t="inlineStr">
        <is>
          <t>B1</t>
        </is>
      </c>
      <c r="BC214" s="40" t="inlineStr">
        <is>
          <t>The six ratings on the market-average weights of Band B · Specialist / POD Lead score 4.30 → B1 · Hay, Mercer IPE and public plans · experience 16.5 yrs vs the B1 market range 4–8</t>
        </is>
      </c>
      <c r="BD214" s="42">
        <f>IF(SUM(BM214,BN214,BO214,BP214,BQ214,BR214,BS214)=0,0,(BM214*BT214+BN214*BU214+BO214*BV214+BP214*BW214+BQ214*BX214+BR214*BY214+BS214*BZ214)/SUM(BM214,BN214,BO214,BP214,BQ214,BR214,BS214))</f>
        <v>0</v>
      </c>
      <c r="BE214" s="41" t="str">
        <f>IF(LEFT(AY214,1)="X",AY214,IF(OR(AY214="B+",AY214="C+"),INDEX(LAD_PC,MAX(1,MIN(14,MATCH(AY214,LAD_PC,0)+IF(BD214&gt;=0.5,1,IF(BD214&lt;=-0.5,-1,0))))),INDEX(LAD_STD,MAX(1,MIN(12,MATCH(AY214,LAD_STD,0)+IF(BD214&gt;=0.5,1,IF(BD214&lt;=-0.5,-1,0)))))))</f>
        <v>B1</v>
      </c>
      <c r="BF214" s="43" t="n"/>
      <c r="BG214" s="41" t="str">
        <f>IF(BF214&lt;&gt;"",BF214,BE214)</f>
        <v>B1</v>
      </c>
      <c r="BH214" s="40" t="str">
        <f>IFERROR(CHOOSE(INDEX(B_RANK,MATCH(BG214,B_LVL,0)),"Band A","Band B","B+ · Player-Coach","Band C","C+ · Player-Coach","Band D","Band E"),"Band X · Consultant")</f>
        <v>Band B</v>
      </c>
      <c r="BI214" s="40" t="str">
        <f>IF(BG214=AY214,"• Same",IF(INDEX(B_VAL,MATCH(BG214,B_LVL,0))&gt;INDEX(B_VAL,MATCH(AY214,B_LVL,0)),"▲ Up","▼ Down"))</f>
        <v>• Same</v>
      </c>
      <c r="BJ214" s="40" t="str">
        <f>IF(OR($M214="",$M214="—",$M214="Not in this file"),"",IFERROR(INDEX($BG$7:$BG$592,MATCH($M214,$D$7:$D$592,0)),""))</f>
        <v>B2</v>
      </c>
      <c r="BK214" s="40" t="str">
        <f>IFERROR(IF(BJ214="","—",IF(OR(LEFT(BG214,1)="X",LEFT(BJ214,1)="X"),"—",IF(AND(LEFT(BG214,1)="E",LEFT(BJ214,1)="E"),"Exception · Band E",IF(AND(INDEX(B_VAL,MATCH(BJ214,B_LVL,0))&gt;=7,INDEX(B_RANK,MATCH(BG214,B_LVL,0))&gt;=INDEX(B_RANK,MATCH(BJ214,B_LVL,0))),"⚠ Same band as a head manager",IF(INDEX(B_VAL,MATCH(BG214,B_LVL,0))&gt;=INDEX(B_VAL,MATCH(BJ214,B_LVL,0)),"⚠ At or above the manager's level","OK"))))),"—")</f>
        <v>OK</v>
      </c>
      <c r="BL214" s="43" t="n"/>
      <c r="BM214" s="44">
        <f>IFERROR(INDEX(LMH_PTS,MATCH(Y214,LMH_KEY,0)),0)</f>
        <v>9</v>
      </c>
      <c r="BN214" s="38">
        <f>IFERROR(INDEX(LMH_PTS,MATCH(Z214,LMH_KEY,0)),0)</f>
        <v>3</v>
      </c>
      <c r="BO214" s="38">
        <f>IFERROR(INDEX(LMH_PTS,MATCH(AA214,LMH_KEY,0)),0)</f>
        <v>1</v>
      </c>
      <c r="BP214" s="38">
        <f>IFERROR(INDEX(LMH_PTS,MATCH(AB214,LMH_KEY,0)),0)</f>
        <v>1</v>
      </c>
      <c r="BQ214" s="38">
        <f>IFERROR(INDEX(LMH_PTS,MATCH(AC214,LMH_KEY,0)),0)</f>
        <v>1</v>
      </c>
      <c r="BR214" s="38">
        <f>IFERROR(INDEX(LMH_PTS,MATCH(AD214,LMH_KEY,0)),0)</f>
        <v>1</v>
      </c>
      <c r="BS214" s="38">
        <f>IFERROR(INDEX(LMH_PTS,MATCH(AE214,LMH_KEY,0)),0)</f>
        <v>1</v>
      </c>
      <c r="BT214" s="38">
        <f>IFERROR(INDEX(LMH_STEP,MATCH(AF214,LMH_KEY,0)),0)</f>
        <v>0</v>
      </c>
      <c r="BU214" s="38">
        <f>IFERROR(INDEX(LMH_STEP,MATCH(AG214,LMH_KEY,0)),0)</f>
        <v>0</v>
      </c>
      <c r="BV214" s="38">
        <f>IFERROR(INDEX(LMH_STEP,MATCH(AH214,LMH_KEY,0)),0)</f>
        <v>0</v>
      </c>
      <c r="BW214" s="38">
        <f>IFERROR(INDEX(LMH_STEP,MATCH(AI214,LMH_KEY,0)),0)</f>
        <v>0</v>
      </c>
      <c r="BX214" s="38">
        <f>IFERROR(INDEX(LMH_STEP,MATCH(AJ214,LMH_KEY,0)),0)</f>
        <v>0</v>
      </c>
      <c r="BY214" s="38">
        <f>IFERROR(INDEX(LMH_STEP,MATCH(AK214,LMH_KEY,0)),0)</f>
        <v>0</v>
      </c>
      <c r="BZ214" s="38">
        <f>IFERROR(INDEX(LMH_STEP,MATCH(AL214,LMH_KEY,0)),0)</f>
        <v>0</v>
      </c>
      <c r="CA214" s="38" t="inlineStr">
        <is>
          <t>iDEAL|Technology|Senior Business Analysis Specialist|B1|B-IC</t>
        </is>
      </c>
    </row>
    <row r="215" ht="110" customHeight="1">
      <c r="A215" s="28" t="inlineStr">
        <is>
          <t>iDEAL</t>
        </is>
      </c>
      <c r="B215" s="29" t="inlineStr">
        <is>
          <t>Technology</t>
        </is>
      </c>
      <c r="C215" s="29" t="n">
        <v>4</v>
      </c>
      <c r="D215" s="29" t="inlineStr">
        <is>
          <t>IRIS2142</t>
        </is>
      </c>
      <c r="E215" s="29" t="inlineStr">
        <is>
          <t>Nilam Anandrao Kadam</t>
        </is>
      </c>
      <c r="F215" s="29" t="inlineStr">
        <is>
          <t>Business Analyst</t>
        </is>
      </c>
      <c r="G215" s="29" t="inlineStr">
        <is>
          <t>Senior Business Analyst</t>
        </is>
      </c>
      <c r="H215" s="29" t="inlineStr">
        <is>
          <t>Business Analysis</t>
        </is>
      </c>
      <c r="I215" s="29" t="inlineStr">
        <is>
          <t>Business Analysis</t>
        </is>
      </c>
      <c r="J215" s="29" t="inlineStr">
        <is>
          <t>IC</t>
        </is>
      </c>
      <c r="K215" s="29" t="inlineStr">
        <is>
          <t>RC-009</t>
        </is>
      </c>
      <c r="L215" s="29" t="inlineStr">
        <is>
          <t>Dnyaneshwar Daund</t>
        </is>
      </c>
      <c r="M215" s="29" t="inlineStr">
        <is>
          <t>IRIS0971</t>
        </is>
      </c>
      <c r="N215" s="29" t="n">
        <v>5.9</v>
      </c>
      <c r="O215" s="29" t="n">
        <v>3.3</v>
      </c>
      <c r="P215" s="29" t="inlineStr">
        <is>
          <t>MBA</t>
        </is>
      </c>
      <c r="Q215" s="29" t="inlineStr">
        <is>
          <t>L3 – Professional / Associate</t>
        </is>
      </c>
      <c r="R215" s="29" t="inlineStr">
        <is>
          <t>A3</t>
        </is>
      </c>
      <c r="S215" s="30" t="inlineStr">
        <is>
          <t>0 of 20</t>
        </is>
      </c>
      <c r="T215" s="31"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t>
        </is>
      </c>
      <c r="U215"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
        </is>
      </c>
      <c r="V215" s="31" t="inlineStr">
        <is>
          <t>Latest rating: 3 · Potential: Medium · 9-box: Trusted Professional · Readiness: Develop in role</t>
        </is>
      </c>
      <c r="W215" s="31" t="inlineStr">
        <is>
          <t>C M · Au M · Ac M · L L · BI M · Exp H · 5.9 yrs vs 2–4 yrs · Edu H · MBA</t>
        </is>
      </c>
      <c r="X215" s="33" t="inlineStr">
        <is>
          <t>Open ▸</t>
        </is>
      </c>
      <c r="Y215" s="34" t="str">
        <f>IFERROR(INDEX(DL_C,MATCH($CA215,DL_KEY,0)),"M")</f>
        <v>H</v>
      </c>
      <c r="Z215" s="35" t="str">
        <f>IFERROR(INDEX(DL_Au,MATCH($CA215,DL_KEY,0)),"M")</f>
        <v>M</v>
      </c>
      <c r="AA215" s="35" t="str">
        <f>IFERROR(INDEX(DL_Ac,MATCH($CA215,DL_KEY,0)),"M")</f>
        <v>L</v>
      </c>
      <c r="AB215" s="35" t="str">
        <f>IFERROR(INDEX(DL_L,MATCH($CA215,DL_KEY,0)),"M")</f>
        <v>L</v>
      </c>
      <c r="AC215" s="35" t="str">
        <f>IFERROR(INDEX(DL_BI,MATCH($CA215,DL_KEY,0)),"M")</f>
        <v>L</v>
      </c>
      <c r="AD215" s="35" t="str">
        <f>IFERROR(INDEX(DL_Exp,MATCH($CA215,DL_KEY,0)),"M")</f>
        <v>L</v>
      </c>
      <c r="AE215" s="35" t="str">
        <f>IFERROR(INDEX(DL_Edu,MATCH($CA215,DL_KEY,0)),"M")</f>
        <v>L</v>
      </c>
      <c r="AF215" s="34" t="inlineStr">
        <is>
          <t>M</t>
        </is>
      </c>
      <c r="AG215" s="35" t="inlineStr">
        <is>
          <t>M</t>
        </is>
      </c>
      <c r="AH215" s="35" t="inlineStr">
        <is>
          <t>M</t>
        </is>
      </c>
      <c r="AI215" s="35" t="inlineStr">
        <is>
          <t>M</t>
        </is>
      </c>
      <c r="AJ215" s="35" t="inlineStr">
        <is>
          <t>M</t>
        </is>
      </c>
      <c r="AK215" s="35" t="inlineStr">
        <is>
          <t>M</t>
        </is>
      </c>
      <c r="AL215" s="35" t="inlineStr">
        <is>
          <t>M</t>
        </is>
      </c>
      <c r="AM215" s="36" t="n">
        <v>0.583</v>
      </c>
      <c r="AN215" s="37" t="n">
        <v>0.16</v>
      </c>
      <c r="AO215" s="37" t="n">
        <v>0.09</v>
      </c>
      <c r="AP215" s="37" t="n">
        <v>0</v>
      </c>
      <c r="AQ215" s="37" t="n">
        <v>0.063</v>
      </c>
      <c r="AR215" s="37" t="n">
        <v>0.06</v>
      </c>
      <c r="AS215" s="37" t="n">
        <v>0.04</v>
      </c>
      <c r="AT215" s="38" t="inlineStr">
        <is>
          <t>2–5</t>
        </is>
      </c>
      <c r="AU215" s="38" t="inlineStr">
        <is>
          <t>Graduate; relevant certification preferred</t>
        </is>
      </c>
      <c r="AV215" s="38" t="inlineStr">
        <is>
          <t>None · guides 1–3 juniors informally</t>
        </is>
      </c>
      <c r="AW215" s="38" t="inlineStr">
        <is>
          <t>P2 · SFIA 3 Apply</t>
        </is>
      </c>
      <c r="AX2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5" s="39" t="inlineStr">
        <is>
          <t>A3</t>
        </is>
      </c>
      <c r="AZ215" s="40" t="inlineStr">
        <is>
          <t>Band A · Practitioner · Senior Associate</t>
        </is>
      </c>
      <c r="BA215" s="40" t="inlineStr">
        <is>
          <t>Model A3 from the six ratings, the market-derived weights and rules R1–R13 · then No change · already below the manager</t>
        </is>
      </c>
      <c r="BB215" s="41" t="inlineStr">
        <is>
          <t>A3</t>
        </is>
      </c>
      <c r="BC215" s="40" t="inlineStr">
        <is>
          <t>The six ratings on the market-average weights of Band A · all tracks score 3.05 → A3 · Hay, Mercer IPE and public plans · experience 5.9 yrs vs the A3 market range 2–5</t>
        </is>
      </c>
      <c r="BD215" s="42">
        <f>IF(SUM(BM215,BN215,BO215,BP215,BQ215,BR215,BS215)=0,0,(BM215*BT215+BN215*BU215+BO215*BV215+BP215*BW215+BQ215*BX215+BR215*BY215+BS215*BZ215)/SUM(BM215,BN215,BO215,BP215,BQ215,BR215,BS215))</f>
        <v>0</v>
      </c>
      <c r="BE215" s="41" t="str">
        <f>IF(LEFT(AY215,1)="X",AY215,IF(OR(AY215="B+",AY215="C+"),INDEX(LAD_PC,MAX(1,MIN(14,MATCH(AY215,LAD_PC,0)+IF(BD215&gt;=0.5,1,IF(BD215&lt;=-0.5,-1,0))))),INDEX(LAD_STD,MAX(1,MIN(12,MATCH(AY215,LAD_STD,0)+IF(BD215&gt;=0.5,1,IF(BD215&lt;=-0.5,-1,0)))))))</f>
        <v>A3</v>
      </c>
      <c r="BF215" s="43" t="n"/>
      <c r="BG215" s="41" t="str">
        <f>IF(BF215&lt;&gt;"",BF215,BE215)</f>
        <v>A3</v>
      </c>
      <c r="BH215" s="40" t="str">
        <f>IFERROR(CHOOSE(INDEX(B_RANK,MATCH(BG215,B_LVL,0)),"Band A","Band B","B+ · Player-Coach","Band C","C+ · Player-Coach","Band D","Band E"),"Band X · Consultant")</f>
        <v>Band A</v>
      </c>
      <c r="BI215" s="40" t="str">
        <f>IF(BG215=AY215,"• Same",IF(INDEX(B_VAL,MATCH(BG215,B_LVL,0))&gt;INDEX(B_VAL,MATCH(AY215,B_LVL,0)),"▲ Up","▼ Down"))</f>
        <v>• Same</v>
      </c>
      <c r="BJ215" s="40" t="str">
        <f>IF(OR($M215="",$M215="—",$M215="Not in this file"),"",IFERROR(INDEX($BG$7:$BG$592,MATCH($M215,$D$7:$D$592,0)),""))</f>
        <v>B2</v>
      </c>
      <c r="BK215" s="40" t="str">
        <f>IFERROR(IF(BJ215="","—",IF(OR(LEFT(BG215,1)="X",LEFT(BJ215,1)="X"),"—",IF(AND(LEFT(BG215,1)="E",LEFT(BJ215,1)="E"),"Exception · Band E",IF(AND(INDEX(B_VAL,MATCH(BJ215,B_LVL,0))&gt;=7,INDEX(B_RANK,MATCH(BG215,B_LVL,0))&gt;=INDEX(B_RANK,MATCH(BJ215,B_LVL,0))),"⚠ Same band as a head manager",IF(INDEX(B_VAL,MATCH(BG215,B_LVL,0))&gt;=INDEX(B_VAL,MATCH(BJ215,B_LVL,0)),"⚠ At or above the manager's level","OK"))))),"—")</f>
        <v>OK</v>
      </c>
      <c r="BL215" s="43" t="n"/>
      <c r="BM215" s="44">
        <f>IFERROR(INDEX(LMH_PTS,MATCH(Y215,LMH_KEY,0)),0)</f>
        <v>9</v>
      </c>
      <c r="BN215" s="38">
        <f>IFERROR(INDEX(LMH_PTS,MATCH(Z215,LMH_KEY,0)),0)</f>
        <v>3</v>
      </c>
      <c r="BO215" s="38">
        <f>IFERROR(INDEX(LMH_PTS,MATCH(AA215,LMH_KEY,0)),0)</f>
        <v>1</v>
      </c>
      <c r="BP215" s="38">
        <f>IFERROR(INDEX(LMH_PTS,MATCH(AB215,LMH_KEY,0)),0)</f>
        <v>1</v>
      </c>
      <c r="BQ215" s="38">
        <f>IFERROR(INDEX(LMH_PTS,MATCH(AC215,LMH_KEY,0)),0)</f>
        <v>1</v>
      </c>
      <c r="BR215" s="38">
        <f>IFERROR(INDEX(LMH_PTS,MATCH(AD215,LMH_KEY,0)),0)</f>
        <v>1</v>
      </c>
      <c r="BS215" s="38">
        <f>IFERROR(INDEX(LMH_PTS,MATCH(AE215,LMH_KEY,0)),0)</f>
        <v>1</v>
      </c>
      <c r="BT215" s="38">
        <f>IFERROR(INDEX(LMH_STEP,MATCH(AF215,LMH_KEY,0)),0)</f>
        <v>0</v>
      </c>
      <c r="BU215" s="38">
        <f>IFERROR(INDEX(LMH_STEP,MATCH(AG215,LMH_KEY,0)),0)</f>
        <v>0</v>
      </c>
      <c r="BV215" s="38">
        <f>IFERROR(INDEX(LMH_STEP,MATCH(AH215,LMH_KEY,0)),0)</f>
        <v>0</v>
      </c>
      <c r="BW215" s="38">
        <f>IFERROR(INDEX(LMH_STEP,MATCH(AI215,LMH_KEY,0)),0)</f>
        <v>0</v>
      </c>
      <c r="BX215" s="38">
        <f>IFERROR(INDEX(LMH_STEP,MATCH(AJ215,LMH_KEY,0)),0)</f>
        <v>0</v>
      </c>
      <c r="BY215" s="38">
        <f>IFERROR(INDEX(LMH_STEP,MATCH(AK215,LMH_KEY,0)),0)</f>
        <v>0</v>
      </c>
      <c r="BZ215" s="38">
        <f>IFERROR(INDEX(LMH_STEP,MATCH(AL215,LMH_KEY,0)),0)</f>
        <v>0</v>
      </c>
      <c r="CA215" s="38" t="inlineStr">
        <is>
          <t>iDEAL|Technology|Senior Business Analyst|A3|A</t>
        </is>
      </c>
    </row>
    <row r="216" ht="110" customHeight="1">
      <c r="A216" s="28" t="inlineStr">
        <is>
          <t>iDEAL</t>
        </is>
      </c>
      <c r="B216" s="29" t="inlineStr">
        <is>
          <t>Technology</t>
        </is>
      </c>
      <c r="C216" s="29" t="n">
        <v>4</v>
      </c>
      <c r="D216" s="29" t="inlineStr">
        <is>
          <t>IRIS2067</t>
        </is>
      </c>
      <c r="E216" s="29" t="inlineStr">
        <is>
          <t>Silky Agarwal</t>
        </is>
      </c>
      <c r="F216" s="29" t="inlineStr">
        <is>
          <t>Business Analyst</t>
        </is>
      </c>
      <c r="G216" s="29" t="inlineStr">
        <is>
          <t>Senior Business Analyst</t>
        </is>
      </c>
      <c r="H216" s="29" t="inlineStr">
        <is>
          <t>Business Analysis</t>
        </is>
      </c>
      <c r="I216" s="29" t="inlineStr">
        <is>
          <t>Business Analysis</t>
        </is>
      </c>
      <c r="J216" s="29" t="inlineStr">
        <is>
          <t>IC</t>
        </is>
      </c>
      <c r="K216" s="29" t="inlineStr">
        <is>
          <t>RC-009</t>
        </is>
      </c>
      <c r="L216" s="29" t="inlineStr">
        <is>
          <t>Dnyaneshwar Daund</t>
        </is>
      </c>
      <c r="M216" s="29" t="inlineStr">
        <is>
          <t>IRIS0971</t>
        </is>
      </c>
      <c r="N216" s="29" t="n">
        <v>4.3</v>
      </c>
      <c r="O216" s="29" t="n">
        <v>4</v>
      </c>
      <c r="P216" s="29" t="inlineStr">
        <is>
          <t>MBA</t>
        </is>
      </c>
      <c r="Q216" s="29" t="inlineStr">
        <is>
          <t>L3 – Professional / Associate</t>
        </is>
      </c>
      <c r="R216" s="29" t="inlineStr">
        <is>
          <t>A3</t>
        </is>
      </c>
      <c r="S216" s="30" t="inlineStr">
        <is>
          <t>20 of 20</t>
        </is>
      </c>
      <c r="T216" s="31" t="inlineStr">
        <is>
          <t>Business Impact: Moved +0.5: the survey / manager mapping marks it business-critical.</t>
        </is>
      </c>
      <c r="U216" s="31" t="inlineStr">
        <is>
          <t>Received · manager annual, quarterly, self · 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t>
        </is>
      </c>
      <c r="V216" s="31" t="inlineStr">
        <is>
          <t>Latest rating: 3 · Potential: Medium · 9-box: Emerging Talent · Readiness: Develop in role</t>
        </is>
      </c>
      <c r="W216" s="31" t="inlineStr">
        <is>
          <t>C M · Au M · Ac M · L L · BI M · Exp H · 4.3 yrs vs 2–4 yrs · Edu H · MBA</t>
        </is>
      </c>
      <c r="X216" s="33" t="inlineStr">
        <is>
          <t>Open ▸</t>
        </is>
      </c>
      <c r="Y216" s="34" t="str">
        <f>IFERROR(INDEX(DL_C,MATCH($CA216,DL_KEY,0)),"M")</f>
        <v>H</v>
      </c>
      <c r="Z216" s="35" t="str">
        <f>IFERROR(INDEX(DL_Au,MATCH($CA216,DL_KEY,0)),"M")</f>
        <v>M</v>
      </c>
      <c r="AA216" s="35" t="str">
        <f>IFERROR(INDEX(DL_Ac,MATCH($CA216,DL_KEY,0)),"M")</f>
        <v>L</v>
      </c>
      <c r="AB216" s="35" t="str">
        <f>IFERROR(INDEX(DL_L,MATCH($CA216,DL_KEY,0)),"M")</f>
        <v>L</v>
      </c>
      <c r="AC216" s="35" t="str">
        <f>IFERROR(INDEX(DL_BI,MATCH($CA216,DL_KEY,0)),"M")</f>
        <v>L</v>
      </c>
      <c r="AD216" s="35" t="str">
        <f>IFERROR(INDEX(DL_Exp,MATCH($CA216,DL_KEY,0)),"M")</f>
        <v>L</v>
      </c>
      <c r="AE216" s="35" t="str">
        <f>IFERROR(INDEX(DL_Edu,MATCH($CA216,DL_KEY,0)),"M")</f>
        <v>L</v>
      </c>
      <c r="AF216" s="34" t="inlineStr">
        <is>
          <t>M</t>
        </is>
      </c>
      <c r="AG216" s="35" t="inlineStr">
        <is>
          <t>M</t>
        </is>
      </c>
      <c r="AH216" s="35" t="inlineStr">
        <is>
          <t>M</t>
        </is>
      </c>
      <c r="AI216" s="35" t="inlineStr">
        <is>
          <t>M</t>
        </is>
      </c>
      <c r="AJ216" s="35" t="inlineStr">
        <is>
          <t>M</t>
        </is>
      </c>
      <c r="AK216" s="35" t="inlineStr">
        <is>
          <t>M</t>
        </is>
      </c>
      <c r="AL216" s="35" t="inlineStr">
        <is>
          <t>M</t>
        </is>
      </c>
      <c r="AM216" s="36" t="n">
        <v>0.583</v>
      </c>
      <c r="AN216" s="37" t="n">
        <v>0.16</v>
      </c>
      <c r="AO216" s="37" t="n">
        <v>0.09</v>
      </c>
      <c r="AP216" s="37" t="n">
        <v>0</v>
      </c>
      <c r="AQ216" s="37" t="n">
        <v>0.063</v>
      </c>
      <c r="AR216" s="37" t="n">
        <v>0.06</v>
      </c>
      <c r="AS216" s="37" t="n">
        <v>0.04</v>
      </c>
      <c r="AT216" s="38" t="inlineStr">
        <is>
          <t>2–5</t>
        </is>
      </c>
      <c r="AU216" s="38" t="inlineStr">
        <is>
          <t>Graduate; relevant certification preferred</t>
        </is>
      </c>
      <c r="AV216" s="38" t="inlineStr">
        <is>
          <t>None · guides 1–3 juniors informally</t>
        </is>
      </c>
      <c r="AW216" s="38" t="inlineStr">
        <is>
          <t>P2 · SFIA 3 Apply</t>
        </is>
      </c>
      <c r="AX2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6" s="39" t="inlineStr">
        <is>
          <t>A3</t>
        </is>
      </c>
      <c r="AZ216" s="40" t="inlineStr">
        <is>
          <t>Band A · Practitioner · Senior Associate</t>
        </is>
      </c>
      <c r="BA216" s="40" t="inlineStr">
        <is>
          <t>Model A3 from the six ratings, the market-derived weights and rules R1–R13 · then No change · already below the manager</t>
        </is>
      </c>
      <c r="BB216" s="41" t="inlineStr">
        <is>
          <t>A3</t>
        </is>
      </c>
      <c r="BC216" s="40" t="inlineStr">
        <is>
          <t>The six ratings on the market-average weights of Band A · all tracks score 3.08 → A3 · Hay, Mercer IPE and public plans · experience 4.3 yrs vs the A3 market range 2–5</t>
        </is>
      </c>
      <c r="BD216" s="42">
        <f>IF(SUM(BM216,BN216,BO216,BP216,BQ216,BR216,BS216)=0,0,(BM216*BT216+BN216*BU216+BO216*BV216+BP216*BW216+BQ216*BX216+BR216*BY216+BS216*BZ216)/SUM(BM216,BN216,BO216,BP216,BQ216,BR216,BS216))</f>
        <v>0</v>
      </c>
      <c r="BE216" s="41" t="str">
        <f>IF(LEFT(AY216,1)="X",AY216,IF(OR(AY216="B+",AY216="C+"),INDEX(LAD_PC,MAX(1,MIN(14,MATCH(AY216,LAD_PC,0)+IF(BD216&gt;=0.5,1,IF(BD216&lt;=-0.5,-1,0))))),INDEX(LAD_STD,MAX(1,MIN(12,MATCH(AY216,LAD_STD,0)+IF(BD216&gt;=0.5,1,IF(BD216&lt;=-0.5,-1,0)))))))</f>
        <v>A3</v>
      </c>
      <c r="BF216" s="43" t="n"/>
      <c r="BG216" s="41" t="str">
        <f>IF(BF216&lt;&gt;"",BF216,BE216)</f>
        <v>A3</v>
      </c>
      <c r="BH216" s="40" t="str">
        <f>IFERROR(CHOOSE(INDEX(B_RANK,MATCH(BG216,B_LVL,0)),"Band A","Band B","B+ · Player-Coach","Band C","C+ · Player-Coach","Band D","Band E"),"Band X · Consultant")</f>
        <v>Band A</v>
      </c>
      <c r="BI216" s="40" t="str">
        <f>IF(BG216=AY216,"• Same",IF(INDEX(B_VAL,MATCH(BG216,B_LVL,0))&gt;INDEX(B_VAL,MATCH(AY216,B_LVL,0)),"▲ Up","▼ Down"))</f>
        <v>• Same</v>
      </c>
      <c r="BJ216" s="40" t="str">
        <f>IF(OR($M216="",$M216="—",$M216="Not in this file"),"",IFERROR(INDEX($BG$7:$BG$592,MATCH($M216,$D$7:$D$592,0)),""))</f>
        <v>B2</v>
      </c>
      <c r="BK216" s="40" t="str">
        <f>IFERROR(IF(BJ216="","—",IF(OR(LEFT(BG216,1)="X",LEFT(BJ216,1)="X"),"—",IF(AND(LEFT(BG216,1)="E",LEFT(BJ216,1)="E"),"Exception · Band E",IF(AND(INDEX(B_VAL,MATCH(BJ216,B_LVL,0))&gt;=7,INDEX(B_RANK,MATCH(BG216,B_LVL,0))&gt;=INDEX(B_RANK,MATCH(BJ216,B_LVL,0))),"⚠ Same band as a head manager",IF(INDEX(B_VAL,MATCH(BG216,B_LVL,0))&gt;=INDEX(B_VAL,MATCH(BJ216,B_LVL,0)),"⚠ At or above the manager's level","OK"))))),"—")</f>
        <v>OK</v>
      </c>
      <c r="BL216" s="43" t="n"/>
      <c r="BM216" s="44">
        <f>IFERROR(INDEX(LMH_PTS,MATCH(Y216,LMH_KEY,0)),0)</f>
        <v>9</v>
      </c>
      <c r="BN216" s="38">
        <f>IFERROR(INDEX(LMH_PTS,MATCH(Z216,LMH_KEY,0)),0)</f>
        <v>3</v>
      </c>
      <c r="BO216" s="38">
        <f>IFERROR(INDEX(LMH_PTS,MATCH(AA216,LMH_KEY,0)),0)</f>
        <v>1</v>
      </c>
      <c r="BP216" s="38">
        <f>IFERROR(INDEX(LMH_PTS,MATCH(AB216,LMH_KEY,0)),0)</f>
        <v>1</v>
      </c>
      <c r="BQ216" s="38">
        <f>IFERROR(INDEX(LMH_PTS,MATCH(AC216,LMH_KEY,0)),0)</f>
        <v>1</v>
      </c>
      <c r="BR216" s="38">
        <f>IFERROR(INDEX(LMH_PTS,MATCH(AD216,LMH_KEY,0)),0)</f>
        <v>1</v>
      </c>
      <c r="BS216" s="38">
        <f>IFERROR(INDEX(LMH_PTS,MATCH(AE216,LMH_KEY,0)),0)</f>
        <v>1</v>
      </c>
      <c r="BT216" s="38">
        <f>IFERROR(INDEX(LMH_STEP,MATCH(AF216,LMH_KEY,0)),0)</f>
        <v>0</v>
      </c>
      <c r="BU216" s="38">
        <f>IFERROR(INDEX(LMH_STEP,MATCH(AG216,LMH_KEY,0)),0)</f>
        <v>0</v>
      </c>
      <c r="BV216" s="38">
        <f>IFERROR(INDEX(LMH_STEP,MATCH(AH216,LMH_KEY,0)),0)</f>
        <v>0</v>
      </c>
      <c r="BW216" s="38">
        <f>IFERROR(INDEX(LMH_STEP,MATCH(AI216,LMH_KEY,0)),0)</f>
        <v>0</v>
      </c>
      <c r="BX216" s="38">
        <f>IFERROR(INDEX(LMH_STEP,MATCH(AJ216,LMH_KEY,0)),0)</f>
        <v>0</v>
      </c>
      <c r="BY216" s="38">
        <f>IFERROR(INDEX(LMH_STEP,MATCH(AK216,LMH_KEY,0)),0)</f>
        <v>0</v>
      </c>
      <c r="BZ216" s="38">
        <f>IFERROR(INDEX(LMH_STEP,MATCH(AL216,LMH_KEY,0)),0)</f>
        <v>0</v>
      </c>
      <c r="CA216" s="38" t="inlineStr">
        <is>
          <t>iDEAL|Technology|Senior Business Analyst|A3|A</t>
        </is>
      </c>
    </row>
    <row r="217" ht="110" customHeight="1">
      <c r="A217" s="28" t="inlineStr">
        <is>
          <t>iDEAL</t>
        </is>
      </c>
      <c r="B217" s="29" t="inlineStr">
        <is>
          <t>Technology</t>
        </is>
      </c>
      <c r="C217" s="29" t="n">
        <v>4</v>
      </c>
      <c r="D217" s="29" t="inlineStr">
        <is>
          <t>IRIS2466</t>
        </is>
      </c>
      <c r="E217" s="29" t="inlineStr">
        <is>
          <t>Vidyasagar Reddy</t>
        </is>
      </c>
      <c r="F217" s="29" t="inlineStr">
        <is>
          <t>Business Analyst</t>
        </is>
      </c>
      <c r="G217" s="29" t="inlineStr">
        <is>
          <t>Senior Business Analyst</t>
        </is>
      </c>
      <c r="H217" s="29" t="inlineStr">
        <is>
          <t>Business Analysis</t>
        </is>
      </c>
      <c r="I217" s="29" t="inlineStr">
        <is>
          <t>Business Analysis</t>
        </is>
      </c>
      <c r="J217" s="29" t="inlineStr">
        <is>
          <t>IC</t>
        </is>
      </c>
      <c r="K217" s="29" t="inlineStr">
        <is>
          <t>RC-009</t>
        </is>
      </c>
      <c r="L217" s="29" t="inlineStr">
        <is>
          <t>Dnyaneshwar Daund</t>
        </is>
      </c>
      <c r="M217" s="29" t="inlineStr">
        <is>
          <t>IRIS0971</t>
        </is>
      </c>
      <c r="N217" s="29" t="n">
        <v>2.2</v>
      </c>
      <c r="O217" s="29" t="n">
        <v>0.7</v>
      </c>
      <c r="P217" s="29" t="inlineStr">
        <is>
          <t>B.Tech</t>
        </is>
      </c>
      <c r="Q217" s="29" t="inlineStr">
        <is>
          <t>L3 – Professional / Associate</t>
        </is>
      </c>
      <c r="R217" s="29" t="inlineStr">
        <is>
          <t>A3</t>
        </is>
      </c>
      <c r="S217" s="30" t="inlineStr">
        <is>
          <t>19 of 20</t>
        </is>
      </c>
      <c r="T217" s="31"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t>
        </is>
      </c>
      <c r="U217"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17" s="31" t="inlineStr">
        <is>
          <t>Latest rating: 3 · Potential: Medium · 9-box: Emerging Talent · Readiness: Develop in role</t>
        </is>
      </c>
      <c r="W217" s="31" t="inlineStr">
        <is>
          <t>C M · Au M · Ac M · L L · BI M · Exp M · 2.2 yrs vs 2–4 yrs · Edu M · B.Tech</t>
        </is>
      </c>
      <c r="X217" s="33" t="inlineStr">
        <is>
          <t>Open ▸</t>
        </is>
      </c>
      <c r="Y217" s="34" t="str">
        <f>IFERROR(INDEX(DL_C,MATCH($CA217,DL_KEY,0)),"M")</f>
        <v>H</v>
      </c>
      <c r="Z217" s="35" t="str">
        <f>IFERROR(INDEX(DL_Au,MATCH($CA217,DL_KEY,0)),"M")</f>
        <v>M</v>
      </c>
      <c r="AA217" s="35" t="str">
        <f>IFERROR(INDEX(DL_Ac,MATCH($CA217,DL_KEY,0)),"M")</f>
        <v>L</v>
      </c>
      <c r="AB217" s="35" t="str">
        <f>IFERROR(INDEX(DL_L,MATCH($CA217,DL_KEY,0)),"M")</f>
        <v>L</v>
      </c>
      <c r="AC217" s="35" t="str">
        <f>IFERROR(INDEX(DL_BI,MATCH($CA217,DL_KEY,0)),"M")</f>
        <v>L</v>
      </c>
      <c r="AD217" s="35" t="str">
        <f>IFERROR(INDEX(DL_Exp,MATCH($CA217,DL_KEY,0)),"M")</f>
        <v>L</v>
      </c>
      <c r="AE217" s="35" t="str">
        <f>IFERROR(INDEX(DL_Edu,MATCH($CA217,DL_KEY,0)),"M")</f>
        <v>L</v>
      </c>
      <c r="AF217" s="34" t="inlineStr">
        <is>
          <t>M</t>
        </is>
      </c>
      <c r="AG217" s="35" t="inlineStr">
        <is>
          <t>M</t>
        </is>
      </c>
      <c r="AH217" s="35" t="inlineStr">
        <is>
          <t>M</t>
        </is>
      </c>
      <c r="AI217" s="35" t="inlineStr">
        <is>
          <t>M</t>
        </is>
      </c>
      <c r="AJ217" s="35" t="inlineStr">
        <is>
          <t>M</t>
        </is>
      </c>
      <c r="AK217" s="35" t="inlineStr">
        <is>
          <t>M</t>
        </is>
      </c>
      <c r="AL217" s="35" t="inlineStr">
        <is>
          <t>M</t>
        </is>
      </c>
      <c r="AM217" s="36" t="n">
        <v>0.583</v>
      </c>
      <c r="AN217" s="37" t="n">
        <v>0.16</v>
      </c>
      <c r="AO217" s="37" t="n">
        <v>0.09</v>
      </c>
      <c r="AP217" s="37" t="n">
        <v>0</v>
      </c>
      <c r="AQ217" s="37" t="n">
        <v>0.063</v>
      </c>
      <c r="AR217" s="37" t="n">
        <v>0.06</v>
      </c>
      <c r="AS217" s="37" t="n">
        <v>0.04</v>
      </c>
      <c r="AT217" s="38" t="inlineStr">
        <is>
          <t>2–5</t>
        </is>
      </c>
      <c r="AU217" s="38" t="inlineStr">
        <is>
          <t>Graduate; relevant certification preferred</t>
        </is>
      </c>
      <c r="AV217" s="38" t="inlineStr">
        <is>
          <t>None · guides 1–3 juniors informally</t>
        </is>
      </c>
      <c r="AW217" s="38" t="inlineStr">
        <is>
          <t>P2 · SFIA 3 Apply</t>
        </is>
      </c>
      <c r="AX2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7" s="39" t="inlineStr">
        <is>
          <t>A3</t>
        </is>
      </c>
      <c r="AZ217" s="40" t="inlineStr">
        <is>
          <t>Band A · Practitioner · Senior Associate</t>
        </is>
      </c>
      <c r="BA217" s="40" t="inlineStr">
        <is>
          <t>Model A3 from the six ratings, the market-derived weights and rules R1–R13 · then No change · already below the manager</t>
        </is>
      </c>
      <c r="BB217" s="41" t="inlineStr">
        <is>
          <t>A3</t>
        </is>
      </c>
      <c r="BC217" s="40" t="inlineStr">
        <is>
          <t>The six ratings on the market-average weights of Band A · all tracks score 2.87 → A3 · Hay, Mercer IPE and public plans · experience 2.2 yrs vs the A3 market range 2–5</t>
        </is>
      </c>
      <c r="BD217" s="42">
        <f>IF(SUM(BM217,BN217,BO217,BP217,BQ217,BR217,BS217)=0,0,(BM217*BT217+BN217*BU217+BO217*BV217+BP217*BW217+BQ217*BX217+BR217*BY217+BS217*BZ217)/SUM(BM217,BN217,BO217,BP217,BQ217,BR217,BS217))</f>
        <v>0</v>
      </c>
      <c r="BE217" s="41" t="str">
        <f>IF(LEFT(AY217,1)="X",AY217,IF(OR(AY217="B+",AY217="C+"),INDEX(LAD_PC,MAX(1,MIN(14,MATCH(AY217,LAD_PC,0)+IF(BD217&gt;=0.5,1,IF(BD217&lt;=-0.5,-1,0))))),INDEX(LAD_STD,MAX(1,MIN(12,MATCH(AY217,LAD_STD,0)+IF(BD217&gt;=0.5,1,IF(BD217&lt;=-0.5,-1,0)))))))</f>
        <v>A3</v>
      </c>
      <c r="BF217" s="43" t="n"/>
      <c r="BG217" s="41" t="str">
        <f>IF(BF217&lt;&gt;"",BF217,BE217)</f>
        <v>A3</v>
      </c>
      <c r="BH217" s="40" t="str">
        <f>IFERROR(CHOOSE(INDEX(B_RANK,MATCH(BG217,B_LVL,0)),"Band A","Band B","B+ · Player-Coach","Band C","C+ · Player-Coach","Band D","Band E"),"Band X · Consultant")</f>
        <v>Band A</v>
      </c>
      <c r="BI217" s="40" t="str">
        <f>IF(BG217=AY217,"• Same",IF(INDEX(B_VAL,MATCH(BG217,B_LVL,0))&gt;INDEX(B_VAL,MATCH(AY217,B_LVL,0)),"▲ Up","▼ Down"))</f>
        <v>• Same</v>
      </c>
      <c r="BJ217" s="40" t="str">
        <f>IF(OR($M217="",$M217="—",$M217="Not in this file"),"",IFERROR(INDEX($BG$7:$BG$592,MATCH($M217,$D$7:$D$592,0)),""))</f>
        <v>B2</v>
      </c>
      <c r="BK217" s="40" t="str">
        <f>IFERROR(IF(BJ217="","—",IF(OR(LEFT(BG217,1)="X",LEFT(BJ217,1)="X"),"—",IF(AND(LEFT(BG217,1)="E",LEFT(BJ217,1)="E"),"Exception · Band E",IF(AND(INDEX(B_VAL,MATCH(BJ217,B_LVL,0))&gt;=7,INDEX(B_RANK,MATCH(BG217,B_LVL,0))&gt;=INDEX(B_RANK,MATCH(BJ217,B_LVL,0))),"⚠ Same band as a head manager",IF(INDEX(B_VAL,MATCH(BG217,B_LVL,0))&gt;=INDEX(B_VAL,MATCH(BJ217,B_LVL,0)),"⚠ At or above the manager's level","OK"))))),"—")</f>
        <v>OK</v>
      </c>
      <c r="BL217" s="43" t="n"/>
      <c r="BM217" s="44">
        <f>IFERROR(INDEX(LMH_PTS,MATCH(Y217,LMH_KEY,0)),0)</f>
        <v>9</v>
      </c>
      <c r="BN217" s="38">
        <f>IFERROR(INDEX(LMH_PTS,MATCH(Z217,LMH_KEY,0)),0)</f>
        <v>3</v>
      </c>
      <c r="BO217" s="38">
        <f>IFERROR(INDEX(LMH_PTS,MATCH(AA217,LMH_KEY,0)),0)</f>
        <v>1</v>
      </c>
      <c r="BP217" s="38">
        <f>IFERROR(INDEX(LMH_PTS,MATCH(AB217,LMH_KEY,0)),0)</f>
        <v>1</v>
      </c>
      <c r="BQ217" s="38">
        <f>IFERROR(INDEX(LMH_PTS,MATCH(AC217,LMH_KEY,0)),0)</f>
        <v>1</v>
      </c>
      <c r="BR217" s="38">
        <f>IFERROR(INDEX(LMH_PTS,MATCH(AD217,LMH_KEY,0)),0)</f>
        <v>1</v>
      </c>
      <c r="BS217" s="38">
        <f>IFERROR(INDEX(LMH_PTS,MATCH(AE217,LMH_KEY,0)),0)</f>
        <v>1</v>
      </c>
      <c r="BT217" s="38">
        <f>IFERROR(INDEX(LMH_STEP,MATCH(AF217,LMH_KEY,0)),0)</f>
        <v>0</v>
      </c>
      <c r="BU217" s="38">
        <f>IFERROR(INDEX(LMH_STEP,MATCH(AG217,LMH_KEY,0)),0)</f>
        <v>0</v>
      </c>
      <c r="BV217" s="38">
        <f>IFERROR(INDEX(LMH_STEP,MATCH(AH217,LMH_KEY,0)),0)</f>
        <v>0</v>
      </c>
      <c r="BW217" s="38">
        <f>IFERROR(INDEX(LMH_STEP,MATCH(AI217,LMH_KEY,0)),0)</f>
        <v>0</v>
      </c>
      <c r="BX217" s="38">
        <f>IFERROR(INDEX(LMH_STEP,MATCH(AJ217,LMH_KEY,0)),0)</f>
        <v>0</v>
      </c>
      <c r="BY217" s="38">
        <f>IFERROR(INDEX(LMH_STEP,MATCH(AK217,LMH_KEY,0)),0)</f>
        <v>0</v>
      </c>
      <c r="BZ217" s="38">
        <f>IFERROR(INDEX(LMH_STEP,MATCH(AL217,LMH_KEY,0)),0)</f>
        <v>0</v>
      </c>
      <c r="CA217" s="38" t="inlineStr">
        <is>
          <t>iDEAL|Technology|Senior Business Analyst|A3|A</t>
        </is>
      </c>
    </row>
    <row r="218" ht="110" customHeight="1">
      <c r="A218" s="28" t="inlineStr">
        <is>
          <t>iDEAL</t>
        </is>
      </c>
      <c r="B218" s="29" t="inlineStr">
        <is>
          <t>Sales</t>
        </is>
      </c>
      <c r="C218" s="29" t="n">
        <v>3</v>
      </c>
      <c r="D218" s="29" t="inlineStr">
        <is>
          <t>IRIS2505</t>
        </is>
      </c>
      <c r="E218" s="29" t="inlineStr">
        <is>
          <t>Rohit Patil</t>
        </is>
      </c>
      <c r="F218" s="29" t="inlineStr">
        <is>
          <t>Manager Sales</t>
        </is>
      </c>
      <c r="G218" s="29" t="inlineStr">
        <is>
          <t>Senior Account Executive</t>
        </is>
      </c>
      <c r="H218" s="29" t="inlineStr">
        <is>
          <t>Sales &amp; Business Development</t>
        </is>
      </c>
      <c r="I218" s="29" t="inlineStr">
        <is>
          <t>Enterprise Sales &amp; Account Management</t>
        </is>
      </c>
      <c r="J218" s="29" t="inlineStr">
        <is>
          <t>IC</t>
        </is>
      </c>
      <c r="K218" s="29" t="inlineStr">
        <is>
          <t>RC-152</t>
        </is>
      </c>
      <c r="L218" s="29" t="inlineStr">
        <is>
          <t>Hemant Karale</t>
        </is>
      </c>
      <c r="M218" s="29" t="inlineStr">
        <is>
          <t>IRIS1224</t>
        </is>
      </c>
      <c r="N218" s="29" t="n">
        <v>16.5</v>
      </c>
      <c r="O218" s="29" t="n">
        <v>0.5</v>
      </c>
      <c r="P218" s="29" t="inlineStr">
        <is>
          <t>MBA</t>
        </is>
      </c>
      <c r="Q218" s="29" t="inlineStr">
        <is>
          <t>L5 – Manager</t>
        </is>
      </c>
      <c r="R218" s="29" t="inlineStr">
        <is>
          <t>B2</t>
        </is>
      </c>
      <c r="S218" s="30" t="inlineStr">
        <is>
          <t>20 of 20</t>
        </is>
      </c>
      <c r="T218" s="31"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t>
        </is>
      </c>
      <c r="U218" s="31" t="inlineStr">
        <is>
          <t>Received · manager annual, quarterly · 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t>
        </is>
      </c>
      <c r="V218" s="31" t="inlineStr">
        <is>
          <t>Latest rating: 2 · 9-box: Not placed · manager · Readiness: Performance first</t>
        </is>
      </c>
      <c r="W218" s="31" t="inlineStr">
        <is>
          <t>C M · Au M · Ac M · L L · BI M · Exp H · 16.5 yrs vs 6–9 yrs · Edu H · MBA</t>
        </is>
      </c>
      <c r="X218" s="33" t="inlineStr">
        <is>
          <t>Open ▸</t>
        </is>
      </c>
      <c r="Y218" s="34" t="str">
        <f>IFERROR(INDEX(DL_C,MATCH($CA218,DL_KEY,0)),"M")</f>
        <v>H</v>
      </c>
      <c r="Z218" s="35" t="str">
        <f>IFERROR(INDEX(DL_Au,MATCH($CA218,DL_KEY,0)),"M")</f>
        <v>M</v>
      </c>
      <c r="AA218" s="35" t="str">
        <f>IFERROR(INDEX(DL_Ac,MATCH($CA218,DL_KEY,0)),"M")</f>
        <v>L</v>
      </c>
      <c r="AB218" s="35" t="str">
        <f>IFERROR(INDEX(DL_L,MATCH($CA218,DL_KEY,0)),"M")</f>
        <v>L</v>
      </c>
      <c r="AC218" s="35" t="str">
        <f>IFERROR(INDEX(DL_BI,MATCH($CA218,DL_KEY,0)),"M")</f>
        <v>M</v>
      </c>
      <c r="AD218" s="35" t="str">
        <f>IFERROR(INDEX(DL_Exp,MATCH($CA218,DL_KEY,0)),"M")</f>
        <v>L</v>
      </c>
      <c r="AE218" s="35" t="str">
        <f>IFERROR(INDEX(DL_Edu,MATCH($CA218,DL_KEY,0)),"M")</f>
        <v>L</v>
      </c>
      <c r="AF218" s="34" t="inlineStr">
        <is>
          <t>M</t>
        </is>
      </c>
      <c r="AG218" s="35" t="inlineStr">
        <is>
          <t>M</t>
        </is>
      </c>
      <c r="AH218" s="35" t="inlineStr">
        <is>
          <t>M</t>
        </is>
      </c>
      <c r="AI218" s="35" t="inlineStr">
        <is>
          <t>M</t>
        </is>
      </c>
      <c r="AJ218" s="35" t="inlineStr">
        <is>
          <t>M</t>
        </is>
      </c>
      <c r="AK218" s="35" t="inlineStr">
        <is>
          <t>M</t>
        </is>
      </c>
      <c r="AL218" s="35" t="inlineStr">
        <is>
          <t>M</t>
        </is>
      </c>
      <c r="AM218" s="36" t="n">
        <v>0.513</v>
      </c>
      <c r="AN218" s="37" t="n">
        <v>0.173</v>
      </c>
      <c r="AO218" s="37" t="n">
        <v>0.09699999999999999</v>
      </c>
      <c r="AP218" s="37" t="n">
        <v>0.05</v>
      </c>
      <c r="AQ218" s="37" t="n">
        <v>0.07000000000000001</v>
      </c>
      <c r="AR218" s="37" t="n">
        <v>0.06</v>
      </c>
      <c r="AS218" s="37" t="n">
        <v>0.04</v>
      </c>
      <c r="AT218" s="38" t="inlineStr">
        <is>
          <t>6–10</t>
        </is>
      </c>
      <c r="AU218" s="38" t="inlineStr">
        <is>
          <t>Graduate or postgraduate; professional qualification preferred</t>
        </is>
      </c>
      <c r="AV218" s="38" t="inlineStr">
        <is>
          <t>IC: none · People: 6–8 knowledge work, 8–12 standardised delivery</t>
        </is>
      </c>
      <c r="AW218" s="38" t="inlineStr">
        <is>
          <t>P4 / M3 · SFIA 4–5</t>
        </is>
      </c>
      <c r="AX2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8" s="39" t="inlineStr">
        <is>
          <t>B2</t>
        </is>
      </c>
      <c r="AZ218" s="40" t="inlineStr">
        <is>
          <t>Band B · Specialist / Manager · Senior Specialist</t>
        </is>
      </c>
      <c r="BA218" s="40" t="inlineStr">
        <is>
          <t>Model B2 from the six ratings, the market-derived weights and rules R1–R13 · then No change · already below the manager</t>
        </is>
      </c>
      <c r="BB218" s="41" t="inlineStr">
        <is>
          <t>B2</t>
        </is>
      </c>
      <c r="BC218" s="40" t="inlineStr">
        <is>
          <t>The six ratings on the market-average weights of Band B · Specialist / POD Lead score 4.98 → B2 · Hay, Mercer IPE and public plans · experience 16.5 yrs vs the B2 market range 6–10</t>
        </is>
      </c>
      <c r="BD218" s="42">
        <f>IF(SUM(BM218,BN218,BO218,BP218,BQ218,BR218,BS218)=0,0,(BM218*BT218+BN218*BU218+BO218*BV218+BP218*BW218+BQ218*BX218+BR218*BY218+BS218*BZ218)/SUM(BM218,BN218,BO218,BP218,BQ218,BR218,BS218))</f>
        <v>0</v>
      </c>
      <c r="BE218" s="41" t="str">
        <f>IF(LEFT(AY218,1)="X",AY218,IF(OR(AY218="B+",AY218="C+"),INDEX(LAD_PC,MAX(1,MIN(14,MATCH(AY218,LAD_PC,0)+IF(BD218&gt;=0.5,1,IF(BD218&lt;=-0.5,-1,0))))),INDEX(LAD_STD,MAX(1,MIN(12,MATCH(AY218,LAD_STD,0)+IF(BD218&gt;=0.5,1,IF(BD218&lt;=-0.5,-1,0)))))))</f>
        <v>B2</v>
      </c>
      <c r="BF218" s="43" t="n"/>
      <c r="BG218" s="41" t="str">
        <f>IF(BF218&lt;&gt;"",BF218,BE218)</f>
        <v>B2</v>
      </c>
      <c r="BH218" s="40" t="str">
        <f>IFERROR(CHOOSE(INDEX(B_RANK,MATCH(BG218,B_LVL,0)),"Band A","Band B","B+ · Player-Coach","Band C","C+ · Player-Coach","Band D","Band E"),"Band X · Consultant")</f>
        <v>Band B</v>
      </c>
      <c r="BI218" s="40" t="str">
        <f>IF(BG218=AY218,"• Same",IF(INDEX(B_VAL,MATCH(BG218,B_LVL,0))&gt;INDEX(B_VAL,MATCH(AY218,B_LVL,0)),"▲ Up","▼ Down"))</f>
        <v>• Same</v>
      </c>
      <c r="BJ218" s="40" t="str">
        <f>IF(OR($M218="",$M218="—",$M218="Not in this file"),"",IFERROR(INDEX($BG$7:$BG$592,MATCH($M218,$D$7:$D$592,0)),""))</f>
        <v>C2</v>
      </c>
      <c r="BK218" s="40" t="str">
        <f>IFERROR(IF(BJ218="","—",IF(OR(LEFT(BG218,1)="X",LEFT(BJ218,1)="X"),"—",IF(AND(LEFT(BG218,1)="E",LEFT(BJ218,1)="E"),"Exception · Band E",IF(AND(INDEX(B_VAL,MATCH(BJ218,B_LVL,0))&gt;=7,INDEX(B_RANK,MATCH(BG218,B_LVL,0))&gt;=INDEX(B_RANK,MATCH(BJ218,B_LVL,0))),"⚠ Same band as a head manager",IF(INDEX(B_VAL,MATCH(BG218,B_LVL,0))&gt;=INDEX(B_VAL,MATCH(BJ218,B_LVL,0)),"⚠ At or above the manager's level","OK"))))),"—")</f>
        <v>OK</v>
      </c>
      <c r="BL218" s="43" t="n"/>
      <c r="BM218" s="44">
        <f>IFERROR(INDEX(LMH_PTS,MATCH(Y218,LMH_KEY,0)),0)</f>
        <v>9</v>
      </c>
      <c r="BN218" s="38">
        <f>IFERROR(INDEX(LMH_PTS,MATCH(Z218,LMH_KEY,0)),0)</f>
        <v>3</v>
      </c>
      <c r="BO218" s="38">
        <f>IFERROR(INDEX(LMH_PTS,MATCH(AA218,LMH_KEY,0)),0)</f>
        <v>1</v>
      </c>
      <c r="BP218" s="38">
        <f>IFERROR(INDEX(LMH_PTS,MATCH(AB218,LMH_KEY,0)),0)</f>
        <v>1</v>
      </c>
      <c r="BQ218" s="38">
        <f>IFERROR(INDEX(LMH_PTS,MATCH(AC218,LMH_KEY,0)),0)</f>
        <v>3</v>
      </c>
      <c r="BR218" s="38">
        <f>IFERROR(INDEX(LMH_PTS,MATCH(AD218,LMH_KEY,0)),0)</f>
        <v>1</v>
      </c>
      <c r="BS218" s="38">
        <f>IFERROR(INDEX(LMH_PTS,MATCH(AE218,LMH_KEY,0)),0)</f>
        <v>1</v>
      </c>
      <c r="BT218" s="38">
        <f>IFERROR(INDEX(LMH_STEP,MATCH(AF218,LMH_KEY,0)),0)</f>
        <v>0</v>
      </c>
      <c r="BU218" s="38">
        <f>IFERROR(INDEX(LMH_STEP,MATCH(AG218,LMH_KEY,0)),0)</f>
        <v>0</v>
      </c>
      <c r="BV218" s="38">
        <f>IFERROR(INDEX(LMH_STEP,MATCH(AH218,LMH_KEY,0)),0)</f>
        <v>0</v>
      </c>
      <c r="BW218" s="38">
        <f>IFERROR(INDEX(LMH_STEP,MATCH(AI218,LMH_KEY,0)),0)</f>
        <v>0</v>
      </c>
      <c r="BX218" s="38">
        <f>IFERROR(INDEX(LMH_STEP,MATCH(AJ218,LMH_KEY,0)),0)</f>
        <v>0</v>
      </c>
      <c r="BY218" s="38">
        <f>IFERROR(INDEX(LMH_STEP,MATCH(AK218,LMH_KEY,0)),0)</f>
        <v>0</v>
      </c>
      <c r="BZ218" s="38">
        <f>IFERROR(INDEX(LMH_STEP,MATCH(AL218,LMH_KEY,0)),0)</f>
        <v>0</v>
      </c>
      <c r="CA218" s="38" t="inlineStr">
        <is>
          <t>iDEAL|Sales|Senior Account Executive|B2|B-IC</t>
        </is>
      </c>
    </row>
    <row r="219" ht="110" customHeight="1">
      <c r="A219" s="28" t="inlineStr">
        <is>
          <t>iDEAL</t>
        </is>
      </c>
      <c r="B219" s="29" t="inlineStr">
        <is>
          <t>Product Management</t>
        </is>
      </c>
      <c r="C219" s="29" t="n">
        <v>3</v>
      </c>
      <c r="D219" s="29" t="inlineStr">
        <is>
          <t>IRIS1158</t>
        </is>
      </c>
      <c r="E219" s="29" t="inlineStr">
        <is>
          <t>Yuvraj Kharchane</t>
        </is>
      </c>
      <c r="F219" s="29" t="inlineStr">
        <is>
          <t>Product Manager</t>
        </is>
      </c>
      <c r="G219" s="29" t="inlineStr">
        <is>
          <t>Product Manager</t>
        </is>
      </c>
      <c r="H219" s="29" t="inlineStr">
        <is>
          <t>Product Management</t>
        </is>
      </c>
      <c r="I219" s="29" t="inlineStr">
        <is>
          <t>Product Management</t>
        </is>
      </c>
      <c r="J219" s="29" t="inlineStr">
        <is>
          <t>People Manager</t>
        </is>
      </c>
      <c r="K219" s="29" t="inlineStr">
        <is>
          <t>RC-127</t>
        </is>
      </c>
      <c r="L219" s="29" t="inlineStr">
        <is>
          <t>Hemant Karale</t>
        </is>
      </c>
      <c r="M219" s="29" t="inlineStr">
        <is>
          <t>IRIS1224</t>
        </is>
      </c>
      <c r="N219" s="29" t="n">
        <v>14.3</v>
      </c>
      <c r="O219" s="29" t="n">
        <v>14.3</v>
      </c>
      <c r="P219" s="29" t="inlineStr">
        <is>
          <t>MBA</t>
        </is>
      </c>
      <c r="Q219" s="29" t="inlineStr">
        <is>
          <t>L5 – Manager</t>
        </is>
      </c>
      <c r="R219" s="29" t="inlineStr">
        <is>
          <t>B2</t>
        </is>
      </c>
      <c r="S219" s="30" t="inlineStr">
        <is>
          <t>20 of 20</t>
        </is>
      </c>
      <c r="T219" s="31"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t>
        </is>
      </c>
      <c r="U219" s="31" t="inlineStr">
        <is>
          <t>Received · manager annual, quarterly, self · 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t>
        </is>
      </c>
      <c r="V219" s="31" t="inlineStr">
        <is>
          <t>Latest rating: 5 · Potential: High · 9-box: Core Contributor · Readiness: Ready now</t>
        </is>
      </c>
      <c r="W219" s="31" t="inlineStr">
        <is>
          <t>C M · Au M · Ac M · L M · BI M · Exp H · 14.3 yrs vs 6–9 yrs · Edu H · MBA</t>
        </is>
      </c>
      <c r="X219" s="33" t="inlineStr">
        <is>
          <t>Open ▸</t>
        </is>
      </c>
      <c r="Y219" s="34" t="str">
        <f>IFERROR(INDEX(DL_C,MATCH($CA219,DL_KEY,0)),"M")</f>
        <v>H</v>
      </c>
      <c r="Z219" s="35" t="str">
        <f>IFERROR(INDEX(DL_Au,MATCH($CA219,DL_KEY,0)),"M")</f>
        <v>M</v>
      </c>
      <c r="AA219" s="35" t="str">
        <f>IFERROR(INDEX(DL_Ac,MATCH($CA219,DL_KEY,0)),"M")</f>
        <v>M</v>
      </c>
      <c r="AB219" s="35" t="str">
        <f>IFERROR(INDEX(DL_L,MATCH($CA219,DL_KEY,0)),"M")</f>
        <v>M</v>
      </c>
      <c r="AC219" s="35" t="str">
        <f>IFERROR(INDEX(DL_BI,MATCH($CA219,DL_KEY,0)),"M")</f>
        <v>L</v>
      </c>
      <c r="AD219" s="35" t="str">
        <f>IFERROR(INDEX(DL_Exp,MATCH($CA219,DL_KEY,0)),"M")</f>
        <v>L</v>
      </c>
      <c r="AE219" s="35" t="str">
        <f>IFERROR(INDEX(DL_Edu,MATCH($CA219,DL_KEY,0)),"M")</f>
        <v>L</v>
      </c>
      <c r="AF219" s="34" t="inlineStr">
        <is>
          <t>M</t>
        </is>
      </c>
      <c r="AG219" s="35" t="inlineStr">
        <is>
          <t>M</t>
        </is>
      </c>
      <c r="AH219" s="35" t="inlineStr">
        <is>
          <t>M</t>
        </is>
      </c>
      <c r="AI219" s="35" t="inlineStr">
        <is>
          <t>M</t>
        </is>
      </c>
      <c r="AJ219" s="35" t="inlineStr">
        <is>
          <t>M</t>
        </is>
      </c>
      <c r="AK219" s="35" t="inlineStr">
        <is>
          <t>M</t>
        </is>
      </c>
      <c r="AL219" s="35" t="inlineStr">
        <is>
          <t>M</t>
        </is>
      </c>
      <c r="AM219" s="36" t="n">
        <v>0.37</v>
      </c>
      <c r="AN219" s="37" t="n">
        <v>0.183</v>
      </c>
      <c r="AO219" s="37" t="n">
        <v>0.113</v>
      </c>
      <c r="AP219" s="37" t="n">
        <v>0.15</v>
      </c>
      <c r="AQ219" s="37" t="n">
        <v>0.08699999999999999</v>
      </c>
      <c r="AR219" s="37" t="n">
        <v>0.06</v>
      </c>
      <c r="AS219" s="37" t="n">
        <v>0.04</v>
      </c>
      <c r="AT219" s="38" t="inlineStr">
        <is>
          <t>6–10</t>
        </is>
      </c>
      <c r="AU219" s="38" t="inlineStr">
        <is>
          <t>Graduate or postgraduate; professional qualification preferred</t>
        </is>
      </c>
      <c r="AV219" s="38" t="inlineStr">
        <is>
          <t>IC: none · People: 6–8 knowledge work, 8–12 standardised delivery</t>
        </is>
      </c>
      <c r="AW219" s="38" t="inlineStr">
        <is>
          <t>P4 / M3 · SFIA 4–5</t>
        </is>
      </c>
      <c r="AX2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9" s="39" t="inlineStr">
        <is>
          <t>B2</t>
        </is>
      </c>
      <c r="AZ219" s="40" t="inlineStr">
        <is>
          <t>Band B · Specialist / Manager · Manager</t>
        </is>
      </c>
      <c r="BA219" s="40" t="inlineStr">
        <is>
          <t>Model B2 from the six ratings, the market-derived weights and rules R1–R13 · then No change · already below the manager</t>
        </is>
      </c>
      <c r="BB219" s="41" t="inlineStr">
        <is>
          <t>B2</t>
        </is>
      </c>
      <c r="BC219" s="40" t="inlineStr">
        <is>
          <t>The six ratings on the market-average weights of Band B · People Manager score 5.32 → B2 · Hay, Mercer IPE and public plans · experience 14.3 yrs vs the B2 market range 6–10</t>
        </is>
      </c>
      <c r="BD219" s="42">
        <f>IF(SUM(BM219,BN219,BO219,BP219,BQ219,BR219,BS219)=0,0,(BM219*BT219+BN219*BU219+BO219*BV219+BP219*BW219+BQ219*BX219+BR219*BY219+BS219*BZ219)/SUM(BM219,BN219,BO219,BP219,BQ219,BR219,BS219))</f>
        <v>0</v>
      </c>
      <c r="BE219" s="41" t="str">
        <f>IF(LEFT(AY219,1)="X",AY219,IF(OR(AY219="B+",AY219="C+"),INDEX(LAD_PC,MAX(1,MIN(14,MATCH(AY219,LAD_PC,0)+IF(BD219&gt;=0.5,1,IF(BD219&lt;=-0.5,-1,0))))),INDEX(LAD_STD,MAX(1,MIN(12,MATCH(AY219,LAD_STD,0)+IF(BD219&gt;=0.5,1,IF(BD219&lt;=-0.5,-1,0)))))))</f>
        <v>B2</v>
      </c>
      <c r="BF219" s="43" t="n"/>
      <c r="BG219" s="41" t="str">
        <f>IF(BF219&lt;&gt;"",BF219,BE219)</f>
        <v>B2</v>
      </c>
      <c r="BH219" s="40" t="str">
        <f>IFERROR(CHOOSE(INDEX(B_RANK,MATCH(BG219,B_LVL,0)),"Band A","Band B","B+ · Player-Coach","Band C","C+ · Player-Coach","Band D","Band E"),"Band X · Consultant")</f>
        <v>Band B</v>
      </c>
      <c r="BI219" s="40" t="str">
        <f>IF(BG219=AY219,"• Same",IF(INDEX(B_VAL,MATCH(BG219,B_LVL,0))&gt;INDEX(B_VAL,MATCH(AY219,B_LVL,0)),"▲ Up","▼ Down"))</f>
        <v>• Same</v>
      </c>
      <c r="BJ219" s="40" t="str">
        <f>IF(OR($M219="",$M219="—",$M219="Not in this file"),"",IFERROR(INDEX($BG$7:$BG$592,MATCH($M219,$D$7:$D$592,0)),""))</f>
        <v>C2</v>
      </c>
      <c r="BK219" s="40" t="str">
        <f>IFERROR(IF(BJ219="","—",IF(OR(LEFT(BG219,1)="X",LEFT(BJ219,1)="X"),"—",IF(AND(LEFT(BG219,1)="E",LEFT(BJ219,1)="E"),"Exception · Band E",IF(AND(INDEX(B_VAL,MATCH(BJ219,B_LVL,0))&gt;=7,INDEX(B_RANK,MATCH(BG219,B_LVL,0))&gt;=INDEX(B_RANK,MATCH(BJ219,B_LVL,0))),"⚠ Same band as a head manager",IF(INDEX(B_VAL,MATCH(BG219,B_LVL,0))&gt;=INDEX(B_VAL,MATCH(BJ219,B_LVL,0)),"⚠ At or above the manager's level","OK"))))),"—")</f>
        <v>OK</v>
      </c>
      <c r="BL219" s="43" t="n"/>
      <c r="BM219" s="44">
        <f>IFERROR(INDEX(LMH_PTS,MATCH(Y219,LMH_KEY,0)),0)</f>
        <v>9</v>
      </c>
      <c r="BN219" s="38">
        <f>IFERROR(INDEX(LMH_PTS,MATCH(Z219,LMH_KEY,0)),0)</f>
        <v>3</v>
      </c>
      <c r="BO219" s="38">
        <f>IFERROR(INDEX(LMH_PTS,MATCH(AA219,LMH_KEY,0)),0)</f>
        <v>3</v>
      </c>
      <c r="BP219" s="38">
        <f>IFERROR(INDEX(LMH_PTS,MATCH(AB219,LMH_KEY,0)),0)</f>
        <v>3</v>
      </c>
      <c r="BQ219" s="38">
        <f>IFERROR(INDEX(LMH_PTS,MATCH(AC219,LMH_KEY,0)),0)</f>
        <v>1</v>
      </c>
      <c r="BR219" s="38">
        <f>IFERROR(INDEX(LMH_PTS,MATCH(AD219,LMH_KEY,0)),0)</f>
        <v>1</v>
      </c>
      <c r="BS219" s="38">
        <f>IFERROR(INDEX(LMH_PTS,MATCH(AE219,LMH_KEY,0)),0)</f>
        <v>1</v>
      </c>
      <c r="BT219" s="38">
        <f>IFERROR(INDEX(LMH_STEP,MATCH(AF219,LMH_KEY,0)),0)</f>
        <v>0</v>
      </c>
      <c r="BU219" s="38">
        <f>IFERROR(INDEX(LMH_STEP,MATCH(AG219,LMH_KEY,0)),0)</f>
        <v>0</v>
      </c>
      <c r="BV219" s="38">
        <f>IFERROR(INDEX(LMH_STEP,MATCH(AH219,LMH_KEY,0)),0)</f>
        <v>0</v>
      </c>
      <c r="BW219" s="38">
        <f>IFERROR(INDEX(LMH_STEP,MATCH(AI219,LMH_KEY,0)),0)</f>
        <v>0</v>
      </c>
      <c r="BX219" s="38">
        <f>IFERROR(INDEX(LMH_STEP,MATCH(AJ219,LMH_KEY,0)),0)</f>
        <v>0</v>
      </c>
      <c r="BY219" s="38">
        <f>IFERROR(INDEX(LMH_STEP,MATCH(AK219,LMH_KEY,0)),0)</f>
        <v>0</v>
      </c>
      <c r="BZ219" s="38">
        <f>IFERROR(INDEX(LMH_STEP,MATCH(AL219,LMH_KEY,0)),0)</f>
        <v>0</v>
      </c>
      <c r="CA219" s="38" t="inlineStr">
        <is>
          <t>iDEAL|Product Management|Product Manager|B2|B-M</t>
        </is>
      </c>
    </row>
    <row r="220" ht="110" customHeight="1">
      <c r="A220" s="28" t="inlineStr">
        <is>
          <t>iDEAL</t>
        </is>
      </c>
      <c r="B220" s="29" t="inlineStr">
        <is>
          <t>Technology</t>
        </is>
      </c>
      <c r="C220" s="29" t="n">
        <v>4</v>
      </c>
      <c r="D220" s="29" t="inlineStr">
        <is>
          <t>IRIS1178</t>
        </is>
      </c>
      <c r="E220" s="29" t="inlineStr">
        <is>
          <t>Anand Shinde</t>
        </is>
      </c>
      <c r="F220" s="29" t="inlineStr">
        <is>
          <t>Senior Business Analyst</t>
        </is>
      </c>
      <c r="G220" s="29" t="inlineStr">
        <is>
          <t>Business Analysis Specialist</t>
        </is>
      </c>
      <c r="H220" s="29" t="inlineStr">
        <is>
          <t>Business Analysis</t>
        </is>
      </c>
      <c r="I220" s="29" t="inlineStr">
        <is>
          <t>Business Analysis</t>
        </is>
      </c>
      <c r="J220" s="29" t="inlineStr">
        <is>
          <t>IC</t>
        </is>
      </c>
      <c r="K220" s="29" t="inlineStr">
        <is>
          <t>RC-010</t>
        </is>
      </c>
      <c r="L220" s="29" t="inlineStr">
        <is>
          <t>Yuvraj Kharchane</t>
        </is>
      </c>
      <c r="M220" s="29" t="inlineStr">
        <is>
          <t>IRIS1158</t>
        </is>
      </c>
      <c r="N220" s="29" t="n">
        <v>14.3</v>
      </c>
      <c r="O220" s="29" t="n">
        <v>14.3</v>
      </c>
      <c r="P220" s="29" t="inlineStr">
        <is>
          <t>MBA</t>
        </is>
      </c>
      <c r="Q220" s="29" t="inlineStr">
        <is>
          <t>L4 – Senior</t>
        </is>
      </c>
      <c r="R220" s="29" t="inlineStr">
        <is>
          <t>B1</t>
        </is>
      </c>
      <c r="S220" s="30" t="inlineStr">
        <is>
          <t>20 of 20</t>
        </is>
      </c>
      <c r="T220" s="31"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t>
        </is>
      </c>
      <c r="U220"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t>
        </is>
      </c>
      <c r="V220" s="31" t="inlineStr">
        <is>
          <t>Latest rating: 5 · Potential: High · 9-box: Trusted Professional · Readiness: Ready now</t>
        </is>
      </c>
      <c r="W220" s="31" t="inlineStr">
        <is>
          <t>C M · Au M · Ac M · L L · BI M · Exp H · 14.3 yrs vs 4–7 yrs · Edu H · MBA</t>
        </is>
      </c>
      <c r="X220" s="33" t="inlineStr">
        <is>
          <t>Open ▸</t>
        </is>
      </c>
      <c r="Y220" s="34" t="str">
        <f>IFERROR(INDEX(DL_C,MATCH($CA220,DL_KEY,0)),"M")</f>
        <v>H</v>
      </c>
      <c r="Z220" s="35" t="str">
        <f>IFERROR(INDEX(DL_Au,MATCH($CA220,DL_KEY,0)),"M")</f>
        <v>M</v>
      </c>
      <c r="AA220" s="35" t="str">
        <f>IFERROR(INDEX(DL_Ac,MATCH($CA220,DL_KEY,0)),"M")</f>
        <v>L</v>
      </c>
      <c r="AB220" s="35" t="str">
        <f>IFERROR(INDEX(DL_L,MATCH($CA220,DL_KEY,0)),"M")</f>
        <v>L</v>
      </c>
      <c r="AC220" s="35" t="str">
        <f>IFERROR(INDEX(DL_BI,MATCH($CA220,DL_KEY,0)),"M")</f>
        <v>L</v>
      </c>
      <c r="AD220" s="35" t="str">
        <f>IFERROR(INDEX(DL_Exp,MATCH($CA220,DL_KEY,0)),"M")</f>
        <v>L</v>
      </c>
      <c r="AE220" s="35" t="str">
        <f>IFERROR(INDEX(DL_Edu,MATCH($CA220,DL_KEY,0)),"M")</f>
        <v>L</v>
      </c>
      <c r="AF220" s="34" t="inlineStr">
        <is>
          <t>M</t>
        </is>
      </c>
      <c r="AG220" s="35" t="inlineStr">
        <is>
          <t>M</t>
        </is>
      </c>
      <c r="AH220" s="35" t="inlineStr">
        <is>
          <t>M</t>
        </is>
      </c>
      <c r="AI220" s="35" t="inlineStr">
        <is>
          <t>M</t>
        </is>
      </c>
      <c r="AJ220" s="35" t="inlineStr">
        <is>
          <t>M</t>
        </is>
      </c>
      <c r="AK220" s="35" t="inlineStr">
        <is>
          <t>M</t>
        </is>
      </c>
      <c r="AL220" s="35" t="inlineStr">
        <is>
          <t>M</t>
        </is>
      </c>
      <c r="AM220" s="36" t="n">
        <v>0.513</v>
      </c>
      <c r="AN220" s="37" t="n">
        <v>0.173</v>
      </c>
      <c r="AO220" s="37" t="n">
        <v>0.09699999999999999</v>
      </c>
      <c r="AP220" s="37" t="n">
        <v>0.05</v>
      </c>
      <c r="AQ220" s="37" t="n">
        <v>0.07000000000000001</v>
      </c>
      <c r="AR220" s="37" t="n">
        <v>0.06</v>
      </c>
      <c r="AS220" s="37" t="n">
        <v>0.04</v>
      </c>
      <c r="AT220" s="38" t="inlineStr">
        <is>
          <t>4–8</t>
        </is>
      </c>
      <c r="AU220" s="38" t="inlineStr">
        <is>
          <t>Graduate + relevant qualification or certification preferred</t>
        </is>
      </c>
      <c r="AV220" s="38" t="inlineStr">
        <is>
          <t>IC: none · Team Lead: 3–5</t>
        </is>
      </c>
      <c r="AW220" s="38" t="inlineStr">
        <is>
          <t>P3 / M2 · SFIA 4 Enable</t>
        </is>
      </c>
      <c r="AX2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0" s="39" t="inlineStr">
        <is>
          <t>B1</t>
        </is>
      </c>
      <c r="AZ220" s="40" t="inlineStr">
        <is>
          <t>Band B · Specialist / Manager · Specialist</t>
        </is>
      </c>
      <c r="BA220" s="40" t="inlineStr">
        <is>
          <t>Model B1 from the six ratings, the market-derived weights and rules R1–R13 · then No change · already below the manager</t>
        </is>
      </c>
      <c r="BB220" s="41" t="inlineStr">
        <is>
          <t>B1</t>
        </is>
      </c>
      <c r="BC220" s="40" t="inlineStr">
        <is>
          <t>The six ratings on the market-average weights of Band B · Specialist / POD Lead score 3.97 → B1 · Hay, Mercer IPE and public plans · experience 14.3 yrs vs the B1 market range 4–8</t>
        </is>
      </c>
      <c r="BD220" s="42">
        <f>IF(SUM(BM220,BN220,BO220,BP220,BQ220,BR220,BS220)=0,0,(BM220*BT220+BN220*BU220+BO220*BV220+BP220*BW220+BQ220*BX220+BR220*BY220+BS220*BZ220)/SUM(BM220,BN220,BO220,BP220,BQ220,BR220,BS220))</f>
        <v>0</v>
      </c>
      <c r="BE220" s="41" t="str">
        <f>IF(LEFT(AY220,1)="X",AY220,IF(OR(AY220="B+",AY220="C+"),INDEX(LAD_PC,MAX(1,MIN(14,MATCH(AY220,LAD_PC,0)+IF(BD220&gt;=0.5,1,IF(BD220&lt;=-0.5,-1,0))))),INDEX(LAD_STD,MAX(1,MIN(12,MATCH(AY220,LAD_STD,0)+IF(BD220&gt;=0.5,1,IF(BD220&lt;=-0.5,-1,0)))))))</f>
        <v>B1</v>
      </c>
      <c r="BF220" s="43" t="n"/>
      <c r="BG220" s="41" t="str">
        <f>IF(BF220&lt;&gt;"",BF220,BE220)</f>
        <v>B1</v>
      </c>
      <c r="BH220" s="40" t="str">
        <f>IFERROR(CHOOSE(INDEX(B_RANK,MATCH(BG220,B_LVL,0)),"Band A","Band B","B+ · Player-Coach","Band C","C+ · Player-Coach","Band D","Band E"),"Band X · Consultant")</f>
        <v>Band B</v>
      </c>
      <c r="BI220" s="40" t="str">
        <f>IF(BG220=AY220,"• Same",IF(INDEX(B_VAL,MATCH(BG220,B_LVL,0))&gt;INDEX(B_VAL,MATCH(AY220,B_LVL,0)),"▲ Up","▼ Down"))</f>
        <v>• Same</v>
      </c>
      <c r="BJ220" s="40" t="str">
        <f>IF(OR($M220="",$M220="—",$M220="Not in this file"),"",IFERROR(INDEX($BG$7:$BG$592,MATCH($M220,$D$7:$D$592,0)),""))</f>
        <v>B2</v>
      </c>
      <c r="BK220" s="40" t="str">
        <f>IFERROR(IF(BJ220="","—",IF(OR(LEFT(BG220,1)="X",LEFT(BJ220,1)="X"),"—",IF(AND(LEFT(BG220,1)="E",LEFT(BJ220,1)="E"),"Exception · Band E",IF(AND(INDEX(B_VAL,MATCH(BJ220,B_LVL,0))&gt;=7,INDEX(B_RANK,MATCH(BG220,B_LVL,0))&gt;=INDEX(B_RANK,MATCH(BJ220,B_LVL,0))),"⚠ Same band as a head manager",IF(INDEX(B_VAL,MATCH(BG220,B_LVL,0))&gt;=INDEX(B_VAL,MATCH(BJ220,B_LVL,0)),"⚠ At or above the manager's level","OK"))))),"—")</f>
        <v>OK</v>
      </c>
      <c r="BL220" s="43" t="n"/>
      <c r="BM220" s="44">
        <f>IFERROR(INDEX(LMH_PTS,MATCH(Y220,LMH_KEY,0)),0)</f>
        <v>9</v>
      </c>
      <c r="BN220" s="38">
        <f>IFERROR(INDEX(LMH_PTS,MATCH(Z220,LMH_KEY,0)),0)</f>
        <v>3</v>
      </c>
      <c r="BO220" s="38">
        <f>IFERROR(INDEX(LMH_PTS,MATCH(AA220,LMH_KEY,0)),0)</f>
        <v>1</v>
      </c>
      <c r="BP220" s="38">
        <f>IFERROR(INDEX(LMH_PTS,MATCH(AB220,LMH_KEY,0)),0)</f>
        <v>1</v>
      </c>
      <c r="BQ220" s="38">
        <f>IFERROR(INDEX(LMH_PTS,MATCH(AC220,LMH_KEY,0)),0)</f>
        <v>1</v>
      </c>
      <c r="BR220" s="38">
        <f>IFERROR(INDEX(LMH_PTS,MATCH(AD220,LMH_KEY,0)),0)</f>
        <v>1</v>
      </c>
      <c r="BS220" s="38">
        <f>IFERROR(INDEX(LMH_PTS,MATCH(AE220,LMH_KEY,0)),0)</f>
        <v>1</v>
      </c>
      <c r="BT220" s="38">
        <f>IFERROR(INDEX(LMH_STEP,MATCH(AF220,LMH_KEY,0)),0)</f>
        <v>0</v>
      </c>
      <c r="BU220" s="38">
        <f>IFERROR(INDEX(LMH_STEP,MATCH(AG220,LMH_KEY,0)),0)</f>
        <v>0</v>
      </c>
      <c r="BV220" s="38">
        <f>IFERROR(INDEX(LMH_STEP,MATCH(AH220,LMH_KEY,0)),0)</f>
        <v>0</v>
      </c>
      <c r="BW220" s="38">
        <f>IFERROR(INDEX(LMH_STEP,MATCH(AI220,LMH_KEY,0)),0)</f>
        <v>0</v>
      </c>
      <c r="BX220" s="38">
        <f>IFERROR(INDEX(LMH_STEP,MATCH(AJ220,LMH_KEY,0)),0)</f>
        <v>0</v>
      </c>
      <c r="BY220" s="38">
        <f>IFERROR(INDEX(LMH_STEP,MATCH(AK220,LMH_KEY,0)),0)</f>
        <v>0</v>
      </c>
      <c r="BZ220" s="38">
        <f>IFERROR(INDEX(LMH_STEP,MATCH(AL220,LMH_KEY,0)),0)</f>
        <v>0</v>
      </c>
      <c r="CA220" s="38" t="inlineStr">
        <is>
          <t>iDEAL|Technology|Business Analysis Specialist|B1|B-IC</t>
        </is>
      </c>
    </row>
    <row r="221" ht="110" customHeight="1">
      <c r="A221" s="28" t="inlineStr">
        <is>
          <t>iDEAL</t>
        </is>
      </c>
      <c r="B221" s="29" t="inlineStr">
        <is>
          <t>Technology</t>
        </is>
      </c>
      <c r="C221" s="29" t="n">
        <v>4</v>
      </c>
      <c r="D221" s="29" t="inlineStr">
        <is>
          <t>IRIS1796</t>
        </is>
      </c>
      <c r="E221" s="29" t="inlineStr">
        <is>
          <t>Kailash Sahu</t>
        </is>
      </c>
      <c r="F221" s="29" t="inlineStr">
        <is>
          <t>Business Analyst</t>
        </is>
      </c>
      <c r="G221" s="29" t="inlineStr">
        <is>
          <t>Business Analysis Specialist</t>
        </is>
      </c>
      <c r="H221" s="29" t="inlineStr">
        <is>
          <t>Business Analysis</t>
        </is>
      </c>
      <c r="I221" s="29" t="inlineStr">
        <is>
          <t>Business Analysis</t>
        </is>
      </c>
      <c r="J221" s="29" t="inlineStr">
        <is>
          <t>IC</t>
        </is>
      </c>
      <c r="K221" s="29" t="inlineStr">
        <is>
          <t>RC-010</t>
        </is>
      </c>
      <c r="L221" s="29" t="inlineStr">
        <is>
          <t>Yuvraj Kharchane</t>
        </is>
      </c>
      <c r="M221" s="29" t="inlineStr">
        <is>
          <t>IRIS1158</t>
        </is>
      </c>
      <c r="N221" s="29" t="n">
        <v>19.9</v>
      </c>
      <c r="O221" s="29" t="n">
        <v>7.2</v>
      </c>
      <c r="P221" s="29" t="inlineStr">
        <is>
          <t>MCA</t>
        </is>
      </c>
      <c r="Q221" s="29" t="inlineStr">
        <is>
          <t>L3 – Professional / Associate</t>
        </is>
      </c>
      <c r="R221" s="29" t="inlineStr">
        <is>
          <t>B1</t>
        </is>
      </c>
      <c r="S221" s="30" t="inlineStr">
        <is>
          <t>20 of 20</t>
        </is>
      </c>
      <c r="T221" s="31"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t>
        </is>
      </c>
      <c r="U221" s="31" t="inlineStr">
        <is>
          <t>Received · manager annual, quarterly, self · On Notice Period</t>
        </is>
      </c>
      <c r="V221" s="31" t="inlineStr">
        <is>
          <t>Latest rating: 3 · Potential: Medium · 9-box: Core Contributor · Readiness: Develop in role</t>
        </is>
      </c>
      <c r="W221" s="31" t="inlineStr">
        <is>
          <t>C L · Au L · Ac M · L L · BI M · Exp H · 19.9 yrs vs 4–7 yrs · Edu H · MCA</t>
        </is>
      </c>
      <c r="X221" s="33" t="inlineStr">
        <is>
          <t>Open ▸</t>
        </is>
      </c>
      <c r="Y221" s="34" t="str">
        <f>IFERROR(INDEX(DL_C,MATCH($CA221,DL_KEY,0)),"M")</f>
        <v>H</v>
      </c>
      <c r="Z221" s="35" t="str">
        <f>IFERROR(INDEX(DL_Au,MATCH($CA221,DL_KEY,0)),"M")</f>
        <v>M</v>
      </c>
      <c r="AA221" s="35" t="str">
        <f>IFERROR(INDEX(DL_Ac,MATCH($CA221,DL_KEY,0)),"M")</f>
        <v>L</v>
      </c>
      <c r="AB221" s="35" t="str">
        <f>IFERROR(INDEX(DL_L,MATCH($CA221,DL_KEY,0)),"M")</f>
        <v>L</v>
      </c>
      <c r="AC221" s="35" t="str">
        <f>IFERROR(INDEX(DL_BI,MATCH($CA221,DL_KEY,0)),"M")</f>
        <v>L</v>
      </c>
      <c r="AD221" s="35" t="str">
        <f>IFERROR(INDEX(DL_Exp,MATCH($CA221,DL_KEY,0)),"M")</f>
        <v>L</v>
      </c>
      <c r="AE221" s="35" t="str">
        <f>IFERROR(INDEX(DL_Edu,MATCH($CA221,DL_KEY,0)),"M")</f>
        <v>L</v>
      </c>
      <c r="AF221" s="34" t="inlineStr">
        <is>
          <t>M</t>
        </is>
      </c>
      <c r="AG221" s="35" t="inlineStr">
        <is>
          <t>M</t>
        </is>
      </c>
      <c r="AH221" s="35" t="inlineStr">
        <is>
          <t>M</t>
        </is>
      </c>
      <c r="AI221" s="35" t="inlineStr">
        <is>
          <t>M</t>
        </is>
      </c>
      <c r="AJ221" s="35" t="inlineStr">
        <is>
          <t>M</t>
        </is>
      </c>
      <c r="AK221" s="35" t="inlineStr">
        <is>
          <t>M</t>
        </is>
      </c>
      <c r="AL221" s="35" t="inlineStr">
        <is>
          <t>M</t>
        </is>
      </c>
      <c r="AM221" s="36" t="n">
        <v>0.513</v>
      </c>
      <c r="AN221" s="37" t="n">
        <v>0.173</v>
      </c>
      <c r="AO221" s="37" t="n">
        <v>0.09699999999999999</v>
      </c>
      <c r="AP221" s="37" t="n">
        <v>0.05</v>
      </c>
      <c r="AQ221" s="37" t="n">
        <v>0.07000000000000001</v>
      </c>
      <c r="AR221" s="37" t="n">
        <v>0.06</v>
      </c>
      <c r="AS221" s="37" t="n">
        <v>0.04</v>
      </c>
      <c r="AT221" s="38" t="inlineStr">
        <is>
          <t>4–8</t>
        </is>
      </c>
      <c r="AU221" s="38" t="inlineStr">
        <is>
          <t>Graduate + relevant qualification or certification preferred</t>
        </is>
      </c>
      <c r="AV221" s="38" t="inlineStr">
        <is>
          <t>IC: none · Team Lead: 3–5</t>
        </is>
      </c>
      <c r="AW221" s="38" t="inlineStr">
        <is>
          <t>P3 / M2 · SFIA 4 Enable</t>
        </is>
      </c>
      <c r="AX2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1" s="39" t="inlineStr">
        <is>
          <t>B1</t>
        </is>
      </c>
      <c r="AZ221" s="40" t="inlineStr">
        <is>
          <t>Band B · Specialist / Manager · Specialist</t>
        </is>
      </c>
      <c r="BA221" s="40" t="inlineStr">
        <is>
          <t>Model B1 from the six ratings, the market-derived weights and rules R1–R13 · then No change · already below the manager</t>
        </is>
      </c>
      <c r="BB221" s="41" t="inlineStr">
        <is>
          <t>B1</t>
        </is>
      </c>
      <c r="BC221" s="40" t="inlineStr">
        <is>
          <t>The six ratings on the market-average weights of Band B · Specialist / POD Lead score 3.71 → B1 · Hay, Mercer IPE and public plans · experience 19.9 yrs vs the B1 market range 4–8</t>
        </is>
      </c>
      <c r="BD221" s="42">
        <f>IF(SUM(BM221,BN221,BO221,BP221,BQ221,BR221,BS221)=0,0,(BM221*BT221+BN221*BU221+BO221*BV221+BP221*BW221+BQ221*BX221+BR221*BY221+BS221*BZ221)/SUM(BM221,BN221,BO221,BP221,BQ221,BR221,BS221))</f>
        <v>0</v>
      </c>
      <c r="BE221" s="41" t="str">
        <f>IF(LEFT(AY221,1)="X",AY221,IF(OR(AY221="B+",AY221="C+"),INDEX(LAD_PC,MAX(1,MIN(14,MATCH(AY221,LAD_PC,0)+IF(BD221&gt;=0.5,1,IF(BD221&lt;=-0.5,-1,0))))),INDEX(LAD_STD,MAX(1,MIN(12,MATCH(AY221,LAD_STD,0)+IF(BD221&gt;=0.5,1,IF(BD221&lt;=-0.5,-1,0)))))))</f>
        <v>B1</v>
      </c>
      <c r="BF221" s="43" t="n"/>
      <c r="BG221" s="41" t="str">
        <f>IF(BF221&lt;&gt;"",BF221,BE221)</f>
        <v>B1</v>
      </c>
      <c r="BH221" s="40" t="str">
        <f>IFERROR(CHOOSE(INDEX(B_RANK,MATCH(BG221,B_LVL,0)),"Band A","Band B","B+ · Player-Coach","Band C","C+ · Player-Coach","Band D","Band E"),"Band X · Consultant")</f>
        <v>Band B</v>
      </c>
      <c r="BI221" s="40" t="str">
        <f>IF(BG221=AY221,"• Same",IF(INDEX(B_VAL,MATCH(BG221,B_LVL,0))&gt;INDEX(B_VAL,MATCH(AY221,B_LVL,0)),"▲ Up","▼ Down"))</f>
        <v>• Same</v>
      </c>
      <c r="BJ221" s="40" t="str">
        <f>IF(OR($M221="",$M221="—",$M221="Not in this file"),"",IFERROR(INDEX($BG$7:$BG$592,MATCH($M221,$D$7:$D$592,0)),""))</f>
        <v>B2</v>
      </c>
      <c r="BK221" s="40" t="str">
        <f>IFERROR(IF(BJ221="","—",IF(OR(LEFT(BG221,1)="X",LEFT(BJ221,1)="X"),"—",IF(AND(LEFT(BG221,1)="E",LEFT(BJ221,1)="E"),"Exception · Band E",IF(AND(INDEX(B_VAL,MATCH(BJ221,B_LVL,0))&gt;=7,INDEX(B_RANK,MATCH(BG221,B_LVL,0))&gt;=INDEX(B_RANK,MATCH(BJ221,B_LVL,0))),"⚠ Same band as a head manager",IF(INDEX(B_VAL,MATCH(BG221,B_LVL,0))&gt;=INDEX(B_VAL,MATCH(BJ221,B_LVL,0)),"⚠ At or above the manager's level","OK"))))),"—")</f>
        <v>OK</v>
      </c>
      <c r="BL221" s="43" t="n"/>
      <c r="BM221" s="44">
        <f>IFERROR(INDEX(LMH_PTS,MATCH(Y221,LMH_KEY,0)),0)</f>
        <v>9</v>
      </c>
      <c r="BN221" s="38">
        <f>IFERROR(INDEX(LMH_PTS,MATCH(Z221,LMH_KEY,0)),0)</f>
        <v>3</v>
      </c>
      <c r="BO221" s="38">
        <f>IFERROR(INDEX(LMH_PTS,MATCH(AA221,LMH_KEY,0)),0)</f>
        <v>1</v>
      </c>
      <c r="BP221" s="38">
        <f>IFERROR(INDEX(LMH_PTS,MATCH(AB221,LMH_KEY,0)),0)</f>
        <v>1</v>
      </c>
      <c r="BQ221" s="38">
        <f>IFERROR(INDEX(LMH_PTS,MATCH(AC221,LMH_KEY,0)),0)</f>
        <v>1</v>
      </c>
      <c r="BR221" s="38">
        <f>IFERROR(INDEX(LMH_PTS,MATCH(AD221,LMH_KEY,0)),0)</f>
        <v>1</v>
      </c>
      <c r="BS221" s="38">
        <f>IFERROR(INDEX(LMH_PTS,MATCH(AE221,LMH_KEY,0)),0)</f>
        <v>1</v>
      </c>
      <c r="BT221" s="38">
        <f>IFERROR(INDEX(LMH_STEP,MATCH(AF221,LMH_KEY,0)),0)</f>
        <v>0</v>
      </c>
      <c r="BU221" s="38">
        <f>IFERROR(INDEX(LMH_STEP,MATCH(AG221,LMH_KEY,0)),0)</f>
        <v>0</v>
      </c>
      <c r="BV221" s="38">
        <f>IFERROR(INDEX(LMH_STEP,MATCH(AH221,LMH_KEY,0)),0)</f>
        <v>0</v>
      </c>
      <c r="BW221" s="38">
        <f>IFERROR(INDEX(LMH_STEP,MATCH(AI221,LMH_KEY,0)),0)</f>
        <v>0</v>
      </c>
      <c r="BX221" s="38">
        <f>IFERROR(INDEX(LMH_STEP,MATCH(AJ221,LMH_KEY,0)),0)</f>
        <v>0</v>
      </c>
      <c r="BY221" s="38">
        <f>IFERROR(INDEX(LMH_STEP,MATCH(AK221,LMH_KEY,0)),0)</f>
        <v>0</v>
      </c>
      <c r="BZ221" s="38">
        <f>IFERROR(INDEX(LMH_STEP,MATCH(AL221,LMH_KEY,0)),0)</f>
        <v>0</v>
      </c>
      <c r="CA221" s="38" t="inlineStr">
        <is>
          <t>iDEAL|Technology|Business Analysis Specialist|B1|B-IC</t>
        </is>
      </c>
    </row>
    <row r="222" ht="110" customHeight="1">
      <c r="A222" s="28" t="inlineStr">
        <is>
          <t>iDEAL</t>
        </is>
      </c>
      <c r="B222" s="29" t="inlineStr">
        <is>
          <t>Technology</t>
        </is>
      </c>
      <c r="C222" s="29" t="n">
        <v>4</v>
      </c>
      <c r="D222" s="29" t="inlineStr">
        <is>
          <t>IRIS2236</t>
        </is>
      </c>
      <c r="E222" s="29" t="inlineStr">
        <is>
          <t>Anishaa Mahesh Kukreja</t>
        </is>
      </c>
      <c r="F222" s="29" t="inlineStr">
        <is>
          <t>Business Analyst</t>
        </is>
      </c>
      <c r="G222" s="29" t="inlineStr">
        <is>
          <t>Senior Business Analyst</t>
        </is>
      </c>
      <c r="H222" s="29" t="inlineStr">
        <is>
          <t>Business Analysis</t>
        </is>
      </c>
      <c r="I222" s="29" t="inlineStr">
        <is>
          <t>Business Analysis</t>
        </is>
      </c>
      <c r="J222" s="29" t="inlineStr">
        <is>
          <t>IC</t>
        </is>
      </c>
      <c r="K222" s="29" t="inlineStr">
        <is>
          <t>RC-009</t>
        </is>
      </c>
      <c r="L222" s="29" t="inlineStr">
        <is>
          <t>Yuvraj Kharchane</t>
        </is>
      </c>
      <c r="M222" s="29" t="inlineStr">
        <is>
          <t>IRIS1158</t>
        </is>
      </c>
      <c r="N222" s="29" t="n">
        <v>6.5</v>
      </c>
      <c r="O222" s="29" t="n">
        <v>2.5</v>
      </c>
      <c r="P222" s="29" t="inlineStr">
        <is>
          <t>B.E</t>
        </is>
      </c>
      <c r="Q222" s="29" t="inlineStr">
        <is>
          <t>L3 – Professional / Associate</t>
        </is>
      </c>
      <c r="R222" s="29" t="inlineStr">
        <is>
          <t>A3</t>
        </is>
      </c>
      <c r="S222" s="30" t="inlineStr">
        <is>
          <t>20 of 20</t>
        </is>
      </c>
      <c r="T222" s="31"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t>
        </is>
      </c>
      <c r="U222" s="31" t="inlineStr">
        <is>
          <t>Received · manager annual, quarterly, self · 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t>
        </is>
      </c>
      <c r="V222" s="31" t="inlineStr">
        <is>
          <t>Latest rating: 3 · Potential: Medium · 9-box: Core Contributor · Readiness: Develop in role</t>
        </is>
      </c>
      <c r="W222" s="31" t="inlineStr">
        <is>
          <t>C M · Au M · Ac M · L L · BI H · Exp H · 6.5 yrs vs 2–4 yrs · Edu M · B.E</t>
        </is>
      </c>
      <c r="X222" s="33" t="inlineStr">
        <is>
          <t>Open ▸</t>
        </is>
      </c>
      <c r="Y222" s="34" t="str">
        <f>IFERROR(INDEX(DL_C,MATCH($CA222,DL_KEY,0)),"M")</f>
        <v>H</v>
      </c>
      <c r="Z222" s="35" t="str">
        <f>IFERROR(INDEX(DL_Au,MATCH($CA222,DL_KEY,0)),"M")</f>
        <v>M</v>
      </c>
      <c r="AA222" s="35" t="str">
        <f>IFERROR(INDEX(DL_Ac,MATCH($CA222,DL_KEY,0)),"M")</f>
        <v>L</v>
      </c>
      <c r="AB222" s="35" t="str">
        <f>IFERROR(INDEX(DL_L,MATCH($CA222,DL_KEY,0)),"M")</f>
        <v>L</v>
      </c>
      <c r="AC222" s="35" t="str">
        <f>IFERROR(INDEX(DL_BI,MATCH($CA222,DL_KEY,0)),"M")</f>
        <v>L</v>
      </c>
      <c r="AD222" s="35" t="str">
        <f>IFERROR(INDEX(DL_Exp,MATCH($CA222,DL_KEY,0)),"M")</f>
        <v>L</v>
      </c>
      <c r="AE222" s="35" t="str">
        <f>IFERROR(INDEX(DL_Edu,MATCH($CA222,DL_KEY,0)),"M")</f>
        <v>L</v>
      </c>
      <c r="AF222" s="34" t="inlineStr">
        <is>
          <t>M</t>
        </is>
      </c>
      <c r="AG222" s="35" t="inlineStr">
        <is>
          <t>M</t>
        </is>
      </c>
      <c r="AH222" s="35" t="inlineStr">
        <is>
          <t>M</t>
        </is>
      </c>
      <c r="AI222" s="35" t="inlineStr">
        <is>
          <t>M</t>
        </is>
      </c>
      <c r="AJ222" s="35" t="inlineStr">
        <is>
          <t>M</t>
        </is>
      </c>
      <c r="AK222" s="35" t="inlineStr">
        <is>
          <t>M</t>
        </is>
      </c>
      <c r="AL222" s="35" t="inlineStr">
        <is>
          <t>M</t>
        </is>
      </c>
      <c r="AM222" s="36" t="n">
        <v>0.583</v>
      </c>
      <c r="AN222" s="37" t="n">
        <v>0.16</v>
      </c>
      <c r="AO222" s="37" t="n">
        <v>0.09</v>
      </c>
      <c r="AP222" s="37" t="n">
        <v>0</v>
      </c>
      <c r="AQ222" s="37" t="n">
        <v>0.063</v>
      </c>
      <c r="AR222" s="37" t="n">
        <v>0.06</v>
      </c>
      <c r="AS222" s="37" t="n">
        <v>0.04</v>
      </c>
      <c r="AT222" s="38" t="inlineStr">
        <is>
          <t>2–5</t>
        </is>
      </c>
      <c r="AU222" s="38" t="inlineStr">
        <is>
          <t>Graduate; relevant certification preferred</t>
        </is>
      </c>
      <c r="AV222" s="38" t="inlineStr">
        <is>
          <t>None · guides 1–3 juniors informally</t>
        </is>
      </c>
      <c r="AW222" s="38" t="inlineStr">
        <is>
          <t>P2 · SFIA 3 Apply</t>
        </is>
      </c>
      <c r="AX2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2" s="39" t="inlineStr">
        <is>
          <t>A3</t>
        </is>
      </c>
      <c r="AZ222" s="40" t="inlineStr">
        <is>
          <t>Band A · Practitioner · Senior Associate</t>
        </is>
      </c>
      <c r="BA222" s="40" t="inlineStr">
        <is>
          <t>Model A3 from the six ratings, the market-derived weights and rules R1–R13 · then No change · already below the manager</t>
        </is>
      </c>
      <c r="BB222" s="41" t="inlineStr">
        <is>
          <t>A3</t>
        </is>
      </c>
      <c r="BC222" s="40" t="inlineStr">
        <is>
          <t>The six ratings on the market-average weights of Band A · all tracks score 3.26 → A3 · Hay, Mercer IPE and public plans · experience 6.5 yrs vs the A3 market range 2–5</t>
        </is>
      </c>
      <c r="BD222" s="42">
        <f>IF(SUM(BM222,BN222,BO222,BP222,BQ222,BR222,BS222)=0,0,(BM222*BT222+BN222*BU222+BO222*BV222+BP222*BW222+BQ222*BX222+BR222*BY222+BS222*BZ222)/SUM(BM222,BN222,BO222,BP222,BQ222,BR222,BS222))</f>
        <v>0</v>
      </c>
      <c r="BE222" s="41" t="str">
        <f>IF(LEFT(AY222,1)="X",AY222,IF(OR(AY222="B+",AY222="C+"),INDEX(LAD_PC,MAX(1,MIN(14,MATCH(AY222,LAD_PC,0)+IF(BD222&gt;=0.5,1,IF(BD222&lt;=-0.5,-1,0))))),INDEX(LAD_STD,MAX(1,MIN(12,MATCH(AY222,LAD_STD,0)+IF(BD222&gt;=0.5,1,IF(BD222&lt;=-0.5,-1,0)))))))</f>
        <v>A3</v>
      </c>
      <c r="BF222" s="43" t="n"/>
      <c r="BG222" s="41" t="str">
        <f>IF(BF222&lt;&gt;"",BF222,BE222)</f>
        <v>A3</v>
      </c>
      <c r="BH222" s="40" t="str">
        <f>IFERROR(CHOOSE(INDEX(B_RANK,MATCH(BG222,B_LVL,0)),"Band A","Band B","B+ · Player-Coach","Band C","C+ · Player-Coach","Band D","Band E"),"Band X · Consultant")</f>
        <v>Band A</v>
      </c>
      <c r="BI222" s="40" t="str">
        <f>IF(BG222=AY222,"• Same",IF(INDEX(B_VAL,MATCH(BG222,B_LVL,0))&gt;INDEX(B_VAL,MATCH(AY222,B_LVL,0)),"▲ Up","▼ Down"))</f>
        <v>• Same</v>
      </c>
      <c r="BJ222" s="40" t="str">
        <f>IF(OR($M222="",$M222="—",$M222="Not in this file"),"",IFERROR(INDEX($BG$7:$BG$592,MATCH($M222,$D$7:$D$592,0)),""))</f>
        <v>B2</v>
      </c>
      <c r="BK222" s="40" t="str">
        <f>IFERROR(IF(BJ222="","—",IF(OR(LEFT(BG222,1)="X",LEFT(BJ222,1)="X"),"—",IF(AND(LEFT(BG222,1)="E",LEFT(BJ222,1)="E"),"Exception · Band E",IF(AND(INDEX(B_VAL,MATCH(BJ222,B_LVL,0))&gt;=7,INDEX(B_RANK,MATCH(BG222,B_LVL,0))&gt;=INDEX(B_RANK,MATCH(BJ222,B_LVL,0))),"⚠ Same band as a head manager",IF(INDEX(B_VAL,MATCH(BG222,B_LVL,0))&gt;=INDEX(B_VAL,MATCH(BJ222,B_LVL,0)),"⚠ At or above the manager's level","OK"))))),"—")</f>
        <v>OK</v>
      </c>
      <c r="BL222" s="43" t="n"/>
      <c r="BM222" s="44">
        <f>IFERROR(INDEX(LMH_PTS,MATCH(Y222,LMH_KEY,0)),0)</f>
        <v>9</v>
      </c>
      <c r="BN222" s="38">
        <f>IFERROR(INDEX(LMH_PTS,MATCH(Z222,LMH_KEY,0)),0)</f>
        <v>3</v>
      </c>
      <c r="BO222" s="38">
        <f>IFERROR(INDEX(LMH_PTS,MATCH(AA222,LMH_KEY,0)),0)</f>
        <v>1</v>
      </c>
      <c r="BP222" s="38">
        <f>IFERROR(INDEX(LMH_PTS,MATCH(AB222,LMH_KEY,0)),0)</f>
        <v>1</v>
      </c>
      <c r="BQ222" s="38">
        <f>IFERROR(INDEX(LMH_PTS,MATCH(AC222,LMH_KEY,0)),0)</f>
        <v>1</v>
      </c>
      <c r="BR222" s="38">
        <f>IFERROR(INDEX(LMH_PTS,MATCH(AD222,LMH_KEY,0)),0)</f>
        <v>1</v>
      </c>
      <c r="BS222" s="38">
        <f>IFERROR(INDEX(LMH_PTS,MATCH(AE222,LMH_KEY,0)),0)</f>
        <v>1</v>
      </c>
      <c r="BT222" s="38">
        <f>IFERROR(INDEX(LMH_STEP,MATCH(AF222,LMH_KEY,0)),0)</f>
        <v>0</v>
      </c>
      <c r="BU222" s="38">
        <f>IFERROR(INDEX(LMH_STEP,MATCH(AG222,LMH_KEY,0)),0)</f>
        <v>0</v>
      </c>
      <c r="BV222" s="38">
        <f>IFERROR(INDEX(LMH_STEP,MATCH(AH222,LMH_KEY,0)),0)</f>
        <v>0</v>
      </c>
      <c r="BW222" s="38">
        <f>IFERROR(INDEX(LMH_STEP,MATCH(AI222,LMH_KEY,0)),0)</f>
        <v>0</v>
      </c>
      <c r="BX222" s="38">
        <f>IFERROR(INDEX(LMH_STEP,MATCH(AJ222,LMH_KEY,0)),0)</f>
        <v>0</v>
      </c>
      <c r="BY222" s="38">
        <f>IFERROR(INDEX(LMH_STEP,MATCH(AK222,LMH_KEY,0)),0)</f>
        <v>0</v>
      </c>
      <c r="BZ222" s="38">
        <f>IFERROR(INDEX(LMH_STEP,MATCH(AL222,LMH_KEY,0)),0)</f>
        <v>0</v>
      </c>
      <c r="CA222" s="38" t="inlineStr">
        <is>
          <t>iDEAL|Technology|Senior Business Analyst|A3|A</t>
        </is>
      </c>
    </row>
    <row r="223" ht="110" customHeight="1">
      <c r="A223" s="28" t="inlineStr">
        <is>
          <t>iDEAL</t>
        </is>
      </c>
      <c r="B223" s="29" t="inlineStr">
        <is>
          <t>Technology</t>
        </is>
      </c>
      <c r="C223" s="29" t="n">
        <v>4</v>
      </c>
      <c r="D223" s="29" t="inlineStr">
        <is>
          <t>IRIS2136</t>
        </is>
      </c>
      <c r="E223" s="29" t="inlineStr">
        <is>
          <t>Neetu Rani Paul</t>
        </is>
      </c>
      <c r="F223" s="29" t="inlineStr">
        <is>
          <t>Business Analyst</t>
        </is>
      </c>
      <c r="G223" s="29" t="inlineStr">
        <is>
          <t>Senior Business Analyst</t>
        </is>
      </c>
      <c r="H223" s="29" t="inlineStr">
        <is>
          <t>Business Analysis</t>
        </is>
      </c>
      <c r="I223" s="29" t="inlineStr">
        <is>
          <t>Business Analysis</t>
        </is>
      </c>
      <c r="J223" s="29" t="inlineStr">
        <is>
          <t>IC</t>
        </is>
      </c>
      <c r="K223" s="29" t="inlineStr">
        <is>
          <t>RC-009</t>
        </is>
      </c>
      <c r="L223" s="29" t="inlineStr">
        <is>
          <t>Yuvraj Kharchane</t>
        </is>
      </c>
      <c r="M223" s="29" t="inlineStr">
        <is>
          <t>IRIS1158</t>
        </is>
      </c>
      <c r="N223" s="29" t="n">
        <v>5.9</v>
      </c>
      <c r="O223" s="29" t="n">
        <v>3.3</v>
      </c>
      <c r="P223" s="29" t="inlineStr">
        <is>
          <t>MA</t>
        </is>
      </c>
      <c r="Q223" s="29" t="inlineStr">
        <is>
          <t>L3 – Professional / Associate</t>
        </is>
      </c>
      <c r="R223" s="29" t="inlineStr">
        <is>
          <t>A3</t>
        </is>
      </c>
      <c r="S223" s="30" t="inlineStr">
        <is>
          <t>20 of 20</t>
        </is>
      </c>
      <c r="T223" s="31"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t>
        </is>
      </c>
      <c r="U223" s="31" t="inlineStr">
        <is>
          <t>Received · manager annual, quarterly, self ·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t>
        </is>
      </c>
      <c r="V223" s="31" t="inlineStr">
        <is>
          <t>Latest rating: 3 · Potential: Medium · 9-box: Trusted Professional · Readiness: Develop in role</t>
        </is>
      </c>
      <c r="W223" s="31" t="inlineStr">
        <is>
          <t>C M · Au M · Ac M · L L · BI M · Exp H · 5.9 yrs vs 2–4 yrs · Edu H · MA</t>
        </is>
      </c>
      <c r="X223" s="33" t="inlineStr">
        <is>
          <t>Open ▸</t>
        </is>
      </c>
      <c r="Y223" s="34" t="str">
        <f>IFERROR(INDEX(DL_C,MATCH($CA223,DL_KEY,0)),"M")</f>
        <v>H</v>
      </c>
      <c r="Z223" s="35" t="str">
        <f>IFERROR(INDEX(DL_Au,MATCH($CA223,DL_KEY,0)),"M")</f>
        <v>M</v>
      </c>
      <c r="AA223" s="35" t="str">
        <f>IFERROR(INDEX(DL_Ac,MATCH($CA223,DL_KEY,0)),"M")</f>
        <v>L</v>
      </c>
      <c r="AB223" s="35" t="str">
        <f>IFERROR(INDEX(DL_L,MATCH($CA223,DL_KEY,0)),"M")</f>
        <v>L</v>
      </c>
      <c r="AC223" s="35" t="str">
        <f>IFERROR(INDEX(DL_BI,MATCH($CA223,DL_KEY,0)),"M")</f>
        <v>L</v>
      </c>
      <c r="AD223" s="35" t="str">
        <f>IFERROR(INDEX(DL_Exp,MATCH($CA223,DL_KEY,0)),"M")</f>
        <v>L</v>
      </c>
      <c r="AE223" s="35" t="str">
        <f>IFERROR(INDEX(DL_Edu,MATCH($CA223,DL_KEY,0)),"M")</f>
        <v>L</v>
      </c>
      <c r="AF223" s="34" t="inlineStr">
        <is>
          <t>M</t>
        </is>
      </c>
      <c r="AG223" s="35" t="inlineStr">
        <is>
          <t>M</t>
        </is>
      </c>
      <c r="AH223" s="35" t="inlineStr">
        <is>
          <t>M</t>
        </is>
      </c>
      <c r="AI223" s="35" t="inlineStr">
        <is>
          <t>M</t>
        </is>
      </c>
      <c r="AJ223" s="35" t="inlineStr">
        <is>
          <t>M</t>
        </is>
      </c>
      <c r="AK223" s="35" t="inlineStr">
        <is>
          <t>M</t>
        </is>
      </c>
      <c r="AL223" s="35" t="inlineStr">
        <is>
          <t>M</t>
        </is>
      </c>
      <c r="AM223" s="36" t="n">
        <v>0.583</v>
      </c>
      <c r="AN223" s="37" t="n">
        <v>0.16</v>
      </c>
      <c r="AO223" s="37" t="n">
        <v>0.09</v>
      </c>
      <c r="AP223" s="37" t="n">
        <v>0</v>
      </c>
      <c r="AQ223" s="37" t="n">
        <v>0.063</v>
      </c>
      <c r="AR223" s="37" t="n">
        <v>0.06</v>
      </c>
      <c r="AS223" s="37" t="n">
        <v>0.04</v>
      </c>
      <c r="AT223" s="38" t="inlineStr">
        <is>
          <t>2–5</t>
        </is>
      </c>
      <c r="AU223" s="38" t="inlineStr">
        <is>
          <t>Graduate; relevant certification preferred</t>
        </is>
      </c>
      <c r="AV223" s="38" t="inlineStr">
        <is>
          <t>None · guides 1–3 juniors informally</t>
        </is>
      </c>
      <c r="AW223" s="38" t="inlineStr">
        <is>
          <t>P2 · SFIA 3 Apply</t>
        </is>
      </c>
      <c r="AX2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3" s="39" t="inlineStr">
        <is>
          <t>A3</t>
        </is>
      </c>
      <c r="AZ223" s="40" t="inlineStr">
        <is>
          <t>Band A · Practitioner · Senior Associate</t>
        </is>
      </c>
      <c r="BA223" s="40" t="inlineStr">
        <is>
          <t>Model A3 from the six ratings, the market-derived weights and rules R1–R13 · then No change · already below the manager</t>
        </is>
      </c>
      <c r="BB223" s="41" t="inlineStr">
        <is>
          <t>A3</t>
        </is>
      </c>
      <c r="BC223" s="40" t="inlineStr">
        <is>
          <t>The six ratings on the market-average weights of Band A · all tracks score 3.13 → A3 · Hay, Mercer IPE and public plans · experience 5.9 yrs vs the A3 market range 2–5</t>
        </is>
      </c>
      <c r="BD223" s="42">
        <f>IF(SUM(BM223,BN223,BO223,BP223,BQ223,BR223,BS223)=0,0,(BM223*BT223+BN223*BU223+BO223*BV223+BP223*BW223+BQ223*BX223+BR223*BY223+BS223*BZ223)/SUM(BM223,BN223,BO223,BP223,BQ223,BR223,BS223))</f>
        <v>0</v>
      </c>
      <c r="BE223" s="41" t="str">
        <f>IF(LEFT(AY223,1)="X",AY223,IF(OR(AY223="B+",AY223="C+"),INDEX(LAD_PC,MAX(1,MIN(14,MATCH(AY223,LAD_PC,0)+IF(BD223&gt;=0.5,1,IF(BD223&lt;=-0.5,-1,0))))),INDEX(LAD_STD,MAX(1,MIN(12,MATCH(AY223,LAD_STD,0)+IF(BD223&gt;=0.5,1,IF(BD223&lt;=-0.5,-1,0)))))))</f>
        <v>A3</v>
      </c>
      <c r="BF223" s="43" t="n"/>
      <c r="BG223" s="41" t="str">
        <f>IF(BF223&lt;&gt;"",BF223,BE223)</f>
        <v>A3</v>
      </c>
      <c r="BH223" s="40" t="str">
        <f>IFERROR(CHOOSE(INDEX(B_RANK,MATCH(BG223,B_LVL,0)),"Band A","Band B","B+ · Player-Coach","Band C","C+ · Player-Coach","Band D","Band E"),"Band X · Consultant")</f>
        <v>Band A</v>
      </c>
      <c r="BI223" s="40" t="str">
        <f>IF(BG223=AY223,"• Same",IF(INDEX(B_VAL,MATCH(BG223,B_LVL,0))&gt;INDEX(B_VAL,MATCH(AY223,B_LVL,0)),"▲ Up","▼ Down"))</f>
        <v>• Same</v>
      </c>
      <c r="BJ223" s="40" t="str">
        <f>IF(OR($M223="",$M223="—",$M223="Not in this file"),"",IFERROR(INDEX($BG$7:$BG$592,MATCH($M223,$D$7:$D$592,0)),""))</f>
        <v>B2</v>
      </c>
      <c r="BK223" s="40" t="str">
        <f>IFERROR(IF(BJ223="","—",IF(OR(LEFT(BG223,1)="X",LEFT(BJ223,1)="X"),"—",IF(AND(LEFT(BG223,1)="E",LEFT(BJ223,1)="E"),"Exception · Band E",IF(AND(INDEX(B_VAL,MATCH(BJ223,B_LVL,0))&gt;=7,INDEX(B_RANK,MATCH(BG223,B_LVL,0))&gt;=INDEX(B_RANK,MATCH(BJ223,B_LVL,0))),"⚠ Same band as a head manager",IF(INDEX(B_VAL,MATCH(BG223,B_LVL,0))&gt;=INDEX(B_VAL,MATCH(BJ223,B_LVL,0)),"⚠ At or above the manager's level","OK"))))),"—")</f>
        <v>OK</v>
      </c>
      <c r="BL223" s="43" t="n"/>
      <c r="BM223" s="44">
        <f>IFERROR(INDEX(LMH_PTS,MATCH(Y223,LMH_KEY,0)),0)</f>
        <v>9</v>
      </c>
      <c r="BN223" s="38">
        <f>IFERROR(INDEX(LMH_PTS,MATCH(Z223,LMH_KEY,0)),0)</f>
        <v>3</v>
      </c>
      <c r="BO223" s="38">
        <f>IFERROR(INDEX(LMH_PTS,MATCH(AA223,LMH_KEY,0)),0)</f>
        <v>1</v>
      </c>
      <c r="BP223" s="38">
        <f>IFERROR(INDEX(LMH_PTS,MATCH(AB223,LMH_KEY,0)),0)</f>
        <v>1</v>
      </c>
      <c r="BQ223" s="38">
        <f>IFERROR(INDEX(LMH_PTS,MATCH(AC223,LMH_KEY,0)),0)</f>
        <v>1</v>
      </c>
      <c r="BR223" s="38">
        <f>IFERROR(INDEX(LMH_PTS,MATCH(AD223,LMH_KEY,0)),0)</f>
        <v>1</v>
      </c>
      <c r="BS223" s="38">
        <f>IFERROR(INDEX(LMH_PTS,MATCH(AE223,LMH_KEY,0)),0)</f>
        <v>1</v>
      </c>
      <c r="BT223" s="38">
        <f>IFERROR(INDEX(LMH_STEP,MATCH(AF223,LMH_KEY,0)),0)</f>
        <v>0</v>
      </c>
      <c r="BU223" s="38">
        <f>IFERROR(INDEX(LMH_STEP,MATCH(AG223,LMH_KEY,0)),0)</f>
        <v>0</v>
      </c>
      <c r="BV223" s="38">
        <f>IFERROR(INDEX(LMH_STEP,MATCH(AH223,LMH_KEY,0)),0)</f>
        <v>0</v>
      </c>
      <c r="BW223" s="38">
        <f>IFERROR(INDEX(LMH_STEP,MATCH(AI223,LMH_KEY,0)),0)</f>
        <v>0</v>
      </c>
      <c r="BX223" s="38">
        <f>IFERROR(INDEX(LMH_STEP,MATCH(AJ223,LMH_KEY,0)),0)</f>
        <v>0</v>
      </c>
      <c r="BY223" s="38">
        <f>IFERROR(INDEX(LMH_STEP,MATCH(AK223,LMH_KEY,0)),0)</f>
        <v>0</v>
      </c>
      <c r="BZ223" s="38">
        <f>IFERROR(INDEX(LMH_STEP,MATCH(AL223,LMH_KEY,0)),0)</f>
        <v>0</v>
      </c>
      <c r="CA223" s="38" t="inlineStr">
        <is>
          <t>iDEAL|Technology|Senior Business Analyst|A3|A</t>
        </is>
      </c>
    </row>
    <row r="224" ht="110" customHeight="1">
      <c r="A224" s="28" t="inlineStr">
        <is>
          <t>iDEAL</t>
        </is>
      </c>
      <c r="B224" s="29" t="inlineStr">
        <is>
          <t>Technology</t>
        </is>
      </c>
      <c r="C224" s="29" t="n">
        <v>4</v>
      </c>
      <c r="D224" s="29" t="inlineStr">
        <is>
          <t>IRIS2066</t>
        </is>
      </c>
      <c r="E224" s="29" t="inlineStr">
        <is>
          <t>Shivani Mishra</t>
        </is>
      </c>
      <c r="F224" s="29" t="inlineStr">
        <is>
          <t>Business Analyst</t>
        </is>
      </c>
      <c r="G224" s="29" t="inlineStr">
        <is>
          <t>Senior Business Analyst</t>
        </is>
      </c>
      <c r="H224" s="29" t="inlineStr">
        <is>
          <t>Business Analysis</t>
        </is>
      </c>
      <c r="I224" s="29" t="inlineStr">
        <is>
          <t>Business Analysis</t>
        </is>
      </c>
      <c r="J224" s="29" t="inlineStr">
        <is>
          <t>IC</t>
        </is>
      </c>
      <c r="K224" s="29" t="inlineStr">
        <is>
          <t>RC-009</t>
        </is>
      </c>
      <c r="L224" s="29" t="inlineStr">
        <is>
          <t>Yuvraj Kharchane</t>
        </is>
      </c>
      <c r="M224" s="29" t="inlineStr">
        <is>
          <t>IRIS1158</t>
        </is>
      </c>
      <c r="N224" s="29" t="n">
        <v>7.5</v>
      </c>
      <c r="O224" s="29" t="n">
        <v>4</v>
      </c>
      <c r="P224" s="29" t="inlineStr">
        <is>
          <t>M.Com</t>
        </is>
      </c>
      <c r="Q224" s="29" t="inlineStr">
        <is>
          <t>L3 – Professional / Associate</t>
        </is>
      </c>
      <c r="R224" s="29" t="inlineStr">
        <is>
          <t>A3</t>
        </is>
      </c>
      <c r="S224" s="30" t="inlineStr">
        <is>
          <t>0 of 20</t>
        </is>
      </c>
      <c r="T224" s="31"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t>
        </is>
      </c>
      <c r="U224"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
        </is>
      </c>
      <c r="V224" s="31" t="inlineStr">
        <is>
          <t>Latest rating: 3 · Potential: Medium · 9-box: Trusted Professional · Readiness: Develop in role</t>
        </is>
      </c>
      <c r="W224" s="31" t="inlineStr">
        <is>
          <t>C M · Au M · Ac M · L L · BI M · Exp H · 7.5 yrs vs 2–4 yrs · Edu H · M.Com</t>
        </is>
      </c>
      <c r="X224" s="33" t="inlineStr">
        <is>
          <t>Open ▸</t>
        </is>
      </c>
      <c r="Y224" s="34" t="str">
        <f>IFERROR(INDEX(DL_C,MATCH($CA224,DL_KEY,0)),"M")</f>
        <v>H</v>
      </c>
      <c r="Z224" s="35" t="str">
        <f>IFERROR(INDEX(DL_Au,MATCH($CA224,DL_KEY,0)),"M")</f>
        <v>M</v>
      </c>
      <c r="AA224" s="35" t="str">
        <f>IFERROR(INDEX(DL_Ac,MATCH($CA224,DL_KEY,0)),"M")</f>
        <v>L</v>
      </c>
      <c r="AB224" s="35" t="str">
        <f>IFERROR(INDEX(DL_L,MATCH($CA224,DL_KEY,0)),"M")</f>
        <v>L</v>
      </c>
      <c r="AC224" s="35" t="str">
        <f>IFERROR(INDEX(DL_BI,MATCH($CA224,DL_KEY,0)),"M")</f>
        <v>L</v>
      </c>
      <c r="AD224" s="35" t="str">
        <f>IFERROR(INDEX(DL_Exp,MATCH($CA224,DL_KEY,0)),"M")</f>
        <v>L</v>
      </c>
      <c r="AE224" s="35" t="str">
        <f>IFERROR(INDEX(DL_Edu,MATCH($CA224,DL_KEY,0)),"M")</f>
        <v>L</v>
      </c>
      <c r="AF224" s="34" t="inlineStr">
        <is>
          <t>M</t>
        </is>
      </c>
      <c r="AG224" s="35" t="inlineStr">
        <is>
          <t>M</t>
        </is>
      </c>
      <c r="AH224" s="35" t="inlineStr">
        <is>
          <t>M</t>
        </is>
      </c>
      <c r="AI224" s="35" t="inlineStr">
        <is>
          <t>M</t>
        </is>
      </c>
      <c r="AJ224" s="35" t="inlineStr">
        <is>
          <t>M</t>
        </is>
      </c>
      <c r="AK224" s="35" t="inlineStr">
        <is>
          <t>M</t>
        </is>
      </c>
      <c r="AL224" s="35" t="inlineStr">
        <is>
          <t>M</t>
        </is>
      </c>
      <c r="AM224" s="36" t="n">
        <v>0.583</v>
      </c>
      <c r="AN224" s="37" t="n">
        <v>0.16</v>
      </c>
      <c r="AO224" s="37" t="n">
        <v>0.09</v>
      </c>
      <c r="AP224" s="37" t="n">
        <v>0</v>
      </c>
      <c r="AQ224" s="37" t="n">
        <v>0.063</v>
      </c>
      <c r="AR224" s="37" t="n">
        <v>0.06</v>
      </c>
      <c r="AS224" s="37" t="n">
        <v>0.04</v>
      </c>
      <c r="AT224" s="38" t="inlineStr">
        <is>
          <t>2–5</t>
        </is>
      </c>
      <c r="AU224" s="38" t="inlineStr">
        <is>
          <t>Graduate; relevant certification preferred</t>
        </is>
      </c>
      <c r="AV224" s="38" t="inlineStr">
        <is>
          <t>None · guides 1–3 juniors informally</t>
        </is>
      </c>
      <c r="AW224" s="38" t="inlineStr">
        <is>
          <t>P2 · SFIA 3 Apply</t>
        </is>
      </c>
      <c r="AX2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4" s="39" t="inlineStr">
        <is>
          <t>A3</t>
        </is>
      </c>
      <c r="AZ224" s="40" t="inlineStr">
        <is>
          <t>Band A · Practitioner · Senior Associate</t>
        </is>
      </c>
      <c r="BA224" s="40" t="inlineStr">
        <is>
          <t>Model A3 from the six ratings, the market-derived weights and rules R1–R13 · then No change · already below the manager</t>
        </is>
      </c>
      <c r="BB224" s="41" t="inlineStr">
        <is>
          <t>A3</t>
        </is>
      </c>
      <c r="BC224" s="40" t="inlineStr">
        <is>
          <t>The six ratings on the market-average weights of Band A · all tracks score 3.15 → A3 · Hay, Mercer IPE and public plans · experience 7.5 yrs vs the A3 market range 2–5</t>
        </is>
      </c>
      <c r="BD224" s="42">
        <f>IF(SUM(BM224,BN224,BO224,BP224,BQ224,BR224,BS224)=0,0,(BM224*BT224+BN224*BU224+BO224*BV224+BP224*BW224+BQ224*BX224+BR224*BY224+BS224*BZ224)/SUM(BM224,BN224,BO224,BP224,BQ224,BR224,BS224))</f>
        <v>0</v>
      </c>
      <c r="BE224" s="41" t="str">
        <f>IF(LEFT(AY224,1)="X",AY224,IF(OR(AY224="B+",AY224="C+"),INDEX(LAD_PC,MAX(1,MIN(14,MATCH(AY224,LAD_PC,0)+IF(BD224&gt;=0.5,1,IF(BD224&lt;=-0.5,-1,0))))),INDEX(LAD_STD,MAX(1,MIN(12,MATCH(AY224,LAD_STD,0)+IF(BD224&gt;=0.5,1,IF(BD224&lt;=-0.5,-1,0)))))))</f>
        <v>A3</v>
      </c>
      <c r="BF224" s="43" t="n"/>
      <c r="BG224" s="41" t="str">
        <f>IF(BF224&lt;&gt;"",BF224,BE224)</f>
        <v>A3</v>
      </c>
      <c r="BH224" s="40" t="str">
        <f>IFERROR(CHOOSE(INDEX(B_RANK,MATCH(BG224,B_LVL,0)),"Band A","Band B","B+ · Player-Coach","Band C","C+ · Player-Coach","Band D","Band E"),"Band X · Consultant")</f>
        <v>Band A</v>
      </c>
      <c r="BI224" s="40" t="str">
        <f>IF(BG224=AY224,"• Same",IF(INDEX(B_VAL,MATCH(BG224,B_LVL,0))&gt;INDEX(B_VAL,MATCH(AY224,B_LVL,0)),"▲ Up","▼ Down"))</f>
        <v>• Same</v>
      </c>
      <c r="BJ224" s="40" t="str">
        <f>IF(OR($M224="",$M224="—",$M224="Not in this file"),"",IFERROR(INDEX($BG$7:$BG$592,MATCH($M224,$D$7:$D$592,0)),""))</f>
        <v>B2</v>
      </c>
      <c r="BK224" s="40" t="str">
        <f>IFERROR(IF(BJ224="","—",IF(OR(LEFT(BG224,1)="X",LEFT(BJ224,1)="X"),"—",IF(AND(LEFT(BG224,1)="E",LEFT(BJ224,1)="E"),"Exception · Band E",IF(AND(INDEX(B_VAL,MATCH(BJ224,B_LVL,0))&gt;=7,INDEX(B_RANK,MATCH(BG224,B_LVL,0))&gt;=INDEX(B_RANK,MATCH(BJ224,B_LVL,0))),"⚠ Same band as a head manager",IF(INDEX(B_VAL,MATCH(BG224,B_LVL,0))&gt;=INDEX(B_VAL,MATCH(BJ224,B_LVL,0)),"⚠ At or above the manager's level","OK"))))),"—")</f>
        <v>OK</v>
      </c>
      <c r="BL224" s="43" t="n"/>
      <c r="BM224" s="44">
        <f>IFERROR(INDEX(LMH_PTS,MATCH(Y224,LMH_KEY,0)),0)</f>
        <v>9</v>
      </c>
      <c r="BN224" s="38">
        <f>IFERROR(INDEX(LMH_PTS,MATCH(Z224,LMH_KEY,0)),0)</f>
        <v>3</v>
      </c>
      <c r="BO224" s="38">
        <f>IFERROR(INDEX(LMH_PTS,MATCH(AA224,LMH_KEY,0)),0)</f>
        <v>1</v>
      </c>
      <c r="BP224" s="38">
        <f>IFERROR(INDEX(LMH_PTS,MATCH(AB224,LMH_KEY,0)),0)</f>
        <v>1</v>
      </c>
      <c r="BQ224" s="38">
        <f>IFERROR(INDEX(LMH_PTS,MATCH(AC224,LMH_KEY,0)),0)</f>
        <v>1</v>
      </c>
      <c r="BR224" s="38">
        <f>IFERROR(INDEX(LMH_PTS,MATCH(AD224,LMH_KEY,0)),0)</f>
        <v>1</v>
      </c>
      <c r="BS224" s="38">
        <f>IFERROR(INDEX(LMH_PTS,MATCH(AE224,LMH_KEY,0)),0)</f>
        <v>1</v>
      </c>
      <c r="BT224" s="38">
        <f>IFERROR(INDEX(LMH_STEP,MATCH(AF224,LMH_KEY,0)),0)</f>
        <v>0</v>
      </c>
      <c r="BU224" s="38">
        <f>IFERROR(INDEX(LMH_STEP,MATCH(AG224,LMH_KEY,0)),0)</f>
        <v>0</v>
      </c>
      <c r="BV224" s="38">
        <f>IFERROR(INDEX(LMH_STEP,MATCH(AH224,LMH_KEY,0)),0)</f>
        <v>0</v>
      </c>
      <c r="BW224" s="38">
        <f>IFERROR(INDEX(LMH_STEP,MATCH(AI224,LMH_KEY,0)),0)</f>
        <v>0</v>
      </c>
      <c r="BX224" s="38">
        <f>IFERROR(INDEX(LMH_STEP,MATCH(AJ224,LMH_KEY,0)),0)</f>
        <v>0</v>
      </c>
      <c r="BY224" s="38">
        <f>IFERROR(INDEX(LMH_STEP,MATCH(AK224,LMH_KEY,0)),0)</f>
        <v>0</v>
      </c>
      <c r="BZ224" s="38">
        <f>IFERROR(INDEX(LMH_STEP,MATCH(AL224,LMH_KEY,0)),0)</f>
        <v>0</v>
      </c>
      <c r="CA224" s="38" t="inlineStr">
        <is>
          <t>iDEAL|Technology|Senior Business Analyst|A3|A</t>
        </is>
      </c>
    </row>
    <row r="225" ht="110" customHeight="1">
      <c r="A225" s="28" t="inlineStr">
        <is>
          <t>iDEAL</t>
        </is>
      </c>
      <c r="B225" s="29" t="inlineStr">
        <is>
          <t>Product Management</t>
        </is>
      </c>
      <c r="C225" s="29" t="n">
        <v>4</v>
      </c>
      <c r="D225" s="29" t="inlineStr">
        <is>
          <t>IRIS2435</t>
        </is>
      </c>
      <c r="E225" s="29" t="inlineStr">
        <is>
          <t>Srijith Menon</t>
        </is>
      </c>
      <c r="F225" s="29" t="inlineStr">
        <is>
          <t>Product Coordinator</t>
        </is>
      </c>
      <c r="G225" s="29" t="inlineStr">
        <is>
          <t>Senior Product Analyst</t>
        </is>
      </c>
      <c r="H225" s="29" t="inlineStr">
        <is>
          <t>Product Management</t>
        </is>
      </c>
      <c r="I225" s="29" t="inlineStr">
        <is>
          <t>Product Operations &amp; Research</t>
        </is>
      </c>
      <c r="J225" s="29" t="inlineStr">
        <is>
          <t>IC</t>
        </is>
      </c>
      <c r="K225" s="29" t="inlineStr">
        <is>
          <t>RC-130</t>
        </is>
      </c>
      <c r="L225" s="29" t="inlineStr">
        <is>
          <t>Yuvraj Kharchane</t>
        </is>
      </c>
      <c r="M225" s="29" t="inlineStr">
        <is>
          <t>IRIS1158</t>
        </is>
      </c>
      <c r="N225" s="29" t="n">
        <v>8</v>
      </c>
      <c r="O225" s="29" t="n">
        <v>1</v>
      </c>
      <c r="P225" s="29" t="inlineStr">
        <is>
          <t>Bachelors in Hotel Management</t>
        </is>
      </c>
      <c r="Q225" s="29" t="inlineStr">
        <is>
          <t>L3 – Professional / Associate</t>
        </is>
      </c>
      <c r="R225" s="29" t="inlineStr">
        <is>
          <t>A3</t>
        </is>
      </c>
      <c r="S225" s="30" t="inlineStr">
        <is>
          <t>20 of 20</t>
        </is>
      </c>
      <c r="T225" s="31"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
        </is>
      </c>
      <c r="U225" s="31" t="inlineStr">
        <is>
          <t>Received · manager annual, quarterly, self · 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t>
        </is>
      </c>
      <c r="V225" s="31" t="inlineStr">
        <is>
          <t>Latest rating: 3 · Potential: Medium · 9-box: Emerging Talent · Readiness: Develop in role</t>
        </is>
      </c>
      <c r="W225" s="31" t="inlineStr">
        <is>
          <t>C M · Au L · Ac M · L L · BI M · Exp H · 8 yrs vs 2–4 yrs · Edu M · Bachelors in Hotel Management</t>
        </is>
      </c>
      <c r="X225" s="33" t="inlineStr">
        <is>
          <t>Open ▸</t>
        </is>
      </c>
      <c r="Y225" s="34" t="str">
        <f>IFERROR(INDEX(DL_C,MATCH($CA225,DL_KEY,0)),"M")</f>
        <v>H</v>
      </c>
      <c r="Z225" s="35" t="str">
        <f>IFERROR(INDEX(DL_Au,MATCH($CA225,DL_KEY,0)),"M")</f>
        <v>M</v>
      </c>
      <c r="AA225" s="35" t="str">
        <f>IFERROR(INDEX(DL_Ac,MATCH($CA225,DL_KEY,0)),"M")</f>
        <v>M</v>
      </c>
      <c r="AB225" s="35" t="str">
        <f>IFERROR(INDEX(DL_L,MATCH($CA225,DL_KEY,0)),"M")</f>
        <v>L</v>
      </c>
      <c r="AC225" s="35" t="str">
        <f>IFERROR(INDEX(DL_BI,MATCH($CA225,DL_KEY,0)),"M")</f>
        <v>L</v>
      </c>
      <c r="AD225" s="35" t="str">
        <f>IFERROR(INDEX(DL_Exp,MATCH($CA225,DL_KEY,0)),"M")</f>
        <v>L</v>
      </c>
      <c r="AE225" s="35" t="str">
        <f>IFERROR(INDEX(DL_Edu,MATCH($CA225,DL_KEY,0)),"M")</f>
        <v>L</v>
      </c>
      <c r="AF225" s="34" t="inlineStr">
        <is>
          <t>M</t>
        </is>
      </c>
      <c r="AG225" s="35" t="inlineStr">
        <is>
          <t>M</t>
        </is>
      </c>
      <c r="AH225" s="35" t="inlineStr">
        <is>
          <t>M</t>
        </is>
      </c>
      <c r="AI225" s="35" t="inlineStr">
        <is>
          <t>M</t>
        </is>
      </c>
      <c r="AJ225" s="35" t="inlineStr">
        <is>
          <t>M</t>
        </is>
      </c>
      <c r="AK225" s="35" t="inlineStr">
        <is>
          <t>M</t>
        </is>
      </c>
      <c r="AL225" s="35" t="inlineStr">
        <is>
          <t>M</t>
        </is>
      </c>
      <c r="AM225" s="36" t="n">
        <v>0.583</v>
      </c>
      <c r="AN225" s="37" t="n">
        <v>0.16</v>
      </c>
      <c r="AO225" s="37" t="n">
        <v>0.09</v>
      </c>
      <c r="AP225" s="37" t="n">
        <v>0</v>
      </c>
      <c r="AQ225" s="37" t="n">
        <v>0.063</v>
      </c>
      <c r="AR225" s="37" t="n">
        <v>0.06</v>
      </c>
      <c r="AS225" s="37" t="n">
        <v>0.04</v>
      </c>
      <c r="AT225" s="38" t="inlineStr">
        <is>
          <t>2–5</t>
        </is>
      </c>
      <c r="AU225" s="38" t="inlineStr">
        <is>
          <t>Graduate; relevant certification preferred</t>
        </is>
      </c>
      <c r="AV225" s="38" t="inlineStr">
        <is>
          <t>None · guides 1–3 juniors informally</t>
        </is>
      </c>
      <c r="AW225" s="38" t="inlineStr">
        <is>
          <t>P2 · SFIA 3 Apply</t>
        </is>
      </c>
      <c r="AX2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5" s="39" t="inlineStr">
        <is>
          <t>A3</t>
        </is>
      </c>
      <c r="AZ225" s="40" t="inlineStr">
        <is>
          <t>Band A · Practitioner · Senior Associate</t>
        </is>
      </c>
      <c r="BA225" s="40" t="inlineStr">
        <is>
          <t>Model A3 from the six ratings, the market-derived weights and rules R1–R13 · then No change · already below the manager</t>
        </is>
      </c>
      <c r="BB225" s="41" t="inlineStr">
        <is>
          <t>A3</t>
        </is>
      </c>
      <c r="BC225" s="40" t="inlineStr">
        <is>
          <t>The six ratings on the market-average weights of Band A · all tracks score 2.70 → A3 · Hay, Mercer IPE and public plans · experience 8 yrs vs the A3 market range 2–5</t>
        </is>
      </c>
      <c r="BD225" s="42">
        <f>IF(SUM(BM225,BN225,BO225,BP225,BQ225,BR225,BS225)=0,0,(BM225*BT225+BN225*BU225+BO225*BV225+BP225*BW225+BQ225*BX225+BR225*BY225+BS225*BZ225)/SUM(BM225,BN225,BO225,BP225,BQ225,BR225,BS225))</f>
        <v>0</v>
      </c>
      <c r="BE225" s="41" t="str">
        <f>IF(LEFT(AY225,1)="X",AY225,IF(OR(AY225="B+",AY225="C+"),INDEX(LAD_PC,MAX(1,MIN(14,MATCH(AY225,LAD_PC,0)+IF(BD225&gt;=0.5,1,IF(BD225&lt;=-0.5,-1,0))))),INDEX(LAD_STD,MAX(1,MIN(12,MATCH(AY225,LAD_STD,0)+IF(BD225&gt;=0.5,1,IF(BD225&lt;=-0.5,-1,0)))))))</f>
        <v>A3</v>
      </c>
      <c r="BF225" s="43" t="n"/>
      <c r="BG225" s="41" t="str">
        <f>IF(BF225&lt;&gt;"",BF225,BE225)</f>
        <v>A3</v>
      </c>
      <c r="BH225" s="40" t="str">
        <f>IFERROR(CHOOSE(INDEX(B_RANK,MATCH(BG225,B_LVL,0)),"Band A","Band B","B+ · Player-Coach","Band C","C+ · Player-Coach","Band D","Band E"),"Band X · Consultant")</f>
        <v>Band A</v>
      </c>
      <c r="BI225" s="40" t="str">
        <f>IF(BG225=AY225,"• Same",IF(INDEX(B_VAL,MATCH(BG225,B_LVL,0))&gt;INDEX(B_VAL,MATCH(AY225,B_LVL,0)),"▲ Up","▼ Down"))</f>
        <v>• Same</v>
      </c>
      <c r="BJ225" s="40" t="str">
        <f>IF(OR($M225="",$M225="—",$M225="Not in this file"),"",IFERROR(INDEX($BG$7:$BG$592,MATCH($M225,$D$7:$D$592,0)),""))</f>
        <v>B2</v>
      </c>
      <c r="BK225" s="40" t="str">
        <f>IFERROR(IF(BJ225="","—",IF(OR(LEFT(BG225,1)="X",LEFT(BJ225,1)="X"),"—",IF(AND(LEFT(BG225,1)="E",LEFT(BJ225,1)="E"),"Exception · Band E",IF(AND(INDEX(B_VAL,MATCH(BJ225,B_LVL,0))&gt;=7,INDEX(B_RANK,MATCH(BG225,B_LVL,0))&gt;=INDEX(B_RANK,MATCH(BJ225,B_LVL,0))),"⚠ Same band as a head manager",IF(INDEX(B_VAL,MATCH(BG225,B_LVL,0))&gt;=INDEX(B_VAL,MATCH(BJ225,B_LVL,0)),"⚠ At or above the manager's level","OK"))))),"—")</f>
        <v>OK</v>
      </c>
      <c r="BL225" s="43" t="n"/>
      <c r="BM225" s="44">
        <f>IFERROR(INDEX(LMH_PTS,MATCH(Y225,LMH_KEY,0)),0)</f>
        <v>9</v>
      </c>
      <c r="BN225" s="38">
        <f>IFERROR(INDEX(LMH_PTS,MATCH(Z225,LMH_KEY,0)),0)</f>
        <v>3</v>
      </c>
      <c r="BO225" s="38">
        <f>IFERROR(INDEX(LMH_PTS,MATCH(AA225,LMH_KEY,0)),0)</f>
        <v>3</v>
      </c>
      <c r="BP225" s="38">
        <f>IFERROR(INDEX(LMH_PTS,MATCH(AB225,LMH_KEY,0)),0)</f>
        <v>1</v>
      </c>
      <c r="BQ225" s="38">
        <f>IFERROR(INDEX(LMH_PTS,MATCH(AC225,LMH_KEY,0)),0)</f>
        <v>1</v>
      </c>
      <c r="BR225" s="38">
        <f>IFERROR(INDEX(LMH_PTS,MATCH(AD225,LMH_KEY,0)),0)</f>
        <v>1</v>
      </c>
      <c r="BS225" s="38">
        <f>IFERROR(INDEX(LMH_PTS,MATCH(AE225,LMH_KEY,0)),0)</f>
        <v>1</v>
      </c>
      <c r="BT225" s="38">
        <f>IFERROR(INDEX(LMH_STEP,MATCH(AF225,LMH_KEY,0)),0)</f>
        <v>0</v>
      </c>
      <c r="BU225" s="38">
        <f>IFERROR(INDEX(LMH_STEP,MATCH(AG225,LMH_KEY,0)),0)</f>
        <v>0</v>
      </c>
      <c r="BV225" s="38">
        <f>IFERROR(INDEX(LMH_STEP,MATCH(AH225,LMH_KEY,0)),0)</f>
        <v>0</v>
      </c>
      <c r="BW225" s="38">
        <f>IFERROR(INDEX(LMH_STEP,MATCH(AI225,LMH_KEY,0)),0)</f>
        <v>0</v>
      </c>
      <c r="BX225" s="38">
        <f>IFERROR(INDEX(LMH_STEP,MATCH(AJ225,LMH_KEY,0)),0)</f>
        <v>0</v>
      </c>
      <c r="BY225" s="38">
        <f>IFERROR(INDEX(LMH_STEP,MATCH(AK225,LMH_KEY,0)),0)</f>
        <v>0</v>
      </c>
      <c r="BZ225" s="38">
        <f>IFERROR(INDEX(LMH_STEP,MATCH(AL225,LMH_KEY,0)),0)</f>
        <v>0</v>
      </c>
      <c r="CA225" s="38" t="inlineStr">
        <is>
          <t>iDEAL|Product Management|Senior Product Analyst|A3|A</t>
        </is>
      </c>
    </row>
    <row r="226" ht="110" customHeight="1">
      <c r="A226" s="28" t="inlineStr">
        <is>
          <t>iDEAL</t>
        </is>
      </c>
      <c r="B226" s="29" t="inlineStr">
        <is>
          <t>Technology</t>
        </is>
      </c>
      <c r="C226" s="29" t="n">
        <v>3</v>
      </c>
      <c r="D226" s="29" t="inlineStr">
        <is>
          <t>IRIS1343</t>
        </is>
      </c>
      <c r="E226" s="29" t="inlineStr">
        <is>
          <t>Anand Usakoyal</t>
        </is>
      </c>
      <c r="F226" s="29" t="inlineStr">
        <is>
          <t>Project Lead</t>
        </is>
      </c>
      <c r="G226" s="29" t="inlineStr">
        <is>
          <t>Associate Project Manager</t>
        </is>
      </c>
      <c r="H226" s="29" t="inlineStr">
        <is>
          <t>Project &amp; Program Management</t>
        </is>
      </c>
      <c r="I226" s="29" t="inlineStr">
        <is>
          <t>Project &amp; Program Delivery</t>
        </is>
      </c>
      <c r="J226" s="29" t="inlineStr">
        <is>
          <t>IC</t>
        </is>
      </c>
      <c r="K226" s="29" t="inlineStr">
        <is>
          <t>RC-134</t>
        </is>
      </c>
      <c r="L226" s="29" t="inlineStr">
        <is>
          <t>Hemant Karale</t>
        </is>
      </c>
      <c r="M226" s="29" t="inlineStr">
        <is>
          <t>IRIS1224</t>
        </is>
      </c>
      <c r="N226" s="29" t="n">
        <v>13.3</v>
      </c>
      <c r="O226" s="29" t="n">
        <v>13.3</v>
      </c>
      <c r="P226" s="29" t="inlineStr">
        <is>
          <t>MBA</t>
        </is>
      </c>
      <c r="Q226" s="29" t="inlineStr">
        <is>
          <t>L5 – Lead · IC</t>
        </is>
      </c>
      <c r="R226" s="29" t="inlineStr">
        <is>
          <t>B1</t>
        </is>
      </c>
      <c r="S226" s="30" t="inlineStr">
        <is>
          <t>20 of 20</t>
        </is>
      </c>
      <c r="T226" s="31"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t>
        </is>
      </c>
      <c r="U226" s="31" t="inlineStr">
        <is>
          <t>Received · manager annual, quarterly, self · 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t>
        </is>
      </c>
      <c r="V226" s="31" t="inlineStr">
        <is>
          <t>Latest rating: 3 · Potential: Medium · 9-box: Emerging Talent · Readiness: Develop in role</t>
        </is>
      </c>
      <c r="W226" s="31" t="inlineStr">
        <is>
          <t>C M · Au M · Ac M · L L · BI M · Exp H · 13.3 yrs vs 4–7 yrs · Edu H · MBA</t>
        </is>
      </c>
      <c r="X226" s="33" t="inlineStr">
        <is>
          <t>Open ▸</t>
        </is>
      </c>
      <c r="Y226" s="34" t="str">
        <f>IFERROR(INDEX(DL_C,MATCH($CA226,DL_KEY,0)),"M")</f>
        <v>H</v>
      </c>
      <c r="Z226" s="35" t="str">
        <f>IFERROR(INDEX(DL_Au,MATCH($CA226,DL_KEY,0)),"M")</f>
        <v>M</v>
      </c>
      <c r="AA226" s="35" t="str">
        <f>IFERROR(INDEX(DL_Ac,MATCH($CA226,DL_KEY,0)),"M")</f>
        <v>L</v>
      </c>
      <c r="AB226" s="35" t="str">
        <f>IFERROR(INDEX(DL_L,MATCH($CA226,DL_KEY,0)),"M")</f>
        <v>L</v>
      </c>
      <c r="AC226" s="35" t="str">
        <f>IFERROR(INDEX(DL_BI,MATCH($CA226,DL_KEY,0)),"M")</f>
        <v>L</v>
      </c>
      <c r="AD226" s="35" t="str">
        <f>IFERROR(INDEX(DL_Exp,MATCH($CA226,DL_KEY,0)),"M")</f>
        <v>L</v>
      </c>
      <c r="AE226" s="35" t="str">
        <f>IFERROR(INDEX(DL_Edu,MATCH($CA226,DL_KEY,0)),"M")</f>
        <v>L</v>
      </c>
      <c r="AF226" s="34" t="inlineStr">
        <is>
          <t>M</t>
        </is>
      </c>
      <c r="AG226" s="35" t="inlineStr">
        <is>
          <t>M</t>
        </is>
      </c>
      <c r="AH226" s="35" t="inlineStr">
        <is>
          <t>M</t>
        </is>
      </c>
      <c r="AI226" s="35" t="inlineStr">
        <is>
          <t>M</t>
        </is>
      </c>
      <c r="AJ226" s="35" t="inlineStr">
        <is>
          <t>M</t>
        </is>
      </c>
      <c r="AK226" s="35" t="inlineStr">
        <is>
          <t>M</t>
        </is>
      </c>
      <c r="AL226" s="35" t="inlineStr">
        <is>
          <t>M</t>
        </is>
      </c>
      <c r="AM226" s="36" t="n">
        <v>0.513</v>
      </c>
      <c r="AN226" s="37" t="n">
        <v>0.173</v>
      </c>
      <c r="AO226" s="37" t="n">
        <v>0.09699999999999999</v>
      </c>
      <c r="AP226" s="37" t="n">
        <v>0.05</v>
      </c>
      <c r="AQ226" s="37" t="n">
        <v>0.07000000000000001</v>
      </c>
      <c r="AR226" s="37" t="n">
        <v>0.06</v>
      </c>
      <c r="AS226" s="37" t="n">
        <v>0.04</v>
      </c>
      <c r="AT226" s="38" t="inlineStr">
        <is>
          <t>4–8</t>
        </is>
      </c>
      <c r="AU226" s="38" t="inlineStr">
        <is>
          <t>Graduate + relevant qualification or certification preferred</t>
        </is>
      </c>
      <c r="AV226" s="38" t="inlineStr">
        <is>
          <t>IC: none · Team Lead: 3–5</t>
        </is>
      </c>
      <c r="AW226" s="38" t="inlineStr">
        <is>
          <t>P3 / M2 · SFIA 4 Enable</t>
        </is>
      </c>
      <c r="AX2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6" s="39" t="inlineStr">
        <is>
          <t>B1</t>
        </is>
      </c>
      <c r="AZ226" s="40" t="inlineStr">
        <is>
          <t>Band B · Specialist / Manager · Specialist</t>
        </is>
      </c>
      <c r="BA226" s="40" t="inlineStr">
        <is>
          <t>Model B1 from the six ratings, the market-derived weights and rules R1–R13 · then No change · already below the manager</t>
        </is>
      </c>
      <c r="BB226" s="41" t="inlineStr">
        <is>
          <t>B1</t>
        </is>
      </c>
      <c r="BC226" s="40" t="inlineStr">
        <is>
          <t>The six ratings on the market-average weights of Band B · Specialist / POD Lead score 3.96 → B1 · Hay, Mercer IPE and public plans · experience 13.3 yrs vs the B1 market range 4–8</t>
        </is>
      </c>
      <c r="BD226" s="42">
        <f>IF(SUM(BM226,BN226,BO226,BP226,BQ226,BR226,BS226)=0,0,(BM226*BT226+BN226*BU226+BO226*BV226+BP226*BW226+BQ226*BX226+BR226*BY226+BS226*BZ226)/SUM(BM226,BN226,BO226,BP226,BQ226,BR226,BS226))</f>
        <v>0</v>
      </c>
      <c r="BE226" s="41" t="str">
        <f>IF(LEFT(AY226,1)="X",AY226,IF(OR(AY226="B+",AY226="C+"),INDEX(LAD_PC,MAX(1,MIN(14,MATCH(AY226,LAD_PC,0)+IF(BD226&gt;=0.5,1,IF(BD226&lt;=-0.5,-1,0))))),INDEX(LAD_STD,MAX(1,MIN(12,MATCH(AY226,LAD_STD,0)+IF(BD226&gt;=0.5,1,IF(BD226&lt;=-0.5,-1,0)))))))</f>
        <v>B1</v>
      </c>
      <c r="BF226" s="43" t="n"/>
      <c r="BG226" s="41" t="str">
        <f>IF(BF226&lt;&gt;"",BF226,BE226)</f>
        <v>B1</v>
      </c>
      <c r="BH226" s="40" t="str">
        <f>IFERROR(CHOOSE(INDEX(B_RANK,MATCH(BG226,B_LVL,0)),"Band A","Band B","B+ · Player-Coach","Band C","C+ · Player-Coach","Band D","Band E"),"Band X · Consultant")</f>
        <v>Band B</v>
      </c>
      <c r="BI226" s="40" t="str">
        <f>IF(BG226=AY226,"• Same",IF(INDEX(B_VAL,MATCH(BG226,B_LVL,0))&gt;INDEX(B_VAL,MATCH(AY226,B_LVL,0)),"▲ Up","▼ Down"))</f>
        <v>• Same</v>
      </c>
      <c r="BJ226" s="40" t="str">
        <f>IF(OR($M226="",$M226="—",$M226="Not in this file"),"",IFERROR(INDEX($BG$7:$BG$592,MATCH($M226,$D$7:$D$592,0)),""))</f>
        <v>C2</v>
      </c>
      <c r="BK226" s="40" t="str">
        <f>IFERROR(IF(BJ226="","—",IF(OR(LEFT(BG226,1)="X",LEFT(BJ226,1)="X"),"—",IF(AND(LEFT(BG226,1)="E",LEFT(BJ226,1)="E"),"Exception · Band E",IF(AND(INDEX(B_VAL,MATCH(BJ226,B_LVL,0))&gt;=7,INDEX(B_RANK,MATCH(BG226,B_LVL,0))&gt;=INDEX(B_RANK,MATCH(BJ226,B_LVL,0))),"⚠ Same band as a head manager",IF(INDEX(B_VAL,MATCH(BG226,B_LVL,0))&gt;=INDEX(B_VAL,MATCH(BJ226,B_LVL,0)),"⚠ At or above the manager's level","OK"))))),"—")</f>
        <v>OK</v>
      </c>
      <c r="BL226" s="43" t="n"/>
      <c r="BM226" s="44">
        <f>IFERROR(INDEX(LMH_PTS,MATCH(Y226,LMH_KEY,0)),0)</f>
        <v>9</v>
      </c>
      <c r="BN226" s="38">
        <f>IFERROR(INDEX(LMH_PTS,MATCH(Z226,LMH_KEY,0)),0)</f>
        <v>3</v>
      </c>
      <c r="BO226" s="38">
        <f>IFERROR(INDEX(LMH_PTS,MATCH(AA226,LMH_KEY,0)),0)</f>
        <v>1</v>
      </c>
      <c r="BP226" s="38">
        <f>IFERROR(INDEX(LMH_PTS,MATCH(AB226,LMH_KEY,0)),0)</f>
        <v>1</v>
      </c>
      <c r="BQ226" s="38">
        <f>IFERROR(INDEX(LMH_PTS,MATCH(AC226,LMH_KEY,0)),0)</f>
        <v>1</v>
      </c>
      <c r="BR226" s="38">
        <f>IFERROR(INDEX(LMH_PTS,MATCH(AD226,LMH_KEY,0)),0)</f>
        <v>1</v>
      </c>
      <c r="BS226" s="38">
        <f>IFERROR(INDEX(LMH_PTS,MATCH(AE226,LMH_KEY,0)),0)</f>
        <v>1</v>
      </c>
      <c r="BT226" s="38">
        <f>IFERROR(INDEX(LMH_STEP,MATCH(AF226,LMH_KEY,0)),0)</f>
        <v>0</v>
      </c>
      <c r="BU226" s="38">
        <f>IFERROR(INDEX(LMH_STEP,MATCH(AG226,LMH_KEY,0)),0)</f>
        <v>0</v>
      </c>
      <c r="BV226" s="38">
        <f>IFERROR(INDEX(LMH_STEP,MATCH(AH226,LMH_KEY,0)),0)</f>
        <v>0</v>
      </c>
      <c r="BW226" s="38">
        <f>IFERROR(INDEX(LMH_STEP,MATCH(AI226,LMH_KEY,0)),0)</f>
        <v>0</v>
      </c>
      <c r="BX226" s="38">
        <f>IFERROR(INDEX(LMH_STEP,MATCH(AJ226,LMH_KEY,0)),0)</f>
        <v>0</v>
      </c>
      <c r="BY226" s="38">
        <f>IFERROR(INDEX(LMH_STEP,MATCH(AK226,LMH_KEY,0)),0)</f>
        <v>0</v>
      </c>
      <c r="BZ226" s="38">
        <f>IFERROR(INDEX(LMH_STEP,MATCH(AL226,LMH_KEY,0)),0)</f>
        <v>0</v>
      </c>
      <c r="CA226" s="38" t="inlineStr">
        <is>
          <t>iDEAL|Technology|Associate Project Manager|B1|B-IC</t>
        </is>
      </c>
    </row>
    <row r="227" ht="110" customHeight="1">
      <c r="A227" s="28" t="inlineStr">
        <is>
          <t>iDEAL</t>
        </is>
      </c>
      <c r="B227" s="29" t="inlineStr">
        <is>
          <t>Technology</t>
        </is>
      </c>
      <c r="C227" s="29" t="n">
        <v>3</v>
      </c>
      <c r="D227" s="29" t="inlineStr">
        <is>
          <t>IRIS1947</t>
        </is>
      </c>
      <c r="E227" s="29" t="inlineStr">
        <is>
          <t>Aroosa Ghole</t>
        </is>
      </c>
      <c r="F227" s="29" t="inlineStr">
        <is>
          <t>Senior Business Analyst</t>
        </is>
      </c>
      <c r="G227" s="29" t="inlineStr">
        <is>
          <t>Team Lead – Business Analysis</t>
        </is>
      </c>
      <c r="H227" s="29" t="inlineStr">
        <is>
          <t>Business Analysis</t>
        </is>
      </c>
      <c r="I227" s="29" t="inlineStr">
        <is>
          <t>Business Analysis</t>
        </is>
      </c>
      <c r="J227" s="29" t="inlineStr">
        <is>
          <t>People Manager</t>
        </is>
      </c>
      <c r="K227" s="29" t="inlineStr">
        <is>
          <t>RC-011</t>
        </is>
      </c>
      <c r="L227" s="29" t="inlineStr">
        <is>
          <t>Hemant Karale</t>
        </is>
      </c>
      <c r="M227" s="29" t="inlineStr">
        <is>
          <t>IRIS1224</t>
        </is>
      </c>
      <c r="N227" s="29" t="n">
        <v>7.5</v>
      </c>
      <c r="O227" s="29" t="n">
        <v>5.1</v>
      </c>
      <c r="P227" s="29" t="inlineStr">
        <is>
          <t>PGDM</t>
        </is>
      </c>
      <c r="Q227" s="29" t="inlineStr">
        <is>
          <t>L4 – Senior</t>
        </is>
      </c>
      <c r="R227" s="29" t="inlineStr">
        <is>
          <t>B1</t>
        </is>
      </c>
      <c r="S227" s="30" t="inlineStr">
        <is>
          <t>20 of 20</t>
        </is>
      </c>
      <c r="T227" s="31"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t>
        </is>
      </c>
      <c r="U227" s="31" t="inlineStr">
        <is>
          <t>Received · manager annual, quarterly, self · 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t>
        </is>
      </c>
      <c r="V227" s="31" t="inlineStr">
        <is>
          <t>Latest rating: 4 · Potential: High · 9-box: High Impact / Growth Talent · Readiness: Ready now</t>
        </is>
      </c>
      <c r="W227" s="31" t="inlineStr">
        <is>
          <t>C M · Au M · Ac M · L M · BI M · Exp H · 7.5 yrs vs 4–7 yrs · Edu H · PGDM</t>
        </is>
      </c>
      <c r="X227" s="33" t="inlineStr">
        <is>
          <t>Open ▸</t>
        </is>
      </c>
      <c r="Y227" s="34" t="str">
        <f>IFERROR(INDEX(DL_C,MATCH($CA227,DL_KEY,0)),"M")</f>
        <v>H</v>
      </c>
      <c r="Z227" s="35" t="str">
        <f>IFERROR(INDEX(DL_Au,MATCH($CA227,DL_KEY,0)),"M")</f>
        <v>M</v>
      </c>
      <c r="AA227" s="35" t="str">
        <f>IFERROR(INDEX(DL_Ac,MATCH($CA227,DL_KEY,0)),"M")</f>
        <v>L</v>
      </c>
      <c r="AB227" s="35" t="str">
        <f>IFERROR(INDEX(DL_L,MATCH($CA227,DL_KEY,0)),"M")</f>
        <v>M</v>
      </c>
      <c r="AC227" s="35" t="str">
        <f>IFERROR(INDEX(DL_BI,MATCH($CA227,DL_KEY,0)),"M")</f>
        <v>L</v>
      </c>
      <c r="AD227" s="35" t="str">
        <f>IFERROR(INDEX(DL_Exp,MATCH($CA227,DL_KEY,0)),"M")</f>
        <v>L</v>
      </c>
      <c r="AE227" s="35" t="str">
        <f>IFERROR(INDEX(DL_Edu,MATCH($CA227,DL_KEY,0)),"M")</f>
        <v>L</v>
      </c>
      <c r="AF227" s="34" t="inlineStr">
        <is>
          <t>M</t>
        </is>
      </c>
      <c r="AG227" s="35" t="inlineStr">
        <is>
          <t>M</t>
        </is>
      </c>
      <c r="AH227" s="35" t="inlineStr">
        <is>
          <t>M</t>
        </is>
      </c>
      <c r="AI227" s="35" t="inlineStr">
        <is>
          <t>M</t>
        </is>
      </c>
      <c r="AJ227" s="35" t="inlineStr">
        <is>
          <t>M</t>
        </is>
      </c>
      <c r="AK227" s="35" t="inlineStr">
        <is>
          <t>M</t>
        </is>
      </c>
      <c r="AL227" s="35" t="inlineStr">
        <is>
          <t>M</t>
        </is>
      </c>
      <c r="AM227" s="36" t="n">
        <v>0.37</v>
      </c>
      <c r="AN227" s="37" t="n">
        <v>0.183</v>
      </c>
      <c r="AO227" s="37" t="n">
        <v>0.113</v>
      </c>
      <c r="AP227" s="37" t="n">
        <v>0.15</v>
      </c>
      <c r="AQ227" s="37" t="n">
        <v>0.08699999999999999</v>
      </c>
      <c r="AR227" s="37" t="n">
        <v>0.06</v>
      </c>
      <c r="AS227" s="37" t="n">
        <v>0.04</v>
      </c>
      <c r="AT227" s="38" t="inlineStr">
        <is>
          <t>4–8</t>
        </is>
      </c>
      <c r="AU227" s="38" t="inlineStr">
        <is>
          <t>Graduate + relevant qualification or certification preferred</t>
        </is>
      </c>
      <c r="AV227" s="38" t="inlineStr">
        <is>
          <t>IC: none · Team Lead: 3–5</t>
        </is>
      </c>
      <c r="AW227" s="38" t="inlineStr">
        <is>
          <t>P3 / M2 · SFIA 4 Enable</t>
        </is>
      </c>
      <c r="AX2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7" s="39" t="inlineStr">
        <is>
          <t>B1</t>
        </is>
      </c>
      <c r="AZ227" s="40" t="inlineStr">
        <is>
          <t>Band B · Specialist / Manager · Team Lead / Asst Manager</t>
        </is>
      </c>
      <c r="BA227" s="40" t="inlineStr">
        <is>
          <t>Model B1 from the six ratings, the market-derived weights and rules R1–R13 · then No change · already below the manager</t>
        </is>
      </c>
      <c r="BB227" s="41" t="inlineStr">
        <is>
          <t>B1</t>
        </is>
      </c>
      <c r="BC227" s="40" t="inlineStr">
        <is>
          <t>The six ratings on the market-average weights of Band B · People Manager score 4.14 → B1 · Hay, Mercer IPE and public plans · experience 7.5 yrs vs the B1 market range 4–8</t>
        </is>
      </c>
      <c r="BD227" s="42">
        <f>IF(SUM(BM227,BN227,BO227,BP227,BQ227,BR227,BS227)=0,0,(BM227*BT227+BN227*BU227+BO227*BV227+BP227*BW227+BQ227*BX227+BR227*BY227+BS227*BZ227)/SUM(BM227,BN227,BO227,BP227,BQ227,BR227,BS227))</f>
        <v>0</v>
      </c>
      <c r="BE227" s="41" t="str">
        <f>IF(LEFT(AY227,1)="X",AY227,IF(OR(AY227="B+",AY227="C+"),INDEX(LAD_PC,MAX(1,MIN(14,MATCH(AY227,LAD_PC,0)+IF(BD227&gt;=0.5,1,IF(BD227&lt;=-0.5,-1,0))))),INDEX(LAD_STD,MAX(1,MIN(12,MATCH(AY227,LAD_STD,0)+IF(BD227&gt;=0.5,1,IF(BD227&lt;=-0.5,-1,0)))))))</f>
        <v>B1</v>
      </c>
      <c r="BF227" s="43" t="n"/>
      <c r="BG227" s="41" t="str">
        <f>IF(BF227&lt;&gt;"",BF227,BE227)</f>
        <v>B1</v>
      </c>
      <c r="BH227" s="40" t="str">
        <f>IFERROR(CHOOSE(INDEX(B_RANK,MATCH(BG227,B_LVL,0)),"Band A","Band B","B+ · Player-Coach","Band C","C+ · Player-Coach","Band D","Band E"),"Band X · Consultant")</f>
        <v>Band B</v>
      </c>
      <c r="BI227" s="40" t="str">
        <f>IF(BG227=AY227,"• Same",IF(INDEX(B_VAL,MATCH(BG227,B_LVL,0))&gt;INDEX(B_VAL,MATCH(AY227,B_LVL,0)),"▲ Up","▼ Down"))</f>
        <v>• Same</v>
      </c>
      <c r="BJ227" s="40" t="str">
        <f>IF(OR($M227="",$M227="—",$M227="Not in this file"),"",IFERROR(INDEX($BG$7:$BG$592,MATCH($M227,$D$7:$D$592,0)),""))</f>
        <v>C2</v>
      </c>
      <c r="BK227" s="40" t="str">
        <f>IFERROR(IF(BJ227="","—",IF(OR(LEFT(BG227,1)="X",LEFT(BJ227,1)="X"),"—",IF(AND(LEFT(BG227,1)="E",LEFT(BJ227,1)="E"),"Exception · Band E",IF(AND(INDEX(B_VAL,MATCH(BJ227,B_LVL,0))&gt;=7,INDEX(B_RANK,MATCH(BG227,B_LVL,0))&gt;=INDEX(B_RANK,MATCH(BJ227,B_LVL,0))),"⚠ Same band as a head manager",IF(INDEX(B_VAL,MATCH(BG227,B_LVL,0))&gt;=INDEX(B_VAL,MATCH(BJ227,B_LVL,0)),"⚠ At or above the manager's level","OK"))))),"—")</f>
        <v>OK</v>
      </c>
      <c r="BL227" s="43" t="n"/>
      <c r="BM227" s="44">
        <f>IFERROR(INDEX(LMH_PTS,MATCH(Y227,LMH_KEY,0)),0)</f>
        <v>9</v>
      </c>
      <c r="BN227" s="38">
        <f>IFERROR(INDEX(LMH_PTS,MATCH(Z227,LMH_KEY,0)),0)</f>
        <v>3</v>
      </c>
      <c r="BO227" s="38">
        <f>IFERROR(INDEX(LMH_PTS,MATCH(AA227,LMH_KEY,0)),0)</f>
        <v>1</v>
      </c>
      <c r="BP227" s="38">
        <f>IFERROR(INDEX(LMH_PTS,MATCH(AB227,LMH_KEY,0)),0)</f>
        <v>3</v>
      </c>
      <c r="BQ227" s="38">
        <f>IFERROR(INDEX(LMH_PTS,MATCH(AC227,LMH_KEY,0)),0)</f>
        <v>1</v>
      </c>
      <c r="BR227" s="38">
        <f>IFERROR(INDEX(LMH_PTS,MATCH(AD227,LMH_KEY,0)),0)</f>
        <v>1</v>
      </c>
      <c r="BS227" s="38">
        <f>IFERROR(INDEX(LMH_PTS,MATCH(AE227,LMH_KEY,0)),0)</f>
        <v>1</v>
      </c>
      <c r="BT227" s="38">
        <f>IFERROR(INDEX(LMH_STEP,MATCH(AF227,LMH_KEY,0)),0)</f>
        <v>0</v>
      </c>
      <c r="BU227" s="38">
        <f>IFERROR(INDEX(LMH_STEP,MATCH(AG227,LMH_KEY,0)),0)</f>
        <v>0</v>
      </c>
      <c r="BV227" s="38">
        <f>IFERROR(INDEX(LMH_STEP,MATCH(AH227,LMH_KEY,0)),0)</f>
        <v>0</v>
      </c>
      <c r="BW227" s="38">
        <f>IFERROR(INDEX(LMH_STEP,MATCH(AI227,LMH_KEY,0)),0)</f>
        <v>0</v>
      </c>
      <c r="BX227" s="38">
        <f>IFERROR(INDEX(LMH_STEP,MATCH(AJ227,LMH_KEY,0)),0)</f>
        <v>0</v>
      </c>
      <c r="BY227" s="38">
        <f>IFERROR(INDEX(LMH_STEP,MATCH(AK227,LMH_KEY,0)),0)</f>
        <v>0</v>
      </c>
      <c r="BZ227" s="38">
        <f>IFERROR(INDEX(LMH_STEP,MATCH(AL227,LMH_KEY,0)),0)</f>
        <v>0</v>
      </c>
      <c r="CA227" s="38" t="inlineStr">
        <is>
          <t>iDEAL|Technology|Team Lead – Business Analysis|B1|B-M</t>
        </is>
      </c>
    </row>
    <row r="228" ht="110" customHeight="1">
      <c r="A228" s="28" t="inlineStr">
        <is>
          <t>iDEAL</t>
        </is>
      </c>
      <c r="B228" s="29" t="inlineStr">
        <is>
          <t>Technology</t>
        </is>
      </c>
      <c r="C228" s="29" t="n">
        <v>4</v>
      </c>
      <c r="D228" s="29" t="inlineStr">
        <is>
          <t>IRIS2536</t>
        </is>
      </c>
      <c r="E228" s="29" t="inlineStr">
        <is>
          <t>Mohin Patel</t>
        </is>
      </c>
      <c r="F228" s="29" t="inlineStr">
        <is>
          <t>Business Analyst</t>
        </is>
      </c>
      <c r="G228" s="29" t="inlineStr">
        <is>
          <t>Senior Business Analyst</t>
        </is>
      </c>
      <c r="H228" s="29" t="inlineStr">
        <is>
          <t>Business Analysis</t>
        </is>
      </c>
      <c r="I228" s="29" t="inlineStr">
        <is>
          <t>Business Analysis</t>
        </is>
      </c>
      <c r="J228" s="29" t="inlineStr">
        <is>
          <t>IC</t>
        </is>
      </c>
      <c r="K228" s="29" t="inlineStr">
        <is>
          <t>RC-009</t>
        </is>
      </c>
      <c r="L228" s="29" t="inlineStr">
        <is>
          <t>Aroosa Ghole</t>
        </is>
      </c>
      <c r="M228" s="29" t="inlineStr">
        <is>
          <t>IRIS1947</t>
        </is>
      </c>
      <c r="N228" s="29" t="n">
        <v>2.7</v>
      </c>
      <c r="O228" s="29" t="n">
        <v>0.3</v>
      </c>
      <c r="P228" s="29" t="inlineStr">
        <is>
          <t>B.E</t>
        </is>
      </c>
      <c r="Q228" s="29" t="inlineStr">
        <is>
          <t>L3 – Professional / Associate</t>
        </is>
      </c>
      <c r="R228" s="29" t="inlineStr">
        <is>
          <t>A3</t>
        </is>
      </c>
      <c r="S228" s="30" t="inlineStr">
        <is>
          <t>20 of 20</t>
        </is>
      </c>
      <c r="T228" s="31"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t>
        </is>
      </c>
      <c r="U228"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28" s="31" t="inlineStr">
        <is>
          <t>Latest rating: 3 · Potential: Medium · 9-box: Core Contributor · Readiness: Develop in role</t>
        </is>
      </c>
      <c r="W228" s="31" t="inlineStr">
        <is>
          <t>C M · Au M · Ac M · L L · BI M · Exp M · 2.7 yrs vs 2–4 yrs · Edu M · B.E</t>
        </is>
      </c>
      <c r="X228" s="33" t="inlineStr">
        <is>
          <t>Open ▸</t>
        </is>
      </c>
      <c r="Y228" s="34" t="str">
        <f>IFERROR(INDEX(DL_C,MATCH($CA228,DL_KEY,0)),"M")</f>
        <v>H</v>
      </c>
      <c r="Z228" s="35" t="str">
        <f>IFERROR(INDEX(DL_Au,MATCH($CA228,DL_KEY,0)),"M")</f>
        <v>M</v>
      </c>
      <c r="AA228" s="35" t="str">
        <f>IFERROR(INDEX(DL_Ac,MATCH($CA228,DL_KEY,0)),"M")</f>
        <v>L</v>
      </c>
      <c r="AB228" s="35" t="str">
        <f>IFERROR(INDEX(DL_L,MATCH($CA228,DL_KEY,0)),"M")</f>
        <v>L</v>
      </c>
      <c r="AC228" s="35" t="str">
        <f>IFERROR(INDEX(DL_BI,MATCH($CA228,DL_KEY,0)),"M")</f>
        <v>L</v>
      </c>
      <c r="AD228" s="35" t="str">
        <f>IFERROR(INDEX(DL_Exp,MATCH($CA228,DL_KEY,0)),"M")</f>
        <v>L</v>
      </c>
      <c r="AE228" s="35" t="str">
        <f>IFERROR(INDEX(DL_Edu,MATCH($CA228,DL_KEY,0)),"M")</f>
        <v>L</v>
      </c>
      <c r="AF228" s="34" t="inlineStr">
        <is>
          <t>M</t>
        </is>
      </c>
      <c r="AG228" s="35" t="inlineStr">
        <is>
          <t>M</t>
        </is>
      </c>
      <c r="AH228" s="35" t="inlineStr">
        <is>
          <t>M</t>
        </is>
      </c>
      <c r="AI228" s="35" t="inlineStr">
        <is>
          <t>M</t>
        </is>
      </c>
      <c r="AJ228" s="35" t="inlineStr">
        <is>
          <t>M</t>
        </is>
      </c>
      <c r="AK228" s="35" t="inlineStr">
        <is>
          <t>M</t>
        </is>
      </c>
      <c r="AL228" s="35" t="inlineStr">
        <is>
          <t>M</t>
        </is>
      </c>
      <c r="AM228" s="36" t="n">
        <v>0.583</v>
      </c>
      <c r="AN228" s="37" t="n">
        <v>0.16</v>
      </c>
      <c r="AO228" s="37" t="n">
        <v>0.09</v>
      </c>
      <c r="AP228" s="37" t="n">
        <v>0</v>
      </c>
      <c r="AQ228" s="37" t="n">
        <v>0.063</v>
      </c>
      <c r="AR228" s="37" t="n">
        <v>0.06</v>
      </c>
      <c r="AS228" s="37" t="n">
        <v>0.04</v>
      </c>
      <c r="AT228" s="38" t="inlineStr">
        <is>
          <t>2–5</t>
        </is>
      </c>
      <c r="AU228" s="38" t="inlineStr">
        <is>
          <t>Graduate; relevant certification preferred</t>
        </is>
      </c>
      <c r="AV228" s="38" t="inlineStr">
        <is>
          <t>None · guides 1–3 juniors informally</t>
        </is>
      </c>
      <c r="AW228" s="38" t="inlineStr">
        <is>
          <t>P2 · SFIA 3 Apply</t>
        </is>
      </c>
      <c r="AX2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8" s="39" t="inlineStr">
        <is>
          <t>A3</t>
        </is>
      </c>
      <c r="AZ228" s="40" t="inlineStr">
        <is>
          <t>Band A · Practitioner · Senior Associate</t>
        </is>
      </c>
      <c r="BA228" s="40" t="inlineStr">
        <is>
          <t>Model A3 from the six ratings, the market-derived weights and rules R1–R13 · then No change · already below the manager</t>
        </is>
      </c>
      <c r="BB228" s="41" t="inlineStr">
        <is>
          <t>A3</t>
        </is>
      </c>
      <c r="BC228" s="40" t="inlineStr">
        <is>
          <t>The six ratings on the market-average weights of Band A · all tracks score 2.55 → A3 · Hay, Mercer IPE and public plans · experience 2.7 yrs vs the A3 market range 2–5</t>
        </is>
      </c>
      <c r="BD228" s="42">
        <f>IF(SUM(BM228,BN228,BO228,BP228,BQ228,BR228,BS228)=0,0,(BM228*BT228+BN228*BU228+BO228*BV228+BP228*BW228+BQ228*BX228+BR228*BY228+BS228*BZ228)/SUM(BM228,BN228,BO228,BP228,BQ228,BR228,BS228))</f>
        <v>0</v>
      </c>
      <c r="BE228" s="41" t="str">
        <f>IF(LEFT(AY228,1)="X",AY228,IF(OR(AY228="B+",AY228="C+"),INDEX(LAD_PC,MAX(1,MIN(14,MATCH(AY228,LAD_PC,0)+IF(BD228&gt;=0.5,1,IF(BD228&lt;=-0.5,-1,0))))),INDEX(LAD_STD,MAX(1,MIN(12,MATCH(AY228,LAD_STD,0)+IF(BD228&gt;=0.5,1,IF(BD228&lt;=-0.5,-1,0)))))))</f>
        <v>A3</v>
      </c>
      <c r="BF228" s="43" t="n"/>
      <c r="BG228" s="41" t="str">
        <f>IF(BF228&lt;&gt;"",BF228,BE228)</f>
        <v>A3</v>
      </c>
      <c r="BH228" s="40" t="str">
        <f>IFERROR(CHOOSE(INDEX(B_RANK,MATCH(BG228,B_LVL,0)),"Band A","Band B","B+ · Player-Coach","Band C","C+ · Player-Coach","Band D","Band E"),"Band X · Consultant")</f>
        <v>Band A</v>
      </c>
      <c r="BI228" s="40" t="str">
        <f>IF(BG228=AY228,"• Same",IF(INDEX(B_VAL,MATCH(BG228,B_LVL,0))&gt;INDEX(B_VAL,MATCH(AY228,B_LVL,0)),"▲ Up","▼ Down"))</f>
        <v>• Same</v>
      </c>
      <c r="BJ228" s="40" t="str">
        <f>IF(OR($M228="",$M228="—",$M228="Not in this file"),"",IFERROR(INDEX($BG$7:$BG$592,MATCH($M228,$D$7:$D$592,0)),""))</f>
        <v>B1</v>
      </c>
      <c r="BK228" s="40" t="str">
        <f>IFERROR(IF(BJ228="","—",IF(OR(LEFT(BG228,1)="X",LEFT(BJ228,1)="X"),"—",IF(AND(LEFT(BG228,1)="E",LEFT(BJ228,1)="E"),"Exception · Band E",IF(AND(INDEX(B_VAL,MATCH(BJ228,B_LVL,0))&gt;=7,INDEX(B_RANK,MATCH(BG228,B_LVL,0))&gt;=INDEX(B_RANK,MATCH(BJ228,B_LVL,0))),"⚠ Same band as a head manager",IF(INDEX(B_VAL,MATCH(BG228,B_LVL,0))&gt;=INDEX(B_VAL,MATCH(BJ228,B_LVL,0)),"⚠ At or above the manager's level","OK"))))),"—")</f>
        <v>OK</v>
      </c>
      <c r="BL228" s="43" t="n"/>
      <c r="BM228" s="44">
        <f>IFERROR(INDEX(LMH_PTS,MATCH(Y228,LMH_KEY,0)),0)</f>
        <v>9</v>
      </c>
      <c r="BN228" s="38">
        <f>IFERROR(INDEX(LMH_PTS,MATCH(Z228,LMH_KEY,0)),0)</f>
        <v>3</v>
      </c>
      <c r="BO228" s="38">
        <f>IFERROR(INDEX(LMH_PTS,MATCH(AA228,LMH_KEY,0)),0)</f>
        <v>1</v>
      </c>
      <c r="BP228" s="38">
        <f>IFERROR(INDEX(LMH_PTS,MATCH(AB228,LMH_KEY,0)),0)</f>
        <v>1</v>
      </c>
      <c r="BQ228" s="38">
        <f>IFERROR(INDEX(LMH_PTS,MATCH(AC228,LMH_KEY,0)),0)</f>
        <v>1</v>
      </c>
      <c r="BR228" s="38">
        <f>IFERROR(INDEX(LMH_PTS,MATCH(AD228,LMH_KEY,0)),0)</f>
        <v>1</v>
      </c>
      <c r="BS228" s="38">
        <f>IFERROR(INDEX(LMH_PTS,MATCH(AE228,LMH_KEY,0)),0)</f>
        <v>1</v>
      </c>
      <c r="BT228" s="38">
        <f>IFERROR(INDEX(LMH_STEP,MATCH(AF228,LMH_KEY,0)),0)</f>
        <v>0</v>
      </c>
      <c r="BU228" s="38">
        <f>IFERROR(INDEX(LMH_STEP,MATCH(AG228,LMH_KEY,0)),0)</f>
        <v>0</v>
      </c>
      <c r="BV228" s="38">
        <f>IFERROR(INDEX(LMH_STEP,MATCH(AH228,LMH_KEY,0)),0)</f>
        <v>0</v>
      </c>
      <c r="BW228" s="38">
        <f>IFERROR(INDEX(LMH_STEP,MATCH(AI228,LMH_KEY,0)),0)</f>
        <v>0</v>
      </c>
      <c r="BX228" s="38">
        <f>IFERROR(INDEX(LMH_STEP,MATCH(AJ228,LMH_KEY,0)),0)</f>
        <v>0</v>
      </c>
      <c r="BY228" s="38">
        <f>IFERROR(INDEX(LMH_STEP,MATCH(AK228,LMH_KEY,0)),0)</f>
        <v>0</v>
      </c>
      <c r="BZ228" s="38">
        <f>IFERROR(INDEX(LMH_STEP,MATCH(AL228,LMH_KEY,0)),0)</f>
        <v>0</v>
      </c>
      <c r="CA228" s="38" t="inlineStr">
        <is>
          <t>iDEAL|Technology|Senior Business Analyst|A3|A</t>
        </is>
      </c>
    </row>
    <row r="229" ht="110" customHeight="1">
      <c r="A229" s="28" t="inlineStr">
        <is>
          <t>iDEAL</t>
        </is>
      </c>
      <c r="B229" s="29" t="inlineStr">
        <is>
          <t>Technology</t>
        </is>
      </c>
      <c r="C229" s="29" t="n">
        <v>4</v>
      </c>
      <c r="D229" s="29" t="inlineStr">
        <is>
          <t>IRIS2555</t>
        </is>
      </c>
      <c r="E229" s="29" t="inlineStr">
        <is>
          <t>Nidhi Kulkarni</t>
        </is>
      </c>
      <c r="F229" s="29" t="inlineStr">
        <is>
          <t>Technical Support Analyst</t>
        </is>
      </c>
      <c r="G229" s="29" t="inlineStr">
        <is>
          <t>Senior Support Executive</t>
        </is>
      </c>
      <c r="H229" s="29" t="inlineStr">
        <is>
          <t>Customer Success &amp; Support</t>
        </is>
      </c>
      <c r="I229" s="29" t="inlineStr">
        <is>
          <t>Application &amp; Product Support</t>
        </is>
      </c>
      <c r="J229" s="29" t="inlineStr">
        <is>
          <t>IC</t>
        </is>
      </c>
      <c r="K229" s="29" t="inlineStr">
        <is>
          <t>RC-031</t>
        </is>
      </c>
      <c r="L229" s="29" t="inlineStr">
        <is>
          <t>Aroosa Ghole</t>
        </is>
      </c>
      <c r="M229" s="29" t="inlineStr">
        <is>
          <t>IRIS1947</t>
        </is>
      </c>
      <c r="N229" s="29" t="inlineStr">
        <is>
          <t>Not provided · HRIS</t>
        </is>
      </c>
      <c r="O229" s="29" t="n">
        <v>0.1</v>
      </c>
      <c r="P229" s="29" t="inlineStr">
        <is>
          <t>B.E</t>
        </is>
      </c>
      <c r="Q229" s="29" t="inlineStr">
        <is>
          <t>Not in current mapping files</t>
        </is>
      </c>
      <c r="R229" s="29" t="inlineStr">
        <is>
          <t>A3</t>
        </is>
      </c>
      <c r="S229" s="30" t="inlineStr">
        <is>
          <t>20 of 20</t>
        </is>
      </c>
      <c r="T229" s="31"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t>
        </is>
      </c>
      <c r="U229" s="32" t="inlineStr">
        <is>
          <t>KRAs not received · manager to supply</t>
        </is>
      </c>
      <c r="V229" s="31" t="inlineStr">
        <is>
          <t>Latest rating: Not rated · manager · 9-box: Not placed · manager · Readiness: No rating data</t>
        </is>
      </c>
      <c r="W229" s="31" t="inlineStr">
        <is>
          <t>C M · Au M · Ac M · L L · BI M · Exp — · not on file · Edu M · B.E</t>
        </is>
      </c>
      <c r="X229" s="33" t="inlineStr">
        <is>
          <t>Open ▸</t>
        </is>
      </c>
      <c r="Y229" s="34" t="str">
        <f>IFERROR(INDEX(DL_C,MATCH($CA229,DL_KEY,0)),"M")</f>
        <v>H</v>
      </c>
      <c r="Z229" s="35" t="str">
        <f>IFERROR(INDEX(DL_Au,MATCH($CA229,DL_KEY,0)),"M")</f>
        <v>M</v>
      </c>
      <c r="AA229" s="35" t="str">
        <f>IFERROR(INDEX(DL_Ac,MATCH($CA229,DL_KEY,0)),"M")</f>
        <v>M</v>
      </c>
      <c r="AB229" s="35" t="str">
        <f>IFERROR(INDEX(DL_L,MATCH($CA229,DL_KEY,0)),"M")</f>
        <v>L</v>
      </c>
      <c r="AC229" s="35" t="str">
        <f>IFERROR(INDEX(DL_BI,MATCH($CA229,DL_KEY,0)),"M")</f>
        <v>M</v>
      </c>
      <c r="AD229" s="35" t="str">
        <f>IFERROR(INDEX(DL_Exp,MATCH($CA229,DL_KEY,0)),"M")</f>
        <v>L</v>
      </c>
      <c r="AE229" s="35" t="str">
        <f>IFERROR(INDEX(DL_Edu,MATCH($CA229,DL_KEY,0)),"M")</f>
        <v>L</v>
      </c>
      <c r="AF229" s="34" t="inlineStr">
        <is>
          <t>M</t>
        </is>
      </c>
      <c r="AG229" s="35" t="inlineStr">
        <is>
          <t>M</t>
        </is>
      </c>
      <c r="AH229" s="35" t="inlineStr">
        <is>
          <t>M</t>
        </is>
      </c>
      <c r="AI229" s="35" t="inlineStr">
        <is>
          <t>M</t>
        </is>
      </c>
      <c r="AJ229" s="35" t="inlineStr">
        <is>
          <t>M</t>
        </is>
      </c>
      <c r="AK229" s="35" t="inlineStr">
        <is>
          <t>M</t>
        </is>
      </c>
      <c r="AL229" s="35" t="inlineStr">
        <is>
          <t>M</t>
        </is>
      </c>
      <c r="AM229" s="36" t="n">
        <v>0.583</v>
      </c>
      <c r="AN229" s="37" t="n">
        <v>0.16</v>
      </c>
      <c r="AO229" s="37" t="n">
        <v>0.09</v>
      </c>
      <c r="AP229" s="37" t="n">
        <v>0</v>
      </c>
      <c r="AQ229" s="37" t="n">
        <v>0.063</v>
      </c>
      <c r="AR229" s="37" t="n">
        <v>0.06</v>
      </c>
      <c r="AS229" s="37" t="n">
        <v>0.04</v>
      </c>
      <c r="AT229" s="38" t="inlineStr">
        <is>
          <t>2–5</t>
        </is>
      </c>
      <c r="AU229" s="38" t="inlineStr">
        <is>
          <t>Graduate; relevant certification preferred</t>
        </is>
      </c>
      <c r="AV229" s="38" t="inlineStr">
        <is>
          <t>None · guides 1–3 juniors informally</t>
        </is>
      </c>
      <c r="AW229" s="38" t="inlineStr">
        <is>
          <t>P2 · SFIA 3 Apply</t>
        </is>
      </c>
      <c r="AX2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9" s="39" t="inlineStr">
        <is>
          <t>A3</t>
        </is>
      </c>
      <c r="AZ229" s="40" t="inlineStr">
        <is>
          <t>Band A · Practitioner · Senior Associate</t>
        </is>
      </c>
      <c r="BA229" s="40" t="inlineStr">
        <is>
          <t>Model A3 from the six ratings, the market-derived weights and rules R1–R13 · then No change · already below the manager</t>
        </is>
      </c>
      <c r="BB229" s="41" t="inlineStr">
        <is>
          <t>A3</t>
        </is>
      </c>
      <c r="BC229" s="40" t="inlineStr">
        <is>
          <t>The six ratings on the market-average weights of Band A · all tracks score 2.53 → A3 · Hay, Mercer IPE and public plans · experience Not provided · HRIS yrs vs the A3 market range 2–5</t>
        </is>
      </c>
      <c r="BD229" s="42">
        <f>IF(SUM(BM229,BN229,BO229,BP229,BQ229,BR229,BS229)=0,0,(BM229*BT229+BN229*BU229+BO229*BV229+BP229*BW229+BQ229*BX229+BR229*BY229+BS229*BZ229)/SUM(BM229,BN229,BO229,BP229,BQ229,BR229,BS229))</f>
        <v>0</v>
      </c>
      <c r="BE229" s="41" t="str">
        <f>IF(LEFT(AY229,1)="X",AY229,IF(OR(AY229="B+",AY229="C+"),INDEX(LAD_PC,MAX(1,MIN(14,MATCH(AY229,LAD_PC,0)+IF(BD229&gt;=0.5,1,IF(BD229&lt;=-0.5,-1,0))))),INDEX(LAD_STD,MAX(1,MIN(12,MATCH(AY229,LAD_STD,0)+IF(BD229&gt;=0.5,1,IF(BD229&lt;=-0.5,-1,0)))))))</f>
        <v>A3</v>
      </c>
      <c r="BF229" s="43" t="n"/>
      <c r="BG229" s="41" t="str">
        <f>IF(BF229&lt;&gt;"",BF229,BE229)</f>
        <v>A3</v>
      </c>
      <c r="BH229" s="40" t="str">
        <f>IFERROR(CHOOSE(INDEX(B_RANK,MATCH(BG229,B_LVL,0)),"Band A","Band B","B+ · Player-Coach","Band C","C+ · Player-Coach","Band D","Band E"),"Band X · Consultant")</f>
        <v>Band A</v>
      </c>
      <c r="BI229" s="40" t="str">
        <f>IF(BG229=AY229,"• Same",IF(INDEX(B_VAL,MATCH(BG229,B_LVL,0))&gt;INDEX(B_VAL,MATCH(AY229,B_LVL,0)),"▲ Up","▼ Down"))</f>
        <v>• Same</v>
      </c>
      <c r="BJ229" s="40" t="str">
        <f>IF(OR($M229="",$M229="—",$M229="Not in this file"),"",IFERROR(INDEX($BG$7:$BG$592,MATCH($M229,$D$7:$D$592,0)),""))</f>
        <v>B1</v>
      </c>
      <c r="BK229" s="40" t="str">
        <f>IFERROR(IF(BJ229="","—",IF(OR(LEFT(BG229,1)="X",LEFT(BJ229,1)="X"),"—",IF(AND(LEFT(BG229,1)="E",LEFT(BJ229,1)="E"),"Exception · Band E",IF(AND(INDEX(B_VAL,MATCH(BJ229,B_LVL,0))&gt;=7,INDEX(B_RANK,MATCH(BG229,B_LVL,0))&gt;=INDEX(B_RANK,MATCH(BJ229,B_LVL,0))),"⚠ Same band as a head manager",IF(INDEX(B_VAL,MATCH(BG229,B_LVL,0))&gt;=INDEX(B_VAL,MATCH(BJ229,B_LVL,0)),"⚠ At or above the manager's level","OK"))))),"—")</f>
        <v>OK</v>
      </c>
      <c r="BL229" s="43" t="n"/>
      <c r="BM229" s="44">
        <f>IFERROR(INDEX(LMH_PTS,MATCH(Y229,LMH_KEY,0)),0)</f>
        <v>9</v>
      </c>
      <c r="BN229" s="38">
        <f>IFERROR(INDEX(LMH_PTS,MATCH(Z229,LMH_KEY,0)),0)</f>
        <v>3</v>
      </c>
      <c r="BO229" s="38">
        <f>IFERROR(INDEX(LMH_PTS,MATCH(AA229,LMH_KEY,0)),0)</f>
        <v>3</v>
      </c>
      <c r="BP229" s="38">
        <f>IFERROR(INDEX(LMH_PTS,MATCH(AB229,LMH_KEY,0)),0)</f>
        <v>1</v>
      </c>
      <c r="BQ229" s="38">
        <f>IFERROR(INDEX(LMH_PTS,MATCH(AC229,LMH_KEY,0)),0)</f>
        <v>3</v>
      </c>
      <c r="BR229" s="38">
        <f>IFERROR(INDEX(LMH_PTS,MATCH(AD229,LMH_KEY,0)),0)</f>
        <v>1</v>
      </c>
      <c r="BS229" s="38">
        <f>IFERROR(INDEX(LMH_PTS,MATCH(AE229,LMH_KEY,0)),0)</f>
        <v>1</v>
      </c>
      <c r="BT229" s="38">
        <f>IFERROR(INDEX(LMH_STEP,MATCH(AF229,LMH_KEY,0)),0)</f>
        <v>0</v>
      </c>
      <c r="BU229" s="38">
        <f>IFERROR(INDEX(LMH_STEP,MATCH(AG229,LMH_KEY,0)),0)</f>
        <v>0</v>
      </c>
      <c r="BV229" s="38">
        <f>IFERROR(INDEX(LMH_STEP,MATCH(AH229,LMH_KEY,0)),0)</f>
        <v>0</v>
      </c>
      <c r="BW229" s="38">
        <f>IFERROR(INDEX(LMH_STEP,MATCH(AI229,LMH_KEY,0)),0)</f>
        <v>0</v>
      </c>
      <c r="BX229" s="38">
        <f>IFERROR(INDEX(LMH_STEP,MATCH(AJ229,LMH_KEY,0)),0)</f>
        <v>0</v>
      </c>
      <c r="BY229" s="38">
        <f>IFERROR(INDEX(LMH_STEP,MATCH(AK229,LMH_KEY,0)),0)</f>
        <v>0</v>
      </c>
      <c r="BZ229" s="38">
        <f>IFERROR(INDEX(LMH_STEP,MATCH(AL229,LMH_KEY,0)),0)</f>
        <v>0</v>
      </c>
      <c r="CA229" s="38" t="inlineStr">
        <is>
          <t>iDEAL|Technology|Senior Support Executive|A3|A</t>
        </is>
      </c>
    </row>
    <row r="230" ht="110" customHeight="1">
      <c r="A230" s="28" t="inlineStr">
        <is>
          <t>iDEAL</t>
        </is>
      </c>
      <c r="B230" s="29" t="inlineStr">
        <is>
          <t>Technology</t>
        </is>
      </c>
      <c r="C230" s="29" t="n">
        <v>4</v>
      </c>
      <c r="D230" s="29" t="inlineStr">
        <is>
          <t>IRIS2310</t>
        </is>
      </c>
      <c r="E230" s="29" t="inlineStr">
        <is>
          <t>Vivek Kumar</t>
        </is>
      </c>
      <c r="F230" s="29" t="inlineStr">
        <is>
          <t>Trainee Business Analyst</t>
        </is>
      </c>
      <c r="G230" s="29" t="inlineStr">
        <is>
          <t>Senior Business Analyst</t>
        </is>
      </c>
      <c r="H230" s="29" t="inlineStr">
        <is>
          <t>Business Analysis</t>
        </is>
      </c>
      <c r="I230" s="29" t="inlineStr">
        <is>
          <t>Business Analysis</t>
        </is>
      </c>
      <c r="J230" s="29" t="inlineStr">
        <is>
          <t>IC</t>
        </is>
      </c>
      <c r="K230" s="29" t="inlineStr">
        <is>
          <t>RC-009</t>
        </is>
      </c>
      <c r="L230" s="29" t="inlineStr">
        <is>
          <t>Aroosa Ghole</t>
        </is>
      </c>
      <c r="M230" s="29" t="inlineStr">
        <is>
          <t>IRIS1947</t>
        </is>
      </c>
      <c r="N230" s="29" t="n">
        <v>3.1</v>
      </c>
      <c r="O230" s="29" t="n">
        <v>2</v>
      </c>
      <c r="P230" s="29" t="inlineStr">
        <is>
          <t>BBA</t>
        </is>
      </c>
      <c r="Q230" s="29" t="inlineStr">
        <is>
          <t>L2 – Trainee</t>
        </is>
      </c>
      <c r="R230" s="29" t="inlineStr">
        <is>
          <t>A3</t>
        </is>
      </c>
      <c r="S230" s="30" t="inlineStr">
        <is>
          <t>20 of 20</t>
        </is>
      </c>
      <c r="T230" s="31"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t>
        </is>
      </c>
      <c r="U230" s="31" t="inlineStr">
        <is>
          <t>Received · manager annual, quarterly, self · 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t>
        </is>
      </c>
      <c r="V230" s="31" t="inlineStr">
        <is>
          <t>Latest rating: 3 · Potential: Medium · 9-box: Emerging Talent · Readiness: Develop in role</t>
        </is>
      </c>
      <c r="W230" s="31" t="inlineStr">
        <is>
          <t>C L · Au L · Ac L · L L · BI L · Exp M · 3.1 yrs vs 2–4 yrs · Edu M · BBA</t>
        </is>
      </c>
      <c r="X230" s="33" t="inlineStr">
        <is>
          <t>Open ▸</t>
        </is>
      </c>
      <c r="Y230" s="34" t="str">
        <f>IFERROR(INDEX(DL_C,MATCH($CA230,DL_KEY,0)),"M")</f>
        <v>H</v>
      </c>
      <c r="Z230" s="35" t="str">
        <f>IFERROR(INDEX(DL_Au,MATCH($CA230,DL_KEY,0)),"M")</f>
        <v>M</v>
      </c>
      <c r="AA230" s="35" t="str">
        <f>IFERROR(INDEX(DL_Ac,MATCH($CA230,DL_KEY,0)),"M")</f>
        <v>L</v>
      </c>
      <c r="AB230" s="35" t="str">
        <f>IFERROR(INDEX(DL_L,MATCH($CA230,DL_KEY,0)),"M")</f>
        <v>L</v>
      </c>
      <c r="AC230" s="35" t="str">
        <f>IFERROR(INDEX(DL_BI,MATCH($CA230,DL_KEY,0)),"M")</f>
        <v>L</v>
      </c>
      <c r="AD230" s="35" t="str">
        <f>IFERROR(INDEX(DL_Exp,MATCH($CA230,DL_KEY,0)),"M")</f>
        <v>L</v>
      </c>
      <c r="AE230" s="35" t="str">
        <f>IFERROR(INDEX(DL_Edu,MATCH($CA230,DL_KEY,0)),"M")</f>
        <v>L</v>
      </c>
      <c r="AF230" s="34" t="inlineStr">
        <is>
          <t>M</t>
        </is>
      </c>
      <c r="AG230" s="35" t="inlineStr">
        <is>
          <t>M</t>
        </is>
      </c>
      <c r="AH230" s="35" t="inlineStr">
        <is>
          <t>M</t>
        </is>
      </c>
      <c r="AI230" s="35" t="inlineStr">
        <is>
          <t>M</t>
        </is>
      </c>
      <c r="AJ230" s="35" t="inlineStr">
        <is>
          <t>M</t>
        </is>
      </c>
      <c r="AK230" s="35" t="inlineStr">
        <is>
          <t>M</t>
        </is>
      </c>
      <c r="AL230" s="35" t="inlineStr">
        <is>
          <t>M</t>
        </is>
      </c>
      <c r="AM230" s="36" t="n">
        <v>0.583</v>
      </c>
      <c r="AN230" s="37" t="n">
        <v>0.16</v>
      </c>
      <c r="AO230" s="37" t="n">
        <v>0.09</v>
      </c>
      <c r="AP230" s="37" t="n">
        <v>0</v>
      </c>
      <c r="AQ230" s="37" t="n">
        <v>0.063</v>
      </c>
      <c r="AR230" s="37" t="n">
        <v>0.06</v>
      </c>
      <c r="AS230" s="37" t="n">
        <v>0.04</v>
      </c>
      <c r="AT230" s="38" t="inlineStr">
        <is>
          <t>2–5</t>
        </is>
      </c>
      <c r="AU230" s="38" t="inlineStr">
        <is>
          <t>Graduate; relevant certification preferred</t>
        </is>
      </c>
      <c r="AV230" s="38" t="inlineStr">
        <is>
          <t>None · guides 1–3 juniors informally</t>
        </is>
      </c>
      <c r="AW230" s="38" t="inlineStr">
        <is>
          <t>P2 · SFIA 3 Apply</t>
        </is>
      </c>
      <c r="AX2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0" s="39" t="inlineStr">
        <is>
          <t>A3</t>
        </is>
      </c>
      <c r="AZ230" s="40" t="inlineStr">
        <is>
          <t>Band A · Practitioner · Senior Associate</t>
        </is>
      </c>
      <c r="BA230" s="40" t="inlineStr">
        <is>
          <t>Model A3 from the six ratings, the market-derived weights and rules R1–R13 · then No change · already below the manager</t>
        </is>
      </c>
      <c r="BB230" s="41" t="inlineStr">
        <is>
          <t>A2</t>
        </is>
      </c>
      <c r="BC230" s="40" t="inlineStr">
        <is>
          <t>The six ratings on the market-average weights of Band A · all tracks score 2.10 → A2 · Hay, Mercer IPE and public plans · experience 3.1 yrs vs the A2 market range 0–3</t>
        </is>
      </c>
      <c r="BD230" s="42">
        <f>IF(SUM(BM230,BN230,BO230,BP230,BQ230,BR230,BS230)=0,0,(BM230*BT230+BN230*BU230+BO230*BV230+BP230*BW230+BQ230*BX230+BR230*BY230+BS230*BZ230)/SUM(BM230,BN230,BO230,BP230,BQ230,BR230,BS230))</f>
        <v>0</v>
      </c>
      <c r="BE230" s="41" t="str">
        <f>IF(LEFT(AY230,1)="X",AY230,IF(OR(AY230="B+",AY230="C+"),INDEX(LAD_PC,MAX(1,MIN(14,MATCH(AY230,LAD_PC,0)+IF(BD230&gt;=0.5,1,IF(BD230&lt;=-0.5,-1,0))))),INDEX(LAD_STD,MAX(1,MIN(12,MATCH(AY230,LAD_STD,0)+IF(BD230&gt;=0.5,1,IF(BD230&lt;=-0.5,-1,0)))))))</f>
        <v>A3</v>
      </c>
      <c r="BF230" s="43" t="n"/>
      <c r="BG230" s="41" t="str">
        <f>IF(BF230&lt;&gt;"",BF230,BE230)</f>
        <v>A3</v>
      </c>
      <c r="BH230" s="40" t="str">
        <f>IFERROR(CHOOSE(INDEX(B_RANK,MATCH(BG230,B_LVL,0)),"Band A","Band B","B+ · Player-Coach","Band C","C+ · Player-Coach","Band D","Band E"),"Band X · Consultant")</f>
        <v>Band A</v>
      </c>
      <c r="BI230" s="40" t="str">
        <f>IF(BG230=AY230,"• Same",IF(INDEX(B_VAL,MATCH(BG230,B_LVL,0))&gt;INDEX(B_VAL,MATCH(AY230,B_LVL,0)),"▲ Up","▼ Down"))</f>
        <v>• Same</v>
      </c>
      <c r="BJ230" s="40" t="str">
        <f>IF(OR($M230="",$M230="—",$M230="Not in this file"),"",IFERROR(INDEX($BG$7:$BG$592,MATCH($M230,$D$7:$D$592,0)),""))</f>
        <v>B1</v>
      </c>
      <c r="BK230" s="40" t="str">
        <f>IFERROR(IF(BJ230="","—",IF(OR(LEFT(BG230,1)="X",LEFT(BJ230,1)="X"),"—",IF(AND(LEFT(BG230,1)="E",LEFT(BJ230,1)="E"),"Exception · Band E",IF(AND(INDEX(B_VAL,MATCH(BJ230,B_LVL,0))&gt;=7,INDEX(B_RANK,MATCH(BG230,B_LVL,0))&gt;=INDEX(B_RANK,MATCH(BJ230,B_LVL,0))),"⚠ Same band as a head manager",IF(INDEX(B_VAL,MATCH(BG230,B_LVL,0))&gt;=INDEX(B_VAL,MATCH(BJ230,B_LVL,0)),"⚠ At or above the manager's level","OK"))))),"—")</f>
        <v>OK</v>
      </c>
      <c r="BL230" s="43" t="n"/>
      <c r="BM230" s="44">
        <f>IFERROR(INDEX(LMH_PTS,MATCH(Y230,LMH_KEY,0)),0)</f>
        <v>9</v>
      </c>
      <c r="BN230" s="38">
        <f>IFERROR(INDEX(LMH_PTS,MATCH(Z230,LMH_KEY,0)),0)</f>
        <v>3</v>
      </c>
      <c r="BO230" s="38">
        <f>IFERROR(INDEX(LMH_PTS,MATCH(AA230,LMH_KEY,0)),0)</f>
        <v>1</v>
      </c>
      <c r="BP230" s="38">
        <f>IFERROR(INDEX(LMH_PTS,MATCH(AB230,LMH_KEY,0)),0)</f>
        <v>1</v>
      </c>
      <c r="BQ230" s="38">
        <f>IFERROR(INDEX(LMH_PTS,MATCH(AC230,LMH_KEY,0)),0)</f>
        <v>1</v>
      </c>
      <c r="BR230" s="38">
        <f>IFERROR(INDEX(LMH_PTS,MATCH(AD230,LMH_KEY,0)),0)</f>
        <v>1</v>
      </c>
      <c r="BS230" s="38">
        <f>IFERROR(INDEX(LMH_PTS,MATCH(AE230,LMH_KEY,0)),0)</f>
        <v>1</v>
      </c>
      <c r="BT230" s="38">
        <f>IFERROR(INDEX(LMH_STEP,MATCH(AF230,LMH_KEY,0)),0)</f>
        <v>0</v>
      </c>
      <c r="BU230" s="38">
        <f>IFERROR(INDEX(LMH_STEP,MATCH(AG230,LMH_KEY,0)),0)</f>
        <v>0</v>
      </c>
      <c r="BV230" s="38">
        <f>IFERROR(INDEX(LMH_STEP,MATCH(AH230,LMH_KEY,0)),0)</f>
        <v>0</v>
      </c>
      <c r="BW230" s="38">
        <f>IFERROR(INDEX(LMH_STEP,MATCH(AI230,LMH_KEY,0)),0)</f>
        <v>0</v>
      </c>
      <c r="BX230" s="38">
        <f>IFERROR(INDEX(LMH_STEP,MATCH(AJ230,LMH_KEY,0)),0)</f>
        <v>0</v>
      </c>
      <c r="BY230" s="38">
        <f>IFERROR(INDEX(LMH_STEP,MATCH(AK230,LMH_KEY,0)),0)</f>
        <v>0</v>
      </c>
      <c r="BZ230" s="38">
        <f>IFERROR(INDEX(LMH_STEP,MATCH(AL230,LMH_KEY,0)),0)</f>
        <v>0</v>
      </c>
      <c r="CA230" s="38" t="inlineStr">
        <is>
          <t>iDEAL|Technology|Senior Business Analyst|A3|A</t>
        </is>
      </c>
    </row>
    <row r="231" ht="110" customHeight="1">
      <c r="A231" s="28" t="inlineStr">
        <is>
          <t>iDEAL</t>
        </is>
      </c>
      <c r="B231" s="29" t="inlineStr">
        <is>
          <t>Technology</t>
        </is>
      </c>
      <c r="C231" s="29" t="n">
        <v>4</v>
      </c>
      <c r="D231" s="29" t="inlineStr">
        <is>
          <t>IRIS2527</t>
        </is>
      </c>
      <c r="E231" s="29" t="inlineStr">
        <is>
          <t>Hemand Thayil</t>
        </is>
      </c>
      <c r="F231" s="29" t="inlineStr">
        <is>
          <t>Customer Solution Analyst</t>
        </is>
      </c>
      <c r="G231" s="29" t="inlineStr">
        <is>
          <t>Support Executive</t>
        </is>
      </c>
      <c r="H231" s="29" t="inlineStr">
        <is>
          <t>Customer Success &amp; Support</t>
        </is>
      </c>
      <c r="I231" s="29" t="inlineStr">
        <is>
          <t>Application &amp; Product Support</t>
        </is>
      </c>
      <c r="J231" s="29" t="inlineStr">
        <is>
          <t>IC</t>
        </is>
      </c>
      <c r="K231" s="29" t="inlineStr">
        <is>
          <t>RC-030</t>
        </is>
      </c>
      <c r="L231" s="29" t="inlineStr">
        <is>
          <t>Aroosa Ghole</t>
        </is>
      </c>
      <c r="M231" s="29" t="inlineStr">
        <is>
          <t>IRIS1947</t>
        </is>
      </c>
      <c r="N231" s="29" t="n">
        <v>1.9</v>
      </c>
      <c r="O231" s="29" t="n">
        <v>0.4</v>
      </c>
      <c r="P231" s="29" t="inlineStr">
        <is>
          <t>MCA</t>
        </is>
      </c>
      <c r="Q231" s="29" t="inlineStr">
        <is>
          <t>L3 – Professional / Associate</t>
        </is>
      </c>
      <c r="R231" s="29" t="inlineStr">
        <is>
          <t>A2</t>
        </is>
      </c>
      <c r="S231" s="30" t="inlineStr">
        <is>
          <t>17 of 20</t>
        </is>
      </c>
      <c r="T231" s="31"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t>
        </is>
      </c>
      <c r="U231"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31" s="31" t="inlineStr">
        <is>
          <t>Latest rating: 3 · Potential: Medium · 9-box: Core Contributor · Readiness: Develop in role</t>
        </is>
      </c>
      <c r="W231" s="31" t="inlineStr">
        <is>
          <t>C M · Au M · Ac M · L L · BI M · Exp M · 1.9 yrs vs 0–2 yrs · Edu H · MCA</t>
        </is>
      </c>
      <c r="X231" s="33" t="inlineStr">
        <is>
          <t>Open ▸</t>
        </is>
      </c>
      <c r="Y231" s="34" t="str">
        <f>IFERROR(INDEX(DL_C,MATCH($CA231,DL_KEY,0)),"M")</f>
        <v>H</v>
      </c>
      <c r="Z231" s="35" t="str">
        <f>IFERROR(INDEX(DL_Au,MATCH($CA231,DL_KEY,0)),"M")</f>
        <v>M</v>
      </c>
      <c r="AA231" s="35" t="str">
        <f>IFERROR(INDEX(DL_Ac,MATCH($CA231,DL_KEY,0)),"M")</f>
        <v>M</v>
      </c>
      <c r="AB231" s="35" t="str">
        <f>IFERROR(INDEX(DL_L,MATCH($CA231,DL_KEY,0)),"M")</f>
        <v>L</v>
      </c>
      <c r="AC231" s="35" t="str">
        <f>IFERROR(INDEX(DL_BI,MATCH($CA231,DL_KEY,0)),"M")</f>
        <v>M</v>
      </c>
      <c r="AD231" s="35" t="str">
        <f>IFERROR(INDEX(DL_Exp,MATCH($CA231,DL_KEY,0)),"M")</f>
        <v>L</v>
      </c>
      <c r="AE231" s="35" t="str">
        <f>IFERROR(INDEX(DL_Edu,MATCH($CA231,DL_KEY,0)),"M")</f>
        <v>L</v>
      </c>
      <c r="AF231" s="34" t="inlineStr">
        <is>
          <t>M</t>
        </is>
      </c>
      <c r="AG231" s="35" t="inlineStr">
        <is>
          <t>M</t>
        </is>
      </c>
      <c r="AH231" s="35" t="inlineStr">
        <is>
          <t>M</t>
        </is>
      </c>
      <c r="AI231" s="35" t="inlineStr">
        <is>
          <t>M</t>
        </is>
      </c>
      <c r="AJ231" s="35" t="inlineStr">
        <is>
          <t>M</t>
        </is>
      </c>
      <c r="AK231" s="35" t="inlineStr">
        <is>
          <t>M</t>
        </is>
      </c>
      <c r="AL231" s="35" t="inlineStr">
        <is>
          <t>M</t>
        </is>
      </c>
      <c r="AM231" s="36" t="n">
        <v>0.583</v>
      </c>
      <c r="AN231" s="37" t="n">
        <v>0.16</v>
      </c>
      <c r="AO231" s="37" t="n">
        <v>0.09</v>
      </c>
      <c r="AP231" s="37" t="n">
        <v>0</v>
      </c>
      <c r="AQ231" s="37" t="n">
        <v>0.063</v>
      </c>
      <c r="AR231" s="37" t="n">
        <v>0.06</v>
      </c>
      <c r="AS231" s="37" t="n">
        <v>0.04</v>
      </c>
      <c r="AT231" s="38" t="inlineStr">
        <is>
          <t>0–3</t>
        </is>
      </c>
      <c r="AU231" s="38" t="inlineStr">
        <is>
          <t>Graduate · or diploma with experience</t>
        </is>
      </c>
      <c r="AV231" s="38" t="inlineStr">
        <is>
          <t>No direct reports</t>
        </is>
      </c>
      <c r="AW231" s="38" t="inlineStr">
        <is>
          <t>P1–P2 · SFIA 2 Assist</t>
        </is>
      </c>
      <c r="AX2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1" s="39" t="inlineStr">
        <is>
          <t>A2</t>
        </is>
      </c>
      <c r="AZ231" s="40" t="inlineStr">
        <is>
          <t>Band A · Practitioner · Associate</t>
        </is>
      </c>
      <c r="BA231" s="40" t="inlineStr">
        <is>
          <t>Model A2 from the six ratings, the market-derived weights and rules R1–R13 · then No change · already below the manager</t>
        </is>
      </c>
      <c r="BB231" s="41" t="inlineStr">
        <is>
          <t>A2</t>
        </is>
      </c>
      <c r="BC231" s="40" t="inlineStr">
        <is>
          <t>The six ratings on the market-average weights of Band A · all tracks score 2.10 → A2 · Hay, Mercer IPE and public plans · experience 1.9 yrs vs the A2 market range 0–3</t>
        </is>
      </c>
      <c r="BD231" s="42">
        <f>IF(SUM(BM231,BN231,BO231,BP231,BQ231,BR231,BS231)=0,0,(BM231*BT231+BN231*BU231+BO231*BV231+BP231*BW231+BQ231*BX231+BR231*BY231+BS231*BZ231)/SUM(BM231,BN231,BO231,BP231,BQ231,BR231,BS231))</f>
        <v>0</v>
      </c>
      <c r="BE231" s="41" t="str">
        <f>IF(LEFT(AY231,1)="X",AY231,IF(OR(AY231="B+",AY231="C+"),INDEX(LAD_PC,MAX(1,MIN(14,MATCH(AY231,LAD_PC,0)+IF(BD231&gt;=0.5,1,IF(BD231&lt;=-0.5,-1,0))))),INDEX(LAD_STD,MAX(1,MIN(12,MATCH(AY231,LAD_STD,0)+IF(BD231&gt;=0.5,1,IF(BD231&lt;=-0.5,-1,0)))))))</f>
        <v>A2</v>
      </c>
      <c r="BF231" s="43" t="n"/>
      <c r="BG231" s="41" t="str">
        <f>IF(BF231&lt;&gt;"",BF231,BE231)</f>
        <v>A2</v>
      </c>
      <c r="BH231" s="40" t="str">
        <f>IFERROR(CHOOSE(INDEX(B_RANK,MATCH(BG231,B_LVL,0)),"Band A","Band B","B+ · Player-Coach","Band C","C+ · Player-Coach","Band D","Band E"),"Band X · Consultant")</f>
        <v>Band A</v>
      </c>
      <c r="BI231" s="40" t="str">
        <f>IF(BG231=AY231,"• Same",IF(INDEX(B_VAL,MATCH(BG231,B_LVL,0))&gt;INDEX(B_VAL,MATCH(AY231,B_LVL,0)),"▲ Up","▼ Down"))</f>
        <v>• Same</v>
      </c>
      <c r="BJ231" s="40" t="str">
        <f>IF(OR($M231="",$M231="—",$M231="Not in this file"),"",IFERROR(INDEX($BG$7:$BG$592,MATCH($M231,$D$7:$D$592,0)),""))</f>
        <v>B1</v>
      </c>
      <c r="BK231" s="40" t="str">
        <f>IFERROR(IF(BJ231="","—",IF(OR(LEFT(BG231,1)="X",LEFT(BJ231,1)="X"),"—",IF(AND(LEFT(BG231,1)="E",LEFT(BJ231,1)="E"),"Exception · Band E",IF(AND(INDEX(B_VAL,MATCH(BJ231,B_LVL,0))&gt;=7,INDEX(B_RANK,MATCH(BG231,B_LVL,0))&gt;=INDEX(B_RANK,MATCH(BJ231,B_LVL,0))),"⚠ Same band as a head manager",IF(INDEX(B_VAL,MATCH(BG231,B_LVL,0))&gt;=INDEX(B_VAL,MATCH(BJ231,B_LVL,0)),"⚠ At or above the manager's level","OK"))))),"—")</f>
        <v>OK</v>
      </c>
      <c r="BL231" s="43" t="n"/>
      <c r="BM231" s="44">
        <f>IFERROR(INDEX(LMH_PTS,MATCH(Y231,LMH_KEY,0)),0)</f>
        <v>9</v>
      </c>
      <c r="BN231" s="38">
        <f>IFERROR(INDEX(LMH_PTS,MATCH(Z231,LMH_KEY,0)),0)</f>
        <v>3</v>
      </c>
      <c r="BO231" s="38">
        <f>IFERROR(INDEX(LMH_PTS,MATCH(AA231,LMH_KEY,0)),0)</f>
        <v>3</v>
      </c>
      <c r="BP231" s="38">
        <f>IFERROR(INDEX(LMH_PTS,MATCH(AB231,LMH_KEY,0)),0)</f>
        <v>1</v>
      </c>
      <c r="BQ231" s="38">
        <f>IFERROR(INDEX(LMH_PTS,MATCH(AC231,LMH_KEY,0)),0)</f>
        <v>3</v>
      </c>
      <c r="BR231" s="38">
        <f>IFERROR(INDEX(LMH_PTS,MATCH(AD231,LMH_KEY,0)),0)</f>
        <v>1</v>
      </c>
      <c r="BS231" s="38">
        <f>IFERROR(INDEX(LMH_PTS,MATCH(AE231,LMH_KEY,0)),0)</f>
        <v>1</v>
      </c>
      <c r="BT231" s="38">
        <f>IFERROR(INDEX(LMH_STEP,MATCH(AF231,LMH_KEY,0)),0)</f>
        <v>0</v>
      </c>
      <c r="BU231" s="38">
        <f>IFERROR(INDEX(LMH_STEP,MATCH(AG231,LMH_KEY,0)),0)</f>
        <v>0</v>
      </c>
      <c r="BV231" s="38">
        <f>IFERROR(INDEX(LMH_STEP,MATCH(AH231,LMH_KEY,0)),0)</f>
        <v>0</v>
      </c>
      <c r="BW231" s="38">
        <f>IFERROR(INDEX(LMH_STEP,MATCH(AI231,LMH_KEY,0)),0)</f>
        <v>0</v>
      </c>
      <c r="BX231" s="38">
        <f>IFERROR(INDEX(LMH_STEP,MATCH(AJ231,LMH_KEY,0)),0)</f>
        <v>0</v>
      </c>
      <c r="BY231" s="38">
        <f>IFERROR(INDEX(LMH_STEP,MATCH(AK231,LMH_KEY,0)),0)</f>
        <v>0</v>
      </c>
      <c r="BZ231" s="38">
        <f>IFERROR(INDEX(LMH_STEP,MATCH(AL231,LMH_KEY,0)),0)</f>
        <v>0</v>
      </c>
      <c r="CA231" s="38" t="inlineStr">
        <is>
          <t>iDEAL|Technology|Support Executive|A2|A</t>
        </is>
      </c>
    </row>
    <row r="232" ht="110" customHeight="1">
      <c r="A232" s="28" t="inlineStr">
        <is>
          <t>iDEAL</t>
        </is>
      </c>
      <c r="B232" s="29" t="inlineStr">
        <is>
          <t>Quality Assurance</t>
        </is>
      </c>
      <c r="C232" s="29" t="n">
        <v>3</v>
      </c>
      <c r="D232" s="29" t="inlineStr">
        <is>
          <t>IRIS0636</t>
        </is>
      </c>
      <c r="E232" s="29" t="inlineStr">
        <is>
          <t>Reena Gotal</t>
        </is>
      </c>
      <c r="F232" s="29" t="inlineStr">
        <is>
          <t>Senior QA - Engineer</t>
        </is>
      </c>
      <c r="G232" s="29" t="inlineStr">
        <is>
          <t>QA Manager</t>
        </is>
      </c>
      <c r="H232" s="29" t="inlineStr">
        <is>
          <t>Quality Assurance</t>
        </is>
      </c>
      <c r="I232" s="29" t="inlineStr">
        <is>
          <t>Functional &amp; Domain Testing</t>
        </is>
      </c>
      <c r="J232" s="29" t="inlineStr">
        <is>
          <t>People Manager</t>
        </is>
      </c>
      <c r="K232" s="29" t="inlineStr">
        <is>
          <t>RC-143</t>
        </is>
      </c>
      <c r="L232" s="29" t="inlineStr">
        <is>
          <t>Hemant Karale</t>
        </is>
      </c>
      <c r="M232" s="29" t="inlineStr">
        <is>
          <t>IRIS1224</t>
        </is>
      </c>
      <c r="N232" s="29" t="n">
        <v>15.3</v>
      </c>
      <c r="O232" s="29" t="n">
        <v>15.3</v>
      </c>
      <c r="P232" s="29" t="inlineStr">
        <is>
          <t>B.Com</t>
        </is>
      </c>
      <c r="Q232" s="29" t="inlineStr">
        <is>
          <t>L4 – Senior</t>
        </is>
      </c>
      <c r="R232" s="29" t="inlineStr">
        <is>
          <t>B1</t>
        </is>
      </c>
      <c r="S232" s="30" t="inlineStr">
        <is>
          <t>20 of 20</t>
        </is>
      </c>
      <c r="T232" s="31"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t>
        </is>
      </c>
      <c r="U232" s="31" t="inlineStr">
        <is>
          <t>Received · manager annual, quarterly · 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t>
        </is>
      </c>
      <c r="V232" s="31" t="inlineStr">
        <is>
          <t>Latest rating: 3 · Potential: Medium · 9-box: Core Contributor · Readiness: Develop in role</t>
        </is>
      </c>
      <c r="W232" s="31" t="inlineStr">
        <is>
          <t>C L · Au L · Ac M · L M · BI M · Exp H · 15.3 yrs vs 4–7 yrs · Edu M · B.Com</t>
        </is>
      </c>
      <c r="X232" s="33" t="inlineStr">
        <is>
          <t>Open ▸</t>
        </is>
      </c>
      <c r="Y232" s="34" t="str">
        <f>IFERROR(INDEX(DL_C,MATCH($CA232,DL_KEY,0)),"M")</f>
        <v>H</v>
      </c>
      <c r="Z232" s="35" t="str">
        <f>IFERROR(INDEX(DL_Au,MATCH($CA232,DL_KEY,0)),"M")</f>
        <v>M</v>
      </c>
      <c r="AA232" s="35" t="str">
        <f>IFERROR(INDEX(DL_Ac,MATCH($CA232,DL_KEY,0)),"M")</f>
        <v>L</v>
      </c>
      <c r="AB232" s="35" t="str">
        <f>IFERROR(INDEX(DL_L,MATCH($CA232,DL_KEY,0)),"M")</f>
        <v>M</v>
      </c>
      <c r="AC232" s="35" t="str">
        <f>IFERROR(INDEX(DL_BI,MATCH($CA232,DL_KEY,0)),"M")</f>
        <v>L</v>
      </c>
      <c r="AD232" s="35" t="str">
        <f>IFERROR(INDEX(DL_Exp,MATCH($CA232,DL_KEY,0)),"M")</f>
        <v>L</v>
      </c>
      <c r="AE232" s="35" t="str">
        <f>IFERROR(INDEX(DL_Edu,MATCH($CA232,DL_KEY,0)),"M")</f>
        <v>L</v>
      </c>
      <c r="AF232" s="34" t="inlineStr">
        <is>
          <t>M</t>
        </is>
      </c>
      <c r="AG232" s="35" t="inlineStr">
        <is>
          <t>M</t>
        </is>
      </c>
      <c r="AH232" s="35" t="inlineStr">
        <is>
          <t>M</t>
        </is>
      </c>
      <c r="AI232" s="35" t="inlineStr">
        <is>
          <t>M</t>
        </is>
      </c>
      <c r="AJ232" s="35" t="inlineStr">
        <is>
          <t>M</t>
        </is>
      </c>
      <c r="AK232" s="35" t="inlineStr">
        <is>
          <t>M</t>
        </is>
      </c>
      <c r="AL232" s="35" t="inlineStr">
        <is>
          <t>M</t>
        </is>
      </c>
      <c r="AM232" s="36" t="n">
        <v>0.37</v>
      </c>
      <c r="AN232" s="37" t="n">
        <v>0.183</v>
      </c>
      <c r="AO232" s="37" t="n">
        <v>0.113</v>
      </c>
      <c r="AP232" s="37" t="n">
        <v>0.15</v>
      </c>
      <c r="AQ232" s="37" t="n">
        <v>0.08699999999999999</v>
      </c>
      <c r="AR232" s="37" t="n">
        <v>0.06</v>
      </c>
      <c r="AS232" s="37" t="n">
        <v>0.04</v>
      </c>
      <c r="AT232" s="38" t="inlineStr">
        <is>
          <t>4–8</t>
        </is>
      </c>
      <c r="AU232" s="38" t="inlineStr">
        <is>
          <t>Graduate + relevant qualification or certification preferred</t>
        </is>
      </c>
      <c r="AV232" s="38" t="inlineStr">
        <is>
          <t>IC: none · Team Lead: 3–5</t>
        </is>
      </c>
      <c r="AW232" s="38" t="inlineStr">
        <is>
          <t>P3 / M2 · SFIA 4 Enable</t>
        </is>
      </c>
      <c r="AX2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2" s="39" t="inlineStr">
        <is>
          <t>B1</t>
        </is>
      </c>
      <c r="AZ232" s="40" t="inlineStr">
        <is>
          <t>Band B · Specialist / Manager · Team Lead / Asst Manager</t>
        </is>
      </c>
      <c r="BA232" s="40" t="inlineStr">
        <is>
          <t>Model B1 from the six ratings, the market-derived weights and rules R1–R13 · then No change · already below the manager</t>
        </is>
      </c>
      <c r="BB232" s="41" t="inlineStr">
        <is>
          <t>B1</t>
        </is>
      </c>
      <c r="BC232" s="40" t="inlineStr">
        <is>
          <t>The six ratings on the market-average weights of Band B · People Manager score 3.90 → B1 · Hay, Mercer IPE and public plans · experience 15.3 yrs vs the B1 market range 4–8</t>
        </is>
      </c>
      <c r="BD232" s="42">
        <f>IF(SUM(BM232,BN232,BO232,BP232,BQ232,BR232,BS232)=0,0,(BM232*BT232+BN232*BU232+BO232*BV232+BP232*BW232+BQ232*BX232+BR232*BY232+BS232*BZ232)/SUM(BM232,BN232,BO232,BP232,BQ232,BR232,BS232))</f>
        <v>0</v>
      </c>
      <c r="BE232" s="41" t="str">
        <f>IF(LEFT(AY232,1)="X",AY232,IF(OR(AY232="B+",AY232="C+"),INDEX(LAD_PC,MAX(1,MIN(14,MATCH(AY232,LAD_PC,0)+IF(BD232&gt;=0.5,1,IF(BD232&lt;=-0.5,-1,0))))),INDEX(LAD_STD,MAX(1,MIN(12,MATCH(AY232,LAD_STD,0)+IF(BD232&gt;=0.5,1,IF(BD232&lt;=-0.5,-1,0)))))))</f>
        <v>B1</v>
      </c>
      <c r="BF232" s="43" t="n"/>
      <c r="BG232" s="41" t="str">
        <f>IF(BF232&lt;&gt;"",BF232,BE232)</f>
        <v>B1</v>
      </c>
      <c r="BH232" s="40" t="str">
        <f>IFERROR(CHOOSE(INDEX(B_RANK,MATCH(BG232,B_LVL,0)),"Band A","Band B","B+ · Player-Coach","Band C","C+ · Player-Coach","Band D","Band E"),"Band X · Consultant")</f>
        <v>Band B</v>
      </c>
      <c r="BI232" s="40" t="str">
        <f>IF(BG232=AY232,"• Same",IF(INDEX(B_VAL,MATCH(BG232,B_LVL,0))&gt;INDEX(B_VAL,MATCH(AY232,B_LVL,0)),"▲ Up","▼ Down"))</f>
        <v>• Same</v>
      </c>
      <c r="BJ232" s="40" t="str">
        <f>IF(OR($M232="",$M232="—",$M232="Not in this file"),"",IFERROR(INDEX($BG$7:$BG$592,MATCH($M232,$D$7:$D$592,0)),""))</f>
        <v>C2</v>
      </c>
      <c r="BK232" s="40" t="str">
        <f>IFERROR(IF(BJ232="","—",IF(OR(LEFT(BG232,1)="X",LEFT(BJ232,1)="X"),"—",IF(AND(LEFT(BG232,1)="E",LEFT(BJ232,1)="E"),"Exception · Band E",IF(AND(INDEX(B_VAL,MATCH(BJ232,B_LVL,0))&gt;=7,INDEX(B_RANK,MATCH(BG232,B_LVL,0))&gt;=INDEX(B_RANK,MATCH(BJ232,B_LVL,0))),"⚠ Same band as a head manager",IF(INDEX(B_VAL,MATCH(BG232,B_LVL,0))&gt;=INDEX(B_VAL,MATCH(BJ232,B_LVL,0)),"⚠ At or above the manager's level","OK"))))),"—")</f>
        <v>OK</v>
      </c>
      <c r="BL232" s="43" t="n"/>
      <c r="BM232" s="44">
        <f>IFERROR(INDEX(LMH_PTS,MATCH(Y232,LMH_KEY,0)),0)</f>
        <v>9</v>
      </c>
      <c r="BN232" s="38">
        <f>IFERROR(INDEX(LMH_PTS,MATCH(Z232,LMH_KEY,0)),0)</f>
        <v>3</v>
      </c>
      <c r="BO232" s="38">
        <f>IFERROR(INDEX(LMH_PTS,MATCH(AA232,LMH_KEY,0)),0)</f>
        <v>1</v>
      </c>
      <c r="BP232" s="38">
        <f>IFERROR(INDEX(LMH_PTS,MATCH(AB232,LMH_KEY,0)),0)</f>
        <v>3</v>
      </c>
      <c r="BQ232" s="38">
        <f>IFERROR(INDEX(LMH_PTS,MATCH(AC232,LMH_KEY,0)),0)</f>
        <v>1</v>
      </c>
      <c r="BR232" s="38">
        <f>IFERROR(INDEX(LMH_PTS,MATCH(AD232,LMH_KEY,0)),0)</f>
        <v>1</v>
      </c>
      <c r="BS232" s="38">
        <f>IFERROR(INDEX(LMH_PTS,MATCH(AE232,LMH_KEY,0)),0)</f>
        <v>1</v>
      </c>
      <c r="BT232" s="38">
        <f>IFERROR(INDEX(LMH_STEP,MATCH(AF232,LMH_KEY,0)),0)</f>
        <v>0</v>
      </c>
      <c r="BU232" s="38">
        <f>IFERROR(INDEX(LMH_STEP,MATCH(AG232,LMH_KEY,0)),0)</f>
        <v>0</v>
      </c>
      <c r="BV232" s="38">
        <f>IFERROR(INDEX(LMH_STEP,MATCH(AH232,LMH_KEY,0)),0)</f>
        <v>0</v>
      </c>
      <c r="BW232" s="38">
        <f>IFERROR(INDEX(LMH_STEP,MATCH(AI232,LMH_KEY,0)),0)</f>
        <v>0</v>
      </c>
      <c r="BX232" s="38">
        <f>IFERROR(INDEX(LMH_STEP,MATCH(AJ232,LMH_KEY,0)),0)</f>
        <v>0</v>
      </c>
      <c r="BY232" s="38">
        <f>IFERROR(INDEX(LMH_STEP,MATCH(AK232,LMH_KEY,0)),0)</f>
        <v>0</v>
      </c>
      <c r="BZ232" s="38">
        <f>IFERROR(INDEX(LMH_STEP,MATCH(AL232,LMH_KEY,0)),0)</f>
        <v>0</v>
      </c>
      <c r="CA232" s="38" t="inlineStr">
        <is>
          <t>iDEAL|Quality Assurance|QA Manager|B1|B-M</t>
        </is>
      </c>
    </row>
    <row r="233" ht="110" customHeight="1">
      <c r="A233" s="28" t="inlineStr">
        <is>
          <t>iDEAL</t>
        </is>
      </c>
      <c r="B233" s="29" t="inlineStr">
        <is>
          <t>Quality Assurance</t>
        </is>
      </c>
      <c r="C233" s="29" t="n">
        <v>4</v>
      </c>
      <c r="D233" s="29" t="inlineStr">
        <is>
          <t>IRIS2271</t>
        </is>
      </c>
      <c r="E233" s="29" t="inlineStr">
        <is>
          <t>Atharv Ravindra Bokade</t>
        </is>
      </c>
      <c r="F233" s="29" t="inlineStr">
        <is>
          <t>QA Engineer</t>
        </is>
      </c>
      <c r="G233" s="29" t="inlineStr">
        <is>
          <t>Senior QA Automation Engineer</t>
        </is>
      </c>
      <c r="H233" s="29" t="inlineStr">
        <is>
          <t>Quality Assurance</t>
        </is>
      </c>
      <c r="I233" s="29" t="inlineStr">
        <is>
          <t>Test Automation</t>
        </is>
      </c>
      <c r="J233" s="29" t="inlineStr">
        <is>
          <t>IC</t>
        </is>
      </c>
      <c r="K233" s="29" t="inlineStr">
        <is>
          <t>RC-146</t>
        </is>
      </c>
      <c r="L233" s="29" t="inlineStr">
        <is>
          <t>Reena Gotal</t>
        </is>
      </c>
      <c r="M233" s="29" t="inlineStr">
        <is>
          <t>IRIS0636</t>
        </is>
      </c>
      <c r="N233" s="29" t="n">
        <v>2.3</v>
      </c>
      <c r="O233" s="29" t="n">
        <v>2.3</v>
      </c>
      <c r="P233" s="29" t="inlineStr">
        <is>
          <t>B.E</t>
        </is>
      </c>
      <c r="Q233" s="29" t="inlineStr">
        <is>
          <t>L2 – Trainee</t>
        </is>
      </c>
      <c r="R233" s="29" t="inlineStr">
        <is>
          <t>A3</t>
        </is>
      </c>
      <c r="S233" s="30" t="inlineStr">
        <is>
          <t>20 of 20</t>
        </is>
      </c>
      <c r="T233" s="31"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t>
        </is>
      </c>
      <c r="U233"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3" s="31" t="inlineStr">
        <is>
          <t>Latest rating: 3 · Potential: Medium · 9-box: Core Contributor · Readiness: Develop in role</t>
        </is>
      </c>
      <c r="W233" s="31" t="inlineStr">
        <is>
          <t>C L · Au L · Ac M · L L · BI M · Exp M · 2.3 yrs vs 2–4 yrs · Edu M · B.E</t>
        </is>
      </c>
      <c r="X233" s="33" t="inlineStr">
        <is>
          <t>Open ▸</t>
        </is>
      </c>
      <c r="Y233" s="34" t="str">
        <f>IFERROR(INDEX(DL_C,MATCH($CA233,DL_KEY,0)),"M")</f>
        <v>H</v>
      </c>
      <c r="Z233" s="35" t="str">
        <f>IFERROR(INDEX(DL_Au,MATCH($CA233,DL_KEY,0)),"M")</f>
        <v>M</v>
      </c>
      <c r="AA233" s="35" t="str">
        <f>IFERROR(INDEX(DL_Ac,MATCH($CA233,DL_KEY,0)),"M")</f>
        <v>L</v>
      </c>
      <c r="AB233" s="35" t="str">
        <f>IFERROR(INDEX(DL_L,MATCH($CA233,DL_KEY,0)),"M")</f>
        <v>L</v>
      </c>
      <c r="AC233" s="35" t="str">
        <f>IFERROR(INDEX(DL_BI,MATCH($CA233,DL_KEY,0)),"M")</f>
        <v>L</v>
      </c>
      <c r="AD233" s="35" t="str">
        <f>IFERROR(INDEX(DL_Exp,MATCH($CA233,DL_KEY,0)),"M")</f>
        <v>L</v>
      </c>
      <c r="AE233" s="35" t="str">
        <f>IFERROR(INDEX(DL_Edu,MATCH($CA233,DL_KEY,0)),"M")</f>
        <v>L</v>
      </c>
      <c r="AF233" s="34" t="inlineStr">
        <is>
          <t>M</t>
        </is>
      </c>
      <c r="AG233" s="35" t="inlineStr">
        <is>
          <t>M</t>
        </is>
      </c>
      <c r="AH233" s="35" t="inlineStr">
        <is>
          <t>M</t>
        </is>
      </c>
      <c r="AI233" s="35" t="inlineStr">
        <is>
          <t>M</t>
        </is>
      </c>
      <c r="AJ233" s="35" t="inlineStr">
        <is>
          <t>M</t>
        </is>
      </c>
      <c r="AK233" s="35" t="inlineStr">
        <is>
          <t>M</t>
        </is>
      </c>
      <c r="AL233" s="35" t="inlineStr">
        <is>
          <t>M</t>
        </is>
      </c>
      <c r="AM233" s="36" t="n">
        <v>0.583</v>
      </c>
      <c r="AN233" s="37" t="n">
        <v>0.16</v>
      </c>
      <c r="AO233" s="37" t="n">
        <v>0.09</v>
      </c>
      <c r="AP233" s="37" t="n">
        <v>0</v>
      </c>
      <c r="AQ233" s="37" t="n">
        <v>0.063</v>
      </c>
      <c r="AR233" s="37" t="n">
        <v>0.06</v>
      </c>
      <c r="AS233" s="37" t="n">
        <v>0.04</v>
      </c>
      <c r="AT233" s="38" t="inlineStr">
        <is>
          <t>2–5</t>
        </is>
      </c>
      <c r="AU233" s="38" t="inlineStr">
        <is>
          <t>Graduate; relevant certification preferred</t>
        </is>
      </c>
      <c r="AV233" s="38" t="inlineStr">
        <is>
          <t>None · guides 1–3 juniors informally</t>
        </is>
      </c>
      <c r="AW233" s="38" t="inlineStr">
        <is>
          <t>P2 · SFIA 3 Apply</t>
        </is>
      </c>
      <c r="AX2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3" s="39" t="inlineStr">
        <is>
          <t>A3</t>
        </is>
      </c>
      <c r="AZ233" s="40" t="inlineStr">
        <is>
          <t>Band A · Practitioner · Senior Associate</t>
        </is>
      </c>
      <c r="BA233" s="40" t="inlineStr">
        <is>
          <t>Model A3 from the six ratings, the market-derived weights and rules R1–R13 · then No change · already below the manager</t>
        </is>
      </c>
      <c r="BB233" s="41" t="inlineStr">
        <is>
          <t>A2</t>
        </is>
      </c>
      <c r="BC233" s="40" t="inlineStr">
        <is>
          <t>The six ratings on the market-average weights of Band A · all tracks score 2.13 → A2 · Hay, Mercer IPE and public plans · experience 2.3 yrs vs the A2 market range 0–3</t>
        </is>
      </c>
      <c r="BD233" s="42">
        <f>IF(SUM(BM233,BN233,BO233,BP233,BQ233,BR233,BS233)=0,0,(BM233*BT233+BN233*BU233+BO233*BV233+BP233*BW233+BQ233*BX233+BR233*BY233+BS233*BZ233)/SUM(BM233,BN233,BO233,BP233,BQ233,BR233,BS233))</f>
        <v>0</v>
      </c>
      <c r="BE233" s="41" t="str">
        <f>IF(LEFT(AY233,1)="X",AY233,IF(OR(AY233="B+",AY233="C+"),INDEX(LAD_PC,MAX(1,MIN(14,MATCH(AY233,LAD_PC,0)+IF(BD233&gt;=0.5,1,IF(BD233&lt;=-0.5,-1,0))))),INDEX(LAD_STD,MAX(1,MIN(12,MATCH(AY233,LAD_STD,0)+IF(BD233&gt;=0.5,1,IF(BD233&lt;=-0.5,-1,0)))))))</f>
        <v>A3</v>
      </c>
      <c r="BF233" s="43" t="n"/>
      <c r="BG233" s="41" t="str">
        <f>IF(BF233&lt;&gt;"",BF233,BE233)</f>
        <v>A3</v>
      </c>
      <c r="BH233" s="40" t="str">
        <f>IFERROR(CHOOSE(INDEX(B_RANK,MATCH(BG233,B_LVL,0)),"Band A","Band B","B+ · Player-Coach","Band C","C+ · Player-Coach","Band D","Band E"),"Band X · Consultant")</f>
        <v>Band A</v>
      </c>
      <c r="BI233" s="40" t="str">
        <f>IF(BG233=AY233,"• Same",IF(INDEX(B_VAL,MATCH(BG233,B_LVL,0))&gt;INDEX(B_VAL,MATCH(AY233,B_LVL,0)),"▲ Up","▼ Down"))</f>
        <v>• Same</v>
      </c>
      <c r="BJ233" s="40" t="str">
        <f>IF(OR($M233="",$M233="—",$M233="Not in this file"),"",IFERROR(INDEX($BG$7:$BG$592,MATCH($M233,$D$7:$D$592,0)),""))</f>
        <v>B1</v>
      </c>
      <c r="BK233" s="40" t="str">
        <f>IFERROR(IF(BJ233="","—",IF(OR(LEFT(BG233,1)="X",LEFT(BJ233,1)="X"),"—",IF(AND(LEFT(BG233,1)="E",LEFT(BJ233,1)="E"),"Exception · Band E",IF(AND(INDEX(B_VAL,MATCH(BJ233,B_LVL,0))&gt;=7,INDEX(B_RANK,MATCH(BG233,B_LVL,0))&gt;=INDEX(B_RANK,MATCH(BJ233,B_LVL,0))),"⚠ Same band as a head manager",IF(INDEX(B_VAL,MATCH(BG233,B_LVL,0))&gt;=INDEX(B_VAL,MATCH(BJ233,B_LVL,0)),"⚠ At or above the manager's level","OK"))))),"—")</f>
        <v>OK</v>
      </c>
      <c r="BL233" s="43" t="n"/>
      <c r="BM233" s="44">
        <f>IFERROR(INDEX(LMH_PTS,MATCH(Y233,LMH_KEY,0)),0)</f>
        <v>9</v>
      </c>
      <c r="BN233" s="38">
        <f>IFERROR(INDEX(LMH_PTS,MATCH(Z233,LMH_KEY,0)),0)</f>
        <v>3</v>
      </c>
      <c r="BO233" s="38">
        <f>IFERROR(INDEX(LMH_PTS,MATCH(AA233,LMH_KEY,0)),0)</f>
        <v>1</v>
      </c>
      <c r="BP233" s="38">
        <f>IFERROR(INDEX(LMH_PTS,MATCH(AB233,LMH_KEY,0)),0)</f>
        <v>1</v>
      </c>
      <c r="BQ233" s="38">
        <f>IFERROR(INDEX(LMH_PTS,MATCH(AC233,LMH_KEY,0)),0)</f>
        <v>1</v>
      </c>
      <c r="BR233" s="38">
        <f>IFERROR(INDEX(LMH_PTS,MATCH(AD233,LMH_KEY,0)),0)</f>
        <v>1</v>
      </c>
      <c r="BS233" s="38">
        <f>IFERROR(INDEX(LMH_PTS,MATCH(AE233,LMH_KEY,0)),0)</f>
        <v>1</v>
      </c>
      <c r="BT233" s="38">
        <f>IFERROR(INDEX(LMH_STEP,MATCH(AF233,LMH_KEY,0)),0)</f>
        <v>0</v>
      </c>
      <c r="BU233" s="38">
        <f>IFERROR(INDEX(LMH_STEP,MATCH(AG233,LMH_KEY,0)),0)</f>
        <v>0</v>
      </c>
      <c r="BV233" s="38">
        <f>IFERROR(INDEX(LMH_STEP,MATCH(AH233,LMH_KEY,0)),0)</f>
        <v>0</v>
      </c>
      <c r="BW233" s="38">
        <f>IFERROR(INDEX(LMH_STEP,MATCH(AI233,LMH_KEY,0)),0)</f>
        <v>0</v>
      </c>
      <c r="BX233" s="38">
        <f>IFERROR(INDEX(LMH_STEP,MATCH(AJ233,LMH_KEY,0)),0)</f>
        <v>0</v>
      </c>
      <c r="BY233" s="38">
        <f>IFERROR(INDEX(LMH_STEP,MATCH(AK233,LMH_KEY,0)),0)</f>
        <v>0</v>
      </c>
      <c r="BZ233" s="38">
        <f>IFERROR(INDEX(LMH_STEP,MATCH(AL233,LMH_KEY,0)),0)</f>
        <v>0</v>
      </c>
      <c r="CA233" s="38" t="inlineStr">
        <is>
          <t>iDEAL|Quality Assurance|Senior QA Automation Engineer|A3|A</t>
        </is>
      </c>
    </row>
    <row r="234" ht="110" customHeight="1">
      <c r="A234" s="28" t="inlineStr">
        <is>
          <t>iDEAL</t>
        </is>
      </c>
      <c r="B234" s="29" t="inlineStr">
        <is>
          <t>Quality Assurance</t>
        </is>
      </c>
      <c r="C234" s="29" t="n">
        <v>4</v>
      </c>
      <c r="D234" s="29" t="inlineStr">
        <is>
          <t>IRIS2479</t>
        </is>
      </c>
      <c r="E234" s="29" t="inlineStr">
        <is>
          <t>Rohan Kailas Aher</t>
        </is>
      </c>
      <c r="F234" s="29" t="inlineStr">
        <is>
          <t>QA Engineer</t>
        </is>
      </c>
      <c r="G234" s="29" t="inlineStr">
        <is>
          <t>Senior QA Engineer</t>
        </is>
      </c>
      <c r="H234" s="29" t="inlineStr">
        <is>
          <t>Quality Assurance</t>
        </is>
      </c>
      <c r="I234" s="29" t="inlineStr">
        <is>
          <t>Functional &amp; Domain Testing</t>
        </is>
      </c>
      <c r="J234" s="29" t="inlineStr">
        <is>
          <t>IC</t>
        </is>
      </c>
      <c r="K234" s="29" t="inlineStr">
        <is>
          <t>RC-141</t>
        </is>
      </c>
      <c r="L234" s="29" t="inlineStr">
        <is>
          <t>Reena Gotal</t>
        </is>
      </c>
      <c r="M234" s="29" t="inlineStr">
        <is>
          <t>IRIS0636</t>
        </is>
      </c>
      <c r="N234" s="29" t="n">
        <v>3.6</v>
      </c>
      <c r="O234" s="29" t="n">
        <v>0.6</v>
      </c>
      <c r="P234" s="29" t="inlineStr">
        <is>
          <t>Civil engineering</t>
        </is>
      </c>
      <c r="Q234" s="29" t="inlineStr">
        <is>
          <t>L3 – Professional / Associate</t>
        </is>
      </c>
      <c r="R234" s="29" t="inlineStr">
        <is>
          <t>A3</t>
        </is>
      </c>
      <c r="S234" s="30" t="inlineStr">
        <is>
          <t>20 of 20</t>
        </is>
      </c>
      <c r="T234" s="31"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t>
        </is>
      </c>
      <c r="U234"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4" s="31" t="inlineStr">
        <is>
          <t>Latest rating: 3 · Potential: Medium · 9-box: Core Contributor · Readiness: Develop in role</t>
        </is>
      </c>
      <c r="W234" s="31" t="inlineStr">
        <is>
          <t>C L · Au L · Ac L · L L · BI L · Exp M · 3.6 yrs vs 2–4 yrs · Edu M · Civil engineering</t>
        </is>
      </c>
      <c r="X234" s="33" t="inlineStr">
        <is>
          <t>Open ▸</t>
        </is>
      </c>
      <c r="Y234" s="34" t="str">
        <f>IFERROR(INDEX(DL_C,MATCH($CA234,DL_KEY,0)),"M")</f>
        <v>H</v>
      </c>
      <c r="Z234" s="35" t="str">
        <f>IFERROR(INDEX(DL_Au,MATCH($CA234,DL_KEY,0)),"M")</f>
        <v>M</v>
      </c>
      <c r="AA234" s="35" t="str">
        <f>IFERROR(INDEX(DL_Ac,MATCH($CA234,DL_KEY,0)),"M")</f>
        <v>L</v>
      </c>
      <c r="AB234" s="35" t="str">
        <f>IFERROR(INDEX(DL_L,MATCH($CA234,DL_KEY,0)),"M")</f>
        <v>L</v>
      </c>
      <c r="AC234" s="35" t="str">
        <f>IFERROR(INDEX(DL_BI,MATCH($CA234,DL_KEY,0)),"M")</f>
        <v>L</v>
      </c>
      <c r="AD234" s="35" t="str">
        <f>IFERROR(INDEX(DL_Exp,MATCH($CA234,DL_KEY,0)),"M")</f>
        <v>L</v>
      </c>
      <c r="AE234" s="35" t="str">
        <f>IFERROR(INDEX(DL_Edu,MATCH($CA234,DL_KEY,0)),"M")</f>
        <v>L</v>
      </c>
      <c r="AF234" s="34" t="inlineStr">
        <is>
          <t>M</t>
        </is>
      </c>
      <c r="AG234" s="35" t="inlineStr">
        <is>
          <t>M</t>
        </is>
      </c>
      <c r="AH234" s="35" t="inlineStr">
        <is>
          <t>M</t>
        </is>
      </c>
      <c r="AI234" s="35" t="inlineStr">
        <is>
          <t>M</t>
        </is>
      </c>
      <c r="AJ234" s="35" t="inlineStr">
        <is>
          <t>M</t>
        </is>
      </c>
      <c r="AK234" s="35" t="inlineStr">
        <is>
          <t>M</t>
        </is>
      </c>
      <c r="AL234" s="35" t="inlineStr">
        <is>
          <t>M</t>
        </is>
      </c>
      <c r="AM234" s="36" t="n">
        <v>0.583</v>
      </c>
      <c r="AN234" s="37" t="n">
        <v>0.16</v>
      </c>
      <c r="AO234" s="37" t="n">
        <v>0.09</v>
      </c>
      <c r="AP234" s="37" t="n">
        <v>0</v>
      </c>
      <c r="AQ234" s="37" t="n">
        <v>0.063</v>
      </c>
      <c r="AR234" s="37" t="n">
        <v>0.06</v>
      </c>
      <c r="AS234" s="37" t="n">
        <v>0.04</v>
      </c>
      <c r="AT234" s="38" t="inlineStr">
        <is>
          <t>2–5</t>
        </is>
      </c>
      <c r="AU234" s="38" t="inlineStr">
        <is>
          <t>Graduate; relevant certification preferred</t>
        </is>
      </c>
      <c r="AV234" s="38" t="inlineStr">
        <is>
          <t>None · guides 1–3 juniors informally</t>
        </is>
      </c>
      <c r="AW234" s="38" t="inlineStr">
        <is>
          <t>P2 · SFIA 3 Apply</t>
        </is>
      </c>
      <c r="AX2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4" s="39" t="inlineStr">
        <is>
          <t>A3</t>
        </is>
      </c>
      <c r="AZ234" s="40" t="inlineStr">
        <is>
          <t>Band A · Practitioner · Senior Associate</t>
        </is>
      </c>
      <c r="BA234" s="40" t="inlineStr">
        <is>
          <t>Model A3 from the six ratings, the market-derived weights and rules R1–R13 · then No change · already below the manager</t>
        </is>
      </c>
      <c r="BB234" s="41" t="inlineStr">
        <is>
          <t>A2</t>
        </is>
      </c>
      <c r="BC234" s="40" t="inlineStr">
        <is>
          <t>The six ratings on the market-average weights of Band A · all tracks score 2.10 → A2 · Hay, Mercer IPE and public plans · experience 3.6 yrs vs the A2 market range 0–3</t>
        </is>
      </c>
      <c r="BD234" s="42">
        <f>IF(SUM(BM234,BN234,BO234,BP234,BQ234,BR234,BS234)=0,0,(BM234*BT234+BN234*BU234+BO234*BV234+BP234*BW234+BQ234*BX234+BR234*BY234+BS234*BZ234)/SUM(BM234,BN234,BO234,BP234,BQ234,BR234,BS234))</f>
        <v>0</v>
      </c>
      <c r="BE234" s="41" t="str">
        <f>IF(LEFT(AY234,1)="X",AY234,IF(OR(AY234="B+",AY234="C+"),INDEX(LAD_PC,MAX(1,MIN(14,MATCH(AY234,LAD_PC,0)+IF(BD234&gt;=0.5,1,IF(BD234&lt;=-0.5,-1,0))))),INDEX(LAD_STD,MAX(1,MIN(12,MATCH(AY234,LAD_STD,0)+IF(BD234&gt;=0.5,1,IF(BD234&lt;=-0.5,-1,0)))))))</f>
        <v>A3</v>
      </c>
      <c r="BF234" s="43" t="n"/>
      <c r="BG234" s="41" t="str">
        <f>IF(BF234&lt;&gt;"",BF234,BE234)</f>
        <v>A3</v>
      </c>
      <c r="BH234" s="40" t="str">
        <f>IFERROR(CHOOSE(INDEX(B_RANK,MATCH(BG234,B_LVL,0)),"Band A","Band B","B+ · Player-Coach","Band C","C+ · Player-Coach","Band D","Band E"),"Band X · Consultant")</f>
        <v>Band A</v>
      </c>
      <c r="BI234" s="40" t="str">
        <f>IF(BG234=AY234,"• Same",IF(INDEX(B_VAL,MATCH(BG234,B_LVL,0))&gt;INDEX(B_VAL,MATCH(AY234,B_LVL,0)),"▲ Up","▼ Down"))</f>
        <v>• Same</v>
      </c>
      <c r="BJ234" s="40" t="str">
        <f>IF(OR($M234="",$M234="—",$M234="Not in this file"),"",IFERROR(INDEX($BG$7:$BG$592,MATCH($M234,$D$7:$D$592,0)),""))</f>
        <v>B1</v>
      </c>
      <c r="BK234" s="40" t="str">
        <f>IFERROR(IF(BJ234="","—",IF(OR(LEFT(BG234,1)="X",LEFT(BJ234,1)="X"),"—",IF(AND(LEFT(BG234,1)="E",LEFT(BJ234,1)="E"),"Exception · Band E",IF(AND(INDEX(B_VAL,MATCH(BJ234,B_LVL,0))&gt;=7,INDEX(B_RANK,MATCH(BG234,B_LVL,0))&gt;=INDEX(B_RANK,MATCH(BJ234,B_LVL,0))),"⚠ Same band as a head manager",IF(INDEX(B_VAL,MATCH(BG234,B_LVL,0))&gt;=INDEX(B_VAL,MATCH(BJ234,B_LVL,0)),"⚠ At or above the manager's level","OK"))))),"—")</f>
        <v>OK</v>
      </c>
      <c r="BL234" s="43" t="n"/>
      <c r="BM234" s="44">
        <f>IFERROR(INDEX(LMH_PTS,MATCH(Y234,LMH_KEY,0)),0)</f>
        <v>9</v>
      </c>
      <c r="BN234" s="38">
        <f>IFERROR(INDEX(LMH_PTS,MATCH(Z234,LMH_KEY,0)),0)</f>
        <v>3</v>
      </c>
      <c r="BO234" s="38">
        <f>IFERROR(INDEX(LMH_PTS,MATCH(AA234,LMH_KEY,0)),0)</f>
        <v>1</v>
      </c>
      <c r="BP234" s="38">
        <f>IFERROR(INDEX(LMH_PTS,MATCH(AB234,LMH_KEY,0)),0)</f>
        <v>1</v>
      </c>
      <c r="BQ234" s="38">
        <f>IFERROR(INDEX(LMH_PTS,MATCH(AC234,LMH_KEY,0)),0)</f>
        <v>1</v>
      </c>
      <c r="BR234" s="38">
        <f>IFERROR(INDEX(LMH_PTS,MATCH(AD234,LMH_KEY,0)),0)</f>
        <v>1</v>
      </c>
      <c r="BS234" s="38">
        <f>IFERROR(INDEX(LMH_PTS,MATCH(AE234,LMH_KEY,0)),0)</f>
        <v>1</v>
      </c>
      <c r="BT234" s="38">
        <f>IFERROR(INDEX(LMH_STEP,MATCH(AF234,LMH_KEY,0)),0)</f>
        <v>0</v>
      </c>
      <c r="BU234" s="38">
        <f>IFERROR(INDEX(LMH_STEP,MATCH(AG234,LMH_KEY,0)),0)</f>
        <v>0</v>
      </c>
      <c r="BV234" s="38">
        <f>IFERROR(INDEX(LMH_STEP,MATCH(AH234,LMH_KEY,0)),0)</f>
        <v>0</v>
      </c>
      <c r="BW234" s="38">
        <f>IFERROR(INDEX(LMH_STEP,MATCH(AI234,LMH_KEY,0)),0)</f>
        <v>0</v>
      </c>
      <c r="BX234" s="38">
        <f>IFERROR(INDEX(LMH_STEP,MATCH(AJ234,LMH_KEY,0)),0)</f>
        <v>0</v>
      </c>
      <c r="BY234" s="38">
        <f>IFERROR(INDEX(LMH_STEP,MATCH(AK234,LMH_KEY,0)),0)</f>
        <v>0</v>
      </c>
      <c r="BZ234" s="38">
        <f>IFERROR(INDEX(LMH_STEP,MATCH(AL234,LMH_KEY,0)),0)</f>
        <v>0</v>
      </c>
      <c r="CA234" s="38" t="inlineStr">
        <is>
          <t>iDEAL|Quality Assurance|Senior QA Engineer|A3|A</t>
        </is>
      </c>
    </row>
    <row r="235" ht="110" customHeight="1">
      <c r="A235" s="28" t="inlineStr">
        <is>
          <t>iDEAL</t>
        </is>
      </c>
      <c r="B235" s="29" t="inlineStr">
        <is>
          <t>Quality Assurance</t>
        </is>
      </c>
      <c r="C235" s="29" t="n">
        <v>4</v>
      </c>
      <c r="D235" s="29" t="inlineStr">
        <is>
          <t>IRIS2437</t>
        </is>
      </c>
      <c r="E235" s="29" t="inlineStr">
        <is>
          <t>Shubham Kamble</t>
        </is>
      </c>
      <c r="F235" s="29" t="inlineStr">
        <is>
          <t>QA Automation Engineer</t>
        </is>
      </c>
      <c r="G235" s="29" t="inlineStr">
        <is>
          <t>Senior QA Automation Engineer</t>
        </is>
      </c>
      <c r="H235" s="29" t="inlineStr">
        <is>
          <t>Quality Assurance</t>
        </is>
      </c>
      <c r="I235" s="29" t="inlineStr">
        <is>
          <t>Test Automation</t>
        </is>
      </c>
      <c r="J235" s="29" t="inlineStr">
        <is>
          <t>IC</t>
        </is>
      </c>
      <c r="K235" s="29" t="inlineStr">
        <is>
          <t>RC-146</t>
        </is>
      </c>
      <c r="L235" s="29" t="inlineStr">
        <is>
          <t>Reena Gotal</t>
        </is>
      </c>
      <c r="M235" s="29" t="inlineStr">
        <is>
          <t>IRIS0636</t>
        </is>
      </c>
      <c r="N235" s="29" t="n">
        <v>4.3</v>
      </c>
      <c r="O235" s="29" t="n">
        <v>0.9</v>
      </c>
      <c r="P235" s="29" t="inlineStr">
        <is>
          <t>B.Tech</t>
        </is>
      </c>
      <c r="Q235" s="29" t="inlineStr">
        <is>
          <t>L3 – Professional / Associate</t>
        </is>
      </c>
      <c r="R235" s="29" t="inlineStr">
        <is>
          <t>A3</t>
        </is>
      </c>
      <c r="S235" s="30" t="inlineStr">
        <is>
          <t>20 of 20</t>
        </is>
      </c>
      <c r="T235" s="31"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t>
        </is>
      </c>
      <c r="U235"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5" s="31" t="inlineStr">
        <is>
          <t>Latest rating: 3 · Potential: Medium · 9-box: Emerging Talent · Readiness: Develop in role</t>
        </is>
      </c>
      <c r="W235" s="31" t="inlineStr">
        <is>
          <t>C M · Au M · Ac M · L L · BI M · Exp H · 4.3 yrs vs 2–4 yrs · Edu M · B.Tech</t>
        </is>
      </c>
      <c r="X235" s="33" t="inlineStr">
        <is>
          <t>Open ▸</t>
        </is>
      </c>
      <c r="Y235" s="34" t="str">
        <f>IFERROR(INDEX(DL_C,MATCH($CA235,DL_KEY,0)),"M")</f>
        <v>H</v>
      </c>
      <c r="Z235" s="35" t="str">
        <f>IFERROR(INDEX(DL_Au,MATCH($CA235,DL_KEY,0)),"M")</f>
        <v>M</v>
      </c>
      <c r="AA235" s="35" t="str">
        <f>IFERROR(INDEX(DL_Ac,MATCH($CA235,DL_KEY,0)),"M")</f>
        <v>L</v>
      </c>
      <c r="AB235" s="35" t="str">
        <f>IFERROR(INDEX(DL_L,MATCH($CA235,DL_KEY,0)),"M")</f>
        <v>L</v>
      </c>
      <c r="AC235" s="35" t="str">
        <f>IFERROR(INDEX(DL_BI,MATCH($CA235,DL_KEY,0)),"M")</f>
        <v>L</v>
      </c>
      <c r="AD235" s="35" t="str">
        <f>IFERROR(INDEX(DL_Exp,MATCH($CA235,DL_KEY,0)),"M")</f>
        <v>L</v>
      </c>
      <c r="AE235" s="35" t="str">
        <f>IFERROR(INDEX(DL_Edu,MATCH($CA235,DL_KEY,0)),"M")</f>
        <v>L</v>
      </c>
      <c r="AF235" s="34" t="inlineStr">
        <is>
          <t>M</t>
        </is>
      </c>
      <c r="AG235" s="35" t="inlineStr">
        <is>
          <t>M</t>
        </is>
      </c>
      <c r="AH235" s="35" t="inlineStr">
        <is>
          <t>M</t>
        </is>
      </c>
      <c r="AI235" s="35" t="inlineStr">
        <is>
          <t>M</t>
        </is>
      </c>
      <c r="AJ235" s="35" t="inlineStr">
        <is>
          <t>M</t>
        </is>
      </c>
      <c r="AK235" s="35" t="inlineStr">
        <is>
          <t>M</t>
        </is>
      </c>
      <c r="AL235" s="35" t="inlineStr">
        <is>
          <t>M</t>
        </is>
      </c>
      <c r="AM235" s="36" t="n">
        <v>0.583</v>
      </c>
      <c r="AN235" s="37" t="n">
        <v>0.16</v>
      </c>
      <c r="AO235" s="37" t="n">
        <v>0.09</v>
      </c>
      <c r="AP235" s="37" t="n">
        <v>0</v>
      </c>
      <c r="AQ235" s="37" t="n">
        <v>0.063</v>
      </c>
      <c r="AR235" s="37" t="n">
        <v>0.06</v>
      </c>
      <c r="AS235" s="37" t="n">
        <v>0.04</v>
      </c>
      <c r="AT235" s="38" t="inlineStr">
        <is>
          <t>2–5</t>
        </is>
      </c>
      <c r="AU235" s="38" t="inlineStr">
        <is>
          <t>Graduate; relevant certification preferred</t>
        </is>
      </c>
      <c r="AV235" s="38" t="inlineStr">
        <is>
          <t>None · guides 1–3 juniors informally</t>
        </is>
      </c>
      <c r="AW235" s="38" t="inlineStr">
        <is>
          <t>P2 · SFIA 3 Apply</t>
        </is>
      </c>
      <c r="AX2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5" s="39" t="inlineStr">
        <is>
          <t>A3</t>
        </is>
      </c>
      <c r="AZ235" s="40" t="inlineStr">
        <is>
          <t>Band A · Practitioner · Senior Associate</t>
        </is>
      </c>
      <c r="BA235" s="40" t="inlineStr">
        <is>
          <t>Model A3 from the six ratings, the market-derived weights and rules R1–R13 · then No change · already below the manager</t>
        </is>
      </c>
      <c r="BB235" s="41" t="inlineStr">
        <is>
          <t>A3</t>
        </is>
      </c>
      <c r="BC235" s="40" t="inlineStr">
        <is>
          <t>The six ratings on the market-average weights of Band A · all tracks score 3.05 → A3 · Hay, Mercer IPE and public plans · experience 4.3 yrs vs the A3 market range 2–5</t>
        </is>
      </c>
      <c r="BD235" s="42">
        <f>IF(SUM(BM235,BN235,BO235,BP235,BQ235,BR235,BS235)=0,0,(BM235*BT235+BN235*BU235+BO235*BV235+BP235*BW235+BQ235*BX235+BR235*BY235+BS235*BZ235)/SUM(BM235,BN235,BO235,BP235,BQ235,BR235,BS235))</f>
        <v>0</v>
      </c>
      <c r="BE235" s="41" t="str">
        <f>IF(LEFT(AY235,1)="X",AY235,IF(OR(AY235="B+",AY235="C+"),INDEX(LAD_PC,MAX(1,MIN(14,MATCH(AY235,LAD_PC,0)+IF(BD235&gt;=0.5,1,IF(BD235&lt;=-0.5,-1,0))))),INDEX(LAD_STD,MAX(1,MIN(12,MATCH(AY235,LAD_STD,0)+IF(BD235&gt;=0.5,1,IF(BD235&lt;=-0.5,-1,0)))))))</f>
        <v>A3</v>
      </c>
      <c r="BF235" s="43" t="n"/>
      <c r="BG235" s="41" t="str">
        <f>IF(BF235&lt;&gt;"",BF235,BE235)</f>
        <v>A3</v>
      </c>
      <c r="BH235" s="40" t="str">
        <f>IFERROR(CHOOSE(INDEX(B_RANK,MATCH(BG235,B_LVL,0)),"Band A","Band B","B+ · Player-Coach","Band C","C+ · Player-Coach","Band D","Band E"),"Band X · Consultant")</f>
        <v>Band A</v>
      </c>
      <c r="BI235" s="40" t="str">
        <f>IF(BG235=AY235,"• Same",IF(INDEX(B_VAL,MATCH(BG235,B_LVL,0))&gt;INDEX(B_VAL,MATCH(AY235,B_LVL,0)),"▲ Up","▼ Down"))</f>
        <v>• Same</v>
      </c>
      <c r="BJ235" s="40" t="str">
        <f>IF(OR($M235="",$M235="—",$M235="Not in this file"),"",IFERROR(INDEX($BG$7:$BG$592,MATCH($M235,$D$7:$D$592,0)),""))</f>
        <v>B1</v>
      </c>
      <c r="BK235" s="40" t="str">
        <f>IFERROR(IF(BJ235="","—",IF(OR(LEFT(BG235,1)="X",LEFT(BJ235,1)="X"),"—",IF(AND(LEFT(BG235,1)="E",LEFT(BJ235,1)="E"),"Exception · Band E",IF(AND(INDEX(B_VAL,MATCH(BJ235,B_LVL,0))&gt;=7,INDEX(B_RANK,MATCH(BG235,B_LVL,0))&gt;=INDEX(B_RANK,MATCH(BJ235,B_LVL,0))),"⚠ Same band as a head manager",IF(INDEX(B_VAL,MATCH(BG235,B_LVL,0))&gt;=INDEX(B_VAL,MATCH(BJ235,B_LVL,0)),"⚠ At or above the manager's level","OK"))))),"—")</f>
        <v>OK</v>
      </c>
      <c r="BL235" s="43" t="n"/>
      <c r="BM235" s="44">
        <f>IFERROR(INDEX(LMH_PTS,MATCH(Y235,LMH_KEY,0)),0)</f>
        <v>9</v>
      </c>
      <c r="BN235" s="38">
        <f>IFERROR(INDEX(LMH_PTS,MATCH(Z235,LMH_KEY,0)),0)</f>
        <v>3</v>
      </c>
      <c r="BO235" s="38">
        <f>IFERROR(INDEX(LMH_PTS,MATCH(AA235,LMH_KEY,0)),0)</f>
        <v>1</v>
      </c>
      <c r="BP235" s="38">
        <f>IFERROR(INDEX(LMH_PTS,MATCH(AB235,LMH_KEY,0)),0)</f>
        <v>1</v>
      </c>
      <c r="BQ235" s="38">
        <f>IFERROR(INDEX(LMH_PTS,MATCH(AC235,LMH_KEY,0)),0)</f>
        <v>1</v>
      </c>
      <c r="BR235" s="38">
        <f>IFERROR(INDEX(LMH_PTS,MATCH(AD235,LMH_KEY,0)),0)</f>
        <v>1</v>
      </c>
      <c r="BS235" s="38">
        <f>IFERROR(INDEX(LMH_PTS,MATCH(AE235,LMH_KEY,0)),0)</f>
        <v>1</v>
      </c>
      <c r="BT235" s="38">
        <f>IFERROR(INDEX(LMH_STEP,MATCH(AF235,LMH_KEY,0)),0)</f>
        <v>0</v>
      </c>
      <c r="BU235" s="38">
        <f>IFERROR(INDEX(LMH_STEP,MATCH(AG235,LMH_KEY,0)),0)</f>
        <v>0</v>
      </c>
      <c r="BV235" s="38">
        <f>IFERROR(INDEX(LMH_STEP,MATCH(AH235,LMH_KEY,0)),0)</f>
        <v>0</v>
      </c>
      <c r="BW235" s="38">
        <f>IFERROR(INDEX(LMH_STEP,MATCH(AI235,LMH_KEY,0)),0)</f>
        <v>0</v>
      </c>
      <c r="BX235" s="38">
        <f>IFERROR(INDEX(LMH_STEP,MATCH(AJ235,LMH_KEY,0)),0)</f>
        <v>0</v>
      </c>
      <c r="BY235" s="38">
        <f>IFERROR(INDEX(LMH_STEP,MATCH(AK235,LMH_KEY,0)),0)</f>
        <v>0</v>
      </c>
      <c r="BZ235" s="38">
        <f>IFERROR(INDEX(LMH_STEP,MATCH(AL235,LMH_KEY,0)),0)</f>
        <v>0</v>
      </c>
      <c r="CA235" s="38" t="inlineStr">
        <is>
          <t>iDEAL|Quality Assurance|Senior QA Automation Engineer|A3|A</t>
        </is>
      </c>
    </row>
    <row r="236" ht="110" customHeight="1">
      <c r="A236" s="28" t="inlineStr">
        <is>
          <t>iDEAL</t>
        </is>
      </c>
      <c r="B236" s="29" t="inlineStr">
        <is>
          <t>Quality Assurance</t>
        </is>
      </c>
      <c r="C236" s="29" t="n">
        <v>4</v>
      </c>
      <c r="D236" s="29" t="inlineStr">
        <is>
          <t>IRIS2522</t>
        </is>
      </c>
      <c r="E236" s="29" t="inlineStr">
        <is>
          <t>Tulasiram Chand</t>
        </is>
      </c>
      <c r="F236" s="29" t="inlineStr">
        <is>
          <t>QA Automation Engineer</t>
        </is>
      </c>
      <c r="G236" s="29" t="inlineStr">
        <is>
          <t>Senior QA Automation Engineer</t>
        </is>
      </c>
      <c r="H236" s="29" t="inlineStr">
        <is>
          <t>Quality Assurance</t>
        </is>
      </c>
      <c r="I236" s="29" t="inlineStr">
        <is>
          <t>Test Automation</t>
        </is>
      </c>
      <c r="J236" s="29" t="inlineStr">
        <is>
          <t>IC</t>
        </is>
      </c>
      <c r="K236" s="29" t="inlineStr">
        <is>
          <t>RC-146</t>
        </is>
      </c>
      <c r="L236" s="29" t="inlineStr">
        <is>
          <t>Reena Gotal</t>
        </is>
      </c>
      <c r="M236" s="29" t="inlineStr">
        <is>
          <t>IRIS0636</t>
        </is>
      </c>
      <c r="N236" s="29" t="n">
        <v>4.4</v>
      </c>
      <c r="O236" s="29" t="n">
        <v>0.4</v>
      </c>
      <c r="P236" s="29" t="inlineStr">
        <is>
          <t>MCA</t>
        </is>
      </c>
      <c r="Q236" s="29" t="inlineStr">
        <is>
          <t>L3 – Professional / Associate</t>
        </is>
      </c>
      <c r="R236" s="29" t="inlineStr">
        <is>
          <t>A3</t>
        </is>
      </c>
      <c r="S236" s="30" t="inlineStr">
        <is>
          <t>20 of 20</t>
        </is>
      </c>
      <c r="T236" s="31"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t>
        </is>
      </c>
      <c r="U236"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6" s="31" t="inlineStr">
        <is>
          <t>Latest rating: 3 · Potential: Medium · 9-box: Reliable Specialist · Readiness: Develop in role</t>
        </is>
      </c>
      <c r="W236" s="31" t="inlineStr">
        <is>
          <t>C M · Au M · Ac M · L L · BI M · Exp H · 4.4 yrs vs 2–4 yrs · Edu H · MCA</t>
        </is>
      </c>
      <c r="X236" s="33" t="inlineStr">
        <is>
          <t>Open ▸</t>
        </is>
      </c>
      <c r="Y236" s="34" t="str">
        <f>IFERROR(INDEX(DL_C,MATCH($CA236,DL_KEY,0)),"M")</f>
        <v>H</v>
      </c>
      <c r="Z236" s="35" t="str">
        <f>IFERROR(INDEX(DL_Au,MATCH($CA236,DL_KEY,0)),"M")</f>
        <v>M</v>
      </c>
      <c r="AA236" s="35" t="str">
        <f>IFERROR(INDEX(DL_Ac,MATCH($CA236,DL_KEY,0)),"M")</f>
        <v>L</v>
      </c>
      <c r="AB236" s="35" t="str">
        <f>IFERROR(INDEX(DL_L,MATCH($CA236,DL_KEY,0)),"M")</f>
        <v>L</v>
      </c>
      <c r="AC236" s="35" t="str">
        <f>IFERROR(INDEX(DL_BI,MATCH($CA236,DL_KEY,0)),"M")</f>
        <v>L</v>
      </c>
      <c r="AD236" s="35" t="str">
        <f>IFERROR(INDEX(DL_Exp,MATCH($CA236,DL_KEY,0)),"M")</f>
        <v>L</v>
      </c>
      <c r="AE236" s="35" t="str">
        <f>IFERROR(INDEX(DL_Edu,MATCH($CA236,DL_KEY,0)),"M")</f>
        <v>L</v>
      </c>
      <c r="AF236" s="34" t="inlineStr">
        <is>
          <t>M</t>
        </is>
      </c>
      <c r="AG236" s="35" t="inlineStr">
        <is>
          <t>M</t>
        </is>
      </c>
      <c r="AH236" s="35" t="inlineStr">
        <is>
          <t>M</t>
        </is>
      </c>
      <c r="AI236" s="35" t="inlineStr">
        <is>
          <t>M</t>
        </is>
      </c>
      <c r="AJ236" s="35" t="inlineStr">
        <is>
          <t>M</t>
        </is>
      </c>
      <c r="AK236" s="35" t="inlineStr">
        <is>
          <t>M</t>
        </is>
      </c>
      <c r="AL236" s="35" t="inlineStr">
        <is>
          <t>M</t>
        </is>
      </c>
      <c r="AM236" s="36" t="n">
        <v>0.583</v>
      </c>
      <c r="AN236" s="37" t="n">
        <v>0.16</v>
      </c>
      <c r="AO236" s="37" t="n">
        <v>0.09</v>
      </c>
      <c r="AP236" s="37" t="n">
        <v>0</v>
      </c>
      <c r="AQ236" s="37" t="n">
        <v>0.063</v>
      </c>
      <c r="AR236" s="37" t="n">
        <v>0.06</v>
      </c>
      <c r="AS236" s="37" t="n">
        <v>0.04</v>
      </c>
      <c r="AT236" s="38" t="inlineStr">
        <is>
          <t>2–5</t>
        </is>
      </c>
      <c r="AU236" s="38" t="inlineStr">
        <is>
          <t>Graduate; relevant certification preferred</t>
        </is>
      </c>
      <c r="AV236" s="38" t="inlineStr">
        <is>
          <t>None · guides 1–3 juniors informally</t>
        </is>
      </c>
      <c r="AW236" s="38" t="inlineStr">
        <is>
          <t>P2 · SFIA 3 Apply</t>
        </is>
      </c>
      <c r="AX2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6" s="39" t="inlineStr">
        <is>
          <t>A3</t>
        </is>
      </c>
      <c r="AZ236" s="40" t="inlineStr">
        <is>
          <t>Band A · Practitioner · Senior Associate</t>
        </is>
      </c>
      <c r="BA236" s="40" t="inlineStr">
        <is>
          <t>Model A3 from the six ratings, the market-derived weights and rules R1–R13 · then No change · already below the manager</t>
        </is>
      </c>
      <c r="BB236" s="41" t="inlineStr">
        <is>
          <t>A3</t>
        </is>
      </c>
      <c r="BC236" s="40" t="inlineStr">
        <is>
          <t>The six ratings on the market-average weights of Band A · all tracks score 2.94 → A3 · Hay, Mercer IPE and public plans · experience 4.4 yrs vs the A3 market range 2–5</t>
        </is>
      </c>
      <c r="BD236" s="42">
        <f>IF(SUM(BM236,BN236,BO236,BP236,BQ236,BR236,BS236)=0,0,(BM236*BT236+BN236*BU236+BO236*BV236+BP236*BW236+BQ236*BX236+BR236*BY236+BS236*BZ236)/SUM(BM236,BN236,BO236,BP236,BQ236,BR236,BS236))</f>
        <v>0</v>
      </c>
      <c r="BE236" s="41" t="str">
        <f>IF(LEFT(AY236,1)="X",AY236,IF(OR(AY236="B+",AY236="C+"),INDEX(LAD_PC,MAX(1,MIN(14,MATCH(AY236,LAD_PC,0)+IF(BD236&gt;=0.5,1,IF(BD236&lt;=-0.5,-1,0))))),INDEX(LAD_STD,MAX(1,MIN(12,MATCH(AY236,LAD_STD,0)+IF(BD236&gt;=0.5,1,IF(BD236&lt;=-0.5,-1,0)))))))</f>
        <v>A3</v>
      </c>
      <c r="BF236" s="43" t="n"/>
      <c r="BG236" s="41" t="str">
        <f>IF(BF236&lt;&gt;"",BF236,BE236)</f>
        <v>A3</v>
      </c>
      <c r="BH236" s="40" t="str">
        <f>IFERROR(CHOOSE(INDEX(B_RANK,MATCH(BG236,B_LVL,0)),"Band A","Band B","B+ · Player-Coach","Band C","C+ · Player-Coach","Band D","Band E"),"Band X · Consultant")</f>
        <v>Band A</v>
      </c>
      <c r="BI236" s="40" t="str">
        <f>IF(BG236=AY236,"• Same",IF(INDEX(B_VAL,MATCH(BG236,B_LVL,0))&gt;INDEX(B_VAL,MATCH(AY236,B_LVL,0)),"▲ Up","▼ Down"))</f>
        <v>• Same</v>
      </c>
      <c r="BJ236" s="40" t="str">
        <f>IF(OR($M236="",$M236="—",$M236="Not in this file"),"",IFERROR(INDEX($BG$7:$BG$592,MATCH($M236,$D$7:$D$592,0)),""))</f>
        <v>B1</v>
      </c>
      <c r="BK236" s="40" t="str">
        <f>IFERROR(IF(BJ236="","—",IF(OR(LEFT(BG236,1)="X",LEFT(BJ236,1)="X"),"—",IF(AND(LEFT(BG236,1)="E",LEFT(BJ236,1)="E"),"Exception · Band E",IF(AND(INDEX(B_VAL,MATCH(BJ236,B_LVL,0))&gt;=7,INDEX(B_RANK,MATCH(BG236,B_LVL,0))&gt;=INDEX(B_RANK,MATCH(BJ236,B_LVL,0))),"⚠ Same band as a head manager",IF(INDEX(B_VAL,MATCH(BG236,B_LVL,0))&gt;=INDEX(B_VAL,MATCH(BJ236,B_LVL,0)),"⚠ At or above the manager's level","OK"))))),"—")</f>
        <v>OK</v>
      </c>
      <c r="BL236" s="43" t="n"/>
      <c r="BM236" s="44">
        <f>IFERROR(INDEX(LMH_PTS,MATCH(Y236,LMH_KEY,0)),0)</f>
        <v>9</v>
      </c>
      <c r="BN236" s="38">
        <f>IFERROR(INDEX(LMH_PTS,MATCH(Z236,LMH_KEY,0)),0)</f>
        <v>3</v>
      </c>
      <c r="BO236" s="38">
        <f>IFERROR(INDEX(LMH_PTS,MATCH(AA236,LMH_KEY,0)),0)</f>
        <v>1</v>
      </c>
      <c r="BP236" s="38">
        <f>IFERROR(INDEX(LMH_PTS,MATCH(AB236,LMH_KEY,0)),0)</f>
        <v>1</v>
      </c>
      <c r="BQ236" s="38">
        <f>IFERROR(INDEX(LMH_PTS,MATCH(AC236,LMH_KEY,0)),0)</f>
        <v>1</v>
      </c>
      <c r="BR236" s="38">
        <f>IFERROR(INDEX(LMH_PTS,MATCH(AD236,LMH_KEY,0)),0)</f>
        <v>1</v>
      </c>
      <c r="BS236" s="38">
        <f>IFERROR(INDEX(LMH_PTS,MATCH(AE236,LMH_KEY,0)),0)</f>
        <v>1</v>
      </c>
      <c r="BT236" s="38">
        <f>IFERROR(INDEX(LMH_STEP,MATCH(AF236,LMH_KEY,0)),0)</f>
        <v>0</v>
      </c>
      <c r="BU236" s="38">
        <f>IFERROR(INDEX(LMH_STEP,MATCH(AG236,LMH_KEY,0)),0)</f>
        <v>0</v>
      </c>
      <c r="BV236" s="38">
        <f>IFERROR(INDEX(LMH_STEP,MATCH(AH236,LMH_KEY,0)),0)</f>
        <v>0</v>
      </c>
      <c r="BW236" s="38">
        <f>IFERROR(INDEX(LMH_STEP,MATCH(AI236,LMH_KEY,0)),0)</f>
        <v>0</v>
      </c>
      <c r="BX236" s="38">
        <f>IFERROR(INDEX(LMH_STEP,MATCH(AJ236,LMH_KEY,0)),0)</f>
        <v>0</v>
      </c>
      <c r="BY236" s="38">
        <f>IFERROR(INDEX(LMH_STEP,MATCH(AK236,LMH_KEY,0)),0)</f>
        <v>0</v>
      </c>
      <c r="BZ236" s="38">
        <f>IFERROR(INDEX(LMH_STEP,MATCH(AL236,LMH_KEY,0)),0)</f>
        <v>0</v>
      </c>
      <c r="CA236" s="38" t="inlineStr">
        <is>
          <t>iDEAL|Quality Assurance|Senior QA Automation Engineer|A3|A</t>
        </is>
      </c>
    </row>
    <row r="237" ht="110" customHeight="1">
      <c r="A237" s="28" t="inlineStr">
        <is>
          <t>iFile</t>
        </is>
      </c>
      <c r="B237" s="29" t="inlineStr">
        <is>
          <t>Sales</t>
        </is>
      </c>
      <c r="C237" s="29" t="n">
        <v>2</v>
      </c>
      <c r="D237" s="29" t="inlineStr">
        <is>
          <t>IRIS0242</t>
        </is>
      </c>
      <c r="E237" s="29" t="inlineStr">
        <is>
          <t>Arup Ganguly</t>
        </is>
      </c>
      <c r="F237" s="29" t="inlineStr">
        <is>
          <t>Head Sales - SupTech</t>
        </is>
      </c>
      <c r="G237" s="29" t="inlineStr">
        <is>
          <t>Head – Sales</t>
        </is>
      </c>
      <c r="H237" s="29" t="inlineStr">
        <is>
          <t>Sales &amp; Business Development</t>
        </is>
      </c>
      <c r="I237" s="29" t="inlineStr">
        <is>
          <t>Sales Leadership</t>
        </is>
      </c>
      <c r="J237" s="29" t="inlineStr">
        <is>
          <t>People Manager</t>
        </is>
      </c>
      <c r="K237" s="29" t="inlineStr">
        <is>
          <t>RC-171</t>
        </is>
      </c>
      <c r="L237" s="29" t="inlineStr">
        <is>
          <t>Shailesh Gupta</t>
        </is>
      </c>
      <c r="M237" s="29" t="inlineStr">
        <is>
          <t>IRIS0012</t>
        </is>
      </c>
      <c r="N237" s="29" t="n">
        <v>24.1</v>
      </c>
      <c r="O237" s="29" t="n">
        <v>17.9</v>
      </c>
      <c r="P237" s="29" t="inlineStr">
        <is>
          <t>MBA</t>
        </is>
      </c>
      <c r="Q237" s="29" t="inlineStr">
        <is>
          <t>Not in current mapping files</t>
        </is>
      </c>
      <c r="R237" s="29" t="inlineStr">
        <is>
          <t>C2</t>
        </is>
      </c>
      <c r="S237" s="30" t="inlineStr">
        <is>
          <t>0 of 20</t>
        </is>
      </c>
      <c r="T23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37" s="32" t="inlineStr">
        <is>
          <t>KRAs not received · manager to supply</t>
        </is>
      </c>
      <c r="V237" s="31" t="inlineStr">
        <is>
          <t>Latest rating: Not rated · manager · 9-box: Not placed · manager · Readiness: No rating data</t>
        </is>
      </c>
      <c r="W237" s="31" t="inlineStr">
        <is>
          <t>C M · Au M · Ac M · L L · BI M · Exp H · 24.1 yrs vs 12–17 yrs · Edu M · MBA</t>
        </is>
      </c>
      <c r="X237" s="33" t="inlineStr">
        <is>
          <t>Open ▸</t>
        </is>
      </c>
      <c r="Y237" s="34" t="str">
        <f>IFERROR(INDEX(DL_C,MATCH($CA237,DL_KEY,0)),"M")</f>
        <v>H</v>
      </c>
      <c r="Z237" s="35" t="str">
        <f>IFERROR(INDEX(DL_Au,MATCH($CA237,DL_KEY,0)),"M")</f>
        <v>M</v>
      </c>
      <c r="AA237" s="35" t="str">
        <f>IFERROR(INDEX(DL_Ac,MATCH($CA237,DL_KEY,0)),"M")</f>
        <v>L</v>
      </c>
      <c r="AB237" s="35" t="str">
        <f>IFERROR(INDEX(DL_L,MATCH($CA237,DL_KEY,0)),"M")</f>
        <v>M</v>
      </c>
      <c r="AC237" s="35" t="str">
        <f>IFERROR(INDEX(DL_BI,MATCH($CA237,DL_KEY,0)),"M")</f>
        <v>M</v>
      </c>
      <c r="AD237" s="35" t="str">
        <f>IFERROR(INDEX(DL_Exp,MATCH($CA237,DL_KEY,0)),"M")</f>
        <v>L</v>
      </c>
      <c r="AE237" s="35" t="str">
        <f>IFERROR(INDEX(DL_Edu,MATCH($CA237,DL_KEY,0)),"M")</f>
        <v>L</v>
      </c>
      <c r="AF237" s="34" t="inlineStr">
        <is>
          <t>M</t>
        </is>
      </c>
      <c r="AG237" s="35" t="inlineStr">
        <is>
          <t>M</t>
        </is>
      </c>
      <c r="AH237" s="35" t="inlineStr">
        <is>
          <t>M</t>
        </is>
      </c>
      <c r="AI237" s="35" t="inlineStr">
        <is>
          <t>M</t>
        </is>
      </c>
      <c r="AJ237" s="35" t="inlineStr">
        <is>
          <t>M</t>
        </is>
      </c>
      <c r="AK237" s="35" t="inlineStr">
        <is>
          <t>M</t>
        </is>
      </c>
      <c r="AL237" s="35" t="inlineStr">
        <is>
          <t>M</t>
        </is>
      </c>
      <c r="AM237" s="36" t="n">
        <v>0.433</v>
      </c>
      <c r="AN237" s="37" t="n">
        <v>0.18</v>
      </c>
      <c r="AO237" s="37" t="n">
        <v>0.107</v>
      </c>
      <c r="AP237" s="37" t="n">
        <v>0.15</v>
      </c>
      <c r="AQ237" s="37" t="n">
        <v>0.08</v>
      </c>
      <c r="AR237" s="37" t="n">
        <v>0.04</v>
      </c>
      <c r="AS237" s="37" t="n">
        <v>0.01</v>
      </c>
      <c r="AT237" s="38" t="inlineStr">
        <is>
          <t>12–17 yrs</t>
        </is>
      </c>
      <c r="AU237" s="38" t="inlineStr">
        <is>
          <t>Postgraduate / professional qualification preferred</t>
        </is>
      </c>
      <c r="AV237" s="38" t="inlineStr">
        <is>
          <t>5–8 managers / associate heads</t>
        </is>
      </c>
      <c r="AW237" s="38" t="inlineStr">
        <is>
          <t>P7 / M6 · SFIA 6 Initiate, influence</t>
        </is>
      </c>
      <c r="AX2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7" s="39" t="inlineStr">
        <is>
          <t>C2</t>
        </is>
      </c>
      <c r="AZ237" s="40" t="inlineStr">
        <is>
          <t>Band C · Principal / Head · Head of Function</t>
        </is>
      </c>
      <c r="BA237" s="40" t="inlineStr">
        <is>
          <t>Model C2 from the six ratings, the market-derived weights and rules R1–R13 · then No change · already below the manager</t>
        </is>
      </c>
      <c r="BB237" s="41" t="inlineStr">
        <is>
          <t>C2</t>
        </is>
      </c>
      <c r="BC237" s="40" t="inlineStr">
        <is>
          <t>The six ratings on the market-average weights of Band C · Head / manager score 7.93 → C2 · Hay, Mercer IPE and public plans · experience 24.1 yrs vs the C2 market range 12–17 yrs</t>
        </is>
      </c>
      <c r="BD237" s="42">
        <f>IF(SUM(BM237,BN237,BO237,BP237,BQ237,BR237,BS237)=0,0,(BM237*BT237+BN237*BU237+BO237*BV237+BP237*BW237+BQ237*BX237+BR237*BY237+BS237*BZ237)/SUM(BM237,BN237,BO237,BP237,BQ237,BR237,BS237))</f>
        <v>0</v>
      </c>
      <c r="BE237" s="41" t="str">
        <f>IF(LEFT(AY237,1)="X",AY237,IF(OR(AY237="B+",AY237="C+"),INDEX(LAD_PC,MAX(1,MIN(14,MATCH(AY237,LAD_PC,0)+IF(BD237&gt;=0.5,1,IF(BD237&lt;=-0.5,-1,0))))),INDEX(LAD_STD,MAX(1,MIN(12,MATCH(AY237,LAD_STD,0)+IF(BD237&gt;=0.5,1,IF(BD237&lt;=-0.5,-1,0)))))))</f>
        <v>C2</v>
      </c>
      <c r="BF237" s="43" t="n"/>
      <c r="BG237" s="41" t="str">
        <f>IF(BF237&lt;&gt;"",BF237,BE237)</f>
        <v>C2</v>
      </c>
      <c r="BH237" s="40" t="str">
        <f>IFERROR(CHOOSE(INDEX(B_RANK,MATCH(BG237,B_LVL,0)),"Band A","Band B","B+ · Player-Coach","Band C","C+ · Player-Coach","Band D","Band E"),"Band X · Consultant")</f>
        <v>Band C</v>
      </c>
      <c r="BI237" s="40" t="str">
        <f>IF(BG237=AY237,"• Same",IF(INDEX(B_VAL,MATCH(BG237,B_LVL,0))&gt;INDEX(B_VAL,MATCH(AY237,B_LVL,0)),"▲ Up","▼ Down"))</f>
        <v>• Same</v>
      </c>
      <c r="BJ237" s="40" t="str">
        <f>IF(OR($M237="",$M237="—",$M237="Not in this file"),"",IFERROR(INDEX($BG$7:$BG$592,MATCH($M237,$D$7:$D$592,0)),""))</f>
        <v>D2</v>
      </c>
      <c r="BK237" s="40" t="str">
        <f>IFERROR(IF(BJ237="","—",IF(OR(LEFT(BG237,1)="X",LEFT(BJ237,1)="X"),"—",IF(AND(LEFT(BG237,1)="E",LEFT(BJ237,1)="E"),"Exception · Band E",IF(AND(INDEX(B_VAL,MATCH(BJ237,B_LVL,0))&gt;=7,INDEX(B_RANK,MATCH(BG237,B_LVL,0))&gt;=INDEX(B_RANK,MATCH(BJ237,B_LVL,0))),"⚠ Same band as a head manager",IF(INDEX(B_VAL,MATCH(BG237,B_LVL,0))&gt;=INDEX(B_VAL,MATCH(BJ237,B_LVL,0)),"⚠ At or above the manager's level","OK"))))),"—")</f>
        <v>OK</v>
      </c>
      <c r="BL237" s="43" t="n"/>
      <c r="BM237" s="44">
        <f>IFERROR(INDEX(LMH_PTS,MATCH(Y237,LMH_KEY,0)),0)</f>
        <v>9</v>
      </c>
      <c r="BN237" s="38">
        <f>IFERROR(INDEX(LMH_PTS,MATCH(Z237,LMH_KEY,0)),0)</f>
        <v>3</v>
      </c>
      <c r="BO237" s="38">
        <f>IFERROR(INDEX(LMH_PTS,MATCH(AA237,LMH_KEY,0)),0)</f>
        <v>1</v>
      </c>
      <c r="BP237" s="38">
        <f>IFERROR(INDEX(LMH_PTS,MATCH(AB237,LMH_KEY,0)),0)</f>
        <v>3</v>
      </c>
      <c r="BQ237" s="38">
        <f>IFERROR(INDEX(LMH_PTS,MATCH(AC237,LMH_KEY,0)),0)</f>
        <v>3</v>
      </c>
      <c r="BR237" s="38">
        <f>IFERROR(INDEX(LMH_PTS,MATCH(AD237,LMH_KEY,0)),0)</f>
        <v>1</v>
      </c>
      <c r="BS237" s="38">
        <f>IFERROR(INDEX(LMH_PTS,MATCH(AE237,LMH_KEY,0)),0)</f>
        <v>1</v>
      </c>
      <c r="BT237" s="38">
        <f>IFERROR(INDEX(LMH_STEP,MATCH(AF237,LMH_KEY,0)),0)</f>
        <v>0</v>
      </c>
      <c r="BU237" s="38">
        <f>IFERROR(INDEX(LMH_STEP,MATCH(AG237,LMH_KEY,0)),0)</f>
        <v>0</v>
      </c>
      <c r="BV237" s="38">
        <f>IFERROR(INDEX(LMH_STEP,MATCH(AH237,LMH_KEY,0)),0)</f>
        <v>0</v>
      </c>
      <c r="BW237" s="38">
        <f>IFERROR(INDEX(LMH_STEP,MATCH(AI237,LMH_KEY,0)),0)</f>
        <v>0</v>
      </c>
      <c r="BX237" s="38">
        <f>IFERROR(INDEX(LMH_STEP,MATCH(AJ237,LMH_KEY,0)),0)</f>
        <v>0</v>
      </c>
      <c r="BY237" s="38">
        <f>IFERROR(INDEX(LMH_STEP,MATCH(AK237,LMH_KEY,0)),0)</f>
        <v>0</v>
      </c>
      <c r="BZ237" s="38">
        <f>IFERROR(INDEX(LMH_STEP,MATCH(AL237,LMH_KEY,0)),0)</f>
        <v>0</v>
      </c>
      <c r="CA237" s="38" t="inlineStr">
        <is>
          <t>iFile|Sales|Head – Sales|C2|C-M</t>
        </is>
      </c>
    </row>
    <row r="238" ht="110" customHeight="1">
      <c r="A238" s="28" t="inlineStr">
        <is>
          <t>iFile</t>
        </is>
      </c>
      <c r="B238" s="29" t="inlineStr">
        <is>
          <t>Sales</t>
        </is>
      </c>
      <c r="C238" s="29" t="n">
        <v>3</v>
      </c>
      <c r="D238" s="29" t="inlineStr">
        <is>
          <t>IRIS1687</t>
        </is>
      </c>
      <c r="E238" s="29" t="inlineStr">
        <is>
          <t>Amit Jaidka</t>
        </is>
      </c>
      <c r="F238" s="29" t="inlineStr">
        <is>
          <t>Manager Sales</t>
        </is>
      </c>
      <c r="G238" s="29" t="inlineStr">
        <is>
          <t>Lead Alliances Specialist – POD Lead</t>
        </is>
      </c>
      <c r="H238" s="29" t="inlineStr">
        <is>
          <t>Sales &amp; Business Development</t>
        </is>
      </c>
      <c r="I238" s="29" t="inlineStr">
        <is>
          <t>Partnerships &amp; Alliances</t>
        </is>
      </c>
      <c r="J238" s="29" t="inlineStr">
        <is>
          <t>POD Lead</t>
        </is>
      </c>
      <c r="K238" s="29" t="inlineStr">
        <is>
          <t>RC-160</t>
        </is>
      </c>
      <c r="L238" s="29" t="inlineStr">
        <is>
          <t>Arup Ganguly</t>
        </is>
      </c>
      <c r="M238" s="29" t="inlineStr">
        <is>
          <t>IRIS0242</t>
        </is>
      </c>
      <c r="N238" s="29" t="n">
        <v>19.8</v>
      </c>
      <c r="O238" s="29" t="n">
        <v>8.800000000000001</v>
      </c>
      <c r="P238" s="29" t="inlineStr">
        <is>
          <t>MBA</t>
        </is>
      </c>
      <c r="Q238" s="29" t="inlineStr">
        <is>
          <t>L5 – Manager</t>
        </is>
      </c>
      <c r="R238" s="29" t="inlineStr">
        <is>
          <t>B3</t>
        </is>
      </c>
      <c r="S238" s="30" t="inlineStr">
        <is>
          <t>20 of 20</t>
        </is>
      </c>
      <c r="T238" s="31"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t>
        </is>
      </c>
      <c r="U238" s="31" t="inlineStr">
        <is>
          <t>Received · manager annual, quarterly, self · 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t>
        </is>
      </c>
      <c r="V238" s="31" t="inlineStr">
        <is>
          <t>Latest rating: 5 · Potential: High · 9-box: Future Leader · Readiness: Ready now</t>
        </is>
      </c>
      <c r="W238" s="31" t="inlineStr">
        <is>
          <t>C L · Au L · Ac L · L L · BI M · Exp H · 19.8 yrs vs 8–12 yrs · Edu M · MBA</t>
        </is>
      </c>
      <c r="X238" s="33" t="inlineStr">
        <is>
          <t>Open ▸</t>
        </is>
      </c>
      <c r="Y238" s="34" t="str">
        <f>IFERROR(INDEX(DL_C,MATCH($CA238,DL_KEY,0)),"M")</f>
        <v>H</v>
      </c>
      <c r="Z238" s="35" t="str">
        <f>IFERROR(INDEX(DL_Au,MATCH($CA238,DL_KEY,0)),"M")</f>
        <v>M</v>
      </c>
      <c r="AA238" s="35" t="str">
        <f>IFERROR(INDEX(DL_Ac,MATCH($CA238,DL_KEY,0)),"M")</f>
        <v>L</v>
      </c>
      <c r="AB238" s="35" t="str">
        <f>IFERROR(INDEX(DL_L,MATCH($CA238,DL_KEY,0)),"M")</f>
        <v>L</v>
      </c>
      <c r="AC238" s="35" t="str">
        <f>IFERROR(INDEX(DL_BI,MATCH($CA238,DL_KEY,0)),"M")</f>
        <v>M</v>
      </c>
      <c r="AD238" s="35" t="str">
        <f>IFERROR(INDEX(DL_Exp,MATCH($CA238,DL_KEY,0)),"M")</f>
        <v>L</v>
      </c>
      <c r="AE238" s="35" t="str">
        <f>IFERROR(INDEX(DL_Edu,MATCH($CA238,DL_KEY,0)),"M")</f>
        <v>L</v>
      </c>
      <c r="AF238" s="34" t="inlineStr">
        <is>
          <t>M</t>
        </is>
      </c>
      <c r="AG238" s="35" t="inlineStr">
        <is>
          <t>M</t>
        </is>
      </c>
      <c r="AH238" s="35" t="inlineStr">
        <is>
          <t>M</t>
        </is>
      </c>
      <c r="AI238" s="35" t="inlineStr">
        <is>
          <t>M</t>
        </is>
      </c>
      <c r="AJ238" s="35" t="inlineStr">
        <is>
          <t>M</t>
        </is>
      </c>
      <c r="AK238" s="35" t="inlineStr">
        <is>
          <t>M</t>
        </is>
      </c>
      <c r="AL238" s="35" t="inlineStr">
        <is>
          <t>M</t>
        </is>
      </c>
      <c r="AM238" s="36" t="n">
        <v>0.513</v>
      </c>
      <c r="AN238" s="37" t="n">
        <v>0.173</v>
      </c>
      <c r="AO238" s="37" t="n">
        <v>0.09699999999999999</v>
      </c>
      <c r="AP238" s="37" t="n">
        <v>0.05</v>
      </c>
      <c r="AQ238" s="37" t="n">
        <v>0.07000000000000001</v>
      </c>
      <c r="AR238" s="37" t="n">
        <v>0.06</v>
      </c>
      <c r="AS238" s="37" t="n">
        <v>0.04</v>
      </c>
      <c r="AT238" s="38" t="inlineStr">
        <is>
          <t>8–13</t>
        </is>
      </c>
      <c r="AU238" s="38" t="inlineStr">
        <is>
          <t>Postgraduate or professional qualification preferred</t>
        </is>
      </c>
      <c r="AV238" s="38" t="inlineStr">
        <is>
          <t>IC: none · People: 5–8 incl. team leads</t>
        </is>
      </c>
      <c r="AW238" s="38" t="inlineStr">
        <is>
          <t>P5 / M4 · SFIA 5 Ensure, advise</t>
        </is>
      </c>
      <c r="AX2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8" s="39" t="inlineStr">
        <is>
          <t>B3</t>
        </is>
      </c>
      <c r="AZ238" s="40" t="inlineStr">
        <is>
          <t>Band B · Specialist / Manager · Senior Manager</t>
        </is>
      </c>
      <c r="BA238" s="40" t="inlineStr">
        <is>
          <t>Model B3 from the six ratings, the market-derived weights and rules R1–R13 · then No change · already below the manager</t>
        </is>
      </c>
      <c r="BB238" s="41" t="inlineStr">
        <is>
          <t>B2</t>
        </is>
      </c>
      <c r="BC238" s="40" t="inlineStr">
        <is>
          <t>The six ratings on the market-average weights of Band B · Specialist / POD Lead score 5.48 → B2 · Hay, Mercer IPE and public plans · experience 19.8 yrs vs the B2 market range 6–10</t>
        </is>
      </c>
      <c r="BD238" s="42">
        <f>IF(SUM(BM238,BN238,BO238,BP238,BQ238,BR238,BS238)=0,0,(BM238*BT238+BN238*BU238+BO238*BV238+BP238*BW238+BQ238*BX238+BR238*BY238+BS238*BZ238)/SUM(BM238,BN238,BO238,BP238,BQ238,BR238,BS238))</f>
        <v>0</v>
      </c>
      <c r="BE238" s="41" t="str">
        <f>IF(LEFT(AY238,1)="X",AY238,IF(OR(AY238="B+",AY238="C+"),INDEX(LAD_PC,MAX(1,MIN(14,MATCH(AY238,LAD_PC,0)+IF(BD238&gt;=0.5,1,IF(BD238&lt;=-0.5,-1,0))))),INDEX(LAD_STD,MAX(1,MIN(12,MATCH(AY238,LAD_STD,0)+IF(BD238&gt;=0.5,1,IF(BD238&lt;=-0.5,-1,0)))))))</f>
        <v>B3</v>
      </c>
      <c r="BF238" s="43" t="n"/>
      <c r="BG238" s="41" t="str">
        <f>IF(BF238&lt;&gt;"",BF238,BE238)</f>
        <v>B3</v>
      </c>
      <c r="BH238" s="40" t="str">
        <f>IFERROR(CHOOSE(INDEX(B_RANK,MATCH(BG238,B_LVL,0)),"Band A","Band B","B+ · Player-Coach","Band C","C+ · Player-Coach","Band D","Band E"),"Band X · Consultant")</f>
        <v>Band B</v>
      </c>
      <c r="BI238" s="40" t="str">
        <f>IF(BG238=AY238,"• Same",IF(INDEX(B_VAL,MATCH(BG238,B_LVL,0))&gt;INDEX(B_VAL,MATCH(AY238,B_LVL,0)),"▲ Up","▼ Down"))</f>
        <v>• Same</v>
      </c>
      <c r="BJ238" s="40" t="str">
        <f>IF(OR($M238="",$M238="—",$M238="Not in this file"),"",IFERROR(INDEX($BG$7:$BG$592,MATCH($M238,$D$7:$D$592,0)),""))</f>
        <v>C2</v>
      </c>
      <c r="BK238" s="40" t="str">
        <f>IFERROR(IF(BJ238="","—",IF(OR(LEFT(BG238,1)="X",LEFT(BJ238,1)="X"),"—",IF(AND(LEFT(BG238,1)="E",LEFT(BJ238,1)="E"),"Exception · Band E",IF(AND(INDEX(B_VAL,MATCH(BJ238,B_LVL,0))&gt;=7,INDEX(B_RANK,MATCH(BG238,B_LVL,0))&gt;=INDEX(B_RANK,MATCH(BJ238,B_LVL,0))),"⚠ Same band as a head manager",IF(INDEX(B_VAL,MATCH(BG238,B_LVL,0))&gt;=INDEX(B_VAL,MATCH(BJ238,B_LVL,0)),"⚠ At or above the manager's level","OK"))))),"—")</f>
        <v>OK</v>
      </c>
      <c r="BL238" s="43" t="n"/>
      <c r="BM238" s="44">
        <f>IFERROR(INDEX(LMH_PTS,MATCH(Y238,LMH_KEY,0)),0)</f>
        <v>9</v>
      </c>
      <c r="BN238" s="38">
        <f>IFERROR(INDEX(LMH_PTS,MATCH(Z238,LMH_KEY,0)),0)</f>
        <v>3</v>
      </c>
      <c r="BO238" s="38">
        <f>IFERROR(INDEX(LMH_PTS,MATCH(AA238,LMH_KEY,0)),0)</f>
        <v>1</v>
      </c>
      <c r="BP238" s="38">
        <f>IFERROR(INDEX(LMH_PTS,MATCH(AB238,LMH_KEY,0)),0)</f>
        <v>1</v>
      </c>
      <c r="BQ238" s="38">
        <f>IFERROR(INDEX(LMH_PTS,MATCH(AC238,LMH_KEY,0)),0)</f>
        <v>3</v>
      </c>
      <c r="BR238" s="38">
        <f>IFERROR(INDEX(LMH_PTS,MATCH(AD238,LMH_KEY,0)),0)</f>
        <v>1</v>
      </c>
      <c r="BS238" s="38">
        <f>IFERROR(INDEX(LMH_PTS,MATCH(AE238,LMH_KEY,0)),0)</f>
        <v>1</v>
      </c>
      <c r="BT238" s="38">
        <f>IFERROR(INDEX(LMH_STEP,MATCH(AF238,LMH_KEY,0)),0)</f>
        <v>0</v>
      </c>
      <c r="BU238" s="38">
        <f>IFERROR(INDEX(LMH_STEP,MATCH(AG238,LMH_KEY,0)),0)</f>
        <v>0</v>
      </c>
      <c r="BV238" s="38">
        <f>IFERROR(INDEX(LMH_STEP,MATCH(AH238,LMH_KEY,0)),0)</f>
        <v>0</v>
      </c>
      <c r="BW238" s="38">
        <f>IFERROR(INDEX(LMH_STEP,MATCH(AI238,LMH_KEY,0)),0)</f>
        <v>0</v>
      </c>
      <c r="BX238" s="38">
        <f>IFERROR(INDEX(LMH_STEP,MATCH(AJ238,LMH_KEY,0)),0)</f>
        <v>0</v>
      </c>
      <c r="BY238" s="38">
        <f>IFERROR(INDEX(LMH_STEP,MATCH(AK238,LMH_KEY,0)),0)</f>
        <v>0</v>
      </c>
      <c r="BZ238" s="38">
        <f>IFERROR(INDEX(LMH_STEP,MATCH(AL238,LMH_KEY,0)),0)</f>
        <v>0</v>
      </c>
      <c r="CA238" s="38" t="inlineStr">
        <is>
          <t>iFile|Sales|Lead Alliances Specialist – POD Lead|B3|B-IC</t>
        </is>
      </c>
    </row>
    <row r="239" ht="110" customHeight="1">
      <c r="A239" s="28" t="inlineStr">
        <is>
          <t>iFile</t>
        </is>
      </c>
      <c r="B239" s="29" t="inlineStr">
        <is>
          <t>Sales</t>
        </is>
      </c>
      <c r="C239" s="29" t="n">
        <v>4</v>
      </c>
      <c r="D239" s="29" t="inlineStr">
        <is>
          <t>IRIS2070</t>
        </is>
      </c>
      <c r="E239" s="29" t="inlineStr">
        <is>
          <t>Shreya Jolly</t>
        </is>
      </c>
      <c r="F239" s="29" t="inlineStr">
        <is>
          <t>Assistant Manager Sales</t>
        </is>
      </c>
      <c r="G239" s="29" t="inlineStr">
        <is>
          <t>Account Executive – POD Lead</t>
        </is>
      </c>
      <c r="H239" s="29" t="inlineStr">
        <is>
          <t>Sales &amp; Business Development</t>
        </is>
      </c>
      <c r="I239" s="29" t="inlineStr">
        <is>
          <t>Enterprise Sales &amp; Account Management</t>
        </is>
      </c>
      <c r="J239" s="29" t="inlineStr">
        <is>
          <t>POD Lead</t>
        </is>
      </c>
      <c r="K239" s="29" t="inlineStr">
        <is>
          <t>RC-151</t>
        </is>
      </c>
      <c r="L239" s="29" t="inlineStr">
        <is>
          <t>Amit Jaidka</t>
        </is>
      </c>
      <c r="M239" s="29" t="inlineStr">
        <is>
          <t>IRIS1687</t>
        </is>
      </c>
      <c r="N239" s="29" t="n">
        <v>5</v>
      </c>
      <c r="O239" s="29" t="n">
        <v>3.9</v>
      </c>
      <c r="P239" s="29" t="inlineStr">
        <is>
          <t>MBA</t>
        </is>
      </c>
      <c r="Q239" s="29" t="inlineStr">
        <is>
          <t>L5 – Assistant Manager</t>
        </is>
      </c>
      <c r="R239" s="29" t="inlineStr">
        <is>
          <t>B1</t>
        </is>
      </c>
      <c r="S239" s="30" t="inlineStr">
        <is>
          <t>20 of 20</t>
        </is>
      </c>
      <c r="T239" s="31"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t>
        </is>
      </c>
      <c r="U239" s="31" t="inlineStr">
        <is>
          <t>Received · manager annual, quarterly, self · 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t>
        </is>
      </c>
      <c r="V239" s="31" t="inlineStr">
        <is>
          <t>Latest rating: 4 · Potential: High · 9-box: High Impact / Growth Talent · Readiness: Ready now</t>
        </is>
      </c>
      <c r="W239" s="31" t="inlineStr">
        <is>
          <t>C M · Au M · Ac M · L M · BI H · Exp M · 5 yrs vs 4–7 yrs · Edu H · MBA</t>
        </is>
      </c>
      <c r="X239" s="33" t="inlineStr">
        <is>
          <t>Open ▸</t>
        </is>
      </c>
      <c r="Y239" s="34" t="str">
        <f>IFERROR(INDEX(DL_C,MATCH($CA239,DL_KEY,0)),"M")</f>
        <v>H</v>
      </c>
      <c r="Z239" s="35" t="str">
        <f>IFERROR(INDEX(DL_Au,MATCH($CA239,DL_KEY,0)),"M")</f>
        <v>M</v>
      </c>
      <c r="AA239" s="35" t="str">
        <f>IFERROR(INDEX(DL_Ac,MATCH($CA239,DL_KEY,0)),"M")</f>
        <v>L</v>
      </c>
      <c r="AB239" s="35" t="str">
        <f>IFERROR(INDEX(DL_L,MATCH($CA239,DL_KEY,0)),"M")</f>
        <v>L</v>
      </c>
      <c r="AC239" s="35" t="str">
        <f>IFERROR(INDEX(DL_BI,MATCH($CA239,DL_KEY,0)),"M")</f>
        <v>M</v>
      </c>
      <c r="AD239" s="35" t="str">
        <f>IFERROR(INDEX(DL_Exp,MATCH($CA239,DL_KEY,0)),"M")</f>
        <v>L</v>
      </c>
      <c r="AE239" s="35" t="str">
        <f>IFERROR(INDEX(DL_Edu,MATCH($CA239,DL_KEY,0)),"M")</f>
        <v>L</v>
      </c>
      <c r="AF239" s="34" t="inlineStr">
        <is>
          <t>M</t>
        </is>
      </c>
      <c r="AG239" s="35" t="inlineStr">
        <is>
          <t>M</t>
        </is>
      </c>
      <c r="AH239" s="35" t="inlineStr">
        <is>
          <t>M</t>
        </is>
      </c>
      <c r="AI239" s="35" t="inlineStr">
        <is>
          <t>M</t>
        </is>
      </c>
      <c r="AJ239" s="35" t="inlineStr">
        <is>
          <t>M</t>
        </is>
      </c>
      <c r="AK239" s="35" t="inlineStr">
        <is>
          <t>M</t>
        </is>
      </c>
      <c r="AL239" s="35" t="inlineStr">
        <is>
          <t>M</t>
        </is>
      </c>
      <c r="AM239" s="36" t="n">
        <v>0.513</v>
      </c>
      <c r="AN239" s="37" t="n">
        <v>0.173</v>
      </c>
      <c r="AO239" s="37" t="n">
        <v>0.09699999999999999</v>
      </c>
      <c r="AP239" s="37" t="n">
        <v>0.05</v>
      </c>
      <c r="AQ239" s="37" t="n">
        <v>0.07000000000000001</v>
      </c>
      <c r="AR239" s="37" t="n">
        <v>0.06</v>
      </c>
      <c r="AS239" s="37" t="n">
        <v>0.04</v>
      </c>
      <c r="AT239" s="38" t="inlineStr">
        <is>
          <t>4–8</t>
        </is>
      </c>
      <c r="AU239" s="38" t="inlineStr">
        <is>
          <t>Graduate + relevant qualification or certification preferred</t>
        </is>
      </c>
      <c r="AV239" s="38" t="inlineStr">
        <is>
          <t>IC: none · Team Lead: 3–5</t>
        </is>
      </c>
      <c r="AW239" s="38" t="inlineStr">
        <is>
          <t>P3 / M2 · SFIA 4 Enable</t>
        </is>
      </c>
      <c r="AX2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9" s="39" t="inlineStr">
        <is>
          <t>B1</t>
        </is>
      </c>
      <c r="AZ239" s="40" t="inlineStr">
        <is>
          <t>Band B · Specialist / Manager · Team Lead / Asst Manager</t>
        </is>
      </c>
      <c r="BA239" s="40" t="inlineStr">
        <is>
          <t>Model B1 from the six ratings, the market-derived weights and rules R1–R13 · then No change · already below the manager</t>
        </is>
      </c>
      <c r="BB239" s="41" t="inlineStr">
        <is>
          <t>B1</t>
        </is>
      </c>
      <c r="BC239" s="40" t="inlineStr">
        <is>
          <t>The six ratings on the market-average weights of Band B · Specialist / POD Lead score 4.17 → B1 · Hay, Mercer IPE and public plans · experience 5 yrs vs the B1 market range 4–8</t>
        </is>
      </c>
      <c r="BD239" s="42">
        <f>IF(SUM(BM239,BN239,BO239,BP239,BQ239,BR239,BS239)=0,0,(BM239*BT239+BN239*BU239+BO239*BV239+BP239*BW239+BQ239*BX239+BR239*BY239+BS239*BZ239)/SUM(BM239,BN239,BO239,BP239,BQ239,BR239,BS239))</f>
        <v>0</v>
      </c>
      <c r="BE239" s="41" t="str">
        <f>IF(LEFT(AY239,1)="X",AY239,IF(OR(AY239="B+",AY239="C+"),INDEX(LAD_PC,MAX(1,MIN(14,MATCH(AY239,LAD_PC,0)+IF(BD239&gt;=0.5,1,IF(BD239&lt;=-0.5,-1,0))))),INDEX(LAD_STD,MAX(1,MIN(12,MATCH(AY239,LAD_STD,0)+IF(BD239&gt;=0.5,1,IF(BD239&lt;=-0.5,-1,0)))))))</f>
        <v>B1</v>
      </c>
      <c r="BF239" s="43" t="n"/>
      <c r="BG239" s="41" t="str">
        <f>IF(BF239&lt;&gt;"",BF239,BE239)</f>
        <v>B1</v>
      </c>
      <c r="BH239" s="40" t="str">
        <f>IFERROR(CHOOSE(INDEX(B_RANK,MATCH(BG239,B_LVL,0)),"Band A","Band B","B+ · Player-Coach","Band C","C+ · Player-Coach","Band D","Band E"),"Band X · Consultant")</f>
        <v>Band B</v>
      </c>
      <c r="BI239" s="40" t="str">
        <f>IF(BG239=AY239,"• Same",IF(INDEX(B_VAL,MATCH(BG239,B_LVL,0))&gt;INDEX(B_VAL,MATCH(AY239,B_LVL,0)),"▲ Up","▼ Down"))</f>
        <v>• Same</v>
      </c>
      <c r="BJ239" s="40" t="str">
        <f>IF(OR($M239="",$M239="—",$M239="Not in this file"),"",IFERROR(INDEX($BG$7:$BG$592,MATCH($M239,$D$7:$D$592,0)),""))</f>
        <v>B3</v>
      </c>
      <c r="BK239" s="40" t="str">
        <f>IFERROR(IF(BJ239="","—",IF(OR(LEFT(BG239,1)="X",LEFT(BJ239,1)="X"),"—",IF(AND(LEFT(BG239,1)="E",LEFT(BJ239,1)="E"),"Exception · Band E",IF(AND(INDEX(B_VAL,MATCH(BJ239,B_LVL,0))&gt;=7,INDEX(B_RANK,MATCH(BG239,B_LVL,0))&gt;=INDEX(B_RANK,MATCH(BJ239,B_LVL,0))),"⚠ Same band as a head manager",IF(INDEX(B_VAL,MATCH(BG239,B_LVL,0))&gt;=INDEX(B_VAL,MATCH(BJ239,B_LVL,0)),"⚠ At or above the manager's level","OK"))))),"—")</f>
        <v>OK</v>
      </c>
      <c r="BL239" s="43" t="n"/>
      <c r="BM239" s="44">
        <f>IFERROR(INDEX(LMH_PTS,MATCH(Y239,LMH_KEY,0)),0)</f>
        <v>9</v>
      </c>
      <c r="BN239" s="38">
        <f>IFERROR(INDEX(LMH_PTS,MATCH(Z239,LMH_KEY,0)),0)</f>
        <v>3</v>
      </c>
      <c r="BO239" s="38">
        <f>IFERROR(INDEX(LMH_PTS,MATCH(AA239,LMH_KEY,0)),0)</f>
        <v>1</v>
      </c>
      <c r="BP239" s="38">
        <f>IFERROR(INDEX(LMH_PTS,MATCH(AB239,LMH_KEY,0)),0)</f>
        <v>1</v>
      </c>
      <c r="BQ239" s="38">
        <f>IFERROR(INDEX(LMH_PTS,MATCH(AC239,LMH_KEY,0)),0)</f>
        <v>3</v>
      </c>
      <c r="BR239" s="38">
        <f>IFERROR(INDEX(LMH_PTS,MATCH(AD239,LMH_KEY,0)),0)</f>
        <v>1</v>
      </c>
      <c r="BS239" s="38">
        <f>IFERROR(INDEX(LMH_PTS,MATCH(AE239,LMH_KEY,0)),0)</f>
        <v>1</v>
      </c>
      <c r="BT239" s="38">
        <f>IFERROR(INDEX(LMH_STEP,MATCH(AF239,LMH_KEY,0)),0)</f>
        <v>0</v>
      </c>
      <c r="BU239" s="38">
        <f>IFERROR(INDEX(LMH_STEP,MATCH(AG239,LMH_KEY,0)),0)</f>
        <v>0</v>
      </c>
      <c r="BV239" s="38">
        <f>IFERROR(INDEX(LMH_STEP,MATCH(AH239,LMH_KEY,0)),0)</f>
        <v>0</v>
      </c>
      <c r="BW239" s="38">
        <f>IFERROR(INDEX(LMH_STEP,MATCH(AI239,LMH_KEY,0)),0)</f>
        <v>0</v>
      </c>
      <c r="BX239" s="38">
        <f>IFERROR(INDEX(LMH_STEP,MATCH(AJ239,LMH_KEY,0)),0)</f>
        <v>0</v>
      </c>
      <c r="BY239" s="38">
        <f>IFERROR(INDEX(LMH_STEP,MATCH(AK239,LMH_KEY,0)),0)</f>
        <v>0</v>
      </c>
      <c r="BZ239" s="38">
        <f>IFERROR(INDEX(LMH_STEP,MATCH(AL239,LMH_KEY,0)),0)</f>
        <v>0</v>
      </c>
      <c r="CA239" s="38" t="inlineStr">
        <is>
          <t>iFile|Sales|Account Executive – POD Lead|B1|B-IC</t>
        </is>
      </c>
    </row>
    <row r="240" ht="110" customHeight="1">
      <c r="A240" s="28" t="inlineStr">
        <is>
          <t>iDEAL</t>
        </is>
      </c>
      <c r="B240" s="29" t="inlineStr">
        <is>
          <t>Sales</t>
        </is>
      </c>
      <c r="C240" s="29" t="n">
        <v>5</v>
      </c>
      <c r="D240" s="29" t="inlineStr">
        <is>
          <t>IRIS2540</t>
        </is>
      </c>
      <c r="E240" s="29" t="inlineStr">
        <is>
          <t>Deepali Barai</t>
        </is>
      </c>
      <c r="F240" s="29" t="inlineStr">
        <is>
          <t>Business Development Manager</t>
        </is>
      </c>
      <c r="G240" s="29" t="inlineStr">
        <is>
          <t>Account Executive</t>
        </is>
      </c>
      <c r="H240" s="29" t="inlineStr">
        <is>
          <t>Sales &amp; Business Development</t>
        </is>
      </c>
      <c r="I240" s="29" t="inlineStr">
        <is>
          <t>Enterprise Sales &amp; Account Management</t>
        </is>
      </c>
      <c r="J240" s="29" t="inlineStr">
        <is>
          <t>IC</t>
        </is>
      </c>
      <c r="K240" s="29" t="inlineStr">
        <is>
          <t>RC-151</t>
        </is>
      </c>
      <c r="L240" s="29" t="inlineStr">
        <is>
          <t>Shreya Jolly</t>
        </is>
      </c>
      <c r="M240" s="29" t="inlineStr">
        <is>
          <t>IRIS2070</t>
        </is>
      </c>
      <c r="N240" s="29" t="n">
        <v>4.6</v>
      </c>
      <c r="O240" s="29" t="n">
        <v>0.3</v>
      </c>
      <c r="P240" s="29" t="inlineStr">
        <is>
          <t>B.E</t>
        </is>
      </c>
      <c r="Q240" s="29" t="inlineStr">
        <is>
          <t>Not in current mapping files</t>
        </is>
      </c>
      <c r="R240" s="29" t="inlineStr">
        <is>
          <t>B1</t>
        </is>
      </c>
      <c r="S240" s="30" t="inlineStr">
        <is>
          <t>18 of 20</t>
        </is>
      </c>
      <c r="T240" s="31"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t>
        </is>
      </c>
      <c r="U240" s="32" t="inlineStr">
        <is>
          <t>KRAs not received · manager to supply</t>
        </is>
      </c>
      <c r="V240" s="31" t="inlineStr">
        <is>
          <t>Latest rating: Not rated · manager · 9-box: Not placed · manager · Readiness: No rating data</t>
        </is>
      </c>
      <c r="W240" s="31" t="inlineStr">
        <is>
          <t>C H · Au H · Ac H · L M · BI H · Exp H · 4.6 yrs vs 2–4 yrs · Edu M · B.E</t>
        </is>
      </c>
      <c r="X240" s="33" t="inlineStr">
        <is>
          <t>Open ▸</t>
        </is>
      </c>
      <c r="Y240" s="34" t="str">
        <f>IFERROR(INDEX(DL_C,MATCH($CA240,DL_KEY,0)),"M")</f>
        <v>H</v>
      </c>
      <c r="Z240" s="35" t="str">
        <f>IFERROR(INDEX(DL_Au,MATCH($CA240,DL_KEY,0)),"M")</f>
        <v>M</v>
      </c>
      <c r="AA240" s="35" t="str">
        <f>IFERROR(INDEX(DL_Ac,MATCH($CA240,DL_KEY,0)),"M")</f>
        <v>L</v>
      </c>
      <c r="AB240" s="35" t="str">
        <f>IFERROR(INDEX(DL_L,MATCH($CA240,DL_KEY,0)),"M")</f>
        <v>L</v>
      </c>
      <c r="AC240" s="35" t="str">
        <f>IFERROR(INDEX(DL_BI,MATCH($CA240,DL_KEY,0)),"M")</f>
        <v>M</v>
      </c>
      <c r="AD240" s="35" t="str">
        <f>IFERROR(INDEX(DL_Exp,MATCH($CA240,DL_KEY,0)),"M")</f>
        <v>L</v>
      </c>
      <c r="AE240" s="35" t="str">
        <f>IFERROR(INDEX(DL_Edu,MATCH($CA240,DL_KEY,0)),"M")</f>
        <v>L</v>
      </c>
      <c r="AF240" s="34" t="inlineStr">
        <is>
          <t>M</t>
        </is>
      </c>
      <c r="AG240" s="35" t="inlineStr">
        <is>
          <t>M</t>
        </is>
      </c>
      <c r="AH240" s="35" t="inlineStr">
        <is>
          <t>M</t>
        </is>
      </c>
      <c r="AI240" s="35" t="inlineStr">
        <is>
          <t>M</t>
        </is>
      </c>
      <c r="AJ240" s="35" t="inlineStr">
        <is>
          <t>M</t>
        </is>
      </c>
      <c r="AK240" s="35" t="inlineStr">
        <is>
          <t>M</t>
        </is>
      </c>
      <c r="AL240" s="35" t="inlineStr">
        <is>
          <t>M</t>
        </is>
      </c>
      <c r="AM240" s="36" t="n">
        <v>0.583</v>
      </c>
      <c r="AN240" s="37" t="n">
        <v>0.16</v>
      </c>
      <c r="AO240" s="37" t="n">
        <v>0.09</v>
      </c>
      <c r="AP240" s="37" t="n">
        <v>0</v>
      </c>
      <c r="AQ240" s="37" t="n">
        <v>0.063</v>
      </c>
      <c r="AR240" s="37" t="n">
        <v>0.06</v>
      </c>
      <c r="AS240" s="37" t="n">
        <v>0.04</v>
      </c>
      <c r="AT240" s="38" t="inlineStr">
        <is>
          <t>2–5</t>
        </is>
      </c>
      <c r="AU240" s="38" t="inlineStr">
        <is>
          <t>Graduate; relevant certification preferred</t>
        </is>
      </c>
      <c r="AV240" s="38" t="inlineStr">
        <is>
          <t>None · guides 1–3 juniors informally</t>
        </is>
      </c>
      <c r="AW240" s="38" t="inlineStr">
        <is>
          <t>P2 · SFIA 3 Apply</t>
        </is>
      </c>
      <c r="AX2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0" s="39" t="inlineStr">
        <is>
          <t>A3</t>
        </is>
      </c>
      <c r="AZ240" s="40" t="inlineStr">
        <is>
          <t>Band A · Practitioner · Senior Associate</t>
        </is>
      </c>
      <c r="BA240" s="40" t="inlineStr">
        <is>
          <t>Model B1 from the six ratings, the market-derived weights and rules R1–R13 · then Level rule: manager B1; a reportee sits at least one level below · B1 → A3 · move down · pay and title protected for one cycle</t>
        </is>
      </c>
      <c r="BB240" s="41" t="inlineStr">
        <is>
          <t>B1</t>
        </is>
      </c>
      <c r="BC240" s="40" t="inlineStr">
        <is>
          <t>The six ratings on the market-average weights of Band A · all tracks score 4.03 → B1 · Hay, Mercer IPE and public plans · experience 4.6 yrs vs the B1 market range 4–8</t>
        </is>
      </c>
      <c r="BD240" s="42">
        <f>IF(SUM(BM240,BN240,BO240,BP240,BQ240,BR240,BS240)=0,0,(BM240*BT240+BN240*BU240+BO240*BV240+BP240*BW240+BQ240*BX240+BR240*BY240+BS240*BZ240)/SUM(BM240,BN240,BO240,BP240,BQ240,BR240,BS240))</f>
        <v>0</v>
      </c>
      <c r="BE240" s="41" t="str">
        <f>IF(LEFT(AY240,1)="X",AY240,IF(OR(AY240="B+",AY240="C+"),INDEX(LAD_PC,MAX(1,MIN(14,MATCH(AY240,LAD_PC,0)+IF(BD240&gt;=0.5,1,IF(BD240&lt;=-0.5,-1,0))))),INDEX(LAD_STD,MAX(1,MIN(12,MATCH(AY240,LAD_STD,0)+IF(BD240&gt;=0.5,1,IF(BD240&lt;=-0.5,-1,0)))))))</f>
        <v>A3</v>
      </c>
      <c r="BF240" s="43" t="n"/>
      <c r="BG240" s="41" t="str">
        <f>IF(BF240&lt;&gt;"",BF240,BE240)</f>
        <v>A3</v>
      </c>
      <c r="BH240" s="40" t="str">
        <f>IFERROR(CHOOSE(INDEX(B_RANK,MATCH(BG240,B_LVL,0)),"Band A","Band B","B+ · Player-Coach","Band C","C+ · Player-Coach","Band D","Band E"),"Band X · Consultant")</f>
        <v>Band A</v>
      </c>
      <c r="BI240" s="40" t="str">
        <f>IF(BG240=AY240,"• Same",IF(INDEX(B_VAL,MATCH(BG240,B_LVL,0))&gt;INDEX(B_VAL,MATCH(AY240,B_LVL,0)),"▲ Up","▼ Down"))</f>
        <v>• Same</v>
      </c>
      <c r="BJ240" s="40" t="str">
        <f>IF(OR($M240="",$M240="—",$M240="Not in this file"),"",IFERROR(INDEX($BG$7:$BG$592,MATCH($M240,$D$7:$D$592,0)),""))</f>
        <v>B1</v>
      </c>
      <c r="BK240" s="40" t="str">
        <f>IFERROR(IF(BJ240="","—",IF(OR(LEFT(BG240,1)="X",LEFT(BJ240,1)="X"),"—",IF(AND(LEFT(BG240,1)="E",LEFT(BJ240,1)="E"),"Exception · Band E",IF(AND(INDEX(B_VAL,MATCH(BJ240,B_LVL,0))&gt;=7,INDEX(B_RANK,MATCH(BG240,B_LVL,0))&gt;=INDEX(B_RANK,MATCH(BJ240,B_LVL,0))),"⚠ Same band as a head manager",IF(INDEX(B_VAL,MATCH(BG240,B_LVL,0))&gt;=INDEX(B_VAL,MATCH(BJ240,B_LVL,0)),"⚠ At or above the manager's level","OK"))))),"—")</f>
        <v>OK</v>
      </c>
      <c r="BL240" s="43" t="n"/>
      <c r="BM240" s="44">
        <f>IFERROR(INDEX(LMH_PTS,MATCH(Y240,LMH_KEY,0)),0)</f>
        <v>9</v>
      </c>
      <c r="BN240" s="38">
        <f>IFERROR(INDEX(LMH_PTS,MATCH(Z240,LMH_KEY,0)),0)</f>
        <v>3</v>
      </c>
      <c r="BO240" s="38">
        <f>IFERROR(INDEX(LMH_PTS,MATCH(AA240,LMH_KEY,0)),0)</f>
        <v>1</v>
      </c>
      <c r="BP240" s="38">
        <f>IFERROR(INDEX(LMH_PTS,MATCH(AB240,LMH_KEY,0)),0)</f>
        <v>1</v>
      </c>
      <c r="BQ240" s="38">
        <f>IFERROR(INDEX(LMH_PTS,MATCH(AC240,LMH_KEY,0)),0)</f>
        <v>3</v>
      </c>
      <c r="BR240" s="38">
        <f>IFERROR(INDEX(LMH_PTS,MATCH(AD240,LMH_KEY,0)),0)</f>
        <v>1</v>
      </c>
      <c r="BS240" s="38">
        <f>IFERROR(INDEX(LMH_PTS,MATCH(AE240,LMH_KEY,0)),0)</f>
        <v>1</v>
      </c>
      <c r="BT240" s="38">
        <f>IFERROR(INDEX(LMH_STEP,MATCH(AF240,LMH_KEY,0)),0)</f>
        <v>0</v>
      </c>
      <c r="BU240" s="38">
        <f>IFERROR(INDEX(LMH_STEP,MATCH(AG240,LMH_KEY,0)),0)</f>
        <v>0</v>
      </c>
      <c r="BV240" s="38">
        <f>IFERROR(INDEX(LMH_STEP,MATCH(AH240,LMH_KEY,0)),0)</f>
        <v>0</v>
      </c>
      <c r="BW240" s="38">
        <f>IFERROR(INDEX(LMH_STEP,MATCH(AI240,LMH_KEY,0)),0)</f>
        <v>0</v>
      </c>
      <c r="BX240" s="38">
        <f>IFERROR(INDEX(LMH_STEP,MATCH(AJ240,LMH_KEY,0)),0)</f>
        <v>0</v>
      </c>
      <c r="BY240" s="38">
        <f>IFERROR(INDEX(LMH_STEP,MATCH(AK240,LMH_KEY,0)),0)</f>
        <v>0</v>
      </c>
      <c r="BZ240" s="38">
        <f>IFERROR(INDEX(LMH_STEP,MATCH(AL240,LMH_KEY,0)),0)</f>
        <v>0</v>
      </c>
      <c r="CA240" s="38" t="inlineStr">
        <is>
          <t>iDEAL|Sales|Account Executive|A3|A</t>
        </is>
      </c>
    </row>
    <row r="241" ht="110" customHeight="1">
      <c r="A241" s="28" t="inlineStr">
        <is>
          <t>iDEAL</t>
        </is>
      </c>
      <c r="B241" s="29" t="inlineStr">
        <is>
          <t>Sales</t>
        </is>
      </c>
      <c r="C241" s="29" t="n">
        <v>5</v>
      </c>
      <c r="D241" s="29" t="inlineStr">
        <is>
          <t>IRIS2481</t>
        </is>
      </c>
      <c r="E241" s="29" t="inlineStr">
        <is>
          <t>Shreya Sharma</t>
        </is>
      </c>
      <c r="F241" s="29" t="inlineStr">
        <is>
          <t>Senior Sales Executive</t>
        </is>
      </c>
      <c r="G241" s="29" t="inlineStr">
        <is>
          <t>Senior Alliances Executive</t>
        </is>
      </c>
      <c r="H241" s="29" t="inlineStr">
        <is>
          <t>Sales &amp; Business Development</t>
        </is>
      </c>
      <c r="I241" s="29" t="inlineStr">
        <is>
          <t>Partnerships &amp; Alliances</t>
        </is>
      </c>
      <c r="J241" s="29" t="inlineStr">
        <is>
          <t>IC</t>
        </is>
      </c>
      <c r="K241" s="29" t="inlineStr">
        <is>
          <t>RC-159</t>
        </is>
      </c>
      <c r="L241" s="29" t="inlineStr">
        <is>
          <t>Shreya Jolly</t>
        </is>
      </c>
      <c r="M241" s="29" t="inlineStr">
        <is>
          <t>IRIS2070</t>
        </is>
      </c>
      <c r="N241" s="29" t="n">
        <v>4.4</v>
      </c>
      <c r="O241" s="29" t="n">
        <v>0.6</v>
      </c>
      <c r="P241" s="29" t="inlineStr">
        <is>
          <t>B.Com</t>
        </is>
      </c>
      <c r="Q241" s="29" t="inlineStr">
        <is>
          <t>L4 – Senior</t>
        </is>
      </c>
      <c r="R241" s="29" t="inlineStr">
        <is>
          <t>A3</t>
        </is>
      </c>
      <c r="S241" s="30" t="inlineStr">
        <is>
          <t>20 of 20</t>
        </is>
      </c>
      <c r="T241" s="31"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t>
        </is>
      </c>
      <c r="U241" s="31" t="inlineStr">
        <is>
          <t>Received · manager annual, quarterly, self · 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t>
        </is>
      </c>
      <c r="V241" s="31" t="inlineStr">
        <is>
          <t>Latest rating: 3 · Potential: High · 9-box: Emerging Talent · Readiness: Ready in 6–12 months</t>
        </is>
      </c>
      <c r="W241" s="31" t="inlineStr">
        <is>
          <t>C M · Au M · Ac M · L L · BI H · Exp H · 4.4 yrs vs 2–4 yrs · Edu M · B.Com</t>
        </is>
      </c>
      <c r="X241" s="33" t="inlineStr">
        <is>
          <t>Open ▸</t>
        </is>
      </c>
      <c r="Y241" s="34" t="str">
        <f>IFERROR(INDEX(DL_C,MATCH($CA241,DL_KEY,0)),"M")</f>
        <v>H</v>
      </c>
      <c r="Z241" s="35" t="str">
        <f>IFERROR(INDEX(DL_Au,MATCH($CA241,DL_KEY,0)),"M")</f>
        <v>M</v>
      </c>
      <c r="AA241" s="35" t="str">
        <f>IFERROR(INDEX(DL_Ac,MATCH($CA241,DL_KEY,0)),"M")</f>
        <v>L</v>
      </c>
      <c r="AB241" s="35" t="str">
        <f>IFERROR(INDEX(DL_L,MATCH($CA241,DL_KEY,0)),"M")</f>
        <v>L</v>
      </c>
      <c r="AC241" s="35" t="str">
        <f>IFERROR(INDEX(DL_BI,MATCH($CA241,DL_KEY,0)),"M")</f>
        <v>M</v>
      </c>
      <c r="AD241" s="35" t="str">
        <f>IFERROR(INDEX(DL_Exp,MATCH($CA241,DL_KEY,0)),"M")</f>
        <v>L</v>
      </c>
      <c r="AE241" s="35" t="str">
        <f>IFERROR(INDEX(DL_Edu,MATCH($CA241,DL_KEY,0)),"M")</f>
        <v>L</v>
      </c>
      <c r="AF241" s="34" t="inlineStr">
        <is>
          <t>M</t>
        </is>
      </c>
      <c r="AG241" s="35" t="inlineStr">
        <is>
          <t>M</t>
        </is>
      </c>
      <c r="AH241" s="35" t="inlineStr">
        <is>
          <t>M</t>
        </is>
      </c>
      <c r="AI241" s="35" t="inlineStr">
        <is>
          <t>M</t>
        </is>
      </c>
      <c r="AJ241" s="35" t="inlineStr">
        <is>
          <t>M</t>
        </is>
      </c>
      <c r="AK241" s="35" t="inlineStr">
        <is>
          <t>M</t>
        </is>
      </c>
      <c r="AL241" s="35" t="inlineStr">
        <is>
          <t>M</t>
        </is>
      </c>
      <c r="AM241" s="36" t="n">
        <v>0.583</v>
      </c>
      <c r="AN241" s="37" t="n">
        <v>0.16</v>
      </c>
      <c r="AO241" s="37" t="n">
        <v>0.09</v>
      </c>
      <c r="AP241" s="37" t="n">
        <v>0</v>
      </c>
      <c r="AQ241" s="37" t="n">
        <v>0.063</v>
      </c>
      <c r="AR241" s="37" t="n">
        <v>0.06</v>
      </c>
      <c r="AS241" s="37" t="n">
        <v>0.04</v>
      </c>
      <c r="AT241" s="38" t="inlineStr">
        <is>
          <t>2–5</t>
        </is>
      </c>
      <c r="AU241" s="38" t="inlineStr">
        <is>
          <t>Graduate; relevant certification preferred</t>
        </is>
      </c>
      <c r="AV241" s="38" t="inlineStr">
        <is>
          <t>None · guides 1–3 juniors informally</t>
        </is>
      </c>
      <c r="AW241" s="38" t="inlineStr">
        <is>
          <t>P2 · SFIA 3 Apply</t>
        </is>
      </c>
      <c r="AX2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1" s="39" t="inlineStr">
        <is>
          <t>A3</t>
        </is>
      </c>
      <c r="AZ241" s="40" t="inlineStr">
        <is>
          <t>Band A · Practitioner · Senior Associate</t>
        </is>
      </c>
      <c r="BA241" s="40" t="inlineStr">
        <is>
          <t>Model A3 from the six ratings, the market-derived weights and rules R1–R13 · then No change · already below the manager</t>
        </is>
      </c>
      <c r="BB241" s="41" t="inlineStr">
        <is>
          <t>A3</t>
        </is>
      </c>
      <c r="BC241" s="40" t="inlineStr">
        <is>
          <t>The six ratings on the market-average weights of Band A · all tracks score 3.08 → A3 · Hay, Mercer IPE and public plans · experience 4.4 yrs vs the A3 market range 2–5</t>
        </is>
      </c>
      <c r="BD241" s="42">
        <f>IF(SUM(BM241,BN241,BO241,BP241,BQ241,BR241,BS241)=0,0,(BM241*BT241+BN241*BU241+BO241*BV241+BP241*BW241+BQ241*BX241+BR241*BY241+BS241*BZ241)/SUM(BM241,BN241,BO241,BP241,BQ241,BR241,BS241))</f>
        <v>0</v>
      </c>
      <c r="BE241" s="41" t="str">
        <f>IF(LEFT(AY241,1)="X",AY241,IF(OR(AY241="B+",AY241="C+"),INDEX(LAD_PC,MAX(1,MIN(14,MATCH(AY241,LAD_PC,0)+IF(BD241&gt;=0.5,1,IF(BD241&lt;=-0.5,-1,0))))),INDEX(LAD_STD,MAX(1,MIN(12,MATCH(AY241,LAD_STD,0)+IF(BD241&gt;=0.5,1,IF(BD241&lt;=-0.5,-1,0)))))))</f>
        <v>A3</v>
      </c>
      <c r="BF241" s="43" t="n"/>
      <c r="BG241" s="41" t="str">
        <f>IF(BF241&lt;&gt;"",BF241,BE241)</f>
        <v>A3</v>
      </c>
      <c r="BH241" s="40" t="str">
        <f>IFERROR(CHOOSE(INDEX(B_RANK,MATCH(BG241,B_LVL,0)),"Band A","Band B","B+ · Player-Coach","Band C","C+ · Player-Coach","Band D","Band E"),"Band X · Consultant")</f>
        <v>Band A</v>
      </c>
      <c r="BI241" s="40" t="str">
        <f>IF(BG241=AY241,"• Same",IF(INDEX(B_VAL,MATCH(BG241,B_LVL,0))&gt;INDEX(B_VAL,MATCH(AY241,B_LVL,0)),"▲ Up","▼ Down"))</f>
        <v>• Same</v>
      </c>
      <c r="BJ241" s="40" t="str">
        <f>IF(OR($M241="",$M241="—",$M241="Not in this file"),"",IFERROR(INDEX($BG$7:$BG$592,MATCH($M241,$D$7:$D$592,0)),""))</f>
        <v>B1</v>
      </c>
      <c r="BK241" s="40" t="str">
        <f>IFERROR(IF(BJ241="","—",IF(OR(LEFT(BG241,1)="X",LEFT(BJ241,1)="X"),"—",IF(AND(LEFT(BG241,1)="E",LEFT(BJ241,1)="E"),"Exception · Band E",IF(AND(INDEX(B_VAL,MATCH(BJ241,B_LVL,0))&gt;=7,INDEX(B_RANK,MATCH(BG241,B_LVL,0))&gt;=INDEX(B_RANK,MATCH(BJ241,B_LVL,0))),"⚠ Same band as a head manager",IF(INDEX(B_VAL,MATCH(BG241,B_LVL,0))&gt;=INDEX(B_VAL,MATCH(BJ241,B_LVL,0)),"⚠ At or above the manager's level","OK"))))),"—")</f>
        <v>OK</v>
      </c>
      <c r="BL241" s="43" t="n"/>
      <c r="BM241" s="44">
        <f>IFERROR(INDEX(LMH_PTS,MATCH(Y241,LMH_KEY,0)),0)</f>
        <v>9</v>
      </c>
      <c r="BN241" s="38">
        <f>IFERROR(INDEX(LMH_PTS,MATCH(Z241,LMH_KEY,0)),0)</f>
        <v>3</v>
      </c>
      <c r="BO241" s="38">
        <f>IFERROR(INDEX(LMH_PTS,MATCH(AA241,LMH_KEY,0)),0)</f>
        <v>1</v>
      </c>
      <c r="BP241" s="38">
        <f>IFERROR(INDEX(LMH_PTS,MATCH(AB241,LMH_KEY,0)),0)</f>
        <v>1</v>
      </c>
      <c r="BQ241" s="38">
        <f>IFERROR(INDEX(LMH_PTS,MATCH(AC241,LMH_KEY,0)),0)</f>
        <v>3</v>
      </c>
      <c r="BR241" s="38">
        <f>IFERROR(INDEX(LMH_PTS,MATCH(AD241,LMH_KEY,0)),0)</f>
        <v>1</v>
      </c>
      <c r="BS241" s="38">
        <f>IFERROR(INDEX(LMH_PTS,MATCH(AE241,LMH_KEY,0)),0)</f>
        <v>1</v>
      </c>
      <c r="BT241" s="38">
        <f>IFERROR(INDEX(LMH_STEP,MATCH(AF241,LMH_KEY,0)),0)</f>
        <v>0</v>
      </c>
      <c r="BU241" s="38">
        <f>IFERROR(INDEX(LMH_STEP,MATCH(AG241,LMH_KEY,0)),0)</f>
        <v>0</v>
      </c>
      <c r="BV241" s="38">
        <f>IFERROR(INDEX(LMH_STEP,MATCH(AH241,LMH_KEY,0)),0)</f>
        <v>0</v>
      </c>
      <c r="BW241" s="38">
        <f>IFERROR(INDEX(LMH_STEP,MATCH(AI241,LMH_KEY,0)),0)</f>
        <v>0</v>
      </c>
      <c r="BX241" s="38">
        <f>IFERROR(INDEX(LMH_STEP,MATCH(AJ241,LMH_KEY,0)),0)</f>
        <v>0</v>
      </c>
      <c r="BY241" s="38">
        <f>IFERROR(INDEX(LMH_STEP,MATCH(AK241,LMH_KEY,0)),0)</f>
        <v>0</v>
      </c>
      <c r="BZ241" s="38">
        <f>IFERROR(INDEX(LMH_STEP,MATCH(AL241,LMH_KEY,0)),0)</f>
        <v>0</v>
      </c>
      <c r="CA241" s="38" t="inlineStr">
        <is>
          <t>iDEAL|Sales|Senior Alliances Executive|A3|A</t>
        </is>
      </c>
    </row>
    <row r="242" ht="110" customHeight="1">
      <c r="A242" s="28" t="inlineStr">
        <is>
          <t>iFile</t>
        </is>
      </c>
      <c r="B242" s="29" t="inlineStr">
        <is>
          <t>Sales</t>
        </is>
      </c>
      <c r="C242" s="29" t="n">
        <v>4</v>
      </c>
      <c r="D242" s="29" t="inlineStr">
        <is>
          <t>INTN0304</t>
        </is>
      </c>
      <c r="E242" s="29" t="inlineStr">
        <is>
          <t>Anushka Chaturvedi</t>
        </is>
      </c>
      <c r="F242" s="29" t="inlineStr">
        <is>
          <t>Intern</t>
        </is>
      </c>
      <c r="G242" s="29" t="inlineStr">
        <is>
          <t>Intern – Application &amp; Product Support</t>
        </is>
      </c>
      <c r="H242" s="29" t="inlineStr">
        <is>
          <t>Customer Success &amp; Support</t>
        </is>
      </c>
      <c r="I242" s="29" t="inlineStr">
        <is>
          <t>Application &amp; Product Support</t>
        </is>
      </c>
      <c r="J242" s="29" t="inlineStr">
        <is>
          <t>IC</t>
        </is>
      </c>
      <c r="K242" s="29" t="inlineStr">
        <is>
          <t>RC-029</t>
        </is>
      </c>
      <c r="L242" s="29" t="inlineStr">
        <is>
          <t>Amit Jaidka</t>
        </is>
      </c>
      <c r="M242" s="29" t="inlineStr">
        <is>
          <t>IRIS1687</t>
        </is>
      </c>
      <c r="N242" s="29" t="n">
        <v>0.4</v>
      </c>
      <c r="O242" s="29" t="n">
        <v>0.4</v>
      </c>
      <c r="P242" s="29" t="inlineStr">
        <is>
          <t>MBA</t>
        </is>
      </c>
      <c r="Q242" s="29" t="inlineStr">
        <is>
          <t>L1 – Intern</t>
        </is>
      </c>
      <c r="R242" s="29" t="inlineStr">
        <is>
          <t>A1</t>
        </is>
      </c>
      <c r="S242" s="30" t="inlineStr">
        <is>
          <t>20 of 20</t>
        </is>
      </c>
      <c r="T242" s="32" t="inlineStr">
        <is>
          <t>Full survey answers not in the files received · How We Grow export needed · HR</t>
        </is>
      </c>
      <c r="U242" s="31" t="inlineStr">
        <is>
          <t>Received · manager annual, quarterly, self · 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t>
        </is>
      </c>
      <c r="V242" s="31" t="inlineStr">
        <is>
          <t>Latest rating: 4 · Potential: Medium · 9-box: Emerging Talent · Readiness: Ready in 6–12 months</t>
        </is>
      </c>
      <c r="W242" s="31" t="inlineStr">
        <is>
          <t>C — · Au — · Ac — · L — · BI — · Exp H · 0.4 yrs vs 0 yrs · fresher / intern · Edu H · MBA</t>
        </is>
      </c>
      <c r="X242" s="33" t="inlineStr">
        <is>
          <t>Open ▸</t>
        </is>
      </c>
      <c r="Y242" s="34" t="str">
        <f>IFERROR(INDEX(DL_C,MATCH($CA242,DL_KEY,0)),"M")</f>
        <v>H</v>
      </c>
      <c r="Z242" s="35" t="str">
        <f>IFERROR(INDEX(DL_Au,MATCH($CA242,DL_KEY,0)),"M")</f>
        <v>M</v>
      </c>
      <c r="AA242" s="35" t="str">
        <f>IFERROR(INDEX(DL_Ac,MATCH($CA242,DL_KEY,0)),"M")</f>
        <v>M</v>
      </c>
      <c r="AB242" s="35" t="str">
        <f>IFERROR(INDEX(DL_L,MATCH($CA242,DL_KEY,0)),"M")</f>
        <v>L</v>
      </c>
      <c r="AC242" s="35" t="str">
        <f>IFERROR(INDEX(DL_BI,MATCH($CA242,DL_KEY,0)),"M")</f>
        <v>M</v>
      </c>
      <c r="AD242" s="35" t="str">
        <f>IFERROR(INDEX(DL_Exp,MATCH($CA242,DL_KEY,0)),"M")</f>
        <v>L</v>
      </c>
      <c r="AE242" s="35" t="str">
        <f>IFERROR(INDEX(DL_Edu,MATCH($CA242,DL_KEY,0)),"M")</f>
        <v>L</v>
      </c>
      <c r="AF242" s="34" t="inlineStr">
        <is>
          <t>M</t>
        </is>
      </c>
      <c r="AG242" s="35" t="inlineStr">
        <is>
          <t>M</t>
        </is>
      </c>
      <c r="AH242" s="35" t="inlineStr">
        <is>
          <t>M</t>
        </is>
      </c>
      <c r="AI242" s="35" t="inlineStr">
        <is>
          <t>M</t>
        </is>
      </c>
      <c r="AJ242" s="35" t="inlineStr">
        <is>
          <t>M</t>
        </is>
      </c>
      <c r="AK242" s="35" t="inlineStr">
        <is>
          <t>M</t>
        </is>
      </c>
      <c r="AL242" s="35" t="inlineStr">
        <is>
          <t>M</t>
        </is>
      </c>
      <c r="AM242" s="36" t="n">
        <v>0.583</v>
      </c>
      <c r="AN242" s="37" t="n">
        <v>0.16</v>
      </c>
      <c r="AO242" s="37" t="n">
        <v>0.09</v>
      </c>
      <c r="AP242" s="37" t="n">
        <v>0</v>
      </c>
      <c r="AQ242" s="37" t="n">
        <v>0.063</v>
      </c>
      <c r="AR242" s="37" t="n">
        <v>0.06</v>
      </c>
      <c r="AS242" s="37" t="n">
        <v>0.04</v>
      </c>
      <c r="AT242" s="38" t="inlineStr">
        <is>
          <t>0 yrs · fresher / intern</t>
        </is>
      </c>
      <c r="AU242" s="38" t="inlineStr">
        <is>
          <t>Pursuing or completed graduation / diploma</t>
        </is>
      </c>
      <c r="AV242" s="38" t="inlineStr">
        <is>
          <t>No direct reports</t>
        </is>
      </c>
      <c r="AW242" s="38" t="inlineStr">
        <is>
          <t>Entry / P1 · intern · SFIA 1 Follow</t>
        </is>
      </c>
      <c r="AX2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2" s="39" t="inlineStr">
        <is>
          <t>A1</t>
        </is>
      </c>
      <c r="AZ242" s="40" t="inlineStr">
        <is>
          <t>Band A · Practitioner · Intern / Trainee</t>
        </is>
      </c>
      <c r="BA242" s="40" t="inlineStr">
        <is>
          <t>Model A1 from the six ratings, the market-derived weights and rules R1–R13 · then No change · already below the manager</t>
        </is>
      </c>
      <c r="BB242" s="41" t="inlineStr">
        <is>
          <t>A1</t>
        </is>
      </c>
      <c r="BC242" s="40" t="inlineStr">
        <is>
          <t>Placed by a category rule — no full set of ratings · benchmark follows the HR proposed level</t>
        </is>
      </c>
      <c r="BD242" s="42">
        <f>IF(SUM(BM242,BN242,BO242,BP242,BQ242,BR242,BS242)=0,0,(BM242*BT242+BN242*BU242+BO242*BV242+BP242*BW242+BQ242*BX242+BR242*BY242+BS242*BZ242)/SUM(BM242,BN242,BO242,BP242,BQ242,BR242,BS242))</f>
        <v>0</v>
      </c>
      <c r="BE242" s="41" t="str">
        <f>IF(LEFT(AY242,1)="X",AY242,IF(OR(AY242="B+",AY242="C+"),INDEX(LAD_PC,MAX(1,MIN(14,MATCH(AY242,LAD_PC,0)+IF(BD242&gt;=0.5,1,IF(BD242&lt;=-0.5,-1,0))))),INDEX(LAD_STD,MAX(1,MIN(12,MATCH(AY242,LAD_STD,0)+IF(BD242&gt;=0.5,1,IF(BD242&lt;=-0.5,-1,0)))))))</f>
        <v>A1</v>
      </c>
      <c r="BF242" s="43" t="n"/>
      <c r="BG242" s="41" t="str">
        <f>IF(BF242&lt;&gt;"",BF242,BE242)</f>
        <v>A1</v>
      </c>
      <c r="BH242" s="40" t="str">
        <f>IFERROR(CHOOSE(INDEX(B_RANK,MATCH(BG242,B_LVL,0)),"Band A","Band B","B+ · Player-Coach","Band C","C+ · Player-Coach","Band D","Band E"),"Band X · Consultant")</f>
        <v>Band A</v>
      </c>
      <c r="BI242" s="40" t="str">
        <f>IF(BG242=AY242,"• Same",IF(INDEX(B_VAL,MATCH(BG242,B_LVL,0))&gt;INDEX(B_VAL,MATCH(AY242,B_LVL,0)),"▲ Up","▼ Down"))</f>
        <v>• Same</v>
      </c>
      <c r="BJ242" s="40" t="str">
        <f>IF(OR($M242="",$M242="—",$M242="Not in this file"),"",IFERROR(INDEX($BG$7:$BG$592,MATCH($M242,$D$7:$D$592,0)),""))</f>
        <v>B3</v>
      </c>
      <c r="BK242" s="40" t="str">
        <f>IFERROR(IF(BJ242="","—",IF(OR(LEFT(BG242,1)="X",LEFT(BJ242,1)="X"),"—",IF(AND(LEFT(BG242,1)="E",LEFT(BJ242,1)="E"),"Exception · Band E",IF(AND(INDEX(B_VAL,MATCH(BJ242,B_LVL,0))&gt;=7,INDEX(B_RANK,MATCH(BG242,B_LVL,0))&gt;=INDEX(B_RANK,MATCH(BJ242,B_LVL,0))),"⚠ Same band as a head manager",IF(INDEX(B_VAL,MATCH(BG242,B_LVL,0))&gt;=INDEX(B_VAL,MATCH(BJ242,B_LVL,0)),"⚠ At or above the manager's level","OK"))))),"—")</f>
        <v>OK</v>
      </c>
      <c r="BL242" s="43" t="n"/>
      <c r="BM242" s="44">
        <f>IFERROR(INDEX(LMH_PTS,MATCH(Y242,LMH_KEY,0)),0)</f>
        <v>9</v>
      </c>
      <c r="BN242" s="38">
        <f>IFERROR(INDEX(LMH_PTS,MATCH(Z242,LMH_KEY,0)),0)</f>
        <v>3</v>
      </c>
      <c r="BO242" s="38">
        <f>IFERROR(INDEX(LMH_PTS,MATCH(AA242,LMH_KEY,0)),0)</f>
        <v>3</v>
      </c>
      <c r="BP242" s="38">
        <f>IFERROR(INDEX(LMH_PTS,MATCH(AB242,LMH_KEY,0)),0)</f>
        <v>1</v>
      </c>
      <c r="BQ242" s="38">
        <f>IFERROR(INDEX(LMH_PTS,MATCH(AC242,LMH_KEY,0)),0)</f>
        <v>3</v>
      </c>
      <c r="BR242" s="38">
        <f>IFERROR(INDEX(LMH_PTS,MATCH(AD242,LMH_KEY,0)),0)</f>
        <v>1</v>
      </c>
      <c r="BS242" s="38">
        <f>IFERROR(INDEX(LMH_PTS,MATCH(AE242,LMH_KEY,0)),0)</f>
        <v>1</v>
      </c>
      <c r="BT242" s="38">
        <f>IFERROR(INDEX(LMH_STEP,MATCH(AF242,LMH_KEY,0)),0)</f>
        <v>0</v>
      </c>
      <c r="BU242" s="38">
        <f>IFERROR(INDEX(LMH_STEP,MATCH(AG242,LMH_KEY,0)),0)</f>
        <v>0</v>
      </c>
      <c r="BV242" s="38">
        <f>IFERROR(INDEX(LMH_STEP,MATCH(AH242,LMH_KEY,0)),0)</f>
        <v>0</v>
      </c>
      <c r="BW242" s="38">
        <f>IFERROR(INDEX(LMH_STEP,MATCH(AI242,LMH_KEY,0)),0)</f>
        <v>0</v>
      </c>
      <c r="BX242" s="38">
        <f>IFERROR(INDEX(LMH_STEP,MATCH(AJ242,LMH_KEY,0)),0)</f>
        <v>0</v>
      </c>
      <c r="BY242" s="38">
        <f>IFERROR(INDEX(LMH_STEP,MATCH(AK242,LMH_KEY,0)),0)</f>
        <v>0</v>
      </c>
      <c r="BZ242" s="38">
        <f>IFERROR(INDEX(LMH_STEP,MATCH(AL242,LMH_KEY,0)),0)</f>
        <v>0</v>
      </c>
      <c r="CA242" s="38" t="inlineStr">
        <is>
          <t>iFile|Sales|Intern – Application &amp; Product Support|A1|A</t>
        </is>
      </c>
    </row>
    <row r="243" ht="110" customHeight="1">
      <c r="A243" s="28" t="inlineStr">
        <is>
          <t>iDEAL</t>
        </is>
      </c>
      <c r="B243" s="29" t="inlineStr">
        <is>
          <t>Sales</t>
        </is>
      </c>
      <c r="C243" s="29" t="n">
        <v>4</v>
      </c>
      <c r="D243" s="29" t="inlineStr">
        <is>
          <t>INTN0302</t>
        </is>
      </c>
      <c r="E243" s="29" t="inlineStr">
        <is>
          <t>Nehal Bohra</t>
        </is>
      </c>
      <c r="F243" s="29" t="inlineStr">
        <is>
          <t>Intern</t>
        </is>
      </c>
      <c r="G243" s="29" t="inlineStr">
        <is>
          <t>Intern – Application &amp; Product Support</t>
        </is>
      </c>
      <c r="H243" s="29" t="inlineStr">
        <is>
          <t>Customer Success &amp; Support</t>
        </is>
      </c>
      <c r="I243" s="29" t="inlineStr">
        <is>
          <t>Application &amp; Product Support</t>
        </is>
      </c>
      <c r="J243" s="29" t="inlineStr">
        <is>
          <t>IC</t>
        </is>
      </c>
      <c r="K243" s="29" t="inlineStr">
        <is>
          <t>RC-029</t>
        </is>
      </c>
      <c r="L243" s="29" t="inlineStr">
        <is>
          <t>Amit Jaidka</t>
        </is>
      </c>
      <c r="M243" s="29" t="inlineStr">
        <is>
          <t>IRIS1687</t>
        </is>
      </c>
      <c r="N243" s="29" t="n">
        <v>0.4</v>
      </c>
      <c r="O243" s="29" t="n">
        <v>0.4</v>
      </c>
      <c r="P243" s="29" t="inlineStr">
        <is>
          <t>BBA</t>
        </is>
      </c>
      <c r="Q243" s="29" t="inlineStr">
        <is>
          <t>L1 – Intern</t>
        </is>
      </c>
      <c r="R243" s="29" t="inlineStr">
        <is>
          <t>A1</t>
        </is>
      </c>
      <c r="S243" s="30" t="inlineStr">
        <is>
          <t>19 of 20</t>
        </is>
      </c>
      <c r="T243" s="32" t="inlineStr">
        <is>
          <t>Full survey answers not in the files received · How We Grow export needed · HR</t>
        </is>
      </c>
      <c r="U243" s="31" t="inlineStr">
        <is>
          <t>Received · manager annual, quarterly, self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243" s="31" t="inlineStr">
        <is>
          <t>Latest rating: Not rated · manager · 9-box: Not placed · manager · Readiness: No rating data</t>
        </is>
      </c>
      <c r="W243" s="31" t="inlineStr">
        <is>
          <t>C — · Au — · Ac — · L — · BI — · Exp H · 0.4 yrs vs 0 yrs · fresher / intern · Edu M · BBA</t>
        </is>
      </c>
      <c r="X243" s="33" t="inlineStr">
        <is>
          <t>Open ▸</t>
        </is>
      </c>
      <c r="Y243" s="34" t="str">
        <f>IFERROR(INDEX(DL_C,MATCH($CA243,DL_KEY,0)),"M")</f>
        <v>H</v>
      </c>
      <c r="Z243" s="35" t="str">
        <f>IFERROR(INDEX(DL_Au,MATCH($CA243,DL_KEY,0)),"M")</f>
        <v>M</v>
      </c>
      <c r="AA243" s="35" t="str">
        <f>IFERROR(INDEX(DL_Ac,MATCH($CA243,DL_KEY,0)),"M")</f>
        <v>M</v>
      </c>
      <c r="AB243" s="35" t="str">
        <f>IFERROR(INDEX(DL_L,MATCH($CA243,DL_KEY,0)),"M")</f>
        <v>L</v>
      </c>
      <c r="AC243" s="35" t="str">
        <f>IFERROR(INDEX(DL_BI,MATCH($CA243,DL_KEY,0)),"M")</f>
        <v>M</v>
      </c>
      <c r="AD243" s="35" t="str">
        <f>IFERROR(INDEX(DL_Exp,MATCH($CA243,DL_KEY,0)),"M")</f>
        <v>L</v>
      </c>
      <c r="AE243" s="35" t="str">
        <f>IFERROR(INDEX(DL_Edu,MATCH($CA243,DL_KEY,0)),"M")</f>
        <v>L</v>
      </c>
      <c r="AF243" s="34" t="inlineStr">
        <is>
          <t>M</t>
        </is>
      </c>
      <c r="AG243" s="35" t="inlineStr">
        <is>
          <t>M</t>
        </is>
      </c>
      <c r="AH243" s="35" t="inlineStr">
        <is>
          <t>M</t>
        </is>
      </c>
      <c r="AI243" s="35" t="inlineStr">
        <is>
          <t>M</t>
        </is>
      </c>
      <c r="AJ243" s="35" t="inlineStr">
        <is>
          <t>M</t>
        </is>
      </c>
      <c r="AK243" s="35" t="inlineStr">
        <is>
          <t>M</t>
        </is>
      </c>
      <c r="AL243" s="35" t="inlineStr">
        <is>
          <t>M</t>
        </is>
      </c>
      <c r="AM243" s="36" t="n">
        <v>0.583</v>
      </c>
      <c r="AN243" s="37" t="n">
        <v>0.16</v>
      </c>
      <c r="AO243" s="37" t="n">
        <v>0.09</v>
      </c>
      <c r="AP243" s="37" t="n">
        <v>0</v>
      </c>
      <c r="AQ243" s="37" t="n">
        <v>0.063</v>
      </c>
      <c r="AR243" s="37" t="n">
        <v>0.06</v>
      </c>
      <c r="AS243" s="37" t="n">
        <v>0.04</v>
      </c>
      <c r="AT243" s="38" t="inlineStr">
        <is>
          <t>0 yrs · fresher / intern</t>
        </is>
      </c>
      <c r="AU243" s="38" t="inlineStr">
        <is>
          <t>Pursuing or completed graduation / diploma</t>
        </is>
      </c>
      <c r="AV243" s="38" t="inlineStr">
        <is>
          <t>No direct reports</t>
        </is>
      </c>
      <c r="AW243" s="38" t="inlineStr">
        <is>
          <t>Entry / P1 · intern · SFIA 1 Follow</t>
        </is>
      </c>
      <c r="AX2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3" s="39" t="inlineStr">
        <is>
          <t>A1</t>
        </is>
      </c>
      <c r="AZ243" s="40" t="inlineStr">
        <is>
          <t>Band A · Practitioner · Intern / Trainee</t>
        </is>
      </c>
      <c r="BA243" s="40" t="inlineStr">
        <is>
          <t>Model A1 from the six ratings, the market-derived weights and rules R1–R13 · then No change · already below the manager</t>
        </is>
      </c>
      <c r="BB243" s="41" t="inlineStr">
        <is>
          <t>A1</t>
        </is>
      </c>
      <c r="BC243" s="40" t="inlineStr">
        <is>
          <t>Placed by a category rule — no full set of ratings · benchmark follows the HR proposed level</t>
        </is>
      </c>
      <c r="BD243" s="42">
        <f>IF(SUM(BM243,BN243,BO243,BP243,BQ243,BR243,BS243)=0,0,(BM243*BT243+BN243*BU243+BO243*BV243+BP243*BW243+BQ243*BX243+BR243*BY243+BS243*BZ243)/SUM(BM243,BN243,BO243,BP243,BQ243,BR243,BS243))</f>
        <v>0</v>
      </c>
      <c r="BE243" s="41" t="str">
        <f>IF(LEFT(AY243,1)="X",AY243,IF(OR(AY243="B+",AY243="C+"),INDEX(LAD_PC,MAX(1,MIN(14,MATCH(AY243,LAD_PC,0)+IF(BD243&gt;=0.5,1,IF(BD243&lt;=-0.5,-1,0))))),INDEX(LAD_STD,MAX(1,MIN(12,MATCH(AY243,LAD_STD,0)+IF(BD243&gt;=0.5,1,IF(BD243&lt;=-0.5,-1,0)))))))</f>
        <v>A1</v>
      </c>
      <c r="BF243" s="43" t="n"/>
      <c r="BG243" s="41" t="str">
        <f>IF(BF243&lt;&gt;"",BF243,BE243)</f>
        <v>A1</v>
      </c>
      <c r="BH243" s="40" t="str">
        <f>IFERROR(CHOOSE(INDEX(B_RANK,MATCH(BG243,B_LVL,0)),"Band A","Band B","B+ · Player-Coach","Band C","C+ · Player-Coach","Band D","Band E"),"Band X · Consultant")</f>
        <v>Band A</v>
      </c>
      <c r="BI243" s="40" t="str">
        <f>IF(BG243=AY243,"• Same",IF(INDEX(B_VAL,MATCH(BG243,B_LVL,0))&gt;INDEX(B_VAL,MATCH(AY243,B_LVL,0)),"▲ Up","▼ Down"))</f>
        <v>• Same</v>
      </c>
      <c r="BJ243" s="40" t="str">
        <f>IF(OR($M243="",$M243="—",$M243="Not in this file"),"",IFERROR(INDEX($BG$7:$BG$592,MATCH($M243,$D$7:$D$592,0)),""))</f>
        <v>B3</v>
      </c>
      <c r="BK243" s="40" t="str">
        <f>IFERROR(IF(BJ243="","—",IF(OR(LEFT(BG243,1)="X",LEFT(BJ243,1)="X"),"—",IF(AND(LEFT(BG243,1)="E",LEFT(BJ243,1)="E"),"Exception · Band E",IF(AND(INDEX(B_VAL,MATCH(BJ243,B_LVL,0))&gt;=7,INDEX(B_RANK,MATCH(BG243,B_LVL,0))&gt;=INDEX(B_RANK,MATCH(BJ243,B_LVL,0))),"⚠ Same band as a head manager",IF(INDEX(B_VAL,MATCH(BG243,B_LVL,0))&gt;=INDEX(B_VAL,MATCH(BJ243,B_LVL,0)),"⚠ At or above the manager's level","OK"))))),"—")</f>
        <v>OK</v>
      </c>
      <c r="BL243" s="43" t="n"/>
      <c r="BM243" s="44">
        <f>IFERROR(INDEX(LMH_PTS,MATCH(Y243,LMH_KEY,0)),0)</f>
        <v>9</v>
      </c>
      <c r="BN243" s="38">
        <f>IFERROR(INDEX(LMH_PTS,MATCH(Z243,LMH_KEY,0)),0)</f>
        <v>3</v>
      </c>
      <c r="BO243" s="38">
        <f>IFERROR(INDEX(LMH_PTS,MATCH(AA243,LMH_KEY,0)),0)</f>
        <v>3</v>
      </c>
      <c r="BP243" s="38">
        <f>IFERROR(INDEX(LMH_PTS,MATCH(AB243,LMH_KEY,0)),0)</f>
        <v>1</v>
      </c>
      <c r="BQ243" s="38">
        <f>IFERROR(INDEX(LMH_PTS,MATCH(AC243,LMH_KEY,0)),0)</f>
        <v>3</v>
      </c>
      <c r="BR243" s="38">
        <f>IFERROR(INDEX(LMH_PTS,MATCH(AD243,LMH_KEY,0)),0)</f>
        <v>1</v>
      </c>
      <c r="BS243" s="38">
        <f>IFERROR(INDEX(LMH_PTS,MATCH(AE243,LMH_KEY,0)),0)</f>
        <v>1</v>
      </c>
      <c r="BT243" s="38">
        <f>IFERROR(INDEX(LMH_STEP,MATCH(AF243,LMH_KEY,0)),0)</f>
        <v>0</v>
      </c>
      <c r="BU243" s="38">
        <f>IFERROR(INDEX(LMH_STEP,MATCH(AG243,LMH_KEY,0)),0)</f>
        <v>0</v>
      </c>
      <c r="BV243" s="38">
        <f>IFERROR(INDEX(LMH_STEP,MATCH(AH243,LMH_KEY,0)),0)</f>
        <v>0</v>
      </c>
      <c r="BW243" s="38">
        <f>IFERROR(INDEX(LMH_STEP,MATCH(AI243,LMH_KEY,0)),0)</f>
        <v>0</v>
      </c>
      <c r="BX243" s="38">
        <f>IFERROR(INDEX(LMH_STEP,MATCH(AJ243,LMH_KEY,0)),0)</f>
        <v>0</v>
      </c>
      <c r="BY243" s="38">
        <f>IFERROR(INDEX(LMH_STEP,MATCH(AK243,LMH_KEY,0)),0)</f>
        <v>0</v>
      </c>
      <c r="BZ243" s="38">
        <f>IFERROR(INDEX(LMH_STEP,MATCH(AL243,LMH_KEY,0)),0)</f>
        <v>0</v>
      </c>
      <c r="CA243" s="38" t="inlineStr">
        <is>
          <t>iDEAL|Sales|Intern – Application &amp; Product Support|A1|A</t>
        </is>
      </c>
    </row>
    <row r="244" ht="110" customHeight="1">
      <c r="A244" s="28" t="inlineStr">
        <is>
          <t>Consume</t>
        </is>
      </c>
      <c r="B244" s="29" t="inlineStr">
        <is>
          <t>India Content</t>
        </is>
      </c>
      <c r="C244" s="29" t="n">
        <v>3</v>
      </c>
      <c r="D244" s="29" t="inlineStr">
        <is>
          <t>IRIS0007</t>
        </is>
      </c>
      <c r="E244" s="29" t="inlineStr">
        <is>
          <t>Gopal Krishna Sahu</t>
        </is>
      </c>
      <c r="F244" s="29" t="inlineStr">
        <is>
          <t>Data Analyst Manager</t>
        </is>
      </c>
      <c r="G244" s="29" t="inlineStr">
        <is>
          <t>Data Operations Manager</t>
        </is>
      </c>
      <c r="H244" s="29" t="inlineStr">
        <is>
          <t>Data &amp; Analytics</t>
        </is>
      </c>
      <c r="I244" s="29" t="inlineStr">
        <is>
          <t>Financial Data Processing</t>
        </is>
      </c>
      <c r="J244" s="29" t="inlineStr">
        <is>
          <t>People Manager</t>
        </is>
      </c>
      <c r="K244" s="29" t="inlineStr">
        <is>
          <t>RC-042</t>
        </is>
      </c>
      <c r="L244" s="29" t="inlineStr">
        <is>
          <t>Arup Ganguly</t>
        </is>
      </c>
      <c r="M244" s="29" t="inlineStr">
        <is>
          <t>IRIS0242</t>
        </is>
      </c>
      <c r="N244" s="29" t="n">
        <v>35.2</v>
      </c>
      <c r="O244" s="29" t="n">
        <v>22.1</v>
      </c>
      <c r="P244" s="29" t="inlineStr">
        <is>
          <t>MBA</t>
        </is>
      </c>
      <c r="Q244" s="29" t="inlineStr">
        <is>
          <t>L5 – Manager</t>
        </is>
      </c>
      <c r="R244" s="29" t="inlineStr">
        <is>
          <t>B2</t>
        </is>
      </c>
      <c r="S244" s="30" t="inlineStr">
        <is>
          <t>20 of 20</t>
        </is>
      </c>
      <c r="T244" s="31"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t>
        </is>
      </c>
      <c r="U244" s="31" t="inlineStr">
        <is>
          <t>Received · manager annual, quarterly, self · 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t>
        </is>
      </c>
      <c r="V244" s="31" t="inlineStr">
        <is>
          <t>Latest rating: 4 · Potential: Medium · 9-box: Emerging Talent · Readiness: Ready in 6–12 months</t>
        </is>
      </c>
      <c r="W244" s="31" t="inlineStr">
        <is>
          <t>C M · Au M · Ac M · L M · BI M · Exp H · 35.2 yrs vs 6–9 yrs · Edu H · MBA</t>
        </is>
      </c>
      <c r="X244" s="33" t="inlineStr">
        <is>
          <t>Open ▸</t>
        </is>
      </c>
      <c r="Y244" s="34" t="str">
        <f>IFERROR(INDEX(DL_C,MATCH($CA244,DL_KEY,0)),"M")</f>
        <v>H</v>
      </c>
      <c r="Z244" s="35" t="str">
        <f>IFERROR(INDEX(DL_Au,MATCH($CA244,DL_KEY,0)),"M")</f>
        <v>M</v>
      </c>
      <c r="AA244" s="35" t="str">
        <f>IFERROR(INDEX(DL_Ac,MATCH($CA244,DL_KEY,0)),"M")</f>
        <v>M</v>
      </c>
      <c r="AB244" s="35" t="str">
        <f>IFERROR(INDEX(DL_L,MATCH($CA244,DL_KEY,0)),"M")</f>
        <v>M</v>
      </c>
      <c r="AC244" s="35" t="str">
        <f>IFERROR(INDEX(DL_BI,MATCH($CA244,DL_KEY,0)),"M")</f>
        <v>L</v>
      </c>
      <c r="AD244" s="35" t="str">
        <f>IFERROR(INDEX(DL_Exp,MATCH($CA244,DL_KEY,0)),"M")</f>
        <v>L</v>
      </c>
      <c r="AE244" s="35" t="str">
        <f>IFERROR(INDEX(DL_Edu,MATCH($CA244,DL_KEY,0)),"M")</f>
        <v>L</v>
      </c>
      <c r="AF244" s="34" t="inlineStr">
        <is>
          <t>M</t>
        </is>
      </c>
      <c r="AG244" s="35" t="inlineStr">
        <is>
          <t>M</t>
        </is>
      </c>
      <c r="AH244" s="35" t="inlineStr">
        <is>
          <t>M</t>
        </is>
      </c>
      <c r="AI244" s="35" t="inlineStr">
        <is>
          <t>M</t>
        </is>
      </c>
      <c r="AJ244" s="35" t="inlineStr">
        <is>
          <t>M</t>
        </is>
      </c>
      <c r="AK244" s="35" t="inlineStr">
        <is>
          <t>M</t>
        </is>
      </c>
      <c r="AL244" s="35" t="inlineStr">
        <is>
          <t>M</t>
        </is>
      </c>
      <c r="AM244" s="36" t="n">
        <v>0.37</v>
      </c>
      <c r="AN244" s="37" t="n">
        <v>0.183</v>
      </c>
      <c r="AO244" s="37" t="n">
        <v>0.113</v>
      </c>
      <c r="AP244" s="37" t="n">
        <v>0.15</v>
      </c>
      <c r="AQ244" s="37" t="n">
        <v>0.08699999999999999</v>
      </c>
      <c r="AR244" s="37" t="n">
        <v>0.06</v>
      </c>
      <c r="AS244" s="37" t="n">
        <v>0.04</v>
      </c>
      <c r="AT244" s="38" t="inlineStr">
        <is>
          <t>6–10</t>
        </is>
      </c>
      <c r="AU244" s="38" t="inlineStr">
        <is>
          <t>Graduate or postgraduate; professional qualification preferred</t>
        </is>
      </c>
      <c r="AV244" s="38" t="inlineStr">
        <is>
          <t>IC: none · People: 6–8 knowledge work, 8–12 standardised delivery</t>
        </is>
      </c>
      <c r="AW244" s="38" t="inlineStr">
        <is>
          <t>P4 / M3 · SFIA 4–5</t>
        </is>
      </c>
      <c r="AX2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4" s="39" t="inlineStr">
        <is>
          <t>B2</t>
        </is>
      </c>
      <c r="AZ244" s="40" t="inlineStr">
        <is>
          <t>Band B · Specialist / Manager · Manager</t>
        </is>
      </c>
      <c r="BA244" s="40" t="inlineStr">
        <is>
          <t>Model B2 from the six ratings, the market-derived weights and rules R1–R13 · then No change · already below the manager</t>
        </is>
      </c>
      <c r="BB244" s="41" t="inlineStr">
        <is>
          <t>B3</t>
        </is>
      </c>
      <c r="BC244" s="40" t="inlineStr">
        <is>
          <t>The six ratings on the market-average weights of Band B · People Manager score 5.70 → B3 · Hay, Mercer IPE and public plans · experience 35.2 yrs vs the B3 market range 8–13</t>
        </is>
      </c>
      <c r="BD244" s="42">
        <f>IF(SUM(BM244,BN244,BO244,BP244,BQ244,BR244,BS244)=0,0,(BM244*BT244+BN244*BU244+BO244*BV244+BP244*BW244+BQ244*BX244+BR244*BY244+BS244*BZ244)/SUM(BM244,BN244,BO244,BP244,BQ244,BR244,BS244))</f>
        <v>0</v>
      </c>
      <c r="BE244" s="41" t="str">
        <f>IF(LEFT(AY244,1)="X",AY244,IF(OR(AY244="B+",AY244="C+"),INDEX(LAD_PC,MAX(1,MIN(14,MATCH(AY244,LAD_PC,0)+IF(BD244&gt;=0.5,1,IF(BD244&lt;=-0.5,-1,0))))),INDEX(LAD_STD,MAX(1,MIN(12,MATCH(AY244,LAD_STD,0)+IF(BD244&gt;=0.5,1,IF(BD244&lt;=-0.5,-1,0)))))))</f>
        <v>B2</v>
      </c>
      <c r="BF244" s="43" t="n"/>
      <c r="BG244" s="41" t="str">
        <f>IF(BF244&lt;&gt;"",BF244,BE244)</f>
        <v>B2</v>
      </c>
      <c r="BH244" s="40" t="str">
        <f>IFERROR(CHOOSE(INDEX(B_RANK,MATCH(BG244,B_LVL,0)),"Band A","Band B","B+ · Player-Coach","Band C","C+ · Player-Coach","Band D","Band E"),"Band X · Consultant")</f>
        <v>Band B</v>
      </c>
      <c r="BI244" s="40" t="str">
        <f>IF(BG244=AY244,"• Same",IF(INDEX(B_VAL,MATCH(BG244,B_LVL,0))&gt;INDEX(B_VAL,MATCH(AY244,B_LVL,0)),"▲ Up","▼ Down"))</f>
        <v>• Same</v>
      </c>
      <c r="BJ244" s="40" t="str">
        <f>IF(OR($M244="",$M244="—",$M244="Not in this file"),"",IFERROR(INDEX($BG$7:$BG$592,MATCH($M244,$D$7:$D$592,0)),""))</f>
        <v>C2</v>
      </c>
      <c r="BK244" s="40" t="str">
        <f>IFERROR(IF(BJ244="","—",IF(OR(LEFT(BG244,1)="X",LEFT(BJ244,1)="X"),"—",IF(AND(LEFT(BG244,1)="E",LEFT(BJ244,1)="E"),"Exception · Band E",IF(AND(INDEX(B_VAL,MATCH(BJ244,B_LVL,0))&gt;=7,INDEX(B_RANK,MATCH(BG244,B_LVL,0))&gt;=INDEX(B_RANK,MATCH(BJ244,B_LVL,0))),"⚠ Same band as a head manager",IF(INDEX(B_VAL,MATCH(BG244,B_LVL,0))&gt;=INDEX(B_VAL,MATCH(BJ244,B_LVL,0)),"⚠ At or above the manager's level","OK"))))),"—")</f>
        <v>OK</v>
      </c>
      <c r="BL244" s="43" t="n"/>
      <c r="BM244" s="44">
        <f>IFERROR(INDEX(LMH_PTS,MATCH(Y244,LMH_KEY,0)),0)</f>
        <v>9</v>
      </c>
      <c r="BN244" s="38">
        <f>IFERROR(INDEX(LMH_PTS,MATCH(Z244,LMH_KEY,0)),0)</f>
        <v>3</v>
      </c>
      <c r="BO244" s="38">
        <f>IFERROR(INDEX(LMH_PTS,MATCH(AA244,LMH_KEY,0)),0)</f>
        <v>3</v>
      </c>
      <c r="BP244" s="38">
        <f>IFERROR(INDEX(LMH_PTS,MATCH(AB244,LMH_KEY,0)),0)</f>
        <v>3</v>
      </c>
      <c r="BQ244" s="38">
        <f>IFERROR(INDEX(LMH_PTS,MATCH(AC244,LMH_KEY,0)),0)</f>
        <v>1</v>
      </c>
      <c r="BR244" s="38">
        <f>IFERROR(INDEX(LMH_PTS,MATCH(AD244,LMH_KEY,0)),0)</f>
        <v>1</v>
      </c>
      <c r="BS244" s="38">
        <f>IFERROR(INDEX(LMH_PTS,MATCH(AE244,LMH_KEY,0)),0)</f>
        <v>1</v>
      </c>
      <c r="BT244" s="38">
        <f>IFERROR(INDEX(LMH_STEP,MATCH(AF244,LMH_KEY,0)),0)</f>
        <v>0</v>
      </c>
      <c r="BU244" s="38">
        <f>IFERROR(INDEX(LMH_STEP,MATCH(AG244,LMH_KEY,0)),0)</f>
        <v>0</v>
      </c>
      <c r="BV244" s="38">
        <f>IFERROR(INDEX(LMH_STEP,MATCH(AH244,LMH_KEY,0)),0)</f>
        <v>0</v>
      </c>
      <c r="BW244" s="38">
        <f>IFERROR(INDEX(LMH_STEP,MATCH(AI244,LMH_KEY,0)),0)</f>
        <v>0</v>
      </c>
      <c r="BX244" s="38">
        <f>IFERROR(INDEX(LMH_STEP,MATCH(AJ244,LMH_KEY,0)),0)</f>
        <v>0</v>
      </c>
      <c r="BY244" s="38">
        <f>IFERROR(INDEX(LMH_STEP,MATCH(AK244,LMH_KEY,0)),0)</f>
        <v>0</v>
      </c>
      <c r="BZ244" s="38">
        <f>IFERROR(INDEX(LMH_STEP,MATCH(AL244,LMH_KEY,0)),0)</f>
        <v>0</v>
      </c>
      <c r="CA244" s="38" t="inlineStr">
        <is>
          <t>Consume|India Content|Data Operations Manager|B2|B-M</t>
        </is>
      </c>
    </row>
    <row r="245" ht="110" customHeight="1">
      <c r="A245" s="28" t="inlineStr">
        <is>
          <t>Consume</t>
        </is>
      </c>
      <c r="B245" s="29" t="inlineStr">
        <is>
          <t>India Content</t>
        </is>
      </c>
      <c r="C245" s="29" t="n">
        <v>4</v>
      </c>
      <c r="D245" s="29" t="inlineStr">
        <is>
          <t>IRIS0015</t>
        </is>
      </c>
      <c r="E245" s="29" t="inlineStr">
        <is>
          <t>Virendra Borkar</t>
        </is>
      </c>
      <c r="F245" s="29" t="inlineStr">
        <is>
          <t>Data Analyst Lead</t>
        </is>
      </c>
      <c r="G245" s="29" t="inlineStr">
        <is>
          <t>Data Specialist</t>
        </is>
      </c>
      <c r="H245" s="29" t="inlineStr">
        <is>
          <t>Data &amp; Analytics</t>
        </is>
      </c>
      <c r="I245" s="29" t="inlineStr">
        <is>
          <t>Financial Data Processing</t>
        </is>
      </c>
      <c r="J245" s="29" t="inlineStr">
        <is>
          <t>IC</t>
        </is>
      </c>
      <c r="K245" s="29" t="inlineStr">
        <is>
          <t>RC-041</t>
        </is>
      </c>
      <c r="L245" s="29" t="inlineStr">
        <is>
          <t>Gopal Krishna Sahu</t>
        </is>
      </c>
      <c r="M245" s="29" t="inlineStr">
        <is>
          <t>IRIS0007</t>
        </is>
      </c>
      <c r="N245" s="29" t="n">
        <v>22.3</v>
      </c>
      <c r="O245" s="29" t="n">
        <v>21.9</v>
      </c>
      <c r="P245" s="29" t="inlineStr">
        <is>
          <t>B.Com</t>
        </is>
      </c>
      <c r="Q245" s="29" t="inlineStr">
        <is>
          <t>L5 – Lead · IC</t>
        </is>
      </c>
      <c r="R245" s="29" t="inlineStr">
        <is>
          <t>B1</t>
        </is>
      </c>
      <c r="S245" s="30" t="inlineStr">
        <is>
          <t>20 of 20</t>
        </is>
      </c>
      <c r="T245" s="31"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t>
        </is>
      </c>
      <c r="U245"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5" s="31" t="inlineStr">
        <is>
          <t>Latest rating: 3 · Potential: Medium · 9-box: Future Leader · Readiness: Develop in role</t>
        </is>
      </c>
      <c r="W245" s="31" t="inlineStr">
        <is>
          <t>C M · Au M · Ac M · L L · BI M · Exp H · 22.3 yrs vs 4–7 yrs · Edu M · B.Com</t>
        </is>
      </c>
      <c r="X245" s="33" t="inlineStr">
        <is>
          <t>Open ▸</t>
        </is>
      </c>
      <c r="Y245" s="34" t="str">
        <f>IFERROR(INDEX(DL_C,MATCH($CA245,DL_KEY,0)),"M")</f>
        <v>H</v>
      </c>
      <c r="Z245" s="35" t="str">
        <f>IFERROR(INDEX(DL_Au,MATCH($CA245,DL_KEY,0)),"M")</f>
        <v>M</v>
      </c>
      <c r="AA245" s="35" t="str">
        <f>IFERROR(INDEX(DL_Ac,MATCH($CA245,DL_KEY,0)),"M")</f>
        <v>M</v>
      </c>
      <c r="AB245" s="35" t="str">
        <f>IFERROR(INDEX(DL_L,MATCH($CA245,DL_KEY,0)),"M")</f>
        <v>L</v>
      </c>
      <c r="AC245" s="35" t="str">
        <f>IFERROR(INDEX(DL_BI,MATCH($CA245,DL_KEY,0)),"M")</f>
        <v>L</v>
      </c>
      <c r="AD245" s="35" t="str">
        <f>IFERROR(INDEX(DL_Exp,MATCH($CA245,DL_KEY,0)),"M")</f>
        <v>L</v>
      </c>
      <c r="AE245" s="35" t="str">
        <f>IFERROR(INDEX(DL_Edu,MATCH($CA245,DL_KEY,0)),"M")</f>
        <v>L</v>
      </c>
      <c r="AF245" s="34" t="inlineStr">
        <is>
          <t>M</t>
        </is>
      </c>
      <c r="AG245" s="35" t="inlineStr">
        <is>
          <t>M</t>
        </is>
      </c>
      <c r="AH245" s="35" t="inlineStr">
        <is>
          <t>M</t>
        </is>
      </c>
      <c r="AI245" s="35" t="inlineStr">
        <is>
          <t>M</t>
        </is>
      </c>
      <c r="AJ245" s="35" t="inlineStr">
        <is>
          <t>M</t>
        </is>
      </c>
      <c r="AK245" s="35" t="inlineStr">
        <is>
          <t>M</t>
        </is>
      </c>
      <c r="AL245" s="35" t="inlineStr">
        <is>
          <t>M</t>
        </is>
      </c>
      <c r="AM245" s="36" t="n">
        <v>0.513</v>
      </c>
      <c r="AN245" s="37" t="n">
        <v>0.173</v>
      </c>
      <c r="AO245" s="37" t="n">
        <v>0.09699999999999999</v>
      </c>
      <c r="AP245" s="37" t="n">
        <v>0.05</v>
      </c>
      <c r="AQ245" s="37" t="n">
        <v>0.07000000000000001</v>
      </c>
      <c r="AR245" s="37" t="n">
        <v>0.06</v>
      </c>
      <c r="AS245" s="37" t="n">
        <v>0.04</v>
      </c>
      <c r="AT245" s="38" t="inlineStr">
        <is>
          <t>4–8</t>
        </is>
      </c>
      <c r="AU245" s="38" t="inlineStr">
        <is>
          <t>Graduate + relevant qualification or certification preferred</t>
        </is>
      </c>
      <c r="AV245" s="38" t="inlineStr">
        <is>
          <t>IC: none · Team Lead: 3–5</t>
        </is>
      </c>
      <c r="AW245" s="38" t="inlineStr">
        <is>
          <t>P3 / M2 · SFIA 4 Enable</t>
        </is>
      </c>
      <c r="AX2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5" s="39" t="inlineStr">
        <is>
          <t>B1</t>
        </is>
      </c>
      <c r="AZ245" s="40" t="inlineStr">
        <is>
          <t>Band B · Specialist / Manager · Specialist</t>
        </is>
      </c>
      <c r="BA245" s="40" t="inlineStr">
        <is>
          <t>Model B1 from the six ratings, the market-derived weights and rules R1–R13 · then No change · already below the manager</t>
        </is>
      </c>
      <c r="BB245" s="41" t="inlineStr">
        <is>
          <t>B1</t>
        </is>
      </c>
      <c r="BC245" s="40" t="inlineStr">
        <is>
          <t>The six ratings on the market-average weights of Band B · Specialist / POD Lead score 4.18 → B1 · Hay, Mercer IPE and public plans · experience 22.3 yrs vs the B1 market range 4–8</t>
        </is>
      </c>
      <c r="BD245" s="42">
        <f>IF(SUM(BM245,BN245,BO245,BP245,BQ245,BR245,BS245)=0,0,(BM245*BT245+BN245*BU245+BO245*BV245+BP245*BW245+BQ245*BX245+BR245*BY245+BS245*BZ245)/SUM(BM245,BN245,BO245,BP245,BQ245,BR245,BS245))</f>
        <v>0</v>
      </c>
      <c r="BE245" s="41" t="str">
        <f>IF(LEFT(AY245,1)="X",AY245,IF(OR(AY245="B+",AY245="C+"),INDEX(LAD_PC,MAX(1,MIN(14,MATCH(AY245,LAD_PC,0)+IF(BD245&gt;=0.5,1,IF(BD245&lt;=-0.5,-1,0))))),INDEX(LAD_STD,MAX(1,MIN(12,MATCH(AY245,LAD_STD,0)+IF(BD245&gt;=0.5,1,IF(BD245&lt;=-0.5,-1,0)))))))</f>
        <v>B1</v>
      </c>
      <c r="BF245" s="43" t="n"/>
      <c r="BG245" s="41" t="str">
        <f>IF(BF245&lt;&gt;"",BF245,BE245)</f>
        <v>B1</v>
      </c>
      <c r="BH245" s="40" t="str">
        <f>IFERROR(CHOOSE(INDEX(B_RANK,MATCH(BG245,B_LVL,0)),"Band A","Band B","B+ · Player-Coach","Band C","C+ · Player-Coach","Band D","Band E"),"Band X · Consultant")</f>
        <v>Band B</v>
      </c>
      <c r="BI245" s="40" t="str">
        <f>IF(BG245=AY245,"• Same",IF(INDEX(B_VAL,MATCH(BG245,B_LVL,0))&gt;INDEX(B_VAL,MATCH(AY245,B_LVL,0)),"▲ Up","▼ Down"))</f>
        <v>• Same</v>
      </c>
      <c r="BJ245" s="40" t="str">
        <f>IF(OR($M245="",$M245="—",$M245="Not in this file"),"",IFERROR(INDEX($BG$7:$BG$592,MATCH($M245,$D$7:$D$592,0)),""))</f>
        <v>B2</v>
      </c>
      <c r="BK245" s="40" t="str">
        <f>IFERROR(IF(BJ245="","—",IF(OR(LEFT(BG245,1)="X",LEFT(BJ245,1)="X"),"—",IF(AND(LEFT(BG245,1)="E",LEFT(BJ245,1)="E"),"Exception · Band E",IF(AND(INDEX(B_VAL,MATCH(BJ245,B_LVL,0))&gt;=7,INDEX(B_RANK,MATCH(BG245,B_LVL,0))&gt;=INDEX(B_RANK,MATCH(BJ245,B_LVL,0))),"⚠ Same band as a head manager",IF(INDEX(B_VAL,MATCH(BG245,B_LVL,0))&gt;=INDEX(B_VAL,MATCH(BJ245,B_LVL,0)),"⚠ At or above the manager's level","OK"))))),"—")</f>
        <v>OK</v>
      </c>
      <c r="BL245" s="43" t="n"/>
      <c r="BM245" s="44">
        <f>IFERROR(INDEX(LMH_PTS,MATCH(Y245,LMH_KEY,0)),0)</f>
        <v>9</v>
      </c>
      <c r="BN245" s="38">
        <f>IFERROR(INDEX(LMH_PTS,MATCH(Z245,LMH_KEY,0)),0)</f>
        <v>3</v>
      </c>
      <c r="BO245" s="38">
        <f>IFERROR(INDEX(LMH_PTS,MATCH(AA245,LMH_KEY,0)),0)</f>
        <v>3</v>
      </c>
      <c r="BP245" s="38">
        <f>IFERROR(INDEX(LMH_PTS,MATCH(AB245,LMH_KEY,0)),0)</f>
        <v>1</v>
      </c>
      <c r="BQ245" s="38">
        <f>IFERROR(INDEX(LMH_PTS,MATCH(AC245,LMH_KEY,0)),0)</f>
        <v>1</v>
      </c>
      <c r="BR245" s="38">
        <f>IFERROR(INDEX(LMH_PTS,MATCH(AD245,LMH_KEY,0)),0)</f>
        <v>1</v>
      </c>
      <c r="BS245" s="38">
        <f>IFERROR(INDEX(LMH_PTS,MATCH(AE245,LMH_KEY,0)),0)</f>
        <v>1</v>
      </c>
      <c r="BT245" s="38">
        <f>IFERROR(INDEX(LMH_STEP,MATCH(AF245,LMH_KEY,0)),0)</f>
        <v>0</v>
      </c>
      <c r="BU245" s="38">
        <f>IFERROR(INDEX(LMH_STEP,MATCH(AG245,LMH_KEY,0)),0)</f>
        <v>0</v>
      </c>
      <c r="BV245" s="38">
        <f>IFERROR(INDEX(LMH_STEP,MATCH(AH245,LMH_KEY,0)),0)</f>
        <v>0</v>
      </c>
      <c r="BW245" s="38">
        <f>IFERROR(INDEX(LMH_STEP,MATCH(AI245,LMH_KEY,0)),0)</f>
        <v>0</v>
      </c>
      <c r="BX245" s="38">
        <f>IFERROR(INDEX(LMH_STEP,MATCH(AJ245,LMH_KEY,0)),0)</f>
        <v>0</v>
      </c>
      <c r="BY245" s="38">
        <f>IFERROR(INDEX(LMH_STEP,MATCH(AK245,LMH_KEY,0)),0)</f>
        <v>0</v>
      </c>
      <c r="BZ245" s="38">
        <f>IFERROR(INDEX(LMH_STEP,MATCH(AL245,LMH_KEY,0)),0)</f>
        <v>0</v>
      </c>
      <c r="CA245" s="38" t="inlineStr">
        <is>
          <t>Consume|India Content|Data Specialist|B1|B-IC</t>
        </is>
      </c>
    </row>
    <row r="246" ht="110" customHeight="1">
      <c r="A246" s="28" t="inlineStr">
        <is>
          <t>Consume</t>
        </is>
      </c>
      <c r="B246" s="29" t="inlineStr">
        <is>
          <t>India Content</t>
        </is>
      </c>
      <c r="C246" s="29" t="n">
        <v>4</v>
      </c>
      <c r="D246" s="29" t="inlineStr">
        <is>
          <t>IRIS1743</t>
        </is>
      </c>
      <c r="E246" s="29" t="inlineStr">
        <is>
          <t>Akash Dubey</t>
        </is>
      </c>
      <c r="F246" s="29" t="inlineStr">
        <is>
          <t>Data Analyst</t>
        </is>
      </c>
      <c r="G246" s="29" t="inlineStr">
        <is>
          <t>Senior Data Analyst</t>
        </is>
      </c>
      <c r="H246" s="29" t="inlineStr">
        <is>
          <t>Data &amp; Analytics</t>
        </is>
      </c>
      <c r="I246" s="29" t="inlineStr">
        <is>
          <t>Financial Data Processing</t>
        </is>
      </c>
      <c r="J246" s="29" t="inlineStr">
        <is>
          <t>IC</t>
        </is>
      </c>
      <c r="K246" s="29" t="inlineStr">
        <is>
          <t>RC-040</t>
        </is>
      </c>
      <c r="L246" s="29" t="inlineStr">
        <is>
          <t>Gopal Krishna Sahu</t>
        </is>
      </c>
      <c r="M246" s="29" t="inlineStr">
        <is>
          <t>IRIS0007</t>
        </is>
      </c>
      <c r="N246" s="29" t="n">
        <v>8.1</v>
      </c>
      <c r="O246" s="29" t="n">
        <v>8.1</v>
      </c>
      <c r="P246" s="29" t="inlineStr">
        <is>
          <t>M.Com</t>
        </is>
      </c>
      <c r="Q246" s="29" t="inlineStr">
        <is>
          <t>L3 – Professional / Associate</t>
        </is>
      </c>
      <c r="R246" s="29" t="inlineStr">
        <is>
          <t>A3</t>
        </is>
      </c>
      <c r="S246" s="30" t="inlineStr">
        <is>
          <t>20 of 20</t>
        </is>
      </c>
      <c r="T246" s="31"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t>
        </is>
      </c>
      <c r="U246"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6" s="31" t="inlineStr">
        <is>
          <t>Latest rating: 3 · Potential: Medium · 9-box: Trusted Professional · Readiness: Develop in role</t>
        </is>
      </c>
      <c r="W246" s="31" t="inlineStr">
        <is>
          <t>C L · Au L · Ac L · L L · BI M · Exp H · 8.1 yrs vs 2–4 yrs · Edu H · M.Com</t>
        </is>
      </c>
      <c r="X246" s="33" t="inlineStr">
        <is>
          <t>Open ▸</t>
        </is>
      </c>
      <c r="Y246" s="34" t="str">
        <f>IFERROR(INDEX(DL_C,MATCH($CA246,DL_KEY,0)),"M")</f>
        <v>H</v>
      </c>
      <c r="Z246" s="35" t="str">
        <f>IFERROR(INDEX(DL_Au,MATCH($CA246,DL_KEY,0)),"M")</f>
        <v>M</v>
      </c>
      <c r="AA246" s="35" t="str">
        <f>IFERROR(INDEX(DL_Ac,MATCH($CA246,DL_KEY,0)),"M")</f>
        <v>M</v>
      </c>
      <c r="AB246" s="35" t="str">
        <f>IFERROR(INDEX(DL_L,MATCH($CA246,DL_KEY,0)),"M")</f>
        <v>L</v>
      </c>
      <c r="AC246" s="35" t="str">
        <f>IFERROR(INDEX(DL_BI,MATCH($CA246,DL_KEY,0)),"M")</f>
        <v>L</v>
      </c>
      <c r="AD246" s="35" t="str">
        <f>IFERROR(INDEX(DL_Exp,MATCH($CA246,DL_KEY,0)),"M")</f>
        <v>L</v>
      </c>
      <c r="AE246" s="35" t="str">
        <f>IFERROR(INDEX(DL_Edu,MATCH($CA246,DL_KEY,0)),"M")</f>
        <v>L</v>
      </c>
      <c r="AF246" s="34" t="inlineStr">
        <is>
          <t>M</t>
        </is>
      </c>
      <c r="AG246" s="35" t="inlineStr">
        <is>
          <t>M</t>
        </is>
      </c>
      <c r="AH246" s="35" t="inlineStr">
        <is>
          <t>M</t>
        </is>
      </c>
      <c r="AI246" s="35" t="inlineStr">
        <is>
          <t>M</t>
        </is>
      </c>
      <c r="AJ246" s="35" t="inlineStr">
        <is>
          <t>M</t>
        </is>
      </c>
      <c r="AK246" s="35" t="inlineStr">
        <is>
          <t>M</t>
        </is>
      </c>
      <c r="AL246" s="35" t="inlineStr">
        <is>
          <t>M</t>
        </is>
      </c>
      <c r="AM246" s="36" t="n">
        <v>0.583</v>
      </c>
      <c r="AN246" s="37" t="n">
        <v>0.16</v>
      </c>
      <c r="AO246" s="37" t="n">
        <v>0.09</v>
      </c>
      <c r="AP246" s="37" t="n">
        <v>0</v>
      </c>
      <c r="AQ246" s="37" t="n">
        <v>0.063</v>
      </c>
      <c r="AR246" s="37" t="n">
        <v>0.06</v>
      </c>
      <c r="AS246" s="37" t="n">
        <v>0.04</v>
      </c>
      <c r="AT246" s="38" t="inlineStr">
        <is>
          <t>2–5</t>
        </is>
      </c>
      <c r="AU246" s="38" t="inlineStr">
        <is>
          <t>Graduate; relevant certification preferred</t>
        </is>
      </c>
      <c r="AV246" s="38" t="inlineStr">
        <is>
          <t>None · guides 1–3 juniors informally</t>
        </is>
      </c>
      <c r="AW246" s="38" t="inlineStr">
        <is>
          <t>P2 · SFIA 3 Apply</t>
        </is>
      </c>
      <c r="AX2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6" s="39" t="inlineStr">
        <is>
          <t>A3</t>
        </is>
      </c>
      <c r="AZ246" s="40" t="inlineStr">
        <is>
          <t>Band A · Practitioner · Senior Associate</t>
        </is>
      </c>
      <c r="BA246" s="40" t="inlineStr">
        <is>
          <t>Model A3 from the six ratings, the market-derived weights and rules R1–R13 · then No change · already below the manager</t>
        </is>
      </c>
      <c r="BB246" s="41" t="inlineStr">
        <is>
          <t>A2</t>
        </is>
      </c>
      <c r="BC246" s="40" t="inlineStr">
        <is>
          <t>The six ratings on the market-average weights of Band A · all tracks score 2.38 → A2 · Hay, Mercer IPE and public plans · experience 8.1 yrs vs the A2 market range 0–3</t>
        </is>
      </c>
      <c r="BD246" s="42">
        <f>IF(SUM(BM246,BN246,BO246,BP246,BQ246,BR246,BS246)=0,0,(BM246*BT246+BN246*BU246+BO246*BV246+BP246*BW246+BQ246*BX246+BR246*BY246+BS246*BZ246)/SUM(BM246,BN246,BO246,BP246,BQ246,BR246,BS246))</f>
        <v>0</v>
      </c>
      <c r="BE246" s="41" t="str">
        <f>IF(LEFT(AY246,1)="X",AY246,IF(OR(AY246="B+",AY246="C+"),INDEX(LAD_PC,MAX(1,MIN(14,MATCH(AY246,LAD_PC,0)+IF(BD246&gt;=0.5,1,IF(BD246&lt;=-0.5,-1,0))))),INDEX(LAD_STD,MAX(1,MIN(12,MATCH(AY246,LAD_STD,0)+IF(BD246&gt;=0.5,1,IF(BD246&lt;=-0.5,-1,0)))))))</f>
        <v>A3</v>
      </c>
      <c r="BF246" s="43" t="n"/>
      <c r="BG246" s="41" t="str">
        <f>IF(BF246&lt;&gt;"",BF246,BE246)</f>
        <v>A3</v>
      </c>
      <c r="BH246" s="40" t="str">
        <f>IFERROR(CHOOSE(INDEX(B_RANK,MATCH(BG246,B_LVL,0)),"Band A","Band B","B+ · Player-Coach","Band C","C+ · Player-Coach","Band D","Band E"),"Band X · Consultant")</f>
        <v>Band A</v>
      </c>
      <c r="BI246" s="40" t="str">
        <f>IF(BG246=AY246,"• Same",IF(INDEX(B_VAL,MATCH(BG246,B_LVL,0))&gt;INDEX(B_VAL,MATCH(AY246,B_LVL,0)),"▲ Up","▼ Down"))</f>
        <v>• Same</v>
      </c>
      <c r="BJ246" s="40" t="str">
        <f>IF(OR($M246="",$M246="—",$M246="Not in this file"),"",IFERROR(INDEX($BG$7:$BG$592,MATCH($M246,$D$7:$D$592,0)),""))</f>
        <v>B2</v>
      </c>
      <c r="BK246" s="40" t="str">
        <f>IFERROR(IF(BJ246="","—",IF(OR(LEFT(BG246,1)="X",LEFT(BJ246,1)="X"),"—",IF(AND(LEFT(BG246,1)="E",LEFT(BJ246,1)="E"),"Exception · Band E",IF(AND(INDEX(B_VAL,MATCH(BJ246,B_LVL,0))&gt;=7,INDEX(B_RANK,MATCH(BG246,B_LVL,0))&gt;=INDEX(B_RANK,MATCH(BJ246,B_LVL,0))),"⚠ Same band as a head manager",IF(INDEX(B_VAL,MATCH(BG246,B_LVL,0))&gt;=INDEX(B_VAL,MATCH(BJ246,B_LVL,0)),"⚠ At or above the manager's level","OK"))))),"—")</f>
        <v>OK</v>
      </c>
      <c r="BL246" s="43" t="n"/>
      <c r="BM246" s="44">
        <f>IFERROR(INDEX(LMH_PTS,MATCH(Y246,LMH_KEY,0)),0)</f>
        <v>9</v>
      </c>
      <c r="BN246" s="38">
        <f>IFERROR(INDEX(LMH_PTS,MATCH(Z246,LMH_KEY,0)),0)</f>
        <v>3</v>
      </c>
      <c r="BO246" s="38">
        <f>IFERROR(INDEX(LMH_PTS,MATCH(AA246,LMH_KEY,0)),0)</f>
        <v>3</v>
      </c>
      <c r="BP246" s="38">
        <f>IFERROR(INDEX(LMH_PTS,MATCH(AB246,LMH_KEY,0)),0)</f>
        <v>1</v>
      </c>
      <c r="BQ246" s="38">
        <f>IFERROR(INDEX(LMH_PTS,MATCH(AC246,LMH_KEY,0)),0)</f>
        <v>1</v>
      </c>
      <c r="BR246" s="38">
        <f>IFERROR(INDEX(LMH_PTS,MATCH(AD246,LMH_KEY,0)),0)</f>
        <v>1</v>
      </c>
      <c r="BS246" s="38">
        <f>IFERROR(INDEX(LMH_PTS,MATCH(AE246,LMH_KEY,0)),0)</f>
        <v>1</v>
      </c>
      <c r="BT246" s="38">
        <f>IFERROR(INDEX(LMH_STEP,MATCH(AF246,LMH_KEY,0)),0)</f>
        <v>0</v>
      </c>
      <c r="BU246" s="38">
        <f>IFERROR(INDEX(LMH_STEP,MATCH(AG246,LMH_KEY,0)),0)</f>
        <v>0</v>
      </c>
      <c r="BV246" s="38">
        <f>IFERROR(INDEX(LMH_STEP,MATCH(AH246,LMH_KEY,0)),0)</f>
        <v>0</v>
      </c>
      <c r="BW246" s="38">
        <f>IFERROR(INDEX(LMH_STEP,MATCH(AI246,LMH_KEY,0)),0)</f>
        <v>0</v>
      </c>
      <c r="BX246" s="38">
        <f>IFERROR(INDEX(LMH_STEP,MATCH(AJ246,LMH_KEY,0)),0)</f>
        <v>0</v>
      </c>
      <c r="BY246" s="38">
        <f>IFERROR(INDEX(LMH_STEP,MATCH(AK246,LMH_KEY,0)),0)</f>
        <v>0</v>
      </c>
      <c r="BZ246" s="38">
        <f>IFERROR(INDEX(LMH_STEP,MATCH(AL246,LMH_KEY,0)),0)</f>
        <v>0</v>
      </c>
      <c r="CA246" s="38" t="inlineStr">
        <is>
          <t>Consume|India Content|Senior Data Analyst|A3|A</t>
        </is>
      </c>
    </row>
    <row r="247" ht="110" customHeight="1">
      <c r="A247" s="28" t="inlineStr">
        <is>
          <t>Consume</t>
        </is>
      </c>
      <c r="B247" s="29" t="inlineStr">
        <is>
          <t>India Content</t>
        </is>
      </c>
      <c r="C247" s="29" t="n">
        <v>4</v>
      </c>
      <c r="D247" s="29" t="inlineStr">
        <is>
          <t>IRIS1710</t>
        </is>
      </c>
      <c r="E247" s="29" t="inlineStr">
        <is>
          <t>John Mariakulandai</t>
        </is>
      </c>
      <c r="F247" s="29" t="inlineStr">
        <is>
          <t>Data Analyst</t>
        </is>
      </c>
      <c r="G247" s="29" t="inlineStr">
        <is>
          <t>Senior Data Analyst</t>
        </is>
      </c>
      <c r="H247" s="29" t="inlineStr">
        <is>
          <t>Data &amp; Analytics</t>
        </is>
      </c>
      <c r="I247" s="29" t="inlineStr">
        <is>
          <t>Financial Data Processing</t>
        </is>
      </c>
      <c r="J247" s="29" t="inlineStr">
        <is>
          <t>IC</t>
        </is>
      </c>
      <c r="K247" s="29" t="inlineStr">
        <is>
          <t>RC-040</t>
        </is>
      </c>
      <c r="L247" s="29" t="inlineStr">
        <is>
          <t>Gopal Krishna Sahu</t>
        </is>
      </c>
      <c r="M247" s="29" t="inlineStr">
        <is>
          <t>IRIS0007</t>
        </is>
      </c>
      <c r="N247" s="29" t="n">
        <v>17.4</v>
      </c>
      <c r="O247" s="29" t="n">
        <v>8.6</v>
      </c>
      <c r="P247" s="29" t="inlineStr">
        <is>
          <t>B.Com</t>
        </is>
      </c>
      <c r="Q247" s="29" t="inlineStr">
        <is>
          <t>L3 – Professional / Associate</t>
        </is>
      </c>
      <c r="R247" s="29" t="inlineStr">
        <is>
          <t>A3</t>
        </is>
      </c>
      <c r="S247" s="30" t="inlineStr">
        <is>
          <t>20 of 20</t>
        </is>
      </c>
      <c r="T247" s="31"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t>
        </is>
      </c>
      <c r="U247"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7" s="31" t="inlineStr">
        <is>
          <t>Latest rating: 3 · Potential: Medium · 9-box: High Impact / Growth Talent · Readiness: Develop in role</t>
        </is>
      </c>
      <c r="W247" s="31" t="inlineStr">
        <is>
          <t>C L · Au L · Ac L · L L · BI M · Exp H · 17.4 yrs vs 2–4 yrs · Edu M · B.Com</t>
        </is>
      </c>
      <c r="X247" s="33" t="inlineStr">
        <is>
          <t>Open ▸</t>
        </is>
      </c>
      <c r="Y247" s="34" t="str">
        <f>IFERROR(INDEX(DL_C,MATCH($CA247,DL_KEY,0)),"M")</f>
        <v>H</v>
      </c>
      <c r="Z247" s="35" t="str">
        <f>IFERROR(INDEX(DL_Au,MATCH($CA247,DL_KEY,0)),"M")</f>
        <v>M</v>
      </c>
      <c r="AA247" s="35" t="str">
        <f>IFERROR(INDEX(DL_Ac,MATCH($CA247,DL_KEY,0)),"M")</f>
        <v>M</v>
      </c>
      <c r="AB247" s="35" t="str">
        <f>IFERROR(INDEX(DL_L,MATCH($CA247,DL_KEY,0)),"M")</f>
        <v>L</v>
      </c>
      <c r="AC247" s="35" t="str">
        <f>IFERROR(INDEX(DL_BI,MATCH($CA247,DL_KEY,0)),"M")</f>
        <v>L</v>
      </c>
      <c r="AD247" s="35" t="str">
        <f>IFERROR(INDEX(DL_Exp,MATCH($CA247,DL_KEY,0)),"M")</f>
        <v>L</v>
      </c>
      <c r="AE247" s="35" t="str">
        <f>IFERROR(INDEX(DL_Edu,MATCH($CA247,DL_KEY,0)),"M")</f>
        <v>L</v>
      </c>
      <c r="AF247" s="34" t="inlineStr">
        <is>
          <t>M</t>
        </is>
      </c>
      <c r="AG247" s="35" t="inlineStr">
        <is>
          <t>M</t>
        </is>
      </c>
      <c r="AH247" s="35" t="inlineStr">
        <is>
          <t>M</t>
        </is>
      </c>
      <c r="AI247" s="35" t="inlineStr">
        <is>
          <t>M</t>
        </is>
      </c>
      <c r="AJ247" s="35" t="inlineStr">
        <is>
          <t>M</t>
        </is>
      </c>
      <c r="AK247" s="35" t="inlineStr">
        <is>
          <t>M</t>
        </is>
      </c>
      <c r="AL247" s="35" t="inlineStr">
        <is>
          <t>M</t>
        </is>
      </c>
      <c r="AM247" s="36" t="n">
        <v>0.583</v>
      </c>
      <c r="AN247" s="37" t="n">
        <v>0.16</v>
      </c>
      <c r="AO247" s="37" t="n">
        <v>0.09</v>
      </c>
      <c r="AP247" s="37" t="n">
        <v>0</v>
      </c>
      <c r="AQ247" s="37" t="n">
        <v>0.063</v>
      </c>
      <c r="AR247" s="37" t="n">
        <v>0.06</v>
      </c>
      <c r="AS247" s="37" t="n">
        <v>0.04</v>
      </c>
      <c r="AT247" s="38" t="inlineStr">
        <is>
          <t>2–5</t>
        </is>
      </c>
      <c r="AU247" s="38" t="inlineStr">
        <is>
          <t>Graduate; relevant certification preferred</t>
        </is>
      </c>
      <c r="AV247" s="38" t="inlineStr">
        <is>
          <t>None · guides 1–3 juniors informally</t>
        </is>
      </c>
      <c r="AW247" s="38" t="inlineStr">
        <is>
          <t>P2 · SFIA 3 Apply</t>
        </is>
      </c>
      <c r="AX2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7" s="39" t="inlineStr">
        <is>
          <t>A3</t>
        </is>
      </c>
      <c r="AZ247" s="40" t="inlineStr">
        <is>
          <t>Band A · Practitioner · Senior Associate</t>
        </is>
      </c>
      <c r="BA247" s="40" t="inlineStr">
        <is>
          <t>Model A3 from the six ratings, the market-derived weights and rules R1–R13 · then No change · already below the manager</t>
        </is>
      </c>
      <c r="BB247" s="41" t="inlineStr">
        <is>
          <t>A3</t>
        </is>
      </c>
      <c r="BC247" s="40" t="inlineStr">
        <is>
          <t>The six ratings on the market-average weights of Band A · all tracks score 2.77 → A3 · Hay, Mercer IPE and public plans · experience 17.4 yrs vs the A3 market range 2–5</t>
        </is>
      </c>
      <c r="BD247" s="42">
        <f>IF(SUM(BM247,BN247,BO247,BP247,BQ247,BR247,BS247)=0,0,(BM247*BT247+BN247*BU247+BO247*BV247+BP247*BW247+BQ247*BX247+BR247*BY247+BS247*BZ247)/SUM(BM247,BN247,BO247,BP247,BQ247,BR247,BS247))</f>
        <v>0</v>
      </c>
      <c r="BE247" s="41" t="str">
        <f>IF(LEFT(AY247,1)="X",AY247,IF(OR(AY247="B+",AY247="C+"),INDEX(LAD_PC,MAX(1,MIN(14,MATCH(AY247,LAD_PC,0)+IF(BD247&gt;=0.5,1,IF(BD247&lt;=-0.5,-1,0))))),INDEX(LAD_STD,MAX(1,MIN(12,MATCH(AY247,LAD_STD,0)+IF(BD247&gt;=0.5,1,IF(BD247&lt;=-0.5,-1,0)))))))</f>
        <v>A3</v>
      </c>
      <c r="BF247" s="43" t="n"/>
      <c r="BG247" s="41" t="str">
        <f>IF(BF247&lt;&gt;"",BF247,BE247)</f>
        <v>A3</v>
      </c>
      <c r="BH247" s="40" t="str">
        <f>IFERROR(CHOOSE(INDEX(B_RANK,MATCH(BG247,B_LVL,0)),"Band A","Band B","B+ · Player-Coach","Band C","C+ · Player-Coach","Band D","Band E"),"Band X · Consultant")</f>
        <v>Band A</v>
      </c>
      <c r="BI247" s="40" t="str">
        <f>IF(BG247=AY247,"• Same",IF(INDEX(B_VAL,MATCH(BG247,B_LVL,0))&gt;INDEX(B_VAL,MATCH(AY247,B_LVL,0)),"▲ Up","▼ Down"))</f>
        <v>• Same</v>
      </c>
      <c r="BJ247" s="40" t="str">
        <f>IF(OR($M247="",$M247="—",$M247="Not in this file"),"",IFERROR(INDEX($BG$7:$BG$592,MATCH($M247,$D$7:$D$592,0)),""))</f>
        <v>B2</v>
      </c>
      <c r="BK247" s="40" t="str">
        <f>IFERROR(IF(BJ247="","—",IF(OR(LEFT(BG247,1)="X",LEFT(BJ247,1)="X"),"—",IF(AND(LEFT(BG247,1)="E",LEFT(BJ247,1)="E"),"Exception · Band E",IF(AND(INDEX(B_VAL,MATCH(BJ247,B_LVL,0))&gt;=7,INDEX(B_RANK,MATCH(BG247,B_LVL,0))&gt;=INDEX(B_RANK,MATCH(BJ247,B_LVL,0))),"⚠ Same band as a head manager",IF(INDEX(B_VAL,MATCH(BG247,B_LVL,0))&gt;=INDEX(B_VAL,MATCH(BJ247,B_LVL,0)),"⚠ At or above the manager's level","OK"))))),"—")</f>
        <v>OK</v>
      </c>
      <c r="BL247" s="43" t="n"/>
      <c r="BM247" s="44">
        <f>IFERROR(INDEX(LMH_PTS,MATCH(Y247,LMH_KEY,0)),0)</f>
        <v>9</v>
      </c>
      <c r="BN247" s="38">
        <f>IFERROR(INDEX(LMH_PTS,MATCH(Z247,LMH_KEY,0)),0)</f>
        <v>3</v>
      </c>
      <c r="BO247" s="38">
        <f>IFERROR(INDEX(LMH_PTS,MATCH(AA247,LMH_KEY,0)),0)</f>
        <v>3</v>
      </c>
      <c r="BP247" s="38">
        <f>IFERROR(INDEX(LMH_PTS,MATCH(AB247,LMH_KEY,0)),0)</f>
        <v>1</v>
      </c>
      <c r="BQ247" s="38">
        <f>IFERROR(INDEX(LMH_PTS,MATCH(AC247,LMH_KEY,0)),0)</f>
        <v>1</v>
      </c>
      <c r="BR247" s="38">
        <f>IFERROR(INDEX(LMH_PTS,MATCH(AD247,LMH_KEY,0)),0)</f>
        <v>1</v>
      </c>
      <c r="BS247" s="38">
        <f>IFERROR(INDEX(LMH_PTS,MATCH(AE247,LMH_KEY,0)),0)</f>
        <v>1</v>
      </c>
      <c r="BT247" s="38">
        <f>IFERROR(INDEX(LMH_STEP,MATCH(AF247,LMH_KEY,0)),0)</f>
        <v>0</v>
      </c>
      <c r="BU247" s="38">
        <f>IFERROR(INDEX(LMH_STEP,MATCH(AG247,LMH_KEY,0)),0)</f>
        <v>0</v>
      </c>
      <c r="BV247" s="38">
        <f>IFERROR(INDEX(LMH_STEP,MATCH(AH247,LMH_KEY,0)),0)</f>
        <v>0</v>
      </c>
      <c r="BW247" s="38">
        <f>IFERROR(INDEX(LMH_STEP,MATCH(AI247,LMH_KEY,0)),0)</f>
        <v>0</v>
      </c>
      <c r="BX247" s="38">
        <f>IFERROR(INDEX(LMH_STEP,MATCH(AJ247,LMH_KEY,0)),0)</f>
        <v>0</v>
      </c>
      <c r="BY247" s="38">
        <f>IFERROR(INDEX(LMH_STEP,MATCH(AK247,LMH_KEY,0)),0)</f>
        <v>0</v>
      </c>
      <c r="BZ247" s="38">
        <f>IFERROR(INDEX(LMH_STEP,MATCH(AL247,LMH_KEY,0)),0)</f>
        <v>0</v>
      </c>
      <c r="CA247" s="38" t="inlineStr">
        <is>
          <t>Consume|India Content|Senior Data Analyst|A3|A</t>
        </is>
      </c>
    </row>
    <row r="248" ht="110" customHeight="1">
      <c r="A248" s="28" t="inlineStr">
        <is>
          <t>Consume</t>
        </is>
      </c>
      <c r="B248" s="29" t="inlineStr">
        <is>
          <t>India Content</t>
        </is>
      </c>
      <c r="C248" s="29" t="n">
        <v>4</v>
      </c>
      <c r="D248" s="29" t="inlineStr">
        <is>
          <t>IRIS0091</t>
        </is>
      </c>
      <c r="E248" s="29" t="inlineStr">
        <is>
          <t>Neelam Kadam</t>
        </is>
      </c>
      <c r="F248" s="29" t="inlineStr">
        <is>
          <t>Data Analyst</t>
        </is>
      </c>
      <c r="G248" s="29" t="inlineStr">
        <is>
          <t>Senior Data Analyst</t>
        </is>
      </c>
      <c r="H248" s="29" t="inlineStr">
        <is>
          <t>Data &amp; Analytics</t>
        </is>
      </c>
      <c r="I248" s="29" t="inlineStr">
        <is>
          <t>Financial Data Processing</t>
        </is>
      </c>
      <c r="J248" s="29" t="inlineStr">
        <is>
          <t>IC</t>
        </is>
      </c>
      <c r="K248" s="29" t="inlineStr">
        <is>
          <t>RC-040</t>
        </is>
      </c>
      <c r="L248" s="29" t="inlineStr">
        <is>
          <t>Gopal Krishna Sahu</t>
        </is>
      </c>
      <c r="M248" s="29" t="inlineStr">
        <is>
          <t>IRIS0007</t>
        </is>
      </c>
      <c r="N248" s="29" t="n">
        <v>19.4</v>
      </c>
      <c r="O248" s="29" t="n">
        <v>19.4</v>
      </c>
      <c r="P248" s="29" t="inlineStr">
        <is>
          <t>B.Com</t>
        </is>
      </c>
      <c r="Q248" s="29" t="inlineStr">
        <is>
          <t>L3 – Professional / Associate</t>
        </is>
      </c>
      <c r="R248" s="29" t="inlineStr">
        <is>
          <t>A3</t>
        </is>
      </c>
      <c r="S248" s="30" t="inlineStr">
        <is>
          <t>19 of 20</t>
        </is>
      </c>
      <c r="T24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248"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8" s="31" t="inlineStr">
        <is>
          <t>Latest rating: 2 · Potential: Medium · 9-box: Trusted Professional · Readiness: Performance first</t>
        </is>
      </c>
      <c r="W248" s="31" t="inlineStr">
        <is>
          <t>C L · Au L · Ac L · L L · BI M · Exp H · 19.4 yrs vs 2–4 yrs · Edu M · B.Com</t>
        </is>
      </c>
      <c r="X248" s="33" t="inlineStr">
        <is>
          <t>Open ▸</t>
        </is>
      </c>
      <c r="Y248" s="34" t="str">
        <f>IFERROR(INDEX(DL_C,MATCH($CA248,DL_KEY,0)),"M")</f>
        <v>H</v>
      </c>
      <c r="Z248" s="35" t="str">
        <f>IFERROR(INDEX(DL_Au,MATCH($CA248,DL_KEY,0)),"M")</f>
        <v>M</v>
      </c>
      <c r="AA248" s="35" t="str">
        <f>IFERROR(INDEX(DL_Ac,MATCH($CA248,DL_KEY,0)),"M")</f>
        <v>M</v>
      </c>
      <c r="AB248" s="35" t="str">
        <f>IFERROR(INDEX(DL_L,MATCH($CA248,DL_KEY,0)),"M")</f>
        <v>L</v>
      </c>
      <c r="AC248" s="35" t="str">
        <f>IFERROR(INDEX(DL_BI,MATCH($CA248,DL_KEY,0)),"M")</f>
        <v>L</v>
      </c>
      <c r="AD248" s="35" t="str">
        <f>IFERROR(INDEX(DL_Exp,MATCH($CA248,DL_KEY,0)),"M")</f>
        <v>L</v>
      </c>
      <c r="AE248" s="35" t="str">
        <f>IFERROR(INDEX(DL_Edu,MATCH($CA248,DL_KEY,0)),"M")</f>
        <v>L</v>
      </c>
      <c r="AF248" s="34" t="inlineStr">
        <is>
          <t>M</t>
        </is>
      </c>
      <c r="AG248" s="35" t="inlineStr">
        <is>
          <t>M</t>
        </is>
      </c>
      <c r="AH248" s="35" t="inlineStr">
        <is>
          <t>M</t>
        </is>
      </c>
      <c r="AI248" s="35" t="inlineStr">
        <is>
          <t>M</t>
        </is>
      </c>
      <c r="AJ248" s="35" t="inlineStr">
        <is>
          <t>M</t>
        </is>
      </c>
      <c r="AK248" s="35" t="inlineStr">
        <is>
          <t>M</t>
        </is>
      </c>
      <c r="AL248" s="35" t="inlineStr">
        <is>
          <t>M</t>
        </is>
      </c>
      <c r="AM248" s="36" t="n">
        <v>0.583</v>
      </c>
      <c r="AN248" s="37" t="n">
        <v>0.16</v>
      </c>
      <c r="AO248" s="37" t="n">
        <v>0.09</v>
      </c>
      <c r="AP248" s="37" t="n">
        <v>0</v>
      </c>
      <c r="AQ248" s="37" t="n">
        <v>0.063</v>
      </c>
      <c r="AR248" s="37" t="n">
        <v>0.06</v>
      </c>
      <c r="AS248" s="37" t="n">
        <v>0.04</v>
      </c>
      <c r="AT248" s="38" t="inlineStr">
        <is>
          <t>2–5</t>
        </is>
      </c>
      <c r="AU248" s="38" t="inlineStr">
        <is>
          <t>Graduate; relevant certification preferred</t>
        </is>
      </c>
      <c r="AV248" s="38" t="inlineStr">
        <is>
          <t>None · guides 1–3 juniors informally</t>
        </is>
      </c>
      <c r="AW248" s="38" t="inlineStr">
        <is>
          <t>P2 · SFIA 3 Apply</t>
        </is>
      </c>
      <c r="AX2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8" s="39" t="inlineStr">
        <is>
          <t>A3</t>
        </is>
      </c>
      <c r="AZ248" s="40" t="inlineStr">
        <is>
          <t>Band A · Practitioner · Senior Associate</t>
        </is>
      </c>
      <c r="BA248" s="40" t="inlineStr">
        <is>
          <t>Model A3 from the six ratings, the market-derived weights and rules R1–R13 · then No change · already below the manager</t>
        </is>
      </c>
      <c r="BB248" s="41" t="inlineStr">
        <is>
          <t>A3</t>
        </is>
      </c>
      <c r="BC248" s="40" t="inlineStr">
        <is>
          <t>The six ratings on the market-average weights of Band A · all tracks score 2.78 → A3 · Hay, Mercer IPE and public plans · experience 19.4 yrs vs the A3 market range 2–5</t>
        </is>
      </c>
      <c r="BD248" s="42">
        <f>IF(SUM(BM248,BN248,BO248,BP248,BQ248,BR248,BS248)=0,0,(BM248*BT248+BN248*BU248+BO248*BV248+BP248*BW248+BQ248*BX248+BR248*BY248+BS248*BZ248)/SUM(BM248,BN248,BO248,BP248,BQ248,BR248,BS248))</f>
        <v>0</v>
      </c>
      <c r="BE248" s="41" t="str">
        <f>IF(LEFT(AY248,1)="X",AY248,IF(OR(AY248="B+",AY248="C+"),INDEX(LAD_PC,MAX(1,MIN(14,MATCH(AY248,LAD_PC,0)+IF(BD248&gt;=0.5,1,IF(BD248&lt;=-0.5,-1,0))))),INDEX(LAD_STD,MAX(1,MIN(12,MATCH(AY248,LAD_STD,0)+IF(BD248&gt;=0.5,1,IF(BD248&lt;=-0.5,-1,0)))))))</f>
        <v>A3</v>
      </c>
      <c r="BF248" s="43" t="n"/>
      <c r="BG248" s="41" t="str">
        <f>IF(BF248&lt;&gt;"",BF248,BE248)</f>
        <v>A3</v>
      </c>
      <c r="BH248" s="40" t="str">
        <f>IFERROR(CHOOSE(INDEX(B_RANK,MATCH(BG248,B_LVL,0)),"Band A","Band B","B+ · Player-Coach","Band C","C+ · Player-Coach","Band D","Band E"),"Band X · Consultant")</f>
        <v>Band A</v>
      </c>
      <c r="BI248" s="40" t="str">
        <f>IF(BG248=AY248,"• Same",IF(INDEX(B_VAL,MATCH(BG248,B_LVL,0))&gt;INDEX(B_VAL,MATCH(AY248,B_LVL,0)),"▲ Up","▼ Down"))</f>
        <v>• Same</v>
      </c>
      <c r="BJ248" s="40" t="str">
        <f>IF(OR($M248="",$M248="—",$M248="Not in this file"),"",IFERROR(INDEX($BG$7:$BG$592,MATCH($M248,$D$7:$D$592,0)),""))</f>
        <v>B2</v>
      </c>
      <c r="BK248" s="40" t="str">
        <f>IFERROR(IF(BJ248="","—",IF(OR(LEFT(BG248,1)="X",LEFT(BJ248,1)="X"),"—",IF(AND(LEFT(BG248,1)="E",LEFT(BJ248,1)="E"),"Exception · Band E",IF(AND(INDEX(B_VAL,MATCH(BJ248,B_LVL,0))&gt;=7,INDEX(B_RANK,MATCH(BG248,B_LVL,0))&gt;=INDEX(B_RANK,MATCH(BJ248,B_LVL,0))),"⚠ Same band as a head manager",IF(INDEX(B_VAL,MATCH(BG248,B_LVL,0))&gt;=INDEX(B_VAL,MATCH(BJ248,B_LVL,0)),"⚠ At or above the manager's level","OK"))))),"—")</f>
        <v>OK</v>
      </c>
      <c r="BL248" s="43" t="n"/>
      <c r="BM248" s="44">
        <f>IFERROR(INDEX(LMH_PTS,MATCH(Y248,LMH_KEY,0)),0)</f>
        <v>9</v>
      </c>
      <c r="BN248" s="38">
        <f>IFERROR(INDEX(LMH_PTS,MATCH(Z248,LMH_KEY,0)),0)</f>
        <v>3</v>
      </c>
      <c r="BO248" s="38">
        <f>IFERROR(INDEX(LMH_PTS,MATCH(AA248,LMH_KEY,0)),0)</f>
        <v>3</v>
      </c>
      <c r="BP248" s="38">
        <f>IFERROR(INDEX(LMH_PTS,MATCH(AB248,LMH_KEY,0)),0)</f>
        <v>1</v>
      </c>
      <c r="BQ248" s="38">
        <f>IFERROR(INDEX(LMH_PTS,MATCH(AC248,LMH_KEY,0)),0)</f>
        <v>1</v>
      </c>
      <c r="BR248" s="38">
        <f>IFERROR(INDEX(LMH_PTS,MATCH(AD248,LMH_KEY,0)),0)</f>
        <v>1</v>
      </c>
      <c r="BS248" s="38">
        <f>IFERROR(INDEX(LMH_PTS,MATCH(AE248,LMH_KEY,0)),0)</f>
        <v>1</v>
      </c>
      <c r="BT248" s="38">
        <f>IFERROR(INDEX(LMH_STEP,MATCH(AF248,LMH_KEY,0)),0)</f>
        <v>0</v>
      </c>
      <c r="BU248" s="38">
        <f>IFERROR(INDEX(LMH_STEP,MATCH(AG248,LMH_KEY,0)),0)</f>
        <v>0</v>
      </c>
      <c r="BV248" s="38">
        <f>IFERROR(INDEX(LMH_STEP,MATCH(AH248,LMH_KEY,0)),0)</f>
        <v>0</v>
      </c>
      <c r="BW248" s="38">
        <f>IFERROR(INDEX(LMH_STEP,MATCH(AI248,LMH_KEY,0)),0)</f>
        <v>0</v>
      </c>
      <c r="BX248" s="38">
        <f>IFERROR(INDEX(LMH_STEP,MATCH(AJ248,LMH_KEY,0)),0)</f>
        <v>0</v>
      </c>
      <c r="BY248" s="38">
        <f>IFERROR(INDEX(LMH_STEP,MATCH(AK248,LMH_KEY,0)),0)</f>
        <v>0</v>
      </c>
      <c r="BZ248" s="38">
        <f>IFERROR(INDEX(LMH_STEP,MATCH(AL248,LMH_KEY,0)),0)</f>
        <v>0</v>
      </c>
      <c r="CA248" s="38" t="inlineStr">
        <is>
          <t>Consume|India Content|Senior Data Analyst|A3|A</t>
        </is>
      </c>
    </row>
    <row r="249" ht="110" customHeight="1">
      <c r="A249" s="28" t="inlineStr">
        <is>
          <t>Consume</t>
        </is>
      </c>
      <c r="B249" s="29" t="inlineStr">
        <is>
          <t>India Content</t>
        </is>
      </c>
      <c r="C249" s="29" t="n">
        <v>4</v>
      </c>
      <c r="D249" s="29" t="inlineStr">
        <is>
          <t>IRIS0065</t>
        </is>
      </c>
      <c r="E249" s="29" t="inlineStr">
        <is>
          <t>Nishikant Mhatre</t>
        </is>
      </c>
      <c r="F249" s="29" t="inlineStr">
        <is>
          <t>Data Analyst</t>
        </is>
      </c>
      <c r="G249" s="29" t="inlineStr">
        <is>
          <t>Senior Data Analyst</t>
        </is>
      </c>
      <c r="H249" s="29" t="inlineStr">
        <is>
          <t>Data &amp; Analytics</t>
        </is>
      </c>
      <c r="I249" s="29" t="inlineStr">
        <is>
          <t>Financial Data Processing</t>
        </is>
      </c>
      <c r="J249" s="29" t="inlineStr">
        <is>
          <t>IC</t>
        </is>
      </c>
      <c r="K249" s="29" t="inlineStr">
        <is>
          <t>RC-040</t>
        </is>
      </c>
      <c r="L249" s="29" t="inlineStr">
        <is>
          <t>Gopal Krishna Sahu</t>
        </is>
      </c>
      <c r="M249" s="29" t="inlineStr">
        <is>
          <t>IRIS0007</t>
        </is>
      </c>
      <c r="N249" s="29" t="n">
        <v>30.7</v>
      </c>
      <c r="O249" s="29" t="n">
        <v>19.7</v>
      </c>
      <c r="P249" s="29" t="inlineStr">
        <is>
          <t>B.Com</t>
        </is>
      </c>
      <c r="Q249" s="29" t="inlineStr">
        <is>
          <t>L3 – Professional / Associate</t>
        </is>
      </c>
      <c r="R249" s="29" t="inlineStr">
        <is>
          <t>A3</t>
        </is>
      </c>
      <c r="S249" s="30" t="inlineStr">
        <is>
          <t>20 of 20</t>
        </is>
      </c>
      <c r="T24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249"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9" s="31" t="inlineStr">
        <is>
          <t>Latest rating: 3 · Potential: Medium · 9-box: Trusted Professional · Readiness: Develop in role</t>
        </is>
      </c>
      <c r="W249" s="31" t="inlineStr">
        <is>
          <t>C L · Au L · Ac L · L L · BI M · Exp H · 30.7 yrs vs 2–4 yrs · Edu M · B.Com</t>
        </is>
      </c>
      <c r="X249" s="33" t="inlineStr">
        <is>
          <t>Open ▸</t>
        </is>
      </c>
      <c r="Y249" s="34" t="str">
        <f>IFERROR(INDEX(DL_C,MATCH($CA249,DL_KEY,0)),"M")</f>
        <v>H</v>
      </c>
      <c r="Z249" s="35" t="str">
        <f>IFERROR(INDEX(DL_Au,MATCH($CA249,DL_KEY,0)),"M")</f>
        <v>M</v>
      </c>
      <c r="AA249" s="35" t="str">
        <f>IFERROR(INDEX(DL_Ac,MATCH($CA249,DL_KEY,0)),"M")</f>
        <v>M</v>
      </c>
      <c r="AB249" s="35" t="str">
        <f>IFERROR(INDEX(DL_L,MATCH($CA249,DL_KEY,0)),"M")</f>
        <v>L</v>
      </c>
      <c r="AC249" s="35" t="str">
        <f>IFERROR(INDEX(DL_BI,MATCH($CA249,DL_KEY,0)),"M")</f>
        <v>L</v>
      </c>
      <c r="AD249" s="35" t="str">
        <f>IFERROR(INDEX(DL_Exp,MATCH($CA249,DL_KEY,0)),"M")</f>
        <v>L</v>
      </c>
      <c r="AE249" s="35" t="str">
        <f>IFERROR(INDEX(DL_Edu,MATCH($CA249,DL_KEY,0)),"M")</f>
        <v>L</v>
      </c>
      <c r="AF249" s="34" t="inlineStr">
        <is>
          <t>M</t>
        </is>
      </c>
      <c r="AG249" s="35" t="inlineStr">
        <is>
          <t>M</t>
        </is>
      </c>
      <c r="AH249" s="35" t="inlineStr">
        <is>
          <t>M</t>
        </is>
      </c>
      <c r="AI249" s="35" t="inlineStr">
        <is>
          <t>M</t>
        </is>
      </c>
      <c r="AJ249" s="35" t="inlineStr">
        <is>
          <t>M</t>
        </is>
      </c>
      <c r="AK249" s="35" t="inlineStr">
        <is>
          <t>M</t>
        </is>
      </c>
      <c r="AL249" s="35" t="inlineStr">
        <is>
          <t>M</t>
        </is>
      </c>
      <c r="AM249" s="36" t="n">
        <v>0.583</v>
      </c>
      <c r="AN249" s="37" t="n">
        <v>0.16</v>
      </c>
      <c r="AO249" s="37" t="n">
        <v>0.09</v>
      </c>
      <c r="AP249" s="37" t="n">
        <v>0</v>
      </c>
      <c r="AQ249" s="37" t="n">
        <v>0.063</v>
      </c>
      <c r="AR249" s="37" t="n">
        <v>0.06</v>
      </c>
      <c r="AS249" s="37" t="n">
        <v>0.04</v>
      </c>
      <c r="AT249" s="38" t="inlineStr">
        <is>
          <t>2–5</t>
        </is>
      </c>
      <c r="AU249" s="38" t="inlineStr">
        <is>
          <t>Graduate; relevant certification preferred</t>
        </is>
      </c>
      <c r="AV249" s="38" t="inlineStr">
        <is>
          <t>None · guides 1–3 juniors informally</t>
        </is>
      </c>
      <c r="AW249" s="38" t="inlineStr">
        <is>
          <t>P2 · SFIA 3 Apply</t>
        </is>
      </c>
      <c r="AX2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9" s="39" t="inlineStr">
        <is>
          <t>A3</t>
        </is>
      </c>
      <c r="AZ249" s="40" t="inlineStr">
        <is>
          <t>Band A · Practitioner · Senior Associate</t>
        </is>
      </c>
      <c r="BA249" s="40" t="inlineStr">
        <is>
          <t>Model A3 from the six ratings, the market-derived weights and rules R1–R13 · then No change · already below the manager</t>
        </is>
      </c>
      <c r="BB249" s="41" t="inlineStr">
        <is>
          <t>A3</t>
        </is>
      </c>
      <c r="BC249" s="40" t="inlineStr">
        <is>
          <t>The six ratings on the market-average weights of Band A · all tracks score 3.04 → A3 · Hay, Mercer IPE and public plans · experience 30.7 yrs vs the A3 market range 2–5</t>
        </is>
      </c>
      <c r="BD249" s="42">
        <f>IF(SUM(BM249,BN249,BO249,BP249,BQ249,BR249,BS249)=0,0,(BM249*BT249+BN249*BU249+BO249*BV249+BP249*BW249+BQ249*BX249+BR249*BY249+BS249*BZ249)/SUM(BM249,BN249,BO249,BP249,BQ249,BR249,BS249))</f>
        <v>0</v>
      </c>
      <c r="BE249" s="41" t="str">
        <f>IF(LEFT(AY249,1)="X",AY249,IF(OR(AY249="B+",AY249="C+"),INDEX(LAD_PC,MAX(1,MIN(14,MATCH(AY249,LAD_PC,0)+IF(BD249&gt;=0.5,1,IF(BD249&lt;=-0.5,-1,0))))),INDEX(LAD_STD,MAX(1,MIN(12,MATCH(AY249,LAD_STD,0)+IF(BD249&gt;=0.5,1,IF(BD249&lt;=-0.5,-1,0)))))))</f>
        <v>A3</v>
      </c>
      <c r="BF249" s="43" t="n"/>
      <c r="BG249" s="41" t="str">
        <f>IF(BF249&lt;&gt;"",BF249,BE249)</f>
        <v>A3</v>
      </c>
      <c r="BH249" s="40" t="str">
        <f>IFERROR(CHOOSE(INDEX(B_RANK,MATCH(BG249,B_LVL,0)),"Band A","Band B","B+ · Player-Coach","Band C","C+ · Player-Coach","Band D","Band E"),"Band X · Consultant")</f>
        <v>Band A</v>
      </c>
      <c r="BI249" s="40" t="str">
        <f>IF(BG249=AY249,"• Same",IF(INDEX(B_VAL,MATCH(BG249,B_LVL,0))&gt;INDEX(B_VAL,MATCH(AY249,B_LVL,0)),"▲ Up","▼ Down"))</f>
        <v>• Same</v>
      </c>
      <c r="BJ249" s="40" t="str">
        <f>IF(OR($M249="",$M249="—",$M249="Not in this file"),"",IFERROR(INDEX($BG$7:$BG$592,MATCH($M249,$D$7:$D$592,0)),""))</f>
        <v>B2</v>
      </c>
      <c r="BK249" s="40" t="str">
        <f>IFERROR(IF(BJ249="","—",IF(OR(LEFT(BG249,1)="X",LEFT(BJ249,1)="X"),"—",IF(AND(LEFT(BG249,1)="E",LEFT(BJ249,1)="E"),"Exception · Band E",IF(AND(INDEX(B_VAL,MATCH(BJ249,B_LVL,0))&gt;=7,INDEX(B_RANK,MATCH(BG249,B_LVL,0))&gt;=INDEX(B_RANK,MATCH(BJ249,B_LVL,0))),"⚠ Same band as a head manager",IF(INDEX(B_VAL,MATCH(BG249,B_LVL,0))&gt;=INDEX(B_VAL,MATCH(BJ249,B_LVL,0)),"⚠ At or above the manager's level","OK"))))),"—")</f>
        <v>OK</v>
      </c>
      <c r="BL249" s="43" t="n"/>
      <c r="BM249" s="44">
        <f>IFERROR(INDEX(LMH_PTS,MATCH(Y249,LMH_KEY,0)),0)</f>
        <v>9</v>
      </c>
      <c r="BN249" s="38">
        <f>IFERROR(INDEX(LMH_PTS,MATCH(Z249,LMH_KEY,0)),0)</f>
        <v>3</v>
      </c>
      <c r="BO249" s="38">
        <f>IFERROR(INDEX(LMH_PTS,MATCH(AA249,LMH_KEY,0)),0)</f>
        <v>3</v>
      </c>
      <c r="BP249" s="38">
        <f>IFERROR(INDEX(LMH_PTS,MATCH(AB249,LMH_KEY,0)),0)</f>
        <v>1</v>
      </c>
      <c r="BQ249" s="38">
        <f>IFERROR(INDEX(LMH_PTS,MATCH(AC249,LMH_KEY,0)),0)</f>
        <v>1</v>
      </c>
      <c r="BR249" s="38">
        <f>IFERROR(INDEX(LMH_PTS,MATCH(AD249,LMH_KEY,0)),0)</f>
        <v>1</v>
      </c>
      <c r="BS249" s="38">
        <f>IFERROR(INDEX(LMH_PTS,MATCH(AE249,LMH_KEY,0)),0)</f>
        <v>1</v>
      </c>
      <c r="BT249" s="38">
        <f>IFERROR(INDEX(LMH_STEP,MATCH(AF249,LMH_KEY,0)),0)</f>
        <v>0</v>
      </c>
      <c r="BU249" s="38">
        <f>IFERROR(INDEX(LMH_STEP,MATCH(AG249,LMH_KEY,0)),0)</f>
        <v>0</v>
      </c>
      <c r="BV249" s="38">
        <f>IFERROR(INDEX(LMH_STEP,MATCH(AH249,LMH_KEY,0)),0)</f>
        <v>0</v>
      </c>
      <c r="BW249" s="38">
        <f>IFERROR(INDEX(LMH_STEP,MATCH(AI249,LMH_KEY,0)),0)</f>
        <v>0</v>
      </c>
      <c r="BX249" s="38">
        <f>IFERROR(INDEX(LMH_STEP,MATCH(AJ249,LMH_KEY,0)),0)</f>
        <v>0</v>
      </c>
      <c r="BY249" s="38">
        <f>IFERROR(INDEX(LMH_STEP,MATCH(AK249,LMH_KEY,0)),0)</f>
        <v>0</v>
      </c>
      <c r="BZ249" s="38">
        <f>IFERROR(INDEX(LMH_STEP,MATCH(AL249,LMH_KEY,0)),0)</f>
        <v>0</v>
      </c>
      <c r="CA249" s="38" t="inlineStr">
        <is>
          <t>Consume|India Content|Senior Data Analyst|A3|A</t>
        </is>
      </c>
    </row>
    <row r="250" ht="110" customHeight="1">
      <c r="A250" s="28" t="inlineStr">
        <is>
          <t>Consume</t>
        </is>
      </c>
      <c r="B250" s="29" t="inlineStr">
        <is>
          <t>India Content</t>
        </is>
      </c>
      <c r="C250" s="29" t="n">
        <v>4</v>
      </c>
      <c r="D250" s="29" t="inlineStr">
        <is>
          <t>IRIS0292</t>
        </is>
      </c>
      <c r="E250" s="29" t="inlineStr">
        <is>
          <t>Palanikumar Mooppanar</t>
        </is>
      </c>
      <c r="F250" s="29" t="inlineStr">
        <is>
          <t>Data Analyst</t>
        </is>
      </c>
      <c r="G250" s="29" t="inlineStr">
        <is>
          <t>Senior Data Analyst</t>
        </is>
      </c>
      <c r="H250" s="29" t="inlineStr">
        <is>
          <t>Data &amp; Analytics</t>
        </is>
      </c>
      <c r="I250" s="29" t="inlineStr">
        <is>
          <t>Financial Data Processing</t>
        </is>
      </c>
      <c r="J250" s="29" t="inlineStr">
        <is>
          <t>IC</t>
        </is>
      </c>
      <c r="K250" s="29" t="inlineStr">
        <is>
          <t>RC-040</t>
        </is>
      </c>
      <c r="L250" s="29" t="inlineStr">
        <is>
          <t>Gopal Krishna Sahu</t>
        </is>
      </c>
      <c r="M250" s="29" t="inlineStr">
        <is>
          <t>IRIS0007</t>
        </is>
      </c>
      <c r="N250" s="29" t="n">
        <v>18.5</v>
      </c>
      <c r="O250" s="29" t="n">
        <v>17</v>
      </c>
      <c r="P250" s="29" t="inlineStr">
        <is>
          <t>B.Com</t>
        </is>
      </c>
      <c r="Q250" s="29" t="inlineStr">
        <is>
          <t>L3 – Professional / Associate</t>
        </is>
      </c>
      <c r="R250" s="29" t="inlineStr">
        <is>
          <t>A3</t>
        </is>
      </c>
      <c r="S250" s="30" t="inlineStr">
        <is>
          <t>20 of 20</t>
        </is>
      </c>
      <c r="T250" s="31"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t>
        </is>
      </c>
      <c r="U250"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0" s="31" t="inlineStr">
        <is>
          <t>Latest rating: 4 · Potential: High · 9-box: Future Leader · Readiness: Ready now</t>
        </is>
      </c>
      <c r="W250" s="31" t="inlineStr">
        <is>
          <t>C L · Au L · Ac L · L L · BI M · Exp H · 18.5 yrs vs 2–4 yrs · Edu M · B.Com</t>
        </is>
      </c>
      <c r="X250" s="33" t="inlineStr">
        <is>
          <t>Open ▸</t>
        </is>
      </c>
      <c r="Y250" s="34" t="str">
        <f>IFERROR(INDEX(DL_C,MATCH($CA250,DL_KEY,0)),"M")</f>
        <v>H</v>
      </c>
      <c r="Z250" s="35" t="str">
        <f>IFERROR(INDEX(DL_Au,MATCH($CA250,DL_KEY,0)),"M")</f>
        <v>M</v>
      </c>
      <c r="AA250" s="35" t="str">
        <f>IFERROR(INDEX(DL_Ac,MATCH($CA250,DL_KEY,0)),"M")</f>
        <v>M</v>
      </c>
      <c r="AB250" s="35" t="str">
        <f>IFERROR(INDEX(DL_L,MATCH($CA250,DL_KEY,0)),"M")</f>
        <v>L</v>
      </c>
      <c r="AC250" s="35" t="str">
        <f>IFERROR(INDEX(DL_BI,MATCH($CA250,DL_KEY,0)),"M")</f>
        <v>L</v>
      </c>
      <c r="AD250" s="35" t="str">
        <f>IFERROR(INDEX(DL_Exp,MATCH($CA250,DL_KEY,0)),"M")</f>
        <v>L</v>
      </c>
      <c r="AE250" s="35" t="str">
        <f>IFERROR(INDEX(DL_Edu,MATCH($CA250,DL_KEY,0)),"M")</f>
        <v>L</v>
      </c>
      <c r="AF250" s="34" t="inlineStr">
        <is>
          <t>M</t>
        </is>
      </c>
      <c r="AG250" s="35" t="inlineStr">
        <is>
          <t>M</t>
        </is>
      </c>
      <c r="AH250" s="35" t="inlineStr">
        <is>
          <t>M</t>
        </is>
      </c>
      <c r="AI250" s="35" t="inlineStr">
        <is>
          <t>M</t>
        </is>
      </c>
      <c r="AJ250" s="35" t="inlineStr">
        <is>
          <t>M</t>
        </is>
      </c>
      <c r="AK250" s="35" t="inlineStr">
        <is>
          <t>M</t>
        </is>
      </c>
      <c r="AL250" s="35" t="inlineStr">
        <is>
          <t>M</t>
        </is>
      </c>
      <c r="AM250" s="36" t="n">
        <v>0.583</v>
      </c>
      <c r="AN250" s="37" t="n">
        <v>0.16</v>
      </c>
      <c r="AO250" s="37" t="n">
        <v>0.09</v>
      </c>
      <c r="AP250" s="37" t="n">
        <v>0</v>
      </c>
      <c r="AQ250" s="37" t="n">
        <v>0.063</v>
      </c>
      <c r="AR250" s="37" t="n">
        <v>0.06</v>
      </c>
      <c r="AS250" s="37" t="n">
        <v>0.04</v>
      </c>
      <c r="AT250" s="38" t="inlineStr">
        <is>
          <t>2–5</t>
        </is>
      </c>
      <c r="AU250" s="38" t="inlineStr">
        <is>
          <t>Graduate; relevant certification preferred</t>
        </is>
      </c>
      <c r="AV250" s="38" t="inlineStr">
        <is>
          <t>None · guides 1–3 juniors informally</t>
        </is>
      </c>
      <c r="AW250" s="38" t="inlineStr">
        <is>
          <t>P2 · SFIA 3 Apply</t>
        </is>
      </c>
      <c r="AX2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0" s="39" t="inlineStr">
        <is>
          <t>A3</t>
        </is>
      </c>
      <c r="AZ250" s="40" t="inlineStr">
        <is>
          <t>Band A · Practitioner · Senior Associate</t>
        </is>
      </c>
      <c r="BA250" s="40" t="inlineStr">
        <is>
          <t>Model A3 from the six ratings, the market-derived weights and rules R1–R13 · then No change · already below the manager</t>
        </is>
      </c>
      <c r="BB250" s="41" t="inlineStr">
        <is>
          <t>A3</t>
        </is>
      </c>
      <c r="BC250" s="40" t="inlineStr">
        <is>
          <t>The six ratings on the market-average weights of Band A · all tracks score 2.78 → A3 · Hay, Mercer IPE and public plans · experience 18.5 yrs vs the A3 market range 2–5</t>
        </is>
      </c>
      <c r="BD250" s="42">
        <f>IF(SUM(BM250,BN250,BO250,BP250,BQ250,BR250,BS250)=0,0,(BM250*BT250+BN250*BU250+BO250*BV250+BP250*BW250+BQ250*BX250+BR250*BY250+BS250*BZ250)/SUM(BM250,BN250,BO250,BP250,BQ250,BR250,BS250))</f>
        <v>0</v>
      </c>
      <c r="BE250" s="41" t="str">
        <f>IF(LEFT(AY250,1)="X",AY250,IF(OR(AY250="B+",AY250="C+"),INDEX(LAD_PC,MAX(1,MIN(14,MATCH(AY250,LAD_PC,0)+IF(BD250&gt;=0.5,1,IF(BD250&lt;=-0.5,-1,0))))),INDEX(LAD_STD,MAX(1,MIN(12,MATCH(AY250,LAD_STD,0)+IF(BD250&gt;=0.5,1,IF(BD250&lt;=-0.5,-1,0)))))))</f>
        <v>A3</v>
      </c>
      <c r="BF250" s="43" t="n"/>
      <c r="BG250" s="41" t="str">
        <f>IF(BF250&lt;&gt;"",BF250,BE250)</f>
        <v>A3</v>
      </c>
      <c r="BH250" s="40" t="str">
        <f>IFERROR(CHOOSE(INDEX(B_RANK,MATCH(BG250,B_LVL,0)),"Band A","Band B","B+ · Player-Coach","Band C","C+ · Player-Coach","Band D","Band E"),"Band X · Consultant")</f>
        <v>Band A</v>
      </c>
      <c r="BI250" s="40" t="str">
        <f>IF(BG250=AY250,"• Same",IF(INDEX(B_VAL,MATCH(BG250,B_LVL,0))&gt;INDEX(B_VAL,MATCH(AY250,B_LVL,0)),"▲ Up","▼ Down"))</f>
        <v>• Same</v>
      </c>
      <c r="BJ250" s="40" t="str">
        <f>IF(OR($M250="",$M250="—",$M250="Not in this file"),"",IFERROR(INDEX($BG$7:$BG$592,MATCH($M250,$D$7:$D$592,0)),""))</f>
        <v>B2</v>
      </c>
      <c r="BK250" s="40" t="str">
        <f>IFERROR(IF(BJ250="","—",IF(OR(LEFT(BG250,1)="X",LEFT(BJ250,1)="X"),"—",IF(AND(LEFT(BG250,1)="E",LEFT(BJ250,1)="E"),"Exception · Band E",IF(AND(INDEX(B_VAL,MATCH(BJ250,B_LVL,0))&gt;=7,INDEX(B_RANK,MATCH(BG250,B_LVL,0))&gt;=INDEX(B_RANK,MATCH(BJ250,B_LVL,0))),"⚠ Same band as a head manager",IF(INDEX(B_VAL,MATCH(BG250,B_LVL,0))&gt;=INDEX(B_VAL,MATCH(BJ250,B_LVL,0)),"⚠ At or above the manager's level","OK"))))),"—")</f>
        <v>OK</v>
      </c>
      <c r="BL250" s="43" t="n"/>
      <c r="BM250" s="44">
        <f>IFERROR(INDEX(LMH_PTS,MATCH(Y250,LMH_KEY,0)),0)</f>
        <v>9</v>
      </c>
      <c r="BN250" s="38">
        <f>IFERROR(INDEX(LMH_PTS,MATCH(Z250,LMH_KEY,0)),0)</f>
        <v>3</v>
      </c>
      <c r="BO250" s="38">
        <f>IFERROR(INDEX(LMH_PTS,MATCH(AA250,LMH_KEY,0)),0)</f>
        <v>3</v>
      </c>
      <c r="BP250" s="38">
        <f>IFERROR(INDEX(LMH_PTS,MATCH(AB250,LMH_KEY,0)),0)</f>
        <v>1</v>
      </c>
      <c r="BQ250" s="38">
        <f>IFERROR(INDEX(LMH_PTS,MATCH(AC250,LMH_KEY,0)),0)</f>
        <v>1</v>
      </c>
      <c r="BR250" s="38">
        <f>IFERROR(INDEX(LMH_PTS,MATCH(AD250,LMH_KEY,0)),0)</f>
        <v>1</v>
      </c>
      <c r="BS250" s="38">
        <f>IFERROR(INDEX(LMH_PTS,MATCH(AE250,LMH_KEY,0)),0)</f>
        <v>1</v>
      </c>
      <c r="BT250" s="38">
        <f>IFERROR(INDEX(LMH_STEP,MATCH(AF250,LMH_KEY,0)),0)</f>
        <v>0</v>
      </c>
      <c r="BU250" s="38">
        <f>IFERROR(INDEX(LMH_STEP,MATCH(AG250,LMH_KEY,0)),0)</f>
        <v>0</v>
      </c>
      <c r="BV250" s="38">
        <f>IFERROR(INDEX(LMH_STEP,MATCH(AH250,LMH_KEY,0)),0)</f>
        <v>0</v>
      </c>
      <c r="BW250" s="38">
        <f>IFERROR(INDEX(LMH_STEP,MATCH(AI250,LMH_KEY,0)),0)</f>
        <v>0</v>
      </c>
      <c r="BX250" s="38">
        <f>IFERROR(INDEX(LMH_STEP,MATCH(AJ250,LMH_KEY,0)),0)</f>
        <v>0</v>
      </c>
      <c r="BY250" s="38">
        <f>IFERROR(INDEX(LMH_STEP,MATCH(AK250,LMH_KEY,0)),0)</f>
        <v>0</v>
      </c>
      <c r="BZ250" s="38">
        <f>IFERROR(INDEX(LMH_STEP,MATCH(AL250,LMH_KEY,0)),0)</f>
        <v>0</v>
      </c>
      <c r="CA250" s="38" t="inlineStr">
        <is>
          <t>Consume|India Content|Senior Data Analyst|A3|A</t>
        </is>
      </c>
    </row>
    <row r="251" ht="110" customHeight="1">
      <c r="A251" s="28" t="inlineStr">
        <is>
          <t>Consume</t>
        </is>
      </c>
      <c r="B251" s="29" t="inlineStr">
        <is>
          <t>India Content</t>
        </is>
      </c>
      <c r="C251" s="29" t="n">
        <v>4</v>
      </c>
      <c r="D251" s="29" t="inlineStr">
        <is>
          <t>IRIS0009</t>
        </is>
      </c>
      <c r="E251" s="29" t="inlineStr">
        <is>
          <t>Prashant Shelar</t>
        </is>
      </c>
      <c r="F251" s="29" t="inlineStr">
        <is>
          <t>Data Analyst</t>
        </is>
      </c>
      <c r="G251" s="29" t="inlineStr">
        <is>
          <t>Senior Data Analyst</t>
        </is>
      </c>
      <c r="H251" s="29" t="inlineStr">
        <is>
          <t>Data &amp; Analytics</t>
        </is>
      </c>
      <c r="I251" s="29" t="inlineStr">
        <is>
          <t>Financial Data Processing</t>
        </is>
      </c>
      <c r="J251" s="29" t="inlineStr">
        <is>
          <t>IC</t>
        </is>
      </c>
      <c r="K251" s="29" t="inlineStr">
        <is>
          <t>RC-040</t>
        </is>
      </c>
      <c r="L251" s="29" t="inlineStr">
        <is>
          <t>Gopal Krishna Sahu</t>
        </is>
      </c>
      <c r="M251" s="29" t="inlineStr">
        <is>
          <t>IRIS0007</t>
        </is>
      </c>
      <c r="N251" s="29" t="n">
        <v>22.5</v>
      </c>
      <c r="O251" s="29" t="n">
        <v>22.1</v>
      </c>
      <c r="P251" s="29" t="inlineStr">
        <is>
          <t>MBA</t>
        </is>
      </c>
      <c r="Q251" s="29" t="inlineStr">
        <is>
          <t>L3 – Professional / Associate</t>
        </is>
      </c>
      <c r="R251" s="29" t="inlineStr">
        <is>
          <t>A3</t>
        </is>
      </c>
      <c r="S251" s="30" t="inlineStr">
        <is>
          <t>20 of 20</t>
        </is>
      </c>
      <c r="T251" s="31"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t>
        </is>
      </c>
      <c r="U251"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1" s="31" t="inlineStr">
        <is>
          <t>Latest rating: 1 · Potential: Low · 9-box: Misplaced Talent / Enigma · Readiness: Performance first</t>
        </is>
      </c>
      <c r="W251" s="31" t="inlineStr">
        <is>
          <t>C L · Au L · Ac L · L L · BI M · Exp H · 22.5 yrs vs 2–4 yrs · Edu H · MBA</t>
        </is>
      </c>
      <c r="X251" s="33" t="inlineStr">
        <is>
          <t>Open ▸</t>
        </is>
      </c>
      <c r="Y251" s="34" t="str">
        <f>IFERROR(INDEX(DL_C,MATCH($CA251,DL_KEY,0)),"M")</f>
        <v>H</v>
      </c>
      <c r="Z251" s="35" t="str">
        <f>IFERROR(INDEX(DL_Au,MATCH($CA251,DL_KEY,0)),"M")</f>
        <v>M</v>
      </c>
      <c r="AA251" s="35" t="str">
        <f>IFERROR(INDEX(DL_Ac,MATCH($CA251,DL_KEY,0)),"M")</f>
        <v>M</v>
      </c>
      <c r="AB251" s="35" t="str">
        <f>IFERROR(INDEX(DL_L,MATCH($CA251,DL_KEY,0)),"M")</f>
        <v>L</v>
      </c>
      <c r="AC251" s="35" t="str">
        <f>IFERROR(INDEX(DL_BI,MATCH($CA251,DL_KEY,0)),"M")</f>
        <v>L</v>
      </c>
      <c r="AD251" s="35" t="str">
        <f>IFERROR(INDEX(DL_Exp,MATCH($CA251,DL_KEY,0)),"M")</f>
        <v>L</v>
      </c>
      <c r="AE251" s="35" t="str">
        <f>IFERROR(INDEX(DL_Edu,MATCH($CA251,DL_KEY,0)),"M")</f>
        <v>L</v>
      </c>
      <c r="AF251" s="34" t="inlineStr">
        <is>
          <t>M</t>
        </is>
      </c>
      <c r="AG251" s="35" t="inlineStr">
        <is>
          <t>M</t>
        </is>
      </c>
      <c r="AH251" s="35" t="inlineStr">
        <is>
          <t>M</t>
        </is>
      </c>
      <c r="AI251" s="35" t="inlineStr">
        <is>
          <t>M</t>
        </is>
      </c>
      <c r="AJ251" s="35" t="inlineStr">
        <is>
          <t>M</t>
        </is>
      </c>
      <c r="AK251" s="35" t="inlineStr">
        <is>
          <t>M</t>
        </is>
      </c>
      <c r="AL251" s="35" t="inlineStr">
        <is>
          <t>M</t>
        </is>
      </c>
      <c r="AM251" s="36" t="n">
        <v>0.583</v>
      </c>
      <c r="AN251" s="37" t="n">
        <v>0.16</v>
      </c>
      <c r="AO251" s="37" t="n">
        <v>0.09</v>
      </c>
      <c r="AP251" s="37" t="n">
        <v>0</v>
      </c>
      <c r="AQ251" s="37" t="n">
        <v>0.063</v>
      </c>
      <c r="AR251" s="37" t="n">
        <v>0.06</v>
      </c>
      <c r="AS251" s="37" t="n">
        <v>0.04</v>
      </c>
      <c r="AT251" s="38" t="inlineStr">
        <is>
          <t>2–5</t>
        </is>
      </c>
      <c r="AU251" s="38" t="inlineStr">
        <is>
          <t>Graduate; relevant certification preferred</t>
        </is>
      </c>
      <c r="AV251" s="38" t="inlineStr">
        <is>
          <t>None · guides 1–3 juniors informally</t>
        </is>
      </c>
      <c r="AW251" s="38" t="inlineStr">
        <is>
          <t>P2 · SFIA 3 Apply</t>
        </is>
      </c>
      <c r="AX2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1" s="39" t="inlineStr">
        <is>
          <t>A3</t>
        </is>
      </c>
      <c r="AZ251" s="40" t="inlineStr">
        <is>
          <t>Band A · Practitioner · Senior Associate</t>
        </is>
      </c>
      <c r="BA251" s="40" t="inlineStr">
        <is>
          <t>Model A3 from the six ratings, the market-derived weights and rules R1–R13 · then No change · already below the manager</t>
        </is>
      </c>
      <c r="BB251" s="41" t="inlineStr">
        <is>
          <t>A3</t>
        </is>
      </c>
      <c r="BC251" s="40" t="inlineStr">
        <is>
          <t>The six ratings on the market-average weights of Band A · all tracks score 2.94 → A3 · Hay, Mercer IPE and public plans · experience 22.5 yrs vs the A3 market range 2–5</t>
        </is>
      </c>
      <c r="BD251" s="42">
        <f>IF(SUM(BM251,BN251,BO251,BP251,BQ251,BR251,BS251)=0,0,(BM251*BT251+BN251*BU251+BO251*BV251+BP251*BW251+BQ251*BX251+BR251*BY251+BS251*BZ251)/SUM(BM251,BN251,BO251,BP251,BQ251,BR251,BS251))</f>
        <v>0</v>
      </c>
      <c r="BE251" s="41" t="str">
        <f>IF(LEFT(AY251,1)="X",AY251,IF(OR(AY251="B+",AY251="C+"),INDEX(LAD_PC,MAX(1,MIN(14,MATCH(AY251,LAD_PC,0)+IF(BD251&gt;=0.5,1,IF(BD251&lt;=-0.5,-1,0))))),INDEX(LAD_STD,MAX(1,MIN(12,MATCH(AY251,LAD_STD,0)+IF(BD251&gt;=0.5,1,IF(BD251&lt;=-0.5,-1,0)))))))</f>
        <v>A3</v>
      </c>
      <c r="BF251" s="43" t="n"/>
      <c r="BG251" s="41" t="str">
        <f>IF(BF251&lt;&gt;"",BF251,BE251)</f>
        <v>A3</v>
      </c>
      <c r="BH251" s="40" t="str">
        <f>IFERROR(CHOOSE(INDEX(B_RANK,MATCH(BG251,B_LVL,0)),"Band A","Band B","B+ · Player-Coach","Band C","C+ · Player-Coach","Band D","Band E"),"Band X · Consultant")</f>
        <v>Band A</v>
      </c>
      <c r="BI251" s="40" t="str">
        <f>IF(BG251=AY251,"• Same",IF(INDEX(B_VAL,MATCH(BG251,B_LVL,0))&gt;INDEX(B_VAL,MATCH(AY251,B_LVL,0)),"▲ Up","▼ Down"))</f>
        <v>• Same</v>
      </c>
      <c r="BJ251" s="40" t="str">
        <f>IF(OR($M251="",$M251="—",$M251="Not in this file"),"",IFERROR(INDEX($BG$7:$BG$592,MATCH($M251,$D$7:$D$592,0)),""))</f>
        <v>B2</v>
      </c>
      <c r="BK251" s="40" t="str">
        <f>IFERROR(IF(BJ251="","—",IF(OR(LEFT(BG251,1)="X",LEFT(BJ251,1)="X"),"—",IF(AND(LEFT(BG251,1)="E",LEFT(BJ251,1)="E"),"Exception · Band E",IF(AND(INDEX(B_VAL,MATCH(BJ251,B_LVL,0))&gt;=7,INDEX(B_RANK,MATCH(BG251,B_LVL,0))&gt;=INDEX(B_RANK,MATCH(BJ251,B_LVL,0))),"⚠ Same band as a head manager",IF(INDEX(B_VAL,MATCH(BG251,B_LVL,0))&gt;=INDEX(B_VAL,MATCH(BJ251,B_LVL,0)),"⚠ At or above the manager's level","OK"))))),"—")</f>
        <v>OK</v>
      </c>
      <c r="BL251" s="43" t="n"/>
      <c r="BM251" s="44">
        <f>IFERROR(INDEX(LMH_PTS,MATCH(Y251,LMH_KEY,0)),0)</f>
        <v>9</v>
      </c>
      <c r="BN251" s="38">
        <f>IFERROR(INDEX(LMH_PTS,MATCH(Z251,LMH_KEY,0)),0)</f>
        <v>3</v>
      </c>
      <c r="BO251" s="38">
        <f>IFERROR(INDEX(LMH_PTS,MATCH(AA251,LMH_KEY,0)),0)</f>
        <v>3</v>
      </c>
      <c r="BP251" s="38">
        <f>IFERROR(INDEX(LMH_PTS,MATCH(AB251,LMH_KEY,0)),0)</f>
        <v>1</v>
      </c>
      <c r="BQ251" s="38">
        <f>IFERROR(INDEX(LMH_PTS,MATCH(AC251,LMH_KEY,0)),0)</f>
        <v>1</v>
      </c>
      <c r="BR251" s="38">
        <f>IFERROR(INDEX(LMH_PTS,MATCH(AD251,LMH_KEY,0)),0)</f>
        <v>1</v>
      </c>
      <c r="BS251" s="38">
        <f>IFERROR(INDEX(LMH_PTS,MATCH(AE251,LMH_KEY,0)),0)</f>
        <v>1</v>
      </c>
      <c r="BT251" s="38">
        <f>IFERROR(INDEX(LMH_STEP,MATCH(AF251,LMH_KEY,0)),0)</f>
        <v>0</v>
      </c>
      <c r="BU251" s="38">
        <f>IFERROR(INDEX(LMH_STEP,MATCH(AG251,LMH_KEY,0)),0)</f>
        <v>0</v>
      </c>
      <c r="BV251" s="38">
        <f>IFERROR(INDEX(LMH_STEP,MATCH(AH251,LMH_KEY,0)),0)</f>
        <v>0</v>
      </c>
      <c r="BW251" s="38">
        <f>IFERROR(INDEX(LMH_STEP,MATCH(AI251,LMH_KEY,0)),0)</f>
        <v>0</v>
      </c>
      <c r="BX251" s="38">
        <f>IFERROR(INDEX(LMH_STEP,MATCH(AJ251,LMH_KEY,0)),0)</f>
        <v>0</v>
      </c>
      <c r="BY251" s="38">
        <f>IFERROR(INDEX(LMH_STEP,MATCH(AK251,LMH_KEY,0)),0)</f>
        <v>0</v>
      </c>
      <c r="BZ251" s="38">
        <f>IFERROR(INDEX(LMH_STEP,MATCH(AL251,LMH_KEY,0)),0)</f>
        <v>0</v>
      </c>
      <c r="CA251" s="38" t="inlineStr">
        <is>
          <t>Consume|India Content|Senior Data Analyst|A3|A</t>
        </is>
      </c>
    </row>
    <row r="252" ht="110" customHeight="1">
      <c r="A252" s="28" t="inlineStr">
        <is>
          <t>Consume</t>
        </is>
      </c>
      <c r="B252" s="29" t="inlineStr">
        <is>
          <t>India Content</t>
        </is>
      </c>
      <c r="C252" s="29" t="n">
        <v>4</v>
      </c>
      <c r="D252" s="29" t="inlineStr">
        <is>
          <t>IRIS0030</t>
        </is>
      </c>
      <c r="E252" s="29" t="inlineStr">
        <is>
          <t>Swapnil Katrat</t>
        </is>
      </c>
      <c r="F252" s="29" t="inlineStr">
        <is>
          <t>Data Analyst</t>
        </is>
      </c>
      <c r="G252" s="29" t="inlineStr">
        <is>
          <t>Senior Data Analyst</t>
        </is>
      </c>
      <c r="H252" s="29" t="inlineStr">
        <is>
          <t>Data &amp; Analytics</t>
        </is>
      </c>
      <c r="I252" s="29" t="inlineStr">
        <is>
          <t>Financial Data Processing</t>
        </is>
      </c>
      <c r="J252" s="29" t="inlineStr">
        <is>
          <t>IC</t>
        </is>
      </c>
      <c r="K252" s="29" t="inlineStr">
        <is>
          <t>RC-040</t>
        </is>
      </c>
      <c r="L252" s="29" t="inlineStr">
        <is>
          <t>Gopal Krishna Sahu</t>
        </is>
      </c>
      <c r="M252" s="29" t="inlineStr">
        <is>
          <t>IRIS0007</t>
        </is>
      </c>
      <c r="N252" s="29" t="n">
        <v>21.1</v>
      </c>
      <c r="O252" s="29" t="n">
        <v>21.1</v>
      </c>
      <c r="P252" s="29" t="inlineStr">
        <is>
          <t>B.Com</t>
        </is>
      </c>
      <c r="Q252" s="29" t="inlineStr">
        <is>
          <t>L3 – Professional / Associate</t>
        </is>
      </c>
      <c r="R252" s="29" t="inlineStr">
        <is>
          <t>A3</t>
        </is>
      </c>
      <c r="S252" s="30" t="inlineStr">
        <is>
          <t>7 of 20</t>
        </is>
      </c>
      <c r="T252" s="31"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t>
        </is>
      </c>
      <c r="U252"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2" s="31" t="inlineStr">
        <is>
          <t>Latest rating: 3 · Potential: Medium · 9-box: Trusted Professional · Readiness: Develop in role</t>
        </is>
      </c>
      <c r="W252" s="31" t="inlineStr">
        <is>
          <t>C L · Au L · Ac L · L L · BI M · Exp H · 21.1 yrs vs 2–4 yrs · Edu M · B.Com</t>
        </is>
      </c>
      <c r="X252" s="33" t="inlineStr">
        <is>
          <t>Open ▸</t>
        </is>
      </c>
      <c r="Y252" s="34" t="str">
        <f>IFERROR(INDEX(DL_C,MATCH($CA252,DL_KEY,0)),"M")</f>
        <v>H</v>
      </c>
      <c r="Z252" s="35" t="str">
        <f>IFERROR(INDEX(DL_Au,MATCH($CA252,DL_KEY,0)),"M")</f>
        <v>M</v>
      </c>
      <c r="AA252" s="35" t="str">
        <f>IFERROR(INDEX(DL_Ac,MATCH($CA252,DL_KEY,0)),"M")</f>
        <v>M</v>
      </c>
      <c r="AB252" s="35" t="str">
        <f>IFERROR(INDEX(DL_L,MATCH($CA252,DL_KEY,0)),"M")</f>
        <v>L</v>
      </c>
      <c r="AC252" s="35" t="str">
        <f>IFERROR(INDEX(DL_BI,MATCH($CA252,DL_KEY,0)),"M")</f>
        <v>L</v>
      </c>
      <c r="AD252" s="35" t="str">
        <f>IFERROR(INDEX(DL_Exp,MATCH($CA252,DL_KEY,0)),"M")</f>
        <v>L</v>
      </c>
      <c r="AE252" s="35" t="str">
        <f>IFERROR(INDEX(DL_Edu,MATCH($CA252,DL_KEY,0)),"M")</f>
        <v>L</v>
      </c>
      <c r="AF252" s="34" t="inlineStr">
        <is>
          <t>M</t>
        </is>
      </c>
      <c r="AG252" s="35" t="inlineStr">
        <is>
          <t>M</t>
        </is>
      </c>
      <c r="AH252" s="35" t="inlineStr">
        <is>
          <t>M</t>
        </is>
      </c>
      <c r="AI252" s="35" t="inlineStr">
        <is>
          <t>M</t>
        </is>
      </c>
      <c r="AJ252" s="35" t="inlineStr">
        <is>
          <t>M</t>
        </is>
      </c>
      <c r="AK252" s="35" t="inlineStr">
        <is>
          <t>M</t>
        </is>
      </c>
      <c r="AL252" s="35" t="inlineStr">
        <is>
          <t>M</t>
        </is>
      </c>
      <c r="AM252" s="36" t="n">
        <v>0.583</v>
      </c>
      <c r="AN252" s="37" t="n">
        <v>0.16</v>
      </c>
      <c r="AO252" s="37" t="n">
        <v>0.09</v>
      </c>
      <c r="AP252" s="37" t="n">
        <v>0</v>
      </c>
      <c r="AQ252" s="37" t="n">
        <v>0.063</v>
      </c>
      <c r="AR252" s="37" t="n">
        <v>0.06</v>
      </c>
      <c r="AS252" s="37" t="n">
        <v>0.04</v>
      </c>
      <c r="AT252" s="38" t="inlineStr">
        <is>
          <t>2–5</t>
        </is>
      </c>
      <c r="AU252" s="38" t="inlineStr">
        <is>
          <t>Graduate; relevant certification preferred</t>
        </is>
      </c>
      <c r="AV252" s="38" t="inlineStr">
        <is>
          <t>None · guides 1–3 juniors informally</t>
        </is>
      </c>
      <c r="AW252" s="38" t="inlineStr">
        <is>
          <t>P2 · SFIA 3 Apply</t>
        </is>
      </c>
      <c r="AX2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2" s="39" t="inlineStr">
        <is>
          <t>A3</t>
        </is>
      </c>
      <c r="AZ252" s="40" t="inlineStr">
        <is>
          <t>Band A · Practitioner · Senior Associate</t>
        </is>
      </c>
      <c r="BA252" s="40" t="inlineStr">
        <is>
          <t>Model A3 from the six ratings, the market-derived weights and rules R1–R13 · then No change · already below the manager</t>
        </is>
      </c>
      <c r="BB252" s="41" t="inlineStr">
        <is>
          <t>A3</t>
        </is>
      </c>
      <c r="BC252" s="40" t="inlineStr">
        <is>
          <t>The six ratings on the market-average weights of Band A · all tracks score 2.83 → A3 · Hay, Mercer IPE and public plans · experience 21.1 yrs vs the A3 market range 2–5</t>
        </is>
      </c>
      <c r="BD252" s="42">
        <f>IF(SUM(BM252,BN252,BO252,BP252,BQ252,BR252,BS252)=0,0,(BM252*BT252+BN252*BU252+BO252*BV252+BP252*BW252+BQ252*BX252+BR252*BY252+BS252*BZ252)/SUM(BM252,BN252,BO252,BP252,BQ252,BR252,BS252))</f>
        <v>0</v>
      </c>
      <c r="BE252" s="41" t="str">
        <f>IF(LEFT(AY252,1)="X",AY252,IF(OR(AY252="B+",AY252="C+"),INDEX(LAD_PC,MAX(1,MIN(14,MATCH(AY252,LAD_PC,0)+IF(BD252&gt;=0.5,1,IF(BD252&lt;=-0.5,-1,0))))),INDEX(LAD_STD,MAX(1,MIN(12,MATCH(AY252,LAD_STD,0)+IF(BD252&gt;=0.5,1,IF(BD252&lt;=-0.5,-1,0)))))))</f>
        <v>A3</v>
      </c>
      <c r="BF252" s="43" t="n"/>
      <c r="BG252" s="41" t="str">
        <f>IF(BF252&lt;&gt;"",BF252,BE252)</f>
        <v>A3</v>
      </c>
      <c r="BH252" s="40" t="str">
        <f>IFERROR(CHOOSE(INDEX(B_RANK,MATCH(BG252,B_LVL,0)),"Band A","Band B","B+ · Player-Coach","Band C","C+ · Player-Coach","Band D","Band E"),"Band X · Consultant")</f>
        <v>Band A</v>
      </c>
      <c r="BI252" s="40" t="str">
        <f>IF(BG252=AY252,"• Same",IF(INDEX(B_VAL,MATCH(BG252,B_LVL,0))&gt;INDEX(B_VAL,MATCH(AY252,B_LVL,0)),"▲ Up","▼ Down"))</f>
        <v>• Same</v>
      </c>
      <c r="BJ252" s="40" t="str">
        <f>IF(OR($M252="",$M252="—",$M252="Not in this file"),"",IFERROR(INDEX($BG$7:$BG$592,MATCH($M252,$D$7:$D$592,0)),""))</f>
        <v>B2</v>
      </c>
      <c r="BK252" s="40" t="str">
        <f>IFERROR(IF(BJ252="","—",IF(OR(LEFT(BG252,1)="X",LEFT(BJ252,1)="X"),"—",IF(AND(LEFT(BG252,1)="E",LEFT(BJ252,1)="E"),"Exception · Band E",IF(AND(INDEX(B_VAL,MATCH(BJ252,B_LVL,0))&gt;=7,INDEX(B_RANK,MATCH(BG252,B_LVL,0))&gt;=INDEX(B_RANK,MATCH(BJ252,B_LVL,0))),"⚠ Same band as a head manager",IF(INDEX(B_VAL,MATCH(BG252,B_LVL,0))&gt;=INDEX(B_VAL,MATCH(BJ252,B_LVL,0)),"⚠ At or above the manager's level","OK"))))),"—")</f>
        <v>OK</v>
      </c>
      <c r="BL252" s="43" t="n"/>
      <c r="BM252" s="44">
        <f>IFERROR(INDEX(LMH_PTS,MATCH(Y252,LMH_KEY,0)),0)</f>
        <v>9</v>
      </c>
      <c r="BN252" s="38">
        <f>IFERROR(INDEX(LMH_PTS,MATCH(Z252,LMH_KEY,0)),0)</f>
        <v>3</v>
      </c>
      <c r="BO252" s="38">
        <f>IFERROR(INDEX(LMH_PTS,MATCH(AA252,LMH_KEY,0)),0)</f>
        <v>3</v>
      </c>
      <c r="BP252" s="38">
        <f>IFERROR(INDEX(LMH_PTS,MATCH(AB252,LMH_KEY,0)),0)</f>
        <v>1</v>
      </c>
      <c r="BQ252" s="38">
        <f>IFERROR(INDEX(LMH_PTS,MATCH(AC252,LMH_KEY,0)),0)</f>
        <v>1</v>
      </c>
      <c r="BR252" s="38">
        <f>IFERROR(INDEX(LMH_PTS,MATCH(AD252,LMH_KEY,0)),0)</f>
        <v>1</v>
      </c>
      <c r="BS252" s="38">
        <f>IFERROR(INDEX(LMH_PTS,MATCH(AE252,LMH_KEY,0)),0)</f>
        <v>1</v>
      </c>
      <c r="BT252" s="38">
        <f>IFERROR(INDEX(LMH_STEP,MATCH(AF252,LMH_KEY,0)),0)</f>
        <v>0</v>
      </c>
      <c r="BU252" s="38">
        <f>IFERROR(INDEX(LMH_STEP,MATCH(AG252,LMH_KEY,0)),0)</f>
        <v>0</v>
      </c>
      <c r="BV252" s="38">
        <f>IFERROR(INDEX(LMH_STEP,MATCH(AH252,LMH_KEY,0)),0)</f>
        <v>0</v>
      </c>
      <c r="BW252" s="38">
        <f>IFERROR(INDEX(LMH_STEP,MATCH(AI252,LMH_KEY,0)),0)</f>
        <v>0</v>
      </c>
      <c r="BX252" s="38">
        <f>IFERROR(INDEX(LMH_STEP,MATCH(AJ252,LMH_KEY,0)),0)</f>
        <v>0</v>
      </c>
      <c r="BY252" s="38">
        <f>IFERROR(INDEX(LMH_STEP,MATCH(AK252,LMH_KEY,0)),0)</f>
        <v>0</v>
      </c>
      <c r="BZ252" s="38">
        <f>IFERROR(INDEX(LMH_STEP,MATCH(AL252,LMH_KEY,0)),0)</f>
        <v>0</v>
      </c>
      <c r="CA252" s="38" t="inlineStr">
        <is>
          <t>Consume|India Content|Senior Data Analyst|A3|A</t>
        </is>
      </c>
    </row>
    <row r="253" ht="110" customHeight="1">
      <c r="A253" s="28" t="inlineStr">
        <is>
          <t>iFile</t>
        </is>
      </c>
      <c r="B253" s="29" t="inlineStr">
        <is>
          <t>Marketing</t>
        </is>
      </c>
      <c r="C253" s="29" t="n">
        <v>3</v>
      </c>
      <c r="D253" s="29" t="inlineStr">
        <is>
          <t>IRIS2523</t>
        </is>
      </c>
      <c r="E253" s="29" t="inlineStr">
        <is>
          <t>Abhilash Menon</t>
        </is>
      </c>
      <c r="F253" s="29" t="inlineStr">
        <is>
          <t>Product Marketing Manager</t>
        </is>
      </c>
      <c r="G253" s="29" t="inlineStr">
        <is>
          <t>Team Lead – Product Marketing</t>
        </is>
      </c>
      <c r="H253" s="29" t="inlineStr">
        <is>
          <t>Marketing &amp; Communications</t>
        </is>
      </c>
      <c r="I253" s="29" t="inlineStr">
        <is>
          <t>Product Marketing</t>
        </is>
      </c>
      <c r="J253" s="29" t="inlineStr">
        <is>
          <t>People Manager</t>
        </is>
      </c>
      <c r="K253" s="29" t="inlineStr">
        <is>
          <t>RC-123</t>
        </is>
      </c>
      <c r="L253" s="29" t="inlineStr">
        <is>
          <t>Arup Ganguly</t>
        </is>
      </c>
      <c r="M253" s="29" t="inlineStr">
        <is>
          <t>IRIS0242</t>
        </is>
      </c>
      <c r="N253" s="29" t="n">
        <v>8.4</v>
      </c>
      <c r="O253" s="29" t="n">
        <v>0.4</v>
      </c>
      <c r="P253" s="29" t="inlineStr">
        <is>
          <t>BA</t>
        </is>
      </c>
      <c r="Q253" s="29" t="inlineStr">
        <is>
          <t>L5 – Manager</t>
        </is>
      </c>
      <c r="R253" s="29" t="inlineStr">
        <is>
          <t>B1</t>
        </is>
      </c>
      <c r="S253" s="30" t="inlineStr">
        <is>
          <t>19 of 20</t>
        </is>
      </c>
      <c r="T253" s="31"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t>
        </is>
      </c>
      <c r="U253" s="31" t="inlineStr">
        <is>
          <t>Received · manager annual, quarterly, self · 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t>
        </is>
      </c>
      <c r="V253" s="31" t="inlineStr">
        <is>
          <t>Latest rating: Not rated · manager · 9-box: Not placed · manager · Readiness: No rating data</t>
        </is>
      </c>
      <c r="W253" s="31" t="inlineStr">
        <is>
          <t>C M · Au M · Ac M · L M · BI M · Exp H · 8.4 yrs vs 4–7 yrs · Edu M · BA</t>
        </is>
      </c>
      <c r="X253" s="33" t="inlineStr">
        <is>
          <t>Open ▸</t>
        </is>
      </c>
      <c r="Y253" s="34" t="str">
        <f>IFERROR(INDEX(DL_C,MATCH($CA253,DL_KEY,0)),"M")</f>
        <v>H</v>
      </c>
      <c r="Z253" s="35" t="str">
        <f>IFERROR(INDEX(DL_Au,MATCH($CA253,DL_KEY,0)),"M")</f>
        <v>M</v>
      </c>
      <c r="AA253" s="35" t="str">
        <f>IFERROR(INDEX(DL_Ac,MATCH($CA253,DL_KEY,0)),"M")</f>
        <v>L</v>
      </c>
      <c r="AB253" s="35" t="str">
        <f>IFERROR(INDEX(DL_L,MATCH($CA253,DL_KEY,0)),"M")</f>
        <v>M</v>
      </c>
      <c r="AC253" s="35" t="str">
        <f>IFERROR(INDEX(DL_BI,MATCH($CA253,DL_KEY,0)),"M")</f>
        <v>M</v>
      </c>
      <c r="AD253" s="35" t="str">
        <f>IFERROR(INDEX(DL_Exp,MATCH($CA253,DL_KEY,0)),"M")</f>
        <v>L</v>
      </c>
      <c r="AE253" s="35" t="str">
        <f>IFERROR(INDEX(DL_Edu,MATCH($CA253,DL_KEY,0)),"M")</f>
        <v>L</v>
      </c>
      <c r="AF253" s="34" t="inlineStr">
        <is>
          <t>M</t>
        </is>
      </c>
      <c r="AG253" s="35" t="inlineStr">
        <is>
          <t>M</t>
        </is>
      </c>
      <c r="AH253" s="35" t="inlineStr">
        <is>
          <t>M</t>
        </is>
      </c>
      <c r="AI253" s="35" t="inlineStr">
        <is>
          <t>M</t>
        </is>
      </c>
      <c r="AJ253" s="35" t="inlineStr">
        <is>
          <t>M</t>
        </is>
      </c>
      <c r="AK253" s="35" t="inlineStr">
        <is>
          <t>M</t>
        </is>
      </c>
      <c r="AL253" s="35" t="inlineStr">
        <is>
          <t>M</t>
        </is>
      </c>
      <c r="AM253" s="36" t="n">
        <v>0.37</v>
      </c>
      <c r="AN253" s="37" t="n">
        <v>0.183</v>
      </c>
      <c r="AO253" s="37" t="n">
        <v>0.113</v>
      </c>
      <c r="AP253" s="37" t="n">
        <v>0.15</v>
      </c>
      <c r="AQ253" s="37" t="n">
        <v>0.08699999999999999</v>
      </c>
      <c r="AR253" s="37" t="n">
        <v>0.06</v>
      </c>
      <c r="AS253" s="37" t="n">
        <v>0.04</v>
      </c>
      <c r="AT253" s="38" t="inlineStr">
        <is>
          <t>4–8</t>
        </is>
      </c>
      <c r="AU253" s="38" t="inlineStr">
        <is>
          <t>Graduate + relevant qualification or certification preferred</t>
        </is>
      </c>
      <c r="AV253" s="38" t="inlineStr">
        <is>
          <t>IC: none · Team Lead: 3–5</t>
        </is>
      </c>
      <c r="AW253" s="38" t="inlineStr">
        <is>
          <t>P3 / M2 · SFIA 4 Enable</t>
        </is>
      </c>
      <c r="AX2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3" s="39" t="inlineStr">
        <is>
          <t>B1</t>
        </is>
      </c>
      <c r="AZ253" s="40" t="inlineStr">
        <is>
          <t>Band B · Specialist / Manager · Team Lead / Asst Manager</t>
        </is>
      </c>
      <c r="BA253" s="40" t="inlineStr">
        <is>
          <t>Model B1 from the six ratings, the market-derived weights and rules R1–R13 · then No change · already below the manager</t>
        </is>
      </c>
      <c r="BB253" s="41" t="inlineStr">
        <is>
          <t>B1</t>
        </is>
      </c>
      <c r="BC253" s="40" t="inlineStr">
        <is>
          <t>The six ratings on the market-average weights of Band B · People Manager score 4.43 → B1 · Hay, Mercer IPE and public plans · experience 8.4 yrs vs the B1 market range 4–8</t>
        </is>
      </c>
      <c r="BD253" s="42">
        <f>IF(SUM(BM253,BN253,BO253,BP253,BQ253,BR253,BS253)=0,0,(BM253*BT253+BN253*BU253+BO253*BV253+BP253*BW253+BQ253*BX253+BR253*BY253+BS253*BZ253)/SUM(BM253,BN253,BO253,BP253,BQ253,BR253,BS253))</f>
        <v>0</v>
      </c>
      <c r="BE253" s="41" t="str">
        <f>IF(LEFT(AY253,1)="X",AY253,IF(OR(AY253="B+",AY253="C+"),INDEX(LAD_PC,MAX(1,MIN(14,MATCH(AY253,LAD_PC,0)+IF(BD253&gt;=0.5,1,IF(BD253&lt;=-0.5,-1,0))))),INDEX(LAD_STD,MAX(1,MIN(12,MATCH(AY253,LAD_STD,0)+IF(BD253&gt;=0.5,1,IF(BD253&lt;=-0.5,-1,0)))))))</f>
        <v>B1</v>
      </c>
      <c r="BF253" s="43" t="n"/>
      <c r="BG253" s="41" t="str">
        <f>IF(BF253&lt;&gt;"",BF253,BE253)</f>
        <v>B1</v>
      </c>
      <c r="BH253" s="40" t="str">
        <f>IFERROR(CHOOSE(INDEX(B_RANK,MATCH(BG253,B_LVL,0)),"Band A","Band B","B+ · Player-Coach","Band C","C+ · Player-Coach","Band D","Band E"),"Band X · Consultant")</f>
        <v>Band B</v>
      </c>
      <c r="BI253" s="40" t="str">
        <f>IF(BG253=AY253,"• Same",IF(INDEX(B_VAL,MATCH(BG253,B_LVL,0))&gt;INDEX(B_VAL,MATCH(AY253,B_LVL,0)),"▲ Up","▼ Down"))</f>
        <v>• Same</v>
      </c>
      <c r="BJ253" s="40" t="str">
        <f>IF(OR($M253="",$M253="—",$M253="Not in this file"),"",IFERROR(INDEX($BG$7:$BG$592,MATCH($M253,$D$7:$D$592,0)),""))</f>
        <v>C2</v>
      </c>
      <c r="BK253" s="40" t="str">
        <f>IFERROR(IF(BJ253="","—",IF(OR(LEFT(BG253,1)="X",LEFT(BJ253,1)="X"),"—",IF(AND(LEFT(BG253,1)="E",LEFT(BJ253,1)="E"),"Exception · Band E",IF(AND(INDEX(B_VAL,MATCH(BJ253,B_LVL,0))&gt;=7,INDEX(B_RANK,MATCH(BG253,B_LVL,0))&gt;=INDEX(B_RANK,MATCH(BJ253,B_LVL,0))),"⚠ Same band as a head manager",IF(INDEX(B_VAL,MATCH(BG253,B_LVL,0))&gt;=INDEX(B_VAL,MATCH(BJ253,B_LVL,0)),"⚠ At or above the manager's level","OK"))))),"—")</f>
        <v>OK</v>
      </c>
      <c r="BL253" s="43" t="n"/>
      <c r="BM253" s="44">
        <f>IFERROR(INDEX(LMH_PTS,MATCH(Y253,LMH_KEY,0)),0)</f>
        <v>9</v>
      </c>
      <c r="BN253" s="38">
        <f>IFERROR(INDEX(LMH_PTS,MATCH(Z253,LMH_KEY,0)),0)</f>
        <v>3</v>
      </c>
      <c r="BO253" s="38">
        <f>IFERROR(INDEX(LMH_PTS,MATCH(AA253,LMH_KEY,0)),0)</f>
        <v>1</v>
      </c>
      <c r="BP253" s="38">
        <f>IFERROR(INDEX(LMH_PTS,MATCH(AB253,LMH_KEY,0)),0)</f>
        <v>3</v>
      </c>
      <c r="BQ253" s="38">
        <f>IFERROR(INDEX(LMH_PTS,MATCH(AC253,LMH_KEY,0)),0)</f>
        <v>3</v>
      </c>
      <c r="BR253" s="38">
        <f>IFERROR(INDEX(LMH_PTS,MATCH(AD253,LMH_KEY,0)),0)</f>
        <v>1</v>
      </c>
      <c r="BS253" s="38">
        <f>IFERROR(INDEX(LMH_PTS,MATCH(AE253,LMH_KEY,0)),0)</f>
        <v>1</v>
      </c>
      <c r="BT253" s="38">
        <f>IFERROR(INDEX(LMH_STEP,MATCH(AF253,LMH_KEY,0)),0)</f>
        <v>0</v>
      </c>
      <c r="BU253" s="38">
        <f>IFERROR(INDEX(LMH_STEP,MATCH(AG253,LMH_KEY,0)),0)</f>
        <v>0</v>
      </c>
      <c r="BV253" s="38">
        <f>IFERROR(INDEX(LMH_STEP,MATCH(AH253,LMH_KEY,0)),0)</f>
        <v>0</v>
      </c>
      <c r="BW253" s="38">
        <f>IFERROR(INDEX(LMH_STEP,MATCH(AI253,LMH_KEY,0)),0)</f>
        <v>0</v>
      </c>
      <c r="BX253" s="38">
        <f>IFERROR(INDEX(LMH_STEP,MATCH(AJ253,LMH_KEY,0)),0)</f>
        <v>0</v>
      </c>
      <c r="BY253" s="38">
        <f>IFERROR(INDEX(LMH_STEP,MATCH(AK253,LMH_KEY,0)),0)</f>
        <v>0</v>
      </c>
      <c r="BZ253" s="38">
        <f>IFERROR(INDEX(LMH_STEP,MATCH(AL253,LMH_KEY,0)),0)</f>
        <v>0</v>
      </c>
      <c r="CA253" s="38" t="inlineStr">
        <is>
          <t>iFile|Marketing|Team Lead – Product Marketing|B1|B-M</t>
        </is>
      </c>
    </row>
    <row r="254" ht="110" customHeight="1">
      <c r="A254" s="28" t="inlineStr">
        <is>
          <t>Corporate</t>
        </is>
      </c>
      <c r="B254" s="29" t="inlineStr">
        <is>
          <t>Marketing</t>
        </is>
      </c>
      <c r="C254" s="29" t="n">
        <v>4</v>
      </c>
      <c r="D254" s="29" t="inlineStr">
        <is>
          <t>IRIS2200</t>
        </is>
      </c>
      <c r="E254" s="29" t="inlineStr">
        <is>
          <t>Barsha Gloria Gomes</t>
        </is>
      </c>
      <c r="F254" s="29" t="inlineStr">
        <is>
          <t>Manager-Content</t>
        </is>
      </c>
      <c r="G254" s="29" t="inlineStr">
        <is>
          <t>Senior Content Marketing Specialist</t>
        </is>
      </c>
      <c r="H254" s="29" t="inlineStr">
        <is>
          <t>Marketing &amp; Communications</t>
        </is>
      </c>
      <c r="I254" s="29" t="inlineStr">
        <is>
          <t>Content Marketing</t>
        </is>
      </c>
      <c r="J254" s="29" t="inlineStr">
        <is>
          <t>IC</t>
        </is>
      </c>
      <c r="K254" s="29" t="inlineStr">
        <is>
          <t>RC-113</t>
        </is>
      </c>
      <c r="L254" s="29" t="inlineStr">
        <is>
          <t>Abhilash Menon</t>
        </is>
      </c>
      <c r="M254" s="29" t="inlineStr">
        <is>
          <t>IRIS2523</t>
        </is>
      </c>
      <c r="N254" s="29" t="n">
        <v>9.9</v>
      </c>
      <c r="O254" s="29" t="n">
        <v>2.9</v>
      </c>
      <c r="P254" s="29" t="inlineStr">
        <is>
          <t>MA</t>
        </is>
      </c>
      <c r="Q254" s="29" t="inlineStr">
        <is>
          <t>L5 – Manager</t>
        </is>
      </c>
      <c r="R254" s="29" t="inlineStr">
        <is>
          <t>B2</t>
        </is>
      </c>
      <c r="S254" s="30" t="inlineStr">
        <is>
          <t>18 of 20</t>
        </is>
      </c>
      <c r="T254" s="31"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t>
        </is>
      </c>
      <c r="U254" s="31" t="inlineStr">
        <is>
          <t>Received · manager annual, quarterly, self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254" s="31" t="inlineStr">
        <is>
          <t>Latest rating: 3 · Potential: Medium · 9-box: Core Contributor · Readiness: Develop in role</t>
        </is>
      </c>
      <c r="W254" s="31" t="inlineStr">
        <is>
          <t>C H · Au H · Ac H · L M · BI H · Exp H · 9.9 yrs vs 2–4 yrs · Edu H · MA</t>
        </is>
      </c>
      <c r="X254" s="33" t="inlineStr">
        <is>
          <t>Open ▸</t>
        </is>
      </c>
      <c r="Y254" s="34" t="str">
        <f>IFERROR(INDEX(DL_C,MATCH($CA254,DL_KEY,0)),"M")</f>
        <v>H</v>
      </c>
      <c r="Z254" s="35" t="str">
        <f>IFERROR(INDEX(DL_Au,MATCH($CA254,DL_KEY,0)),"M")</f>
        <v>M</v>
      </c>
      <c r="AA254" s="35" t="str">
        <f>IFERROR(INDEX(DL_Ac,MATCH($CA254,DL_KEY,0)),"M")</f>
        <v>L</v>
      </c>
      <c r="AB254" s="35" t="str">
        <f>IFERROR(INDEX(DL_L,MATCH($CA254,DL_KEY,0)),"M")</f>
        <v>L</v>
      </c>
      <c r="AC254" s="35" t="str">
        <f>IFERROR(INDEX(DL_BI,MATCH($CA254,DL_KEY,0)),"M")</f>
        <v>M</v>
      </c>
      <c r="AD254" s="35" t="str">
        <f>IFERROR(INDEX(DL_Exp,MATCH($CA254,DL_KEY,0)),"M")</f>
        <v>L</v>
      </c>
      <c r="AE254" s="35" t="str">
        <f>IFERROR(INDEX(DL_Edu,MATCH($CA254,DL_KEY,0)),"M")</f>
        <v>L</v>
      </c>
      <c r="AF254" s="34" t="inlineStr">
        <is>
          <t>M</t>
        </is>
      </c>
      <c r="AG254" s="35" t="inlineStr">
        <is>
          <t>M</t>
        </is>
      </c>
      <c r="AH254" s="35" t="inlineStr">
        <is>
          <t>M</t>
        </is>
      </c>
      <c r="AI254" s="35" t="inlineStr">
        <is>
          <t>M</t>
        </is>
      </c>
      <c r="AJ254" s="35" t="inlineStr">
        <is>
          <t>M</t>
        </is>
      </c>
      <c r="AK254" s="35" t="inlineStr">
        <is>
          <t>M</t>
        </is>
      </c>
      <c r="AL254" s="35" t="inlineStr">
        <is>
          <t>M</t>
        </is>
      </c>
      <c r="AM254" s="36" t="n">
        <v>0.583</v>
      </c>
      <c r="AN254" s="37" t="n">
        <v>0.16</v>
      </c>
      <c r="AO254" s="37" t="n">
        <v>0.09</v>
      </c>
      <c r="AP254" s="37" t="n">
        <v>0</v>
      </c>
      <c r="AQ254" s="37" t="n">
        <v>0.063</v>
      </c>
      <c r="AR254" s="37" t="n">
        <v>0.06</v>
      </c>
      <c r="AS254" s="37" t="n">
        <v>0.04</v>
      </c>
      <c r="AT254" s="38" t="inlineStr">
        <is>
          <t>2–5</t>
        </is>
      </c>
      <c r="AU254" s="38" t="inlineStr">
        <is>
          <t>Graduate; relevant certification preferred</t>
        </is>
      </c>
      <c r="AV254" s="38" t="inlineStr">
        <is>
          <t>None · guides 1–3 juniors informally</t>
        </is>
      </c>
      <c r="AW254" s="38" t="inlineStr">
        <is>
          <t>P2 · SFIA 3 Apply</t>
        </is>
      </c>
      <c r="AX2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4" s="39" t="inlineStr">
        <is>
          <t>A3</t>
        </is>
      </c>
      <c r="AZ254" s="40" t="inlineStr">
        <is>
          <t>Band A · Practitioner · Senior Associate</t>
        </is>
      </c>
      <c r="BA254" s="40" t="inlineStr">
        <is>
          <t>Model B2 from the six ratings, the market-derived weights and rules R1–R13 · then Level rule: manager B1; a reportee sits at least one level below · B2 → A3 · move down · pay and title protected for one cycle</t>
        </is>
      </c>
      <c r="BB254" s="41" t="inlineStr">
        <is>
          <t>B2</t>
        </is>
      </c>
      <c r="BC254" s="40" t="inlineStr">
        <is>
          <t>The six ratings on the market-average weights of Band A · all tracks score 4.65 → B2 · Hay, Mercer IPE and public plans · experience 9.9 yrs vs the B2 market range 6–10</t>
        </is>
      </c>
      <c r="BD254" s="42">
        <f>IF(SUM(BM254,BN254,BO254,BP254,BQ254,BR254,BS254)=0,0,(BM254*BT254+BN254*BU254+BO254*BV254+BP254*BW254+BQ254*BX254+BR254*BY254+BS254*BZ254)/SUM(BM254,BN254,BO254,BP254,BQ254,BR254,BS254))</f>
        <v>0</v>
      </c>
      <c r="BE254" s="41" t="str">
        <f>IF(LEFT(AY254,1)="X",AY254,IF(OR(AY254="B+",AY254="C+"),INDEX(LAD_PC,MAX(1,MIN(14,MATCH(AY254,LAD_PC,0)+IF(BD254&gt;=0.5,1,IF(BD254&lt;=-0.5,-1,0))))),INDEX(LAD_STD,MAX(1,MIN(12,MATCH(AY254,LAD_STD,0)+IF(BD254&gt;=0.5,1,IF(BD254&lt;=-0.5,-1,0)))))))</f>
        <v>A3</v>
      </c>
      <c r="BF254" s="43" t="n"/>
      <c r="BG254" s="41" t="str">
        <f>IF(BF254&lt;&gt;"",BF254,BE254)</f>
        <v>A3</v>
      </c>
      <c r="BH254" s="40" t="str">
        <f>IFERROR(CHOOSE(INDEX(B_RANK,MATCH(BG254,B_LVL,0)),"Band A","Band B","B+ · Player-Coach","Band C","C+ · Player-Coach","Band D","Band E"),"Band X · Consultant")</f>
        <v>Band A</v>
      </c>
      <c r="BI254" s="40" t="str">
        <f>IF(BG254=AY254,"• Same",IF(INDEX(B_VAL,MATCH(BG254,B_LVL,0))&gt;INDEX(B_VAL,MATCH(AY254,B_LVL,0)),"▲ Up","▼ Down"))</f>
        <v>• Same</v>
      </c>
      <c r="BJ254" s="40" t="str">
        <f>IF(OR($M254="",$M254="—",$M254="Not in this file"),"",IFERROR(INDEX($BG$7:$BG$592,MATCH($M254,$D$7:$D$592,0)),""))</f>
        <v>B1</v>
      </c>
      <c r="BK254" s="40" t="str">
        <f>IFERROR(IF(BJ254="","—",IF(OR(LEFT(BG254,1)="X",LEFT(BJ254,1)="X"),"—",IF(AND(LEFT(BG254,1)="E",LEFT(BJ254,1)="E"),"Exception · Band E",IF(AND(INDEX(B_VAL,MATCH(BJ254,B_LVL,0))&gt;=7,INDEX(B_RANK,MATCH(BG254,B_LVL,0))&gt;=INDEX(B_RANK,MATCH(BJ254,B_LVL,0))),"⚠ Same band as a head manager",IF(INDEX(B_VAL,MATCH(BG254,B_LVL,0))&gt;=INDEX(B_VAL,MATCH(BJ254,B_LVL,0)),"⚠ At or above the manager's level","OK"))))),"—")</f>
        <v>OK</v>
      </c>
      <c r="BL254" s="43" t="n"/>
      <c r="BM254" s="44">
        <f>IFERROR(INDEX(LMH_PTS,MATCH(Y254,LMH_KEY,0)),0)</f>
        <v>9</v>
      </c>
      <c r="BN254" s="38">
        <f>IFERROR(INDEX(LMH_PTS,MATCH(Z254,LMH_KEY,0)),0)</f>
        <v>3</v>
      </c>
      <c r="BO254" s="38">
        <f>IFERROR(INDEX(LMH_PTS,MATCH(AA254,LMH_KEY,0)),0)</f>
        <v>1</v>
      </c>
      <c r="BP254" s="38">
        <f>IFERROR(INDEX(LMH_PTS,MATCH(AB254,LMH_KEY,0)),0)</f>
        <v>1</v>
      </c>
      <c r="BQ254" s="38">
        <f>IFERROR(INDEX(LMH_PTS,MATCH(AC254,LMH_KEY,0)),0)</f>
        <v>3</v>
      </c>
      <c r="BR254" s="38">
        <f>IFERROR(INDEX(LMH_PTS,MATCH(AD254,LMH_KEY,0)),0)</f>
        <v>1</v>
      </c>
      <c r="BS254" s="38">
        <f>IFERROR(INDEX(LMH_PTS,MATCH(AE254,LMH_KEY,0)),0)</f>
        <v>1</v>
      </c>
      <c r="BT254" s="38">
        <f>IFERROR(INDEX(LMH_STEP,MATCH(AF254,LMH_KEY,0)),0)</f>
        <v>0</v>
      </c>
      <c r="BU254" s="38">
        <f>IFERROR(INDEX(LMH_STEP,MATCH(AG254,LMH_KEY,0)),0)</f>
        <v>0</v>
      </c>
      <c r="BV254" s="38">
        <f>IFERROR(INDEX(LMH_STEP,MATCH(AH254,LMH_KEY,0)),0)</f>
        <v>0</v>
      </c>
      <c r="BW254" s="38">
        <f>IFERROR(INDEX(LMH_STEP,MATCH(AI254,LMH_KEY,0)),0)</f>
        <v>0</v>
      </c>
      <c r="BX254" s="38">
        <f>IFERROR(INDEX(LMH_STEP,MATCH(AJ254,LMH_KEY,0)),0)</f>
        <v>0</v>
      </c>
      <c r="BY254" s="38">
        <f>IFERROR(INDEX(LMH_STEP,MATCH(AK254,LMH_KEY,0)),0)</f>
        <v>0</v>
      </c>
      <c r="BZ254" s="38">
        <f>IFERROR(INDEX(LMH_STEP,MATCH(AL254,LMH_KEY,0)),0)</f>
        <v>0</v>
      </c>
      <c r="CA254" s="38" t="inlineStr">
        <is>
          <t>Corporate|Marketing|Senior Content Marketing Specialist|A3|A</t>
        </is>
      </c>
    </row>
    <row r="255" ht="110" customHeight="1">
      <c r="A255" s="28" t="inlineStr">
        <is>
          <t>Corporate</t>
        </is>
      </c>
      <c r="B255" s="29" t="inlineStr">
        <is>
          <t>Marketing</t>
        </is>
      </c>
      <c r="C255" s="29" t="n">
        <v>4</v>
      </c>
      <c r="D255" s="29" t="inlineStr">
        <is>
          <t>IRIS2307</t>
        </is>
      </c>
      <c r="E255" s="29" t="inlineStr">
        <is>
          <t>Abhishek Sharma</t>
        </is>
      </c>
      <c r="F255" s="29" t="inlineStr">
        <is>
          <t>Senior Designer</t>
        </is>
      </c>
      <c r="G255" s="29" t="inlineStr">
        <is>
          <t>Senior Designer</t>
        </is>
      </c>
      <c r="H255" s="29" t="inlineStr">
        <is>
          <t>Design &amp; Creative</t>
        </is>
      </c>
      <c r="I255" s="29" t="inlineStr">
        <is>
          <t>Brand, Graphic &amp; Video Design</t>
        </is>
      </c>
      <c r="J255" s="29" t="inlineStr">
        <is>
          <t>IC</t>
        </is>
      </c>
      <c r="K255" s="29" t="inlineStr">
        <is>
          <t>RC-052</t>
        </is>
      </c>
      <c r="L255" s="29" t="inlineStr">
        <is>
          <t>Abhilash Menon</t>
        </is>
      </c>
      <c r="M255" s="29" t="inlineStr">
        <is>
          <t>IRIS2523</t>
        </is>
      </c>
      <c r="N255" s="29" t="n">
        <v>6</v>
      </c>
      <c r="O255" s="29" t="n">
        <v>2</v>
      </c>
      <c r="P255" s="29" t="inlineStr">
        <is>
          <t>HSC</t>
        </is>
      </c>
      <c r="Q255" s="29" t="inlineStr">
        <is>
          <t>L4 – Senior</t>
        </is>
      </c>
      <c r="R255" s="29" t="inlineStr">
        <is>
          <t>A3</t>
        </is>
      </c>
      <c r="S255" s="30" t="inlineStr">
        <is>
          <t>20 of 20</t>
        </is>
      </c>
      <c r="T255" s="31"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t>
        </is>
      </c>
      <c r="U255" s="31" t="inlineStr">
        <is>
          <t>Received · manager annual, quarterly, self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255" s="31" t="inlineStr">
        <is>
          <t>Latest rating: 3 · Potential: Medium · 9-box: Reliable Specialist · Readiness: Develop in role</t>
        </is>
      </c>
      <c r="W255" s="31" t="inlineStr">
        <is>
          <t>C M · Au M · Ac M · L L · BI M · Exp H · 6 yrs vs 2–4 yrs · Edu L · HSC</t>
        </is>
      </c>
      <c r="X255" s="33" t="inlineStr">
        <is>
          <t>Open ▸</t>
        </is>
      </c>
      <c r="Y255" s="34" t="str">
        <f>IFERROR(INDEX(DL_C,MATCH($CA255,DL_KEY,0)),"M")</f>
        <v>H</v>
      </c>
      <c r="Z255" s="35" t="str">
        <f>IFERROR(INDEX(DL_Au,MATCH($CA255,DL_KEY,0)),"M")</f>
        <v>M</v>
      </c>
      <c r="AA255" s="35" t="str">
        <f>IFERROR(INDEX(DL_Ac,MATCH($CA255,DL_KEY,0)),"M")</f>
        <v>L</v>
      </c>
      <c r="AB255" s="35" t="str">
        <f>IFERROR(INDEX(DL_L,MATCH($CA255,DL_KEY,0)),"M")</f>
        <v>L</v>
      </c>
      <c r="AC255" s="35" t="str">
        <f>IFERROR(INDEX(DL_BI,MATCH($CA255,DL_KEY,0)),"M")</f>
        <v>M</v>
      </c>
      <c r="AD255" s="35" t="str">
        <f>IFERROR(INDEX(DL_Exp,MATCH($CA255,DL_KEY,0)),"M")</f>
        <v>L</v>
      </c>
      <c r="AE255" s="35" t="str">
        <f>IFERROR(INDEX(DL_Edu,MATCH($CA255,DL_KEY,0)),"M")</f>
        <v>L</v>
      </c>
      <c r="AF255" s="34" t="inlineStr">
        <is>
          <t>M</t>
        </is>
      </c>
      <c r="AG255" s="35" t="inlineStr">
        <is>
          <t>M</t>
        </is>
      </c>
      <c r="AH255" s="35" t="inlineStr">
        <is>
          <t>M</t>
        </is>
      </c>
      <c r="AI255" s="35" t="inlineStr">
        <is>
          <t>M</t>
        </is>
      </c>
      <c r="AJ255" s="35" t="inlineStr">
        <is>
          <t>M</t>
        </is>
      </c>
      <c r="AK255" s="35" t="inlineStr">
        <is>
          <t>M</t>
        </is>
      </c>
      <c r="AL255" s="35" t="inlineStr">
        <is>
          <t>M</t>
        </is>
      </c>
      <c r="AM255" s="36" t="n">
        <v>0.583</v>
      </c>
      <c r="AN255" s="37" t="n">
        <v>0.16</v>
      </c>
      <c r="AO255" s="37" t="n">
        <v>0.09</v>
      </c>
      <c r="AP255" s="37" t="n">
        <v>0</v>
      </c>
      <c r="AQ255" s="37" t="n">
        <v>0.063</v>
      </c>
      <c r="AR255" s="37" t="n">
        <v>0.06</v>
      </c>
      <c r="AS255" s="37" t="n">
        <v>0.04</v>
      </c>
      <c r="AT255" s="38" t="inlineStr">
        <is>
          <t>2–5</t>
        </is>
      </c>
      <c r="AU255" s="38" t="inlineStr">
        <is>
          <t>Graduate; relevant certification preferred</t>
        </is>
      </c>
      <c r="AV255" s="38" t="inlineStr">
        <is>
          <t>None · guides 1–3 juniors informally</t>
        </is>
      </c>
      <c r="AW255" s="38" t="inlineStr">
        <is>
          <t>P2 · SFIA 3 Apply</t>
        </is>
      </c>
      <c r="AX2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5" s="39" t="inlineStr">
        <is>
          <t>A3</t>
        </is>
      </c>
      <c r="AZ255" s="40" t="inlineStr">
        <is>
          <t>Band A · Practitioner · Senior Associate</t>
        </is>
      </c>
      <c r="BA255" s="40" t="inlineStr">
        <is>
          <t>Model A3 from the six ratings, the market-derived weights and rules R1–R13 · then No change · already below the manager</t>
        </is>
      </c>
      <c r="BB255" s="41" t="inlineStr">
        <is>
          <t>A3</t>
        </is>
      </c>
      <c r="BC255" s="40" t="inlineStr">
        <is>
          <t>The six ratings on the market-average weights of Band A · all tracks score 3.13 → A3 · Hay, Mercer IPE and public plans · experience 6 yrs vs the A3 market range 2–5</t>
        </is>
      </c>
      <c r="BD255" s="42">
        <f>IF(SUM(BM255,BN255,BO255,BP255,BQ255,BR255,BS255)=0,0,(BM255*BT255+BN255*BU255+BO255*BV255+BP255*BW255+BQ255*BX255+BR255*BY255+BS255*BZ255)/SUM(BM255,BN255,BO255,BP255,BQ255,BR255,BS255))</f>
        <v>0</v>
      </c>
      <c r="BE255" s="41" t="str">
        <f>IF(LEFT(AY255,1)="X",AY255,IF(OR(AY255="B+",AY255="C+"),INDEX(LAD_PC,MAX(1,MIN(14,MATCH(AY255,LAD_PC,0)+IF(BD255&gt;=0.5,1,IF(BD255&lt;=-0.5,-1,0))))),INDEX(LAD_STD,MAX(1,MIN(12,MATCH(AY255,LAD_STD,0)+IF(BD255&gt;=0.5,1,IF(BD255&lt;=-0.5,-1,0)))))))</f>
        <v>A3</v>
      </c>
      <c r="BF255" s="43" t="n"/>
      <c r="BG255" s="41" t="str">
        <f>IF(BF255&lt;&gt;"",BF255,BE255)</f>
        <v>A3</v>
      </c>
      <c r="BH255" s="40" t="str">
        <f>IFERROR(CHOOSE(INDEX(B_RANK,MATCH(BG255,B_LVL,0)),"Band A","Band B","B+ · Player-Coach","Band C","C+ · Player-Coach","Band D","Band E"),"Band X · Consultant")</f>
        <v>Band A</v>
      </c>
      <c r="BI255" s="40" t="str">
        <f>IF(BG255=AY255,"• Same",IF(INDEX(B_VAL,MATCH(BG255,B_LVL,0))&gt;INDEX(B_VAL,MATCH(AY255,B_LVL,0)),"▲ Up","▼ Down"))</f>
        <v>• Same</v>
      </c>
      <c r="BJ255" s="40" t="str">
        <f>IF(OR($M255="",$M255="—",$M255="Not in this file"),"",IFERROR(INDEX($BG$7:$BG$592,MATCH($M255,$D$7:$D$592,0)),""))</f>
        <v>B1</v>
      </c>
      <c r="BK255" s="40" t="str">
        <f>IFERROR(IF(BJ255="","—",IF(OR(LEFT(BG255,1)="X",LEFT(BJ255,1)="X"),"—",IF(AND(LEFT(BG255,1)="E",LEFT(BJ255,1)="E"),"Exception · Band E",IF(AND(INDEX(B_VAL,MATCH(BJ255,B_LVL,0))&gt;=7,INDEX(B_RANK,MATCH(BG255,B_LVL,0))&gt;=INDEX(B_RANK,MATCH(BJ255,B_LVL,0))),"⚠ Same band as a head manager",IF(INDEX(B_VAL,MATCH(BG255,B_LVL,0))&gt;=INDEX(B_VAL,MATCH(BJ255,B_LVL,0)),"⚠ At or above the manager's level","OK"))))),"—")</f>
        <v>OK</v>
      </c>
      <c r="BL255" s="43" t="n"/>
      <c r="BM255" s="44">
        <f>IFERROR(INDEX(LMH_PTS,MATCH(Y255,LMH_KEY,0)),0)</f>
        <v>9</v>
      </c>
      <c r="BN255" s="38">
        <f>IFERROR(INDEX(LMH_PTS,MATCH(Z255,LMH_KEY,0)),0)</f>
        <v>3</v>
      </c>
      <c r="BO255" s="38">
        <f>IFERROR(INDEX(LMH_PTS,MATCH(AA255,LMH_KEY,0)),0)</f>
        <v>1</v>
      </c>
      <c r="BP255" s="38">
        <f>IFERROR(INDEX(LMH_PTS,MATCH(AB255,LMH_KEY,0)),0)</f>
        <v>1</v>
      </c>
      <c r="BQ255" s="38">
        <f>IFERROR(INDEX(LMH_PTS,MATCH(AC255,LMH_KEY,0)),0)</f>
        <v>3</v>
      </c>
      <c r="BR255" s="38">
        <f>IFERROR(INDEX(LMH_PTS,MATCH(AD255,LMH_KEY,0)),0)</f>
        <v>1</v>
      </c>
      <c r="BS255" s="38">
        <f>IFERROR(INDEX(LMH_PTS,MATCH(AE255,LMH_KEY,0)),0)</f>
        <v>1</v>
      </c>
      <c r="BT255" s="38">
        <f>IFERROR(INDEX(LMH_STEP,MATCH(AF255,LMH_KEY,0)),0)</f>
        <v>0</v>
      </c>
      <c r="BU255" s="38">
        <f>IFERROR(INDEX(LMH_STEP,MATCH(AG255,LMH_KEY,0)),0)</f>
        <v>0</v>
      </c>
      <c r="BV255" s="38">
        <f>IFERROR(INDEX(LMH_STEP,MATCH(AH255,LMH_KEY,0)),0)</f>
        <v>0</v>
      </c>
      <c r="BW255" s="38">
        <f>IFERROR(INDEX(LMH_STEP,MATCH(AI255,LMH_KEY,0)),0)</f>
        <v>0</v>
      </c>
      <c r="BX255" s="38">
        <f>IFERROR(INDEX(LMH_STEP,MATCH(AJ255,LMH_KEY,0)),0)</f>
        <v>0</v>
      </c>
      <c r="BY255" s="38">
        <f>IFERROR(INDEX(LMH_STEP,MATCH(AK255,LMH_KEY,0)),0)</f>
        <v>0</v>
      </c>
      <c r="BZ255" s="38">
        <f>IFERROR(INDEX(LMH_STEP,MATCH(AL255,LMH_KEY,0)),0)</f>
        <v>0</v>
      </c>
      <c r="CA255" s="38" t="inlineStr">
        <is>
          <t>Corporate|Marketing|Senior Designer|A3|A</t>
        </is>
      </c>
    </row>
    <row r="256" ht="110" customHeight="1">
      <c r="A256" s="28" t="inlineStr">
        <is>
          <t>Corporate</t>
        </is>
      </c>
      <c r="B256" s="29" t="inlineStr">
        <is>
          <t>Marketing</t>
        </is>
      </c>
      <c r="C256" s="29" t="n">
        <v>4</v>
      </c>
      <c r="D256" s="29" t="inlineStr">
        <is>
          <t>IRIS2190</t>
        </is>
      </c>
      <c r="E256" s="29" t="inlineStr">
        <is>
          <t>Esther Kanagaselvam D</t>
        </is>
      </c>
      <c r="F256" s="29" t="inlineStr">
        <is>
          <t>Executive Lead Generation and Database</t>
        </is>
      </c>
      <c r="G256" s="29" t="inlineStr">
        <is>
          <t>Senior Marketing Operations Associate</t>
        </is>
      </c>
      <c r="H256" s="29" t="inlineStr">
        <is>
          <t>Marketing &amp; Communications</t>
        </is>
      </c>
      <c r="I256" s="29" t="inlineStr">
        <is>
          <t>Marketing Operations &amp; Automation</t>
        </is>
      </c>
      <c r="J256" s="29" t="inlineStr">
        <is>
          <t>IC</t>
        </is>
      </c>
      <c r="K256" s="29" t="inlineStr">
        <is>
          <t>RC-122</t>
        </is>
      </c>
      <c r="L256" s="29" t="inlineStr">
        <is>
          <t>Abhilash Menon</t>
        </is>
      </c>
      <c r="M256" s="29" t="inlineStr">
        <is>
          <t>IRIS2523</t>
        </is>
      </c>
      <c r="N256" s="29" t="n">
        <v>5.5</v>
      </c>
      <c r="O256" s="29" t="n">
        <v>3</v>
      </c>
      <c r="P256" s="29" t="inlineStr">
        <is>
          <t>B.E</t>
        </is>
      </c>
      <c r="Q256" s="29" t="inlineStr">
        <is>
          <t>L5 – Lead · IC</t>
        </is>
      </c>
      <c r="R256" s="29" t="inlineStr">
        <is>
          <t>A3</t>
        </is>
      </c>
      <c r="S256" s="30" t="inlineStr">
        <is>
          <t>20 of 20</t>
        </is>
      </c>
      <c r="T256" s="31"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t>
        </is>
      </c>
      <c r="U256" s="31" t="inlineStr">
        <is>
          <t>Received · manager annual, quarterly, self · 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t>
        </is>
      </c>
      <c r="V256" s="31" t="inlineStr">
        <is>
          <t>Latest rating: 2 · Potential: Low · 9-box: Performance Risk · Readiness: Performance first</t>
        </is>
      </c>
      <c r="W256" s="31" t="inlineStr">
        <is>
          <t>C M · Au M · Ac M · L L · BI M · Exp H · 5.5 yrs vs 2–4 yrs · Edu M · B.E</t>
        </is>
      </c>
      <c r="X256" s="33" t="inlineStr">
        <is>
          <t>Open ▸</t>
        </is>
      </c>
      <c r="Y256" s="34" t="str">
        <f>IFERROR(INDEX(DL_C,MATCH($CA256,DL_KEY,0)),"M")</f>
        <v>H</v>
      </c>
      <c r="Z256" s="35" t="str">
        <f>IFERROR(INDEX(DL_Au,MATCH($CA256,DL_KEY,0)),"M")</f>
        <v>M</v>
      </c>
      <c r="AA256" s="35" t="str">
        <f>IFERROR(INDEX(DL_Ac,MATCH($CA256,DL_KEY,0)),"M")</f>
        <v>L</v>
      </c>
      <c r="AB256" s="35" t="str">
        <f>IFERROR(INDEX(DL_L,MATCH($CA256,DL_KEY,0)),"M")</f>
        <v>L</v>
      </c>
      <c r="AC256" s="35" t="str">
        <f>IFERROR(INDEX(DL_BI,MATCH($CA256,DL_KEY,0)),"M")</f>
        <v>M</v>
      </c>
      <c r="AD256" s="35" t="str">
        <f>IFERROR(INDEX(DL_Exp,MATCH($CA256,DL_KEY,0)),"M")</f>
        <v>L</v>
      </c>
      <c r="AE256" s="35" t="str">
        <f>IFERROR(INDEX(DL_Edu,MATCH($CA256,DL_KEY,0)),"M")</f>
        <v>L</v>
      </c>
      <c r="AF256" s="34" t="inlineStr">
        <is>
          <t>M</t>
        </is>
      </c>
      <c r="AG256" s="35" t="inlineStr">
        <is>
          <t>M</t>
        </is>
      </c>
      <c r="AH256" s="35" t="inlineStr">
        <is>
          <t>M</t>
        </is>
      </c>
      <c r="AI256" s="35" t="inlineStr">
        <is>
          <t>M</t>
        </is>
      </c>
      <c r="AJ256" s="35" t="inlineStr">
        <is>
          <t>M</t>
        </is>
      </c>
      <c r="AK256" s="35" t="inlineStr">
        <is>
          <t>M</t>
        </is>
      </c>
      <c r="AL256" s="35" t="inlineStr">
        <is>
          <t>M</t>
        </is>
      </c>
      <c r="AM256" s="36" t="n">
        <v>0.583</v>
      </c>
      <c r="AN256" s="37" t="n">
        <v>0.16</v>
      </c>
      <c r="AO256" s="37" t="n">
        <v>0.09</v>
      </c>
      <c r="AP256" s="37" t="n">
        <v>0</v>
      </c>
      <c r="AQ256" s="37" t="n">
        <v>0.063</v>
      </c>
      <c r="AR256" s="37" t="n">
        <v>0.06</v>
      </c>
      <c r="AS256" s="37" t="n">
        <v>0.04</v>
      </c>
      <c r="AT256" s="38" t="inlineStr">
        <is>
          <t>2–5</t>
        </is>
      </c>
      <c r="AU256" s="38" t="inlineStr">
        <is>
          <t>Graduate; relevant certification preferred</t>
        </is>
      </c>
      <c r="AV256" s="38" t="inlineStr">
        <is>
          <t>None · guides 1–3 juniors informally</t>
        </is>
      </c>
      <c r="AW256" s="38" t="inlineStr">
        <is>
          <t>P2 · SFIA 3 Apply</t>
        </is>
      </c>
      <c r="AX2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6" s="39" t="inlineStr">
        <is>
          <t>A3</t>
        </is>
      </c>
      <c r="AZ256" s="40" t="inlineStr">
        <is>
          <t>Band A · Practitioner · Senior Associate</t>
        </is>
      </c>
      <c r="BA256" s="40" t="inlineStr">
        <is>
          <t>Model A3 from the six ratings, the market-derived weights and rules R1–R13 · then No change · already below the manager</t>
        </is>
      </c>
      <c r="BB256" s="41" t="inlineStr">
        <is>
          <t>A3</t>
        </is>
      </c>
      <c r="BC256" s="40" t="inlineStr">
        <is>
          <t>The six ratings on the market-average weights of Band A · all tracks score 2.65 → A3 · Hay, Mercer IPE and public plans · experience 5.5 yrs vs the A3 market range 2–5</t>
        </is>
      </c>
      <c r="BD256" s="42">
        <f>IF(SUM(BM256,BN256,BO256,BP256,BQ256,BR256,BS256)=0,0,(BM256*BT256+BN256*BU256+BO256*BV256+BP256*BW256+BQ256*BX256+BR256*BY256+BS256*BZ256)/SUM(BM256,BN256,BO256,BP256,BQ256,BR256,BS256))</f>
        <v>0</v>
      </c>
      <c r="BE256" s="41" t="str">
        <f>IF(LEFT(AY256,1)="X",AY256,IF(OR(AY256="B+",AY256="C+"),INDEX(LAD_PC,MAX(1,MIN(14,MATCH(AY256,LAD_PC,0)+IF(BD256&gt;=0.5,1,IF(BD256&lt;=-0.5,-1,0))))),INDEX(LAD_STD,MAX(1,MIN(12,MATCH(AY256,LAD_STD,0)+IF(BD256&gt;=0.5,1,IF(BD256&lt;=-0.5,-1,0)))))))</f>
        <v>A3</v>
      </c>
      <c r="BF256" s="43" t="n"/>
      <c r="BG256" s="41" t="str">
        <f>IF(BF256&lt;&gt;"",BF256,BE256)</f>
        <v>A3</v>
      </c>
      <c r="BH256" s="40" t="str">
        <f>IFERROR(CHOOSE(INDEX(B_RANK,MATCH(BG256,B_LVL,0)),"Band A","Band B","B+ · Player-Coach","Band C","C+ · Player-Coach","Band D","Band E"),"Band X · Consultant")</f>
        <v>Band A</v>
      </c>
      <c r="BI256" s="40" t="str">
        <f>IF(BG256=AY256,"• Same",IF(INDEX(B_VAL,MATCH(BG256,B_LVL,0))&gt;INDEX(B_VAL,MATCH(AY256,B_LVL,0)),"▲ Up","▼ Down"))</f>
        <v>• Same</v>
      </c>
      <c r="BJ256" s="40" t="str">
        <f>IF(OR($M256="",$M256="—",$M256="Not in this file"),"",IFERROR(INDEX($BG$7:$BG$592,MATCH($M256,$D$7:$D$592,0)),""))</f>
        <v>B1</v>
      </c>
      <c r="BK256" s="40" t="str">
        <f>IFERROR(IF(BJ256="","—",IF(OR(LEFT(BG256,1)="X",LEFT(BJ256,1)="X"),"—",IF(AND(LEFT(BG256,1)="E",LEFT(BJ256,1)="E"),"Exception · Band E",IF(AND(INDEX(B_VAL,MATCH(BJ256,B_LVL,0))&gt;=7,INDEX(B_RANK,MATCH(BG256,B_LVL,0))&gt;=INDEX(B_RANK,MATCH(BJ256,B_LVL,0))),"⚠ Same band as a head manager",IF(INDEX(B_VAL,MATCH(BG256,B_LVL,0))&gt;=INDEX(B_VAL,MATCH(BJ256,B_LVL,0)),"⚠ At or above the manager's level","OK"))))),"—")</f>
        <v>OK</v>
      </c>
      <c r="BL256" s="43" t="n"/>
      <c r="BM256" s="44">
        <f>IFERROR(INDEX(LMH_PTS,MATCH(Y256,LMH_KEY,0)),0)</f>
        <v>9</v>
      </c>
      <c r="BN256" s="38">
        <f>IFERROR(INDEX(LMH_PTS,MATCH(Z256,LMH_KEY,0)),0)</f>
        <v>3</v>
      </c>
      <c r="BO256" s="38">
        <f>IFERROR(INDEX(LMH_PTS,MATCH(AA256,LMH_KEY,0)),0)</f>
        <v>1</v>
      </c>
      <c r="BP256" s="38">
        <f>IFERROR(INDEX(LMH_PTS,MATCH(AB256,LMH_KEY,0)),0)</f>
        <v>1</v>
      </c>
      <c r="BQ256" s="38">
        <f>IFERROR(INDEX(LMH_PTS,MATCH(AC256,LMH_KEY,0)),0)</f>
        <v>3</v>
      </c>
      <c r="BR256" s="38">
        <f>IFERROR(INDEX(LMH_PTS,MATCH(AD256,LMH_KEY,0)),0)</f>
        <v>1</v>
      </c>
      <c r="BS256" s="38">
        <f>IFERROR(INDEX(LMH_PTS,MATCH(AE256,LMH_KEY,0)),0)</f>
        <v>1</v>
      </c>
      <c r="BT256" s="38">
        <f>IFERROR(INDEX(LMH_STEP,MATCH(AF256,LMH_KEY,0)),0)</f>
        <v>0</v>
      </c>
      <c r="BU256" s="38">
        <f>IFERROR(INDEX(LMH_STEP,MATCH(AG256,LMH_KEY,0)),0)</f>
        <v>0</v>
      </c>
      <c r="BV256" s="38">
        <f>IFERROR(INDEX(LMH_STEP,MATCH(AH256,LMH_KEY,0)),0)</f>
        <v>0</v>
      </c>
      <c r="BW256" s="38">
        <f>IFERROR(INDEX(LMH_STEP,MATCH(AI256,LMH_KEY,0)),0)</f>
        <v>0</v>
      </c>
      <c r="BX256" s="38">
        <f>IFERROR(INDEX(LMH_STEP,MATCH(AJ256,LMH_KEY,0)),0)</f>
        <v>0</v>
      </c>
      <c r="BY256" s="38">
        <f>IFERROR(INDEX(LMH_STEP,MATCH(AK256,LMH_KEY,0)),0)</f>
        <v>0</v>
      </c>
      <c r="BZ256" s="38">
        <f>IFERROR(INDEX(LMH_STEP,MATCH(AL256,LMH_KEY,0)),0)</f>
        <v>0</v>
      </c>
      <c r="CA256" s="38" t="inlineStr">
        <is>
          <t>Corporate|Marketing|Senior Marketing Operations Associate|A3|A</t>
        </is>
      </c>
    </row>
    <row r="257" ht="110" customHeight="1">
      <c r="A257" s="28" t="inlineStr">
        <is>
          <t>iFile</t>
        </is>
      </c>
      <c r="B257" s="29" t="inlineStr">
        <is>
          <t>Marketing</t>
        </is>
      </c>
      <c r="C257" s="29" t="n">
        <v>4</v>
      </c>
      <c r="D257" s="29" t="inlineStr">
        <is>
          <t>IRIS2550</t>
        </is>
      </c>
      <c r="E257" s="29" t="inlineStr">
        <is>
          <t>Shashwat Dikshit</t>
        </is>
      </c>
      <c r="F257" s="29" t="inlineStr">
        <is>
          <t>Marketing Operations Specialist</t>
        </is>
      </c>
      <c r="G257" s="29" t="inlineStr">
        <is>
          <t>Senior Marketing Operations Associate</t>
        </is>
      </c>
      <c r="H257" s="29" t="inlineStr">
        <is>
          <t>Marketing &amp; Communications</t>
        </is>
      </c>
      <c r="I257" s="29" t="inlineStr">
        <is>
          <t>Marketing Operations &amp; Automation</t>
        </is>
      </c>
      <c r="J257" s="29" t="inlineStr">
        <is>
          <t>IC</t>
        </is>
      </c>
      <c r="K257" s="29" t="inlineStr">
        <is>
          <t>RC-122</t>
        </is>
      </c>
      <c r="L257" s="29" t="inlineStr">
        <is>
          <t>Abhilash Menon</t>
        </is>
      </c>
      <c r="M257" s="29" t="inlineStr">
        <is>
          <t>IRIS2523</t>
        </is>
      </c>
      <c r="N257" s="29" t="n">
        <v>4.7</v>
      </c>
      <c r="O257" s="29" t="n">
        <v>0.1</v>
      </c>
      <c r="P257" s="29" t="inlineStr">
        <is>
          <t>Masters of Science</t>
        </is>
      </c>
      <c r="Q257" s="29" t="inlineStr">
        <is>
          <t>Not in current mapping files</t>
        </is>
      </c>
      <c r="R257" s="29" t="inlineStr">
        <is>
          <t>A3</t>
        </is>
      </c>
      <c r="S257" s="30" t="inlineStr">
        <is>
          <t>19 of 20</t>
        </is>
      </c>
      <c r="T257" s="31"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t>
        </is>
      </c>
      <c r="U257" s="32" t="inlineStr">
        <is>
          <t>KRAs not received · manager to supply</t>
        </is>
      </c>
      <c r="V257" s="31" t="inlineStr">
        <is>
          <t>Latest rating: Not rated · manager · 9-box: Not placed · manager · Readiness: No rating data</t>
        </is>
      </c>
      <c r="W257" s="31" t="inlineStr">
        <is>
          <t>C M · Au M · Ac M · L L · BI M · Exp H · 4.7 yrs vs 2–4 yrs · Edu H · Masters of Science</t>
        </is>
      </c>
      <c r="X257" s="33" t="inlineStr">
        <is>
          <t>Open ▸</t>
        </is>
      </c>
      <c r="Y257" s="34" t="str">
        <f>IFERROR(INDEX(DL_C,MATCH($CA257,DL_KEY,0)),"M")</f>
        <v>H</v>
      </c>
      <c r="Z257" s="35" t="str">
        <f>IFERROR(INDEX(DL_Au,MATCH($CA257,DL_KEY,0)),"M")</f>
        <v>M</v>
      </c>
      <c r="AA257" s="35" t="str">
        <f>IFERROR(INDEX(DL_Ac,MATCH($CA257,DL_KEY,0)),"M")</f>
        <v>L</v>
      </c>
      <c r="AB257" s="35" t="str">
        <f>IFERROR(INDEX(DL_L,MATCH($CA257,DL_KEY,0)),"M")</f>
        <v>L</v>
      </c>
      <c r="AC257" s="35" t="str">
        <f>IFERROR(INDEX(DL_BI,MATCH($CA257,DL_KEY,0)),"M")</f>
        <v>M</v>
      </c>
      <c r="AD257" s="35" t="str">
        <f>IFERROR(INDEX(DL_Exp,MATCH($CA257,DL_KEY,0)),"M")</f>
        <v>L</v>
      </c>
      <c r="AE257" s="35" t="str">
        <f>IFERROR(INDEX(DL_Edu,MATCH($CA257,DL_KEY,0)),"M")</f>
        <v>L</v>
      </c>
      <c r="AF257" s="34" t="inlineStr">
        <is>
          <t>M</t>
        </is>
      </c>
      <c r="AG257" s="35" t="inlineStr">
        <is>
          <t>M</t>
        </is>
      </c>
      <c r="AH257" s="35" t="inlineStr">
        <is>
          <t>M</t>
        </is>
      </c>
      <c r="AI257" s="35" t="inlineStr">
        <is>
          <t>M</t>
        </is>
      </c>
      <c r="AJ257" s="35" t="inlineStr">
        <is>
          <t>M</t>
        </is>
      </c>
      <c r="AK257" s="35" t="inlineStr">
        <is>
          <t>M</t>
        </is>
      </c>
      <c r="AL257" s="35" t="inlineStr">
        <is>
          <t>M</t>
        </is>
      </c>
      <c r="AM257" s="36" t="n">
        <v>0.583</v>
      </c>
      <c r="AN257" s="37" t="n">
        <v>0.16</v>
      </c>
      <c r="AO257" s="37" t="n">
        <v>0.09</v>
      </c>
      <c r="AP257" s="37" t="n">
        <v>0</v>
      </c>
      <c r="AQ257" s="37" t="n">
        <v>0.063</v>
      </c>
      <c r="AR257" s="37" t="n">
        <v>0.06</v>
      </c>
      <c r="AS257" s="37" t="n">
        <v>0.04</v>
      </c>
      <c r="AT257" s="38" t="inlineStr">
        <is>
          <t>2–5</t>
        </is>
      </c>
      <c r="AU257" s="38" t="inlineStr">
        <is>
          <t>Graduate; relevant certification preferred</t>
        </is>
      </c>
      <c r="AV257" s="38" t="inlineStr">
        <is>
          <t>None · guides 1–3 juniors informally</t>
        </is>
      </c>
      <c r="AW257" s="38" t="inlineStr">
        <is>
          <t>P2 · SFIA 3 Apply</t>
        </is>
      </c>
      <c r="AX2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7" s="39" t="inlineStr">
        <is>
          <t>A3</t>
        </is>
      </c>
      <c r="AZ257" s="40" t="inlineStr">
        <is>
          <t>Band A · Practitioner · Senior Associate</t>
        </is>
      </c>
      <c r="BA257" s="40" t="inlineStr">
        <is>
          <t>Model A3 from the six ratings, the market-derived weights and rules R1–R13 · then No change · already below the manager</t>
        </is>
      </c>
      <c r="BB257" s="41" t="inlineStr">
        <is>
          <t>B1</t>
        </is>
      </c>
      <c r="BC257" s="40" t="inlineStr">
        <is>
          <t>The six ratings on the market-average weights of Band A · all tracks score 3.55 → B1 · Hay, Mercer IPE and public plans · experience 4.7 yrs vs the B1 market range 4–8</t>
        </is>
      </c>
      <c r="BD257" s="42">
        <f>IF(SUM(BM257,BN257,BO257,BP257,BQ257,BR257,BS257)=0,0,(BM257*BT257+BN257*BU257+BO257*BV257+BP257*BW257+BQ257*BX257+BR257*BY257+BS257*BZ257)/SUM(BM257,BN257,BO257,BP257,BQ257,BR257,BS257))</f>
        <v>0</v>
      </c>
      <c r="BE257" s="41" t="str">
        <f>IF(LEFT(AY257,1)="X",AY257,IF(OR(AY257="B+",AY257="C+"),INDEX(LAD_PC,MAX(1,MIN(14,MATCH(AY257,LAD_PC,0)+IF(BD257&gt;=0.5,1,IF(BD257&lt;=-0.5,-1,0))))),INDEX(LAD_STD,MAX(1,MIN(12,MATCH(AY257,LAD_STD,0)+IF(BD257&gt;=0.5,1,IF(BD257&lt;=-0.5,-1,0)))))))</f>
        <v>A3</v>
      </c>
      <c r="BF257" s="43" t="n"/>
      <c r="BG257" s="41" t="str">
        <f>IF(BF257&lt;&gt;"",BF257,BE257)</f>
        <v>A3</v>
      </c>
      <c r="BH257" s="40" t="str">
        <f>IFERROR(CHOOSE(INDEX(B_RANK,MATCH(BG257,B_LVL,0)),"Band A","Band B","B+ · Player-Coach","Band C","C+ · Player-Coach","Band D","Band E"),"Band X · Consultant")</f>
        <v>Band A</v>
      </c>
      <c r="BI257" s="40" t="str">
        <f>IF(BG257=AY257,"• Same",IF(INDEX(B_VAL,MATCH(BG257,B_LVL,0))&gt;INDEX(B_VAL,MATCH(AY257,B_LVL,0)),"▲ Up","▼ Down"))</f>
        <v>• Same</v>
      </c>
      <c r="BJ257" s="40" t="str">
        <f>IF(OR($M257="",$M257="—",$M257="Not in this file"),"",IFERROR(INDEX($BG$7:$BG$592,MATCH($M257,$D$7:$D$592,0)),""))</f>
        <v>B1</v>
      </c>
      <c r="BK257" s="40" t="str">
        <f>IFERROR(IF(BJ257="","—",IF(OR(LEFT(BG257,1)="X",LEFT(BJ257,1)="X"),"—",IF(AND(LEFT(BG257,1)="E",LEFT(BJ257,1)="E"),"Exception · Band E",IF(AND(INDEX(B_VAL,MATCH(BJ257,B_LVL,0))&gt;=7,INDEX(B_RANK,MATCH(BG257,B_LVL,0))&gt;=INDEX(B_RANK,MATCH(BJ257,B_LVL,0))),"⚠ Same band as a head manager",IF(INDEX(B_VAL,MATCH(BG257,B_LVL,0))&gt;=INDEX(B_VAL,MATCH(BJ257,B_LVL,0)),"⚠ At or above the manager's level","OK"))))),"—")</f>
        <v>OK</v>
      </c>
      <c r="BL257" s="43" t="n"/>
      <c r="BM257" s="44">
        <f>IFERROR(INDEX(LMH_PTS,MATCH(Y257,LMH_KEY,0)),0)</f>
        <v>9</v>
      </c>
      <c r="BN257" s="38">
        <f>IFERROR(INDEX(LMH_PTS,MATCH(Z257,LMH_KEY,0)),0)</f>
        <v>3</v>
      </c>
      <c r="BO257" s="38">
        <f>IFERROR(INDEX(LMH_PTS,MATCH(AA257,LMH_KEY,0)),0)</f>
        <v>1</v>
      </c>
      <c r="BP257" s="38">
        <f>IFERROR(INDEX(LMH_PTS,MATCH(AB257,LMH_KEY,0)),0)</f>
        <v>1</v>
      </c>
      <c r="BQ257" s="38">
        <f>IFERROR(INDEX(LMH_PTS,MATCH(AC257,LMH_KEY,0)),0)</f>
        <v>3</v>
      </c>
      <c r="BR257" s="38">
        <f>IFERROR(INDEX(LMH_PTS,MATCH(AD257,LMH_KEY,0)),0)</f>
        <v>1</v>
      </c>
      <c r="BS257" s="38">
        <f>IFERROR(INDEX(LMH_PTS,MATCH(AE257,LMH_KEY,0)),0)</f>
        <v>1</v>
      </c>
      <c r="BT257" s="38">
        <f>IFERROR(INDEX(LMH_STEP,MATCH(AF257,LMH_KEY,0)),0)</f>
        <v>0</v>
      </c>
      <c r="BU257" s="38">
        <f>IFERROR(INDEX(LMH_STEP,MATCH(AG257,LMH_KEY,0)),0)</f>
        <v>0</v>
      </c>
      <c r="BV257" s="38">
        <f>IFERROR(INDEX(LMH_STEP,MATCH(AH257,LMH_KEY,0)),0)</f>
        <v>0</v>
      </c>
      <c r="BW257" s="38">
        <f>IFERROR(INDEX(LMH_STEP,MATCH(AI257,LMH_KEY,0)),0)</f>
        <v>0</v>
      </c>
      <c r="BX257" s="38">
        <f>IFERROR(INDEX(LMH_STEP,MATCH(AJ257,LMH_KEY,0)),0)</f>
        <v>0</v>
      </c>
      <c r="BY257" s="38">
        <f>IFERROR(INDEX(LMH_STEP,MATCH(AK257,LMH_KEY,0)),0)</f>
        <v>0</v>
      </c>
      <c r="BZ257" s="38">
        <f>IFERROR(INDEX(LMH_STEP,MATCH(AL257,LMH_KEY,0)),0)</f>
        <v>0</v>
      </c>
      <c r="CA257" s="38" t="inlineStr">
        <is>
          <t>iFile|Marketing|Senior Marketing Operations Associate|A3|A</t>
        </is>
      </c>
    </row>
    <row r="258" ht="110" customHeight="1">
      <c r="A258" s="28" t="inlineStr">
        <is>
          <t>iFile</t>
        </is>
      </c>
      <c r="B258" s="29" t="inlineStr">
        <is>
          <t>Sales</t>
        </is>
      </c>
      <c r="C258" s="29" t="n">
        <v>3</v>
      </c>
      <c r="D258" s="29" t="inlineStr">
        <is>
          <t>IRISC312</t>
        </is>
      </c>
      <c r="E258" s="29" t="inlineStr">
        <is>
          <t>Rajesh Nair</t>
        </is>
      </c>
      <c r="F258" s="29" t="inlineStr">
        <is>
          <t>Consultant</t>
        </is>
      </c>
      <c r="G258" s="29" t="inlineStr">
        <is>
          <t>Consultant – Enterprise Sales &amp; Account Management</t>
        </is>
      </c>
      <c r="H258" s="29" t="inlineStr">
        <is>
          <t>Sales &amp; Business Development</t>
        </is>
      </c>
      <c r="I258" s="29" t="inlineStr">
        <is>
          <t>Enterprise Sales &amp; Account Management</t>
        </is>
      </c>
      <c r="J258" s="29" t="inlineStr">
        <is>
          <t>Consultant</t>
        </is>
      </c>
      <c r="K258" s="29" t="inlineStr">
        <is>
          <t>RC-153</t>
        </is>
      </c>
      <c r="L258" s="29" t="inlineStr">
        <is>
          <t>Arup Ganguly</t>
        </is>
      </c>
      <c r="M258" s="29" t="inlineStr">
        <is>
          <t>IRIS0242</t>
        </is>
      </c>
      <c r="N258" s="29" t="n">
        <v>15.3</v>
      </c>
      <c r="O258" s="29" t="n">
        <v>1.3</v>
      </c>
      <c r="P258" s="29" t="inlineStr">
        <is>
          <t>MBA</t>
        </is>
      </c>
      <c r="Q258" s="29" t="inlineStr">
        <is>
          <t>L3 – Professional / Associate</t>
        </is>
      </c>
      <c r="R258" s="29" t="inlineStr">
        <is>
          <t>X2</t>
        </is>
      </c>
      <c r="S258" s="30" t="inlineStr">
        <is>
          <t>20 of 20</t>
        </is>
      </c>
      <c r="T258" s="32" t="inlineStr">
        <is>
          <t>Full survey answers not in the files received · How We Grow export needed · HR</t>
        </is>
      </c>
      <c r="U258" s="31" t="inlineStr">
        <is>
          <t>Received · manager annual, quarterly, self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258" s="31" t="inlineStr">
        <is>
          <t>Latest rating: 3 · Potential: Medium · 9-box: Core Contributor · Readiness: n/a · consultant</t>
        </is>
      </c>
      <c r="W258" s="31" t="inlineStr">
        <is>
          <t>Consultant · outside the ladder</t>
        </is>
      </c>
      <c r="X258" s="33" t="inlineStr">
        <is>
          <t>Open ▸</t>
        </is>
      </c>
      <c r="Y258" s="34" t="n"/>
      <c r="Z258" s="35" t="n"/>
      <c r="AA258" s="35" t="n"/>
      <c r="AB258" s="35" t="n"/>
      <c r="AC258" s="35" t="n"/>
      <c r="AD258" s="35" t="n"/>
      <c r="AE258" s="35" t="n"/>
      <c r="AF258" s="34" t="n"/>
      <c r="AG258" s="35" t="n"/>
      <c r="AH258" s="35" t="n"/>
      <c r="AI258" s="35" t="n"/>
      <c r="AJ258" s="35" t="n"/>
      <c r="AK258" s="35" t="n"/>
      <c r="AL258" s="35" t="n"/>
      <c r="AM258" s="36" t="n"/>
      <c r="AN258" s="37" t="n"/>
      <c r="AO258" s="37" t="n"/>
      <c r="AP258" s="37" t="n"/>
      <c r="AQ258" s="37" t="n"/>
      <c r="AR258" s="37" t="n"/>
      <c r="AS258" s="37" t="n"/>
      <c r="AT258" s="38" t="n"/>
      <c r="AU258" s="38" t="n"/>
      <c r="AV258" s="38" t="n"/>
      <c r="AW258" s="38" t="inlineStr">
        <is>
          <t>—</t>
        </is>
      </c>
      <c r="AX2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8" s="39" t="inlineStr">
        <is>
          <t>X2</t>
        </is>
      </c>
      <c r="AZ258" s="40" t="inlineStr">
        <is>
          <t xml:space="preserve">Band X · Consultant · </t>
        </is>
      </c>
      <c r="BA258" s="40" t="inlineStr">
        <is>
          <t>Model X2 from the six ratings, the market-derived weights and rules R1–R13 · then Consultant · outside the ladder</t>
        </is>
      </c>
      <c r="BB258" s="41" t="n"/>
      <c r="BC258" s="40" t="inlineStr">
        <is>
          <t>Consultant · outside the ladder</t>
        </is>
      </c>
      <c r="BD258" s="42">
        <f>IF(SUM(BM258,BN258,BO258,BP258,BQ258,BR258,BS258)=0,0,(BM258*BT258+BN258*BU258+BO258*BV258+BP258*BW258+BQ258*BX258+BR258*BY258+BS258*BZ258)/SUM(BM258,BN258,BO258,BP258,BQ258,BR258,BS258))</f>
        <v>0</v>
      </c>
      <c r="BE258" s="41" t="str">
        <f>IF(LEFT(AY258,1)="X",AY258,IF(OR(AY258="B+",AY258="C+"),INDEX(LAD_PC,MAX(1,MIN(14,MATCH(AY258,LAD_PC,0)+IF(BD258&gt;=0.5,1,IF(BD258&lt;=-0.5,-1,0))))),INDEX(LAD_STD,MAX(1,MIN(12,MATCH(AY258,LAD_STD,0)+IF(BD258&gt;=0.5,1,IF(BD258&lt;=-0.5,-1,0)))))))</f>
        <v>X2</v>
      </c>
      <c r="BF258" s="43" t="n"/>
      <c r="BG258" s="41" t="str">
        <f>IF(BF258&lt;&gt;"",BF258,BE258)</f>
        <v>X2</v>
      </c>
      <c r="BH258" s="40" t="str">
        <f>IFERROR(CHOOSE(INDEX(B_RANK,MATCH(BG258,B_LVL,0)),"Band A","Band B","B+ · Player-Coach","Band C","C+ · Player-Coach","Band D","Band E"),"Band X · Consultant")</f>
        <v>Band X · Consultant</v>
      </c>
      <c r="BI258" s="40" t="str">
        <f>IF(BG258=AY258,"• Same",IF(INDEX(B_VAL,MATCH(BG258,B_LVL,0))&gt;INDEX(B_VAL,MATCH(AY258,B_LVL,0)),"▲ Up","▼ Down"))</f>
        <v>• Same</v>
      </c>
      <c r="BJ258" s="40" t="str">
        <f>IF(OR($M258="",$M258="—",$M258="Not in this file"),"",IFERROR(INDEX($BG$7:$BG$592,MATCH($M258,$D$7:$D$592,0)),""))</f>
        <v>C2</v>
      </c>
      <c r="BK258" s="40" t="str">
        <f>IFERROR(IF(BJ258="","—",IF(OR(LEFT(BG258,1)="X",LEFT(BJ258,1)="X"),"—",IF(AND(LEFT(BG258,1)="E",LEFT(BJ258,1)="E"),"Exception · Band E",IF(AND(INDEX(B_VAL,MATCH(BJ258,B_LVL,0))&gt;=7,INDEX(B_RANK,MATCH(BG258,B_LVL,0))&gt;=INDEX(B_RANK,MATCH(BJ258,B_LVL,0))),"⚠ Same band as a head manager",IF(INDEX(B_VAL,MATCH(BG258,B_LVL,0))&gt;=INDEX(B_VAL,MATCH(BJ258,B_LVL,0)),"⚠ At or above the manager's level","OK"))))),"—")</f>
        <v>—</v>
      </c>
      <c r="BL258" s="43" t="n"/>
      <c r="BM258" s="44">
        <f>IFERROR(INDEX(LMH_PTS,MATCH(Y258,LMH_KEY,0)),0)</f>
        <v>0</v>
      </c>
      <c r="BN258" s="38">
        <f>IFERROR(INDEX(LMH_PTS,MATCH(Z258,LMH_KEY,0)),0)</f>
        <v>0</v>
      </c>
      <c r="BO258" s="38">
        <f>IFERROR(INDEX(LMH_PTS,MATCH(AA258,LMH_KEY,0)),0)</f>
        <v>0</v>
      </c>
      <c r="BP258" s="38">
        <f>IFERROR(INDEX(LMH_PTS,MATCH(AB258,LMH_KEY,0)),0)</f>
        <v>0</v>
      </c>
      <c r="BQ258" s="38">
        <f>IFERROR(INDEX(LMH_PTS,MATCH(AC258,LMH_KEY,0)),0)</f>
        <v>0</v>
      </c>
      <c r="BR258" s="38">
        <f>IFERROR(INDEX(LMH_PTS,MATCH(AD258,LMH_KEY,0)),0)</f>
        <v>0</v>
      </c>
      <c r="BS258" s="38">
        <f>IFERROR(INDEX(LMH_PTS,MATCH(AE258,LMH_KEY,0)),0)</f>
        <v>0</v>
      </c>
      <c r="BT258" s="38">
        <f>IFERROR(INDEX(LMH_STEP,MATCH(AF258,LMH_KEY,0)),0)</f>
        <v>0</v>
      </c>
      <c r="BU258" s="38">
        <f>IFERROR(INDEX(LMH_STEP,MATCH(AG258,LMH_KEY,0)),0)</f>
        <v>0</v>
      </c>
      <c r="BV258" s="38">
        <f>IFERROR(INDEX(LMH_STEP,MATCH(AH258,LMH_KEY,0)),0)</f>
        <v>0</v>
      </c>
      <c r="BW258" s="38">
        <f>IFERROR(INDEX(LMH_STEP,MATCH(AI258,LMH_KEY,0)),0)</f>
        <v>0</v>
      </c>
      <c r="BX258" s="38">
        <f>IFERROR(INDEX(LMH_STEP,MATCH(AJ258,LMH_KEY,0)),0)</f>
        <v>0</v>
      </c>
      <c r="BY258" s="38">
        <f>IFERROR(INDEX(LMH_STEP,MATCH(AK258,LMH_KEY,0)),0)</f>
        <v>0</v>
      </c>
      <c r="BZ258" s="38">
        <f>IFERROR(INDEX(LMH_STEP,MATCH(AL258,LMH_KEY,0)),0)</f>
        <v>0</v>
      </c>
      <c r="CA258" s="38" t="inlineStr">
        <is>
          <t>iFile|Sales|Consultant – Enterprise Sales &amp; Account Management|X2|X</t>
        </is>
      </c>
    </row>
    <row r="259" ht="110" customHeight="1">
      <c r="A259" s="28" t="inlineStr">
        <is>
          <t>iFile</t>
        </is>
      </c>
      <c r="B259" s="29" t="inlineStr">
        <is>
          <t>Technology</t>
        </is>
      </c>
      <c r="C259" s="29" t="n">
        <v>2</v>
      </c>
      <c r="D259" s="29" t="inlineStr">
        <is>
          <t>IRISC223</t>
        </is>
      </c>
      <c r="E259" s="29" t="inlineStr">
        <is>
          <t>Pradip Dey</t>
        </is>
      </c>
      <c r="F259" s="29" t="inlineStr">
        <is>
          <t>Head Delivery</t>
        </is>
      </c>
      <c r="G259" s="29" t="inlineStr">
        <is>
          <t>Head – Delivery</t>
        </is>
      </c>
      <c r="H259" s="29" t="inlineStr">
        <is>
          <t>Executive Leadership</t>
        </is>
      </c>
      <c r="I259" s="29" t="inlineStr">
        <is>
          <t>Business Head</t>
        </is>
      </c>
      <c r="J259" s="29" t="inlineStr">
        <is>
          <t>People Manager</t>
        </is>
      </c>
      <c r="K259" s="29" t="inlineStr">
        <is>
          <t>RC-EL-BH-C2</t>
        </is>
      </c>
      <c r="L259" s="29" t="inlineStr">
        <is>
          <t>Shailesh Gupta</t>
        </is>
      </c>
      <c r="M259" s="29" t="inlineStr">
        <is>
          <t>IRIS0012</t>
        </is>
      </c>
      <c r="N259" s="29" t="n">
        <v>24.6</v>
      </c>
      <c r="O259" s="29" t="n">
        <v>4.6</v>
      </c>
      <c r="P259" s="29" t="inlineStr">
        <is>
          <t>MCA</t>
        </is>
      </c>
      <c r="Q259" s="29" t="inlineStr">
        <is>
          <t>L7 – Head / Sr Director</t>
        </is>
      </c>
      <c r="R259" s="29" t="inlineStr">
        <is>
          <t>C2</t>
        </is>
      </c>
      <c r="S259" s="30" t="inlineStr">
        <is>
          <t>0 of 20</t>
        </is>
      </c>
      <c r="T25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59" s="32" t="inlineStr">
        <is>
          <t>KRAs not received · manager to supply</t>
        </is>
      </c>
      <c r="V259" s="31" t="inlineStr">
        <is>
          <t>Latest rating: Not rated · manager · 9-box: Not placed · manager · Readiness: No rating data</t>
        </is>
      </c>
      <c r="W259" s="31" t="inlineStr">
        <is>
          <t>C M · Au M · Ac M · L M · BI M · Exp H · 24.6 yrs vs 12–17 yrs · Edu M · MCA</t>
        </is>
      </c>
      <c r="X259" s="33" t="inlineStr">
        <is>
          <t>Open ▸</t>
        </is>
      </c>
      <c r="Y259" s="34" t="str">
        <f>IFERROR(INDEX(DL_C,MATCH($CA259,DL_KEY,0)),"M")</f>
        <v>H</v>
      </c>
      <c r="Z259" s="35" t="str">
        <f>IFERROR(INDEX(DL_Au,MATCH($CA259,DL_KEY,0)),"M")</f>
        <v>M</v>
      </c>
      <c r="AA259" s="35" t="str">
        <f>IFERROR(INDEX(DL_Ac,MATCH($CA259,DL_KEY,0)),"M")</f>
        <v>M</v>
      </c>
      <c r="AB259" s="35" t="str">
        <f>IFERROR(INDEX(DL_L,MATCH($CA259,DL_KEY,0)),"M")</f>
        <v>M</v>
      </c>
      <c r="AC259" s="35" t="str">
        <f>IFERROR(INDEX(DL_BI,MATCH($CA259,DL_KEY,0)),"M")</f>
        <v>L</v>
      </c>
      <c r="AD259" s="35" t="str">
        <f>IFERROR(INDEX(DL_Exp,MATCH($CA259,DL_KEY,0)),"M")</f>
        <v>L</v>
      </c>
      <c r="AE259" s="35" t="str">
        <f>IFERROR(INDEX(DL_Edu,MATCH($CA259,DL_KEY,0)),"M")</f>
        <v>L</v>
      </c>
      <c r="AF259" s="34" t="inlineStr">
        <is>
          <t>M</t>
        </is>
      </c>
      <c r="AG259" s="35" t="inlineStr">
        <is>
          <t>M</t>
        </is>
      </c>
      <c r="AH259" s="35" t="inlineStr">
        <is>
          <t>M</t>
        </is>
      </c>
      <c r="AI259" s="35" t="inlineStr">
        <is>
          <t>M</t>
        </is>
      </c>
      <c r="AJ259" s="35" t="inlineStr">
        <is>
          <t>M</t>
        </is>
      </c>
      <c r="AK259" s="35" t="inlineStr">
        <is>
          <t>M</t>
        </is>
      </c>
      <c r="AL259" s="35" t="inlineStr">
        <is>
          <t>M</t>
        </is>
      </c>
      <c r="AM259" s="36" t="n">
        <v>0.433</v>
      </c>
      <c r="AN259" s="37" t="n">
        <v>0.18</v>
      </c>
      <c r="AO259" s="37" t="n">
        <v>0.107</v>
      </c>
      <c r="AP259" s="37" t="n">
        <v>0.15</v>
      </c>
      <c r="AQ259" s="37" t="n">
        <v>0.08</v>
      </c>
      <c r="AR259" s="37" t="n">
        <v>0.04</v>
      </c>
      <c r="AS259" s="37" t="n">
        <v>0.01</v>
      </c>
      <c r="AT259" s="38" t="inlineStr">
        <is>
          <t>12–17 yrs</t>
        </is>
      </c>
      <c r="AU259" s="38" t="inlineStr">
        <is>
          <t>Postgraduate / professional qualification preferred</t>
        </is>
      </c>
      <c r="AV259" s="38" t="inlineStr">
        <is>
          <t>5–8 managers / associate heads</t>
        </is>
      </c>
      <c r="AW259" s="38" t="inlineStr">
        <is>
          <t>P7 / M6 · SFIA 6 Initiate, influence</t>
        </is>
      </c>
      <c r="AX2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9" s="39" t="inlineStr">
        <is>
          <t>C2</t>
        </is>
      </c>
      <c r="AZ259" s="40" t="inlineStr">
        <is>
          <t>Band C · Principal / Head · Head of Function</t>
        </is>
      </c>
      <c r="BA259" s="40" t="inlineStr">
        <is>
          <t>Model C2 from the six ratings, the market-derived weights and rules R1–R13 · then No change · already below the manager</t>
        </is>
      </c>
      <c r="BB259" s="41" t="inlineStr">
        <is>
          <t>C2</t>
        </is>
      </c>
      <c r="BC259" s="40" t="inlineStr">
        <is>
          <t>The six ratings on the market-average weights of Band C · Head / manager score 8.18 → C2 · Hay, Mercer IPE and public plans · experience 24.6 yrs vs the C2 market range 12–17 yrs</t>
        </is>
      </c>
      <c r="BD259" s="42">
        <f>IF(SUM(BM259,BN259,BO259,BP259,BQ259,BR259,BS259)=0,0,(BM259*BT259+BN259*BU259+BO259*BV259+BP259*BW259+BQ259*BX259+BR259*BY259+BS259*BZ259)/SUM(BM259,BN259,BO259,BP259,BQ259,BR259,BS259))</f>
        <v>0</v>
      </c>
      <c r="BE259" s="41" t="str">
        <f>IF(LEFT(AY259,1)="X",AY259,IF(OR(AY259="B+",AY259="C+"),INDEX(LAD_PC,MAX(1,MIN(14,MATCH(AY259,LAD_PC,0)+IF(BD259&gt;=0.5,1,IF(BD259&lt;=-0.5,-1,0))))),INDEX(LAD_STD,MAX(1,MIN(12,MATCH(AY259,LAD_STD,0)+IF(BD259&gt;=0.5,1,IF(BD259&lt;=-0.5,-1,0)))))))</f>
        <v>C2</v>
      </c>
      <c r="BF259" s="43" t="n"/>
      <c r="BG259" s="41" t="str">
        <f>IF(BF259&lt;&gt;"",BF259,BE259)</f>
        <v>C2</v>
      </c>
      <c r="BH259" s="40" t="str">
        <f>IFERROR(CHOOSE(INDEX(B_RANK,MATCH(BG259,B_LVL,0)),"Band A","Band B","B+ · Player-Coach","Band C","C+ · Player-Coach","Band D","Band E"),"Band X · Consultant")</f>
        <v>Band C</v>
      </c>
      <c r="BI259" s="40" t="str">
        <f>IF(BG259=AY259,"• Same",IF(INDEX(B_VAL,MATCH(BG259,B_LVL,0))&gt;INDEX(B_VAL,MATCH(AY259,B_LVL,0)),"▲ Up","▼ Down"))</f>
        <v>• Same</v>
      </c>
      <c r="BJ259" s="40" t="str">
        <f>IF(OR($M259="",$M259="—",$M259="Not in this file"),"",IFERROR(INDEX($BG$7:$BG$592,MATCH($M259,$D$7:$D$592,0)),""))</f>
        <v>D2</v>
      </c>
      <c r="BK259" s="40" t="str">
        <f>IFERROR(IF(BJ259="","—",IF(OR(LEFT(BG259,1)="X",LEFT(BJ259,1)="X"),"—",IF(AND(LEFT(BG259,1)="E",LEFT(BJ259,1)="E"),"Exception · Band E",IF(AND(INDEX(B_VAL,MATCH(BJ259,B_LVL,0))&gt;=7,INDEX(B_RANK,MATCH(BG259,B_LVL,0))&gt;=INDEX(B_RANK,MATCH(BJ259,B_LVL,0))),"⚠ Same band as a head manager",IF(INDEX(B_VAL,MATCH(BG259,B_LVL,0))&gt;=INDEX(B_VAL,MATCH(BJ259,B_LVL,0)),"⚠ At or above the manager's level","OK"))))),"—")</f>
        <v>OK</v>
      </c>
      <c r="BL259" s="43" t="n"/>
      <c r="BM259" s="44">
        <f>IFERROR(INDEX(LMH_PTS,MATCH(Y259,LMH_KEY,0)),0)</f>
        <v>9</v>
      </c>
      <c r="BN259" s="38">
        <f>IFERROR(INDEX(LMH_PTS,MATCH(Z259,LMH_KEY,0)),0)</f>
        <v>3</v>
      </c>
      <c r="BO259" s="38">
        <f>IFERROR(INDEX(LMH_PTS,MATCH(AA259,LMH_KEY,0)),0)</f>
        <v>3</v>
      </c>
      <c r="BP259" s="38">
        <f>IFERROR(INDEX(LMH_PTS,MATCH(AB259,LMH_KEY,0)),0)</f>
        <v>3</v>
      </c>
      <c r="BQ259" s="38">
        <f>IFERROR(INDEX(LMH_PTS,MATCH(AC259,LMH_KEY,0)),0)</f>
        <v>1</v>
      </c>
      <c r="BR259" s="38">
        <f>IFERROR(INDEX(LMH_PTS,MATCH(AD259,LMH_KEY,0)),0)</f>
        <v>1</v>
      </c>
      <c r="BS259" s="38">
        <f>IFERROR(INDEX(LMH_PTS,MATCH(AE259,LMH_KEY,0)),0)</f>
        <v>1</v>
      </c>
      <c r="BT259" s="38">
        <f>IFERROR(INDEX(LMH_STEP,MATCH(AF259,LMH_KEY,0)),0)</f>
        <v>0</v>
      </c>
      <c r="BU259" s="38">
        <f>IFERROR(INDEX(LMH_STEP,MATCH(AG259,LMH_KEY,0)),0)</f>
        <v>0</v>
      </c>
      <c r="BV259" s="38">
        <f>IFERROR(INDEX(LMH_STEP,MATCH(AH259,LMH_KEY,0)),0)</f>
        <v>0</v>
      </c>
      <c r="BW259" s="38">
        <f>IFERROR(INDEX(LMH_STEP,MATCH(AI259,LMH_KEY,0)),0)</f>
        <v>0</v>
      </c>
      <c r="BX259" s="38">
        <f>IFERROR(INDEX(LMH_STEP,MATCH(AJ259,LMH_KEY,0)),0)</f>
        <v>0</v>
      </c>
      <c r="BY259" s="38">
        <f>IFERROR(INDEX(LMH_STEP,MATCH(AK259,LMH_KEY,0)),0)</f>
        <v>0</v>
      </c>
      <c r="BZ259" s="38">
        <f>IFERROR(INDEX(LMH_STEP,MATCH(AL259,LMH_KEY,0)),0)</f>
        <v>0</v>
      </c>
      <c r="CA259" s="38" t="inlineStr">
        <is>
          <t>iFile|Technology|Head – Delivery|C2|C-M</t>
        </is>
      </c>
    </row>
    <row r="260" ht="110" customHeight="1">
      <c r="A260" s="28" t="inlineStr">
        <is>
          <t>iFile</t>
        </is>
      </c>
      <c r="B260" s="29" t="inlineStr">
        <is>
          <t>Sales</t>
        </is>
      </c>
      <c r="C260" s="29" t="n">
        <v>3</v>
      </c>
      <c r="D260" s="29" t="inlineStr">
        <is>
          <t>IRIS2428</t>
        </is>
      </c>
      <c r="E260" s="29" t="inlineStr">
        <is>
          <t>Ajay Singh Chauhan</t>
        </is>
      </c>
      <c r="F260" s="29" t="inlineStr">
        <is>
          <t>Vice President Sales</t>
        </is>
      </c>
      <c r="G260" s="29" t="inlineStr">
        <is>
          <t>Principal – Enterprise Sales</t>
        </is>
      </c>
      <c r="H260" s="29" t="inlineStr">
        <is>
          <t>Sales &amp; Business Development</t>
        </is>
      </c>
      <c r="I260" s="29" t="inlineStr">
        <is>
          <t>Sales Leadership</t>
        </is>
      </c>
      <c r="J260" s="29" t="inlineStr">
        <is>
          <t>IC</t>
        </is>
      </c>
      <c r="K260" s="29" t="inlineStr">
        <is>
          <t>RC-170</t>
        </is>
      </c>
      <c r="L260" s="29" t="inlineStr">
        <is>
          <t>Pradip Dey</t>
        </is>
      </c>
      <c r="M260" s="29" t="inlineStr">
        <is>
          <t>IRISC223</t>
        </is>
      </c>
      <c r="N260" s="29" t="n">
        <v>16.1</v>
      </c>
      <c r="O260" s="29" t="n">
        <v>1.1</v>
      </c>
      <c r="P260" s="29" t="inlineStr">
        <is>
          <t>PGDBA</t>
        </is>
      </c>
      <c r="Q260" s="29" t="inlineStr">
        <is>
          <t>L8 – Vice President</t>
        </is>
      </c>
      <c r="R260" s="29" t="inlineStr">
        <is>
          <t>C1</t>
        </is>
      </c>
      <c r="S260" s="30" t="inlineStr">
        <is>
          <t>0 of 20</t>
        </is>
      </c>
      <c r="T260" s="31"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t>
        </is>
      </c>
      <c r="U260" s="31" t="inlineStr">
        <is>
          <t>Received · manager annual, quarterly · 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t>
        </is>
      </c>
      <c r="V260" s="31" t="inlineStr">
        <is>
          <t>Latest rating: 4 · Potential: High · 9-box: Trusted Professional · Readiness: Ready now</t>
        </is>
      </c>
      <c r="W260" s="31" t="inlineStr">
        <is>
          <t>C H · Au H · Ac H · L H · BI H · Exp H · 16.1 yrs vs 8–12 yrs · Edu M · PGDBA</t>
        </is>
      </c>
      <c r="X260" s="33" t="inlineStr">
        <is>
          <t>Open ▸</t>
        </is>
      </c>
      <c r="Y260" s="34" t="str">
        <f>IFERROR(INDEX(DL_C,MATCH($CA260,DL_KEY,0)),"M")</f>
        <v>H</v>
      </c>
      <c r="Z260" s="35" t="str">
        <f>IFERROR(INDEX(DL_Au,MATCH($CA260,DL_KEY,0)),"M")</f>
        <v>M</v>
      </c>
      <c r="AA260" s="35" t="str">
        <f>IFERROR(INDEX(DL_Ac,MATCH($CA260,DL_KEY,0)),"M")</f>
        <v>L</v>
      </c>
      <c r="AB260" s="35" t="str">
        <f>IFERROR(INDEX(DL_L,MATCH($CA260,DL_KEY,0)),"M")</f>
        <v>L</v>
      </c>
      <c r="AC260" s="35" t="str">
        <f>IFERROR(INDEX(DL_BI,MATCH($CA260,DL_KEY,0)),"M")</f>
        <v>M</v>
      </c>
      <c r="AD260" s="35" t="str">
        <f>IFERROR(INDEX(DL_Exp,MATCH($CA260,DL_KEY,0)),"M")</f>
        <v>L</v>
      </c>
      <c r="AE260" s="35" t="str">
        <f>IFERROR(INDEX(DL_Edu,MATCH($CA260,DL_KEY,0)),"M")</f>
        <v>L</v>
      </c>
      <c r="AF260" s="34" t="inlineStr">
        <is>
          <t>M</t>
        </is>
      </c>
      <c r="AG260" s="35" t="inlineStr">
        <is>
          <t>M</t>
        </is>
      </c>
      <c r="AH260" s="35" t="inlineStr">
        <is>
          <t>M</t>
        </is>
      </c>
      <c r="AI260" s="35" t="inlineStr">
        <is>
          <t>M</t>
        </is>
      </c>
      <c r="AJ260" s="35" t="inlineStr">
        <is>
          <t>M</t>
        </is>
      </c>
      <c r="AK260" s="35" t="inlineStr">
        <is>
          <t>M</t>
        </is>
      </c>
      <c r="AL260" s="35" t="inlineStr">
        <is>
          <t>M</t>
        </is>
      </c>
      <c r="AM260" s="36" t="n">
        <v>0.513</v>
      </c>
      <c r="AN260" s="37" t="n">
        <v>0.173</v>
      </c>
      <c r="AO260" s="37" t="n">
        <v>0.09699999999999999</v>
      </c>
      <c r="AP260" s="37" t="n">
        <v>0.05</v>
      </c>
      <c r="AQ260" s="37" t="n">
        <v>0.07000000000000001</v>
      </c>
      <c r="AR260" s="37" t="n">
        <v>0.06</v>
      </c>
      <c r="AS260" s="37" t="n">
        <v>0.04</v>
      </c>
      <c r="AT260" s="38" t="inlineStr">
        <is>
          <t>8–13</t>
        </is>
      </c>
      <c r="AU260" s="38" t="inlineStr">
        <is>
          <t>Postgraduate or professional qualification preferred</t>
        </is>
      </c>
      <c r="AV260" s="38" t="inlineStr">
        <is>
          <t>IC: none · People: 5–8 incl. team leads</t>
        </is>
      </c>
      <c r="AW260" s="38" t="inlineStr">
        <is>
          <t>P5 / M4 · SFIA 5 Ensure, advise</t>
        </is>
      </c>
      <c r="AX2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0" s="39" t="inlineStr">
        <is>
          <t>B3</t>
        </is>
      </c>
      <c r="AZ260" s="40" t="inlineStr">
        <is>
          <t>Band B · Specialist / Manager · Lead Specialist</t>
        </is>
      </c>
      <c r="BA260" s="40" t="inlineStr">
        <is>
          <t>Model C1 from the six ratings, the market-derived weights and rules R1–R13 · then Band rule: manager C2 is a head in Band C · Principal / Head; a reportee sits in a lower band · C1 → B3 · move down · pay and title protected for one cycle</t>
        </is>
      </c>
      <c r="BB260" s="41" t="inlineStr">
        <is>
          <t>D1</t>
        </is>
      </c>
      <c r="BC260" s="40" t="inlineStr">
        <is>
          <t>The six ratings on the market-average weights of Band B · Specialist / POD Lead score 9.49 → D1 · Hay, Mercer IPE and public plans · experience 16.1 yrs vs the D1 market range 15–20 yrs</t>
        </is>
      </c>
      <c r="BD260" s="42">
        <f>IF(SUM(BM260,BN260,BO260,BP260,BQ260,BR260,BS260)=0,0,(BM260*BT260+BN260*BU260+BO260*BV260+BP260*BW260+BQ260*BX260+BR260*BY260+BS260*BZ260)/SUM(BM260,BN260,BO260,BP260,BQ260,BR260,BS260))</f>
        <v>0</v>
      </c>
      <c r="BE260" s="41" t="str">
        <f>IF(LEFT(AY260,1)="X",AY260,IF(OR(AY260="B+",AY260="C+"),INDEX(LAD_PC,MAX(1,MIN(14,MATCH(AY260,LAD_PC,0)+IF(BD260&gt;=0.5,1,IF(BD260&lt;=-0.5,-1,0))))),INDEX(LAD_STD,MAX(1,MIN(12,MATCH(AY260,LAD_STD,0)+IF(BD260&gt;=0.5,1,IF(BD260&lt;=-0.5,-1,0)))))))</f>
        <v>B3</v>
      </c>
      <c r="BF260" s="43" t="n"/>
      <c r="BG260" s="41" t="str">
        <f>IF(BF260&lt;&gt;"",BF260,BE260)</f>
        <v>B3</v>
      </c>
      <c r="BH260" s="40" t="str">
        <f>IFERROR(CHOOSE(INDEX(B_RANK,MATCH(BG260,B_LVL,0)),"Band A","Band B","B+ · Player-Coach","Band C","C+ · Player-Coach","Band D","Band E"),"Band X · Consultant")</f>
        <v>Band B</v>
      </c>
      <c r="BI260" s="40" t="str">
        <f>IF(BG260=AY260,"• Same",IF(INDEX(B_VAL,MATCH(BG260,B_LVL,0))&gt;INDEX(B_VAL,MATCH(AY260,B_LVL,0)),"▲ Up","▼ Down"))</f>
        <v>• Same</v>
      </c>
      <c r="BJ260" s="40" t="str">
        <f>IF(OR($M260="",$M260="—",$M260="Not in this file"),"",IFERROR(INDEX($BG$7:$BG$592,MATCH($M260,$D$7:$D$592,0)),""))</f>
        <v>C2</v>
      </c>
      <c r="BK260" s="40" t="str">
        <f>IFERROR(IF(BJ260="","—",IF(OR(LEFT(BG260,1)="X",LEFT(BJ260,1)="X"),"—",IF(AND(LEFT(BG260,1)="E",LEFT(BJ260,1)="E"),"Exception · Band E",IF(AND(INDEX(B_VAL,MATCH(BJ260,B_LVL,0))&gt;=7,INDEX(B_RANK,MATCH(BG260,B_LVL,0))&gt;=INDEX(B_RANK,MATCH(BJ260,B_LVL,0))),"⚠ Same band as a head manager",IF(INDEX(B_VAL,MATCH(BG260,B_LVL,0))&gt;=INDEX(B_VAL,MATCH(BJ260,B_LVL,0)),"⚠ At or above the manager's level","OK"))))),"—")</f>
        <v>OK</v>
      </c>
      <c r="BL260" s="43" t="n"/>
      <c r="BM260" s="44">
        <f>IFERROR(INDEX(LMH_PTS,MATCH(Y260,LMH_KEY,0)),0)</f>
        <v>9</v>
      </c>
      <c r="BN260" s="38">
        <f>IFERROR(INDEX(LMH_PTS,MATCH(Z260,LMH_KEY,0)),0)</f>
        <v>3</v>
      </c>
      <c r="BO260" s="38">
        <f>IFERROR(INDEX(LMH_PTS,MATCH(AA260,LMH_KEY,0)),0)</f>
        <v>1</v>
      </c>
      <c r="BP260" s="38">
        <f>IFERROR(INDEX(LMH_PTS,MATCH(AB260,LMH_KEY,0)),0)</f>
        <v>1</v>
      </c>
      <c r="BQ260" s="38">
        <f>IFERROR(INDEX(LMH_PTS,MATCH(AC260,LMH_KEY,0)),0)</f>
        <v>3</v>
      </c>
      <c r="BR260" s="38">
        <f>IFERROR(INDEX(LMH_PTS,MATCH(AD260,LMH_KEY,0)),0)</f>
        <v>1</v>
      </c>
      <c r="BS260" s="38">
        <f>IFERROR(INDEX(LMH_PTS,MATCH(AE260,LMH_KEY,0)),0)</f>
        <v>1</v>
      </c>
      <c r="BT260" s="38">
        <f>IFERROR(INDEX(LMH_STEP,MATCH(AF260,LMH_KEY,0)),0)</f>
        <v>0</v>
      </c>
      <c r="BU260" s="38">
        <f>IFERROR(INDEX(LMH_STEP,MATCH(AG260,LMH_KEY,0)),0)</f>
        <v>0</v>
      </c>
      <c r="BV260" s="38">
        <f>IFERROR(INDEX(LMH_STEP,MATCH(AH260,LMH_KEY,0)),0)</f>
        <v>0</v>
      </c>
      <c r="BW260" s="38">
        <f>IFERROR(INDEX(LMH_STEP,MATCH(AI260,LMH_KEY,0)),0)</f>
        <v>0</v>
      </c>
      <c r="BX260" s="38">
        <f>IFERROR(INDEX(LMH_STEP,MATCH(AJ260,LMH_KEY,0)),0)</f>
        <v>0</v>
      </c>
      <c r="BY260" s="38">
        <f>IFERROR(INDEX(LMH_STEP,MATCH(AK260,LMH_KEY,0)),0)</f>
        <v>0</v>
      </c>
      <c r="BZ260" s="38">
        <f>IFERROR(INDEX(LMH_STEP,MATCH(AL260,LMH_KEY,0)),0)</f>
        <v>0</v>
      </c>
      <c r="CA260" s="38" t="inlineStr">
        <is>
          <t>iFile|Sales|Principal – Enterprise Sales|B3|B-IC</t>
        </is>
      </c>
    </row>
    <row r="261" ht="110" customHeight="1">
      <c r="A261" s="28" t="inlineStr">
        <is>
          <t>iFile</t>
        </is>
      </c>
      <c r="B261" s="29" t="inlineStr">
        <is>
          <t>Technology</t>
        </is>
      </c>
      <c r="C261" s="29" t="n">
        <v>3</v>
      </c>
      <c r="D261" s="29" t="inlineStr">
        <is>
          <t>IRIS1690</t>
        </is>
      </c>
      <c r="E261" s="29" t="inlineStr">
        <is>
          <t>Sharanagouda Patil</t>
        </is>
      </c>
      <c r="F261" s="29" t="inlineStr">
        <is>
          <t>Technical Architect</t>
        </is>
      </c>
      <c r="G261" s="29" t="inlineStr">
        <is>
          <t>Technical Architect</t>
        </is>
      </c>
      <c r="H261" s="29" t="inlineStr">
        <is>
          <t>Engineering &amp; Architecture</t>
        </is>
      </c>
      <c r="I261" s="29" t="inlineStr">
        <is>
          <t>Solution &amp; Technical Architecture</t>
        </is>
      </c>
      <c r="J261" s="29" t="inlineStr">
        <is>
          <t>IC</t>
        </is>
      </c>
      <c r="K261" s="29" t="inlineStr">
        <is>
          <t>RC-057</t>
        </is>
      </c>
      <c r="L261" s="29" t="inlineStr">
        <is>
          <t>Pradip Dey</t>
        </is>
      </c>
      <c r="M261" s="29" t="inlineStr">
        <is>
          <t>IRISC223</t>
        </is>
      </c>
      <c r="N261" s="29" t="n">
        <v>19</v>
      </c>
      <c r="O261" s="29" t="n">
        <v>8.800000000000001</v>
      </c>
      <c r="P261" s="29" t="inlineStr">
        <is>
          <t>MCA</t>
        </is>
      </c>
      <c r="Q261" s="29" t="inlineStr">
        <is>
          <t>L3 – Professional / Associate</t>
        </is>
      </c>
      <c r="R261" s="29" t="inlineStr">
        <is>
          <t>C1</t>
        </is>
      </c>
      <c r="S261" s="30" t="inlineStr">
        <is>
          <t>20 of 20</t>
        </is>
      </c>
      <c r="T261" s="31"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t>
        </is>
      </c>
      <c r="U261" s="31" t="inlineStr">
        <is>
          <t>Received · manager annual, quarterly · 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t>
        </is>
      </c>
      <c r="V261" s="31" t="inlineStr">
        <is>
          <t>Latest rating: 4 · Potential: High · 9-box: High Impact / Growth Talent · Readiness: Ready now</t>
        </is>
      </c>
      <c r="W261" s="31" t="inlineStr">
        <is>
          <t>C M · Au M · Ac M · L M · BI M · Exp H · 19 yrs vs 8–12 yrs · Edu M · MCA</t>
        </is>
      </c>
      <c r="X261" s="33" t="inlineStr">
        <is>
          <t>Open ▸</t>
        </is>
      </c>
      <c r="Y261" s="34" t="str">
        <f>IFERROR(INDEX(DL_C,MATCH($CA261,DL_KEY,0)),"M")</f>
        <v>H</v>
      </c>
      <c r="Z261" s="35" t="str">
        <f>IFERROR(INDEX(DL_Au,MATCH($CA261,DL_KEY,0)),"M")</f>
        <v>M</v>
      </c>
      <c r="AA261" s="35" t="str">
        <f>IFERROR(INDEX(DL_Ac,MATCH($CA261,DL_KEY,0)),"M")</f>
        <v>L</v>
      </c>
      <c r="AB261" s="35" t="str">
        <f>IFERROR(INDEX(DL_L,MATCH($CA261,DL_KEY,0)),"M")</f>
        <v>L</v>
      </c>
      <c r="AC261" s="35" t="str">
        <f>IFERROR(INDEX(DL_BI,MATCH($CA261,DL_KEY,0)),"M")</f>
        <v>L</v>
      </c>
      <c r="AD261" s="35" t="str">
        <f>IFERROR(INDEX(DL_Exp,MATCH($CA261,DL_KEY,0)),"M")</f>
        <v>L</v>
      </c>
      <c r="AE261" s="35" t="str">
        <f>IFERROR(INDEX(DL_Edu,MATCH($CA261,DL_KEY,0)),"M")</f>
        <v>L</v>
      </c>
      <c r="AF261" s="34" t="inlineStr">
        <is>
          <t>M</t>
        </is>
      </c>
      <c r="AG261" s="35" t="inlineStr">
        <is>
          <t>M</t>
        </is>
      </c>
      <c r="AH261" s="35" t="inlineStr">
        <is>
          <t>M</t>
        </is>
      </c>
      <c r="AI261" s="35" t="inlineStr">
        <is>
          <t>M</t>
        </is>
      </c>
      <c r="AJ261" s="35" t="inlineStr">
        <is>
          <t>M</t>
        </is>
      </c>
      <c r="AK261" s="35" t="inlineStr">
        <is>
          <t>M</t>
        </is>
      </c>
      <c r="AL261" s="35" t="inlineStr">
        <is>
          <t>M</t>
        </is>
      </c>
      <c r="AM261" s="36" t="n">
        <v>0.513</v>
      </c>
      <c r="AN261" s="37" t="n">
        <v>0.173</v>
      </c>
      <c r="AO261" s="37" t="n">
        <v>0.09699999999999999</v>
      </c>
      <c r="AP261" s="37" t="n">
        <v>0.05</v>
      </c>
      <c r="AQ261" s="37" t="n">
        <v>0.07000000000000001</v>
      </c>
      <c r="AR261" s="37" t="n">
        <v>0.06</v>
      </c>
      <c r="AS261" s="37" t="n">
        <v>0.04</v>
      </c>
      <c r="AT261" s="38" t="inlineStr">
        <is>
          <t>8–13</t>
        </is>
      </c>
      <c r="AU261" s="38" t="inlineStr">
        <is>
          <t>Postgraduate or professional qualification preferred</t>
        </is>
      </c>
      <c r="AV261" s="38" t="inlineStr">
        <is>
          <t>IC: none · People: 5–8 incl. team leads</t>
        </is>
      </c>
      <c r="AW261" s="38" t="inlineStr">
        <is>
          <t>P5 / M4 · SFIA 5 Ensure, advise</t>
        </is>
      </c>
      <c r="AX2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1" s="39" t="inlineStr">
        <is>
          <t>B3</t>
        </is>
      </c>
      <c r="AZ261" s="40" t="inlineStr">
        <is>
          <t>Band B · Specialist / Manager · Lead Specialist</t>
        </is>
      </c>
      <c r="BA261" s="40" t="inlineStr">
        <is>
          <t>Model C1 from the six ratings, the market-derived weights and rules R1–R13 · then Band rule: manager C2 is a head in Band C · Principal / Head; a reportee sits in a lower band · C1 → B3 · move down · pay and title protected for one cycle</t>
        </is>
      </c>
      <c r="BB261" s="41" t="inlineStr">
        <is>
          <t>C1</t>
        </is>
      </c>
      <c r="BC261" s="40" t="inlineStr">
        <is>
          <t>The six ratings on the market-average weights of Band B · Specialist / POD Lead score 6.75 → C1 · Hay, Mercer IPE and public plans · experience 19 yrs vs the C1 market range 12–17</t>
        </is>
      </c>
      <c r="BD261" s="42">
        <f>IF(SUM(BM261,BN261,BO261,BP261,BQ261,BR261,BS261)=0,0,(BM261*BT261+BN261*BU261+BO261*BV261+BP261*BW261+BQ261*BX261+BR261*BY261+BS261*BZ261)/SUM(BM261,BN261,BO261,BP261,BQ261,BR261,BS261))</f>
        <v>0</v>
      </c>
      <c r="BE261" s="41" t="str">
        <f>IF(LEFT(AY261,1)="X",AY261,IF(OR(AY261="B+",AY261="C+"),INDEX(LAD_PC,MAX(1,MIN(14,MATCH(AY261,LAD_PC,0)+IF(BD261&gt;=0.5,1,IF(BD261&lt;=-0.5,-1,0))))),INDEX(LAD_STD,MAX(1,MIN(12,MATCH(AY261,LAD_STD,0)+IF(BD261&gt;=0.5,1,IF(BD261&lt;=-0.5,-1,0)))))))</f>
        <v>B3</v>
      </c>
      <c r="BF261" s="43" t="n"/>
      <c r="BG261" s="41" t="str">
        <f>IF(BF261&lt;&gt;"",BF261,BE261)</f>
        <v>B3</v>
      </c>
      <c r="BH261" s="40" t="str">
        <f>IFERROR(CHOOSE(INDEX(B_RANK,MATCH(BG261,B_LVL,0)),"Band A","Band B","B+ · Player-Coach","Band C","C+ · Player-Coach","Band D","Band E"),"Band X · Consultant")</f>
        <v>Band B</v>
      </c>
      <c r="BI261" s="40" t="str">
        <f>IF(BG261=AY261,"• Same",IF(INDEX(B_VAL,MATCH(BG261,B_LVL,0))&gt;INDEX(B_VAL,MATCH(AY261,B_LVL,0)),"▲ Up","▼ Down"))</f>
        <v>• Same</v>
      </c>
      <c r="BJ261" s="40" t="str">
        <f>IF(OR($M261="",$M261="—",$M261="Not in this file"),"",IFERROR(INDEX($BG$7:$BG$592,MATCH($M261,$D$7:$D$592,0)),""))</f>
        <v>C2</v>
      </c>
      <c r="BK261" s="40" t="str">
        <f>IFERROR(IF(BJ261="","—",IF(OR(LEFT(BG261,1)="X",LEFT(BJ261,1)="X"),"—",IF(AND(LEFT(BG261,1)="E",LEFT(BJ261,1)="E"),"Exception · Band E",IF(AND(INDEX(B_VAL,MATCH(BJ261,B_LVL,0))&gt;=7,INDEX(B_RANK,MATCH(BG261,B_LVL,0))&gt;=INDEX(B_RANK,MATCH(BJ261,B_LVL,0))),"⚠ Same band as a head manager",IF(INDEX(B_VAL,MATCH(BG261,B_LVL,0))&gt;=INDEX(B_VAL,MATCH(BJ261,B_LVL,0)),"⚠ At or above the manager's level","OK"))))),"—")</f>
        <v>OK</v>
      </c>
      <c r="BL261" s="43" t="n"/>
      <c r="BM261" s="44">
        <f>IFERROR(INDEX(LMH_PTS,MATCH(Y261,LMH_KEY,0)),0)</f>
        <v>9</v>
      </c>
      <c r="BN261" s="38">
        <f>IFERROR(INDEX(LMH_PTS,MATCH(Z261,LMH_KEY,0)),0)</f>
        <v>3</v>
      </c>
      <c r="BO261" s="38">
        <f>IFERROR(INDEX(LMH_PTS,MATCH(AA261,LMH_KEY,0)),0)</f>
        <v>1</v>
      </c>
      <c r="BP261" s="38">
        <f>IFERROR(INDEX(LMH_PTS,MATCH(AB261,LMH_KEY,0)),0)</f>
        <v>1</v>
      </c>
      <c r="BQ261" s="38">
        <f>IFERROR(INDEX(LMH_PTS,MATCH(AC261,LMH_KEY,0)),0)</f>
        <v>1</v>
      </c>
      <c r="BR261" s="38">
        <f>IFERROR(INDEX(LMH_PTS,MATCH(AD261,LMH_KEY,0)),0)</f>
        <v>1</v>
      </c>
      <c r="BS261" s="38">
        <f>IFERROR(INDEX(LMH_PTS,MATCH(AE261,LMH_KEY,0)),0)</f>
        <v>1</v>
      </c>
      <c r="BT261" s="38">
        <f>IFERROR(INDEX(LMH_STEP,MATCH(AF261,LMH_KEY,0)),0)</f>
        <v>0</v>
      </c>
      <c r="BU261" s="38">
        <f>IFERROR(INDEX(LMH_STEP,MATCH(AG261,LMH_KEY,0)),0)</f>
        <v>0</v>
      </c>
      <c r="BV261" s="38">
        <f>IFERROR(INDEX(LMH_STEP,MATCH(AH261,LMH_KEY,0)),0)</f>
        <v>0</v>
      </c>
      <c r="BW261" s="38">
        <f>IFERROR(INDEX(LMH_STEP,MATCH(AI261,LMH_KEY,0)),0)</f>
        <v>0</v>
      </c>
      <c r="BX261" s="38">
        <f>IFERROR(INDEX(LMH_STEP,MATCH(AJ261,LMH_KEY,0)),0)</f>
        <v>0</v>
      </c>
      <c r="BY261" s="38">
        <f>IFERROR(INDEX(LMH_STEP,MATCH(AK261,LMH_KEY,0)),0)</f>
        <v>0</v>
      </c>
      <c r="BZ261" s="38">
        <f>IFERROR(INDEX(LMH_STEP,MATCH(AL261,LMH_KEY,0)),0)</f>
        <v>0</v>
      </c>
      <c r="CA261" s="38" t="inlineStr">
        <is>
          <t>iFile|Technology|Technical Architect|B3|B-IC</t>
        </is>
      </c>
    </row>
    <row r="262" ht="110" customHeight="1">
      <c r="A262" s="28" t="inlineStr">
        <is>
          <t>iFile</t>
        </is>
      </c>
      <c r="B262" s="29" t="inlineStr">
        <is>
          <t>Technology</t>
        </is>
      </c>
      <c r="C262" s="29" t="n">
        <v>4</v>
      </c>
      <c r="D262" s="29" t="inlineStr">
        <is>
          <t>IRIS0103</t>
        </is>
      </c>
      <c r="E262" s="29" t="inlineStr">
        <is>
          <t>Alwina Shaikh</t>
        </is>
      </c>
      <c r="F262" s="29" t="inlineStr">
        <is>
          <t>Lead Software Engineer</t>
        </is>
      </c>
      <c r="G262" s="29" t="inlineStr">
        <is>
          <t>Lead Software Engineer – POD Lead</t>
        </is>
      </c>
      <c r="H262" s="29" t="inlineStr">
        <is>
          <t>Engineering &amp; Development</t>
        </is>
      </c>
      <c r="I262" s="29" t="inlineStr">
        <is>
          <t>Full-Stack Development</t>
        </is>
      </c>
      <c r="J262" s="29" t="inlineStr">
        <is>
          <t>POD Lead</t>
        </is>
      </c>
      <c r="K262" s="29" t="inlineStr">
        <is>
          <t>RC-089</t>
        </is>
      </c>
      <c r="L262" s="29" t="inlineStr">
        <is>
          <t>Sharanagouda Patil</t>
        </is>
      </c>
      <c r="M262" s="29" t="inlineStr">
        <is>
          <t>IRIS1690</t>
        </is>
      </c>
      <c r="N262" s="29" t="n">
        <v>19.2</v>
      </c>
      <c r="O262" s="29" t="n">
        <v>19.2</v>
      </c>
      <c r="P262" s="29" t="inlineStr">
        <is>
          <t>PGDM</t>
        </is>
      </c>
      <c r="Q262" s="29" t="inlineStr">
        <is>
          <t>L5 – Lead · IC</t>
        </is>
      </c>
      <c r="R262" s="29" t="inlineStr">
        <is>
          <t>B3</t>
        </is>
      </c>
      <c r="S262" s="30" t="inlineStr">
        <is>
          <t>20 of 20</t>
        </is>
      </c>
      <c r="T262" s="31"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t>
        </is>
      </c>
      <c r="U262" s="31" t="inlineStr">
        <is>
          <t>Received · quarterly · KRAs not received · manager to supply</t>
        </is>
      </c>
      <c r="V262" s="31" t="inlineStr">
        <is>
          <t>Latest rating: 4 · Potential: Medium · 9-box: Trusted Professional · Readiness: Ready in 6–12 months</t>
        </is>
      </c>
      <c r="W262" s="31" t="inlineStr">
        <is>
          <t>C M · Au M · Ac M · L M · BI M · Exp H · 19.2 yrs vs 6–9 yrs · Edu H · PGDM</t>
        </is>
      </c>
      <c r="X262" s="33" t="inlineStr">
        <is>
          <t>Open ▸</t>
        </is>
      </c>
      <c r="Y262" s="34" t="str">
        <f>IFERROR(INDEX(DL_C,MATCH($CA262,DL_KEY,0)),"M")</f>
        <v>H</v>
      </c>
      <c r="Z262" s="35" t="str">
        <f>IFERROR(INDEX(DL_Au,MATCH($CA262,DL_KEY,0)),"M")</f>
        <v>M</v>
      </c>
      <c r="AA262" s="35" t="str">
        <f>IFERROR(INDEX(DL_Ac,MATCH($CA262,DL_KEY,0)),"M")</f>
        <v>L</v>
      </c>
      <c r="AB262" s="35" t="str">
        <f>IFERROR(INDEX(DL_L,MATCH($CA262,DL_KEY,0)),"M")</f>
        <v>L</v>
      </c>
      <c r="AC262" s="35" t="str">
        <f>IFERROR(INDEX(DL_BI,MATCH($CA262,DL_KEY,0)),"M")</f>
        <v>L</v>
      </c>
      <c r="AD262" s="35" t="str">
        <f>IFERROR(INDEX(DL_Exp,MATCH($CA262,DL_KEY,0)),"M")</f>
        <v>L</v>
      </c>
      <c r="AE262" s="35" t="str">
        <f>IFERROR(INDEX(DL_Edu,MATCH($CA262,DL_KEY,0)),"M")</f>
        <v>L</v>
      </c>
      <c r="AF262" s="34" t="inlineStr">
        <is>
          <t>M</t>
        </is>
      </c>
      <c r="AG262" s="35" t="inlineStr">
        <is>
          <t>M</t>
        </is>
      </c>
      <c r="AH262" s="35" t="inlineStr">
        <is>
          <t>M</t>
        </is>
      </c>
      <c r="AI262" s="35" t="inlineStr">
        <is>
          <t>M</t>
        </is>
      </c>
      <c r="AJ262" s="35" t="inlineStr">
        <is>
          <t>M</t>
        </is>
      </c>
      <c r="AK262" s="35" t="inlineStr">
        <is>
          <t>M</t>
        </is>
      </c>
      <c r="AL262" s="35" t="inlineStr">
        <is>
          <t>M</t>
        </is>
      </c>
      <c r="AM262" s="36" t="n">
        <v>0.513</v>
      </c>
      <c r="AN262" s="37" t="n">
        <v>0.173</v>
      </c>
      <c r="AO262" s="37" t="n">
        <v>0.09699999999999999</v>
      </c>
      <c r="AP262" s="37" t="n">
        <v>0.05</v>
      </c>
      <c r="AQ262" s="37" t="n">
        <v>0.07000000000000001</v>
      </c>
      <c r="AR262" s="37" t="n">
        <v>0.06</v>
      </c>
      <c r="AS262" s="37" t="n">
        <v>0.04</v>
      </c>
      <c r="AT262" s="38" t="inlineStr">
        <is>
          <t>6–10</t>
        </is>
      </c>
      <c r="AU262" s="38" t="inlineStr">
        <is>
          <t>Graduate or postgraduate; professional qualification preferred</t>
        </is>
      </c>
      <c r="AV262" s="38" t="inlineStr">
        <is>
          <t>IC: none · People: 6–8 knowledge work, 8–12 standardised delivery</t>
        </is>
      </c>
      <c r="AW262" s="38" t="inlineStr">
        <is>
          <t>P4 / M3 · SFIA 4–5</t>
        </is>
      </c>
      <c r="AX2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2" s="39" t="inlineStr">
        <is>
          <t>B2</t>
        </is>
      </c>
      <c r="AZ262" s="40" t="inlineStr">
        <is>
          <t>Band B · Specialist / Manager · Manager</t>
        </is>
      </c>
      <c r="BA262" s="40" t="inlineStr">
        <is>
          <t>Model B3 from the six ratings, the market-derived weights and rules R1–R13 · then Level rule: manager B3; a reportee sits at least one level below · B3 → B2 · move down · pay and title protected for one cycle</t>
        </is>
      </c>
      <c r="BB262" s="41" t="inlineStr">
        <is>
          <t>B3</t>
        </is>
      </c>
      <c r="BC262" s="40" t="inlineStr">
        <is>
          <t>The six ratings on the market-average weights of Band B · Specialist / POD Lead score 5.68 → B3 · Hay, Mercer IPE and public plans · experience 19.2 yrs vs the B3 market range 8–13</t>
        </is>
      </c>
      <c r="BD262" s="42">
        <f>IF(SUM(BM262,BN262,BO262,BP262,BQ262,BR262,BS262)=0,0,(BM262*BT262+BN262*BU262+BO262*BV262+BP262*BW262+BQ262*BX262+BR262*BY262+BS262*BZ262)/SUM(BM262,BN262,BO262,BP262,BQ262,BR262,BS262))</f>
        <v>0</v>
      </c>
      <c r="BE262" s="41" t="str">
        <f>IF(LEFT(AY262,1)="X",AY262,IF(OR(AY262="B+",AY262="C+"),INDEX(LAD_PC,MAX(1,MIN(14,MATCH(AY262,LAD_PC,0)+IF(BD262&gt;=0.5,1,IF(BD262&lt;=-0.5,-1,0))))),INDEX(LAD_STD,MAX(1,MIN(12,MATCH(AY262,LAD_STD,0)+IF(BD262&gt;=0.5,1,IF(BD262&lt;=-0.5,-1,0)))))))</f>
        <v>B2</v>
      </c>
      <c r="BF262" s="43" t="n"/>
      <c r="BG262" s="41" t="str">
        <f>IF(BF262&lt;&gt;"",BF262,BE262)</f>
        <v>B2</v>
      </c>
      <c r="BH262" s="40" t="str">
        <f>IFERROR(CHOOSE(INDEX(B_RANK,MATCH(BG262,B_LVL,0)),"Band A","Band B","B+ · Player-Coach","Band C","C+ · Player-Coach","Band D","Band E"),"Band X · Consultant")</f>
        <v>Band B</v>
      </c>
      <c r="BI262" s="40" t="str">
        <f>IF(BG262=AY262,"• Same",IF(INDEX(B_VAL,MATCH(BG262,B_LVL,0))&gt;INDEX(B_VAL,MATCH(AY262,B_LVL,0)),"▲ Up","▼ Down"))</f>
        <v>• Same</v>
      </c>
      <c r="BJ262" s="40" t="str">
        <f>IF(OR($M262="",$M262="—",$M262="Not in this file"),"",IFERROR(INDEX($BG$7:$BG$592,MATCH($M262,$D$7:$D$592,0)),""))</f>
        <v>B3</v>
      </c>
      <c r="BK262" s="40" t="str">
        <f>IFERROR(IF(BJ262="","—",IF(OR(LEFT(BG262,1)="X",LEFT(BJ262,1)="X"),"—",IF(AND(LEFT(BG262,1)="E",LEFT(BJ262,1)="E"),"Exception · Band E",IF(AND(INDEX(B_VAL,MATCH(BJ262,B_LVL,0))&gt;=7,INDEX(B_RANK,MATCH(BG262,B_LVL,0))&gt;=INDEX(B_RANK,MATCH(BJ262,B_LVL,0))),"⚠ Same band as a head manager",IF(INDEX(B_VAL,MATCH(BG262,B_LVL,0))&gt;=INDEX(B_VAL,MATCH(BJ262,B_LVL,0)),"⚠ At or above the manager's level","OK"))))),"—")</f>
        <v>OK</v>
      </c>
      <c r="BL262" s="43" t="n"/>
      <c r="BM262" s="44">
        <f>IFERROR(INDEX(LMH_PTS,MATCH(Y262,LMH_KEY,0)),0)</f>
        <v>9</v>
      </c>
      <c r="BN262" s="38">
        <f>IFERROR(INDEX(LMH_PTS,MATCH(Z262,LMH_KEY,0)),0)</f>
        <v>3</v>
      </c>
      <c r="BO262" s="38">
        <f>IFERROR(INDEX(LMH_PTS,MATCH(AA262,LMH_KEY,0)),0)</f>
        <v>1</v>
      </c>
      <c r="BP262" s="38">
        <f>IFERROR(INDEX(LMH_PTS,MATCH(AB262,LMH_KEY,0)),0)</f>
        <v>1</v>
      </c>
      <c r="BQ262" s="38">
        <f>IFERROR(INDEX(LMH_PTS,MATCH(AC262,LMH_KEY,0)),0)</f>
        <v>1</v>
      </c>
      <c r="BR262" s="38">
        <f>IFERROR(INDEX(LMH_PTS,MATCH(AD262,LMH_KEY,0)),0)</f>
        <v>1</v>
      </c>
      <c r="BS262" s="38">
        <f>IFERROR(INDEX(LMH_PTS,MATCH(AE262,LMH_KEY,0)),0)</f>
        <v>1</v>
      </c>
      <c r="BT262" s="38">
        <f>IFERROR(INDEX(LMH_STEP,MATCH(AF262,LMH_KEY,0)),0)</f>
        <v>0</v>
      </c>
      <c r="BU262" s="38">
        <f>IFERROR(INDEX(LMH_STEP,MATCH(AG262,LMH_KEY,0)),0)</f>
        <v>0</v>
      </c>
      <c r="BV262" s="38">
        <f>IFERROR(INDEX(LMH_STEP,MATCH(AH262,LMH_KEY,0)),0)</f>
        <v>0</v>
      </c>
      <c r="BW262" s="38">
        <f>IFERROR(INDEX(LMH_STEP,MATCH(AI262,LMH_KEY,0)),0)</f>
        <v>0</v>
      </c>
      <c r="BX262" s="38">
        <f>IFERROR(INDEX(LMH_STEP,MATCH(AJ262,LMH_KEY,0)),0)</f>
        <v>0</v>
      </c>
      <c r="BY262" s="38">
        <f>IFERROR(INDEX(LMH_STEP,MATCH(AK262,LMH_KEY,0)),0)</f>
        <v>0</v>
      </c>
      <c r="BZ262" s="38">
        <f>IFERROR(INDEX(LMH_STEP,MATCH(AL262,LMH_KEY,0)),0)</f>
        <v>0</v>
      </c>
      <c r="CA262" s="38" t="inlineStr">
        <is>
          <t>iFile|Technology|Lead Software Engineer – POD Lead|B2|B-IC</t>
        </is>
      </c>
    </row>
    <row r="263" ht="110" customHeight="1">
      <c r="A263" s="28" t="inlineStr">
        <is>
          <t>iFile</t>
        </is>
      </c>
      <c r="B263" s="29" t="inlineStr">
        <is>
          <t>Technology</t>
        </is>
      </c>
      <c r="C263" s="29" t="n">
        <v>5</v>
      </c>
      <c r="D263" s="29" t="inlineStr">
        <is>
          <t>IRIS2537</t>
        </is>
      </c>
      <c r="E263" s="29" t="inlineStr">
        <is>
          <t>Shritesh Aher</t>
        </is>
      </c>
      <c r="F263" s="29" t="inlineStr">
        <is>
          <t>Software Engineer</t>
        </is>
      </c>
      <c r="G263" s="29" t="inlineStr">
        <is>
          <t>Senior UI Developer</t>
        </is>
      </c>
      <c r="H263" s="29" t="inlineStr">
        <is>
          <t>Engineering &amp; Development</t>
        </is>
      </c>
      <c r="I263" s="29" t="inlineStr">
        <is>
          <t>Front-End / UI Development</t>
        </is>
      </c>
      <c r="J263" s="29" t="inlineStr">
        <is>
          <t>IC</t>
        </is>
      </c>
      <c r="K263" s="29" t="inlineStr">
        <is>
          <t>RC-081</t>
        </is>
      </c>
      <c r="L263" s="29" t="inlineStr">
        <is>
          <t>Alwina Shaikh</t>
        </is>
      </c>
      <c r="M263" s="29" t="inlineStr">
        <is>
          <t>IRIS0103</t>
        </is>
      </c>
      <c r="N263" s="29" t="n">
        <v>3.9</v>
      </c>
      <c r="O263" s="29" t="n">
        <v>0.3</v>
      </c>
      <c r="P263" s="29" t="inlineStr">
        <is>
          <t>B.E</t>
        </is>
      </c>
      <c r="Q263" s="29" t="inlineStr">
        <is>
          <t>Not in current mapping files</t>
        </is>
      </c>
      <c r="R263" s="29" t="inlineStr">
        <is>
          <t>A3</t>
        </is>
      </c>
      <c r="S263" s="30" t="inlineStr">
        <is>
          <t>20 of 20</t>
        </is>
      </c>
      <c r="T263" s="31"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t>
        </is>
      </c>
      <c r="U263" s="32" t="inlineStr">
        <is>
          <t>KRAs not received · manager to supply</t>
        </is>
      </c>
      <c r="V263" s="31" t="inlineStr">
        <is>
          <t>Latest rating: Not rated · manager · 9-box: Not placed · manager · Readiness: No rating data</t>
        </is>
      </c>
      <c r="W263" s="31" t="inlineStr">
        <is>
          <t>C L · Au L · Ac L · L L · BI L · Exp M · 3.9 yrs vs 2–4 yrs · Edu M · B.E</t>
        </is>
      </c>
      <c r="X263" s="33" t="inlineStr">
        <is>
          <t>Open ▸</t>
        </is>
      </c>
      <c r="Y263" s="34" t="str">
        <f>IFERROR(INDEX(DL_C,MATCH($CA263,DL_KEY,0)),"M")</f>
        <v>H</v>
      </c>
      <c r="Z263" s="35" t="str">
        <f>IFERROR(INDEX(DL_Au,MATCH($CA263,DL_KEY,0)),"M")</f>
        <v>M</v>
      </c>
      <c r="AA263" s="35" t="str">
        <f>IFERROR(INDEX(DL_Ac,MATCH($CA263,DL_KEY,0)),"M")</f>
        <v>L</v>
      </c>
      <c r="AB263" s="35" t="str">
        <f>IFERROR(INDEX(DL_L,MATCH($CA263,DL_KEY,0)),"M")</f>
        <v>L</v>
      </c>
      <c r="AC263" s="35" t="str">
        <f>IFERROR(INDEX(DL_BI,MATCH($CA263,DL_KEY,0)),"M")</f>
        <v>L</v>
      </c>
      <c r="AD263" s="35" t="str">
        <f>IFERROR(INDEX(DL_Exp,MATCH($CA263,DL_KEY,0)),"M")</f>
        <v>L</v>
      </c>
      <c r="AE263" s="35" t="str">
        <f>IFERROR(INDEX(DL_Edu,MATCH($CA263,DL_KEY,0)),"M")</f>
        <v>L</v>
      </c>
      <c r="AF263" s="34" t="inlineStr">
        <is>
          <t>M</t>
        </is>
      </c>
      <c r="AG263" s="35" t="inlineStr">
        <is>
          <t>M</t>
        </is>
      </c>
      <c r="AH263" s="35" t="inlineStr">
        <is>
          <t>M</t>
        </is>
      </c>
      <c r="AI263" s="35" t="inlineStr">
        <is>
          <t>M</t>
        </is>
      </c>
      <c r="AJ263" s="35" t="inlineStr">
        <is>
          <t>M</t>
        </is>
      </c>
      <c r="AK263" s="35" t="inlineStr">
        <is>
          <t>M</t>
        </is>
      </c>
      <c r="AL263" s="35" t="inlineStr">
        <is>
          <t>M</t>
        </is>
      </c>
      <c r="AM263" s="36" t="n">
        <v>0.583</v>
      </c>
      <c r="AN263" s="37" t="n">
        <v>0.16</v>
      </c>
      <c r="AO263" s="37" t="n">
        <v>0.09</v>
      </c>
      <c r="AP263" s="37" t="n">
        <v>0</v>
      </c>
      <c r="AQ263" s="37" t="n">
        <v>0.063</v>
      </c>
      <c r="AR263" s="37" t="n">
        <v>0.06</v>
      </c>
      <c r="AS263" s="37" t="n">
        <v>0.04</v>
      </c>
      <c r="AT263" s="38" t="inlineStr">
        <is>
          <t>2–5</t>
        </is>
      </c>
      <c r="AU263" s="38" t="inlineStr">
        <is>
          <t>Graduate; relevant certification preferred</t>
        </is>
      </c>
      <c r="AV263" s="38" t="inlineStr">
        <is>
          <t>None · guides 1–3 juniors informally</t>
        </is>
      </c>
      <c r="AW263" s="38" t="inlineStr">
        <is>
          <t>P2 · SFIA 3 Apply</t>
        </is>
      </c>
      <c r="AX2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3" s="39" t="inlineStr">
        <is>
          <t>A3</t>
        </is>
      </c>
      <c r="AZ263" s="40" t="inlineStr">
        <is>
          <t>Band A · Practitioner · Senior Associate</t>
        </is>
      </c>
      <c r="BA263" s="40" t="inlineStr">
        <is>
          <t>Model A3 from the six ratings, the market-derived weights and rules R1–R13 · then No change · already below the manager</t>
        </is>
      </c>
      <c r="BB263" s="41" t="inlineStr">
        <is>
          <t>A2</t>
        </is>
      </c>
      <c r="BC263" s="40" t="inlineStr">
        <is>
          <t>The six ratings on the market-average weights of Band A · all tracks score 2.15 → A2 · Hay, Mercer IPE and public plans · experience 3.9 yrs vs the A2 market range 0–3</t>
        </is>
      </c>
      <c r="BD263" s="42">
        <f>IF(SUM(BM263,BN263,BO263,BP263,BQ263,BR263,BS263)=0,0,(BM263*BT263+BN263*BU263+BO263*BV263+BP263*BW263+BQ263*BX263+BR263*BY263+BS263*BZ263)/SUM(BM263,BN263,BO263,BP263,BQ263,BR263,BS263))</f>
        <v>0</v>
      </c>
      <c r="BE263" s="41" t="str">
        <f>IF(LEFT(AY263,1)="X",AY263,IF(OR(AY263="B+",AY263="C+"),INDEX(LAD_PC,MAX(1,MIN(14,MATCH(AY263,LAD_PC,0)+IF(BD263&gt;=0.5,1,IF(BD263&lt;=-0.5,-1,0))))),INDEX(LAD_STD,MAX(1,MIN(12,MATCH(AY263,LAD_STD,0)+IF(BD263&gt;=0.5,1,IF(BD263&lt;=-0.5,-1,0)))))))</f>
        <v>A3</v>
      </c>
      <c r="BF263" s="43" t="n"/>
      <c r="BG263" s="41" t="str">
        <f>IF(BF263&lt;&gt;"",BF263,BE263)</f>
        <v>A3</v>
      </c>
      <c r="BH263" s="40" t="str">
        <f>IFERROR(CHOOSE(INDEX(B_RANK,MATCH(BG263,B_LVL,0)),"Band A","Band B","B+ · Player-Coach","Band C","C+ · Player-Coach","Band D","Band E"),"Band X · Consultant")</f>
        <v>Band A</v>
      </c>
      <c r="BI263" s="40" t="str">
        <f>IF(BG263=AY263,"• Same",IF(INDEX(B_VAL,MATCH(BG263,B_LVL,0))&gt;INDEX(B_VAL,MATCH(AY263,B_LVL,0)),"▲ Up","▼ Down"))</f>
        <v>• Same</v>
      </c>
      <c r="BJ263" s="40" t="str">
        <f>IF(OR($M263="",$M263="—",$M263="Not in this file"),"",IFERROR(INDEX($BG$7:$BG$592,MATCH($M263,$D$7:$D$592,0)),""))</f>
        <v>B2</v>
      </c>
      <c r="BK263" s="40" t="str">
        <f>IFERROR(IF(BJ263="","—",IF(OR(LEFT(BG263,1)="X",LEFT(BJ263,1)="X"),"—",IF(AND(LEFT(BG263,1)="E",LEFT(BJ263,1)="E"),"Exception · Band E",IF(AND(INDEX(B_VAL,MATCH(BJ263,B_LVL,0))&gt;=7,INDEX(B_RANK,MATCH(BG263,B_LVL,0))&gt;=INDEX(B_RANK,MATCH(BJ263,B_LVL,0))),"⚠ Same band as a head manager",IF(INDEX(B_VAL,MATCH(BG263,B_LVL,0))&gt;=INDEX(B_VAL,MATCH(BJ263,B_LVL,0)),"⚠ At or above the manager's level","OK"))))),"—")</f>
        <v>OK</v>
      </c>
      <c r="BL263" s="43" t="n"/>
      <c r="BM263" s="44">
        <f>IFERROR(INDEX(LMH_PTS,MATCH(Y263,LMH_KEY,0)),0)</f>
        <v>9</v>
      </c>
      <c r="BN263" s="38">
        <f>IFERROR(INDEX(LMH_PTS,MATCH(Z263,LMH_KEY,0)),0)</f>
        <v>3</v>
      </c>
      <c r="BO263" s="38">
        <f>IFERROR(INDEX(LMH_PTS,MATCH(AA263,LMH_KEY,0)),0)</f>
        <v>1</v>
      </c>
      <c r="BP263" s="38">
        <f>IFERROR(INDEX(LMH_PTS,MATCH(AB263,LMH_KEY,0)),0)</f>
        <v>1</v>
      </c>
      <c r="BQ263" s="38">
        <f>IFERROR(INDEX(LMH_PTS,MATCH(AC263,LMH_KEY,0)),0)</f>
        <v>1</v>
      </c>
      <c r="BR263" s="38">
        <f>IFERROR(INDEX(LMH_PTS,MATCH(AD263,LMH_KEY,0)),0)</f>
        <v>1</v>
      </c>
      <c r="BS263" s="38">
        <f>IFERROR(INDEX(LMH_PTS,MATCH(AE263,LMH_KEY,0)),0)</f>
        <v>1</v>
      </c>
      <c r="BT263" s="38">
        <f>IFERROR(INDEX(LMH_STEP,MATCH(AF263,LMH_KEY,0)),0)</f>
        <v>0</v>
      </c>
      <c r="BU263" s="38">
        <f>IFERROR(INDEX(LMH_STEP,MATCH(AG263,LMH_KEY,0)),0)</f>
        <v>0</v>
      </c>
      <c r="BV263" s="38">
        <f>IFERROR(INDEX(LMH_STEP,MATCH(AH263,LMH_KEY,0)),0)</f>
        <v>0</v>
      </c>
      <c r="BW263" s="38">
        <f>IFERROR(INDEX(LMH_STEP,MATCH(AI263,LMH_KEY,0)),0)</f>
        <v>0</v>
      </c>
      <c r="BX263" s="38">
        <f>IFERROR(INDEX(LMH_STEP,MATCH(AJ263,LMH_KEY,0)),0)</f>
        <v>0</v>
      </c>
      <c r="BY263" s="38">
        <f>IFERROR(INDEX(LMH_STEP,MATCH(AK263,LMH_KEY,0)),0)</f>
        <v>0</v>
      </c>
      <c r="BZ263" s="38">
        <f>IFERROR(INDEX(LMH_STEP,MATCH(AL263,LMH_KEY,0)),0)</f>
        <v>0</v>
      </c>
      <c r="CA263" s="38" t="inlineStr">
        <is>
          <t>iFile|Technology|Senior UI Developer|A3|A</t>
        </is>
      </c>
    </row>
    <row r="264" ht="110" customHeight="1">
      <c r="A264" s="28" t="inlineStr">
        <is>
          <t>iFile</t>
        </is>
      </c>
      <c r="B264" s="29" t="inlineStr">
        <is>
          <t>Technology</t>
        </is>
      </c>
      <c r="C264" s="29" t="n">
        <v>5</v>
      </c>
      <c r="D264" s="29" t="inlineStr">
        <is>
          <t>IRIS2441</t>
        </is>
      </c>
      <c r="E264" s="29" t="inlineStr">
        <is>
          <t>Mayuresh Raghunath Mahale</t>
        </is>
      </c>
      <c r="F264" s="29" t="inlineStr">
        <is>
          <t>Trainee Software Engineer</t>
        </is>
      </c>
      <c r="G264" s="29" t="inlineStr">
        <is>
          <t>Trainee Software Engineer</t>
        </is>
      </c>
      <c r="H264" s="29" t="inlineStr">
        <is>
          <t>Engineering &amp; Development</t>
        </is>
      </c>
      <c r="I264" s="29" t="inlineStr">
        <is>
          <t>Full-Stack Development</t>
        </is>
      </c>
      <c r="J264" s="29" t="inlineStr">
        <is>
          <t>IC</t>
        </is>
      </c>
      <c r="K264" s="29" t="inlineStr">
        <is>
          <t>RC-083</t>
        </is>
      </c>
      <c r="L264" s="29" t="inlineStr">
        <is>
          <t>Alwina Shaikh</t>
        </is>
      </c>
      <c r="M264" s="29" t="inlineStr">
        <is>
          <t>IRIS0103</t>
        </is>
      </c>
      <c r="N264" s="29" t="n">
        <v>0.9</v>
      </c>
      <c r="O264" s="29" t="n">
        <v>0.9</v>
      </c>
      <c r="P264" s="29" t="inlineStr">
        <is>
          <t>B.E</t>
        </is>
      </c>
      <c r="Q264" s="29" t="inlineStr">
        <is>
          <t>L2 – Trainee</t>
        </is>
      </c>
      <c r="R264" s="29" t="inlineStr">
        <is>
          <t>A1</t>
        </is>
      </c>
      <c r="S264" s="30" t="inlineStr">
        <is>
          <t>20 of 20</t>
        </is>
      </c>
      <c r="T264" s="32" t="inlineStr">
        <is>
          <t>Full survey answers not in the files received · How We Grow export needed · HR</t>
        </is>
      </c>
      <c r="U264" s="31" t="inlineStr">
        <is>
          <t>Received · quarterly · KRAs not received · manager to supply</t>
        </is>
      </c>
      <c r="V264" s="31" t="inlineStr">
        <is>
          <t>Latest rating: 3 · Potential: Medium · 9-box: Trusted Professional · Readiness: Develop in role</t>
        </is>
      </c>
      <c r="W264" s="31" t="inlineStr">
        <is>
          <t>C — · Au — · Ac — · L — · BI — · Exp H · 0.9 yrs vs 0 yrs · fresher / intern · Edu M · B.E</t>
        </is>
      </c>
      <c r="X264" s="33" t="inlineStr">
        <is>
          <t>Open ▸</t>
        </is>
      </c>
      <c r="Y264" s="34" t="str">
        <f>IFERROR(INDEX(DL_C,MATCH($CA264,DL_KEY,0)),"M")</f>
        <v>H</v>
      </c>
      <c r="Z264" s="35" t="str">
        <f>IFERROR(INDEX(DL_Au,MATCH($CA264,DL_KEY,0)),"M")</f>
        <v>M</v>
      </c>
      <c r="AA264" s="35" t="str">
        <f>IFERROR(INDEX(DL_Ac,MATCH($CA264,DL_KEY,0)),"M")</f>
        <v>L</v>
      </c>
      <c r="AB264" s="35" t="str">
        <f>IFERROR(INDEX(DL_L,MATCH($CA264,DL_KEY,0)),"M")</f>
        <v>L</v>
      </c>
      <c r="AC264" s="35" t="str">
        <f>IFERROR(INDEX(DL_BI,MATCH($CA264,DL_KEY,0)),"M")</f>
        <v>L</v>
      </c>
      <c r="AD264" s="35" t="str">
        <f>IFERROR(INDEX(DL_Exp,MATCH($CA264,DL_KEY,0)),"M")</f>
        <v>L</v>
      </c>
      <c r="AE264" s="35" t="str">
        <f>IFERROR(INDEX(DL_Edu,MATCH($CA264,DL_KEY,0)),"M")</f>
        <v>L</v>
      </c>
      <c r="AF264" s="34" t="inlineStr">
        <is>
          <t>M</t>
        </is>
      </c>
      <c r="AG264" s="35" t="inlineStr">
        <is>
          <t>M</t>
        </is>
      </c>
      <c r="AH264" s="35" t="inlineStr">
        <is>
          <t>M</t>
        </is>
      </c>
      <c r="AI264" s="35" t="inlineStr">
        <is>
          <t>M</t>
        </is>
      </c>
      <c r="AJ264" s="35" t="inlineStr">
        <is>
          <t>M</t>
        </is>
      </c>
      <c r="AK264" s="35" t="inlineStr">
        <is>
          <t>M</t>
        </is>
      </c>
      <c r="AL264" s="35" t="inlineStr">
        <is>
          <t>M</t>
        </is>
      </c>
      <c r="AM264" s="36" t="n">
        <v>0.583</v>
      </c>
      <c r="AN264" s="37" t="n">
        <v>0.16</v>
      </c>
      <c r="AO264" s="37" t="n">
        <v>0.09</v>
      </c>
      <c r="AP264" s="37" t="n">
        <v>0</v>
      </c>
      <c r="AQ264" s="37" t="n">
        <v>0.063</v>
      </c>
      <c r="AR264" s="37" t="n">
        <v>0.06</v>
      </c>
      <c r="AS264" s="37" t="n">
        <v>0.04</v>
      </c>
      <c r="AT264" s="38" t="inlineStr">
        <is>
          <t>0 yrs · fresher / intern</t>
        </is>
      </c>
      <c r="AU264" s="38" t="inlineStr">
        <is>
          <t>Pursuing or completed graduation / diploma</t>
        </is>
      </c>
      <c r="AV264" s="38" t="inlineStr">
        <is>
          <t>No direct reports</t>
        </is>
      </c>
      <c r="AW264" s="38" t="inlineStr">
        <is>
          <t>Entry / P1 · intern · SFIA 1 Follow</t>
        </is>
      </c>
      <c r="AX2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4" s="39" t="inlineStr">
        <is>
          <t>A1</t>
        </is>
      </c>
      <c r="AZ264" s="40" t="inlineStr">
        <is>
          <t>Band A · Practitioner · Intern / Trainee</t>
        </is>
      </c>
      <c r="BA264" s="40" t="inlineStr">
        <is>
          <t>Model A1 from the six ratings, the market-derived weights and rules R1–R13 · then No change · already below the manager</t>
        </is>
      </c>
      <c r="BB264" s="41" t="inlineStr">
        <is>
          <t>A1</t>
        </is>
      </c>
      <c r="BC264" s="40" t="inlineStr">
        <is>
          <t>Placed by a category rule — no full set of ratings · benchmark follows the HR proposed level</t>
        </is>
      </c>
      <c r="BD264" s="42">
        <f>IF(SUM(BM264,BN264,BO264,BP264,BQ264,BR264,BS264)=0,0,(BM264*BT264+BN264*BU264+BO264*BV264+BP264*BW264+BQ264*BX264+BR264*BY264+BS264*BZ264)/SUM(BM264,BN264,BO264,BP264,BQ264,BR264,BS264))</f>
        <v>0</v>
      </c>
      <c r="BE264" s="41" t="str">
        <f>IF(LEFT(AY264,1)="X",AY264,IF(OR(AY264="B+",AY264="C+"),INDEX(LAD_PC,MAX(1,MIN(14,MATCH(AY264,LAD_PC,0)+IF(BD264&gt;=0.5,1,IF(BD264&lt;=-0.5,-1,0))))),INDEX(LAD_STD,MAX(1,MIN(12,MATCH(AY264,LAD_STD,0)+IF(BD264&gt;=0.5,1,IF(BD264&lt;=-0.5,-1,0)))))))</f>
        <v>A1</v>
      </c>
      <c r="BF264" s="43" t="n"/>
      <c r="BG264" s="41" t="str">
        <f>IF(BF264&lt;&gt;"",BF264,BE264)</f>
        <v>A1</v>
      </c>
      <c r="BH264" s="40" t="str">
        <f>IFERROR(CHOOSE(INDEX(B_RANK,MATCH(BG264,B_LVL,0)),"Band A","Band B","B+ · Player-Coach","Band C","C+ · Player-Coach","Band D","Band E"),"Band X · Consultant")</f>
        <v>Band A</v>
      </c>
      <c r="BI264" s="40" t="str">
        <f>IF(BG264=AY264,"• Same",IF(INDEX(B_VAL,MATCH(BG264,B_LVL,0))&gt;INDEX(B_VAL,MATCH(AY264,B_LVL,0)),"▲ Up","▼ Down"))</f>
        <v>• Same</v>
      </c>
      <c r="BJ264" s="40" t="str">
        <f>IF(OR($M264="",$M264="—",$M264="Not in this file"),"",IFERROR(INDEX($BG$7:$BG$592,MATCH($M264,$D$7:$D$592,0)),""))</f>
        <v>B2</v>
      </c>
      <c r="BK264" s="40" t="str">
        <f>IFERROR(IF(BJ264="","—",IF(OR(LEFT(BG264,1)="X",LEFT(BJ264,1)="X"),"—",IF(AND(LEFT(BG264,1)="E",LEFT(BJ264,1)="E"),"Exception · Band E",IF(AND(INDEX(B_VAL,MATCH(BJ264,B_LVL,0))&gt;=7,INDEX(B_RANK,MATCH(BG264,B_LVL,0))&gt;=INDEX(B_RANK,MATCH(BJ264,B_LVL,0))),"⚠ Same band as a head manager",IF(INDEX(B_VAL,MATCH(BG264,B_LVL,0))&gt;=INDEX(B_VAL,MATCH(BJ264,B_LVL,0)),"⚠ At or above the manager's level","OK"))))),"—")</f>
        <v>OK</v>
      </c>
      <c r="BL264" s="43" t="n"/>
      <c r="BM264" s="44">
        <f>IFERROR(INDEX(LMH_PTS,MATCH(Y264,LMH_KEY,0)),0)</f>
        <v>9</v>
      </c>
      <c r="BN264" s="38">
        <f>IFERROR(INDEX(LMH_PTS,MATCH(Z264,LMH_KEY,0)),0)</f>
        <v>3</v>
      </c>
      <c r="BO264" s="38">
        <f>IFERROR(INDEX(LMH_PTS,MATCH(AA264,LMH_KEY,0)),0)</f>
        <v>1</v>
      </c>
      <c r="BP264" s="38">
        <f>IFERROR(INDEX(LMH_PTS,MATCH(AB264,LMH_KEY,0)),0)</f>
        <v>1</v>
      </c>
      <c r="BQ264" s="38">
        <f>IFERROR(INDEX(LMH_PTS,MATCH(AC264,LMH_KEY,0)),0)</f>
        <v>1</v>
      </c>
      <c r="BR264" s="38">
        <f>IFERROR(INDEX(LMH_PTS,MATCH(AD264,LMH_KEY,0)),0)</f>
        <v>1</v>
      </c>
      <c r="BS264" s="38">
        <f>IFERROR(INDEX(LMH_PTS,MATCH(AE264,LMH_KEY,0)),0)</f>
        <v>1</v>
      </c>
      <c r="BT264" s="38">
        <f>IFERROR(INDEX(LMH_STEP,MATCH(AF264,LMH_KEY,0)),0)</f>
        <v>0</v>
      </c>
      <c r="BU264" s="38">
        <f>IFERROR(INDEX(LMH_STEP,MATCH(AG264,LMH_KEY,0)),0)</f>
        <v>0</v>
      </c>
      <c r="BV264" s="38">
        <f>IFERROR(INDEX(LMH_STEP,MATCH(AH264,LMH_KEY,0)),0)</f>
        <v>0</v>
      </c>
      <c r="BW264" s="38">
        <f>IFERROR(INDEX(LMH_STEP,MATCH(AI264,LMH_KEY,0)),0)</f>
        <v>0</v>
      </c>
      <c r="BX264" s="38">
        <f>IFERROR(INDEX(LMH_STEP,MATCH(AJ264,LMH_KEY,0)),0)</f>
        <v>0</v>
      </c>
      <c r="BY264" s="38">
        <f>IFERROR(INDEX(LMH_STEP,MATCH(AK264,LMH_KEY,0)),0)</f>
        <v>0</v>
      </c>
      <c r="BZ264" s="38">
        <f>IFERROR(INDEX(LMH_STEP,MATCH(AL264,LMH_KEY,0)),0)</f>
        <v>0</v>
      </c>
      <c r="CA264" s="38" t="inlineStr">
        <is>
          <t>iFile|Technology|Trainee Software Engineer|A1|A</t>
        </is>
      </c>
    </row>
    <row r="265" ht="110" customHeight="1">
      <c r="A265" s="28" t="inlineStr">
        <is>
          <t>iFile</t>
        </is>
      </c>
      <c r="B265" s="29" t="inlineStr">
        <is>
          <t>Technology</t>
        </is>
      </c>
      <c r="C265" s="29" t="n">
        <v>4</v>
      </c>
      <c r="D265" s="29" t="inlineStr">
        <is>
          <t>IRIS1476</t>
        </is>
      </c>
      <c r="E265" s="29" t="inlineStr">
        <is>
          <t>Himanshu Pawar</t>
        </is>
      </c>
      <c r="F265" s="29" t="inlineStr">
        <is>
          <t>Lead Software Engineer</t>
        </is>
      </c>
      <c r="G265" s="29" t="inlineStr">
        <is>
          <t>Lead Software Engineer</t>
        </is>
      </c>
      <c r="H265" s="29" t="inlineStr">
        <is>
          <t>Engineering &amp; Development</t>
        </is>
      </c>
      <c r="I265" s="29" t="inlineStr">
        <is>
          <t>Backend Development</t>
        </is>
      </c>
      <c r="J265" s="29" t="inlineStr">
        <is>
          <t>IC</t>
        </is>
      </c>
      <c r="K265" s="29" t="inlineStr">
        <is>
          <t>RC-069</t>
        </is>
      </c>
      <c r="L265" s="29" t="inlineStr">
        <is>
          <t>Sharanagouda Patil</t>
        </is>
      </c>
      <c r="M265" s="29" t="inlineStr">
        <is>
          <t>IRIS1690</t>
        </is>
      </c>
      <c r="N265" s="29" t="n">
        <v>14.1</v>
      </c>
      <c r="O265" s="29" t="n">
        <v>12.1</v>
      </c>
      <c r="P265" s="29" t="inlineStr">
        <is>
          <t>B.E</t>
        </is>
      </c>
      <c r="Q265" s="29" t="inlineStr">
        <is>
          <t>L5 – Lead · IC</t>
        </is>
      </c>
      <c r="R265" s="29" t="inlineStr">
        <is>
          <t>B2</t>
        </is>
      </c>
      <c r="S265" s="30" t="inlineStr">
        <is>
          <t>20 of 20</t>
        </is>
      </c>
      <c r="T265" s="31" t="inlineStr">
        <is>
          <t>Business Impact: No survey or manager-mapping signal on criticality: kept at the start point.</t>
        </is>
      </c>
      <c r="U265" s="31" t="inlineStr">
        <is>
          <t>Received · quarterly · KRAs not received · manager to supply</t>
        </is>
      </c>
      <c r="V265" s="31" t="inlineStr">
        <is>
          <t>Latest rating: 3 · Potential: Medium · 9-box: Trusted Professional · Readiness: Develop in role</t>
        </is>
      </c>
      <c r="W265" s="31" t="inlineStr">
        <is>
          <t>C M · Au M · Ac M · L M · BI M · Exp H · 14.1 yrs vs 6–9 yrs · Edu M · B.E</t>
        </is>
      </c>
      <c r="X265" s="33" t="inlineStr">
        <is>
          <t>Open ▸</t>
        </is>
      </c>
      <c r="Y265" s="34" t="str">
        <f>IFERROR(INDEX(DL_C,MATCH($CA265,DL_KEY,0)),"M")</f>
        <v>H</v>
      </c>
      <c r="Z265" s="35" t="str">
        <f>IFERROR(INDEX(DL_Au,MATCH($CA265,DL_KEY,0)),"M")</f>
        <v>M</v>
      </c>
      <c r="AA265" s="35" t="str">
        <f>IFERROR(INDEX(DL_Ac,MATCH($CA265,DL_KEY,0)),"M")</f>
        <v>L</v>
      </c>
      <c r="AB265" s="35" t="str">
        <f>IFERROR(INDEX(DL_L,MATCH($CA265,DL_KEY,0)),"M")</f>
        <v>L</v>
      </c>
      <c r="AC265" s="35" t="str">
        <f>IFERROR(INDEX(DL_BI,MATCH($CA265,DL_KEY,0)),"M")</f>
        <v>L</v>
      </c>
      <c r="AD265" s="35" t="str">
        <f>IFERROR(INDEX(DL_Exp,MATCH($CA265,DL_KEY,0)),"M")</f>
        <v>L</v>
      </c>
      <c r="AE265" s="35" t="str">
        <f>IFERROR(INDEX(DL_Edu,MATCH($CA265,DL_KEY,0)),"M")</f>
        <v>L</v>
      </c>
      <c r="AF265" s="34" t="inlineStr">
        <is>
          <t>M</t>
        </is>
      </c>
      <c r="AG265" s="35" t="inlineStr">
        <is>
          <t>M</t>
        </is>
      </c>
      <c r="AH265" s="35" t="inlineStr">
        <is>
          <t>M</t>
        </is>
      </c>
      <c r="AI265" s="35" t="inlineStr">
        <is>
          <t>M</t>
        </is>
      </c>
      <c r="AJ265" s="35" t="inlineStr">
        <is>
          <t>M</t>
        </is>
      </c>
      <c r="AK265" s="35" t="inlineStr">
        <is>
          <t>M</t>
        </is>
      </c>
      <c r="AL265" s="35" t="inlineStr">
        <is>
          <t>M</t>
        </is>
      </c>
      <c r="AM265" s="36" t="n">
        <v>0.513</v>
      </c>
      <c r="AN265" s="37" t="n">
        <v>0.173</v>
      </c>
      <c r="AO265" s="37" t="n">
        <v>0.09699999999999999</v>
      </c>
      <c r="AP265" s="37" t="n">
        <v>0.05</v>
      </c>
      <c r="AQ265" s="37" t="n">
        <v>0.07000000000000001</v>
      </c>
      <c r="AR265" s="37" t="n">
        <v>0.06</v>
      </c>
      <c r="AS265" s="37" t="n">
        <v>0.04</v>
      </c>
      <c r="AT265" s="38" t="inlineStr">
        <is>
          <t>6–10</t>
        </is>
      </c>
      <c r="AU265" s="38" t="inlineStr">
        <is>
          <t>Graduate or postgraduate; professional qualification preferred</t>
        </is>
      </c>
      <c r="AV265" s="38" t="inlineStr">
        <is>
          <t>IC: none · People: 6–8 knowledge work, 8–12 standardised delivery</t>
        </is>
      </c>
      <c r="AW265" s="38" t="inlineStr">
        <is>
          <t>P4 / M3 · SFIA 4–5</t>
        </is>
      </c>
      <c r="AX2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5" s="39" t="inlineStr">
        <is>
          <t>B2</t>
        </is>
      </c>
      <c r="AZ265" s="40" t="inlineStr">
        <is>
          <t>Band B · Specialist / Manager · Senior Specialist</t>
        </is>
      </c>
      <c r="BA265" s="40" t="inlineStr">
        <is>
          <t>Model B2 from the six ratings, the market-derived weights and rules R1–R13 · then No change · already below the manager</t>
        </is>
      </c>
      <c r="BB265" s="41" t="inlineStr">
        <is>
          <t>B2</t>
        </is>
      </c>
      <c r="BC265" s="40" t="inlineStr">
        <is>
          <t>The six ratings on the market-average weights of Band B · Specialist / POD Lead score 5.36 → B2 · Hay, Mercer IPE and public plans · experience 14.1 yrs vs the B2 market range 6–10</t>
        </is>
      </c>
      <c r="BD265" s="42">
        <f>IF(SUM(BM265,BN265,BO265,BP265,BQ265,BR265,BS265)=0,0,(BM265*BT265+BN265*BU265+BO265*BV265+BP265*BW265+BQ265*BX265+BR265*BY265+BS265*BZ265)/SUM(BM265,BN265,BO265,BP265,BQ265,BR265,BS265))</f>
        <v>0</v>
      </c>
      <c r="BE265" s="41" t="str">
        <f>IF(LEFT(AY265,1)="X",AY265,IF(OR(AY265="B+",AY265="C+"),INDEX(LAD_PC,MAX(1,MIN(14,MATCH(AY265,LAD_PC,0)+IF(BD265&gt;=0.5,1,IF(BD265&lt;=-0.5,-1,0))))),INDEX(LAD_STD,MAX(1,MIN(12,MATCH(AY265,LAD_STD,0)+IF(BD265&gt;=0.5,1,IF(BD265&lt;=-0.5,-1,0)))))))</f>
        <v>B2</v>
      </c>
      <c r="BF265" s="43" t="n"/>
      <c r="BG265" s="41" t="str">
        <f>IF(BF265&lt;&gt;"",BF265,BE265)</f>
        <v>B2</v>
      </c>
      <c r="BH265" s="40" t="str">
        <f>IFERROR(CHOOSE(INDEX(B_RANK,MATCH(BG265,B_LVL,0)),"Band A","Band B","B+ · Player-Coach","Band C","C+ · Player-Coach","Band D","Band E"),"Band X · Consultant")</f>
        <v>Band B</v>
      </c>
      <c r="BI265" s="40" t="str">
        <f>IF(BG265=AY265,"• Same",IF(INDEX(B_VAL,MATCH(BG265,B_LVL,0))&gt;INDEX(B_VAL,MATCH(AY265,B_LVL,0)),"▲ Up","▼ Down"))</f>
        <v>• Same</v>
      </c>
      <c r="BJ265" s="40" t="str">
        <f>IF(OR($M265="",$M265="—",$M265="Not in this file"),"",IFERROR(INDEX($BG$7:$BG$592,MATCH($M265,$D$7:$D$592,0)),""))</f>
        <v>B3</v>
      </c>
      <c r="BK265" s="40" t="str">
        <f>IFERROR(IF(BJ265="","—",IF(OR(LEFT(BG265,1)="X",LEFT(BJ265,1)="X"),"—",IF(AND(LEFT(BG265,1)="E",LEFT(BJ265,1)="E"),"Exception · Band E",IF(AND(INDEX(B_VAL,MATCH(BJ265,B_LVL,0))&gt;=7,INDEX(B_RANK,MATCH(BG265,B_LVL,0))&gt;=INDEX(B_RANK,MATCH(BJ265,B_LVL,0))),"⚠ Same band as a head manager",IF(INDEX(B_VAL,MATCH(BG265,B_LVL,0))&gt;=INDEX(B_VAL,MATCH(BJ265,B_LVL,0)),"⚠ At or above the manager's level","OK"))))),"—")</f>
        <v>OK</v>
      </c>
      <c r="BL265" s="43" t="n"/>
      <c r="BM265" s="44">
        <f>IFERROR(INDEX(LMH_PTS,MATCH(Y265,LMH_KEY,0)),0)</f>
        <v>9</v>
      </c>
      <c r="BN265" s="38">
        <f>IFERROR(INDEX(LMH_PTS,MATCH(Z265,LMH_KEY,0)),0)</f>
        <v>3</v>
      </c>
      <c r="BO265" s="38">
        <f>IFERROR(INDEX(LMH_PTS,MATCH(AA265,LMH_KEY,0)),0)</f>
        <v>1</v>
      </c>
      <c r="BP265" s="38">
        <f>IFERROR(INDEX(LMH_PTS,MATCH(AB265,LMH_KEY,0)),0)</f>
        <v>1</v>
      </c>
      <c r="BQ265" s="38">
        <f>IFERROR(INDEX(LMH_PTS,MATCH(AC265,LMH_KEY,0)),0)</f>
        <v>1</v>
      </c>
      <c r="BR265" s="38">
        <f>IFERROR(INDEX(LMH_PTS,MATCH(AD265,LMH_KEY,0)),0)</f>
        <v>1</v>
      </c>
      <c r="BS265" s="38">
        <f>IFERROR(INDEX(LMH_PTS,MATCH(AE265,LMH_KEY,0)),0)</f>
        <v>1</v>
      </c>
      <c r="BT265" s="38">
        <f>IFERROR(INDEX(LMH_STEP,MATCH(AF265,LMH_KEY,0)),0)</f>
        <v>0</v>
      </c>
      <c r="BU265" s="38">
        <f>IFERROR(INDEX(LMH_STEP,MATCH(AG265,LMH_KEY,0)),0)</f>
        <v>0</v>
      </c>
      <c r="BV265" s="38">
        <f>IFERROR(INDEX(LMH_STEP,MATCH(AH265,LMH_KEY,0)),0)</f>
        <v>0</v>
      </c>
      <c r="BW265" s="38">
        <f>IFERROR(INDEX(LMH_STEP,MATCH(AI265,LMH_KEY,0)),0)</f>
        <v>0</v>
      </c>
      <c r="BX265" s="38">
        <f>IFERROR(INDEX(LMH_STEP,MATCH(AJ265,LMH_KEY,0)),0)</f>
        <v>0</v>
      </c>
      <c r="BY265" s="38">
        <f>IFERROR(INDEX(LMH_STEP,MATCH(AK265,LMH_KEY,0)),0)</f>
        <v>0</v>
      </c>
      <c r="BZ265" s="38">
        <f>IFERROR(INDEX(LMH_STEP,MATCH(AL265,LMH_KEY,0)),0)</f>
        <v>0</v>
      </c>
      <c r="CA265" s="38" t="inlineStr">
        <is>
          <t>iFile|Technology|Lead Software Engineer|B2|B-IC</t>
        </is>
      </c>
    </row>
    <row r="266" ht="110" customHeight="1">
      <c r="A266" s="28" t="inlineStr">
        <is>
          <t>iFile</t>
        </is>
      </c>
      <c r="B266" s="29" t="inlineStr">
        <is>
          <t>Technology</t>
        </is>
      </c>
      <c r="C266" s="29" t="n">
        <v>4</v>
      </c>
      <c r="D266" s="29" t="inlineStr">
        <is>
          <t>IRIS1627</t>
        </is>
      </c>
      <c r="E266" s="29" t="inlineStr">
        <is>
          <t>Manish Chouhan</t>
        </is>
      </c>
      <c r="F266" s="29" t="inlineStr">
        <is>
          <t>Senior Software Engineer</t>
        </is>
      </c>
      <c r="G266" s="29" t="inlineStr">
        <is>
          <t>Senior Technical Specialist – POD Lead</t>
        </is>
      </c>
      <c r="H266" s="29" t="inlineStr">
        <is>
          <t>Engineering &amp; Development</t>
        </is>
      </c>
      <c r="I266" s="29" t="inlineStr">
        <is>
          <t>Backend Development</t>
        </is>
      </c>
      <c r="J266" s="29" t="inlineStr">
        <is>
          <t>POD Lead</t>
        </is>
      </c>
      <c r="K266" s="29" t="inlineStr">
        <is>
          <t>RC-068</t>
        </is>
      </c>
      <c r="L266" s="29" t="inlineStr">
        <is>
          <t>Sharanagouda Patil</t>
        </is>
      </c>
      <c r="M266" s="29" t="inlineStr">
        <is>
          <t>IRIS1690</t>
        </is>
      </c>
      <c r="N266" s="29" t="n">
        <v>11.6</v>
      </c>
      <c r="O266" s="29" t="n">
        <v>9.6</v>
      </c>
      <c r="P266" s="29" t="inlineStr">
        <is>
          <t>M.Tech</t>
        </is>
      </c>
      <c r="Q266" s="29" t="inlineStr">
        <is>
          <t>L4 – Senior</t>
        </is>
      </c>
      <c r="R266" s="29" t="inlineStr">
        <is>
          <t>B1</t>
        </is>
      </c>
      <c r="S266" s="30" t="inlineStr">
        <is>
          <t>19 of 20</t>
        </is>
      </c>
      <c r="T266" s="31"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t>
        </is>
      </c>
      <c r="U266" s="31" t="inlineStr">
        <is>
          <t>Received · quarterly · KRAs not received · manager to supply</t>
        </is>
      </c>
      <c r="V266" s="31" t="inlineStr">
        <is>
          <t>Latest rating: 3 · Potential: Medium · 9-box: Trusted Professional · Readiness: Develop in role</t>
        </is>
      </c>
      <c r="W266" s="31" t="inlineStr">
        <is>
          <t>C M · Au M · Ac M · L M · BI M · Exp H · 11.6 yrs vs 4–7 yrs · Edu H · M.Tech</t>
        </is>
      </c>
      <c r="X266" s="33" t="inlineStr">
        <is>
          <t>Open ▸</t>
        </is>
      </c>
      <c r="Y266" s="34" t="str">
        <f>IFERROR(INDEX(DL_C,MATCH($CA266,DL_KEY,0)),"M")</f>
        <v>H</v>
      </c>
      <c r="Z266" s="35" t="str">
        <f>IFERROR(INDEX(DL_Au,MATCH($CA266,DL_KEY,0)),"M")</f>
        <v>M</v>
      </c>
      <c r="AA266" s="35" t="str">
        <f>IFERROR(INDEX(DL_Ac,MATCH($CA266,DL_KEY,0)),"M")</f>
        <v>L</v>
      </c>
      <c r="AB266" s="35" t="str">
        <f>IFERROR(INDEX(DL_L,MATCH($CA266,DL_KEY,0)),"M")</f>
        <v>L</v>
      </c>
      <c r="AC266" s="35" t="str">
        <f>IFERROR(INDEX(DL_BI,MATCH($CA266,DL_KEY,0)),"M")</f>
        <v>L</v>
      </c>
      <c r="AD266" s="35" t="str">
        <f>IFERROR(INDEX(DL_Exp,MATCH($CA266,DL_KEY,0)),"M")</f>
        <v>L</v>
      </c>
      <c r="AE266" s="35" t="str">
        <f>IFERROR(INDEX(DL_Edu,MATCH($CA266,DL_KEY,0)),"M")</f>
        <v>L</v>
      </c>
      <c r="AF266" s="34" t="inlineStr">
        <is>
          <t>M</t>
        </is>
      </c>
      <c r="AG266" s="35" t="inlineStr">
        <is>
          <t>M</t>
        </is>
      </c>
      <c r="AH266" s="35" t="inlineStr">
        <is>
          <t>M</t>
        </is>
      </c>
      <c r="AI266" s="35" t="inlineStr">
        <is>
          <t>M</t>
        </is>
      </c>
      <c r="AJ266" s="35" t="inlineStr">
        <is>
          <t>M</t>
        </is>
      </c>
      <c r="AK266" s="35" t="inlineStr">
        <is>
          <t>M</t>
        </is>
      </c>
      <c r="AL266" s="35" t="inlineStr">
        <is>
          <t>M</t>
        </is>
      </c>
      <c r="AM266" s="36" t="n">
        <v>0.513</v>
      </c>
      <c r="AN266" s="37" t="n">
        <v>0.173</v>
      </c>
      <c r="AO266" s="37" t="n">
        <v>0.09699999999999999</v>
      </c>
      <c r="AP266" s="37" t="n">
        <v>0.05</v>
      </c>
      <c r="AQ266" s="37" t="n">
        <v>0.07000000000000001</v>
      </c>
      <c r="AR266" s="37" t="n">
        <v>0.06</v>
      </c>
      <c r="AS266" s="37" t="n">
        <v>0.04</v>
      </c>
      <c r="AT266" s="38" t="inlineStr">
        <is>
          <t>4–8</t>
        </is>
      </c>
      <c r="AU266" s="38" t="inlineStr">
        <is>
          <t>Graduate + relevant qualification or certification preferred</t>
        </is>
      </c>
      <c r="AV266" s="38" t="inlineStr">
        <is>
          <t>IC: none · Team Lead: 3–5</t>
        </is>
      </c>
      <c r="AW266" s="38" t="inlineStr">
        <is>
          <t>P3 / M2 · SFIA 4 Enable</t>
        </is>
      </c>
      <c r="AX2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6" s="39" t="inlineStr">
        <is>
          <t>B1</t>
        </is>
      </c>
      <c r="AZ266" s="40" t="inlineStr">
        <is>
          <t>Band B · Specialist / Manager · Team Lead / Asst Manager</t>
        </is>
      </c>
      <c r="BA266" s="40" t="inlineStr">
        <is>
          <t>Model B1 from the six ratings, the market-derived weights and rules R1–R13 · then No change · already below the manager</t>
        </is>
      </c>
      <c r="BB266" s="41" t="inlineStr">
        <is>
          <t>B1</t>
        </is>
      </c>
      <c r="BC266" s="40" t="inlineStr">
        <is>
          <t>The six ratings on the market-average weights of Band B · Specialist / POD Lead score 4.26 → B1 · Hay, Mercer IPE and public plans · experience 11.6 yrs vs the B1 market range 4–8</t>
        </is>
      </c>
      <c r="BD266" s="42">
        <f>IF(SUM(BM266,BN266,BO266,BP266,BQ266,BR266,BS266)=0,0,(BM266*BT266+BN266*BU266+BO266*BV266+BP266*BW266+BQ266*BX266+BR266*BY266+BS266*BZ266)/SUM(BM266,BN266,BO266,BP266,BQ266,BR266,BS266))</f>
        <v>0</v>
      </c>
      <c r="BE266" s="41" t="str">
        <f>IF(LEFT(AY266,1)="X",AY266,IF(OR(AY266="B+",AY266="C+"),INDEX(LAD_PC,MAX(1,MIN(14,MATCH(AY266,LAD_PC,0)+IF(BD266&gt;=0.5,1,IF(BD266&lt;=-0.5,-1,0))))),INDEX(LAD_STD,MAX(1,MIN(12,MATCH(AY266,LAD_STD,0)+IF(BD266&gt;=0.5,1,IF(BD266&lt;=-0.5,-1,0)))))))</f>
        <v>B1</v>
      </c>
      <c r="BF266" s="43" t="n"/>
      <c r="BG266" s="41" t="str">
        <f>IF(BF266&lt;&gt;"",BF266,BE266)</f>
        <v>B1</v>
      </c>
      <c r="BH266" s="40" t="str">
        <f>IFERROR(CHOOSE(INDEX(B_RANK,MATCH(BG266,B_LVL,0)),"Band A","Band B","B+ · Player-Coach","Band C","C+ · Player-Coach","Band D","Band E"),"Band X · Consultant")</f>
        <v>Band B</v>
      </c>
      <c r="BI266" s="40" t="str">
        <f>IF(BG266=AY266,"• Same",IF(INDEX(B_VAL,MATCH(BG266,B_LVL,0))&gt;INDEX(B_VAL,MATCH(AY266,B_LVL,0)),"▲ Up","▼ Down"))</f>
        <v>• Same</v>
      </c>
      <c r="BJ266" s="40" t="str">
        <f>IF(OR($M266="",$M266="—",$M266="Not in this file"),"",IFERROR(INDEX($BG$7:$BG$592,MATCH($M266,$D$7:$D$592,0)),""))</f>
        <v>B3</v>
      </c>
      <c r="BK266" s="40" t="str">
        <f>IFERROR(IF(BJ266="","—",IF(OR(LEFT(BG266,1)="X",LEFT(BJ266,1)="X"),"—",IF(AND(LEFT(BG266,1)="E",LEFT(BJ266,1)="E"),"Exception · Band E",IF(AND(INDEX(B_VAL,MATCH(BJ266,B_LVL,0))&gt;=7,INDEX(B_RANK,MATCH(BG266,B_LVL,0))&gt;=INDEX(B_RANK,MATCH(BJ266,B_LVL,0))),"⚠ Same band as a head manager",IF(INDEX(B_VAL,MATCH(BG266,B_LVL,0))&gt;=INDEX(B_VAL,MATCH(BJ266,B_LVL,0)),"⚠ At or above the manager's level","OK"))))),"—")</f>
        <v>OK</v>
      </c>
      <c r="BL266" s="43" t="n"/>
      <c r="BM266" s="44">
        <f>IFERROR(INDEX(LMH_PTS,MATCH(Y266,LMH_KEY,0)),0)</f>
        <v>9</v>
      </c>
      <c r="BN266" s="38">
        <f>IFERROR(INDEX(LMH_PTS,MATCH(Z266,LMH_KEY,0)),0)</f>
        <v>3</v>
      </c>
      <c r="BO266" s="38">
        <f>IFERROR(INDEX(LMH_PTS,MATCH(AA266,LMH_KEY,0)),0)</f>
        <v>1</v>
      </c>
      <c r="BP266" s="38">
        <f>IFERROR(INDEX(LMH_PTS,MATCH(AB266,LMH_KEY,0)),0)</f>
        <v>1</v>
      </c>
      <c r="BQ266" s="38">
        <f>IFERROR(INDEX(LMH_PTS,MATCH(AC266,LMH_KEY,0)),0)</f>
        <v>1</v>
      </c>
      <c r="BR266" s="38">
        <f>IFERROR(INDEX(LMH_PTS,MATCH(AD266,LMH_KEY,0)),0)</f>
        <v>1</v>
      </c>
      <c r="BS266" s="38">
        <f>IFERROR(INDEX(LMH_PTS,MATCH(AE266,LMH_KEY,0)),0)</f>
        <v>1</v>
      </c>
      <c r="BT266" s="38">
        <f>IFERROR(INDEX(LMH_STEP,MATCH(AF266,LMH_KEY,0)),0)</f>
        <v>0</v>
      </c>
      <c r="BU266" s="38">
        <f>IFERROR(INDEX(LMH_STEP,MATCH(AG266,LMH_KEY,0)),0)</f>
        <v>0</v>
      </c>
      <c r="BV266" s="38">
        <f>IFERROR(INDEX(LMH_STEP,MATCH(AH266,LMH_KEY,0)),0)</f>
        <v>0</v>
      </c>
      <c r="BW266" s="38">
        <f>IFERROR(INDEX(LMH_STEP,MATCH(AI266,LMH_KEY,0)),0)</f>
        <v>0</v>
      </c>
      <c r="BX266" s="38">
        <f>IFERROR(INDEX(LMH_STEP,MATCH(AJ266,LMH_KEY,0)),0)</f>
        <v>0</v>
      </c>
      <c r="BY266" s="38">
        <f>IFERROR(INDEX(LMH_STEP,MATCH(AK266,LMH_KEY,0)),0)</f>
        <v>0</v>
      </c>
      <c r="BZ266" s="38">
        <f>IFERROR(INDEX(LMH_STEP,MATCH(AL266,LMH_KEY,0)),0)</f>
        <v>0</v>
      </c>
      <c r="CA266" s="38" t="inlineStr">
        <is>
          <t>iFile|Technology|Senior Technical Specialist – POD Lead|B1|B-IC</t>
        </is>
      </c>
    </row>
    <row r="267" ht="110" customHeight="1">
      <c r="A267" s="28" t="inlineStr">
        <is>
          <t>iFile</t>
        </is>
      </c>
      <c r="B267" s="29" t="inlineStr">
        <is>
          <t>Technology</t>
        </is>
      </c>
      <c r="C267" s="29" t="n">
        <v>5</v>
      </c>
      <c r="D267" s="29" t="inlineStr">
        <is>
          <t>IRIS2073</t>
        </is>
      </c>
      <c r="E267" s="29" t="inlineStr">
        <is>
          <t>Hemalatha Visamsetti</t>
        </is>
      </c>
      <c r="F267" s="29" t="inlineStr">
        <is>
          <t>Senior Software Engineer</t>
        </is>
      </c>
      <c r="G267" s="29" t="inlineStr">
        <is>
          <t>Senior Software Engineer</t>
        </is>
      </c>
      <c r="H267" s="29" t="inlineStr">
        <is>
          <t>Engineering &amp; Development</t>
        </is>
      </c>
      <c r="I267" s="29" t="inlineStr">
        <is>
          <t>Backend Development</t>
        </is>
      </c>
      <c r="J267" s="29" t="inlineStr">
        <is>
          <t>IC</t>
        </is>
      </c>
      <c r="K267" s="29" t="inlineStr">
        <is>
          <t>RC-067</t>
        </is>
      </c>
      <c r="L267" s="29" t="inlineStr">
        <is>
          <t>Manish Chouhan</t>
        </is>
      </c>
      <c r="M267" s="29" t="inlineStr">
        <is>
          <t>IRIS1627</t>
        </is>
      </c>
      <c r="N267" s="29" t="n">
        <v>8.1</v>
      </c>
      <c r="O267" s="29" t="n">
        <v>3.9</v>
      </c>
      <c r="P267" s="29" t="inlineStr">
        <is>
          <t>MCA</t>
        </is>
      </c>
      <c r="Q267" s="29" t="inlineStr">
        <is>
          <t>L4 – Senior</t>
        </is>
      </c>
      <c r="R267" s="29" t="inlineStr">
        <is>
          <t>A3</t>
        </is>
      </c>
      <c r="S267" s="30" t="inlineStr">
        <is>
          <t>20 of 20</t>
        </is>
      </c>
      <c r="T267" s="31"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t>
        </is>
      </c>
      <c r="U267" s="31" t="inlineStr">
        <is>
          <t>Received · manager annual, quarterly · 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t>
        </is>
      </c>
      <c r="V267" s="31" t="inlineStr">
        <is>
          <t>Latest rating: 4 · Potential: Medium · 9-box: Trusted Professional · Readiness: Ready in 6–12 months</t>
        </is>
      </c>
      <c r="W267" s="31" t="inlineStr">
        <is>
          <t>C M · Au M · Ac M · L L · BI M · Exp H · 8.1 yrs vs 2–4 yrs · Edu H · MCA</t>
        </is>
      </c>
      <c r="X267" s="33" t="inlineStr">
        <is>
          <t>Open ▸</t>
        </is>
      </c>
      <c r="Y267" s="34" t="str">
        <f>IFERROR(INDEX(DL_C,MATCH($CA267,DL_KEY,0)),"M")</f>
        <v>H</v>
      </c>
      <c r="Z267" s="35" t="str">
        <f>IFERROR(INDEX(DL_Au,MATCH($CA267,DL_KEY,0)),"M")</f>
        <v>M</v>
      </c>
      <c r="AA267" s="35" t="str">
        <f>IFERROR(INDEX(DL_Ac,MATCH($CA267,DL_KEY,0)),"M")</f>
        <v>L</v>
      </c>
      <c r="AB267" s="35" t="str">
        <f>IFERROR(INDEX(DL_L,MATCH($CA267,DL_KEY,0)),"M")</f>
        <v>L</v>
      </c>
      <c r="AC267" s="35" t="str">
        <f>IFERROR(INDEX(DL_BI,MATCH($CA267,DL_KEY,0)),"M")</f>
        <v>L</v>
      </c>
      <c r="AD267" s="35" t="str">
        <f>IFERROR(INDEX(DL_Exp,MATCH($CA267,DL_KEY,0)),"M")</f>
        <v>L</v>
      </c>
      <c r="AE267" s="35" t="str">
        <f>IFERROR(INDEX(DL_Edu,MATCH($CA267,DL_KEY,0)),"M")</f>
        <v>L</v>
      </c>
      <c r="AF267" s="34" t="inlineStr">
        <is>
          <t>M</t>
        </is>
      </c>
      <c r="AG267" s="35" t="inlineStr">
        <is>
          <t>M</t>
        </is>
      </c>
      <c r="AH267" s="35" t="inlineStr">
        <is>
          <t>M</t>
        </is>
      </c>
      <c r="AI267" s="35" t="inlineStr">
        <is>
          <t>M</t>
        </is>
      </c>
      <c r="AJ267" s="35" t="inlineStr">
        <is>
          <t>M</t>
        </is>
      </c>
      <c r="AK267" s="35" t="inlineStr">
        <is>
          <t>M</t>
        </is>
      </c>
      <c r="AL267" s="35" t="inlineStr">
        <is>
          <t>M</t>
        </is>
      </c>
      <c r="AM267" s="36" t="n">
        <v>0.583</v>
      </c>
      <c r="AN267" s="37" t="n">
        <v>0.16</v>
      </c>
      <c r="AO267" s="37" t="n">
        <v>0.09</v>
      </c>
      <c r="AP267" s="37" t="n">
        <v>0</v>
      </c>
      <c r="AQ267" s="37" t="n">
        <v>0.063</v>
      </c>
      <c r="AR267" s="37" t="n">
        <v>0.06</v>
      </c>
      <c r="AS267" s="37" t="n">
        <v>0.04</v>
      </c>
      <c r="AT267" s="38" t="inlineStr">
        <is>
          <t>2–5</t>
        </is>
      </c>
      <c r="AU267" s="38" t="inlineStr">
        <is>
          <t>Graduate; relevant certification preferred</t>
        </is>
      </c>
      <c r="AV267" s="38" t="inlineStr">
        <is>
          <t>None · guides 1–3 juniors informally</t>
        </is>
      </c>
      <c r="AW267" s="38" t="inlineStr">
        <is>
          <t>P2 · SFIA 3 Apply</t>
        </is>
      </c>
      <c r="AX2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7" s="39" t="inlineStr">
        <is>
          <t>A3</t>
        </is>
      </c>
      <c r="AZ267" s="40" t="inlineStr">
        <is>
          <t>Band A · Practitioner · Senior Associate</t>
        </is>
      </c>
      <c r="BA267" s="40" t="inlineStr">
        <is>
          <t>Model A3 from the six ratings, the market-derived weights and rules R1–R13 · then No change · already below the manager</t>
        </is>
      </c>
      <c r="BB267" s="41" t="inlineStr">
        <is>
          <t>A3</t>
        </is>
      </c>
      <c r="BC267" s="40" t="inlineStr">
        <is>
          <t>The six ratings on the market-average weights of Band A · all tracks score 3.17 → A3 · Hay, Mercer IPE and public plans · experience 8.1 yrs vs the A3 market range 2–5</t>
        </is>
      </c>
      <c r="BD267" s="42">
        <f>IF(SUM(BM267,BN267,BO267,BP267,BQ267,BR267,BS267)=0,0,(BM267*BT267+BN267*BU267+BO267*BV267+BP267*BW267+BQ267*BX267+BR267*BY267+BS267*BZ267)/SUM(BM267,BN267,BO267,BP267,BQ267,BR267,BS267))</f>
        <v>0</v>
      </c>
      <c r="BE267" s="41" t="str">
        <f>IF(LEFT(AY267,1)="X",AY267,IF(OR(AY267="B+",AY267="C+"),INDEX(LAD_PC,MAX(1,MIN(14,MATCH(AY267,LAD_PC,0)+IF(BD267&gt;=0.5,1,IF(BD267&lt;=-0.5,-1,0))))),INDEX(LAD_STD,MAX(1,MIN(12,MATCH(AY267,LAD_STD,0)+IF(BD267&gt;=0.5,1,IF(BD267&lt;=-0.5,-1,0)))))))</f>
        <v>A3</v>
      </c>
      <c r="BF267" s="43" t="n"/>
      <c r="BG267" s="41" t="str">
        <f>IF(BF267&lt;&gt;"",BF267,BE267)</f>
        <v>A3</v>
      </c>
      <c r="BH267" s="40" t="str">
        <f>IFERROR(CHOOSE(INDEX(B_RANK,MATCH(BG267,B_LVL,0)),"Band A","Band B","B+ · Player-Coach","Band C","C+ · Player-Coach","Band D","Band E"),"Band X · Consultant")</f>
        <v>Band A</v>
      </c>
      <c r="BI267" s="40" t="str">
        <f>IF(BG267=AY267,"• Same",IF(INDEX(B_VAL,MATCH(BG267,B_LVL,0))&gt;INDEX(B_VAL,MATCH(AY267,B_LVL,0)),"▲ Up","▼ Down"))</f>
        <v>• Same</v>
      </c>
      <c r="BJ267" s="40" t="str">
        <f>IF(OR($M267="",$M267="—",$M267="Not in this file"),"",IFERROR(INDEX($BG$7:$BG$592,MATCH($M267,$D$7:$D$592,0)),""))</f>
        <v>B1</v>
      </c>
      <c r="BK267" s="40" t="str">
        <f>IFERROR(IF(BJ267="","—",IF(OR(LEFT(BG267,1)="X",LEFT(BJ267,1)="X"),"—",IF(AND(LEFT(BG267,1)="E",LEFT(BJ267,1)="E"),"Exception · Band E",IF(AND(INDEX(B_VAL,MATCH(BJ267,B_LVL,0))&gt;=7,INDEX(B_RANK,MATCH(BG267,B_LVL,0))&gt;=INDEX(B_RANK,MATCH(BJ267,B_LVL,0))),"⚠ Same band as a head manager",IF(INDEX(B_VAL,MATCH(BG267,B_LVL,0))&gt;=INDEX(B_VAL,MATCH(BJ267,B_LVL,0)),"⚠ At or above the manager's level","OK"))))),"—")</f>
        <v>OK</v>
      </c>
      <c r="BL267" s="43" t="n"/>
      <c r="BM267" s="44">
        <f>IFERROR(INDEX(LMH_PTS,MATCH(Y267,LMH_KEY,0)),0)</f>
        <v>9</v>
      </c>
      <c r="BN267" s="38">
        <f>IFERROR(INDEX(LMH_PTS,MATCH(Z267,LMH_KEY,0)),0)</f>
        <v>3</v>
      </c>
      <c r="BO267" s="38">
        <f>IFERROR(INDEX(LMH_PTS,MATCH(AA267,LMH_KEY,0)),0)</f>
        <v>1</v>
      </c>
      <c r="BP267" s="38">
        <f>IFERROR(INDEX(LMH_PTS,MATCH(AB267,LMH_KEY,0)),0)</f>
        <v>1</v>
      </c>
      <c r="BQ267" s="38">
        <f>IFERROR(INDEX(LMH_PTS,MATCH(AC267,LMH_KEY,0)),0)</f>
        <v>1</v>
      </c>
      <c r="BR267" s="38">
        <f>IFERROR(INDEX(LMH_PTS,MATCH(AD267,LMH_KEY,0)),0)</f>
        <v>1</v>
      </c>
      <c r="BS267" s="38">
        <f>IFERROR(INDEX(LMH_PTS,MATCH(AE267,LMH_KEY,0)),0)</f>
        <v>1</v>
      </c>
      <c r="BT267" s="38">
        <f>IFERROR(INDEX(LMH_STEP,MATCH(AF267,LMH_KEY,0)),0)</f>
        <v>0</v>
      </c>
      <c r="BU267" s="38">
        <f>IFERROR(INDEX(LMH_STEP,MATCH(AG267,LMH_KEY,0)),0)</f>
        <v>0</v>
      </c>
      <c r="BV267" s="38">
        <f>IFERROR(INDEX(LMH_STEP,MATCH(AH267,LMH_KEY,0)),0)</f>
        <v>0</v>
      </c>
      <c r="BW267" s="38">
        <f>IFERROR(INDEX(LMH_STEP,MATCH(AI267,LMH_KEY,0)),0)</f>
        <v>0</v>
      </c>
      <c r="BX267" s="38">
        <f>IFERROR(INDEX(LMH_STEP,MATCH(AJ267,LMH_KEY,0)),0)</f>
        <v>0</v>
      </c>
      <c r="BY267" s="38">
        <f>IFERROR(INDEX(LMH_STEP,MATCH(AK267,LMH_KEY,0)),0)</f>
        <v>0</v>
      </c>
      <c r="BZ267" s="38">
        <f>IFERROR(INDEX(LMH_STEP,MATCH(AL267,LMH_KEY,0)),0)</f>
        <v>0</v>
      </c>
      <c r="CA267" s="38" t="inlineStr">
        <is>
          <t>iFile|Technology|Senior Software Engineer|A3|A</t>
        </is>
      </c>
    </row>
    <row r="268" ht="110" customHeight="1">
      <c r="A268" s="28" t="inlineStr">
        <is>
          <t>iFile</t>
        </is>
      </c>
      <c r="B268" s="29" t="inlineStr">
        <is>
          <t>Technology</t>
        </is>
      </c>
      <c r="C268" s="29" t="n">
        <v>5</v>
      </c>
      <c r="D268" s="29" t="inlineStr">
        <is>
          <t>IRIS2026</t>
        </is>
      </c>
      <c r="E268" s="29" t="inlineStr">
        <is>
          <t>Shubhangi Vaidya</t>
        </is>
      </c>
      <c r="F268" s="29" t="inlineStr">
        <is>
          <t>Software Engineer</t>
        </is>
      </c>
      <c r="G268" s="29" t="inlineStr">
        <is>
          <t>Senior Software Engineer</t>
        </is>
      </c>
      <c r="H268" s="29" t="inlineStr">
        <is>
          <t>Engineering &amp; Development</t>
        </is>
      </c>
      <c r="I268" s="29" t="inlineStr">
        <is>
          <t>Backend Development</t>
        </is>
      </c>
      <c r="J268" s="29" t="inlineStr">
        <is>
          <t>IC</t>
        </is>
      </c>
      <c r="K268" s="29" t="inlineStr">
        <is>
          <t>RC-067</t>
        </is>
      </c>
      <c r="L268" s="29" t="inlineStr">
        <is>
          <t>Manish Chouhan</t>
        </is>
      </c>
      <c r="M268" s="29" t="inlineStr">
        <is>
          <t>IRIS1627</t>
        </is>
      </c>
      <c r="N268" s="29" t="n">
        <v>5.6</v>
      </c>
      <c r="O268" s="29" t="n">
        <v>4.3</v>
      </c>
      <c r="P268" s="29" t="inlineStr">
        <is>
          <t>MCA</t>
        </is>
      </c>
      <c r="Q268" s="29" t="inlineStr">
        <is>
          <t>L3 – Professional / Associate</t>
        </is>
      </c>
      <c r="R268" s="29" t="inlineStr">
        <is>
          <t>A3</t>
        </is>
      </c>
      <c r="S268" s="30" t="inlineStr">
        <is>
          <t>20 of 20</t>
        </is>
      </c>
      <c r="T268" s="31"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t>
        </is>
      </c>
      <c r="U268" s="31" t="inlineStr">
        <is>
          <t>Received · manager annual, quarterly · 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
        </is>
      </c>
      <c r="V268" s="31" t="inlineStr">
        <is>
          <t>Latest rating: 4 · Potential: Medium · 9-box: Trusted Professional · Readiness: Ready in 6–12 months</t>
        </is>
      </c>
      <c r="W268" s="31" t="inlineStr">
        <is>
          <t>C L · Au L · Ac L · L L · BI L · Exp H · 5.6 yrs vs 2–4 yrs · Edu H · MCA</t>
        </is>
      </c>
      <c r="X268" s="33" t="inlineStr">
        <is>
          <t>Open ▸</t>
        </is>
      </c>
      <c r="Y268" s="34" t="str">
        <f>IFERROR(INDEX(DL_C,MATCH($CA268,DL_KEY,0)),"M")</f>
        <v>H</v>
      </c>
      <c r="Z268" s="35" t="str">
        <f>IFERROR(INDEX(DL_Au,MATCH($CA268,DL_KEY,0)),"M")</f>
        <v>M</v>
      </c>
      <c r="AA268" s="35" t="str">
        <f>IFERROR(INDEX(DL_Ac,MATCH($CA268,DL_KEY,0)),"M")</f>
        <v>L</v>
      </c>
      <c r="AB268" s="35" t="str">
        <f>IFERROR(INDEX(DL_L,MATCH($CA268,DL_KEY,0)),"M")</f>
        <v>L</v>
      </c>
      <c r="AC268" s="35" t="str">
        <f>IFERROR(INDEX(DL_BI,MATCH($CA268,DL_KEY,0)),"M")</f>
        <v>L</v>
      </c>
      <c r="AD268" s="35" t="str">
        <f>IFERROR(INDEX(DL_Exp,MATCH($CA268,DL_KEY,0)),"M")</f>
        <v>L</v>
      </c>
      <c r="AE268" s="35" t="str">
        <f>IFERROR(INDEX(DL_Edu,MATCH($CA268,DL_KEY,0)),"M")</f>
        <v>L</v>
      </c>
      <c r="AF268" s="34" t="inlineStr">
        <is>
          <t>M</t>
        </is>
      </c>
      <c r="AG268" s="35" t="inlineStr">
        <is>
          <t>M</t>
        </is>
      </c>
      <c r="AH268" s="35" t="inlineStr">
        <is>
          <t>M</t>
        </is>
      </c>
      <c r="AI268" s="35" t="inlineStr">
        <is>
          <t>M</t>
        </is>
      </c>
      <c r="AJ268" s="35" t="inlineStr">
        <is>
          <t>M</t>
        </is>
      </c>
      <c r="AK268" s="35" t="inlineStr">
        <is>
          <t>M</t>
        </is>
      </c>
      <c r="AL268" s="35" t="inlineStr">
        <is>
          <t>M</t>
        </is>
      </c>
      <c r="AM268" s="36" t="n">
        <v>0.583</v>
      </c>
      <c r="AN268" s="37" t="n">
        <v>0.16</v>
      </c>
      <c r="AO268" s="37" t="n">
        <v>0.09</v>
      </c>
      <c r="AP268" s="37" t="n">
        <v>0</v>
      </c>
      <c r="AQ268" s="37" t="n">
        <v>0.063</v>
      </c>
      <c r="AR268" s="37" t="n">
        <v>0.06</v>
      </c>
      <c r="AS268" s="37" t="n">
        <v>0.04</v>
      </c>
      <c r="AT268" s="38" t="inlineStr">
        <is>
          <t>2–5</t>
        </is>
      </c>
      <c r="AU268" s="38" t="inlineStr">
        <is>
          <t>Graduate; relevant certification preferred</t>
        </is>
      </c>
      <c r="AV268" s="38" t="inlineStr">
        <is>
          <t>None · guides 1–3 juniors informally</t>
        </is>
      </c>
      <c r="AW268" s="38" t="inlineStr">
        <is>
          <t>P2 · SFIA 3 Apply</t>
        </is>
      </c>
      <c r="AX2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8" s="39" t="inlineStr">
        <is>
          <t>A3</t>
        </is>
      </c>
      <c r="AZ268" s="40" t="inlineStr">
        <is>
          <t>Band A · Practitioner · Senior Associate</t>
        </is>
      </c>
      <c r="BA268" s="40" t="inlineStr">
        <is>
          <t>Model A3 from the six ratings, the market-derived weights and rules R1–R13 · then No change · already below the manager</t>
        </is>
      </c>
      <c r="BB268" s="41" t="inlineStr">
        <is>
          <t>A2</t>
        </is>
      </c>
      <c r="BC268" s="40" t="inlineStr">
        <is>
          <t>The six ratings on the market-average weights of Band A · all tracks score 2.25 → A2 · Hay, Mercer IPE and public plans · experience 5.6 yrs vs the A2 market range 0–3</t>
        </is>
      </c>
      <c r="BD268" s="42">
        <f>IF(SUM(BM268,BN268,BO268,BP268,BQ268,BR268,BS268)=0,0,(BM268*BT268+BN268*BU268+BO268*BV268+BP268*BW268+BQ268*BX268+BR268*BY268+BS268*BZ268)/SUM(BM268,BN268,BO268,BP268,BQ268,BR268,BS268))</f>
        <v>0</v>
      </c>
      <c r="BE268" s="41" t="str">
        <f>IF(LEFT(AY268,1)="X",AY268,IF(OR(AY268="B+",AY268="C+"),INDEX(LAD_PC,MAX(1,MIN(14,MATCH(AY268,LAD_PC,0)+IF(BD268&gt;=0.5,1,IF(BD268&lt;=-0.5,-1,0))))),INDEX(LAD_STD,MAX(1,MIN(12,MATCH(AY268,LAD_STD,0)+IF(BD268&gt;=0.5,1,IF(BD268&lt;=-0.5,-1,0)))))))</f>
        <v>A3</v>
      </c>
      <c r="BF268" s="43" t="n"/>
      <c r="BG268" s="41" t="str">
        <f>IF(BF268&lt;&gt;"",BF268,BE268)</f>
        <v>A3</v>
      </c>
      <c r="BH268" s="40" t="str">
        <f>IFERROR(CHOOSE(INDEX(B_RANK,MATCH(BG268,B_LVL,0)),"Band A","Band B","B+ · Player-Coach","Band C","C+ · Player-Coach","Band D","Band E"),"Band X · Consultant")</f>
        <v>Band A</v>
      </c>
      <c r="BI268" s="40" t="str">
        <f>IF(BG268=AY268,"• Same",IF(INDEX(B_VAL,MATCH(BG268,B_LVL,0))&gt;INDEX(B_VAL,MATCH(AY268,B_LVL,0)),"▲ Up","▼ Down"))</f>
        <v>• Same</v>
      </c>
      <c r="BJ268" s="40" t="str">
        <f>IF(OR($M268="",$M268="—",$M268="Not in this file"),"",IFERROR(INDEX($BG$7:$BG$592,MATCH($M268,$D$7:$D$592,0)),""))</f>
        <v>B1</v>
      </c>
      <c r="BK268" s="40" t="str">
        <f>IFERROR(IF(BJ268="","—",IF(OR(LEFT(BG268,1)="X",LEFT(BJ268,1)="X"),"—",IF(AND(LEFT(BG268,1)="E",LEFT(BJ268,1)="E"),"Exception · Band E",IF(AND(INDEX(B_VAL,MATCH(BJ268,B_LVL,0))&gt;=7,INDEX(B_RANK,MATCH(BG268,B_LVL,0))&gt;=INDEX(B_RANK,MATCH(BJ268,B_LVL,0))),"⚠ Same band as a head manager",IF(INDEX(B_VAL,MATCH(BG268,B_LVL,0))&gt;=INDEX(B_VAL,MATCH(BJ268,B_LVL,0)),"⚠ At or above the manager's level","OK"))))),"—")</f>
        <v>OK</v>
      </c>
      <c r="BL268" s="43" t="n"/>
      <c r="BM268" s="44">
        <f>IFERROR(INDEX(LMH_PTS,MATCH(Y268,LMH_KEY,0)),0)</f>
        <v>9</v>
      </c>
      <c r="BN268" s="38">
        <f>IFERROR(INDEX(LMH_PTS,MATCH(Z268,LMH_KEY,0)),0)</f>
        <v>3</v>
      </c>
      <c r="BO268" s="38">
        <f>IFERROR(INDEX(LMH_PTS,MATCH(AA268,LMH_KEY,0)),0)</f>
        <v>1</v>
      </c>
      <c r="BP268" s="38">
        <f>IFERROR(INDEX(LMH_PTS,MATCH(AB268,LMH_KEY,0)),0)</f>
        <v>1</v>
      </c>
      <c r="BQ268" s="38">
        <f>IFERROR(INDEX(LMH_PTS,MATCH(AC268,LMH_KEY,0)),0)</f>
        <v>1</v>
      </c>
      <c r="BR268" s="38">
        <f>IFERROR(INDEX(LMH_PTS,MATCH(AD268,LMH_KEY,0)),0)</f>
        <v>1</v>
      </c>
      <c r="BS268" s="38">
        <f>IFERROR(INDEX(LMH_PTS,MATCH(AE268,LMH_KEY,0)),0)</f>
        <v>1</v>
      </c>
      <c r="BT268" s="38">
        <f>IFERROR(INDEX(LMH_STEP,MATCH(AF268,LMH_KEY,0)),0)</f>
        <v>0</v>
      </c>
      <c r="BU268" s="38">
        <f>IFERROR(INDEX(LMH_STEP,MATCH(AG268,LMH_KEY,0)),0)</f>
        <v>0</v>
      </c>
      <c r="BV268" s="38">
        <f>IFERROR(INDEX(LMH_STEP,MATCH(AH268,LMH_KEY,0)),0)</f>
        <v>0</v>
      </c>
      <c r="BW268" s="38">
        <f>IFERROR(INDEX(LMH_STEP,MATCH(AI268,LMH_KEY,0)),0)</f>
        <v>0</v>
      </c>
      <c r="BX268" s="38">
        <f>IFERROR(INDEX(LMH_STEP,MATCH(AJ268,LMH_KEY,0)),0)</f>
        <v>0</v>
      </c>
      <c r="BY268" s="38">
        <f>IFERROR(INDEX(LMH_STEP,MATCH(AK268,LMH_KEY,0)),0)</f>
        <v>0</v>
      </c>
      <c r="BZ268" s="38">
        <f>IFERROR(INDEX(LMH_STEP,MATCH(AL268,LMH_KEY,0)),0)</f>
        <v>0</v>
      </c>
      <c r="CA268" s="38" t="inlineStr">
        <is>
          <t>iFile|Technology|Senior Software Engineer|A3|A</t>
        </is>
      </c>
    </row>
    <row r="269" ht="110" customHeight="1">
      <c r="A269" s="28" t="inlineStr">
        <is>
          <t>iFile</t>
        </is>
      </c>
      <c r="B269" s="29" t="inlineStr">
        <is>
          <t>Technology</t>
        </is>
      </c>
      <c r="C269" s="29" t="n">
        <v>4</v>
      </c>
      <c r="D269" s="29" t="inlineStr">
        <is>
          <t>IRIS1550</t>
        </is>
      </c>
      <c r="E269" s="29" t="inlineStr">
        <is>
          <t>Paresh Patil</t>
        </is>
      </c>
      <c r="F269" s="29" t="inlineStr">
        <is>
          <t>Senior Software Engineer</t>
        </is>
      </c>
      <c r="G269" s="29" t="inlineStr">
        <is>
          <t>Technical Specialist – POD Lead</t>
        </is>
      </c>
      <c r="H269" s="29" t="inlineStr">
        <is>
          <t>Engineering &amp; Development</t>
        </is>
      </c>
      <c r="I269" s="29" t="inlineStr">
        <is>
          <t>Full-Stack Development</t>
        </is>
      </c>
      <c r="J269" s="29" t="inlineStr">
        <is>
          <t>POD Lead</t>
        </is>
      </c>
      <c r="K269" s="29" t="inlineStr">
        <is>
          <t>RC-086</t>
        </is>
      </c>
      <c r="L269" s="29" t="inlineStr">
        <is>
          <t>Sharanagouda Patil</t>
        </is>
      </c>
      <c r="M269" s="29" t="inlineStr">
        <is>
          <t>IRIS1690</t>
        </is>
      </c>
      <c r="N269" s="29" t="n">
        <v>11.2</v>
      </c>
      <c r="O269" s="29" t="n">
        <v>11.2</v>
      </c>
      <c r="P269" s="29" t="inlineStr">
        <is>
          <t>B.E</t>
        </is>
      </c>
      <c r="Q269" s="29" t="inlineStr">
        <is>
          <t>L4 – Senior</t>
        </is>
      </c>
      <c r="R269" s="29" t="inlineStr">
        <is>
          <t>B1</t>
        </is>
      </c>
      <c r="S269" s="30" t="inlineStr">
        <is>
          <t>20 of 20</t>
        </is>
      </c>
      <c r="T269" s="31"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t>
        </is>
      </c>
      <c r="U269" s="31" t="inlineStr">
        <is>
          <t>Received · quarterly · KRAs not received · manager to supply</t>
        </is>
      </c>
      <c r="V269" s="31" t="inlineStr">
        <is>
          <t>Latest rating: 4 · Potential: High · 9-box: High Impact / Growth Talent · Readiness: Ready now</t>
        </is>
      </c>
      <c r="W269" s="31" t="inlineStr">
        <is>
          <t>C L · Au L · Ac M · L L · BI M · Exp H · 11.2 yrs vs 4–7 yrs · Edu M · B.E</t>
        </is>
      </c>
      <c r="X269" s="33" t="inlineStr">
        <is>
          <t>Open ▸</t>
        </is>
      </c>
      <c r="Y269" s="34" t="str">
        <f>IFERROR(INDEX(DL_C,MATCH($CA269,DL_KEY,0)),"M")</f>
        <v>H</v>
      </c>
      <c r="Z269" s="35" t="str">
        <f>IFERROR(INDEX(DL_Au,MATCH($CA269,DL_KEY,0)),"M")</f>
        <v>M</v>
      </c>
      <c r="AA269" s="35" t="str">
        <f>IFERROR(INDEX(DL_Ac,MATCH($CA269,DL_KEY,0)),"M")</f>
        <v>L</v>
      </c>
      <c r="AB269" s="35" t="str">
        <f>IFERROR(INDEX(DL_L,MATCH($CA269,DL_KEY,0)),"M")</f>
        <v>L</v>
      </c>
      <c r="AC269" s="35" t="str">
        <f>IFERROR(INDEX(DL_BI,MATCH($CA269,DL_KEY,0)),"M")</f>
        <v>L</v>
      </c>
      <c r="AD269" s="35" t="str">
        <f>IFERROR(INDEX(DL_Exp,MATCH($CA269,DL_KEY,0)),"M")</f>
        <v>L</v>
      </c>
      <c r="AE269" s="35" t="str">
        <f>IFERROR(INDEX(DL_Edu,MATCH($CA269,DL_KEY,0)),"M")</f>
        <v>L</v>
      </c>
      <c r="AF269" s="34" t="inlineStr">
        <is>
          <t>M</t>
        </is>
      </c>
      <c r="AG269" s="35" t="inlineStr">
        <is>
          <t>M</t>
        </is>
      </c>
      <c r="AH269" s="35" t="inlineStr">
        <is>
          <t>M</t>
        </is>
      </c>
      <c r="AI269" s="35" t="inlineStr">
        <is>
          <t>M</t>
        </is>
      </c>
      <c r="AJ269" s="35" t="inlineStr">
        <is>
          <t>M</t>
        </is>
      </c>
      <c r="AK269" s="35" t="inlineStr">
        <is>
          <t>M</t>
        </is>
      </c>
      <c r="AL269" s="35" t="inlineStr">
        <is>
          <t>M</t>
        </is>
      </c>
      <c r="AM269" s="36" t="n">
        <v>0.513</v>
      </c>
      <c r="AN269" s="37" t="n">
        <v>0.173</v>
      </c>
      <c r="AO269" s="37" t="n">
        <v>0.09699999999999999</v>
      </c>
      <c r="AP269" s="37" t="n">
        <v>0.05</v>
      </c>
      <c r="AQ269" s="37" t="n">
        <v>0.07000000000000001</v>
      </c>
      <c r="AR269" s="37" t="n">
        <v>0.06</v>
      </c>
      <c r="AS269" s="37" t="n">
        <v>0.04</v>
      </c>
      <c r="AT269" s="38" t="inlineStr">
        <is>
          <t>4–8</t>
        </is>
      </c>
      <c r="AU269" s="38" t="inlineStr">
        <is>
          <t>Graduate + relevant qualification or certification preferred</t>
        </is>
      </c>
      <c r="AV269" s="38" t="inlineStr">
        <is>
          <t>IC: none · Team Lead: 3–5</t>
        </is>
      </c>
      <c r="AW269" s="38" t="inlineStr">
        <is>
          <t>P3 / M2 · SFIA 4 Enable</t>
        </is>
      </c>
      <c r="AX2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9" s="39" t="inlineStr">
        <is>
          <t>B1</t>
        </is>
      </c>
      <c r="AZ269" s="40" t="inlineStr">
        <is>
          <t>Band B · Specialist / Manager · Team Lead / Asst Manager</t>
        </is>
      </c>
      <c r="BA269" s="40" t="inlineStr">
        <is>
          <t>Model B1 from the six ratings, the market-derived weights and rules R1–R13 · then No change · already below the manager</t>
        </is>
      </c>
      <c r="BB269" s="41" t="inlineStr">
        <is>
          <t>A3</t>
        </is>
      </c>
      <c r="BC269" s="40" t="inlineStr">
        <is>
          <t>The six ratings on the market-average weights of Band B · Specialist / POD Lead score 3.43 → A3 · Hay, Mercer IPE and public plans · experience 11.2 yrs vs the A3 market range 2–5</t>
        </is>
      </c>
      <c r="BD269" s="42">
        <f>IF(SUM(BM269,BN269,BO269,BP269,BQ269,BR269,BS269)=0,0,(BM269*BT269+BN269*BU269+BO269*BV269+BP269*BW269+BQ269*BX269+BR269*BY269+BS269*BZ269)/SUM(BM269,BN269,BO269,BP269,BQ269,BR269,BS269))</f>
        <v>0</v>
      </c>
      <c r="BE269" s="41" t="str">
        <f>IF(LEFT(AY269,1)="X",AY269,IF(OR(AY269="B+",AY269="C+"),INDEX(LAD_PC,MAX(1,MIN(14,MATCH(AY269,LAD_PC,0)+IF(BD269&gt;=0.5,1,IF(BD269&lt;=-0.5,-1,0))))),INDEX(LAD_STD,MAX(1,MIN(12,MATCH(AY269,LAD_STD,0)+IF(BD269&gt;=0.5,1,IF(BD269&lt;=-0.5,-1,0)))))))</f>
        <v>B1</v>
      </c>
      <c r="BF269" s="43" t="n"/>
      <c r="BG269" s="41" t="str">
        <f>IF(BF269&lt;&gt;"",BF269,BE269)</f>
        <v>B1</v>
      </c>
      <c r="BH269" s="40" t="str">
        <f>IFERROR(CHOOSE(INDEX(B_RANK,MATCH(BG269,B_LVL,0)),"Band A","Band B","B+ · Player-Coach","Band C","C+ · Player-Coach","Band D","Band E"),"Band X · Consultant")</f>
        <v>Band B</v>
      </c>
      <c r="BI269" s="40" t="str">
        <f>IF(BG269=AY269,"• Same",IF(INDEX(B_VAL,MATCH(BG269,B_LVL,0))&gt;INDEX(B_VAL,MATCH(AY269,B_LVL,0)),"▲ Up","▼ Down"))</f>
        <v>• Same</v>
      </c>
      <c r="BJ269" s="40" t="str">
        <f>IF(OR($M269="",$M269="—",$M269="Not in this file"),"",IFERROR(INDEX($BG$7:$BG$592,MATCH($M269,$D$7:$D$592,0)),""))</f>
        <v>B3</v>
      </c>
      <c r="BK269" s="40" t="str">
        <f>IFERROR(IF(BJ269="","—",IF(OR(LEFT(BG269,1)="X",LEFT(BJ269,1)="X"),"—",IF(AND(LEFT(BG269,1)="E",LEFT(BJ269,1)="E"),"Exception · Band E",IF(AND(INDEX(B_VAL,MATCH(BJ269,B_LVL,0))&gt;=7,INDEX(B_RANK,MATCH(BG269,B_LVL,0))&gt;=INDEX(B_RANK,MATCH(BJ269,B_LVL,0))),"⚠ Same band as a head manager",IF(INDEX(B_VAL,MATCH(BG269,B_LVL,0))&gt;=INDEX(B_VAL,MATCH(BJ269,B_LVL,0)),"⚠ At or above the manager's level","OK"))))),"—")</f>
        <v>OK</v>
      </c>
      <c r="BL269" s="43" t="n"/>
      <c r="BM269" s="44">
        <f>IFERROR(INDEX(LMH_PTS,MATCH(Y269,LMH_KEY,0)),0)</f>
        <v>9</v>
      </c>
      <c r="BN269" s="38">
        <f>IFERROR(INDEX(LMH_PTS,MATCH(Z269,LMH_KEY,0)),0)</f>
        <v>3</v>
      </c>
      <c r="BO269" s="38">
        <f>IFERROR(INDEX(LMH_PTS,MATCH(AA269,LMH_KEY,0)),0)</f>
        <v>1</v>
      </c>
      <c r="BP269" s="38">
        <f>IFERROR(INDEX(LMH_PTS,MATCH(AB269,LMH_KEY,0)),0)</f>
        <v>1</v>
      </c>
      <c r="BQ269" s="38">
        <f>IFERROR(INDEX(LMH_PTS,MATCH(AC269,LMH_KEY,0)),0)</f>
        <v>1</v>
      </c>
      <c r="BR269" s="38">
        <f>IFERROR(INDEX(LMH_PTS,MATCH(AD269,LMH_KEY,0)),0)</f>
        <v>1</v>
      </c>
      <c r="BS269" s="38">
        <f>IFERROR(INDEX(LMH_PTS,MATCH(AE269,LMH_KEY,0)),0)</f>
        <v>1</v>
      </c>
      <c r="BT269" s="38">
        <f>IFERROR(INDEX(LMH_STEP,MATCH(AF269,LMH_KEY,0)),0)</f>
        <v>0</v>
      </c>
      <c r="BU269" s="38">
        <f>IFERROR(INDEX(LMH_STEP,MATCH(AG269,LMH_KEY,0)),0)</f>
        <v>0</v>
      </c>
      <c r="BV269" s="38">
        <f>IFERROR(INDEX(LMH_STEP,MATCH(AH269,LMH_KEY,0)),0)</f>
        <v>0</v>
      </c>
      <c r="BW269" s="38">
        <f>IFERROR(INDEX(LMH_STEP,MATCH(AI269,LMH_KEY,0)),0)</f>
        <v>0</v>
      </c>
      <c r="BX269" s="38">
        <f>IFERROR(INDEX(LMH_STEP,MATCH(AJ269,LMH_KEY,0)),0)</f>
        <v>0</v>
      </c>
      <c r="BY269" s="38">
        <f>IFERROR(INDEX(LMH_STEP,MATCH(AK269,LMH_KEY,0)),0)</f>
        <v>0</v>
      </c>
      <c r="BZ269" s="38">
        <f>IFERROR(INDEX(LMH_STEP,MATCH(AL269,LMH_KEY,0)),0)</f>
        <v>0</v>
      </c>
      <c r="CA269" s="38" t="inlineStr">
        <is>
          <t>iFile|Technology|Technical Specialist – POD Lead|B1|B-IC</t>
        </is>
      </c>
    </row>
    <row r="270" ht="110" customHeight="1">
      <c r="A270" s="28" t="inlineStr">
        <is>
          <t>iFile</t>
        </is>
      </c>
      <c r="B270" s="29" t="inlineStr">
        <is>
          <t>Technology</t>
        </is>
      </c>
      <c r="C270" s="29" t="n">
        <v>5</v>
      </c>
      <c r="D270" s="29" t="inlineStr">
        <is>
          <t>IRIS2185</t>
        </is>
      </c>
      <c r="E270" s="29" t="inlineStr">
        <is>
          <t>Devkumar Nishad</t>
        </is>
      </c>
      <c r="F270" s="29" t="inlineStr">
        <is>
          <t>Junior Software Engineer</t>
        </is>
      </c>
      <c r="G270" s="29" t="inlineStr">
        <is>
          <t>Senior Software Engineer</t>
        </is>
      </c>
      <c r="H270" s="29" t="inlineStr">
        <is>
          <t>Engineering &amp; Development</t>
        </is>
      </c>
      <c r="I270" s="29" t="inlineStr">
        <is>
          <t>Full-Stack Development</t>
        </is>
      </c>
      <c r="J270" s="29" t="inlineStr">
        <is>
          <t>IC</t>
        </is>
      </c>
      <c r="K270" s="29" t="inlineStr">
        <is>
          <t>RC-085</t>
        </is>
      </c>
      <c r="L270" s="29" t="inlineStr">
        <is>
          <t>Paresh Patil</t>
        </is>
      </c>
      <c r="M270" s="29" t="inlineStr">
        <is>
          <t>IRIS1550</t>
        </is>
      </c>
      <c r="N270" s="29" t="n">
        <v>3</v>
      </c>
      <c r="O270" s="29" t="n">
        <v>3</v>
      </c>
      <c r="P270" s="29" t="inlineStr">
        <is>
          <t>PG-DAC</t>
        </is>
      </c>
      <c r="Q270" s="29" t="inlineStr">
        <is>
          <t>L3 – Professional / Associate</t>
        </is>
      </c>
      <c r="R270" s="29" t="inlineStr">
        <is>
          <t>A3</t>
        </is>
      </c>
      <c r="S270" s="30" t="inlineStr">
        <is>
          <t>20 of 20</t>
        </is>
      </c>
      <c r="T270" s="31"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t>
        </is>
      </c>
      <c r="U270" s="31" t="inlineStr">
        <is>
          <t>Received · quarterly · KRAs not received · manager to supply</t>
        </is>
      </c>
      <c r="V270" s="31" t="inlineStr">
        <is>
          <t>Latest rating: 4 · Potential: Medium · 9-box: Trusted Professional · Readiness: Ready in 6–12 months</t>
        </is>
      </c>
      <c r="W270" s="31" t="inlineStr">
        <is>
          <t>C M · Au M · Ac M · L L · BI M · Exp M · 3 yrs vs 2–4 yrs · Edu H · PG-DAC</t>
        </is>
      </c>
      <c r="X270" s="33" t="inlineStr">
        <is>
          <t>Open ▸</t>
        </is>
      </c>
      <c r="Y270" s="34" t="str">
        <f>IFERROR(INDEX(DL_C,MATCH($CA270,DL_KEY,0)),"M")</f>
        <v>H</v>
      </c>
      <c r="Z270" s="35" t="str">
        <f>IFERROR(INDEX(DL_Au,MATCH($CA270,DL_KEY,0)),"M")</f>
        <v>M</v>
      </c>
      <c r="AA270" s="35" t="str">
        <f>IFERROR(INDEX(DL_Ac,MATCH($CA270,DL_KEY,0)),"M")</f>
        <v>L</v>
      </c>
      <c r="AB270" s="35" t="str">
        <f>IFERROR(INDEX(DL_L,MATCH($CA270,DL_KEY,0)),"M")</f>
        <v>L</v>
      </c>
      <c r="AC270" s="35" t="str">
        <f>IFERROR(INDEX(DL_BI,MATCH($CA270,DL_KEY,0)),"M")</f>
        <v>L</v>
      </c>
      <c r="AD270" s="35" t="str">
        <f>IFERROR(INDEX(DL_Exp,MATCH($CA270,DL_KEY,0)),"M")</f>
        <v>L</v>
      </c>
      <c r="AE270" s="35" t="str">
        <f>IFERROR(INDEX(DL_Edu,MATCH($CA270,DL_KEY,0)),"M")</f>
        <v>L</v>
      </c>
      <c r="AF270" s="34" t="inlineStr">
        <is>
          <t>M</t>
        </is>
      </c>
      <c r="AG270" s="35" t="inlineStr">
        <is>
          <t>M</t>
        </is>
      </c>
      <c r="AH270" s="35" t="inlineStr">
        <is>
          <t>M</t>
        </is>
      </c>
      <c r="AI270" s="35" t="inlineStr">
        <is>
          <t>M</t>
        </is>
      </c>
      <c r="AJ270" s="35" t="inlineStr">
        <is>
          <t>M</t>
        </is>
      </c>
      <c r="AK270" s="35" t="inlineStr">
        <is>
          <t>M</t>
        </is>
      </c>
      <c r="AL270" s="35" t="inlineStr">
        <is>
          <t>M</t>
        </is>
      </c>
      <c r="AM270" s="36" t="n">
        <v>0.583</v>
      </c>
      <c r="AN270" s="37" t="n">
        <v>0.16</v>
      </c>
      <c r="AO270" s="37" t="n">
        <v>0.09</v>
      </c>
      <c r="AP270" s="37" t="n">
        <v>0</v>
      </c>
      <c r="AQ270" s="37" t="n">
        <v>0.063</v>
      </c>
      <c r="AR270" s="37" t="n">
        <v>0.06</v>
      </c>
      <c r="AS270" s="37" t="n">
        <v>0.04</v>
      </c>
      <c r="AT270" s="38" t="inlineStr">
        <is>
          <t>2–5</t>
        </is>
      </c>
      <c r="AU270" s="38" t="inlineStr">
        <is>
          <t>Graduate; relevant certification preferred</t>
        </is>
      </c>
      <c r="AV270" s="38" t="inlineStr">
        <is>
          <t>None · guides 1–3 juniors informally</t>
        </is>
      </c>
      <c r="AW270" s="38" t="inlineStr">
        <is>
          <t>P2 · SFIA 3 Apply</t>
        </is>
      </c>
      <c r="AX2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0" s="39" t="inlineStr">
        <is>
          <t>A3</t>
        </is>
      </c>
      <c r="AZ270" s="40" t="inlineStr">
        <is>
          <t>Band A · Practitioner · Senior Associate</t>
        </is>
      </c>
      <c r="BA270" s="40" t="inlineStr">
        <is>
          <t>Model A3 from the six ratings, the market-derived weights and rules R1–R13 · then No change · already below the manager</t>
        </is>
      </c>
      <c r="BB270" s="41" t="inlineStr">
        <is>
          <t>A3</t>
        </is>
      </c>
      <c r="BC270" s="40" t="inlineStr">
        <is>
          <t>The six ratings on the market-average weights of Band A · all tracks score 2.60 → A3 · Hay, Mercer IPE and public plans · experience 3 yrs vs the A3 market range 2–5</t>
        </is>
      </c>
      <c r="BD270" s="42">
        <f>IF(SUM(BM270,BN270,BO270,BP270,BQ270,BR270,BS270)=0,0,(BM270*BT270+BN270*BU270+BO270*BV270+BP270*BW270+BQ270*BX270+BR270*BY270+BS270*BZ270)/SUM(BM270,BN270,BO270,BP270,BQ270,BR270,BS270))</f>
        <v>0</v>
      </c>
      <c r="BE270" s="41" t="str">
        <f>IF(LEFT(AY270,1)="X",AY270,IF(OR(AY270="B+",AY270="C+"),INDEX(LAD_PC,MAX(1,MIN(14,MATCH(AY270,LAD_PC,0)+IF(BD270&gt;=0.5,1,IF(BD270&lt;=-0.5,-1,0))))),INDEX(LAD_STD,MAX(1,MIN(12,MATCH(AY270,LAD_STD,0)+IF(BD270&gt;=0.5,1,IF(BD270&lt;=-0.5,-1,0)))))))</f>
        <v>A3</v>
      </c>
      <c r="BF270" s="43" t="n"/>
      <c r="BG270" s="41" t="str">
        <f>IF(BF270&lt;&gt;"",BF270,BE270)</f>
        <v>A3</v>
      </c>
      <c r="BH270" s="40" t="str">
        <f>IFERROR(CHOOSE(INDEX(B_RANK,MATCH(BG270,B_LVL,0)),"Band A","Band B","B+ · Player-Coach","Band C","C+ · Player-Coach","Band D","Band E"),"Band X · Consultant")</f>
        <v>Band A</v>
      </c>
      <c r="BI270" s="40" t="str">
        <f>IF(BG270=AY270,"• Same",IF(INDEX(B_VAL,MATCH(BG270,B_LVL,0))&gt;INDEX(B_VAL,MATCH(AY270,B_LVL,0)),"▲ Up","▼ Down"))</f>
        <v>• Same</v>
      </c>
      <c r="BJ270" s="40" t="str">
        <f>IF(OR($M270="",$M270="—",$M270="Not in this file"),"",IFERROR(INDEX($BG$7:$BG$592,MATCH($M270,$D$7:$D$592,0)),""))</f>
        <v>B1</v>
      </c>
      <c r="BK270" s="40" t="str">
        <f>IFERROR(IF(BJ270="","—",IF(OR(LEFT(BG270,1)="X",LEFT(BJ270,1)="X"),"—",IF(AND(LEFT(BG270,1)="E",LEFT(BJ270,1)="E"),"Exception · Band E",IF(AND(INDEX(B_VAL,MATCH(BJ270,B_LVL,0))&gt;=7,INDEX(B_RANK,MATCH(BG270,B_LVL,0))&gt;=INDEX(B_RANK,MATCH(BJ270,B_LVL,0))),"⚠ Same band as a head manager",IF(INDEX(B_VAL,MATCH(BG270,B_LVL,0))&gt;=INDEX(B_VAL,MATCH(BJ270,B_LVL,0)),"⚠ At or above the manager's level","OK"))))),"—")</f>
        <v>OK</v>
      </c>
      <c r="BL270" s="43" t="n"/>
      <c r="BM270" s="44">
        <f>IFERROR(INDEX(LMH_PTS,MATCH(Y270,LMH_KEY,0)),0)</f>
        <v>9</v>
      </c>
      <c r="BN270" s="38">
        <f>IFERROR(INDEX(LMH_PTS,MATCH(Z270,LMH_KEY,0)),0)</f>
        <v>3</v>
      </c>
      <c r="BO270" s="38">
        <f>IFERROR(INDEX(LMH_PTS,MATCH(AA270,LMH_KEY,0)),0)</f>
        <v>1</v>
      </c>
      <c r="BP270" s="38">
        <f>IFERROR(INDEX(LMH_PTS,MATCH(AB270,LMH_KEY,0)),0)</f>
        <v>1</v>
      </c>
      <c r="BQ270" s="38">
        <f>IFERROR(INDEX(LMH_PTS,MATCH(AC270,LMH_KEY,0)),0)</f>
        <v>1</v>
      </c>
      <c r="BR270" s="38">
        <f>IFERROR(INDEX(LMH_PTS,MATCH(AD270,LMH_KEY,0)),0)</f>
        <v>1</v>
      </c>
      <c r="BS270" s="38">
        <f>IFERROR(INDEX(LMH_PTS,MATCH(AE270,LMH_KEY,0)),0)</f>
        <v>1</v>
      </c>
      <c r="BT270" s="38">
        <f>IFERROR(INDEX(LMH_STEP,MATCH(AF270,LMH_KEY,0)),0)</f>
        <v>0</v>
      </c>
      <c r="BU270" s="38">
        <f>IFERROR(INDEX(LMH_STEP,MATCH(AG270,LMH_KEY,0)),0)</f>
        <v>0</v>
      </c>
      <c r="BV270" s="38">
        <f>IFERROR(INDEX(LMH_STEP,MATCH(AH270,LMH_KEY,0)),0)</f>
        <v>0</v>
      </c>
      <c r="BW270" s="38">
        <f>IFERROR(INDEX(LMH_STEP,MATCH(AI270,LMH_KEY,0)),0)</f>
        <v>0</v>
      </c>
      <c r="BX270" s="38">
        <f>IFERROR(INDEX(LMH_STEP,MATCH(AJ270,LMH_KEY,0)),0)</f>
        <v>0</v>
      </c>
      <c r="BY270" s="38">
        <f>IFERROR(INDEX(LMH_STEP,MATCH(AK270,LMH_KEY,0)),0)</f>
        <v>0</v>
      </c>
      <c r="BZ270" s="38">
        <f>IFERROR(INDEX(LMH_STEP,MATCH(AL270,LMH_KEY,0)),0)</f>
        <v>0</v>
      </c>
      <c r="CA270" s="38" t="inlineStr">
        <is>
          <t>iFile|Technology|Senior Software Engineer|A3|A</t>
        </is>
      </c>
    </row>
    <row r="271" ht="110" customHeight="1">
      <c r="A271" s="28" t="inlineStr">
        <is>
          <t>iFile</t>
        </is>
      </c>
      <c r="B271" s="29" t="inlineStr">
        <is>
          <t>Technology</t>
        </is>
      </c>
      <c r="C271" s="29" t="n">
        <v>5</v>
      </c>
      <c r="D271" s="29" t="inlineStr">
        <is>
          <t>IRIS2525</t>
        </is>
      </c>
      <c r="E271" s="29" t="inlineStr">
        <is>
          <t>Rajeev Gupta</t>
        </is>
      </c>
      <c r="F271" s="29" t="inlineStr">
        <is>
          <t>Software Engineer</t>
        </is>
      </c>
      <c r="G271" s="29" t="inlineStr">
        <is>
          <t>UI Developer</t>
        </is>
      </c>
      <c r="H271" s="29" t="inlineStr">
        <is>
          <t>Engineering &amp; Development</t>
        </is>
      </c>
      <c r="I271" s="29" t="inlineStr">
        <is>
          <t>Front-End / UI Development</t>
        </is>
      </c>
      <c r="J271" s="29" t="inlineStr">
        <is>
          <t>IC</t>
        </is>
      </c>
      <c r="K271" s="29" t="inlineStr">
        <is>
          <t>RC-080</t>
        </is>
      </c>
      <c r="L271" s="29" t="inlineStr">
        <is>
          <t>Paresh Patil</t>
        </is>
      </c>
      <c r="M271" s="29" t="inlineStr">
        <is>
          <t>IRIS1550</t>
        </is>
      </c>
      <c r="N271" s="29" t="n">
        <v>1.7</v>
      </c>
      <c r="O271" s="29" t="n">
        <v>0.4</v>
      </c>
      <c r="P271" s="29" t="inlineStr">
        <is>
          <t>B.Tech</t>
        </is>
      </c>
      <c r="Q271" s="29" t="inlineStr">
        <is>
          <t>L3 – Professional / Associate</t>
        </is>
      </c>
      <c r="R271" s="29" t="inlineStr">
        <is>
          <t>A2</t>
        </is>
      </c>
      <c r="S271" s="30" t="inlineStr">
        <is>
          <t>20 of 20</t>
        </is>
      </c>
      <c r="T271" s="31"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t>
        </is>
      </c>
      <c r="U271" s="31" t="inlineStr">
        <is>
          <t>Received · quarterly · KRAs not received · manager to supply</t>
        </is>
      </c>
      <c r="V271" s="31" t="inlineStr">
        <is>
          <t>Latest rating: 3 · Potential: Medium · 9-box: Trusted Professional · Readiness: Develop in role</t>
        </is>
      </c>
      <c r="W271" s="31" t="inlineStr">
        <is>
          <t>C M · Au M · Ac M · L M · BI M · Exp M · 1.7 yrs vs 0–2 yrs · Edu M · B.Tech</t>
        </is>
      </c>
      <c r="X271" s="33" t="inlineStr">
        <is>
          <t>Open ▸</t>
        </is>
      </c>
      <c r="Y271" s="34" t="str">
        <f>IFERROR(INDEX(DL_C,MATCH($CA271,DL_KEY,0)),"M")</f>
        <v>H</v>
      </c>
      <c r="Z271" s="35" t="str">
        <f>IFERROR(INDEX(DL_Au,MATCH($CA271,DL_KEY,0)),"M")</f>
        <v>M</v>
      </c>
      <c r="AA271" s="35" t="str">
        <f>IFERROR(INDEX(DL_Ac,MATCH($CA271,DL_KEY,0)),"M")</f>
        <v>L</v>
      </c>
      <c r="AB271" s="35" t="str">
        <f>IFERROR(INDEX(DL_L,MATCH($CA271,DL_KEY,0)),"M")</f>
        <v>L</v>
      </c>
      <c r="AC271" s="35" t="str">
        <f>IFERROR(INDEX(DL_BI,MATCH($CA271,DL_KEY,0)),"M")</f>
        <v>L</v>
      </c>
      <c r="AD271" s="35" t="str">
        <f>IFERROR(INDEX(DL_Exp,MATCH($CA271,DL_KEY,0)),"M")</f>
        <v>L</v>
      </c>
      <c r="AE271" s="35" t="str">
        <f>IFERROR(INDEX(DL_Edu,MATCH($CA271,DL_KEY,0)),"M")</f>
        <v>L</v>
      </c>
      <c r="AF271" s="34" t="inlineStr">
        <is>
          <t>M</t>
        </is>
      </c>
      <c r="AG271" s="35" t="inlineStr">
        <is>
          <t>M</t>
        </is>
      </c>
      <c r="AH271" s="35" t="inlineStr">
        <is>
          <t>M</t>
        </is>
      </c>
      <c r="AI271" s="35" t="inlineStr">
        <is>
          <t>M</t>
        </is>
      </c>
      <c r="AJ271" s="35" t="inlineStr">
        <is>
          <t>M</t>
        </is>
      </c>
      <c r="AK271" s="35" t="inlineStr">
        <is>
          <t>M</t>
        </is>
      </c>
      <c r="AL271" s="35" t="inlineStr">
        <is>
          <t>M</t>
        </is>
      </c>
      <c r="AM271" s="36" t="n">
        <v>0.583</v>
      </c>
      <c r="AN271" s="37" t="n">
        <v>0.16</v>
      </c>
      <c r="AO271" s="37" t="n">
        <v>0.09</v>
      </c>
      <c r="AP271" s="37" t="n">
        <v>0</v>
      </c>
      <c r="AQ271" s="37" t="n">
        <v>0.063</v>
      </c>
      <c r="AR271" s="37" t="n">
        <v>0.06</v>
      </c>
      <c r="AS271" s="37" t="n">
        <v>0.04</v>
      </c>
      <c r="AT271" s="38" t="inlineStr">
        <is>
          <t>0–3</t>
        </is>
      </c>
      <c r="AU271" s="38" t="inlineStr">
        <is>
          <t>Graduate · or diploma with experience</t>
        </is>
      </c>
      <c r="AV271" s="38" t="inlineStr">
        <is>
          <t>No direct reports</t>
        </is>
      </c>
      <c r="AW271" s="38" t="inlineStr">
        <is>
          <t>P1–P2 · SFIA 2 Assist</t>
        </is>
      </c>
      <c r="AX2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1" s="39" t="inlineStr">
        <is>
          <t>A2</t>
        </is>
      </c>
      <c r="AZ271" s="40" t="inlineStr">
        <is>
          <t>Band A · Practitioner · Associate</t>
        </is>
      </c>
      <c r="BA271" s="40" t="inlineStr">
        <is>
          <t>Model A2 from the six ratings, the market-derived weights and rules R1–R13 · then No change · already below the manager</t>
        </is>
      </c>
      <c r="BB271" s="41" t="inlineStr">
        <is>
          <t>A2</t>
        </is>
      </c>
      <c r="BC271" s="40" t="inlineStr">
        <is>
          <t>The six ratings on the market-average weights of Band A · all tracks score 2.05 → A2 · Hay, Mercer IPE and public plans · experience 1.7 yrs vs the A2 market range 0–3</t>
        </is>
      </c>
      <c r="BD271" s="42">
        <f>IF(SUM(BM271,BN271,BO271,BP271,BQ271,BR271,BS271)=0,0,(BM271*BT271+BN271*BU271+BO271*BV271+BP271*BW271+BQ271*BX271+BR271*BY271+BS271*BZ271)/SUM(BM271,BN271,BO271,BP271,BQ271,BR271,BS271))</f>
        <v>0</v>
      </c>
      <c r="BE271" s="41" t="str">
        <f>IF(LEFT(AY271,1)="X",AY271,IF(OR(AY271="B+",AY271="C+"),INDEX(LAD_PC,MAX(1,MIN(14,MATCH(AY271,LAD_PC,0)+IF(BD271&gt;=0.5,1,IF(BD271&lt;=-0.5,-1,0))))),INDEX(LAD_STD,MAX(1,MIN(12,MATCH(AY271,LAD_STD,0)+IF(BD271&gt;=0.5,1,IF(BD271&lt;=-0.5,-1,0)))))))</f>
        <v>A2</v>
      </c>
      <c r="BF271" s="43" t="n"/>
      <c r="BG271" s="41" t="str">
        <f>IF(BF271&lt;&gt;"",BF271,BE271)</f>
        <v>A2</v>
      </c>
      <c r="BH271" s="40" t="str">
        <f>IFERROR(CHOOSE(INDEX(B_RANK,MATCH(BG271,B_LVL,0)),"Band A","Band B","B+ · Player-Coach","Band C","C+ · Player-Coach","Band D","Band E"),"Band X · Consultant")</f>
        <v>Band A</v>
      </c>
      <c r="BI271" s="40" t="str">
        <f>IF(BG271=AY271,"• Same",IF(INDEX(B_VAL,MATCH(BG271,B_LVL,0))&gt;INDEX(B_VAL,MATCH(AY271,B_LVL,0)),"▲ Up","▼ Down"))</f>
        <v>• Same</v>
      </c>
      <c r="BJ271" s="40" t="str">
        <f>IF(OR($M271="",$M271="—",$M271="Not in this file"),"",IFERROR(INDEX($BG$7:$BG$592,MATCH($M271,$D$7:$D$592,0)),""))</f>
        <v>B1</v>
      </c>
      <c r="BK271" s="40" t="str">
        <f>IFERROR(IF(BJ271="","—",IF(OR(LEFT(BG271,1)="X",LEFT(BJ271,1)="X"),"—",IF(AND(LEFT(BG271,1)="E",LEFT(BJ271,1)="E"),"Exception · Band E",IF(AND(INDEX(B_VAL,MATCH(BJ271,B_LVL,0))&gt;=7,INDEX(B_RANK,MATCH(BG271,B_LVL,0))&gt;=INDEX(B_RANK,MATCH(BJ271,B_LVL,0))),"⚠ Same band as a head manager",IF(INDEX(B_VAL,MATCH(BG271,B_LVL,0))&gt;=INDEX(B_VAL,MATCH(BJ271,B_LVL,0)),"⚠ At or above the manager's level","OK"))))),"—")</f>
        <v>OK</v>
      </c>
      <c r="BL271" s="43" t="n"/>
      <c r="BM271" s="44">
        <f>IFERROR(INDEX(LMH_PTS,MATCH(Y271,LMH_KEY,0)),0)</f>
        <v>9</v>
      </c>
      <c r="BN271" s="38">
        <f>IFERROR(INDEX(LMH_PTS,MATCH(Z271,LMH_KEY,0)),0)</f>
        <v>3</v>
      </c>
      <c r="BO271" s="38">
        <f>IFERROR(INDEX(LMH_PTS,MATCH(AA271,LMH_KEY,0)),0)</f>
        <v>1</v>
      </c>
      <c r="BP271" s="38">
        <f>IFERROR(INDEX(LMH_PTS,MATCH(AB271,LMH_KEY,0)),0)</f>
        <v>1</v>
      </c>
      <c r="BQ271" s="38">
        <f>IFERROR(INDEX(LMH_PTS,MATCH(AC271,LMH_KEY,0)),0)</f>
        <v>1</v>
      </c>
      <c r="BR271" s="38">
        <f>IFERROR(INDEX(LMH_PTS,MATCH(AD271,LMH_KEY,0)),0)</f>
        <v>1</v>
      </c>
      <c r="BS271" s="38">
        <f>IFERROR(INDEX(LMH_PTS,MATCH(AE271,LMH_KEY,0)),0)</f>
        <v>1</v>
      </c>
      <c r="BT271" s="38">
        <f>IFERROR(INDEX(LMH_STEP,MATCH(AF271,LMH_KEY,0)),0)</f>
        <v>0</v>
      </c>
      <c r="BU271" s="38">
        <f>IFERROR(INDEX(LMH_STEP,MATCH(AG271,LMH_KEY,0)),0)</f>
        <v>0</v>
      </c>
      <c r="BV271" s="38">
        <f>IFERROR(INDEX(LMH_STEP,MATCH(AH271,LMH_KEY,0)),0)</f>
        <v>0</v>
      </c>
      <c r="BW271" s="38">
        <f>IFERROR(INDEX(LMH_STEP,MATCH(AI271,LMH_KEY,0)),0)</f>
        <v>0</v>
      </c>
      <c r="BX271" s="38">
        <f>IFERROR(INDEX(LMH_STEP,MATCH(AJ271,LMH_KEY,0)),0)</f>
        <v>0</v>
      </c>
      <c r="BY271" s="38">
        <f>IFERROR(INDEX(LMH_STEP,MATCH(AK271,LMH_KEY,0)),0)</f>
        <v>0</v>
      </c>
      <c r="BZ271" s="38">
        <f>IFERROR(INDEX(LMH_STEP,MATCH(AL271,LMH_KEY,0)),0)</f>
        <v>0</v>
      </c>
      <c r="CA271" s="38" t="inlineStr">
        <is>
          <t>iFile|Technology|UI Developer|A2|A</t>
        </is>
      </c>
    </row>
    <row r="272" ht="110" customHeight="1">
      <c r="A272" s="28" t="inlineStr">
        <is>
          <t>iFile</t>
        </is>
      </c>
      <c r="B272" s="29" t="inlineStr">
        <is>
          <t>Technology</t>
        </is>
      </c>
      <c r="C272" s="29" t="n">
        <v>4</v>
      </c>
      <c r="D272" s="29" t="inlineStr">
        <is>
          <t>IRIS1470</t>
        </is>
      </c>
      <c r="E272" s="29" t="inlineStr">
        <is>
          <t>Rajneesh Patel</t>
        </is>
      </c>
      <c r="F272" s="29" t="inlineStr">
        <is>
          <t>Senior Software Engineer</t>
        </is>
      </c>
      <c r="G272" s="29" t="inlineStr">
        <is>
          <t>Technical Specialist – POD Lead</t>
        </is>
      </c>
      <c r="H272" s="29" t="inlineStr">
        <is>
          <t>Engineering &amp; Development</t>
        </is>
      </c>
      <c r="I272" s="29" t="inlineStr">
        <is>
          <t>Full-Stack Development</t>
        </is>
      </c>
      <c r="J272" s="29" t="inlineStr">
        <is>
          <t>POD Lead</t>
        </is>
      </c>
      <c r="K272" s="29" t="inlineStr">
        <is>
          <t>RC-086</t>
        </is>
      </c>
      <c r="L272" s="29" t="inlineStr">
        <is>
          <t>Sharanagouda Patil</t>
        </is>
      </c>
      <c r="M272" s="29" t="inlineStr">
        <is>
          <t>IRIS1690</t>
        </is>
      </c>
      <c r="N272" s="29" t="n">
        <v>18.6</v>
      </c>
      <c r="O272" s="29" t="n">
        <v>12.1</v>
      </c>
      <c r="P272" s="29" t="inlineStr">
        <is>
          <t>MCA</t>
        </is>
      </c>
      <c r="Q272" s="29" t="inlineStr">
        <is>
          <t>L4 – Senior</t>
        </is>
      </c>
      <c r="R272" s="29" t="inlineStr">
        <is>
          <t>B1</t>
        </is>
      </c>
      <c r="S272" s="30" t="inlineStr">
        <is>
          <t>20 of 20</t>
        </is>
      </c>
      <c r="T272" s="31"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t>
        </is>
      </c>
      <c r="U272"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72" s="31" t="inlineStr">
        <is>
          <t>Latest rating: Not rated · manager · 9-box: Not placed · manager · Readiness: No rating data</t>
        </is>
      </c>
      <c r="W272" s="31" t="inlineStr">
        <is>
          <t>C M · Au M · Ac M · L M · BI M · Exp H · 18.6 yrs vs 4–7 yrs · Edu H · MCA</t>
        </is>
      </c>
      <c r="X272" s="33" t="inlineStr">
        <is>
          <t>Open ▸</t>
        </is>
      </c>
      <c r="Y272" s="34" t="str">
        <f>IFERROR(INDEX(DL_C,MATCH($CA272,DL_KEY,0)),"M")</f>
        <v>H</v>
      </c>
      <c r="Z272" s="35" t="str">
        <f>IFERROR(INDEX(DL_Au,MATCH($CA272,DL_KEY,0)),"M")</f>
        <v>M</v>
      </c>
      <c r="AA272" s="35" t="str">
        <f>IFERROR(INDEX(DL_Ac,MATCH($CA272,DL_KEY,0)),"M")</f>
        <v>L</v>
      </c>
      <c r="AB272" s="35" t="str">
        <f>IFERROR(INDEX(DL_L,MATCH($CA272,DL_KEY,0)),"M")</f>
        <v>L</v>
      </c>
      <c r="AC272" s="35" t="str">
        <f>IFERROR(INDEX(DL_BI,MATCH($CA272,DL_KEY,0)),"M")</f>
        <v>L</v>
      </c>
      <c r="AD272" s="35" t="str">
        <f>IFERROR(INDEX(DL_Exp,MATCH($CA272,DL_KEY,0)),"M")</f>
        <v>L</v>
      </c>
      <c r="AE272" s="35" t="str">
        <f>IFERROR(INDEX(DL_Edu,MATCH($CA272,DL_KEY,0)),"M")</f>
        <v>L</v>
      </c>
      <c r="AF272" s="34" t="inlineStr">
        <is>
          <t>M</t>
        </is>
      </c>
      <c r="AG272" s="35" t="inlineStr">
        <is>
          <t>M</t>
        </is>
      </c>
      <c r="AH272" s="35" t="inlineStr">
        <is>
          <t>M</t>
        </is>
      </c>
      <c r="AI272" s="35" t="inlineStr">
        <is>
          <t>M</t>
        </is>
      </c>
      <c r="AJ272" s="35" t="inlineStr">
        <is>
          <t>M</t>
        </is>
      </c>
      <c r="AK272" s="35" t="inlineStr">
        <is>
          <t>M</t>
        </is>
      </c>
      <c r="AL272" s="35" t="inlineStr">
        <is>
          <t>M</t>
        </is>
      </c>
      <c r="AM272" s="36" t="n">
        <v>0.513</v>
      </c>
      <c r="AN272" s="37" t="n">
        <v>0.173</v>
      </c>
      <c r="AO272" s="37" t="n">
        <v>0.09699999999999999</v>
      </c>
      <c r="AP272" s="37" t="n">
        <v>0.05</v>
      </c>
      <c r="AQ272" s="37" t="n">
        <v>0.07000000000000001</v>
      </c>
      <c r="AR272" s="37" t="n">
        <v>0.06</v>
      </c>
      <c r="AS272" s="37" t="n">
        <v>0.04</v>
      </c>
      <c r="AT272" s="38" t="inlineStr">
        <is>
          <t>4–8</t>
        </is>
      </c>
      <c r="AU272" s="38" t="inlineStr">
        <is>
          <t>Graduate + relevant qualification or certification preferred</t>
        </is>
      </c>
      <c r="AV272" s="38" t="inlineStr">
        <is>
          <t>IC: none · Team Lead: 3–5</t>
        </is>
      </c>
      <c r="AW272" s="38" t="inlineStr">
        <is>
          <t>P3 / M2 · SFIA 4 Enable</t>
        </is>
      </c>
      <c r="AX2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2" s="39" t="inlineStr">
        <is>
          <t>B1</t>
        </is>
      </c>
      <c r="AZ272" s="40" t="inlineStr">
        <is>
          <t>Band B · Specialist / Manager · Team Lead / Asst Manager</t>
        </is>
      </c>
      <c r="BA272" s="40" t="inlineStr">
        <is>
          <t>Model B1 from the six ratings, the market-derived weights and rules R1–R13 · then No change · already below the manager</t>
        </is>
      </c>
      <c r="BB272" s="41" t="inlineStr">
        <is>
          <t>B1</t>
        </is>
      </c>
      <c r="BC272" s="40" t="inlineStr">
        <is>
          <t>The six ratings on the market-average weights of Band B · Specialist / POD Lead score 4.26 → B1 · Hay, Mercer IPE and public plans · experience 18.6 yrs vs the B1 market range 4–8</t>
        </is>
      </c>
      <c r="BD272" s="42">
        <f>IF(SUM(BM272,BN272,BO272,BP272,BQ272,BR272,BS272)=0,0,(BM272*BT272+BN272*BU272+BO272*BV272+BP272*BW272+BQ272*BX272+BR272*BY272+BS272*BZ272)/SUM(BM272,BN272,BO272,BP272,BQ272,BR272,BS272))</f>
        <v>0</v>
      </c>
      <c r="BE272" s="41" t="str">
        <f>IF(LEFT(AY272,1)="X",AY272,IF(OR(AY272="B+",AY272="C+"),INDEX(LAD_PC,MAX(1,MIN(14,MATCH(AY272,LAD_PC,0)+IF(BD272&gt;=0.5,1,IF(BD272&lt;=-0.5,-1,0))))),INDEX(LAD_STD,MAX(1,MIN(12,MATCH(AY272,LAD_STD,0)+IF(BD272&gt;=0.5,1,IF(BD272&lt;=-0.5,-1,0)))))))</f>
        <v>B1</v>
      </c>
      <c r="BF272" s="43" t="n"/>
      <c r="BG272" s="41" t="str">
        <f>IF(BF272&lt;&gt;"",BF272,BE272)</f>
        <v>B1</v>
      </c>
      <c r="BH272" s="40" t="str">
        <f>IFERROR(CHOOSE(INDEX(B_RANK,MATCH(BG272,B_LVL,0)),"Band A","Band B","B+ · Player-Coach","Band C","C+ · Player-Coach","Band D","Band E"),"Band X · Consultant")</f>
        <v>Band B</v>
      </c>
      <c r="BI272" s="40" t="str">
        <f>IF(BG272=AY272,"• Same",IF(INDEX(B_VAL,MATCH(BG272,B_LVL,0))&gt;INDEX(B_VAL,MATCH(AY272,B_LVL,0)),"▲ Up","▼ Down"))</f>
        <v>• Same</v>
      </c>
      <c r="BJ272" s="40" t="str">
        <f>IF(OR($M272="",$M272="—",$M272="Not in this file"),"",IFERROR(INDEX($BG$7:$BG$592,MATCH($M272,$D$7:$D$592,0)),""))</f>
        <v>B3</v>
      </c>
      <c r="BK272" s="40" t="str">
        <f>IFERROR(IF(BJ272="","—",IF(OR(LEFT(BG272,1)="X",LEFT(BJ272,1)="X"),"—",IF(AND(LEFT(BG272,1)="E",LEFT(BJ272,1)="E"),"Exception · Band E",IF(AND(INDEX(B_VAL,MATCH(BJ272,B_LVL,0))&gt;=7,INDEX(B_RANK,MATCH(BG272,B_LVL,0))&gt;=INDEX(B_RANK,MATCH(BJ272,B_LVL,0))),"⚠ Same band as a head manager",IF(INDEX(B_VAL,MATCH(BG272,B_LVL,0))&gt;=INDEX(B_VAL,MATCH(BJ272,B_LVL,0)),"⚠ At or above the manager's level","OK"))))),"—")</f>
        <v>OK</v>
      </c>
      <c r="BL272" s="43" t="n"/>
      <c r="BM272" s="44">
        <f>IFERROR(INDEX(LMH_PTS,MATCH(Y272,LMH_KEY,0)),0)</f>
        <v>9</v>
      </c>
      <c r="BN272" s="38">
        <f>IFERROR(INDEX(LMH_PTS,MATCH(Z272,LMH_KEY,0)),0)</f>
        <v>3</v>
      </c>
      <c r="BO272" s="38">
        <f>IFERROR(INDEX(LMH_PTS,MATCH(AA272,LMH_KEY,0)),0)</f>
        <v>1</v>
      </c>
      <c r="BP272" s="38">
        <f>IFERROR(INDEX(LMH_PTS,MATCH(AB272,LMH_KEY,0)),0)</f>
        <v>1</v>
      </c>
      <c r="BQ272" s="38">
        <f>IFERROR(INDEX(LMH_PTS,MATCH(AC272,LMH_KEY,0)),0)</f>
        <v>1</v>
      </c>
      <c r="BR272" s="38">
        <f>IFERROR(INDEX(LMH_PTS,MATCH(AD272,LMH_KEY,0)),0)</f>
        <v>1</v>
      </c>
      <c r="BS272" s="38">
        <f>IFERROR(INDEX(LMH_PTS,MATCH(AE272,LMH_KEY,0)),0)</f>
        <v>1</v>
      </c>
      <c r="BT272" s="38">
        <f>IFERROR(INDEX(LMH_STEP,MATCH(AF272,LMH_KEY,0)),0)</f>
        <v>0</v>
      </c>
      <c r="BU272" s="38">
        <f>IFERROR(INDEX(LMH_STEP,MATCH(AG272,LMH_KEY,0)),0)</f>
        <v>0</v>
      </c>
      <c r="BV272" s="38">
        <f>IFERROR(INDEX(LMH_STEP,MATCH(AH272,LMH_KEY,0)),0)</f>
        <v>0</v>
      </c>
      <c r="BW272" s="38">
        <f>IFERROR(INDEX(LMH_STEP,MATCH(AI272,LMH_KEY,0)),0)</f>
        <v>0</v>
      </c>
      <c r="BX272" s="38">
        <f>IFERROR(INDEX(LMH_STEP,MATCH(AJ272,LMH_KEY,0)),0)</f>
        <v>0</v>
      </c>
      <c r="BY272" s="38">
        <f>IFERROR(INDEX(LMH_STEP,MATCH(AK272,LMH_KEY,0)),0)</f>
        <v>0</v>
      </c>
      <c r="BZ272" s="38">
        <f>IFERROR(INDEX(LMH_STEP,MATCH(AL272,LMH_KEY,0)),0)</f>
        <v>0</v>
      </c>
      <c r="CA272" s="38" t="inlineStr">
        <is>
          <t>iFile|Technology|Technical Specialist – POD Lead|B1|B-IC</t>
        </is>
      </c>
    </row>
    <row r="273" ht="110" customHeight="1">
      <c r="A273" s="28" t="inlineStr">
        <is>
          <t>iFile</t>
        </is>
      </c>
      <c r="B273" s="29" t="inlineStr">
        <is>
          <t>Technology</t>
        </is>
      </c>
      <c r="C273" s="29" t="n">
        <v>5</v>
      </c>
      <c r="D273" s="29" t="inlineStr">
        <is>
          <t>IRIS2429</t>
        </is>
      </c>
      <c r="E273" s="29" t="inlineStr">
        <is>
          <t>Subham Chakrabertty</t>
        </is>
      </c>
      <c r="F273" s="29" t="inlineStr">
        <is>
          <t>Trainee Software Engineer</t>
        </is>
      </c>
      <c r="G273" s="29" t="inlineStr">
        <is>
          <t>Software Engineer</t>
        </is>
      </c>
      <c r="H273" s="29" t="inlineStr">
        <is>
          <t>Engineering &amp; Development</t>
        </is>
      </c>
      <c r="I273" s="29" t="inlineStr">
        <is>
          <t>Backend Development</t>
        </is>
      </c>
      <c r="J273" s="29" t="inlineStr">
        <is>
          <t>IC</t>
        </is>
      </c>
      <c r="K273" s="29" t="inlineStr">
        <is>
          <t>RC-066</t>
        </is>
      </c>
      <c r="L273" s="29" t="inlineStr">
        <is>
          <t>Rajneesh Patel</t>
        </is>
      </c>
      <c r="M273" s="29" t="inlineStr">
        <is>
          <t>IRIS1470</t>
        </is>
      </c>
      <c r="N273" s="29" t="n">
        <v>1.1</v>
      </c>
      <c r="O273" s="29" t="n">
        <v>1.1</v>
      </c>
      <c r="P273" s="29" t="inlineStr">
        <is>
          <t>MCA</t>
        </is>
      </c>
      <c r="Q273" s="29" t="inlineStr">
        <is>
          <t>L2 – Trainee</t>
        </is>
      </c>
      <c r="R273" s="29" t="inlineStr">
        <is>
          <t>A2</t>
        </is>
      </c>
      <c r="S273" s="30" t="inlineStr">
        <is>
          <t>20 of 20</t>
        </is>
      </c>
      <c r="T273" s="31" t="inlineStr">
        <is>
          <t>Business Impact: No survey or manager-mapping signal on criticality: kept at the start point.</t>
        </is>
      </c>
      <c r="U273" s="31" t="inlineStr">
        <is>
          <t>Received · quarterly · KRAs not received · manager to supply</t>
        </is>
      </c>
      <c r="V273" s="31" t="inlineStr">
        <is>
          <t>Latest rating: 4 · Potential: Medium · 9-box: Trusted Professional · Readiness: Ready in 6–12 months</t>
        </is>
      </c>
      <c r="W273" s="31" t="inlineStr">
        <is>
          <t>C M · Au M · Ac M · L L · BI M · Exp M · 1.1 yrs vs 0–2 yrs · Edu H · MCA</t>
        </is>
      </c>
      <c r="X273" s="33" t="inlineStr">
        <is>
          <t>Open ▸</t>
        </is>
      </c>
      <c r="Y273" s="34" t="str">
        <f>IFERROR(INDEX(DL_C,MATCH($CA273,DL_KEY,0)),"M")</f>
        <v>H</v>
      </c>
      <c r="Z273" s="35" t="str">
        <f>IFERROR(INDEX(DL_Au,MATCH($CA273,DL_KEY,0)),"M")</f>
        <v>M</v>
      </c>
      <c r="AA273" s="35" t="str">
        <f>IFERROR(INDEX(DL_Ac,MATCH($CA273,DL_KEY,0)),"M")</f>
        <v>L</v>
      </c>
      <c r="AB273" s="35" t="str">
        <f>IFERROR(INDEX(DL_L,MATCH($CA273,DL_KEY,0)),"M")</f>
        <v>L</v>
      </c>
      <c r="AC273" s="35" t="str">
        <f>IFERROR(INDEX(DL_BI,MATCH($CA273,DL_KEY,0)),"M")</f>
        <v>L</v>
      </c>
      <c r="AD273" s="35" t="str">
        <f>IFERROR(INDEX(DL_Exp,MATCH($CA273,DL_KEY,0)),"M")</f>
        <v>L</v>
      </c>
      <c r="AE273" s="35" t="str">
        <f>IFERROR(INDEX(DL_Edu,MATCH($CA273,DL_KEY,0)),"M")</f>
        <v>L</v>
      </c>
      <c r="AF273" s="34" t="inlineStr">
        <is>
          <t>M</t>
        </is>
      </c>
      <c r="AG273" s="35" t="inlineStr">
        <is>
          <t>M</t>
        </is>
      </c>
      <c r="AH273" s="35" t="inlineStr">
        <is>
          <t>M</t>
        </is>
      </c>
      <c r="AI273" s="35" t="inlineStr">
        <is>
          <t>M</t>
        </is>
      </c>
      <c r="AJ273" s="35" t="inlineStr">
        <is>
          <t>M</t>
        </is>
      </c>
      <c r="AK273" s="35" t="inlineStr">
        <is>
          <t>M</t>
        </is>
      </c>
      <c r="AL273" s="35" t="inlineStr">
        <is>
          <t>M</t>
        </is>
      </c>
      <c r="AM273" s="36" t="n">
        <v>0.583</v>
      </c>
      <c r="AN273" s="37" t="n">
        <v>0.16</v>
      </c>
      <c r="AO273" s="37" t="n">
        <v>0.09</v>
      </c>
      <c r="AP273" s="37" t="n">
        <v>0</v>
      </c>
      <c r="AQ273" s="37" t="n">
        <v>0.063</v>
      </c>
      <c r="AR273" s="37" t="n">
        <v>0.06</v>
      </c>
      <c r="AS273" s="37" t="n">
        <v>0.04</v>
      </c>
      <c r="AT273" s="38" t="inlineStr">
        <is>
          <t>0–3</t>
        </is>
      </c>
      <c r="AU273" s="38" t="inlineStr">
        <is>
          <t>Graduate · or diploma with experience</t>
        </is>
      </c>
      <c r="AV273" s="38" t="inlineStr">
        <is>
          <t>No direct reports</t>
        </is>
      </c>
      <c r="AW273" s="38" t="inlineStr">
        <is>
          <t>P1–P2 · SFIA 2 Assist</t>
        </is>
      </c>
      <c r="AX2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3" s="39" t="inlineStr">
        <is>
          <t>A2</t>
        </is>
      </c>
      <c r="AZ273" s="40" t="inlineStr">
        <is>
          <t>Band A · Practitioner · Associate</t>
        </is>
      </c>
      <c r="BA273" s="40" t="inlineStr">
        <is>
          <t>Model A2 from the six ratings, the market-derived weights and rules R1–R13 · then No change · already below the manager</t>
        </is>
      </c>
      <c r="BB273" s="41" t="inlineStr">
        <is>
          <t>A2</t>
        </is>
      </c>
      <c r="BC273" s="40" t="inlineStr">
        <is>
          <t>The six ratings on the market-average weights of Band A · all tracks score 1.89 → A2 · Hay, Mercer IPE and public plans · experience 1.1 yrs vs the A2 market range 0–3</t>
        </is>
      </c>
      <c r="BD273" s="42">
        <f>IF(SUM(BM273,BN273,BO273,BP273,BQ273,BR273,BS273)=0,0,(BM273*BT273+BN273*BU273+BO273*BV273+BP273*BW273+BQ273*BX273+BR273*BY273+BS273*BZ273)/SUM(BM273,BN273,BO273,BP273,BQ273,BR273,BS273))</f>
        <v>0</v>
      </c>
      <c r="BE273" s="41" t="str">
        <f>IF(LEFT(AY273,1)="X",AY273,IF(OR(AY273="B+",AY273="C+"),INDEX(LAD_PC,MAX(1,MIN(14,MATCH(AY273,LAD_PC,0)+IF(BD273&gt;=0.5,1,IF(BD273&lt;=-0.5,-1,0))))),INDEX(LAD_STD,MAX(1,MIN(12,MATCH(AY273,LAD_STD,0)+IF(BD273&gt;=0.5,1,IF(BD273&lt;=-0.5,-1,0)))))))</f>
        <v>A2</v>
      </c>
      <c r="BF273" s="43" t="n"/>
      <c r="BG273" s="41" t="str">
        <f>IF(BF273&lt;&gt;"",BF273,BE273)</f>
        <v>A2</v>
      </c>
      <c r="BH273" s="40" t="str">
        <f>IFERROR(CHOOSE(INDEX(B_RANK,MATCH(BG273,B_LVL,0)),"Band A","Band B","B+ · Player-Coach","Band C","C+ · Player-Coach","Band D","Band E"),"Band X · Consultant")</f>
        <v>Band A</v>
      </c>
      <c r="BI273" s="40" t="str">
        <f>IF(BG273=AY273,"• Same",IF(INDEX(B_VAL,MATCH(BG273,B_LVL,0))&gt;INDEX(B_VAL,MATCH(AY273,B_LVL,0)),"▲ Up","▼ Down"))</f>
        <v>• Same</v>
      </c>
      <c r="BJ273" s="40" t="str">
        <f>IF(OR($M273="",$M273="—",$M273="Not in this file"),"",IFERROR(INDEX($BG$7:$BG$592,MATCH($M273,$D$7:$D$592,0)),""))</f>
        <v>B1</v>
      </c>
      <c r="BK273" s="40" t="str">
        <f>IFERROR(IF(BJ273="","—",IF(OR(LEFT(BG273,1)="X",LEFT(BJ273,1)="X"),"—",IF(AND(LEFT(BG273,1)="E",LEFT(BJ273,1)="E"),"Exception · Band E",IF(AND(INDEX(B_VAL,MATCH(BJ273,B_LVL,0))&gt;=7,INDEX(B_RANK,MATCH(BG273,B_LVL,0))&gt;=INDEX(B_RANK,MATCH(BJ273,B_LVL,0))),"⚠ Same band as a head manager",IF(INDEX(B_VAL,MATCH(BG273,B_LVL,0))&gt;=INDEX(B_VAL,MATCH(BJ273,B_LVL,0)),"⚠ At or above the manager's level","OK"))))),"—")</f>
        <v>OK</v>
      </c>
      <c r="BL273" s="43" t="n"/>
      <c r="BM273" s="44">
        <f>IFERROR(INDEX(LMH_PTS,MATCH(Y273,LMH_KEY,0)),0)</f>
        <v>9</v>
      </c>
      <c r="BN273" s="38">
        <f>IFERROR(INDEX(LMH_PTS,MATCH(Z273,LMH_KEY,0)),0)</f>
        <v>3</v>
      </c>
      <c r="BO273" s="38">
        <f>IFERROR(INDEX(LMH_PTS,MATCH(AA273,LMH_KEY,0)),0)</f>
        <v>1</v>
      </c>
      <c r="BP273" s="38">
        <f>IFERROR(INDEX(LMH_PTS,MATCH(AB273,LMH_KEY,0)),0)</f>
        <v>1</v>
      </c>
      <c r="BQ273" s="38">
        <f>IFERROR(INDEX(LMH_PTS,MATCH(AC273,LMH_KEY,0)),0)</f>
        <v>1</v>
      </c>
      <c r="BR273" s="38">
        <f>IFERROR(INDEX(LMH_PTS,MATCH(AD273,LMH_KEY,0)),0)</f>
        <v>1</v>
      </c>
      <c r="BS273" s="38">
        <f>IFERROR(INDEX(LMH_PTS,MATCH(AE273,LMH_KEY,0)),0)</f>
        <v>1</v>
      </c>
      <c r="BT273" s="38">
        <f>IFERROR(INDEX(LMH_STEP,MATCH(AF273,LMH_KEY,0)),0)</f>
        <v>0</v>
      </c>
      <c r="BU273" s="38">
        <f>IFERROR(INDEX(LMH_STEP,MATCH(AG273,LMH_KEY,0)),0)</f>
        <v>0</v>
      </c>
      <c r="BV273" s="38">
        <f>IFERROR(INDEX(LMH_STEP,MATCH(AH273,LMH_KEY,0)),0)</f>
        <v>0</v>
      </c>
      <c r="BW273" s="38">
        <f>IFERROR(INDEX(LMH_STEP,MATCH(AI273,LMH_KEY,0)),0)</f>
        <v>0</v>
      </c>
      <c r="BX273" s="38">
        <f>IFERROR(INDEX(LMH_STEP,MATCH(AJ273,LMH_KEY,0)),0)</f>
        <v>0</v>
      </c>
      <c r="BY273" s="38">
        <f>IFERROR(INDEX(LMH_STEP,MATCH(AK273,LMH_KEY,0)),0)</f>
        <v>0</v>
      </c>
      <c r="BZ273" s="38">
        <f>IFERROR(INDEX(LMH_STEP,MATCH(AL273,LMH_KEY,0)),0)</f>
        <v>0</v>
      </c>
      <c r="CA273" s="38" t="inlineStr">
        <is>
          <t>iFile|Technology|Software Engineer|A2|A</t>
        </is>
      </c>
    </row>
    <row r="274" ht="110" customHeight="1">
      <c r="A274" s="28" t="inlineStr">
        <is>
          <t>iFile</t>
        </is>
      </c>
      <c r="B274" s="29" t="inlineStr">
        <is>
          <t>Technology</t>
        </is>
      </c>
      <c r="C274" s="29" t="n">
        <v>4</v>
      </c>
      <c r="D274" s="29" t="inlineStr">
        <is>
          <t>IRIS2256</t>
        </is>
      </c>
      <c r="E274" s="29" t="inlineStr">
        <is>
          <t>Prajwal Chitode</t>
        </is>
      </c>
      <c r="F274" s="29" t="inlineStr">
        <is>
          <t>Software Engineer</t>
        </is>
      </c>
      <c r="G274" s="29" t="inlineStr">
        <is>
          <t>Senior Software Engineer</t>
        </is>
      </c>
      <c r="H274" s="29" t="inlineStr">
        <is>
          <t>Engineering &amp; Development</t>
        </is>
      </c>
      <c r="I274" s="29" t="inlineStr">
        <is>
          <t>Full-Stack Development</t>
        </is>
      </c>
      <c r="J274" s="29" t="inlineStr">
        <is>
          <t>IC</t>
        </is>
      </c>
      <c r="K274" s="29" t="inlineStr">
        <is>
          <t>RC-085</t>
        </is>
      </c>
      <c r="L274" s="29" t="inlineStr">
        <is>
          <t>Sharanagouda Patil</t>
        </is>
      </c>
      <c r="M274" s="29" t="inlineStr">
        <is>
          <t>IRIS1690</t>
        </is>
      </c>
      <c r="N274" s="29" t="n">
        <v>2.3</v>
      </c>
      <c r="O274" s="29" t="n">
        <v>2.3</v>
      </c>
      <c r="P274" s="29" t="inlineStr">
        <is>
          <t>B.E</t>
        </is>
      </c>
      <c r="Q274" s="29" t="inlineStr">
        <is>
          <t>L2 – Trainee</t>
        </is>
      </c>
      <c r="R274" s="29" t="inlineStr">
        <is>
          <t>A3</t>
        </is>
      </c>
      <c r="S274" s="30" t="inlineStr">
        <is>
          <t>19 of 20</t>
        </is>
      </c>
      <c r="T274" s="31"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t>
        </is>
      </c>
      <c r="U274" s="31" t="inlineStr">
        <is>
          <t>Received · quarterly · KRAs not received · manager to supply</t>
        </is>
      </c>
      <c r="V274" s="31" t="inlineStr">
        <is>
          <t>Latest rating: 3 · Potential: Medium · 9-box: Trusted Professional · Readiness: Develop in role</t>
        </is>
      </c>
      <c r="W274" s="31" t="inlineStr">
        <is>
          <t>C M · Au L · Ac M · L L · BI M · Exp M · 2.3 yrs vs 2–4 yrs · Edu M · B.E</t>
        </is>
      </c>
      <c r="X274" s="33" t="inlineStr">
        <is>
          <t>Open ▸</t>
        </is>
      </c>
      <c r="Y274" s="34" t="str">
        <f>IFERROR(INDEX(DL_C,MATCH($CA274,DL_KEY,0)),"M")</f>
        <v>H</v>
      </c>
      <c r="Z274" s="35" t="str">
        <f>IFERROR(INDEX(DL_Au,MATCH($CA274,DL_KEY,0)),"M")</f>
        <v>M</v>
      </c>
      <c r="AA274" s="35" t="str">
        <f>IFERROR(INDEX(DL_Ac,MATCH($CA274,DL_KEY,0)),"M")</f>
        <v>L</v>
      </c>
      <c r="AB274" s="35" t="str">
        <f>IFERROR(INDEX(DL_L,MATCH($CA274,DL_KEY,0)),"M")</f>
        <v>L</v>
      </c>
      <c r="AC274" s="35" t="str">
        <f>IFERROR(INDEX(DL_BI,MATCH($CA274,DL_KEY,0)),"M")</f>
        <v>L</v>
      </c>
      <c r="AD274" s="35" t="str">
        <f>IFERROR(INDEX(DL_Exp,MATCH($CA274,DL_KEY,0)),"M")</f>
        <v>L</v>
      </c>
      <c r="AE274" s="35" t="str">
        <f>IFERROR(INDEX(DL_Edu,MATCH($CA274,DL_KEY,0)),"M")</f>
        <v>L</v>
      </c>
      <c r="AF274" s="34" t="inlineStr">
        <is>
          <t>M</t>
        </is>
      </c>
      <c r="AG274" s="35" t="inlineStr">
        <is>
          <t>M</t>
        </is>
      </c>
      <c r="AH274" s="35" t="inlineStr">
        <is>
          <t>M</t>
        </is>
      </c>
      <c r="AI274" s="35" t="inlineStr">
        <is>
          <t>M</t>
        </is>
      </c>
      <c r="AJ274" s="35" t="inlineStr">
        <is>
          <t>M</t>
        </is>
      </c>
      <c r="AK274" s="35" t="inlineStr">
        <is>
          <t>M</t>
        </is>
      </c>
      <c r="AL274" s="35" t="inlineStr">
        <is>
          <t>M</t>
        </is>
      </c>
      <c r="AM274" s="36" t="n">
        <v>0.583</v>
      </c>
      <c r="AN274" s="37" t="n">
        <v>0.16</v>
      </c>
      <c r="AO274" s="37" t="n">
        <v>0.09</v>
      </c>
      <c r="AP274" s="37" t="n">
        <v>0</v>
      </c>
      <c r="AQ274" s="37" t="n">
        <v>0.063</v>
      </c>
      <c r="AR274" s="37" t="n">
        <v>0.06</v>
      </c>
      <c r="AS274" s="37" t="n">
        <v>0.04</v>
      </c>
      <c r="AT274" s="38" t="inlineStr">
        <is>
          <t>2–5</t>
        </is>
      </c>
      <c r="AU274" s="38" t="inlineStr">
        <is>
          <t>Graduate; relevant certification preferred</t>
        </is>
      </c>
      <c r="AV274" s="38" t="inlineStr">
        <is>
          <t>None · guides 1–3 juniors informally</t>
        </is>
      </c>
      <c r="AW274" s="38" t="inlineStr">
        <is>
          <t>P2 · SFIA 3 Apply</t>
        </is>
      </c>
      <c r="AX2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4" s="39" t="inlineStr">
        <is>
          <t>A3</t>
        </is>
      </c>
      <c r="AZ274" s="40" t="inlineStr">
        <is>
          <t>Band A · Practitioner · Senior Associate</t>
        </is>
      </c>
      <c r="BA274" s="40" t="inlineStr">
        <is>
          <t>Model A3 from the six ratings, the market-derived weights and rules R1–R13 · then No change · already below the manager</t>
        </is>
      </c>
      <c r="BB274" s="41" t="inlineStr">
        <is>
          <t>A2</t>
        </is>
      </c>
      <c r="BC274" s="40" t="inlineStr">
        <is>
          <t>The six ratings on the market-average weights of Band A · all tracks score 2.42 → A2 · Hay, Mercer IPE and public plans · experience 2.3 yrs vs the A2 market range 0–3</t>
        </is>
      </c>
      <c r="BD274" s="42">
        <f>IF(SUM(BM274,BN274,BO274,BP274,BQ274,BR274,BS274)=0,0,(BM274*BT274+BN274*BU274+BO274*BV274+BP274*BW274+BQ274*BX274+BR274*BY274+BS274*BZ274)/SUM(BM274,BN274,BO274,BP274,BQ274,BR274,BS274))</f>
        <v>0</v>
      </c>
      <c r="BE274" s="41" t="str">
        <f>IF(LEFT(AY274,1)="X",AY274,IF(OR(AY274="B+",AY274="C+"),INDEX(LAD_PC,MAX(1,MIN(14,MATCH(AY274,LAD_PC,0)+IF(BD274&gt;=0.5,1,IF(BD274&lt;=-0.5,-1,0))))),INDEX(LAD_STD,MAX(1,MIN(12,MATCH(AY274,LAD_STD,0)+IF(BD274&gt;=0.5,1,IF(BD274&lt;=-0.5,-1,0)))))))</f>
        <v>A3</v>
      </c>
      <c r="BF274" s="43" t="n"/>
      <c r="BG274" s="41" t="str">
        <f>IF(BF274&lt;&gt;"",BF274,BE274)</f>
        <v>A3</v>
      </c>
      <c r="BH274" s="40" t="str">
        <f>IFERROR(CHOOSE(INDEX(B_RANK,MATCH(BG274,B_LVL,0)),"Band A","Band B","B+ · Player-Coach","Band C","C+ · Player-Coach","Band D","Band E"),"Band X · Consultant")</f>
        <v>Band A</v>
      </c>
      <c r="BI274" s="40" t="str">
        <f>IF(BG274=AY274,"• Same",IF(INDEX(B_VAL,MATCH(BG274,B_LVL,0))&gt;INDEX(B_VAL,MATCH(AY274,B_LVL,0)),"▲ Up","▼ Down"))</f>
        <v>• Same</v>
      </c>
      <c r="BJ274" s="40" t="str">
        <f>IF(OR($M274="",$M274="—",$M274="Not in this file"),"",IFERROR(INDEX($BG$7:$BG$592,MATCH($M274,$D$7:$D$592,0)),""))</f>
        <v>B3</v>
      </c>
      <c r="BK274" s="40" t="str">
        <f>IFERROR(IF(BJ274="","—",IF(OR(LEFT(BG274,1)="X",LEFT(BJ274,1)="X"),"—",IF(AND(LEFT(BG274,1)="E",LEFT(BJ274,1)="E"),"Exception · Band E",IF(AND(INDEX(B_VAL,MATCH(BJ274,B_LVL,0))&gt;=7,INDEX(B_RANK,MATCH(BG274,B_LVL,0))&gt;=INDEX(B_RANK,MATCH(BJ274,B_LVL,0))),"⚠ Same band as a head manager",IF(INDEX(B_VAL,MATCH(BG274,B_LVL,0))&gt;=INDEX(B_VAL,MATCH(BJ274,B_LVL,0)),"⚠ At or above the manager's level","OK"))))),"—")</f>
        <v>OK</v>
      </c>
      <c r="BL274" s="43" t="n"/>
      <c r="BM274" s="44">
        <f>IFERROR(INDEX(LMH_PTS,MATCH(Y274,LMH_KEY,0)),0)</f>
        <v>9</v>
      </c>
      <c r="BN274" s="38">
        <f>IFERROR(INDEX(LMH_PTS,MATCH(Z274,LMH_KEY,0)),0)</f>
        <v>3</v>
      </c>
      <c r="BO274" s="38">
        <f>IFERROR(INDEX(LMH_PTS,MATCH(AA274,LMH_KEY,0)),0)</f>
        <v>1</v>
      </c>
      <c r="BP274" s="38">
        <f>IFERROR(INDEX(LMH_PTS,MATCH(AB274,LMH_KEY,0)),0)</f>
        <v>1</v>
      </c>
      <c r="BQ274" s="38">
        <f>IFERROR(INDEX(LMH_PTS,MATCH(AC274,LMH_KEY,0)),0)</f>
        <v>1</v>
      </c>
      <c r="BR274" s="38">
        <f>IFERROR(INDEX(LMH_PTS,MATCH(AD274,LMH_KEY,0)),0)</f>
        <v>1</v>
      </c>
      <c r="BS274" s="38">
        <f>IFERROR(INDEX(LMH_PTS,MATCH(AE274,LMH_KEY,0)),0)</f>
        <v>1</v>
      </c>
      <c r="BT274" s="38">
        <f>IFERROR(INDEX(LMH_STEP,MATCH(AF274,LMH_KEY,0)),0)</f>
        <v>0</v>
      </c>
      <c r="BU274" s="38">
        <f>IFERROR(INDEX(LMH_STEP,MATCH(AG274,LMH_KEY,0)),0)</f>
        <v>0</v>
      </c>
      <c r="BV274" s="38">
        <f>IFERROR(INDEX(LMH_STEP,MATCH(AH274,LMH_KEY,0)),0)</f>
        <v>0</v>
      </c>
      <c r="BW274" s="38">
        <f>IFERROR(INDEX(LMH_STEP,MATCH(AI274,LMH_KEY,0)),0)</f>
        <v>0</v>
      </c>
      <c r="BX274" s="38">
        <f>IFERROR(INDEX(LMH_STEP,MATCH(AJ274,LMH_KEY,0)),0)</f>
        <v>0</v>
      </c>
      <c r="BY274" s="38">
        <f>IFERROR(INDEX(LMH_STEP,MATCH(AK274,LMH_KEY,0)),0)</f>
        <v>0</v>
      </c>
      <c r="BZ274" s="38">
        <f>IFERROR(INDEX(LMH_STEP,MATCH(AL274,LMH_KEY,0)),0)</f>
        <v>0</v>
      </c>
      <c r="CA274" s="38" t="inlineStr">
        <is>
          <t>iFile|Technology|Senior Software Engineer|A3|A</t>
        </is>
      </c>
    </row>
    <row r="275" ht="110" customHeight="1">
      <c r="A275" s="28" t="inlineStr">
        <is>
          <t>iFile</t>
        </is>
      </c>
      <c r="B275" s="29" t="inlineStr">
        <is>
          <t>Technology</t>
        </is>
      </c>
      <c r="C275" s="29" t="n">
        <v>4</v>
      </c>
      <c r="D275" s="29" t="inlineStr">
        <is>
          <t>IRIS2451</t>
        </is>
      </c>
      <c r="E275" s="29" t="inlineStr">
        <is>
          <t>Anurag Gupta</t>
        </is>
      </c>
      <c r="F275" s="29" t="inlineStr">
        <is>
          <t>Trainee Software Engineer</t>
        </is>
      </c>
      <c r="G275" s="29" t="inlineStr">
        <is>
          <t>UI Developer</t>
        </is>
      </c>
      <c r="H275" s="29" t="inlineStr">
        <is>
          <t>Engineering &amp; Development</t>
        </is>
      </c>
      <c r="I275" s="29" t="inlineStr">
        <is>
          <t>Front-End / UI Development</t>
        </is>
      </c>
      <c r="J275" s="29" t="inlineStr">
        <is>
          <t>IC</t>
        </is>
      </c>
      <c r="K275" s="29" t="inlineStr">
        <is>
          <t>RC-080</t>
        </is>
      </c>
      <c r="L275" s="29" t="inlineStr">
        <is>
          <t>Sharanagouda Patil</t>
        </is>
      </c>
      <c r="M275" s="29" t="inlineStr">
        <is>
          <t>IRIS1690</t>
        </is>
      </c>
      <c r="N275" s="29" t="n">
        <v>2</v>
      </c>
      <c r="O275" s="29" t="n">
        <v>0.8</v>
      </c>
      <c r="P275" s="29" t="inlineStr">
        <is>
          <t>B.Sc</t>
        </is>
      </c>
      <c r="Q275" s="29" t="inlineStr">
        <is>
          <t>L2 – Trainee</t>
        </is>
      </c>
      <c r="R275" s="29" t="inlineStr">
        <is>
          <t>A2</t>
        </is>
      </c>
      <c r="S275" s="30" t="inlineStr">
        <is>
          <t>20 of 20</t>
        </is>
      </c>
      <c r="T275" s="31" t="inlineStr">
        <is>
          <t>Business Impact: No survey or manager-mapping signal on criticality: kept at the start point.</t>
        </is>
      </c>
      <c r="U275" s="31" t="inlineStr">
        <is>
          <t>Received · quarterly · KRAs not received · manager to supply</t>
        </is>
      </c>
      <c r="V275" s="31" t="inlineStr">
        <is>
          <t>Latest rating: 3 · Potential: Medium · 9-box: Trusted Professional · Readiness: Develop in role</t>
        </is>
      </c>
      <c r="W275" s="31" t="inlineStr">
        <is>
          <t>C M · Au M · Ac M · L L · BI M · Exp M · 2 yrs vs 0–2 yrs · Edu M · B.Sc</t>
        </is>
      </c>
      <c r="X275" s="33" t="inlineStr">
        <is>
          <t>Open ▸</t>
        </is>
      </c>
      <c r="Y275" s="34" t="str">
        <f>IFERROR(INDEX(DL_C,MATCH($CA275,DL_KEY,0)),"M")</f>
        <v>H</v>
      </c>
      <c r="Z275" s="35" t="str">
        <f>IFERROR(INDEX(DL_Au,MATCH($CA275,DL_KEY,0)),"M")</f>
        <v>M</v>
      </c>
      <c r="AA275" s="35" t="str">
        <f>IFERROR(INDEX(DL_Ac,MATCH($CA275,DL_KEY,0)),"M")</f>
        <v>L</v>
      </c>
      <c r="AB275" s="35" t="str">
        <f>IFERROR(INDEX(DL_L,MATCH($CA275,DL_KEY,0)),"M")</f>
        <v>L</v>
      </c>
      <c r="AC275" s="35" t="str">
        <f>IFERROR(INDEX(DL_BI,MATCH($CA275,DL_KEY,0)),"M")</f>
        <v>L</v>
      </c>
      <c r="AD275" s="35" t="str">
        <f>IFERROR(INDEX(DL_Exp,MATCH($CA275,DL_KEY,0)),"M")</f>
        <v>L</v>
      </c>
      <c r="AE275" s="35" t="str">
        <f>IFERROR(INDEX(DL_Edu,MATCH($CA275,DL_KEY,0)),"M")</f>
        <v>L</v>
      </c>
      <c r="AF275" s="34" t="inlineStr">
        <is>
          <t>M</t>
        </is>
      </c>
      <c r="AG275" s="35" t="inlineStr">
        <is>
          <t>M</t>
        </is>
      </c>
      <c r="AH275" s="35" t="inlineStr">
        <is>
          <t>M</t>
        </is>
      </c>
      <c r="AI275" s="35" t="inlineStr">
        <is>
          <t>M</t>
        </is>
      </c>
      <c r="AJ275" s="35" t="inlineStr">
        <is>
          <t>M</t>
        </is>
      </c>
      <c r="AK275" s="35" t="inlineStr">
        <is>
          <t>M</t>
        </is>
      </c>
      <c r="AL275" s="35" t="inlineStr">
        <is>
          <t>M</t>
        </is>
      </c>
      <c r="AM275" s="36" t="n">
        <v>0.583</v>
      </c>
      <c r="AN275" s="37" t="n">
        <v>0.16</v>
      </c>
      <c r="AO275" s="37" t="n">
        <v>0.09</v>
      </c>
      <c r="AP275" s="37" t="n">
        <v>0</v>
      </c>
      <c r="AQ275" s="37" t="n">
        <v>0.063</v>
      </c>
      <c r="AR275" s="37" t="n">
        <v>0.06</v>
      </c>
      <c r="AS275" s="37" t="n">
        <v>0.04</v>
      </c>
      <c r="AT275" s="38" t="inlineStr">
        <is>
          <t>0–3</t>
        </is>
      </c>
      <c r="AU275" s="38" t="inlineStr">
        <is>
          <t>Graduate · or diploma with experience</t>
        </is>
      </c>
      <c r="AV275" s="38" t="inlineStr">
        <is>
          <t>No direct reports</t>
        </is>
      </c>
      <c r="AW275" s="38" t="inlineStr">
        <is>
          <t>P1–P2 · SFIA 2 Assist</t>
        </is>
      </c>
      <c r="AX2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5" s="39" t="inlineStr">
        <is>
          <t>A2</t>
        </is>
      </c>
      <c r="AZ275" s="40" t="inlineStr">
        <is>
          <t>Band A · Practitioner · Associate</t>
        </is>
      </c>
      <c r="BA275" s="40" t="inlineStr">
        <is>
          <t>Model A2 from the six ratings, the market-derived weights and rules R1–R13 · then No change · already below the manager</t>
        </is>
      </c>
      <c r="BB275" s="41" t="inlineStr">
        <is>
          <t>A2</t>
        </is>
      </c>
      <c r="BC275" s="40" t="inlineStr">
        <is>
          <t>The six ratings on the market-average weights of Band A · all tracks score 1.89 → A2 · Hay, Mercer IPE and public plans · experience 2 yrs vs the A2 market range 0–3</t>
        </is>
      </c>
      <c r="BD275" s="42">
        <f>IF(SUM(BM275,BN275,BO275,BP275,BQ275,BR275,BS275)=0,0,(BM275*BT275+BN275*BU275+BO275*BV275+BP275*BW275+BQ275*BX275+BR275*BY275+BS275*BZ275)/SUM(BM275,BN275,BO275,BP275,BQ275,BR275,BS275))</f>
        <v>0</v>
      </c>
      <c r="BE275" s="41" t="str">
        <f>IF(LEFT(AY275,1)="X",AY275,IF(OR(AY275="B+",AY275="C+"),INDEX(LAD_PC,MAX(1,MIN(14,MATCH(AY275,LAD_PC,0)+IF(BD275&gt;=0.5,1,IF(BD275&lt;=-0.5,-1,0))))),INDEX(LAD_STD,MAX(1,MIN(12,MATCH(AY275,LAD_STD,0)+IF(BD275&gt;=0.5,1,IF(BD275&lt;=-0.5,-1,0)))))))</f>
        <v>A2</v>
      </c>
      <c r="BF275" s="43" t="n"/>
      <c r="BG275" s="41" t="str">
        <f>IF(BF275&lt;&gt;"",BF275,BE275)</f>
        <v>A2</v>
      </c>
      <c r="BH275" s="40" t="str">
        <f>IFERROR(CHOOSE(INDEX(B_RANK,MATCH(BG275,B_LVL,0)),"Band A","Band B","B+ · Player-Coach","Band C","C+ · Player-Coach","Band D","Band E"),"Band X · Consultant")</f>
        <v>Band A</v>
      </c>
      <c r="BI275" s="40" t="str">
        <f>IF(BG275=AY275,"• Same",IF(INDEX(B_VAL,MATCH(BG275,B_LVL,0))&gt;INDEX(B_VAL,MATCH(AY275,B_LVL,0)),"▲ Up","▼ Down"))</f>
        <v>• Same</v>
      </c>
      <c r="BJ275" s="40" t="str">
        <f>IF(OR($M275="",$M275="—",$M275="Not in this file"),"",IFERROR(INDEX($BG$7:$BG$592,MATCH($M275,$D$7:$D$592,0)),""))</f>
        <v>B3</v>
      </c>
      <c r="BK275" s="40" t="str">
        <f>IFERROR(IF(BJ275="","—",IF(OR(LEFT(BG275,1)="X",LEFT(BJ275,1)="X"),"—",IF(AND(LEFT(BG275,1)="E",LEFT(BJ275,1)="E"),"Exception · Band E",IF(AND(INDEX(B_VAL,MATCH(BJ275,B_LVL,0))&gt;=7,INDEX(B_RANK,MATCH(BG275,B_LVL,0))&gt;=INDEX(B_RANK,MATCH(BJ275,B_LVL,0))),"⚠ Same band as a head manager",IF(INDEX(B_VAL,MATCH(BG275,B_LVL,0))&gt;=INDEX(B_VAL,MATCH(BJ275,B_LVL,0)),"⚠ At or above the manager's level","OK"))))),"—")</f>
        <v>OK</v>
      </c>
      <c r="BL275" s="43" t="n"/>
      <c r="BM275" s="44">
        <f>IFERROR(INDEX(LMH_PTS,MATCH(Y275,LMH_KEY,0)),0)</f>
        <v>9</v>
      </c>
      <c r="BN275" s="38">
        <f>IFERROR(INDEX(LMH_PTS,MATCH(Z275,LMH_KEY,0)),0)</f>
        <v>3</v>
      </c>
      <c r="BO275" s="38">
        <f>IFERROR(INDEX(LMH_PTS,MATCH(AA275,LMH_KEY,0)),0)</f>
        <v>1</v>
      </c>
      <c r="BP275" s="38">
        <f>IFERROR(INDEX(LMH_PTS,MATCH(AB275,LMH_KEY,0)),0)</f>
        <v>1</v>
      </c>
      <c r="BQ275" s="38">
        <f>IFERROR(INDEX(LMH_PTS,MATCH(AC275,LMH_KEY,0)),0)</f>
        <v>1</v>
      </c>
      <c r="BR275" s="38">
        <f>IFERROR(INDEX(LMH_PTS,MATCH(AD275,LMH_KEY,0)),0)</f>
        <v>1</v>
      </c>
      <c r="BS275" s="38">
        <f>IFERROR(INDEX(LMH_PTS,MATCH(AE275,LMH_KEY,0)),0)</f>
        <v>1</v>
      </c>
      <c r="BT275" s="38">
        <f>IFERROR(INDEX(LMH_STEP,MATCH(AF275,LMH_KEY,0)),0)</f>
        <v>0</v>
      </c>
      <c r="BU275" s="38">
        <f>IFERROR(INDEX(LMH_STEP,MATCH(AG275,LMH_KEY,0)),0)</f>
        <v>0</v>
      </c>
      <c r="BV275" s="38">
        <f>IFERROR(INDEX(LMH_STEP,MATCH(AH275,LMH_KEY,0)),0)</f>
        <v>0</v>
      </c>
      <c r="BW275" s="38">
        <f>IFERROR(INDEX(LMH_STEP,MATCH(AI275,LMH_KEY,0)),0)</f>
        <v>0</v>
      </c>
      <c r="BX275" s="38">
        <f>IFERROR(INDEX(LMH_STEP,MATCH(AJ275,LMH_KEY,0)),0)</f>
        <v>0</v>
      </c>
      <c r="BY275" s="38">
        <f>IFERROR(INDEX(LMH_STEP,MATCH(AK275,LMH_KEY,0)),0)</f>
        <v>0</v>
      </c>
      <c r="BZ275" s="38">
        <f>IFERROR(INDEX(LMH_STEP,MATCH(AL275,LMH_KEY,0)),0)</f>
        <v>0</v>
      </c>
      <c r="CA275" s="38" t="inlineStr">
        <is>
          <t>iFile|Technology|UI Developer|A2|A</t>
        </is>
      </c>
    </row>
    <row r="276" ht="110" customHeight="1">
      <c r="A276" s="28" t="inlineStr">
        <is>
          <t>iFile</t>
        </is>
      </c>
      <c r="B276" s="29" t="inlineStr">
        <is>
          <t>Technology</t>
        </is>
      </c>
      <c r="C276" s="29" t="n">
        <v>4</v>
      </c>
      <c r="D276" s="29" t="inlineStr">
        <is>
          <t>IRIS2314</t>
        </is>
      </c>
      <c r="E276" s="29" t="inlineStr">
        <is>
          <t>Shubham Nimse</t>
        </is>
      </c>
      <c r="F276" s="29" t="inlineStr">
        <is>
          <t>Trainee Software Engineer</t>
        </is>
      </c>
      <c r="G276" s="29" t="inlineStr">
        <is>
          <t>Software Engineer</t>
        </is>
      </c>
      <c r="H276" s="29" t="inlineStr">
        <is>
          <t>Engineering &amp; Development</t>
        </is>
      </c>
      <c r="I276" s="29" t="inlineStr">
        <is>
          <t>Full-Stack Development</t>
        </is>
      </c>
      <c r="J276" s="29" t="inlineStr">
        <is>
          <t>IC</t>
        </is>
      </c>
      <c r="K276" s="29" t="inlineStr">
        <is>
          <t>RC-084</t>
        </is>
      </c>
      <c r="L276" s="29" t="inlineStr">
        <is>
          <t>Sharanagouda Patil</t>
        </is>
      </c>
      <c r="M276" s="29" t="inlineStr">
        <is>
          <t>IRIS1690</t>
        </is>
      </c>
      <c r="N276" s="29" t="n">
        <v>2.5</v>
      </c>
      <c r="O276" s="29" t="n">
        <v>2</v>
      </c>
      <c r="P276" s="29" t="inlineStr">
        <is>
          <t>B.E</t>
        </is>
      </c>
      <c r="Q276" s="29" t="inlineStr">
        <is>
          <t>L2 – Trainee</t>
        </is>
      </c>
      <c r="R276" s="29" t="inlineStr">
        <is>
          <t>A2</t>
        </is>
      </c>
      <c r="S276" s="30" t="inlineStr">
        <is>
          <t>19 of 20</t>
        </is>
      </c>
      <c r="T276" s="31"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t>
        </is>
      </c>
      <c r="U276" s="31" t="inlineStr">
        <is>
          <t>Received · quarterly · KRAs not received · manager to supply</t>
        </is>
      </c>
      <c r="V276" s="31" t="inlineStr">
        <is>
          <t>Latest rating: 4 · Potential: High · 9-box: Trusted Professional · Readiness: Ready now</t>
        </is>
      </c>
      <c r="W276" s="31" t="inlineStr">
        <is>
          <t>C M · Au M · Ac M · L M · BI M · Exp H · 2.5 yrs vs 0–2 yrs · Edu M · B.E</t>
        </is>
      </c>
      <c r="X276" s="33" t="inlineStr">
        <is>
          <t>Open ▸</t>
        </is>
      </c>
      <c r="Y276" s="34" t="str">
        <f>IFERROR(INDEX(DL_C,MATCH($CA276,DL_KEY,0)),"M")</f>
        <v>H</v>
      </c>
      <c r="Z276" s="35" t="str">
        <f>IFERROR(INDEX(DL_Au,MATCH($CA276,DL_KEY,0)),"M")</f>
        <v>M</v>
      </c>
      <c r="AA276" s="35" t="str">
        <f>IFERROR(INDEX(DL_Ac,MATCH($CA276,DL_KEY,0)),"M")</f>
        <v>L</v>
      </c>
      <c r="AB276" s="35" t="str">
        <f>IFERROR(INDEX(DL_L,MATCH($CA276,DL_KEY,0)),"M")</f>
        <v>L</v>
      </c>
      <c r="AC276" s="35" t="str">
        <f>IFERROR(INDEX(DL_BI,MATCH($CA276,DL_KEY,0)),"M")</f>
        <v>L</v>
      </c>
      <c r="AD276" s="35" t="str">
        <f>IFERROR(INDEX(DL_Exp,MATCH($CA276,DL_KEY,0)),"M")</f>
        <v>L</v>
      </c>
      <c r="AE276" s="35" t="str">
        <f>IFERROR(INDEX(DL_Edu,MATCH($CA276,DL_KEY,0)),"M")</f>
        <v>L</v>
      </c>
      <c r="AF276" s="34" t="inlineStr">
        <is>
          <t>M</t>
        </is>
      </c>
      <c r="AG276" s="35" t="inlineStr">
        <is>
          <t>M</t>
        </is>
      </c>
      <c r="AH276" s="35" t="inlineStr">
        <is>
          <t>M</t>
        </is>
      </c>
      <c r="AI276" s="35" t="inlineStr">
        <is>
          <t>M</t>
        </is>
      </c>
      <c r="AJ276" s="35" t="inlineStr">
        <is>
          <t>M</t>
        </is>
      </c>
      <c r="AK276" s="35" t="inlineStr">
        <is>
          <t>M</t>
        </is>
      </c>
      <c r="AL276" s="35" t="inlineStr">
        <is>
          <t>M</t>
        </is>
      </c>
      <c r="AM276" s="36" t="n">
        <v>0.583</v>
      </c>
      <c r="AN276" s="37" t="n">
        <v>0.16</v>
      </c>
      <c r="AO276" s="37" t="n">
        <v>0.09</v>
      </c>
      <c r="AP276" s="37" t="n">
        <v>0</v>
      </c>
      <c r="AQ276" s="37" t="n">
        <v>0.063</v>
      </c>
      <c r="AR276" s="37" t="n">
        <v>0.06</v>
      </c>
      <c r="AS276" s="37" t="n">
        <v>0.04</v>
      </c>
      <c r="AT276" s="38" t="inlineStr">
        <is>
          <t>0–3</t>
        </is>
      </c>
      <c r="AU276" s="38" t="inlineStr">
        <is>
          <t>Graduate · or diploma with experience</t>
        </is>
      </c>
      <c r="AV276" s="38" t="inlineStr">
        <is>
          <t>No direct reports</t>
        </is>
      </c>
      <c r="AW276" s="38" t="inlineStr">
        <is>
          <t>P1–P2 · SFIA 2 Assist</t>
        </is>
      </c>
      <c r="AX2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6" s="39" t="inlineStr">
        <is>
          <t>A2</t>
        </is>
      </c>
      <c r="AZ276" s="40" t="inlineStr">
        <is>
          <t>Band A · Practitioner · Associate</t>
        </is>
      </c>
      <c r="BA276" s="40" t="inlineStr">
        <is>
          <t>Model A2 from the six ratings, the market-derived weights and rules R1–R13 · then No change · already below the manager</t>
        </is>
      </c>
      <c r="BB276" s="41" t="inlineStr">
        <is>
          <t>A2</t>
        </is>
      </c>
      <c r="BC276" s="40" t="inlineStr">
        <is>
          <t>The six ratings on the market-average weights of Band A · all tracks score 1.73 → A2 · Hay, Mercer IPE and public plans · experience 2.5 yrs vs the A2 market range 0–3</t>
        </is>
      </c>
      <c r="BD276" s="42">
        <f>IF(SUM(BM276,BN276,BO276,BP276,BQ276,BR276,BS276)=0,0,(BM276*BT276+BN276*BU276+BO276*BV276+BP276*BW276+BQ276*BX276+BR276*BY276+BS276*BZ276)/SUM(BM276,BN276,BO276,BP276,BQ276,BR276,BS276))</f>
        <v>0</v>
      </c>
      <c r="BE276" s="41" t="str">
        <f>IF(LEFT(AY276,1)="X",AY276,IF(OR(AY276="B+",AY276="C+"),INDEX(LAD_PC,MAX(1,MIN(14,MATCH(AY276,LAD_PC,0)+IF(BD276&gt;=0.5,1,IF(BD276&lt;=-0.5,-1,0))))),INDEX(LAD_STD,MAX(1,MIN(12,MATCH(AY276,LAD_STD,0)+IF(BD276&gt;=0.5,1,IF(BD276&lt;=-0.5,-1,0)))))))</f>
        <v>A2</v>
      </c>
      <c r="BF276" s="43" t="n"/>
      <c r="BG276" s="41" t="str">
        <f>IF(BF276&lt;&gt;"",BF276,BE276)</f>
        <v>A2</v>
      </c>
      <c r="BH276" s="40" t="str">
        <f>IFERROR(CHOOSE(INDEX(B_RANK,MATCH(BG276,B_LVL,0)),"Band A","Band B","B+ · Player-Coach","Band C","C+ · Player-Coach","Band D","Band E"),"Band X · Consultant")</f>
        <v>Band A</v>
      </c>
      <c r="BI276" s="40" t="str">
        <f>IF(BG276=AY276,"• Same",IF(INDEX(B_VAL,MATCH(BG276,B_LVL,0))&gt;INDEX(B_VAL,MATCH(AY276,B_LVL,0)),"▲ Up","▼ Down"))</f>
        <v>• Same</v>
      </c>
      <c r="BJ276" s="40" t="str">
        <f>IF(OR($M276="",$M276="—",$M276="Not in this file"),"",IFERROR(INDEX($BG$7:$BG$592,MATCH($M276,$D$7:$D$592,0)),""))</f>
        <v>B3</v>
      </c>
      <c r="BK276" s="40" t="str">
        <f>IFERROR(IF(BJ276="","—",IF(OR(LEFT(BG276,1)="X",LEFT(BJ276,1)="X"),"—",IF(AND(LEFT(BG276,1)="E",LEFT(BJ276,1)="E"),"Exception · Band E",IF(AND(INDEX(B_VAL,MATCH(BJ276,B_LVL,0))&gt;=7,INDEX(B_RANK,MATCH(BG276,B_LVL,0))&gt;=INDEX(B_RANK,MATCH(BJ276,B_LVL,0))),"⚠ Same band as a head manager",IF(INDEX(B_VAL,MATCH(BG276,B_LVL,0))&gt;=INDEX(B_VAL,MATCH(BJ276,B_LVL,0)),"⚠ At or above the manager's level","OK"))))),"—")</f>
        <v>OK</v>
      </c>
      <c r="BL276" s="43" t="n"/>
      <c r="BM276" s="44">
        <f>IFERROR(INDEX(LMH_PTS,MATCH(Y276,LMH_KEY,0)),0)</f>
        <v>9</v>
      </c>
      <c r="BN276" s="38">
        <f>IFERROR(INDEX(LMH_PTS,MATCH(Z276,LMH_KEY,0)),0)</f>
        <v>3</v>
      </c>
      <c r="BO276" s="38">
        <f>IFERROR(INDEX(LMH_PTS,MATCH(AA276,LMH_KEY,0)),0)</f>
        <v>1</v>
      </c>
      <c r="BP276" s="38">
        <f>IFERROR(INDEX(LMH_PTS,MATCH(AB276,LMH_KEY,0)),0)</f>
        <v>1</v>
      </c>
      <c r="BQ276" s="38">
        <f>IFERROR(INDEX(LMH_PTS,MATCH(AC276,LMH_KEY,0)),0)</f>
        <v>1</v>
      </c>
      <c r="BR276" s="38">
        <f>IFERROR(INDEX(LMH_PTS,MATCH(AD276,LMH_KEY,0)),0)</f>
        <v>1</v>
      </c>
      <c r="BS276" s="38">
        <f>IFERROR(INDEX(LMH_PTS,MATCH(AE276,LMH_KEY,0)),0)</f>
        <v>1</v>
      </c>
      <c r="BT276" s="38">
        <f>IFERROR(INDEX(LMH_STEP,MATCH(AF276,LMH_KEY,0)),0)</f>
        <v>0</v>
      </c>
      <c r="BU276" s="38">
        <f>IFERROR(INDEX(LMH_STEP,MATCH(AG276,LMH_KEY,0)),0)</f>
        <v>0</v>
      </c>
      <c r="BV276" s="38">
        <f>IFERROR(INDEX(LMH_STEP,MATCH(AH276,LMH_KEY,0)),0)</f>
        <v>0</v>
      </c>
      <c r="BW276" s="38">
        <f>IFERROR(INDEX(LMH_STEP,MATCH(AI276,LMH_KEY,0)),0)</f>
        <v>0</v>
      </c>
      <c r="BX276" s="38">
        <f>IFERROR(INDEX(LMH_STEP,MATCH(AJ276,LMH_KEY,0)),0)</f>
        <v>0</v>
      </c>
      <c r="BY276" s="38">
        <f>IFERROR(INDEX(LMH_STEP,MATCH(AK276,LMH_KEY,0)),0)</f>
        <v>0</v>
      </c>
      <c r="BZ276" s="38">
        <f>IFERROR(INDEX(LMH_STEP,MATCH(AL276,LMH_KEY,0)),0)</f>
        <v>0</v>
      </c>
      <c r="CA276" s="38" t="inlineStr">
        <is>
          <t>iFile|Technology|Software Engineer|A2|A</t>
        </is>
      </c>
    </row>
    <row r="277" ht="110" customHeight="1">
      <c r="A277" s="28" t="inlineStr">
        <is>
          <t>iFile</t>
        </is>
      </c>
      <c r="B277" s="29" t="inlineStr">
        <is>
          <t>Technology</t>
        </is>
      </c>
      <c r="C277" s="29" t="n">
        <v>4</v>
      </c>
      <c r="D277" s="29" t="inlineStr">
        <is>
          <t>INTN0289</t>
        </is>
      </c>
      <c r="E277" s="29" t="inlineStr">
        <is>
          <t>Pradnya Shindhe</t>
        </is>
      </c>
      <c r="F277" s="29" t="inlineStr">
        <is>
          <t>Intern</t>
        </is>
      </c>
      <c r="G277" s="29" t="inlineStr">
        <is>
          <t>Intern – Front-End / UI Development</t>
        </is>
      </c>
      <c r="H277" s="29" t="inlineStr">
        <is>
          <t>Engineering &amp; Development</t>
        </is>
      </c>
      <c r="I277" s="29" t="inlineStr">
        <is>
          <t>Front-End / UI Development</t>
        </is>
      </c>
      <c r="J277" s="29" t="inlineStr">
        <is>
          <t>IC</t>
        </is>
      </c>
      <c r="K277" s="29" t="inlineStr">
        <is>
          <t>RC-079</t>
        </is>
      </c>
      <c r="L277" s="29" t="inlineStr">
        <is>
          <t>Sharanagouda Patil</t>
        </is>
      </c>
      <c r="M277" s="29" t="inlineStr">
        <is>
          <t>IRIS1690</t>
        </is>
      </c>
      <c r="N277" s="29" t="n">
        <v>0.7</v>
      </c>
      <c r="O277" s="29" t="n">
        <v>0.7</v>
      </c>
      <c r="P277" s="29" t="inlineStr">
        <is>
          <t>BCA</t>
        </is>
      </c>
      <c r="Q277" s="29" t="inlineStr">
        <is>
          <t>L1 – Intern</t>
        </is>
      </c>
      <c r="R277" s="29" t="inlineStr">
        <is>
          <t>A1</t>
        </is>
      </c>
      <c r="S277" s="30" t="inlineStr">
        <is>
          <t>20 of 20</t>
        </is>
      </c>
      <c r="T277" s="32" t="inlineStr">
        <is>
          <t>Full survey answers not in the files received · How We Grow export needed · HR</t>
        </is>
      </c>
      <c r="U277" s="31" t="inlineStr">
        <is>
          <t>Received · quarterly · KRAs not received · manager to supply</t>
        </is>
      </c>
      <c r="V277" s="31" t="inlineStr">
        <is>
          <t>Latest rating: 3 · 9-box: Trusted Professional · Readiness: Develop in role</t>
        </is>
      </c>
      <c r="W277" s="31" t="inlineStr">
        <is>
          <t>C — · Au — · Ac — · L — · BI — · Exp H · 0.7 yrs vs 0 yrs · fresher / intern · Edu M · BCA</t>
        </is>
      </c>
      <c r="X277" s="33" t="inlineStr">
        <is>
          <t>Open ▸</t>
        </is>
      </c>
      <c r="Y277" s="34" t="str">
        <f>IFERROR(INDEX(DL_C,MATCH($CA277,DL_KEY,0)),"M")</f>
        <v>H</v>
      </c>
      <c r="Z277" s="35" t="str">
        <f>IFERROR(INDEX(DL_Au,MATCH($CA277,DL_KEY,0)),"M")</f>
        <v>M</v>
      </c>
      <c r="AA277" s="35" t="str">
        <f>IFERROR(INDEX(DL_Ac,MATCH($CA277,DL_KEY,0)),"M")</f>
        <v>L</v>
      </c>
      <c r="AB277" s="35" t="str">
        <f>IFERROR(INDEX(DL_L,MATCH($CA277,DL_KEY,0)),"M")</f>
        <v>L</v>
      </c>
      <c r="AC277" s="35" t="str">
        <f>IFERROR(INDEX(DL_BI,MATCH($CA277,DL_KEY,0)),"M")</f>
        <v>L</v>
      </c>
      <c r="AD277" s="35" t="str">
        <f>IFERROR(INDEX(DL_Exp,MATCH($CA277,DL_KEY,0)),"M")</f>
        <v>L</v>
      </c>
      <c r="AE277" s="35" t="str">
        <f>IFERROR(INDEX(DL_Edu,MATCH($CA277,DL_KEY,0)),"M")</f>
        <v>L</v>
      </c>
      <c r="AF277" s="34" t="inlineStr">
        <is>
          <t>M</t>
        </is>
      </c>
      <c r="AG277" s="35" t="inlineStr">
        <is>
          <t>M</t>
        </is>
      </c>
      <c r="AH277" s="35" t="inlineStr">
        <is>
          <t>M</t>
        </is>
      </c>
      <c r="AI277" s="35" t="inlineStr">
        <is>
          <t>M</t>
        </is>
      </c>
      <c r="AJ277" s="35" t="inlineStr">
        <is>
          <t>M</t>
        </is>
      </c>
      <c r="AK277" s="35" t="inlineStr">
        <is>
          <t>M</t>
        </is>
      </c>
      <c r="AL277" s="35" t="inlineStr">
        <is>
          <t>M</t>
        </is>
      </c>
      <c r="AM277" s="36" t="n">
        <v>0.583</v>
      </c>
      <c r="AN277" s="37" t="n">
        <v>0.16</v>
      </c>
      <c r="AO277" s="37" t="n">
        <v>0.09</v>
      </c>
      <c r="AP277" s="37" t="n">
        <v>0</v>
      </c>
      <c r="AQ277" s="37" t="n">
        <v>0.063</v>
      </c>
      <c r="AR277" s="37" t="n">
        <v>0.06</v>
      </c>
      <c r="AS277" s="37" t="n">
        <v>0.04</v>
      </c>
      <c r="AT277" s="38" t="inlineStr">
        <is>
          <t>0 yrs · fresher / intern</t>
        </is>
      </c>
      <c r="AU277" s="38" t="inlineStr">
        <is>
          <t>Pursuing or completed graduation / diploma</t>
        </is>
      </c>
      <c r="AV277" s="38" t="inlineStr">
        <is>
          <t>No direct reports</t>
        </is>
      </c>
      <c r="AW277" s="38" t="inlineStr">
        <is>
          <t>Entry / P1 · intern · SFIA 1 Follow</t>
        </is>
      </c>
      <c r="AX2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7" s="39" t="inlineStr">
        <is>
          <t>A1</t>
        </is>
      </c>
      <c r="AZ277" s="40" t="inlineStr">
        <is>
          <t>Band A · Practitioner · Intern / Trainee</t>
        </is>
      </c>
      <c r="BA277" s="40" t="inlineStr">
        <is>
          <t>Model A1 from the six ratings, the market-derived weights and rules R1–R13 · then No change · already below the manager</t>
        </is>
      </c>
      <c r="BB277" s="41" t="inlineStr">
        <is>
          <t>A1</t>
        </is>
      </c>
      <c r="BC277" s="40" t="inlineStr">
        <is>
          <t>Placed by a category rule — no full set of ratings · benchmark follows the HR proposed level</t>
        </is>
      </c>
      <c r="BD277" s="42">
        <f>IF(SUM(BM277,BN277,BO277,BP277,BQ277,BR277,BS277)=0,0,(BM277*BT277+BN277*BU277+BO277*BV277+BP277*BW277+BQ277*BX277+BR277*BY277+BS277*BZ277)/SUM(BM277,BN277,BO277,BP277,BQ277,BR277,BS277))</f>
        <v>0</v>
      </c>
      <c r="BE277" s="41" t="str">
        <f>IF(LEFT(AY277,1)="X",AY277,IF(OR(AY277="B+",AY277="C+"),INDEX(LAD_PC,MAX(1,MIN(14,MATCH(AY277,LAD_PC,0)+IF(BD277&gt;=0.5,1,IF(BD277&lt;=-0.5,-1,0))))),INDEX(LAD_STD,MAX(1,MIN(12,MATCH(AY277,LAD_STD,0)+IF(BD277&gt;=0.5,1,IF(BD277&lt;=-0.5,-1,0)))))))</f>
        <v>A1</v>
      </c>
      <c r="BF277" s="43" t="n"/>
      <c r="BG277" s="41" t="str">
        <f>IF(BF277&lt;&gt;"",BF277,BE277)</f>
        <v>A1</v>
      </c>
      <c r="BH277" s="40" t="str">
        <f>IFERROR(CHOOSE(INDEX(B_RANK,MATCH(BG277,B_LVL,0)),"Band A","Band B","B+ · Player-Coach","Band C","C+ · Player-Coach","Band D","Band E"),"Band X · Consultant")</f>
        <v>Band A</v>
      </c>
      <c r="BI277" s="40" t="str">
        <f>IF(BG277=AY277,"• Same",IF(INDEX(B_VAL,MATCH(BG277,B_LVL,0))&gt;INDEX(B_VAL,MATCH(AY277,B_LVL,0)),"▲ Up","▼ Down"))</f>
        <v>• Same</v>
      </c>
      <c r="BJ277" s="40" t="str">
        <f>IF(OR($M277="",$M277="—",$M277="Not in this file"),"",IFERROR(INDEX($BG$7:$BG$592,MATCH($M277,$D$7:$D$592,0)),""))</f>
        <v>B3</v>
      </c>
      <c r="BK277" s="40" t="str">
        <f>IFERROR(IF(BJ277="","—",IF(OR(LEFT(BG277,1)="X",LEFT(BJ277,1)="X"),"—",IF(AND(LEFT(BG277,1)="E",LEFT(BJ277,1)="E"),"Exception · Band E",IF(AND(INDEX(B_VAL,MATCH(BJ277,B_LVL,0))&gt;=7,INDEX(B_RANK,MATCH(BG277,B_LVL,0))&gt;=INDEX(B_RANK,MATCH(BJ277,B_LVL,0))),"⚠ Same band as a head manager",IF(INDEX(B_VAL,MATCH(BG277,B_LVL,0))&gt;=INDEX(B_VAL,MATCH(BJ277,B_LVL,0)),"⚠ At or above the manager's level","OK"))))),"—")</f>
        <v>OK</v>
      </c>
      <c r="BL277" s="43" t="n"/>
      <c r="BM277" s="44">
        <f>IFERROR(INDEX(LMH_PTS,MATCH(Y277,LMH_KEY,0)),0)</f>
        <v>9</v>
      </c>
      <c r="BN277" s="38">
        <f>IFERROR(INDEX(LMH_PTS,MATCH(Z277,LMH_KEY,0)),0)</f>
        <v>3</v>
      </c>
      <c r="BO277" s="38">
        <f>IFERROR(INDEX(LMH_PTS,MATCH(AA277,LMH_KEY,0)),0)</f>
        <v>1</v>
      </c>
      <c r="BP277" s="38">
        <f>IFERROR(INDEX(LMH_PTS,MATCH(AB277,LMH_KEY,0)),0)</f>
        <v>1</v>
      </c>
      <c r="BQ277" s="38">
        <f>IFERROR(INDEX(LMH_PTS,MATCH(AC277,LMH_KEY,0)),0)</f>
        <v>1</v>
      </c>
      <c r="BR277" s="38">
        <f>IFERROR(INDEX(LMH_PTS,MATCH(AD277,LMH_KEY,0)),0)</f>
        <v>1</v>
      </c>
      <c r="BS277" s="38">
        <f>IFERROR(INDEX(LMH_PTS,MATCH(AE277,LMH_KEY,0)),0)</f>
        <v>1</v>
      </c>
      <c r="BT277" s="38">
        <f>IFERROR(INDEX(LMH_STEP,MATCH(AF277,LMH_KEY,0)),0)</f>
        <v>0</v>
      </c>
      <c r="BU277" s="38">
        <f>IFERROR(INDEX(LMH_STEP,MATCH(AG277,LMH_KEY,0)),0)</f>
        <v>0</v>
      </c>
      <c r="BV277" s="38">
        <f>IFERROR(INDEX(LMH_STEP,MATCH(AH277,LMH_KEY,0)),0)</f>
        <v>0</v>
      </c>
      <c r="BW277" s="38">
        <f>IFERROR(INDEX(LMH_STEP,MATCH(AI277,LMH_KEY,0)),0)</f>
        <v>0</v>
      </c>
      <c r="BX277" s="38">
        <f>IFERROR(INDEX(LMH_STEP,MATCH(AJ277,LMH_KEY,0)),0)</f>
        <v>0</v>
      </c>
      <c r="BY277" s="38">
        <f>IFERROR(INDEX(LMH_STEP,MATCH(AK277,LMH_KEY,0)),0)</f>
        <v>0</v>
      </c>
      <c r="BZ277" s="38">
        <f>IFERROR(INDEX(LMH_STEP,MATCH(AL277,LMH_KEY,0)),0)</f>
        <v>0</v>
      </c>
      <c r="CA277" s="38" t="inlineStr">
        <is>
          <t>iFile|Technology|Intern – Front-End / UI Development|A1|A</t>
        </is>
      </c>
    </row>
    <row r="278" ht="110" customHeight="1">
      <c r="A278" s="28" t="inlineStr">
        <is>
          <t>iFile</t>
        </is>
      </c>
      <c r="B278" s="29" t="inlineStr">
        <is>
          <t>Technology</t>
        </is>
      </c>
      <c r="C278" s="29" t="n">
        <v>3</v>
      </c>
      <c r="D278" s="29" t="inlineStr">
        <is>
          <t>IRIS0211</t>
        </is>
      </c>
      <c r="E278" s="29" t="inlineStr">
        <is>
          <t>Brij Kishor Singh</t>
        </is>
      </c>
      <c r="F278" s="29" t="inlineStr">
        <is>
          <t>Technical Architect</t>
        </is>
      </c>
      <c r="G278" s="29" t="inlineStr">
        <is>
          <t>Practice Lead – Solution &amp; Technical Architecture · Player-Coach</t>
        </is>
      </c>
      <c r="H278" s="29" t="inlineStr">
        <is>
          <t>Engineering &amp; Architecture</t>
        </is>
      </c>
      <c r="I278" s="29" t="inlineStr">
        <is>
          <t>Solution &amp; Technical Architecture</t>
        </is>
      </c>
      <c r="J278" s="29" t="inlineStr">
        <is>
          <t>Player-Coach</t>
        </is>
      </c>
      <c r="K278" s="29" t="inlineStr">
        <is>
          <t>RC-056</t>
        </is>
      </c>
      <c r="L278" s="29" t="inlineStr">
        <is>
          <t>Pradip Dey</t>
        </is>
      </c>
      <c r="M278" s="29" t="inlineStr">
        <is>
          <t>IRISC223</t>
        </is>
      </c>
      <c r="N278" s="29" t="n">
        <v>18.2</v>
      </c>
      <c r="O278" s="29" t="n">
        <v>18.2</v>
      </c>
      <c r="P278" s="29" t="inlineStr">
        <is>
          <t>MCA</t>
        </is>
      </c>
      <c r="Q278" s="29" t="inlineStr">
        <is>
          <t>L3 – Professional / Associate</t>
        </is>
      </c>
      <c r="R278" s="29" t="inlineStr">
        <is>
          <t>B+</t>
        </is>
      </c>
      <c r="S278" s="30" t="inlineStr">
        <is>
          <t>20 of 20</t>
        </is>
      </c>
      <c r="T278" s="31"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t>
        </is>
      </c>
      <c r="U278" s="31" t="inlineStr">
        <is>
          <t>Received · manager annual, quarterly · 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t>
        </is>
      </c>
      <c r="V278" s="31" t="inlineStr">
        <is>
          <t>Latest rating: 4 · Potential: High · 9-box: Trusted Professional · Readiness: Ready now</t>
        </is>
      </c>
      <c r="W278" s="31" t="inlineStr">
        <is>
          <t>C M · Au M · Ac M · L L · BI M · Exp H · 18.2 yrs vs 9–14 yrs · Edu M · MCA</t>
        </is>
      </c>
      <c r="X278" s="33" t="inlineStr">
        <is>
          <t>Open ▸</t>
        </is>
      </c>
      <c r="Y278" s="34" t="str">
        <f>IFERROR(INDEX(DL_C,MATCH($CA278,DL_KEY,0)),"M")</f>
        <v>H</v>
      </c>
      <c r="Z278" s="35" t="str">
        <f>IFERROR(INDEX(DL_Au,MATCH($CA278,DL_KEY,0)),"M")</f>
        <v>M</v>
      </c>
      <c r="AA278" s="35" t="str">
        <f>IFERROR(INDEX(DL_Ac,MATCH($CA278,DL_KEY,0)),"M")</f>
        <v>L</v>
      </c>
      <c r="AB278" s="35" t="str">
        <f>IFERROR(INDEX(DL_L,MATCH($CA278,DL_KEY,0)),"M")</f>
        <v>M</v>
      </c>
      <c r="AC278" s="35" t="str">
        <f>IFERROR(INDEX(DL_BI,MATCH($CA278,DL_KEY,0)),"M")</f>
        <v>L</v>
      </c>
      <c r="AD278" s="35" t="str">
        <f>IFERROR(INDEX(DL_Exp,MATCH($CA278,DL_KEY,0)),"M")</f>
        <v>L</v>
      </c>
      <c r="AE278" s="35" t="str">
        <f>IFERROR(INDEX(DL_Edu,MATCH($CA278,DL_KEY,0)),"M")</f>
        <v>L</v>
      </c>
      <c r="AF278" s="34" t="inlineStr">
        <is>
          <t>M</t>
        </is>
      </c>
      <c r="AG278" s="35" t="inlineStr">
        <is>
          <t>M</t>
        </is>
      </c>
      <c r="AH278" s="35" t="inlineStr">
        <is>
          <t>M</t>
        </is>
      </c>
      <c r="AI278" s="35" t="inlineStr">
        <is>
          <t>M</t>
        </is>
      </c>
      <c r="AJ278" s="35" t="inlineStr">
        <is>
          <t>M</t>
        </is>
      </c>
      <c r="AK278" s="35" t="inlineStr">
        <is>
          <t>M</t>
        </is>
      </c>
      <c r="AL278" s="35" t="inlineStr">
        <is>
          <t>M</t>
        </is>
      </c>
      <c r="AM278" s="36" t="n">
        <v>0.44</v>
      </c>
      <c r="AN278" s="37" t="n">
        <v>0.177</v>
      </c>
      <c r="AO278" s="37" t="n">
        <v>0.103</v>
      </c>
      <c r="AP278" s="37" t="n">
        <v>0.1</v>
      </c>
      <c r="AQ278" s="37" t="n">
        <v>0.077</v>
      </c>
      <c r="AR278" s="37" t="n">
        <v>0.06</v>
      </c>
      <c r="AS278" s="37" t="n">
        <v>0.04</v>
      </c>
      <c r="AT278" s="38" t="inlineStr">
        <is>
          <t>9–14</t>
        </is>
      </c>
      <c r="AU278" s="38" t="inlineStr">
        <is>
          <t>Postgraduate or professional qualification preferred</t>
        </is>
      </c>
      <c r="AV278" s="38" t="inlineStr">
        <is>
          <t>3–6 direct reports with ≥ 40% of time on own delivery · McKinsey player/coach 3–5; Google Tech Lead Manager</t>
        </is>
      </c>
      <c r="AW278" s="38" t="inlineStr">
        <is>
          <t>P5–P6 / M4–M5 · SFIA 5 Ensure, advise</t>
        </is>
      </c>
      <c r="AX2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8" s="39" t="inlineStr">
        <is>
          <t>B+</t>
        </is>
      </c>
      <c r="AZ278" s="40" t="inlineStr">
        <is>
          <t>B+ · Player-Coach · Practice Lead · Player-Coach</t>
        </is>
      </c>
      <c r="BA278" s="40" t="inlineStr">
        <is>
          <t>Model B+ from the six ratings, the market-derived weights and rules R1–R13 · then No change · already below the manager</t>
        </is>
      </c>
      <c r="BB278" s="41" t="inlineStr">
        <is>
          <t>C1</t>
        </is>
      </c>
      <c r="BC278" s="40" t="inlineStr">
        <is>
          <t>The six ratings on the market-average weights of B+ · Player-Coach score 6.51 → C1 · Hay, Mercer IPE and public plans · experience 18.2 yrs vs the C1 market range 12–17</t>
        </is>
      </c>
      <c r="BD278" s="42">
        <f>IF(SUM(BM278,BN278,BO278,BP278,BQ278,BR278,BS278)=0,0,(BM278*BT278+BN278*BU278+BO278*BV278+BP278*BW278+BQ278*BX278+BR278*BY278+BS278*BZ278)/SUM(BM278,BN278,BO278,BP278,BQ278,BR278,BS278))</f>
        <v>0</v>
      </c>
      <c r="BE278" s="41" t="str">
        <f>IF(LEFT(AY278,1)="X",AY278,IF(OR(AY278="B+",AY278="C+"),INDEX(LAD_PC,MAX(1,MIN(14,MATCH(AY278,LAD_PC,0)+IF(BD278&gt;=0.5,1,IF(BD278&lt;=-0.5,-1,0))))),INDEX(LAD_STD,MAX(1,MIN(12,MATCH(AY278,LAD_STD,0)+IF(BD278&gt;=0.5,1,IF(BD278&lt;=-0.5,-1,0)))))))</f>
        <v>B+</v>
      </c>
      <c r="BF278" s="43" t="n"/>
      <c r="BG278" s="41" t="str">
        <f>IF(BF278&lt;&gt;"",BF278,BE278)</f>
        <v>B+</v>
      </c>
      <c r="BH278" s="40" t="str">
        <f>IFERROR(CHOOSE(INDEX(B_RANK,MATCH(BG278,B_LVL,0)),"Band A","Band B","B+ · Player-Coach","Band C","C+ · Player-Coach","Band D","Band E"),"Band X · Consultant")</f>
        <v>B+ · Player-Coach</v>
      </c>
      <c r="BI278" s="40" t="str">
        <f>IF(BG278=AY278,"• Same",IF(INDEX(B_VAL,MATCH(BG278,B_LVL,0))&gt;INDEX(B_VAL,MATCH(AY278,B_LVL,0)),"▲ Up","▼ Down"))</f>
        <v>• Same</v>
      </c>
      <c r="BJ278" s="40" t="str">
        <f>IF(OR($M278="",$M278="—",$M278="Not in this file"),"",IFERROR(INDEX($BG$7:$BG$592,MATCH($M278,$D$7:$D$592,0)),""))</f>
        <v>C2</v>
      </c>
      <c r="BK278" s="40" t="str">
        <f>IFERROR(IF(BJ278="","—",IF(OR(LEFT(BG278,1)="X",LEFT(BJ278,1)="X"),"—",IF(AND(LEFT(BG278,1)="E",LEFT(BJ278,1)="E"),"Exception · Band E",IF(AND(INDEX(B_VAL,MATCH(BJ278,B_LVL,0))&gt;=7,INDEX(B_RANK,MATCH(BG278,B_LVL,0))&gt;=INDEX(B_RANK,MATCH(BJ278,B_LVL,0))),"⚠ Same band as a head manager",IF(INDEX(B_VAL,MATCH(BG278,B_LVL,0))&gt;=INDEX(B_VAL,MATCH(BJ278,B_LVL,0)),"⚠ At or above the manager's level","OK"))))),"—")</f>
        <v>OK</v>
      </c>
      <c r="BL278" s="43" t="n"/>
      <c r="BM278" s="44">
        <f>IFERROR(INDEX(LMH_PTS,MATCH(Y278,LMH_KEY,0)),0)</f>
        <v>9</v>
      </c>
      <c r="BN278" s="38">
        <f>IFERROR(INDEX(LMH_PTS,MATCH(Z278,LMH_KEY,0)),0)</f>
        <v>3</v>
      </c>
      <c r="BO278" s="38">
        <f>IFERROR(INDEX(LMH_PTS,MATCH(AA278,LMH_KEY,0)),0)</f>
        <v>1</v>
      </c>
      <c r="BP278" s="38">
        <f>IFERROR(INDEX(LMH_PTS,MATCH(AB278,LMH_KEY,0)),0)</f>
        <v>3</v>
      </c>
      <c r="BQ278" s="38">
        <f>IFERROR(INDEX(LMH_PTS,MATCH(AC278,LMH_KEY,0)),0)</f>
        <v>1</v>
      </c>
      <c r="BR278" s="38">
        <f>IFERROR(INDEX(LMH_PTS,MATCH(AD278,LMH_KEY,0)),0)</f>
        <v>1</v>
      </c>
      <c r="BS278" s="38">
        <f>IFERROR(INDEX(LMH_PTS,MATCH(AE278,LMH_KEY,0)),0)</f>
        <v>1</v>
      </c>
      <c r="BT278" s="38">
        <f>IFERROR(INDEX(LMH_STEP,MATCH(AF278,LMH_KEY,0)),0)</f>
        <v>0</v>
      </c>
      <c r="BU278" s="38">
        <f>IFERROR(INDEX(LMH_STEP,MATCH(AG278,LMH_KEY,0)),0)</f>
        <v>0</v>
      </c>
      <c r="BV278" s="38">
        <f>IFERROR(INDEX(LMH_STEP,MATCH(AH278,LMH_KEY,0)),0)</f>
        <v>0</v>
      </c>
      <c r="BW278" s="38">
        <f>IFERROR(INDEX(LMH_STEP,MATCH(AI278,LMH_KEY,0)),0)</f>
        <v>0</v>
      </c>
      <c r="BX278" s="38">
        <f>IFERROR(INDEX(LMH_STEP,MATCH(AJ278,LMH_KEY,0)),0)</f>
        <v>0</v>
      </c>
      <c r="BY278" s="38">
        <f>IFERROR(INDEX(LMH_STEP,MATCH(AK278,LMH_KEY,0)),0)</f>
        <v>0</v>
      </c>
      <c r="BZ278" s="38">
        <f>IFERROR(INDEX(LMH_STEP,MATCH(AL278,LMH_KEY,0)),0)</f>
        <v>0</v>
      </c>
      <c r="CA278" s="38" t="inlineStr">
        <is>
          <t>iFile|Technology|Practice Lead – Solution &amp; Technical Architecture · Player-Coach|B+|B+</t>
        </is>
      </c>
    </row>
    <row r="279" ht="110" customHeight="1">
      <c r="A279" s="28" t="inlineStr">
        <is>
          <t>iFile</t>
        </is>
      </c>
      <c r="B279" s="29" t="inlineStr">
        <is>
          <t>Technology</t>
        </is>
      </c>
      <c r="C279" s="29" t="n">
        <v>4</v>
      </c>
      <c r="D279" s="29" t="inlineStr">
        <is>
          <t>IRIS2019</t>
        </is>
      </c>
      <c r="E279" s="29" t="inlineStr">
        <is>
          <t>Anup Salve</t>
        </is>
      </c>
      <c r="F279" s="29" t="inlineStr">
        <is>
          <t>Lead Software Engineer</t>
        </is>
      </c>
      <c r="G279" s="29" t="inlineStr">
        <is>
          <t>Senior Technical Specialist – POD Lead</t>
        </is>
      </c>
      <c r="H279" s="29" t="inlineStr">
        <is>
          <t>Engineering &amp; Development</t>
        </is>
      </c>
      <c r="I279" s="29" t="inlineStr">
        <is>
          <t>Full-Stack Development</t>
        </is>
      </c>
      <c r="J279" s="29" t="inlineStr">
        <is>
          <t>POD Lead</t>
        </is>
      </c>
      <c r="K279" s="29" t="inlineStr">
        <is>
          <t>RC-087</t>
        </is>
      </c>
      <c r="L279" s="29" t="inlineStr">
        <is>
          <t>Brij Kishor Singh</t>
        </is>
      </c>
      <c r="M279" s="29" t="inlineStr">
        <is>
          <t>IRIS0211</t>
        </is>
      </c>
      <c r="N279" s="29" t="n">
        <v>12.3</v>
      </c>
      <c r="O279" s="29" t="n">
        <v>4.3</v>
      </c>
      <c r="P279" s="29" t="inlineStr">
        <is>
          <t>B.E</t>
        </is>
      </c>
      <c r="Q279" s="29" t="inlineStr">
        <is>
          <t>L5 – Lead · IC</t>
        </is>
      </c>
      <c r="R279" s="29" t="inlineStr">
        <is>
          <t>B2</t>
        </is>
      </c>
      <c r="S279" s="30" t="inlineStr">
        <is>
          <t>20 of 20</t>
        </is>
      </c>
      <c r="T279" s="31"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t>
        </is>
      </c>
      <c r="U279"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79" s="31" t="inlineStr">
        <is>
          <t>Latest rating: 4 · Potential: Medium · 9-box: Core Contributor · Readiness: Ready in 6–12 months</t>
        </is>
      </c>
      <c r="W279" s="31" t="inlineStr">
        <is>
          <t>C M · Au M · Ac M · L M · BI M · Exp H · 12.3 yrs vs 6–9 yrs · Edu M · B.E</t>
        </is>
      </c>
      <c r="X279" s="33" t="inlineStr">
        <is>
          <t>Open ▸</t>
        </is>
      </c>
      <c r="Y279" s="34" t="str">
        <f>IFERROR(INDEX(DL_C,MATCH($CA279,DL_KEY,0)),"M")</f>
        <v>H</v>
      </c>
      <c r="Z279" s="35" t="str">
        <f>IFERROR(INDEX(DL_Au,MATCH($CA279,DL_KEY,0)),"M")</f>
        <v>M</v>
      </c>
      <c r="AA279" s="35" t="str">
        <f>IFERROR(INDEX(DL_Ac,MATCH($CA279,DL_KEY,0)),"M")</f>
        <v>L</v>
      </c>
      <c r="AB279" s="35" t="str">
        <f>IFERROR(INDEX(DL_L,MATCH($CA279,DL_KEY,0)),"M")</f>
        <v>L</v>
      </c>
      <c r="AC279" s="35" t="str">
        <f>IFERROR(INDEX(DL_BI,MATCH($CA279,DL_KEY,0)),"M")</f>
        <v>L</v>
      </c>
      <c r="AD279" s="35" t="str">
        <f>IFERROR(INDEX(DL_Exp,MATCH($CA279,DL_KEY,0)),"M")</f>
        <v>L</v>
      </c>
      <c r="AE279" s="35" t="str">
        <f>IFERROR(INDEX(DL_Edu,MATCH($CA279,DL_KEY,0)),"M")</f>
        <v>L</v>
      </c>
      <c r="AF279" s="34" t="inlineStr">
        <is>
          <t>M</t>
        </is>
      </c>
      <c r="AG279" s="35" t="inlineStr">
        <is>
          <t>M</t>
        </is>
      </c>
      <c r="AH279" s="35" t="inlineStr">
        <is>
          <t>M</t>
        </is>
      </c>
      <c r="AI279" s="35" t="inlineStr">
        <is>
          <t>M</t>
        </is>
      </c>
      <c r="AJ279" s="35" t="inlineStr">
        <is>
          <t>M</t>
        </is>
      </c>
      <c r="AK279" s="35" t="inlineStr">
        <is>
          <t>M</t>
        </is>
      </c>
      <c r="AL279" s="35" t="inlineStr">
        <is>
          <t>M</t>
        </is>
      </c>
      <c r="AM279" s="36" t="n">
        <v>0.513</v>
      </c>
      <c r="AN279" s="37" t="n">
        <v>0.173</v>
      </c>
      <c r="AO279" s="37" t="n">
        <v>0.09699999999999999</v>
      </c>
      <c r="AP279" s="37" t="n">
        <v>0.05</v>
      </c>
      <c r="AQ279" s="37" t="n">
        <v>0.07000000000000001</v>
      </c>
      <c r="AR279" s="37" t="n">
        <v>0.06</v>
      </c>
      <c r="AS279" s="37" t="n">
        <v>0.04</v>
      </c>
      <c r="AT279" s="38" t="inlineStr">
        <is>
          <t>6–10</t>
        </is>
      </c>
      <c r="AU279" s="38" t="inlineStr">
        <is>
          <t>Graduate or postgraduate; professional qualification preferred</t>
        </is>
      </c>
      <c r="AV279" s="38" t="inlineStr">
        <is>
          <t>IC: none · People: 6–8 knowledge work, 8–12 standardised delivery</t>
        </is>
      </c>
      <c r="AW279" s="38" t="inlineStr">
        <is>
          <t>P4 / M3 · SFIA 4–5</t>
        </is>
      </c>
      <c r="AX2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9" s="39" t="inlineStr">
        <is>
          <t>B2</t>
        </is>
      </c>
      <c r="AZ279" s="40" t="inlineStr">
        <is>
          <t>Band B · Specialist / Manager · Manager</t>
        </is>
      </c>
      <c r="BA279" s="40" t="inlineStr">
        <is>
          <t>Model B2 from the six ratings, the market-derived weights and rules R1–R13 · then No change · already below the manager</t>
        </is>
      </c>
      <c r="BB279" s="41" t="inlineStr">
        <is>
          <t>B2</t>
        </is>
      </c>
      <c r="BC279" s="40" t="inlineStr">
        <is>
          <t>The six ratings on the market-average weights of Band B · Specialist / POD Lead score 5.09 → B2 · Hay, Mercer IPE and public plans · experience 12.3 yrs vs the B2 market range 6–10</t>
        </is>
      </c>
      <c r="BD279" s="42">
        <f>IF(SUM(BM279,BN279,BO279,BP279,BQ279,BR279,BS279)=0,0,(BM279*BT279+BN279*BU279+BO279*BV279+BP279*BW279+BQ279*BX279+BR279*BY279+BS279*BZ279)/SUM(BM279,BN279,BO279,BP279,BQ279,BR279,BS279))</f>
        <v>0</v>
      </c>
      <c r="BE279" s="41" t="str">
        <f>IF(LEFT(AY279,1)="X",AY279,IF(OR(AY279="B+",AY279="C+"),INDEX(LAD_PC,MAX(1,MIN(14,MATCH(AY279,LAD_PC,0)+IF(BD279&gt;=0.5,1,IF(BD279&lt;=-0.5,-1,0))))),INDEX(LAD_STD,MAX(1,MIN(12,MATCH(AY279,LAD_STD,0)+IF(BD279&gt;=0.5,1,IF(BD279&lt;=-0.5,-1,0)))))))</f>
        <v>B2</v>
      </c>
      <c r="BF279" s="43" t="n"/>
      <c r="BG279" s="41" t="str">
        <f>IF(BF279&lt;&gt;"",BF279,BE279)</f>
        <v>B2</v>
      </c>
      <c r="BH279" s="40" t="str">
        <f>IFERROR(CHOOSE(INDEX(B_RANK,MATCH(BG279,B_LVL,0)),"Band A","Band B","B+ · Player-Coach","Band C","C+ · Player-Coach","Band D","Band E"),"Band X · Consultant")</f>
        <v>Band B</v>
      </c>
      <c r="BI279" s="40" t="str">
        <f>IF(BG279=AY279,"• Same",IF(INDEX(B_VAL,MATCH(BG279,B_LVL,0))&gt;INDEX(B_VAL,MATCH(AY279,B_LVL,0)),"▲ Up","▼ Down"))</f>
        <v>• Same</v>
      </c>
      <c r="BJ279" s="40" t="str">
        <f>IF(OR($M279="",$M279="—",$M279="Not in this file"),"",IFERROR(INDEX($BG$7:$BG$592,MATCH($M279,$D$7:$D$592,0)),""))</f>
        <v>B+</v>
      </c>
      <c r="BK279" s="40" t="str">
        <f>IFERROR(IF(BJ279="","—",IF(OR(LEFT(BG279,1)="X",LEFT(BJ279,1)="X"),"—",IF(AND(LEFT(BG279,1)="E",LEFT(BJ279,1)="E"),"Exception · Band E",IF(AND(INDEX(B_VAL,MATCH(BJ279,B_LVL,0))&gt;=7,INDEX(B_RANK,MATCH(BG279,B_LVL,0))&gt;=INDEX(B_RANK,MATCH(BJ279,B_LVL,0))),"⚠ Same band as a head manager",IF(INDEX(B_VAL,MATCH(BG279,B_LVL,0))&gt;=INDEX(B_VAL,MATCH(BJ279,B_LVL,0)),"⚠ At or above the manager's level","OK"))))),"—")</f>
        <v>OK</v>
      </c>
      <c r="BL279" s="43" t="n"/>
      <c r="BM279" s="44">
        <f>IFERROR(INDEX(LMH_PTS,MATCH(Y279,LMH_KEY,0)),0)</f>
        <v>9</v>
      </c>
      <c r="BN279" s="38">
        <f>IFERROR(INDEX(LMH_PTS,MATCH(Z279,LMH_KEY,0)),0)</f>
        <v>3</v>
      </c>
      <c r="BO279" s="38">
        <f>IFERROR(INDEX(LMH_PTS,MATCH(AA279,LMH_KEY,0)),0)</f>
        <v>1</v>
      </c>
      <c r="BP279" s="38">
        <f>IFERROR(INDEX(LMH_PTS,MATCH(AB279,LMH_KEY,0)),0)</f>
        <v>1</v>
      </c>
      <c r="BQ279" s="38">
        <f>IFERROR(INDEX(LMH_PTS,MATCH(AC279,LMH_KEY,0)),0)</f>
        <v>1</v>
      </c>
      <c r="BR279" s="38">
        <f>IFERROR(INDEX(LMH_PTS,MATCH(AD279,LMH_KEY,0)),0)</f>
        <v>1</v>
      </c>
      <c r="BS279" s="38">
        <f>IFERROR(INDEX(LMH_PTS,MATCH(AE279,LMH_KEY,0)),0)</f>
        <v>1</v>
      </c>
      <c r="BT279" s="38">
        <f>IFERROR(INDEX(LMH_STEP,MATCH(AF279,LMH_KEY,0)),0)</f>
        <v>0</v>
      </c>
      <c r="BU279" s="38">
        <f>IFERROR(INDEX(LMH_STEP,MATCH(AG279,LMH_KEY,0)),0)</f>
        <v>0</v>
      </c>
      <c r="BV279" s="38">
        <f>IFERROR(INDEX(LMH_STEP,MATCH(AH279,LMH_KEY,0)),0)</f>
        <v>0</v>
      </c>
      <c r="BW279" s="38">
        <f>IFERROR(INDEX(LMH_STEP,MATCH(AI279,LMH_KEY,0)),0)</f>
        <v>0</v>
      </c>
      <c r="BX279" s="38">
        <f>IFERROR(INDEX(LMH_STEP,MATCH(AJ279,LMH_KEY,0)),0)</f>
        <v>0</v>
      </c>
      <c r="BY279" s="38">
        <f>IFERROR(INDEX(LMH_STEP,MATCH(AK279,LMH_KEY,0)),0)</f>
        <v>0</v>
      </c>
      <c r="BZ279" s="38">
        <f>IFERROR(INDEX(LMH_STEP,MATCH(AL279,LMH_KEY,0)),0)</f>
        <v>0</v>
      </c>
      <c r="CA279" s="38" t="inlineStr">
        <is>
          <t>iFile|Technology|Senior Technical Specialist – POD Lead|B2|B-IC</t>
        </is>
      </c>
    </row>
    <row r="280" ht="110" customHeight="1">
      <c r="A280" s="28" t="inlineStr">
        <is>
          <t>iFile</t>
        </is>
      </c>
      <c r="B280" s="29" t="inlineStr">
        <is>
          <t>Quality Assurance</t>
        </is>
      </c>
      <c r="C280" s="29" t="n">
        <v>5</v>
      </c>
      <c r="D280" s="29" t="inlineStr">
        <is>
          <t>IRIS2508</t>
        </is>
      </c>
      <c r="E280" s="29" t="inlineStr">
        <is>
          <t>Ayush Saurkar</t>
        </is>
      </c>
      <c r="F280" s="29" t="inlineStr">
        <is>
          <t>QA Engineer</t>
        </is>
      </c>
      <c r="G280" s="29" t="inlineStr">
        <is>
          <t>Senior QA Engineer</t>
        </is>
      </c>
      <c r="H280" s="29" t="inlineStr">
        <is>
          <t>Quality Assurance</t>
        </is>
      </c>
      <c r="I280" s="29" t="inlineStr">
        <is>
          <t>Functional &amp; Domain Testing</t>
        </is>
      </c>
      <c r="J280" s="29" t="inlineStr">
        <is>
          <t>IC</t>
        </is>
      </c>
      <c r="K280" s="29" t="inlineStr">
        <is>
          <t>RC-141</t>
        </is>
      </c>
      <c r="L280" s="29" t="inlineStr">
        <is>
          <t>Anup Salve</t>
        </is>
      </c>
      <c r="M280" s="29" t="inlineStr">
        <is>
          <t>IRIS2019</t>
        </is>
      </c>
      <c r="N280" s="29" t="n">
        <v>2.7</v>
      </c>
      <c r="O280" s="29" t="n">
        <v>0.5</v>
      </c>
      <c r="P280" s="29" t="inlineStr">
        <is>
          <t>B.Tech</t>
        </is>
      </c>
      <c r="Q280" s="29" t="inlineStr">
        <is>
          <t>L3 – Professional / Associate</t>
        </is>
      </c>
      <c r="R280" s="29" t="inlineStr">
        <is>
          <t>A3</t>
        </is>
      </c>
      <c r="S280" s="30" t="inlineStr">
        <is>
          <t>19 of 20</t>
        </is>
      </c>
      <c r="T280" s="31"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t>
        </is>
      </c>
      <c r="U280" s="31" t="inlineStr">
        <is>
          <t>Received · manager annual, quarterly, self ·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t>
        </is>
      </c>
      <c r="V280" s="31" t="inlineStr">
        <is>
          <t>Latest rating: 2 · Potential: Medium · 9-box: Emerging Talent · Readiness: Performance first</t>
        </is>
      </c>
      <c r="W280" s="31" t="inlineStr">
        <is>
          <t>C L · Au L · Ac L · L L · BI L · Exp M · 2.7 yrs vs 2–4 yrs · Edu M · B.Tech</t>
        </is>
      </c>
      <c r="X280" s="33" t="inlineStr">
        <is>
          <t>Open ▸</t>
        </is>
      </c>
      <c r="Y280" s="34" t="str">
        <f>IFERROR(INDEX(DL_C,MATCH($CA280,DL_KEY,0)),"M")</f>
        <v>H</v>
      </c>
      <c r="Z280" s="35" t="str">
        <f>IFERROR(INDEX(DL_Au,MATCH($CA280,DL_KEY,0)),"M")</f>
        <v>M</v>
      </c>
      <c r="AA280" s="35" t="str">
        <f>IFERROR(INDEX(DL_Ac,MATCH($CA280,DL_KEY,0)),"M")</f>
        <v>L</v>
      </c>
      <c r="AB280" s="35" t="str">
        <f>IFERROR(INDEX(DL_L,MATCH($CA280,DL_KEY,0)),"M")</f>
        <v>L</v>
      </c>
      <c r="AC280" s="35" t="str">
        <f>IFERROR(INDEX(DL_BI,MATCH($CA280,DL_KEY,0)),"M")</f>
        <v>L</v>
      </c>
      <c r="AD280" s="35" t="str">
        <f>IFERROR(INDEX(DL_Exp,MATCH($CA280,DL_KEY,0)),"M")</f>
        <v>L</v>
      </c>
      <c r="AE280" s="35" t="str">
        <f>IFERROR(INDEX(DL_Edu,MATCH($CA280,DL_KEY,0)),"M")</f>
        <v>L</v>
      </c>
      <c r="AF280" s="34" t="inlineStr">
        <is>
          <t>M</t>
        </is>
      </c>
      <c r="AG280" s="35" t="inlineStr">
        <is>
          <t>M</t>
        </is>
      </c>
      <c r="AH280" s="35" t="inlineStr">
        <is>
          <t>M</t>
        </is>
      </c>
      <c r="AI280" s="35" t="inlineStr">
        <is>
          <t>M</t>
        </is>
      </c>
      <c r="AJ280" s="35" t="inlineStr">
        <is>
          <t>M</t>
        </is>
      </c>
      <c r="AK280" s="35" t="inlineStr">
        <is>
          <t>M</t>
        </is>
      </c>
      <c r="AL280" s="35" t="inlineStr">
        <is>
          <t>M</t>
        </is>
      </c>
      <c r="AM280" s="36" t="n">
        <v>0.583</v>
      </c>
      <c r="AN280" s="37" t="n">
        <v>0.16</v>
      </c>
      <c r="AO280" s="37" t="n">
        <v>0.09</v>
      </c>
      <c r="AP280" s="37" t="n">
        <v>0</v>
      </c>
      <c r="AQ280" s="37" t="n">
        <v>0.063</v>
      </c>
      <c r="AR280" s="37" t="n">
        <v>0.06</v>
      </c>
      <c r="AS280" s="37" t="n">
        <v>0.04</v>
      </c>
      <c r="AT280" s="38" t="inlineStr">
        <is>
          <t>2–5</t>
        </is>
      </c>
      <c r="AU280" s="38" t="inlineStr">
        <is>
          <t>Graduate; relevant certification preferred</t>
        </is>
      </c>
      <c r="AV280" s="38" t="inlineStr">
        <is>
          <t>None · guides 1–3 juniors informally</t>
        </is>
      </c>
      <c r="AW280" s="38" t="inlineStr">
        <is>
          <t>P2 · SFIA 3 Apply</t>
        </is>
      </c>
      <c r="AX2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0" s="39" t="inlineStr">
        <is>
          <t>A3</t>
        </is>
      </c>
      <c r="AZ280" s="40" t="inlineStr">
        <is>
          <t>Band A · Practitioner · Senior Associate</t>
        </is>
      </c>
      <c r="BA280" s="40" t="inlineStr">
        <is>
          <t>Model A3 from the six ratings, the market-derived weights and rules R1–R13 · then No change · already below the manager</t>
        </is>
      </c>
      <c r="BB280" s="41" t="inlineStr">
        <is>
          <t>A2</t>
        </is>
      </c>
      <c r="BC280" s="40" t="inlineStr">
        <is>
          <t>The six ratings on the market-average weights of Band A · all tracks score 2.10 → A2 · Hay, Mercer IPE and public plans · experience 2.7 yrs vs the A2 market range 0–3</t>
        </is>
      </c>
      <c r="BD280" s="42">
        <f>IF(SUM(BM280,BN280,BO280,BP280,BQ280,BR280,BS280)=0,0,(BM280*BT280+BN280*BU280+BO280*BV280+BP280*BW280+BQ280*BX280+BR280*BY280+BS280*BZ280)/SUM(BM280,BN280,BO280,BP280,BQ280,BR280,BS280))</f>
        <v>0</v>
      </c>
      <c r="BE280" s="41" t="str">
        <f>IF(LEFT(AY280,1)="X",AY280,IF(OR(AY280="B+",AY280="C+"),INDEX(LAD_PC,MAX(1,MIN(14,MATCH(AY280,LAD_PC,0)+IF(BD280&gt;=0.5,1,IF(BD280&lt;=-0.5,-1,0))))),INDEX(LAD_STD,MAX(1,MIN(12,MATCH(AY280,LAD_STD,0)+IF(BD280&gt;=0.5,1,IF(BD280&lt;=-0.5,-1,0)))))))</f>
        <v>A3</v>
      </c>
      <c r="BF280" s="43" t="n"/>
      <c r="BG280" s="41" t="str">
        <f>IF(BF280&lt;&gt;"",BF280,BE280)</f>
        <v>A3</v>
      </c>
      <c r="BH280" s="40" t="str">
        <f>IFERROR(CHOOSE(INDEX(B_RANK,MATCH(BG280,B_LVL,0)),"Band A","Band B","B+ · Player-Coach","Band C","C+ · Player-Coach","Band D","Band E"),"Band X · Consultant")</f>
        <v>Band A</v>
      </c>
      <c r="BI280" s="40" t="str">
        <f>IF(BG280=AY280,"• Same",IF(INDEX(B_VAL,MATCH(BG280,B_LVL,0))&gt;INDEX(B_VAL,MATCH(AY280,B_LVL,0)),"▲ Up","▼ Down"))</f>
        <v>• Same</v>
      </c>
      <c r="BJ280" s="40" t="str">
        <f>IF(OR($M280="",$M280="—",$M280="Not in this file"),"",IFERROR(INDEX($BG$7:$BG$592,MATCH($M280,$D$7:$D$592,0)),""))</f>
        <v>B2</v>
      </c>
      <c r="BK280" s="40" t="str">
        <f>IFERROR(IF(BJ280="","—",IF(OR(LEFT(BG280,1)="X",LEFT(BJ280,1)="X"),"—",IF(AND(LEFT(BG280,1)="E",LEFT(BJ280,1)="E"),"Exception · Band E",IF(AND(INDEX(B_VAL,MATCH(BJ280,B_LVL,0))&gt;=7,INDEX(B_RANK,MATCH(BG280,B_LVL,0))&gt;=INDEX(B_RANK,MATCH(BJ280,B_LVL,0))),"⚠ Same band as a head manager",IF(INDEX(B_VAL,MATCH(BG280,B_LVL,0))&gt;=INDEX(B_VAL,MATCH(BJ280,B_LVL,0)),"⚠ At or above the manager's level","OK"))))),"—")</f>
        <v>OK</v>
      </c>
      <c r="BL280" s="43" t="n"/>
      <c r="BM280" s="44">
        <f>IFERROR(INDEX(LMH_PTS,MATCH(Y280,LMH_KEY,0)),0)</f>
        <v>9</v>
      </c>
      <c r="BN280" s="38">
        <f>IFERROR(INDEX(LMH_PTS,MATCH(Z280,LMH_KEY,0)),0)</f>
        <v>3</v>
      </c>
      <c r="BO280" s="38">
        <f>IFERROR(INDEX(LMH_PTS,MATCH(AA280,LMH_KEY,0)),0)</f>
        <v>1</v>
      </c>
      <c r="BP280" s="38">
        <f>IFERROR(INDEX(LMH_PTS,MATCH(AB280,LMH_KEY,0)),0)</f>
        <v>1</v>
      </c>
      <c r="BQ280" s="38">
        <f>IFERROR(INDEX(LMH_PTS,MATCH(AC280,LMH_KEY,0)),0)</f>
        <v>1</v>
      </c>
      <c r="BR280" s="38">
        <f>IFERROR(INDEX(LMH_PTS,MATCH(AD280,LMH_KEY,0)),0)</f>
        <v>1</v>
      </c>
      <c r="BS280" s="38">
        <f>IFERROR(INDEX(LMH_PTS,MATCH(AE280,LMH_KEY,0)),0)</f>
        <v>1</v>
      </c>
      <c r="BT280" s="38">
        <f>IFERROR(INDEX(LMH_STEP,MATCH(AF280,LMH_KEY,0)),0)</f>
        <v>0</v>
      </c>
      <c r="BU280" s="38">
        <f>IFERROR(INDEX(LMH_STEP,MATCH(AG280,LMH_KEY,0)),0)</f>
        <v>0</v>
      </c>
      <c r="BV280" s="38">
        <f>IFERROR(INDEX(LMH_STEP,MATCH(AH280,LMH_KEY,0)),0)</f>
        <v>0</v>
      </c>
      <c r="BW280" s="38">
        <f>IFERROR(INDEX(LMH_STEP,MATCH(AI280,LMH_KEY,0)),0)</f>
        <v>0</v>
      </c>
      <c r="BX280" s="38">
        <f>IFERROR(INDEX(LMH_STEP,MATCH(AJ280,LMH_KEY,0)),0)</f>
        <v>0</v>
      </c>
      <c r="BY280" s="38">
        <f>IFERROR(INDEX(LMH_STEP,MATCH(AK280,LMH_KEY,0)),0)</f>
        <v>0</v>
      </c>
      <c r="BZ280" s="38">
        <f>IFERROR(INDEX(LMH_STEP,MATCH(AL280,LMH_KEY,0)),0)</f>
        <v>0</v>
      </c>
      <c r="CA280" s="38" t="inlineStr">
        <is>
          <t>iFile|Quality Assurance|Senior QA Engineer|A3|A</t>
        </is>
      </c>
    </row>
    <row r="281" ht="110" customHeight="1">
      <c r="A281" s="28" t="inlineStr">
        <is>
          <t>iFile</t>
        </is>
      </c>
      <c r="B281" s="29" t="inlineStr">
        <is>
          <t>Technology</t>
        </is>
      </c>
      <c r="C281" s="29" t="n">
        <v>5</v>
      </c>
      <c r="D281" s="29" t="inlineStr">
        <is>
          <t>IRIS2524</t>
        </is>
      </c>
      <c r="E281" s="29" t="inlineStr">
        <is>
          <t>Chetna Vijay Nile</t>
        </is>
      </c>
      <c r="F281" s="29" t="inlineStr">
        <is>
          <t>Software Engineer</t>
        </is>
      </c>
      <c r="G281" s="29" t="inlineStr">
        <is>
          <t>Software Engineer</t>
        </is>
      </c>
      <c r="H281" s="29" t="inlineStr">
        <is>
          <t>Engineering &amp; Development</t>
        </is>
      </c>
      <c r="I281" s="29" t="inlineStr">
        <is>
          <t>Full-Stack Development</t>
        </is>
      </c>
      <c r="J281" s="29" t="inlineStr">
        <is>
          <t>IC</t>
        </is>
      </c>
      <c r="K281" s="29" t="inlineStr">
        <is>
          <t>RC-084</t>
        </is>
      </c>
      <c r="L281" s="29" t="inlineStr">
        <is>
          <t>Anup Salve</t>
        </is>
      </c>
      <c r="M281" s="29" t="inlineStr">
        <is>
          <t>IRIS2019</t>
        </is>
      </c>
      <c r="N281" s="29" t="n">
        <v>0.4</v>
      </c>
      <c r="O281" s="29" t="n">
        <v>0.4</v>
      </c>
      <c r="P281" s="29" t="inlineStr">
        <is>
          <t>PGDM</t>
        </is>
      </c>
      <c r="Q281" s="29" t="inlineStr">
        <is>
          <t>L3 – Professional / Associate</t>
        </is>
      </c>
      <c r="R281" s="29" t="inlineStr">
        <is>
          <t>A2</t>
        </is>
      </c>
      <c r="S281" s="30" t="inlineStr">
        <is>
          <t>19 of 20</t>
        </is>
      </c>
      <c r="T281" s="31" t="inlineStr">
        <is>
          <t>Business Impact: No survey or manager-mapping signal on criticality: kept at the start point.</t>
        </is>
      </c>
      <c r="U281" s="31" t="inlineStr">
        <is>
          <t>Received · manager annual, quarterly, self · 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t>
        </is>
      </c>
      <c r="V281" s="31" t="inlineStr">
        <is>
          <t>Latest rating: 2 · Potential: Low · 9-box: Emerging Talent · Readiness: Performance first</t>
        </is>
      </c>
      <c r="W281" s="31" t="inlineStr">
        <is>
          <t>C M · Au M · Ac M · L L · BI M · Exp M · 0.4 yrs vs 0–2 yrs · Edu H · PGDM</t>
        </is>
      </c>
      <c r="X281" s="33" t="inlineStr">
        <is>
          <t>Open ▸</t>
        </is>
      </c>
      <c r="Y281" s="34" t="str">
        <f>IFERROR(INDEX(DL_C,MATCH($CA281,DL_KEY,0)),"M")</f>
        <v>H</v>
      </c>
      <c r="Z281" s="35" t="str">
        <f>IFERROR(INDEX(DL_Au,MATCH($CA281,DL_KEY,0)),"M")</f>
        <v>M</v>
      </c>
      <c r="AA281" s="35" t="str">
        <f>IFERROR(INDEX(DL_Ac,MATCH($CA281,DL_KEY,0)),"M")</f>
        <v>L</v>
      </c>
      <c r="AB281" s="35" t="str">
        <f>IFERROR(INDEX(DL_L,MATCH($CA281,DL_KEY,0)),"M")</f>
        <v>L</v>
      </c>
      <c r="AC281" s="35" t="str">
        <f>IFERROR(INDEX(DL_BI,MATCH($CA281,DL_KEY,0)),"M")</f>
        <v>L</v>
      </c>
      <c r="AD281" s="35" t="str">
        <f>IFERROR(INDEX(DL_Exp,MATCH($CA281,DL_KEY,0)),"M")</f>
        <v>L</v>
      </c>
      <c r="AE281" s="35" t="str">
        <f>IFERROR(INDEX(DL_Edu,MATCH($CA281,DL_KEY,0)),"M")</f>
        <v>L</v>
      </c>
      <c r="AF281" s="34" t="inlineStr">
        <is>
          <t>M</t>
        </is>
      </c>
      <c r="AG281" s="35" t="inlineStr">
        <is>
          <t>M</t>
        </is>
      </c>
      <c r="AH281" s="35" t="inlineStr">
        <is>
          <t>M</t>
        </is>
      </c>
      <c r="AI281" s="35" t="inlineStr">
        <is>
          <t>M</t>
        </is>
      </c>
      <c r="AJ281" s="35" t="inlineStr">
        <is>
          <t>M</t>
        </is>
      </c>
      <c r="AK281" s="35" t="inlineStr">
        <is>
          <t>M</t>
        </is>
      </c>
      <c r="AL281" s="35" t="inlineStr">
        <is>
          <t>M</t>
        </is>
      </c>
      <c r="AM281" s="36" t="n">
        <v>0.583</v>
      </c>
      <c r="AN281" s="37" t="n">
        <v>0.16</v>
      </c>
      <c r="AO281" s="37" t="n">
        <v>0.09</v>
      </c>
      <c r="AP281" s="37" t="n">
        <v>0</v>
      </c>
      <c r="AQ281" s="37" t="n">
        <v>0.063</v>
      </c>
      <c r="AR281" s="37" t="n">
        <v>0.06</v>
      </c>
      <c r="AS281" s="37" t="n">
        <v>0.04</v>
      </c>
      <c r="AT281" s="38" t="inlineStr">
        <is>
          <t>0–3</t>
        </is>
      </c>
      <c r="AU281" s="38" t="inlineStr">
        <is>
          <t>Graduate · or diploma with experience</t>
        </is>
      </c>
      <c r="AV281" s="38" t="inlineStr">
        <is>
          <t>No direct reports</t>
        </is>
      </c>
      <c r="AW281" s="38" t="inlineStr">
        <is>
          <t>P1–P2 · SFIA 2 Assist</t>
        </is>
      </c>
      <c r="AX2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1" s="39" t="inlineStr">
        <is>
          <t>A2</t>
        </is>
      </c>
      <c r="AZ281" s="40" t="inlineStr">
        <is>
          <t>Band A · Practitioner · Associate</t>
        </is>
      </c>
      <c r="BA281" s="40" t="inlineStr">
        <is>
          <t>Model A2 from the six ratings, the market-derived weights and rules R1–R13 · then No change · already below the manager</t>
        </is>
      </c>
      <c r="BB281" s="41" t="inlineStr">
        <is>
          <t>A2</t>
        </is>
      </c>
      <c r="BC281" s="40" t="inlineStr">
        <is>
          <t>The six ratings on the market-average weights of Band A · all tracks score 2.32 → A2 · Hay, Mercer IPE and public plans · experience 0.4 yrs vs the A2 market range 0–3</t>
        </is>
      </c>
      <c r="BD281" s="42">
        <f>IF(SUM(BM281,BN281,BO281,BP281,BQ281,BR281,BS281)=0,0,(BM281*BT281+BN281*BU281+BO281*BV281+BP281*BW281+BQ281*BX281+BR281*BY281+BS281*BZ281)/SUM(BM281,BN281,BO281,BP281,BQ281,BR281,BS281))</f>
        <v>0</v>
      </c>
      <c r="BE281" s="41" t="str">
        <f>IF(LEFT(AY281,1)="X",AY281,IF(OR(AY281="B+",AY281="C+"),INDEX(LAD_PC,MAX(1,MIN(14,MATCH(AY281,LAD_PC,0)+IF(BD281&gt;=0.5,1,IF(BD281&lt;=-0.5,-1,0))))),INDEX(LAD_STD,MAX(1,MIN(12,MATCH(AY281,LAD_STD,0)+IF(BD281&gt;=0.5,1,IF(BD281&lt;=-0.5,-1,0)))))))</f>
        <v>A2</v>
      </c>
      <c r="BF281" s="43" t="n"/>
      <c r="BG281" s="41" t="str">
        <f>IF(BF281&lt;&gt;"",BF281,BE281)</f>
        <v>A2</v>
      </c>
      <c r="BH281" s="40" t="str">
        <f>IFERROR(CHOOSE(INDEX(B_RANK,MATCH(BG281,B_LVL,0)),"Band A","Band B","B+ · Player-Coach","Band C","C+ · Player-Coach","Band D","Band E"),"Band X · Consultant")</f>
        <v>Band A</v>
      </c>
      <c r="BI281" s="40" t="str">
        <f>IF(BG281=AY281,"• Same",IF(INDEX(B_VAL,MATCH(BG281,B_LVL,0))&gt;INDEX(B_VAL,MATCH(AY281,B_LVL,0)),"▲ Up","▼ Down"))</f>
        <v>• Same</v>
      </c>
      <c r="BJ281" s="40" t="str">
        <f>IF(OR($M281="",$M281="—",$M281="Not in this file"),"",IFERROR(INDEX($BG$7:$BG$592,MATCH($M281,$D$7:$D$592,0)),""))</f>
        <v>B2</v>
      </c>
      <c r="BK281" s="40" t="str">
        <f>IFERROR(IF(BJ281="","—",IF(OR(LEFT(BG281,1)="X",LEFT(BJ281,1)="X"),"—",IF(AND(LEFT(BG281,1)="E",LEFT(BJ281,1)="E"),"Exception · Band E",IF(AND(INDEX(B_VAL,MATCH(BJ281,B_LVL,0))&gt;=7,INDEX(B_RANK,MATCH(BG281,B_LVL,0))&gt;=INDEX(B_RANK,MATCH(BJ281,B_LVL,0))),"⚠ Same band as a head manager",IF(INDEX(B_VAL,MATCH(BG281,B_LVL,0))&gt;=INDEX(B_VAL,MATCH(BJ281,B_LVL,0)),"⚠ At or above the manager's level","OK"))))),"—")</f>
        <v>OK</v>
      </c>
      <c r="BL281" s="43" t="n"/>
      <c r="BM281" s="44">
        <f>IFERROR(INDEX(LMH_PTS,MATCH(Y281,LMH_KEY,0)),0)</f>
        <v>9</v>
      </c>
      <c r="BN281" s="38">
        <f>IFERROR(INDEX(LMH_PTS,MATCH(Z281,LMH_KEY,0)),0)</f>
        <v>3</v>
      </c>
      <c r="BO281" s="38">
        <f>IFERROR(INDEX(LMH_PTS,MATCH(AA281,LMH_KEY,0)),0)</f>
        <v>1</v>
      </c>
      <c r="BP281" s="38">
        <f>IFERROR(INDEX(LMH_PTS,MATCH(AB281,LMH_KEY,0)),0)</f>
        <v>1</v>
      </c>
      <c r="BQ281" s="38">
        <f>IFERROR(INDEX(LMH_PTS,MATCH(AC281,LMH_KEY,0)),0)</f>
        <v>1</v>
      </c>
      <c r="BR281" s="38">
        <f>IFERROR(INDEX(LMH_PTS,MATCH(AD281,LMH_KEY,0)),0)</f>
        <v>1</v>
      </c>
      <c r="BS281" s="38">
        <f>IFERROR(INDEX(LMH_PTS,MATCH(AE281,LMH_KEY,0)),0)</f>
        <v>1</v>
      </c>
      <c r="BT281" s="38">
        <f>IFERROR(INDEX(LMH_STEP,MATCH(AF281,LMH_KEY,0)),0)</f>
        <v>0</v>
      </c>
      <c r="BU281" s="38">
        <f>IFERROR(INDEX(LMH_STEP,MATCH(AG281,LMH_KEY,0)),0)</f>
        <v>0</v>
      </c>
      <c r="BV281" s="38">
        <f>IFERROR(INDEX(LMH_STEP,MATCH(AH281,LMH_KEY,0)),0)</f>
        <v>0</v>
      </c>
      <c r="BW281" s="38">
        <f>IFERROR(INDEX(LMH_STEP,MATCH(AI281,LMH_KEY,0)),0)</f>
        <v>0</v>
      </c>
      <c r="BX281" s="38">
        <f>IFERROR(INDEX(LMH_STEP,MATCH(AJ281,LMH_KEY,0)),0)</f>
        <v>0</v>
      </c>
      <c r="BY281" s="38">
        <f>IFERROR(INDEX(LMH_STEP,MATCH(AK281,LMH_KEY,0)),0)</f>
        <v>0</v>
      </c>
      <c r="BZ281" s="38">
        <f>IFERROR(INDEX(LMH_STEP,MATCH(AL281,LMH_KEY,0)),0)</f>
        <v>0</v>
      </c>
      <c r="CA281" s="38" t="inlineStr">
        <is>
          <t>iFile|Technology|Software Engineer|A2|A</t>
        </is>
      </c>
    </row>
    <row r="282" ht="110" customHeight="1">
      <c r="A282" s="28" t="inlineStr">
        <is>
          <t>iFile</t>
        </is>
      </c>
      <c r="B282" s="29" t="inlineStr">
        <is>
          <t>Quality Assurance</t>
        </is>
      </c>
      <c r="C282" s="29" t="n">
        <v>5</v>
      </c>
      <c r="D282" s="29" t="inlineStr">
        <is>
          <t>IRIS2562</t>
        </is>
      </c>
      <c r="E282" s="29" t="inlineStr">
        <is>
          <t>Sanskruti Varade</t>
        </is>
      </c>
      <c r="F282" s="29" t="inlineStr">
        <is>
          <t>QA Engineer</t>
        </is>
      </c>
      <c r="G282" s="29" t="inlineStr">
        <is>
          <t>QA Engineer</t>
        </is>
      </c>
      <c r="H282" s="29" t="inlineStr">
        <is>
          <t>Quality Assurance</t>
        </is>
      </c>
      <c r="I282" s="29" t="inlineStr">
        <is>
          <t>Functional &amp; Domain Testing</t>
        </is>
      </c>
      <c r="J282" s="29" t="inlineStr">
        <is>
          <t>IC</t>
        </is>
      </c>
      <c r="K282" s="29" t="inlineStr">
        <is>
          <t>RC-140</t>
        </is>
      </c>
      <c r="L282" s="29" t="inlineStr">
        <is>
          <t>Anup Salve</t>
        </is>
      </c>
      <c r="M282" s="29" t="inlineStr">
        <is>
          <t>IRIS2019</t>
        </is>
      </c>
      <c r="N282" s="29" t="inlineStr">
        <is>
          <t>Not provided · HRIS</t>
        </is>
      </c>
      <c r="O282" s="29" t="n">
        <v>0</v>
      </c>
      <c r="P282" s="29" t="inlineStr">
        <is>
          <t>B.Sc</t>
        </is>
      </c>
      <c r="Q282" s="29" t="inlineStr">
        <is>
          <t>Not in current mapping files</t>
        </is>
      </c>
      <c r="R282" s="29" t="inlineStr">
        <is>
          <t>A2</t>
        </is>
      </c>
      <c r="S282" s="30" t="inlineStr">
        <is>
          <t>20 of 20</t>
        </is>
      </c>
      <c r="T282" s="31" t="inlineStr">
        <is>
          <t>Business Impact: No survey or manager-mapping signal on criticality: kept at the start point.</t>
        </is>
      </c>
      <c r="U282" s="32" t="inlineStr">
        <is>
          <t>KRAs not received · manager to supply</t>
        </is>
      </c>
      <c r="V282" s="31" t="inlineStr">
        <is>
          <t>Latest rating: Not rated · manager · 9-box: Not placed · manager · Readiness: No rating data</t>
        </is>
      </c>
      <c r="W282" s="31" t="inlineStr">
        <is>
          <t>C M · Au M · Ac M · L L · BI M · Exp — · not on file · Edu M · B.Sc</t>
        </is>
      </c>
      <c r="X282" s="33" t="inlineStr">
        <is>
          <t>Open ▸</t>
        </is>
      </c>
      <c r="Y282" s="34" t="str">
        <f>IFERROR(INDEX(DL_C,MATCH($CA282,DL_KEY,0)),"M")</f>
        <v>H</v>
      </c>
      <c r="Z282" s="35" t="str">
        <f>IFERROR(INDEX(DL_Au,MATCH($CA282,DL_KEY,0)),"M")</f>
        <v>M</v>
      </c>
      <c r="AA282" s="35" t="str">
        <f>IFERROR(INDEX(DL_Ac,MATCH($CA282,DL_KEY,0)),"M")</f>
        <v>L</v>
      </c>
      <c r="AB282" s="35" t="str">
        <f>IFERROR(INDEX(DL_L,MATCH($CA282,DL_KEY,0)),"M")</f>
        <v>L</v>
      </c>
      <c r="AC282" s="35" t="str">
        <f>IFERROR(INDEX(DL_BI,MATCH($CA282,DL_KEY,0)),"M")</f>
        <v>L</v>
      </c>
      <c r="AD282" s="35" t="str">
        <f>IFERROR(INDEX(DL_Exp,MATCH($CA282,DL_KEY,0)),"M")</f>
        <v>L</v>
      </c>
      <c r="AE282" s="35" t="str">
        <f>IFERROR(INDEX(DL_Edu,MATCH($CA282,DL_KEY,0)),"M")</f>
        <v>L</v>
      </c>
      <c r="AF282" s="34" t="inlineStr">
        <is>
          <t>M</t>
        </is>
      </c>
      <c r="AG282" s="35" t="inlineStr">
        <is>
          <t>M</t>
        </is>
      </c>
      <c r="AH282" s="35" t="inlineStr">
        <is>
          <t>M</t>
        </is>
      </c>
      <c r="AI282" s="35" t="inlineStr">
        <is>
          <t>M</t>
        </is>
      </c>
      <c r="AJ282" s="35" t="inlineStr">
        <is>
          <t>M</t>
        </is>
      </c>
      <c r="AK282" s="35" t="inlineStr">
        <is>
          <t>M</t>
        </is>
      </c>
      <c r="AL282" s="35" t="inlineStr">
        <is>
          <t>M</t>
        </is>
      </c>
      <c r="AM282" s="36" t="n">
        <v>0.583</v>
      </c>
      <c r="AN282" s="37" t="n">
        <v>0.16</v>
      </c>
      <c r="AO282" s="37" t="n">
        <v>0.09</v>
      </c>
      <c r="AP282" s="37" t="n">
        <v>0</v>
      </c>
      <c r="AQ282" s="37" t="n">
        <v>0.063</v>
      </c>
      <c r="AR282" s="37" t="n">
        <v>0.06</v>
      </c>
      <c r="AS282" s="37" t="n">
        <v>0.04</v>
      </c>
      <c r="AT282" s="38" t="inlineStr">
        <is>
          <t>0–3</t>
        </is>
      </c>
      <c r="AU282" s="38" t="inlineStr">
        <is>
          <t>Graduate · or diploma with experience</t>
        </is>
      </c>
      <c r="AV282" s="38" t="inlineStr">
        <is>
          <t>No direct reports</t>
        </is>
      </c>
      <c r="AW282" s="38" t="inlineStr">
        <is>
          <t>P1–P2 · SFIA 2 Assist</t>
        </is>
      </c>
      <c r="AX2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2" s="39" t="inlineStr">
        <is>
          <t>A2</t>
        </is>
      </c>
      <c r="AZ282" s="40" t="inlineStr">
        <is>
          <t>Band A · Practitioner · Associate</t>
        </is>
      </c>
      <c r="BA282" s="40" t="inlineStr">
        <is>
          <t>Model A2 from the six ratings, the market-derived weights and rules R1–R13 · then No change · already below the manager</t>
        </is>
      </c>
      <c r="BB282" s="41" t="inlineStr">
        <is>
          <t>A2</t>
        </is>
      </c>
      <c r="BC282" s="40" t="inlineStr">
        <is>
          <t>The six ratings on the market-average weights of Band A · all tracks score 2.08 → A2 · Hay, Mercer IPE and public plans · experience Not provided · HRIS yrs vs the A2 market range 0–3</t>
        </is>
      </c>
      <c r="BD282" s="42">
        <f>IF(SUM(BM282,BN282,BO282,BP282,BQ282,BR282,BS282)=0,0,(BM282*BT282+BN282*BU282+BO282*BV282+BP282*BW282+BQ282*BX282+BR282*BY282+BS282*BZ282)/SUM(BM282,BN282,BO282,BP282,BQ282,BR282,BS282))</f>
        <v>0</v>
      </c>
      <c r="BE282" s="41" t="str">
        <f>IF(LEFT(AY282,1)="X",AY282,IF(OR(AY282="B+",AY282="C+"),INDEX(LAD_PC,MAX(1,MIN(14,MATCH(AY282,LAD_PC,0)+IF(BD282&gt;=0.5,1,IF(BD282&lt;=-0.5,-1,0))))),INDEX(LAD_STD,MAX(1,MIN(12,MATCH(AY282,LAD_STD,0)+IF(BD282&gt;=0.5,1,IF(BD282&lt;=-0.5,-1,0)))))))</f>
        <v>A2</v>
      </c>
      <c r="BF282" s="43" t="n"/>
      <c r="BG282" s="41" t="str">
        <f>IF(BF282&lt;&gt;"",BF282,BE282)</f>
        <v>A2</v>
      </c>
      <c r="BH282" s="40" t="str">
        <f>IFERROR(CHOOSE(INDEX(B_RANK,MATCH(BG282,B_LVL,0)),"Band A","Band B","B+ · Player-Coach","Band C","C+ · Player-Coach","Band D","Band E"),"Band X · Consultant")</f>
        <v>Band A</v>
      </c>
      <c r="BI282" s="40" t="str">
        <f>IF(BG282=AY282,"• Same",IF(INDEX(B_VAL,MATCH(BG282,B_LVL,0))&gt;INDEX(B_VAL,MATCH(AY282,B_LVL,0)),"▲ Up","▼ Down"))</f>
        <v>• Same</v>
      </c>
      <c r="BJ282" s="40" t="str">
        <f>IF(OR($M282="",$M282="—",$M282="Not in this file"),"",IFERROR(INDEX($BG$7:$BG$592,MATCH($M282,$D$7:$D$592,0)),""))</f>
        <v>B2</v>
      </c>
      <c r="BK282" s="40" t="str">
        <f>IFERROR(IF(BJ282="","—",IF(OR(LEFT(BG282,1)="X",LEFT(BJ282,1)="X"),"—",IF(AND(LEFT(BG282,1)="E",LEFT(BJ282,1)="E"),"Exception · Band E",IF(AND(INDEX(B_VAL,MATCH(BJ282,B_LVL,0))&gt;=7,INDEX(B_RANK,MATCH(BG282,B_LVL,0))&gt;=INDEX(B_RANK,MATCH(BJ282,B_LVL,0))),"⚠ Same band as a head manager",IF(INDEX(B_VAL,MATCH(BG282,B_LVL,0))&gt;=INDEX(B_VAL,MATCH(BJ282,B_LVL,0)),"⚠ At or above the manager's level","OK"))))),"—")</f>
        <v>OK</v>
      </c>
      <c r="BL282" s="43" t="n"/>
      <c r="BM282" s="44">
        <f>IFERROR(INDEX(LMH_PTS,MATCH(Y282,LMH_KEY,0)),0)</f>
        <v>9</v>
      </c>
      <c r="BN282" s="38">
        <f>IFERROR(INDEX(LMH_PTS,MATCH(Z282,LMH_KEY,0)),0)</f>
        <v>3</v>
      </c>
      <c r="BO282" s="38">
        <f>IFERROR(INDEX(LMH_PTS,MATCH(AA282,LMH_KEY,0)),0)</f>
        <v>1</v>
      </c>
      <c r="BP282" s="38">
        <f>IFERROR(INDEX(LMH_PTS,MATCH(AB282,LMH_KEY,0)),0)</f>
        <v>1</v>
      </c>
      <c r="BQ282" s="38">
        <f>IFERROR(INDEX(LMH_PTS,MATCH(AC282,LMH_KEY,0)),0)</f>
        <v>1</v>
      </c>
      <c r="BR282" s="38">
        <f>IFERROR(INDEX(LMH_PTS,MATCH(AD282,LMH_KEY,0)),0)</f>
        <v>1</v>
      </c>
      <c r="BS282" s="38">
        <f>IFERROR(INDEX(LMH_PTS,MATCH(AE282,LMH_KEY,0)),0)</f>
        <v>1</v>
      </c>
      <c r="BT282" s="38">
        <f>IFERROR(INDEX(LMH_STEP,MATCH(AF282,LMH_KEY,0)),0)</f>
        <v>0</v>
      </c>
      <c r="BU282" s="38">
        <f>IFERROR(INDEX(LMH_STEP,MATCH(AG282,LMH_KEY,0)),0)</f>
        <v>0</v>
      </c>
      <c r="BV282" s="38">
        <f>IFERROR(INDEX(LMH_STEP,MATCH(AH282,LMH_KEY,0)),0)</f>
        <v>0</v>
      </c>
      <c r="BW282" s="38">
        <f>IFERROR(INDEX(LMH_STEP,MATCH(AI282,LMH_KEY,0)),0)</f>
        <v>0</v>
      </c>
      <c r="BX282" s="38">
        <f>IFERROR(INDEX(LMH_STEP,MATCH(AJ282,LMH_KEY,0)),0)</f>
        <v>0</v>
      </c>
      <c r="BY282" s="38">
        <f>IFERROR(INDEX(LMH_STEP,MATCH(AK282,LMH_KEY,0)),0)</f>
        <v>0</v>
      </c>
      <c r="BZ282" s="38">
        <f>IFERROR(INDEX(LMH_STEP,MATCH(AL282,LMH_KEY,0)),0)</f>
        <v>0</v>
      </c>
      <c r="CA282" s="38" t="inlineStr">
        <is>
          <t>iFile|Quality Assurance|QA Engineer|A2|A</t>
        </is>
      </c>
    </row>
    <row r="283" ht="110" customHeight="1">
      <c r="A283" s="28" t="inlineStr">
        <is>
          <t>iFile</t>
        </is>
      </c>
      <c r="B283" s="29" t="inlineStr">
        <is>
          <t>Technology</t>
        </is>
      </c>
      <c r="C283" s="29" t="n">
        <v>4</v>
      </c>
      <c r="D283" s="29" t="inlineStr">
        <is>
          <t>IRIS1860</t>
        </is>
      </c>
      <c r="E283" s="29" t="inlineStr">
        <is>
          <t>Pradnya Mhatre</t>
        </is>
      </c>
      <c r="F283" s="29" t="inlineStr">
        <is>
          <t>Senior Software Engineer</t>
        </is>
      </c>
      <c r="G283" s="29" t="inlineStr">
        <is>
          <t>Technical Specialist – POD Lead</t>
        </is>
      </c>
      <c r="H283" s="29" t="inlineStr">
        <is>
          <t>Engineering &amp; Development</t>
        </is>
      </c>
      <c r="I283" s="29" t="inlineStr">
        <is>
          <t>Backend Development</t>
        </is>
      </c>
      <c r="J283" s="29" t="inlineStr">
        <is>
          <t>POD Lead</t>
        </is>
      </c>
      <c r="K283" s="29" t="inlineStr">
        <is>
          <t>RC-068</t>
        </is>
      </c>
      <c r="L283" s="29" t="inlineStr">
        <is>
          <t>Brij Kishor Singh</t>
        </is>
      </c>
      <c r="M283" s="29" t="inlineStr">
        <is>
          <t>IRIS0211</t>
        </is>
      </c>
      <c r="N283" s="29" t="n">
        <v>12.2</v>
      </c>
      <c r="O283" s="29" t="n">
        <v>6.2</v>
      </c>
      <c r="P283" s="29" t="inlineStr">
        <is>
          <t>MSc</t>
        </is>
      </c>
      <c r="Q283" s="29" t="inlineStr">
        <is>
          <t>L4 – Senior</t>
        </is>
      </c>
      <c r="R283" s="29" t="inlineStr">
        <is>
          <t>B1</t>
        </is>
      </c>
      <c r="S283" s="30" t="inlineStr">
        <is>
          <t>20 of 20</t>
        </is>
      </c>
      <c r="T283" s="31"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t>
        </is>
      </c>
      <c r="U283"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83" s="31" t="inlineStr">
        <is>
          <t>Latest rating: 3 · Potential: Medium · 9-box: Core Contributor · Readiness: Develop in role</t>
        </is>
      </c>
      <c r="W283" s="31" t="inlineStr">
        <is>
          <t>C L · Au L · Ac M · L L · BI M · Exp H · 12.2 yrs vs 4–7 yrs · Edu H · MSc</t>
        </is>
      </c>
      <c r="X283" s="33" t="inlineStr">
        <is>
          <t>Open ▸</t>
        </is>
      </c>
      <c r="Y283" s="34" t="str">
        <f>IFERROR(INDEX(DL_C,MATCH($CA283,DL_KEY,0)),"M")</f>
        <v>H</v>
      </c>
      <c r="Z283" s="35" t="str">
        <f>IFERROR(INDEX(DL_Au,MATCH($CA283,DL_KEY,0)),"M")</f>
        <v>M</v>
      </c>
      <c r="AA283" s="35" t="str">
        <f>IFERROR(INDEX(DL_Ac,MATCH($CA283,DL_KEY,0)),"M")</f>
        <v>L</v>
      </c>
      <c r="AB283" s="35" t="str">
        <f>IFERROR(INDEX(DL_L,MATCH($CA283,DL_KEY,0)),"M")</f>
        <v>L</v>
      </c>
      <c r="AC283" s="35" t="str">
        <f>IFERROR(INDEX(DL_BI,MATCH($CA283,DL_KEY,0)),"M")</f>
        <v>L</v>
      </c>
      <c r="AD283" s="35" t="str">
        <f>IFERROR(INDEX(DL_Exp,MATCH($CA283,DL_KEY,0)),"M")</f>
        <v>L</v>
      </c>
      <c r="AE283" s="35" t="str">
        <f>IFERROR(INDEX(DL_Edu,MATCH($CA283,DL_KEY,0)),"M")</f>
        <v>L</v>
      </c>
      <c r="AF283" s="34" t="inlineStr">
        <is>
          <t>M</t>
        </is>
      </c>
      <c r="AG283" s="35" t="inlineStr">
        <is>
          <t>M</t>
        </is>
      </c>
      <c r="AH283" s="35" t="inlineStr">
        <is>
          <t>M</t>
        </is>
      </c>
      <c r="AI283" s="35" t="inlineStr">
        <is>
          <t>M</t>
        </is>
      </c>
      <c r="AJ283" s="35" t="inlineStr">
        <is>
          <t>M</t>
        </is>
      </c>
      <c r="AK283" s="35" t="inlineStr">
        <is>
          <t>M</t>
        </is>
      </c>
      <c r="AL283" s="35" t="inlineStr">
        <is>
          <t>M</t>
        </is>
      </c>
      <c r="AM283" s="36" t="n">
        <v>0.513</v>
      </c>
      <c r="AN283" s="37" t="n">
        <v>0.173</v>
      </c>
      <c r="AO283" s="37" t="n">
        <v>0.09699999999999999</v>
      </c>
      <c r="AP283" s="37" t="n">
        <v>0.05</v>
      </c>
      <c r="AQ283" s="37" t="n">
        <v>0.07000000000000001</v>
      </c>
      <c r="AR283" s="37" t="n">
        <v>0.06</v>
      </c>
      <c r="AS283" s="37" t="n">
        <v>0.04</v>
      </c>
      <c r="AT283" s="38" t="inlineStr">
        <is>
          <t>4–8</t>
        </is>
      </c>
      <c r="AU283" s="38" t="inlineStr">
        <is>
          <t>Graduate + relevant qualification or certification preferred</t>
        </is>
      </c>
      <c r="AV283" s="38" t="inlineStr">
        <is>
          <t>IC: none · Team Lead: 3–5</t>
        </is>
      </c>
      <c r="AW283" s="38" t="inlineStr">
        <is>
          <t>P3 / M2 · SFIA 4 Enable</t>
        </is>
      </c>
      <c r="AX2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3" s="39" t="inlineStr">
        <is>
          <t>B1</t>
        </is>
      </c>
      <c r="AZ283" s="40" t="inlineStr">
        <is>
          <t>Band B · Specialist / Manager · Team Lead / Asst Manager</t>
        </is>
      </c>
      <c r="BA283" s="40" t="inlineStr">
        <is>
          <t>Model B1 from the six ratings, the market-derived weights and rules R1–R13 · then No change · already below the manager</t>
        </is>
      </c>
      <c r="BB283" s="41" t="inlineStr">
        <is>
          <t>A3</t>
        </is>
      </c>
      <c r="BC283" s="40" t="inlineStr">
        <is>
          <t>The six ratings on the market-average weights of Band B · Specialist / POD Lead score 3.45 → A3 · Hay, Mercer IPE and public plans · experience 12.2 yrs vs the A3 market range 2–5</t>
        </is>
      </c>
      <c r="BD283" s="42">
        <f>IF(SUM(BM283,BN283,BO283,BP283,BQ283,BR283,BS283)=0,0,(BM283*BT283+BN283*BU283+BO283*BV283+BP283*BW283+BQ283*BX283+BR283*BY283+BS283*BZ283)/SUM(BM283,BN283,BO283,BP283,BQ283,BR283,BS283))</f>
        <v>0</v>
      </c>
      <c r="BE283" s="41" t="str">
        <f>IF(LEFT(AY283,1)="X",AY283,IF(OR(AY283="B+",AY283="C+"),INDEX(LAD_PC,MAX(1,MIN(14,MATCH(AY283,LAD_PC,0)+IF(BD283&gt;=0.5,1,IF(BD283&lt;=-0.5,-1,0))))),INDEX(LAD_STD,MAX(1,MIN(12,MATCH(AY283,LAD_STD,0)+IF(BD283&gt;=0.5,1,IF(BD283&lt;=-0.5,-1,0)))))))</f>
        <v>B1</v>
      </c>
      <c r="BF283" s="43" t="n"/>
      <c r="BG283" s="41" t="str">
        <f>IF(BF283&lt;&gt;"",BF283,BE283)</f>
        <v>B1</v>
      </c>
      <c r="BH283" s="40" t="str">
        <f>IFERROR(CHOOSE(INDEX(B_RANK,MATCH(BG283,B_LVL,0)),"Band A","Band B","B+ · Player-Coach","Band C","C+ · Player-Coach","Band D","Band E"),"Band X · Consultant")</f>
        <v>Band B</v>
      </c>
      <c r="BI283" s="40" t="str">
        <f>IF(BG283=AY283,"• Same",IF(INDEX(B_VAL,MATCH(BG283,B_LVL,0))&gt;INDEX(B_VAL,MATCH(AY283,B_LVL,0)),"▲ Up","▼ Down"))</f>
        <v>• Same</v>
      </c>
      <c r="BJ283" s="40" t="str">
        <f>IF(OR($M283="",$M283="—",$M283="Not in this file"),"",IFERROR(INDEX($BG$7:$BG$592,MATCH($M283,$D$7:$D$592,0)),""))</f>
        <v>B+</v>
      </c>
      <c r="BK283" s="40" t="str">
        <f>IFERROR(IF(BJ283="","—",IF(OR(LEFT(BG283,1)="X",LEFT(BJ283,1)="X"),"—",IF(AND(LEFT(BG283,1)="E",LEFT(BJ283,1)="E"),"Exception · Band E",IF(AND(INDEX(B_VAL,MATCH(BJ283,B_LVL,0))&gt;=7,INDEX(B_RANK,MATCH(BG283,B_LVL,0))&gt;=INDEX(B_RANK,MATCH(BJ283,B_LVL,0))),"⚠ Same band as a head manager",IF(INDEX(B_VAL,MATCH(BG283,B_LVL,0))&gt;=INDEX(B_VAL,MATCH(BJ283,B_LVL,0)),"⚠ At or above the manager's level","OK"))))),"—")</f>
        <v>OK</v>
      </c>
      <c r="BL283" s="43" t="n"/>
      <c r="BM283" s="44">
        <f>IFERROR(INDEX(LMH_PTS,MATCH(Y283,LMH_KEY,0)),0)</f>
        <v>9</v>
      </c>
      <c r="BN283" s="38">
        <f>IFERROR(INDEX(LMH_PTS,MATCH(Z283,LMH_KEY,0)),0)</f>
        <v>3</v>
      </c>
      <c r="BO283" s="38">
        <f>IFERROR(INDEX(LMH_PTS,MATCH(AA283,LMH_KEY,0)),0)</f>
        <v>1</v>
      </c>
      <c r="BP283" s="38">
        <f>IFERROR(INDEX(LMH_PTS,MATCH(AB283,LMH_KEY,0)),0)</f>
        <v>1</v>
      </c>
      <c r="BQ283" s="38">
        <f>IFERROR(INDEX(LMH_PTS,MATCH(AC283,LMH_KEY,0)),0)</f>
        <v>1</v>
      </c>
      <c r="BR283" s="38">
        <f>IFERROR(INDEX(LMH_PTS,MATCH(AD283,LMH_KEY,0)),0)</f>
        <v>1</v>
      </c>
      <c r="BS283" s="38">
        <f>IFERROR(INDEX(LMH_PTS,MATCH(AE283,LMH_KEY,0)),0)</f>
        <v>1</v>
      </c>
      <c r="BT283" s="38">
        <f>IFERROR(INDEX(LMH_STEP,MATCH(AF283,LMH_KEY,0)),0)</f>
        <v>0</v>
      </c>
      <c r="BU283" s="38">
        <f>IFERROR(INDEX(LMH_STEP,MATCH(AG283,LMH_KEY,0)),0)</f>
        <v>0</v>
      </c>
      <c r="BV283" s="38">
        <f>IFERROR(INDEX(LMH_STEP,MATCH(AH283,LMH_KEY,0)),0)</f>
        <v>0</v>
      </c>
      <c r="BW283" s="38">
        <f>IFERROR(INDEX(LMH_STEP,MATCH(AI283,LMH_KEY,0)),0)</f>
        <v>0</v>
      </c>
      <c r="BX283" s="38">
        <f>IFERROR(INDEX(LMH_STEP,MATCH(AJ283,LMH_KEY,0)),0)</f>
        <v>0</v>
      </c>
      <c r="BY283" s="38">
        <f>IFERROR(INDEX(LMH_STEP,MATCH(AK283,LMH_KEY,0)),0)</f>
        <v>0</v>
      </c>
      <c r="BZ283" s="38">
        <f>IFERROR(INDEX(LMH_STEP,MATCH(AL283,LMH_KEY,0)),0)</f>
        <v>0</v>
      </c>
      <c r="CA283" s="38" t="inlineStr">
        <is>
          <t>iFile|Technology|Technical Specialist – POD Lead|B1|B-IC</t>
        </is>
      </c>
    </row>
    <row r="284" ht="110" customHeight="1">
      <c r="A284" s="28" t="inlineStr">
        <is>
          <t>iFile</t>
        </is>
      </c>
      <c r="B284" s="29" t="inlineStr">
        <is>
          <t>Technology</t>
        </is>
      </c>
      <c r="C284" s="29" t="n">
        <v>5</v>
      </c>
      <c r="D284" s="29" t="inlineStr">
        <is>
          <t>IRIS2532</t>
        </is>
      </c>
      <c r="E284" s="29" t="inlineStr">
        <is>
          <t>Abhishek Patil</t>
        </is>
      </c>
      <c r="F284" s="29" t="inlineStr">
        <is>
          <t>Software Engineer</t>
        </is>
      </c>
      <c r="G284" s="29" t="inlineStr">
        <is>
          <t>Senior Software Engineer</t>
        </is>
      </c>
      <c r="H284" s="29" t="inlineStr">
        <is>
          <t>Engineering &amp; Development</t>
        </is>
      </c>
      <c r="I284" s="29" t="inlineStr">
        <is>
          <t>Full-Stack Development</t>
        </is>
      </c>
      <c r="J284" s="29" t="inlineStr">
        <is>
          <t>IC</t>
        </is>
      </c>
      <c r="K284" s="29" t="inlineStr">
        <is>
          <t>RC-085</t>
        </is>
      </c>
      <c r="L284" s="29" t="inlineStr">
        <is>
          <t>Pradnya Mhatre</t>
        </is>
      </c>
      <c r="M284" s="29" t="inlineStr">
        <is>
          <t>IRIS1860</t>
        </is>
      </c>
      <c r="N284" s="29" t="n">
        <v>3.9</v>
      </c>
      <c r="O284" s="29" t="n">
        <v>0.3</v>
      </c>
      <c r="P284" s="29" t="inlineStr">
        <is>
          <t>BCA</t>
        </is>
      </c>
      <c r="Q284" s="29" t="inlineStr">
        <is>
          <t>L3 – Professional / Associate</t>
        </is>
      </c>
      <c r="R284" s="29" t="inlineStr">
        <is>
          <t>A3</t>
        </is>
      </c>
      <c r="S284" s="30" t="inlineStr">
        <is>
          <t>20 of 20</t>
        </is>
      </c>
      <c r="T284" s="31"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t>
        </is>
      </c>
      <c r="U28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4" s="31" t="inlineStr">
        <is>
          <t>Latest rating: Not rated · manager · 9-box: Not placed · manager · Readiness: No rating data</t>
        </is>
      </c>
      <c r="W284" s="31" t="inlineStr">
        <is>
          <t>C M · Au M · Ac M · L L · BI M · Exp M · 3.9 yrs vs 2–4 yrs · Edu M · BCA</t>
        </is>
      </c>
      <c r="X284" s="33" t="inlineStr">
        <is>
          <t>Open ▸</t>
        </is>
      </c>
      <c r="Y284" s="34" t="str">
        <f>IFERROR(INDEX(DL_C,MATCH($CA284,DL_KEY,0)),"M")</f>
        <v>H</v>
      </c>
      <c r="Z284" s="35" t="str">
        <f>IFERROR(INDEX(DL_Au,MATCH($CA284,DL_KEY,0)),"M")</f>
        <v>M</v>
      </c>
      <c r="AA284" s="35" t="str">
        <f>IFERROR(INDEX(DL_Ac,MATCH($CA284,DL_KEY,0)),"M")</f>
        <v>L</v>
      </c>
      <c r="AB284" s="35" t="str">
        <f>IFERROR(INDEX(DL_L,MATCH($CA284,DL_KEY,0)),"M")</f>
        <v>L</v>
      </c>
      <c r="AC284" s="35" t="str">
        <f>IFERROR(INDEX(DL_BI,MATCH($CA284,DL_KEY,0)),"M")</f>
        <v>L</v>
      </c>
      <c r="AD284" s="35" t="str">
        <f>IFERROR(INDEX(DL_Exp,MATCH($CA284,DL_KEY,0)),"M")</f>
        <v>L</v>
      </c>
      <c r="AE284" s="35" t="str">
        <f>IFERROR(INDEX(DL_Edu,MATCH($CA284,DL_KEY,0)),"M")</f>
        <v>L</v>
      </c>
      <c r="AF284" s="34" t="inlineStr">
        <is>
          <t>M</t>
        </is>
      </c>
      <c r="AG284" s="35" t="inlineStr">
        <is>
          <t>M</t>
        </is>
      </c>
      <c r="AH284" s="35" t="inlineStr">
        <is>
          <t>M</t>
        </is>
      </c>
      <c r="AI284" s="35" t="inlineStr">
        <is>
          <t>M</t>
        </is>
      </c>
      <c r="AJ284" s="35" t="inlineStr">
        <is>
          <t>M</t>
        </is>
      </c>
      <c r="AK284" s="35" t="inlineStr">
        <is>
          <t>M</t>
        </is>
      </c>
      <c r="AL284" s="35" t="inlineStr">
        <is>
          <t>M</t>
        </is>
      </c>
      <c r="AM284" s="36" t="n">
        <v>0.583</v>
      </c>
      <c r="AN284" s="37" t="n">
        <v>0.16</v>
      </c>
      <c r="AO284" s="37" t="n">
        <v>0.09</v>
      </c>
      <c r="AP284" s="37" t="n">
        <v>0</v>
      </c>
      <c r="AQ284" s="37" t="n">
        <v>0.063</v>
      </c>
      <c r="AR284" s="37" t="n">
        <v>0.06</v>
      </c>
      <c r="AS284" s="37" t="n">
        <v>0.04</v>
      </c>
      <c r="AT284" s="38" t="inlineStr">
        <is>
          <t>2–5</t>
        </is>
      </c>
      <c r="AU284" s="38" t="inlineStr">
        <is>
          <t>Graduate; relevant certification preferred</t>
        </is>
      </c>
      <c r="AV284" s="38" t="inlineStr">
        <is>
          <t>None · guides 1–3 juniors informally</t>
        </is>
      </c>
      <c r="AW284" s="38" t="inlineStr">
        <is>
          <t>P2 · SFIA 3 Apply</t>
        </is>
      </c>
      <c r="AX2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4" s="39" t="inlineStr">
        <is>
          <t>A3</t>
        </is>
      </c>
      <c r="AZ284" s="40" t="inlineStr">
        <is>
          <t>Band A · Practitioner · Senior Associate</t>
        </is>
      </c>
      <c r="BA284" s="40" t="inlineStr">
        <is>
          <t>Model A3 from the six ratings, the market-derived weights and rules R1–R13 · then No change · already below the manager</t>
        </is>
      </c>
      <c r="BB284" s="41" t="inlineStr">
        <is>
          <t>A3</t>
        </is>
      </c>
      <c r="BC284" s="40" t="inlineStr">
        <is>
          <t>The six ratings on the market-average weights of Band A · all tracks score 2.60 → A3 · Hay, Mercer IPE and public plans · experience 3.9 yrs vs the A3 market range 2–5</t>
        </is>
      </c>
      <c r="BD284" s="42">
        <f>IF(SUM(BM284,BN284,BO284,BP284,BQ284,BR284,BS284)=0,0,(BM284*BT284+BN284*BU284+BO284*BV284+BP284*BW284+BQ284*BX284+BR284*BY284+BS284*BZ284)/SUM(BM284,BN284,BO284,BP284,BQ284,BR284,BS284))</f>
        <v>0</v>
      </c>
      <c r="BE284" s="41" t="str">
        <f>IF(LEFT(AY284,1)="X",AY284,IF(OR(AY284="B+",AY284="C+"),INDEX(LAD_PC,MAX(1,MIN(14,MATCH(AY284,LAD_PC,0)+IF(BD284&gt;=0.5,1,IF(BD284&lt;=-0.5,-1,0))))),INDEX(LAD_STD,MAX(1,MIN(12,MATCH(AY284,LAD_STD,0)+IF(BD284&gt;=0.5,1,IF(BD284&lt;=-0.5,-1,0)))))))</f>
        <v>A3</v>
      </c>
      <c r="BF284" s="43" t="n"/>
      <c r="BG284" s="41" t="str">
        <f>IF(BF284&lt;&gt;"",BF284,BE284)</f>
        <v>A3</v>
      </c>
      <c r="BH284" s="40" t="str">
        <f>IFERROR(CHOOSE(INDEX(B_RANK,MATCH(BG284,B_LVL,0)),"Band A","Band B","B+ · Player-Coach","Band C","C+ · Player-Coach","Band D","Band E"),"Band X · Consultant")</f>
        <v>Band A</v>
      </c>
      <c r="BI284" s="40" t="str">
        <f>IF(BG284=AY284,"• Same",IF(INDEX(B_VAL,MATCH(BG284,B_LVL,0))&gt;INDEX(B_VAL,MATCH(AY284,B_LVL,0)),"▲ Up","▼ Down"))</f>
        <v>• Same</v>
      </c>
      <c r="BJ284" s="40" t="str">
        <f>IF(OR($M284="",$M284="—",$M284="Not in this file"),"",IFERROR(INDEX($BG$7:$BG$592,MATCH($M284,$D$7:$D$592,0)),""))</f>
        <v>B1</v>
      </c>
      <c r="BK284" s="40" t="str">
        <f>IFERROR(IF(BJ284="","—",IF(OR(LEFT(BG284,1)="X",LEFT(BJ284,1)="X"),"—",IF(AND(LEFT(BG284,1)="E",LEFT(BJ284,1)="E"),"Exception · Band E",IF(AND(INDEX(B_VAL,MATCH(BJ284,B_LVL,0))&gt;=7,INDEX(B_RANK,MATCH(BG284,B_LVL,0))&gt;=INDEX(B_RANK,MATCH(BJ284,B_LVL,0))),"⚠ Same band as a head manager",IF(INDEX(B_VAL,MATCH(BG284,B_LVL,0))&gt;=INDEX(B_VAL,MATCH(BJ284,B_LVL,0)),"⚠ At or above the manager's level","OK"))))),"—")</f>
        <v>OK</v>
      </c>
      <c r="BL284" s="43" t="n"/>
      <c r="BM284" s="44">
        <f>IFERROR(INDEX(LMH_PTS,MATCH(Y284,LMH_KEY,0)),0)</f>
        <v>9</v>
      </c>
      <c r="BN284" s="38">
        <f>IFERROR(INDEX(LMH_PTS,MATCH(Z284,LMH_KEY,0)),0)</f>
        <v>3</v>
      </c>
      <c r="BO284" s="38">
        <f>IFERROR(INDEX(LMH_PTS,MATCH(AA284,LMH_KEY,0)),0)</f>
        <v>1</v>
      </c>
      <c r="BP284" s="38">
        <f>IFERROR(INDEX(LMH_PTS,MATCH(AB284,LMH_KEY,0)),0)</f>
        <v>1</v>
      </c>
      <c r="BQ284" s="38">
        <f>IFERROR(INDEX(LMH_PTS,MATCH(AC284,LMH_KEY,0)),0)</f>
        <v>1</v>
      </c>
      <c r="BR284" s="38">
        <f>IFERROR(INDEX(LMH_PTS,MATCH(AD284,LMH_KEY,0)),0)</f>
        <v>1</v>
      </c>
      <c r="BS284" s="38">
        <f>IFERROR(INDEX(LMH_PTS,MATCH(AE284,LMH_KEY,0)),0)</f>
        <v>1</v>
      </c>
      <c r="BT284" s="38">
        <f>IFERROR(INDEX(LMH_STEP,MATCH(AF284,LMH_KEY,0)),0)</f>
        <v>0</v>
      </c>
      <c r="BU284" s="38">
        <f>IFERROR(INDEX(LMH_STEP,MATCH(AG284,LMH_KEY,0)),0)</f>
        <v>0</v>
      </c>
      <c r="BV284" s="38">
        <f>IFERROR(INDEX(LMH_STEP,MATCH(AH284,LMH_KEY,0)),0)</f>
        <v>0</v>
      </c>
      <c r="BW284" s="38">
        <f>IFERROR(INDEX(LMH_STEP,MATCH(AI284,LMH_KEY,0)),0)</f>
        <v>0</v>
      </c>
      <c r="BX284" s="38">
        <f>IFERROR(INDEX(LMH_STEP,MATCH(AJ284,LMH_KEY,0)),0)</f>
        <v>0</v>
      </c>
      <c r="BY284" s="38">
        <f>IFERROR(INDEX(LMH_STEP,MATCH(AK284,LMH_KEY,0)),0)</f>
        <v>0</v>
      </c>
      <c r="BZ284" s="38">
        <f>IFERROR(INDEX(LMH_STEP,MATCH(AL284,LMH_KEY,0)),0)</f>
        <v>0</v>
      </c>
      <c r="CA284" s="38" t="inlineStr">
        <is>
          <t>iFile|Technology|Senior Software Engineer|A3|A</t>
        </is>
      </c>
    </row>
    <row r="285" ht="110" customHeight="1">
      <c r="A285" s="28" t="inlineStr">
        <is>
          <t>iFile</t>
        </is>
      </c>
      <c r="B285" s="29" t="inlineStr">
        <is>
          <t>Technology</t>
        </is>
      </c>
      <c r="C285" s="29" t="n">
        <v>5</v>
      </c>
      <c r="D285" s="29" t="inlineStr">
        <is>
          <t>IRIS2446</t>
        </is>
      </c>
      <c r="E285" s="29" t="inlineStr">
        <is>
          <t>Kunal Sanjay Prasad</t>
        </is>
      </c>
      <c r="F285" s="29" t="inlineStr">
        <is>
          <t>Software Engineer</t>
        </is>
      </c>
      <c r="G285" s="29" t="inlineStr">
        <is>
          <t>Senior Software Engineer</t>
        </is>
      </c>
      <c r="H285" s="29" t="inlineStr">
        <is>
          <t>Engineering &amp; Development</t>
        </is>
      </c>
      <c r="I285" s="29" t="inlineStr">
        <is>
          <t>Backend Development</t>
        </is>
      </c>
      <c r="J285" s="29" t="inlineStr">
        <is>
          <t>IC</t>
        </is>
      </c>
      <c r="K285" s="29" t="inlineStr">
        <is>
          <t>RC-067</t>
        </is>
      </c>
      <c r="L285" s="29" t="inlineStr">
        <is>
          <t>Pradnya Mhatre</t>
        </is>
      </c>
      <c r="M285" s="29" t="inlineStr">
        <is>
          <t>IRIS1860</t>
        </is>
      </c>
      <c r="N285" s="29" t="n">
        <v>3.4</v>
      </c>
      <c r="O285" s="29" t="n">
        <v>0.8</v>
      </c>
      <c r="P285" s="29" t="inlineStr">
        <is>
          <t>B.Sc</t>
        </is>
      </c>
      <c r="Q285" s="29" t="inlineStr">
        <is>
          <t>L3 – Professional / Associate</t>
        </is>
      </c>
      <c r="R285" s="29" t="inlineStr">
        <is>
          <t>A3</t>
        </is>
      </c>
      <c r="S285" s="30" t="inlineStr">
        <is>
          <t>20 of 20</t>
        </is>
      </c>
      <c r="T285" s="31"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t>
        </is>
      </c>
      <c r="U28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5" s="31" t="inlineStr">
        <is>
          <t>Latest rating: 2 · Potential: Low · 9-box: Emerging Talent · Readiness: Performance first</t>
        </is>
      </c>
      <c r="W285" s="31" t="inlineStr">
        <is>
          <t>C L · Au L · Ac L · L L · BI L · Exp M · 3.4 yrs vs 2–4 yrs · Edu M · B.Sc</t>
        </is>
      </c>
      <c r="X285" s="33" t="inlineStr">
        <is>
          <t>Open ▸</t>
        </is>
      </c>
      <c r="Y285" s="34" t="str">
        <f>IFERROR(INDEX(DL_C,MATCH($CA285,DL_KEY,0)),"M")</f>
        <v>H</v>
      </c>
      <c r="Z285" s="35" t="str">
        <f>IFERROR(INDEX(DL_Au,MATCH($CA285,DL_KEY,0)),"M")</f>
        <v>M</v>
      </c>
      <c r="AA285" s="35" t="str">
        <f>IFERROR(INDEX(DL_Ac,MATCH($CA285,DL_KEY,0)),"M")</f>
        <v>L</v>
      </c>
      <c r="AB285" s="35" t="str">
        <f>IFERROR(INDEX(DL_L,MATCH($CA285,DL_KEY,0)),"M")</f>
        <v>L</v>
      </c>
      <c r="AC285" s="35" t="str">
        <f>IFERROR(INDEX(DL_BI,MATCH($CA285,DL_KEY,0)),"M")</f>
        <v>L</v>
      </c>
      <c r="AD285" s="35" t="str">
        <f>IFERROR(INDEX(DL_Exp,MATCH($CA285,DL_KEY,0)),"M")</f>
        <v>L</v>
      </c>
      <c r="AE285" s="35" t="str">
        <f>IFERROR(INDEX(DL_Edu,MATCH($CA285,DL_KEY,0)),"M")</f>
        <v>L</v>
      </c>
      <c r="AF285" s="34" t="inlineStr">
        <is>
          <t>M</t>
        </is>
      </c>
      <c r="AG285" s="35" t="inlineStr">
        <is>
          <t>M</t>
        </is>
      </c>
      <c r="AH285" s="35" t="inlineStr">
        <is>
          <t>M</t>
        </is>
      </c>
      <c r="AI285" s="35" t="inlineStr">
        <is>
          <t>M</t>
        </is>
      </c>
      <c r="AJ285" s="35" t="inlineStr">
        <is>
          <t>M</t>
        </is>
      </c>
      <c r="AK285" s="35" t="inlineStr">
        <is>
          <t>M</t>
        </is>
      </c>
      <c r="AL285" s="35" t="inlineStr">
        <is>
          <t>M</t>
        </is>
      </c>
      <c r="AM285" s="36" t="n">
        <v>0.583</v>
      </c>
      <c r="AN285" s="37" t="n">
        <v>0.16</v>
      </c>
      <c r="AO285" s="37" t="n">
        <v>0.09</v>
      </c>
      <c r="AP285" s="37" t="n">
        <v>0</v>
      </c>
      <c r="AQ285" s="37" t="n">
        <v>0.063</v>
      </c>
      <c r="AR285" s="37" t="n">
        <v>0.06</v>
      </c>
      <c r="AS285" s="37" t="n">
        <v>0.04</v>
      </c>
      <c r="AT285" s="38" t="inlineStr">
        <is>
          <t>2–5</t>
        </is>
      </c>
      <c r="AU285" s="38" t="inlineStr">
        <is>
          <t>Graduate; relevant certification preferred</t>
        </is>
      </c>
      <c r="AV285" s="38" t="inlineStr">
        <is>
          <t>None · guides 1–3 juniors informally</t>
        </is>
      </c>
      <c r="AW285" s="38" t="inlineStr">
        <is>
          <t>P2 · SFIA 3 Apply</t>
        </is>
      </c>
      <c r="AX2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5" s="39" t="inlineStr">
        <is>
          <t>A3</t>
        </is>
      </c>
      <c r="AZ285" s="40" t="inlineStr">
        <is>
          <t>Band A · Practitioner · Senior Associate</t>
        </is>
      </c>
      <c r="BA285" s="40" t="inlineStr">
        <is>
          <t>Model A3 from the six ratings, the market-derived weights and rules R1–R13 · then No change · already below the manager</t>
        </is>
      </c>
      <c r="BB285" s="41" t="inlineStr">
        <is>
          <t>A2</t>
        </is>
      </c>
      <c r="BC285" s="40" t="inlineStr">
        <is>
          <t>The six ratings on the market-average weights of Band A · all tracks score 2.10 → A2 · Hay, Mercer IPE and public plans · experience 3.4 yrs vs the A2 market range 0–3</t>
        </is>
      </c>
      <c r="BD285" s="42">
        <f>IF(SUM(BM285,BN285,BO285,BP285,BQ285,BR285,BS285)=0,0,(BM285*BT285+BN285*BU285+BO285*BV285+BP285*BW285+BQ285*BX285+BR285*BY285+BS285*BZ285)/SUM(BM285,BN285,BO285,BP285,BQ285,BR285,BS285))</f>
        <v>0</v>
      </c>
      <c r="BE285" s="41" t="str">
        <f>IF(LEFT(AY285,1)="X",AY285,IF(OR(AY285="B+",AY285="C+"),INDEX(LAD_PC,MAX(1,MIN(14,MATCH(AY285,LAD_PC,0)+IF(BD285&gt;=0.5,1,IF(BD285&lt;=-0.5,-1,0))))),INDEX(LAD_STD,MAX(1,MIN(12,MATCH(AY285,LAD_STD,0)+IF(BD285&gt;=0.5,1,IF(BD285&lt;=-0.5,-1,0)))))))</f>
        <v>A3</v>
      </c>
      <c r="BF285" s="43" t="n"/>
      <c r="BG285" s="41" t="str">
        <f>IF(BF285&lt;&gt;"",BF285,BE285)</f>
        <v>A3</v>
      </c>
      <c r="BH285" s="40" t="str">
        <f>IFERROR(CHOOSE(INDEX(B_RANK,MATCH(BG285,B_LVL,0)),"Band A","Band B","B+ · Player-Coach","Band C","C+ · Player-Coach","Band D","Band E"),"Band X · Consultant")</f>
        <v>Band A</v>
      </c>
      <c r="BI285" s="40" t="str">
        <f>IF(BG285=AY285,"• Same",IF(INDEX(B_VAL,MATCH(BG285,B_LVL,0))&gt;INDEX(B_VAL,MATCH(AY285,B_LVL,0)),"▲ Up","▼ Down"))</f>
        <v>• Same</v>
      </c>
      <c r="BJ285" s="40" t="str">
        <f>IF(OR($M285="",$M285="—",$M285="Not in this file"),"",IFERROR(INDEX($BG$7:$BG$592,MATCH($M285,$D$7:$D$592,0)),""))</f>
        <v>B1</v>
      </c>
      <c r="BK285" s="40" t="str">
        <f>IFERROR(IF(BJ285="","—",IF(OR(LEFT(BG285,1)="X",LEFT(BJ285,1)="X"),"—",IF(AND(LEFT(BG285,1)="E",LEFT(BJ285,1)="E"),"Exception · Band E",IF(AND(INDEX(B_VAL,MATCH(BJ285,B_LVL,0))&gt;=7,INDEX(B_RANK,MATCH(BG285,B_LVL,0))&gt;=INDEX(B_RANK,MATCH(BJ285,B_LVL,0))),"⚠ Same band as a head manager",IF(INDEX(B_VAL,MATCH(BG285,B_LVL,0))&gt;=INDEX(B_VAL,MATCH(BJ285,B_LVL,0)),"⚠ At or above the manager's level","OK"))))),"—")</f>
        <v>OK</v>
      </c>
      <c r="BL285" s="43" t="n"/>
      <c r="BM285" s="44">
        <f>IFERROR(INDEX(LMH_PTS,MATCH(Y285,LMH_KEY,0)),0)</f>
        <v>9</v>
      </c>
      <c r="BN285" s="38">
        <f>IFERROR(INDEX(LMH_PTS,MATCH(Z285,LMH_KEY,0)),0)</f>
        <v>3</v>
      </c>
      <c r="BO285" s="38">
        <f>IFERROR(INDEX(LMH_PTS,MATCH(AA285,LMH_KEY,0)),0)</f>
        <v>1</v>
      </c>
      <c r="BP285" s="38">
        <f>IFERROR(INDEX(LMH_PTS,MATCH(AB285,LMH_KEY,0)),0)</f>
        <v>1</v>
      </c>
      <c r="BQ285" s="38">
        <f>IFERROR(INDEX(LMH_PTS,MATCH(AC285,LMH_KEY,0)),0)</f>
        <v>1</v>
      </c>
      <c r="BR285" s="38">
        <f>IFERROR(INDEX(LMH_PTS,MATCH(AD285,LMH_KEY,0)),0)</f>
        <v>1</v>
      </c>
      <c r="BS285" s="38">
        <f>IFERROR(INDEX(LMH_PTS,MATCH(AE285,LMH_KEY,0)),0)</f>
        <v>1</v>
      </c>
      <c r="BT285" s="38">
        <f>IFERROR(INDEX(LMH_STEP,MATCH(AF285,LMH_KEY,0)),0)</f>
        <v>0</v>
      </c>
      <c r="BU285" s="38">
        <f>IFERROR(INDEX(LMH_STEP,MATCH(AG285,LMH_KEY,0)),0)</f>
        <v>0</v>
      </c>
      <c r="BV285" s="38">
        <f>IFERROR(INDEX(LMH_STEP,MATCH(AH285,LMH_KEY,0)),0)</f>
        <v>0</v>
      </c>
      <c r="BW285" s="38">
        <f>IFERROR(INDEX(LMH_STEP,MATCH(AI285,LMH_KEY,0)),0)</f>
        <v>0</v>
      </c>
      <c r="BX285" s="38">
        <f>IFERROR(INDEX(LMH_STEP,MATCH(AJ285,LMH_KEY,0)),0)</f>
        <v>0</v>
      </c>
      <c r="BY285" s="38">
        <f>IFERROR(INDEX(LMH_STEP,MATCH(AK285,LMH_KEY,0)),0)</f>
        <v>0</v>
      </c>
      <c r="BZ285" s="38">
        <f>IFERROR(INDEX(LMH_STEP,MATCH(AL285,LMH_KEY,0)),0)</f>
        <v>0</v>
      </c>
      <c r="CA285" s="38" t="inlineStr">
        <is>
          <t>iFile|Technology|Senior Software Engineer|A3|A</t>
        </is>
      </c>
    </row>
    <row r="286" ht="110" customHeight="1">
      <c r="A286" s="28" t="inlineStr">
        <is>
          <t>iFile</t>
        </is>
      </c>
      <c r="B286" s="29" t="inlineStr">
        <is>
          <t>Technology</t>
        </is>
      </c>
      <c r="C286" s="29" t="n">
        <v>5</v>
      </c>
      <c r="D286" s="29" t="inlineStr">
        <is>
          <t>IRIS2438</t>
        </is>
      </c>
      <c r="E286" s="29" t="inlineStr">
        <is>
          <t>Pranay Usatkar</t>
        </is>
      </c>
      <c r="F286" s="29" t="inlineStr">
        <is>
          <t>Software Engineer</t>
        </is>
      </c>
      <c r="G286" s="29" t="inlineStr">
        <is>
          <t>Senior Software Engineer</t>
        </is>
      </c>
      <c r="H286" s="29" t="inlineStr">
        <is>
          <t>Engineering &amp; Development</t>
        </is>
      </c>
      <c r="I286" s="29" t="inlineStr">
        <is>
          <t>Backend Development</t>
        </is>
      </c>
      <c r="J286" s="29" t="inlineStr">
        <is>
          <t>IC</t>
        </is>
      </c>
      <c r="K286" s="29" t="inlineStr">
        <is>
          <t>RC-067</t>
        </is>
      </c>
      <c r="L286" s="29" t="inlineStr">
        <is>
          <t>Pradnya Mhatre</t>
        </is>
      </c>
      <c r="M286" s="29" t="inlineStr">
        <is>
          <t>IRIS1860</t>
        </is>
      </c>
      <c r="N286" s="29" t="n">
        <v>4.1</v>
      </c>
      <c r="O286" s="29" t="n">
        <v>0.9</v>
      </c>
      <c r="P286" s="29" t="inlineStr">
        <is>
          <t>B.E</t>
        </is>
      </c>
      <c r="Q286" s="29" t="inlineStr">
        <is>
          <t>L3 – Professional / Associate</t>
        </is>
      </c>
      <c r="R286" s="29" t="inlineStr">
        <is>
          <t>A3</t>
        </is>
      </c>
      <c r="S286" s="30" t="inlineStr">
        <is>
          <t>10 of 20</t>
        </is>
      </c>
      <c r="T286" s="31"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t>
        </is>
      </c>
      <c r="U28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6" s="31" t="inlineStr">
        <is>
          <t>Latest rating: 2 · Potential: Low · 9-box: Emerging Talent · Readiness: Performance first</t>
        </is>
      </c>
      <c r="W286" s="31" t="inlineStr">
        <is>
          <t>C L · Au L · Ac L · L L · BI L · Exp H · 4.1 yrs vs 2–4 yrs · Edu M · B.E</t>
        </is>
      </c>
      <c r="X286" s="33" t="inlineStr">
        <is>
          <t>Open ▸</t>
        </is>
      </c>
      <c r="Y286" s="34" t="str">
        <f>IFERROR(INDEX(DL_C,MATCH($CA286,DL_KEY,0)),"M")</f>
        <v>H</v>
      </c>
      <c r="Z286" s="35" t="str">
        <f>IFERROR(INDEX(DL_Au,MATCH($CA286,DL_KEY,0)),"M")</f>
        <v>M</v>
      </c>
      <c r="AA286" s="35" t="str">
        <f>IFERROR(INDEX(DL_Ac,MATCH($CA286,DL_KEY,0)),"M")</f>
        <v>L</v>
      </c>
      <c r="AB286" s="35" t="str">
        <f>IFERROR(INDEX(DL_L,MATCH($CA286,DL_KEY,0)),"M")</f>
        <v>L</v>
      </c>
      <c r="AC286" s="35" t="str">
        <f>IFERROR(INDEX(DL_BI,MATCH($CA286,DL_KEY,0)),"M")</f>
        <v>L</v>
      </c>
      <c r="AD286" s="35" t="str">
        <f>IFERROR(INDEX(DL_Exp,MATCH($CA286,DL_KEY,0)),"M")</f>
        <v>L</v>
      </c>
      <c r="AE286" s="35" t="str">
        <f>IFERROR(INDEX(DL_Edu,MATCH($CA286,DL_KEY,0)),"M")</f>
        <v>L</v>
      </c>
      <c r="AF286" s="34" t="inlineStr">
        <is>
          <t>M</t>
        </is>
      </c>
      <c r="AG286" s="35" t="inlineStr">
        <is>
          <t>M</t>
        </is>
      </c>
      <c r="AH286" s="35" t="inlineStr">
        <is>
          <t>M</t>
        </is>
      </c>
      <c r="AI286" s="35" t="inlineStr">
        <is>
          <t>M</t>
        </is>
      </c>
      <c r="AJ286" s="35" t="inlineStr">
        <is>
          <t>M</t>
        </is>
      </c>
      <c r="AK286" s="35" t="inlineStr">
        <is>
          <t>M</t>
        </is>
      </c>
      <c r="AL286" s="35" t="inlineStr">
        <is>
          <t>M</t>
        </is>
      </c>
      <c r="AM286" s="36" t="n">
        <v>0.583</v>
      </c>
      <c r="AN286" s="37" t="n">
        <v>0.16</v>
      </c>
      <c r="AO286" s="37" t="n">
        <v>0.09</v>
      </c>
      <c r="AP286" s="37" t="n">
        <v>0</v>
      </c>
      <c r="AQ286" s="37" t="n">
        <v>0.063</v>
      </c>
      <c r="AR286" s="37" t="n">
        <v>0.06</v>
      </c>
      <c r="AS286" s="37" t="n">
        <v>0.04</v>
      </c>
      <c r="AT286" s="38" t="inlineStr">
        <is>
          <t>2–5</t>
        </is>
      </c>
      <c r="AU286" s="38" t="inlineStr">
        <is>
          <t>Graduate; relevant certification preferred</t>
        </is>
      </c>
      <c r="AV286" s="38" t="inlineStr">
        <is>
          <t>None · guides 1–3 juniors informally</t>
        </is>
      </c>
      <c r="AW286" s="38" t="inlineStr">
        <is>
          <t>P2 · SFIA 3 Apply</t>
        </is>
      </c>
      <c r="AX2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6" s="39" t="inlineStr">
        <is>
          <t>A3</t>
        </is>
      </c>
      <c r="AZ286" s="40" t="inlineStr">
        <is>
          <t>Band A · Practitioner · Senior Associate</t>
        </is>
      </c>
      <c r="BA286" s="40" t="inlineStr">
        <is>
          <t>Model A3 from the six ratings, the market-derived weights and rules R1–R13 · then No change · already below the manager</t>
        </is>
      </c>
      <c r="BB286" s="41" t="inlineStr">
        <is>
          <t>A2</t>
        </is>
      </c>
      <c r="BC286" s="40" t="inlineStr">
        <is>
          <t>The six ratings on the market-average weights of Band A · all tracks score 2.15 → A2 · Hay, Mercer IPE and public plans · experience 4.1 yrs vs the A2 market range 0–3</t>
        </is>
      </c>
      <c r="BD286" s="42">
        <f>IF(SUM(BM286,BN286,BO286,BP286,BQ286,BR286,BS286)=0,0,(BM286*BT286+BN286*BU286+BO286*BV286+BP286*BW286+BQ286*BX286+BR286*BY286+BS286*BZ286)/SUM(BM286,BN286,BO286,BP286,BQ286,BR286,BS286))</f>
        <v>0</v>
      </c>
      <c r="BE286" s="41" t="str">
        <f>IF(LEFT(AY286,1)="X",AY286,IF(OR(AY286="B+",AY286="C+"),INDEX(LAD_PC,MAX(1,MIN(14,MATCH(AY286,LAD_PC,0)+IF(BD286&gt;=0.5,1,IF(BD286&lt;=-0.5,-1,0))))),INDEX(LAD_STD,MAX(1,MIN(12,MATCH(AY286,LAD_STD,0)+IF(BD286&gt;=0.5,1,IF(BD286&lt;=-0.5,-1,0)))))))</f>
        <v>A3</v>
      </c>
      <c r="BF286" s="43" t="n"/>
      <c r="BG286" s="41" t="str">
        <f>IF(BF286&lt;&gt;"",BF286,BE286)</f>
        <v>A3</v>
      </c>
      <c r="BH286" s="40" t="str">
        <f>IFERROR(CHOOSE(INDEX(B_RANK,MATCH(BG286,B_LVL,0)),"Band A","Band B","B+ · Player-Coach","Band C","C+ · Player-Coach","Band D","Band E"),"Band X · Consultant")</f>
        <v>Band A</v>
      </c>
      <c r="BI286" s="40" t="str">
        <f>IF(BG286=AY286,"• Same",IF(INDEX(B_VAL,MATCH(BG286,B_LVL,0))&gt;INDEX(B_VAL,MATCH(AY286,B_LVL,0)),"▲ Up","▼ Down"))</f>
        <v>• Same</v>
      </c>
      <c r="BJ286" s="40" t="str">
        <f>IF(OR($M286="",$M286="—",$M286="Not in this file"),"",IFERROR(INDEX($BG$7:$BG$592,MATCH($M286,$D$7:$D$592,0)),""))</f>
        <v>B1</v>
      </c>
      <c r="BK286" s="40" t="str">
        <f>IFERROR(IF(BJ286="","—",IF(OR(LEFT(BG286,1)="X",LEFT(BJ286,1)="X"),"—",IF(AND(LEFT(BG286,1)="E",LEFT(BJ286,1)="E"),"Exception · Band E",IF(AND(INDEX(B_VAL,MATCH(BJ286,B_LVL,0))&gt;=7,INDEX(B_RANK,MATCH(BG286,B_LVL,0))&gt;=INDEX(B_RANK,MATCH(BJ286,B_LVL,0))),"⚠ Same band as a head manager",IF(INDEX(B_VAL,MATCH(BG286,B_LVL,0))&gt;=INDEX(B_VAL,MATCH(BJ286,B_LVL,0)),"⚠ At or above the manager's level","OK"))))),"—")</f>
        <v>OK</v>
      </c>
      <c r="BL286" s="43" t="n"/>
      <c r="BM286" s="44">
        <f>IFERROR(INDEX(LMH_PTS,MATCH(Y286,LMH_KEY,0)),0)</f>
        <v>9</v>
      </c>
      <c r="BN286" s="38">
        <f>IFERROR(INDEX(LMH_PTS,MATCH(Z286,LMH_KEY,0)),0)</f>
        <v>3</v>
      </c>
      <c r="BO286" s="38">
        <f>IFERROR(INDEX(LMH_PTS,MATCH(AA286,LMH_KEY,0)),0)</f>
        <v>1</v>
      </c>
      <c r="BP286" s="38">
        <f>IFERROR(INDEX(LMH_PTS,MATCH(AB286,LMH_KEY,0)),0)</f>
        <v>1</v>
      </c>
      <c r="BQ286" s="38">
        <f>IFERROR(INDEX(LMH_PTS,MATCH(AC286,LMH_KEY,0)),0)</f>
        <v>1</v>
      </c>
      <c r="BR286" s="38">
        <f>IFERROR(INDEX(LMH_PTS,MATCH(AD286,LMH_KEY,0)),0)</f>
        <v>1</v>
      </c>
      <c r="BS286" s="38">
        <f>IFERROR(INDEX(LMH_PTS,MATCH(AE286,LMH_KEY,0)),0)</f>
        <v>1</v>
      </c>
      <c r="BT286" s="38">
        <f>IFERROR(INDEX(LMH_STEP,MATCH(AF286,LMH_KEY,0)),0)</f>
        <v>0</v>
      </c>
      <c r="BU286" s="38">
        <f>IFERROR(INDEX(LMH_STEP,MATCH(AG286,LMH_KEY,0)),0)</f>
        <v>0</v>
      </c>
      <c r="BV286" s="38">
        <f>IFERROR(INDEX(LMH_STEP,MATCH(AH286,LMH_KEY,0)),0)</f>
        <v>0</v>
      </c>
      <c r="BW286" s="38">
        <f>IFERROR(INDEX(LMH_STEP,MATCH(AI286,LMH_KEY,0)),0)</f>
        <v>0</v>
      </c>
      <c r="BX286" s="38">
        <f>IFERROR(INDEX(LMH_STEP,MATCH(AJ286,LMH_KEY,0)),0)</f>
        <v>0</v>
      </c>
      <c r="BY286" s="38">
        <f>IFERROR(INDEX(LMH_STEP,MATCH(AK286,LMH_KEY,0)),0)</f>
        <v>0</v>
      </c>
      <c r="BZ286" s="38">
        <f>IFERROR(INDEX(LMH_STEP,MATCH(AL286,LMH_KEY,0)),0)</f>
        <v>0</v>
      </c>
      <c r="CA286" s="38" t="inlineStr">
        <is>
          <t>iFile|Technology|Senior Software Engineer|A3|A</t>
        </is>
      </c>
    </row>
    <row r="287" ht="110" customHeight="1">
      <c r="A287" s="28" t="inlineStr">
        <is>
          <t>iFile</t>
        </is>
      </c>
      <c r="B287" s="29" t="inlineStr">
        <is>
          <t>Technology</t>
        </is>
      </c>
      <c r="C287" s="29" t="n">
        <v>4</v>
      </c>
      <c r="D287" s="29" t="inlineStr">
        <is>
          <t>IRIS1653</t>
        </is>
      </c>
      <c r="E287" s="29" t="inlineStr">
        <is>
          <t>Sarvesh Yadav</t>
        </is>
      </c>
      <c r="F287" s="29" t="inlineStr">
        <is>
          <t>Senior Software Engineer</t>
        </is>
      </c>
      <c r="G287" s="29" t="inlineStr">
        <is>
          <t>Technical Specialist</t>
        </is>
      </c>
      <c r="H287" s="29" t="inlineStr">
        <is>
          <t>Engineering &amp; Development</t>
        </is>
      </c>
      <c r="I287" s="29" t="inlineStr">
        <is>
          <t>Backend Development</t>
        </is>
      </c>
      <c r="J287" s="29" t="inlineStr">
        <is>
          <t>IC</t>
        </is>
      </c>
      <c r="K287" s="29" t="inlineStr">
        <is>
          <t>RC-068</t>
        </is>
      </c>
      <c r="L287" s="29" t="inlineStr">
        <is>
          <t>Brij Kishor Singh</t>
        </is>
      </c>
      <c r="M287" s="29" t="inlineStr">
        <is>
          <t>IRIS0211</t>
        </is>
      </c>
      <c r="N287" s="29" t="n">
        <v>14.8</v>
      </c>
      <c r="O287" s="29" t="n">
        <v>9.199999999999999</v>
      </c>
      <c r="P287" s="29" t="inlineStr">
        <is>
          <t>MCA</t>
        </is>
      </c>
      <c r="Q287" s="29" t="inlineStr">
        <is>
          <t>L4 – Senior</t>
        </is>
      </c>
      <c r="R287" s="29" t="inlineStr">
        <is>
          <t>B1</t>
        </is>
      </c>
      <c r="S287" s="30" t="inlineStr">
        <is>
          <t>17 of 20</t>
        </is>
      </c>
      <c r="T287" s="31"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t>
        </is>
      </c>
      <c r="U287"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87" s="31" t="inlineStr">
        <is>
          <t>Latest rating: 2 · Potential: Low · 9-box: Performance Risk · Readiness: Performance first</t>
        </is>
      </c>
      <c r="W287" s="31" t="inlineStr">
        <is>
          <t>C M · Au M · Ac M · L L · BI M · Exp H · 14.8 yrs vs 4–7 yrs · Edu H · MCA</t>
        </is>
      </c>
      <c r="X287" s="33" t="inlineStr">
        <is>
          <t>Open ▸</t>
        </is>
      </c>
      <c r="Y287" s="34" t="str">
        <f>IFERROR(INDEX(DL_C,MATCH($CA287,DL_KEY,0)),"M")</f>
        <v>H</v>
      </c>
      <c r="Z287" s="35" t="str">
        <f>IFERROR(INDEX(DL_Au,MATCH($CA287,DL_KEY,0)),"M")</f>
        <v>M</v>
      </c>
      <c r="AA287" s="35" t="str">
        <f>IFERROR(INDEX(DL_Ac,MATCH($CA287,DL_KEY,0)),"M")</f>
        <v>L</v>
      </c>
      <c r="AB287" s="35" t="str">
        <f>IFERROR(INDEX(DL_L,MATCH($CA287,DL_KEY,0)),"M")</f>
        <v>L</v>
      </c>
      <c r="AC287" s="35" t="str">
        <f>IFERROR(INDEX(DL_BI,MATCH($CA287,DL_KEY,0)),"M")</f>
        <v>L</v>
      </c>
      <c r="AD287" s="35" t="str">
        <f>IFERROR(INDEX(DL_Exp,MATCH($CA287,DL_KEY,0)),"M")</f>
        <v>L</v>
      </c>
      <c r="AE287" s="35" t="str">
        <f>IFERROR(INDEX(DL_Edu,MATCH($CA287,DL_KEY,0)),"M")</f>
        <v>L</v>
      </c>
      <c r="AF287" s="34" t="inlineStr">
        <is>
          <t>M</t>
        </is>
      </c>
      <c r="AG287" s="35" t="inlineStr">
        <is>
          <t>M</t>
        </is>
      </c>
      <c r="AH287" s="35" t="inlineStr">
        <is>
          <t>M</t>
        </is>
      </c>
      <c r="AI287" s="35" t="inlineStr">
        <is>
          <t>M</t>
        </is>
      </c>
      <c r="AJ287" s="35" t="inlineStr">
        <is>
          <t>M</t>
        </is>
      </c>
      <c r="AK287" s="35" t="inlineStr">
        <is>
          <t>M</t>
        </is>
      </c>
      <c r="AL287" s="35" t="inlineStr">
        <is>
          <t>M</t>
        </is>
      </c>
      <c r="AM287" s="36" t="n">
        <v>0.513</v>
      </c>
      <c r="AN287" s="37" t="n">
        <v>0.173</v>
      </c>
      <c r="AO287" s="37" t="n">
        <v>0.09699999999999999</v>
      </c>
      <c r="AP287" s="37" t="n">
        <v>0.05</v>
      </c>
      <c r="AQ287" s="37" t="n">
        <v>0.07000000000000001</v>
      </c>
      <c r="AR287" s="37" t="n">
        <v>0.06</v>
      </c>
      <c r="AS287" s="37" t="n">
        <v>0.04</v>
      </c>
      <c r="AT287" s="38" t="inlineStr">
        <is>
          <t>4–8</t>
        </is>
      </c>
      <c r="AU287" s="38" t="inlineStr">
        <is>
          <t>Graduate + relevant qualification or certification preferred</t>
        </is>
      </c>
      <c r="AV287" s="38" t="inlineStr">
        <is>
          <t>IC: none · Team Lead: 3–5</t>
        </is>
      </c>
      <c r="AW287" s="38" t="inlineStr">
        <is>
          <t>P3 / M2 · SFIA 4 Enable</t>
        </is>
      </c>
      <c r="AX2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7" s="39" t="inlineStr">
        <is>
          <t>B1</t>
        </is>
      </c>
      <c r="AZ287" s="40" t="inlineStr">
        <is>
          <t>Band B · Specialist / Manager · Specialist</t>
        </is>
      </c>
      <c r="BA287" s="40" t="inlineStr">
        <is>
          <t>Model B1 from the six ratings, the market-derived weights and rules R1–R13 · then No change · already below the manager</t>
        </is>
      </c>
      <c r="BB287" s="41" t="inlineStr">
        <is>
          <t>B1</t>
        </is>
      </c>
      <c r="BC287" s="40" t="inlineStr">
        <is>
          <t>The six ratings on the market-average weights of Band B · Specialist / POD Lead score 3.95 → B1 · Hay, Mercer IPE and public plans · experience 14.8 yrs vs the B1 market range 4–8</t>
        </is>
      </c>
      <c r="BD287" s="42">
        <f>IF(SUM(BM287,BN287,BO287,BP287,BQ287,BR287,BS287)=0,0,(BM287*BT287+BN287*BU287+BO287*BV287+BP287*BW287+BQ287*BX287+BR287*BY287+BS287*BZ287)/SUM(BM287,BN287,BO287,BP287,BQ287,BR287,BS287))</f>
        <v>0</v>
      </c>
      <c r="BE287" s="41" t="str">
        <f>IF(LEFT(AY287,1)="X",AY287,IF(OR(AY287="B+",AY287="C+"),INDEX(LAD_PC,MAX(1,MIN(14,MATCH(AY287,LAD_PC,0)+IF(BD287&gt;=0.5,1,IF(BD287&lt;=-0.5,-1,0))))),INDEX(LAD_STD,MAX(1,MIN(12,MATCH(AY287,LAD_STD,0)+IF(BD287&gt;=0.5,1,IF(BD287&lt;=-0.5,-1,0)))))))</f>
        <v>B1</v>
      </c>
      <c r="BF287" s="43" t="n"/>
      <c r="BG287" s="41" t="str">
        <f>IF(BF287&lt;&gt;"",BF287,BE287)</f>
        <v>B1</v>
      </c>
      <c r="BH287" s="40" t="str">
        <f>IFERROR(CHOOSE(INDEX(B_RANK,MATCH(BG287,B_LVL,0)),"Band A","Band B","B+ · Player-Coach","Band C","C+ · Player-Coach","Band D","Band E"),"Band X · Consultant")</f>
        <v>Band B</v>
      </c>
      <c r="BI287" s="40" t="str">
        <f>IF(BG287=AY287,"• Same",IF(INDEX(B_VAL,MATCH(BG287,B_LVL,0))&gt;INDEX(B_VAL,MATCH(AY287,B_LVL,0)),"▲ Up","▼ Down"))</f>
        <v>• Same</v>
      </c>
      <c r="BJ287" s="40" t="str">
        <f>IF(OR($M287="",$M287="—",$M287="Not in this file"),"",IFERROR(INDEX($BG$7:$BG$592,MATCH($M287,$D$7:$D$592,0)),""))</f>
        <v>B+</v>
      </c>
      <c r="BK287" s="40" t="str">
        <f>IFERROR(IF(BJ287="","—",IF(OR(LEFT(BG287,1)="X",LEFT(BJ287,1)="X"),"—",IF(AND(LEFT(BG287,1)="E",LEFT(BJ287,1)="E"),"Exception · Band E",IF(AND(INDEX(B_VAL,MATCH(BJ287,B_LVL,0))&gt;=7,INDEX(B_RANK,MATCH(BG287,B_LVL,0))&gt;=INDEX(B_RANK,MATCH(BJ287,B_LVL,0))),"⚠ Same band as a head manager",IF(INDEX(B_VAL,MATCH(BG287,B_LVL,0))&gt;=INDEX(B_VAL,MATCH(BJ287,B_LVL,0)),"⚠ At or above the manager's level","OK"))))),"—")</f>
        <v>OK</v>
      </c>
      <c r="BL287" s="43" t="n"/>
      <c r="BM287" s="44">
        <f>IFERROR(INDEX(LMH_PTS,MATCH(Y287,LMH_KEY,0)),0)</f>
        <v>9</v>
      </c>
      <c r="BN287" s="38">
        <f>IFERROR(INDEX(LMH_PTS,MATCH(Z287,LMH_KEY,0)),0)</f>
        <v>3</v>
      </c>
      <c r="BO287" s="38">
        <f>IFERROR(INDEX(LMH_PTS,MATCH(AA287,LMH_KEY,0)),0)</f>
        <v>1</v>
      </c>
      <c r="BP287" s="38">
        <f>IFERROR(INDEX(LMH_PTS,MATCH(AB287,LMH_KEY,0)),0)</f>
        <v>1</v>
      </c>
      <c r="BQ287" s="38">
        <f>IFERROR(INDEX(LMH_PTS,MATCH(AC287,LMH_KEY,0)),0)</f>
        <v>1</v>
      </c>
      <c r="BR287" s="38">
        <f>IFERROR(INDEX(LMH_PTS,MATCH(AD287,LMH_KEY,0)),0)</f>
        <v>1</v>
      </c>
      <c r="BS287" s="38">
        <f>IFERROR(INDEX(LMH_PTS,MATCH(AE287,LMH_KEY,0)),0)</f>
        <v>1</v>
      </c>
      <c r="BT287" s="38">
        <f>IFERROR(INDEX(LMH_STEP,MATCH(AF287,LMH_KEY,0)),0)</f>
        <v>0</v>
      </c>
      <c r="BU287" s="38">
        <f>IFERROR(INDEX(LMH_STEP,MATCH(AG287,LMH_KEY,0)),0)</f>
        <v>0</v>
      </c>
      <c r="BV287" s="38">
        <f>IFERROR(INDEX(LMH_STEP,MATCH(AH287,LMH_KEY,0)),0)</f>
        <v>0</v>
      </c>
      <c r="BW287" s="38">
        <f>IFERROR(INDEX(LMH_STEP,MATCH(AI287,LMH_KEY,0)),0)</f>
        <v>0</v>
      </c>
      <c r="BX287" s="38">
        <f>IFERROR(INDEX(LMH_STEP,MATCH(AJ287,LMH_KEY,0)),0)</f>
        <v>0</v>
      </c>
      <c r="BY287" s="38">
        <f>IFERROR(INDEX(LMH_STEP,MATCH(AK287,LMH_KEY,0)),0)</f>
        <v>0</v>
      </c>
      <c r="BZ287" s="38">
        <f>IFERROR(INDEX(LMH_STEP,MATCH(AL287,LMH_KEY,0)),0)</f>
        <v>0</v>
      </c>
      <c r="CA287" s="38" t="inlineStr">
        <is>
          <t>iFile|Technology|Technical Specialist|B1|B-IC</t>
        </is>
      </c>
    </row>
    <row r="288" ht="110" customHeight="1">
      <c r="A288" s="28" t="inlineStr">
        <is>
          <t>iFile</t>
        </is>
      </c>
      <c r="B288" s="29" t="inlineStr">
        <is>
          <t>Technology</t>
        </is>
      </c>
      <c r="C288" s="29" t="n">
        <v>4</v>
      </c>
      <c r="D288" s="29" t="inlineStr">
        <is>
          <t>IRIS1667</t>
        </is>
      </c>
      <c r="E288" s="29" t="inlineStr">
        <is>
          <t>Arun Kumar</t>
        </is>
      </c>
      <c r="F288" s="29" t="inlineStr">
        <is>
          <t>Senior Software Engineer</t>
        </is>
      </c>
      <c r="G288" s="29" t="inlineStr">
        <is>
          <t>Technical Specialist</t>
        </is>
      </c>
      <c r="H288" s="29" t="inlineStr">
        <is>
          <t>Engineering &amp; Development</t>
        </is>
      </c>
      <c r="I288" s="29" t="inlineStr">
        <is>
          <t>Backend Development</t>
        </is>
      </c>
      <c r="J288" s="29" t="inlineStr">
        <is>
          <t>IC</t>
        </is>
      </c>
      <c r="K288" s="29" t="inlineStr">
        <is>
          <t>RC-067</t>
        </is>
      </c>
      <c r="L288" s="29" t="inlineStr">
        <is>
          <t>Brij Kishor Singh</t>
        </is>
      </c>
      <c r="M288" s="29" t="inlineStr">
        <is>
          <t>IRIS0211</t>
        </is>
      </c>
      <c r="N288" s="29" t="n">
        <v>12.2</v>
      </c>
      <c r="O288" s="29" t="n">
        <v>9</v>
      </c>
      <c r="P288" s="29" t="inlineStr">
        <is>
          <t>MCA</t>
        </is>
      </c>
      <c r="Q288" s="29" t="inlineStr">
        <is>
          <t>L4 – Senior</t>
        </is>
      </c>
      <c r="R288" s="29" t="inlineStr">
        <is>
          <t>A3</t>
        </is>
      </c>
      <c r="S288" s="30" t="inlineStr">
        <is>
          <t>20 of 20</t>
        </is>
      </c>
      <c r="T288" s="31" t="inlineStr">
        <is>
          <t>Business Impact: Moved +0.5: the survey / manager mapping marks it business-critical.</t>
        </is>
      </c>
      <c r="U28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8" s="31" t="inlineStr">
        <is>
          <t>Latest rating: 4 · 9-box: Trusted Professional · Readiness: Ready in 6–12 months</t>
        </is>
      </c>
      <c r="W288" s="31" t="inlineStr">
        <is>
          <t>C M · Au M · Ac M · L L · BI M · Exp H · 12.2 yrs vs 2–4 yrs · Edu H · MCA</t>
        </is>
      </c>
      <c r="X288" s="33" t="inlineStr">
        <is>
          <t>Open ▸</t>
        </is>
      </c>
      <c r="Y288" s="34" t="str">
        <f>IFERROR(INDEX(DL_C,MATCH($CA288,DL_KEY,0)),"M")</f>
        <v>H</v>
      </c>
      <c r="Z288" s="35" t="str">
        <f>IFERROR(INDEX(DL_Au,MATCH($CA288,DL_KEY,0)),"M")</f>
        <v>M</v>
      </c>
      <c r="AA288" s="35" t="str">
        <f>IFERROR(INDEX(DL_Ac,MATCH($CA288,DL_KEY,0)),"M")</f>
        <v>L</v>
      </c>
      <c r="AB288" s="35" t="str">
        <f>IFERROR(INDEX(DL_L,MATCH($CA288,DL_KEY,0)),"M")</f>
        <v>L</v>
      </c>
      <c r="AC288" s="35" t="str">
        <f>IFERROR(INDEX(DL_BI,MATCH($CA288,DL_KEY,0)),"M")</f>
        <v>L</v>
      </c>
      <c r="AD288" s="35" t="str">
        <f>IFERROR(INDEX(DL_Exp,MATCH($CA288,DL_KEY,0)),"M")</f>
        <v>L</v>
      </c>
      <c r="AE288" s="35" t="str">
        <f>IFERROR(INDEX(DL_Edu,MATCH($CA288,DL_KEY,0)),"M")</f>
        <v>L</v>
      </c>
      <c r="AF288" s="34" t="inlineStr">
        <is>
          <t>M</t>
        </is>
      </c>
      <c r="AG288" s="35" t="inlineStr">
        <is>
          <t>M</t>
        </is>
      </c>
      <c r="AH288" s="35" t="inlineStr">
        <is>
          <t>M</t>
        </is>
      </c>
      <c r="AI288" s="35" t="inlineStr">
        <is>
          <t>M</t>
        </is>
      </c>
      <c r="AJ288" s="35" t="inlineStr">
        <is>
          <t>M</t>
        </is>
      </c>
      <c r="AK288" s="35" t="inlineStr">
        <is>
          <t>M</t>
        </is>
      </c>
      <c r="AL288" s="35" t="inlineStr">
        <is>
          <t>M</t>
        </is>
      </c>
      <c r="AM288" s="36" t="n">
        <v>0.583</v>
      </c>
      <c r="AN288" s="37" t="n">
        <v>0.16</v>
      </c>
      <c r="AO288" s="37" t="n">
        <v>0.09</v>
      </c>
      <c r="AP288" s="37" t="n">
        <v>0</v>
      </c>
      <c r="AQ288" s="37" t="n">
        <v>0.063</v>
      </c>
      <c r="AR288" s="37" t="n">
        <v>0.06</v>
      </c>
      <c r="AS288" s="37" t="n">
        <v>0.04</v>
      </c>
      <c r="AT288" s="38" t="inlineStr">
        <is>
          <t>2–5</t>
        </is>
      </c>
      <c r="AU288" s="38" t="inlineStr">
        <is>
          <t>Graduate; relevant certification preferred</t>
        </is>
      </c>
      <c r="AV288" s="38" t="inlineStr">
        <is>
          <t>None · guides 1–3 juniors informally</t>
        </is>
      </c>
      <c r="AW288" s="38" t="inlineStr">
        <is>
          <t>P2 · SFIA 3 Apply</t>
        </is>
      </c>
      <c r="AX2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8" s="39" t="inlineStr">
        <is>
          <t>A3</t>
        </is>
      </c>
      <c r="AZ288" s="40" t="inlineStr">
        <is>
          <t>Band A · Practitioner · Senior Associate</t>
        </is>
      </c>
      <c r="BA288" s="40" t="inlineStr">
        <is>
          <t>Model A3 from the six ratings, the market-derived weights and rules R1–R13 · then No change · already below the manager</t>
        </is>
      </c>
      <c r="BB288" s="41" t="inlineStr">
        <is>
          <t>A3</t>
        </is>
      </c>
      <c r="BC288" s="40" t="inlineStr">
        <is>
          <t>The six ratings on the market-average weights of Band A · all tracks score 3.48 → A3 · Hay, Mercer IPE and public plans · experience 12.2 yrs vs the A3 market range 2–5</t>
        </is>
      </c>
      <c r="BD288" s="42">
        <f>IF(SUM(BM288,BN288,BO288,BP288,BQ288,BR288,BS288)=0,0,(BM288*BT288+BN288*BU288+BO288*BV288+BP288*BW288+BQ288*BX288+BR288*BY288+BS288*BZ288)/SUM(BM288,BN288,BO288,BP288,BQ288,BR288,BS288))</f>
        <v>0</v>
      </c>
      <c r="BE288" s="41" t="str">
        <f>IF(LEFT(AY288,1)="X",AY288,IF(OR(AY288="B+",AY288="C+"),INDEX(LAD_PC,MAX(1,MIN(14,MATCH(AY288,LAD_PC,0)+IF(BD288&gt;=0.5,1,IF(BD288&lt;=-0.5,-1,0))))),INDEX(LAD_STD,MAX(1,MIN(12,MATCH(AY288,LAD_STD,0)+IF(BD288&gt;=0.5,1,IF(BD288&lt;=-0.5,-1,0)))))))</f>
        <v>A3</v>
      </c>
      <c r="BF288" s="43" t="n"/>
      <c r="BG288" s="41" t="str">
        <f>IF(BF288&lt;&gt;"",BF288,BE288)</f>
        <v>A3</v>
      </c>
      <c r="BH288" s="40" t="str">
        <f>IFERROR(CHOOSE(INDEX(B_RANK,MATCH(BG288,B_LVL,0)),"Band A","Band B","B+ · Player-Coach","Band C","C+ · Player-Coach","Band D","Band E"),"Band X · Consultant")</f>
        <v>Band A</v>
      </c>
      <c r="BI288" s="40" t="str">
        <f>IF(BG288=AY288,"• Same",IF(INDEX(B_VAL,MATCH(BG288,B_LVL,0))&gt;INDEX(B_VAL,MATCH(AY288,B_LVL,0)),"▲ Up","▼ Down"))</f>
        <v>• Same</v>
      </c>
      <c r="BJ288" s="40" t="str">
        <f>IF(OR($M288="",$M288="—",$M288="Not in this file"),"",IFERROR(INDEX($BG$7:$BG$592,MATCH($M288,$D$7:$D$592,0)),""))</f>
        <v>B+</v>
      </c>
      <c r="BK288" s="40" t="str">
        <f>IFERROR(IF(BJ288="","—",IF(OR(LEFT(BG288,1)="X",LEFT(BJ288,1)="X"),"—",IF(AND(LEFT(BG288,1)="E",LEFT(BJ288,1)="E"),"Exception · Band E",IF(AND(INDEX(B_VAL,MATCH(BJ288,B_LVL,0))&gt;=7,INDEX(B_RANK,MATCH(BG288,B_LVL,0))&gt;=INDEX(B_RANK,MATCH(BJ288,B_LVL,0))),"⚠ Same band as a head manager",IF(INDEX(B_VAL,MATCH(BG288,B_LVL,0))&gt;=INDEX(B_VAL,MATCH(BJ288,B_LVL,0)),"⚠ At or above the manager's level","OK"))))),"—")</f>
        <v>OK</v>
      </c>
      <c r="BL288" s="43" t="n"/>
      <c r="BM288" s="44">
        <f>IFERROR(INDEX(LMH_PTS,MATCH(Y288,LMH_KEY,0)),0)</f>
        <v>9</v>
      </c>
      <c r="BN288" s="38">
        <f>IFERROR(INDEX(LMH_PTS,MATCH(Z288,LMH_KEY,0)),0)</f>
        <v>3</v>
      </c>
      <c r="BO288" s="38">
        <f>IFERROR(INDEX(LMH_PTS,MATCH(AA288,LMH_KEY,0)),0)</f>
        <v>1</v>
      </c>
      <c r="BP288" s="38">
        <f>IFERROR(INDEX(LMH_PTS,MATCH(AB288,LMH_KEY,0)),0)</f>
        <v>1</v>
      </c>
      <c r="BQ288" s="38">
        <f>IFERROR(INDEX(LMH_PTS,MATCH(AC288,LMH_KEY,0)),0)</f>
        <v>1</v>
      </c>
      <c r="BR288" s="38">
        <f>IFERROR(INDEX(LMH_PTS,MATCH(AD288,LMH_KEY,0)),0)</f>
        <v>1</v>
      </c>
      <c r="BS288" s="38">
        <f>IFERROR(INDEX(LMH_PTS,MATCH(AE288,LMH_KEY,0)),0)</f>
        <v>1</v>
      </c>
      <c r="BT288" s="38">
        <f>IFERROR(INDEX(LMH_STEP,MATCH(AF288,LMH_KEY,0)),0)</f>
        <v>0</v>
      </c>
      <c r="BU288" s="38">
        <f>IFERROR(INDEX(LMH_STEP,MATCH(AG288,LMH_KEY,0)),0)</f>
        <v>0</v>
      </c>
      <c r="BV288" s="38">
        <f>IFERROR(INDEX(LMH_STEP,MATCH(AH288,LMH_KEY,0)),0)</f>
        <v>0</v>
      </c>
      <c r="BW288" s="38">
        <f>IFERROR(INDEX(LMH_STEP,MATCH(AI288,LMH_KEY,0)),0)</f>
        <v>0</v>
      </c>
      <c r="BX288" s="38">
        <f>IFERROR(INDEX(LMH_STEP,MATCH(AJ288,LMH_KEY,0)),0)</f>
        <v>0</v>
      </c>
      <c r="BY288" s="38">
        <f>IFERROR(INDEX(LMH_STEP,MATCH(AK288,LMH_KEY,0)),0)</f>
        <v>0</v>
      </c>
      <c r="BZ288" s="38">
        <f>IFERROR(INDEX(LMH_STEP,MATCH(AL288,LMH_KEY,0)),0)</f>
        <v>0</v>
      </c>
      <c r="CA288" s="38" t="inlineStr">
        <is>
          <t>iFile|Technology|Technical Specialist|A3|A</t>
        </is>
      </c>
    </row>
    <row r="289" ht="110" customHeight="1">
      <c r="A289" s="28" t="inlineStr">
        <is>
          <t>iFile</t>
        </is>
      </c>
      <c r="B289" s="29" t="inlineStr">
        <is>
          <t>Technology</t>
        </is>
      </c>
      <c r="C289" s="29" t="n">
        <v>3</v>
      </c>
      <c r="D289" s="29" t="inlineStr">
        <is>
          <t>IRIS0217</t>
        </is>
      </c>
      <c r="E289" s="29" t="inlineStr">
        <is>
          <t>Hemant Trivedi</t>
        </is>
      </c>
      <c r="F289" s="29" t="inlineStr">
        <is>
          <t>Technical Architect</t>
        </is>
      </c>
      <c r="G289" s="29" t="inlineStr">
        <is>
          <t>Practice Lead – Solution &amp; Technical Architecture · Player-Coach</t>
        </is>
      </c>
      <c r="H289" s="29" t="inlineStr">
        <is>
          <t>Engineering &amp; Architecture</t>
        </is>
      </c>
      <c r="I289" s="29" t="inlineStr">
        <is>
          <t>Solution &amp; Technical Architecture</t>
        </is>
      </c>
      <c r="J289" s="29" t="inlineStr">
        <is>
          <t>Player-Coach</t>
        </is>
      </c>
      <c r="K289" s="29" t="inlineStr">
        <is>
          <t>RC-056</t>
        </is>
      </c>
      <c r="L289" s="29" t="inlineStr">
        <is>
          <t>Pradip Dey</t>
        </is>
      </c>
      <c r="M289" s="29" t="inlineStr">
        <is>
          <t>IRISC223</t>
        </is>
      </c>
      <c r="N289" s="29" t="n">
        <v>19.1</v>
      </c>
      <c r="O289" s="29" t="n">
        <v>18.1</v>
      </c>
      <c r="P289" s="29" t="inlineStr">
        <is>
          <t>B.E</t>
        </is>
      </c>
      <c r="Q289" s="29" t="inlineStr">
        <is>
          <t>L3 – Professional / Associate</t>
        </is>
      </c>
      <c r="R289" s="29" t="inlineStr">
        <is>
          <t>B+</t>
        </is>
      </c>
      <c r="S289" s="30" t="inlineStr">
        <is>
          <t>20 of 20</t>
        </is>
      </c>
      <c r="T289" s="31"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t>
        </is>
      </c>
      <c r="U289" s="31" t="inlineStr">
        <is>
          <t>Received · manager annual, quarterly · 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t>
        </is>
      </c>
      <c r="V289" s="31" t="inlineStr">
        <is>
          <t>Latest rating: 4 · Potential: High · 9-box: Trusted Professional · Readiness: Ready now</t>
        </is>
      </c>
      <c r="W289" s="31" t="inlineStr">
        <is>
          <t>C M · Au M · Ac L · L L · BI M · Exp H · 19.1 yrs vs 9–14 yrs · Edu L · B.E</t>
        </is>
      </c>
      <c r="X289" s="33" t="inlineStr">
        <is>
          <t>Open ▸</t>
        </is>
      </c>
      <c r="Y289" s="34" t="str">
        <f>IFERROR(INDEX(DL_C,MATCH($CA289,DL_KEY,0)),"M")</f>
        <v>H</v>
      </c>
      <c r="Z289" s="35" t="str">
        <f>IFERROR(INDEX(DL_Au,MATCH($CA289,DL_KEY,0)),"M")</f>
        <v>M</v>
      </c>
      <c r="AA289" s="35" t="str">
        <f>IFERROR(INDEX(DL_Ac,MATCH($CA289,DL_KEY,0)),"M")</f>
        <v>L</v>
      </c>
      <c r="AB289" s="35" t="str">
        <f>IFERROR(INDEX(DL_L,MATCH($CA289,DL_KEY,0)),"M")</f>
        <v>M</v>
      </c>
      <c r="AC289" s="35" t="str">
        <f>IFERROR(INDEX(DL_BI,MATCH($CA289,DL_KEY,0)),"M")</f>
        <v>L</v>
      </c>
      <c r="AD289" s="35" t="str">
        <f>IFERROR(INDEX(DL_Exp,MATCH($CA289,DL_KEY,0)),"M")</f>
        <v>L</v>
      </c>
      <c r="AE289" s="35" t="str">
        <f>IFERROR(INDEX(DL_Edu,MATCH($CA289,DL_KEY,0)),"M")</f>
        <v>L</v>
      </c>
      <c r="AF289" s="34" t="inlineStr">
        <is>
          <t>M</t>
        </is>
      </c>
      <c r="AG289" s="35" t="inlineStr">
        <is>
          <t>M</t>
        </is>
      </c>
      <c r="AH289" s="35" t="inlineStr">
        <is>
          <t>M</t>
        </is>
      </c>
      <c r="AI289" s="35" t="inlineStr">
        <is>
          <t>M</t>
        </is>
      </c>
      <c r="AJ289" s="35" t="inlineStr">
        <is>
          <t>M</t>
        </is>
      </c>
      <c r="AK289" s="35" t="inlineStr">
        <is>
          <t>M</t>
        </is>
      </c>
      <c r="AL289" s="35" t="inlineStr">
        <is>
          <t>M</t>
        </is>
      </c>
      <c r="AM289" s="36" t="n">
        <v>0.44</v>
      </c>
      <c r="AN289" s="37" t="n">
        <v>0.177</v>
      </c>
      <c r="AO289" s="37" t="n">
        <v>0.103</v>
      </c>
      <c r="AP289" s="37" t="n">
        <v>0.1</v>
      </c>
      <c r="AQ289" s="37" t="n">
        <v>0.077</v>
      </c>
      <c r="AR289" s="37" t="n">
        <v>0.06</v>
      </c>
      <c r="AS289" s="37" t="n">
        <v>0.04</v>
      </c>
      <c r="AT289" s="38" t="inlineStr">
        <is>
          <t>9–14</t>
        </is>
      </c>
      <c r="AU289" s="38" t="inlineStr">
        <is>
          <t>Postgraduate or professional qualification preferred</t>
        </is>
      </c>
      <c r="AV289" s="38" t="inlineStr">
        <is>
          <t>3–6 direct reports with ≥ 40% of time on own delivery · McKinsey player/coach 3–5; Google Tech Lead Manager</t>
        </is>
      </c>
      <c r="AW289" s="38" t="inlineStr">
        <is>
          <t>P5–P6 / M4–M5 · SFIA 5 Ensure, advise</t>
        </is>
      </c>
      <c r="AX2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9" s="39" t="inlineStr">
        <is>
          <t>B+</t>
        </is>
      </c>
      <c r="AZ289" s="40" t="inlineStr">
        <is>
          <t>B+ · Player-Coach · Practice Lead · Player-Coach</t>
        </is>
      </c>
      <c r="BA289" s="40" t="inlineStr">
        <is>
          <t>Model B+ from the six ratings, the market-derived weights and rules R1–R13 · then No change · already below the manager</t>
        </is>
      </c>
      <c r="BB289" s="41" t="inlineStr">
        <is>
          <t>C1</t>
        </is>
      </c>
      <c r="BC289" s="40" t="inlineStr">
        <is>
          <t>The six ratings on the market-average weights of B+ · Player-Coach score 6.51 → C1 · Hay, Mercer IPE and public plans · experience 19.1 yrs vs the C1 market range 12–17</t>
        </is>
      </c>
      <c r="BD289" s="42">
        <f>IF(SUM(BM289,BN289,BO289,BP289,BQ289,BR289,BS289)=0,0,(BM289*BT289+BN289*BU289+BO289*BV289+BP289*BW289+BQ289*BX289+BR289*BY289+BS289*BZ289)/SUM(BM289,BN289,BO289,BP289,BQ289,BR289,BS289))</f>
        <v>0</v>
      </c>
      <c r="BE289" s="41" t="str">
        <f>IF(LEFT(AY289,1)="X",AY289,IF(OR(AY289="B+",AY289="C+"),INDEX(LAD_PC,MAX(1,MIN(14,MATCH(AY289,LAD_PC,0)+IF(BD289&gt;=0.5,1,IF(BD289&lt;=-0.5,-1,0))))),INDEX(LAD_STD,MAX(1,MIN(12,MATCH(AY289,LAD_STD,0)+IF(BD289&gt;=0.5,1,IF(BD289&lt;=-0.5,-1,0)))))))</f>
        <v>B+</v>
      </c>
      <c r="BF289" s="43" t="n"/>
      <c r="BG289" s="41" t="str">
        <f>IF(BF289&lt;&gt;"",BF289,BE289)</f>
        <v>B+</v>
      </c>
      <c r="BH289" s="40" t="str">
        <f>IFERROR(CHOOSE(INDEX(B_RANK,MATCH(BG289,B_LVL,0)),"Band A","Band B","B+ · Player-Coach","Band C","C+ · Player-Coach","Band D","Band E"),"Band X · Consultant")</f>
        <v>B+ · Player-Coach</v>
      </c>
      <c r="BI289" s="40" t="str">
        <f>IF(BG289=AY289,"• Same",IF(INDEX(B_VAL,MATCH(BG289,B_LVL,0))&gt;INDEX(B_VAL,MATCH(AY289,B_LVL,0)),"▲ Up","▼ Down"))</f>
        <v>• Same</v>
      </c>
      <c r="BJ289" s="40" t="str">
        <f>IF(OR($M289="",$M289="—",$M289="Not in this file"),"",IFERROR(INDEX($BG$7:$BG$592,MATCH($M289,$D$7:$D$592,0)),""))</f>
        <v>C2</v>
      </c>
      <c r="BK289" s="40" t="str">
        <f>IFERROR(IF(BJ289="","—",IF(OR(LEFT(BG289,1)="X",LEFT(BJ289,1)="X"),"—",IF(AND(LEFT(BG289,1)="E",LEFT(BJ289,1)="E"),"Exception · Band E",IF(AND(INDEX(B_VAL,MATCH(BJ289,B_LVL,0))&gt;=7,INDEX(B_RANK,MATCH(BG289,B_LVL,0))&gt;=INDEX(B_RANK,MATCH(BJ289,B_LVL,0))),"⚠ Same band as a head manager",IF(INDEX(B_VAL,MATCH(BG289,B_LVL,0))&gt;=INDEX(B_VAL,MATCH(BJ289,B_LVL,0)),"⚠ At or above the manager's level","OK"))))),"—")</f>
        <v>OK</v>
      </c>
      <c r="BL289" s="43" t="n"/>
      <c r="BM289" s="44">
        <f>IFERROR(INDEX(LMH_PTS,MATCH(Y289,LMH_KEY,0)),0)</f>
        <v>9</v>
      </c>
      <c r="BN289" s="38">
        <f>IFERROR(INDEX(LMH_PTS,MATCH(Z289,LMH_KEY,0)),0)</f>
        <v>3</v>
      </c>
      <c r="BO289" s="38">
        <f>IFERROR(INDEX(LMH_PTS,MATCH(AA289,LMH_KEY,0)),0)</f>
        <v>1</v>
      </c>
      <c r="BP289" s="38">
        <f>IFERROR(INDEX(LMH_PTS,MATCH(AB289,LMH_KEY,0)),0)</f>
        <v>3</v>
      </c>
      <c r="BQ289" s="38">
        <f>IFERROR(INDEX(LMH_PTS,MATCH(AC289,LMH_KEY,0)),0)</f>
        <v>1</v>
      </c>
      <c r="BR289" s="38">
        <f>IFERROR(INDEX(LMH_PTS,MATCH(AD289,LMH_KEY,0)),0)</f>
        <v>1</v>
      </c>
      <c r="BS289" s="38">
        <f>IFERROR(INDEX(LMH_PTS,MATCH(AE289,LMH_KEY,0)),0)</f>
        <v>1</v>
      </c>
      <c r="BT289" s="38">
        <f>IFERROR(INDEX(LMH_STEP,MATCH(AF289,LMH_KEY,0)),0)</f>
        <v>0</v>
      </c>
      <c r="BU289" s="38">
        <f>IFERROR(INDEX(LMH_STEP,MATCH(AG289,LMH_KEY,0)),0)</f>
        <v>0</v>
      </c>
      <c r="BV289" s="38">
        <f>IFERROR(INDEX(LMH_STEP,MATCH(AH289,LMH_KEY,0)),0)</f>
        <v>0</v>
      </c>
      <c r="BW289" s="38">
        <f>IFERROR(INDEX(LMH_STEP,MATCH(AI289,LMH_KEY,0)),0)</f>
        <v>0</v>
      </c>
      <c r="BX289" s="38">
        <f>IFERROR(INDEX(LMH_STEP,MATCH(AJ289,LMH_KEY,0)),0)</f>
        <v>0</v>
      </c>
      <c r="BY289" s="38">
        <f>IFERROR(INDEX(LMH_STEP,MATCH(AK289,LMH_KEY,0)),0)</f>
        <v>0</v>
      </c>
      <c r="BZ289" s="38">
        <f>IFERROR(INDEX(LMH_STEP,MATCH(AL289,LMH_KEY,0)),0)</f>
        <v>0</v>
      </c>
      <c r="CA289" s="38" t="inlineStr">
        <is>
          <t>iFile|Technology|Practice Lead – Solution &amp; Technical Architecture · Player-Coach|B+|B+</t>
        </is>
      </c>
    </row>
    <row r="290" ht="110" customHeight="1">
      <c r="A290" s="28" t="inlineStr">
        <is>
          <t>iFile</t>
        </is>
      </c>
      <c r="B290" s="29" t="inlineStr">
        <is>
          <t>Technology</t>
        </is>
      </c>
      <c r="C290" s="29" t="n">
        <v>4</v>
      </c>
      <c r="D290" s="29" t="inlineStr">
        <is>
          <t>IRIS1150</t>
        </is>
      </c>
      <c r="E290" s="29" t="inlineStr">
        <is>
          <t>Pragati Raskar</t>
        </is>
      </c>
      <c r="F290" s="29" t="inlineStr">
        <is>
          <t>Senior Software Engineer</t>
        </is>
      </c>
      <c r="G290" s="29" t="inlineStr">
        <is>
          <t>Technical Specialist – POD Lead</t>
        </is>
      </c>
      <c r="H290" s="29" t="inlineStr">
        <is>
          <t>Engineering &amp; Development</t>
        </is>
      </c>
      <c r="I290" s="29" t="inlineStr">
        <is>
          <t>Backend Development</t>
        </is>
      </c>
      <c r="J290" s="29" t="inlineStr">
        <is>
          <t>POD Lead</t>
        </is>
      </c>
      <c r="K290" s="29" t="inlineStr">
        <is>
          <t>RC-068</t>
        </is>
      </c>
      <c r="L290" s="29" t="inlineStr">
        <is>
          <t>Hemant Trivedi</t>
        </is>
      </c>
      <c r="M290" s="29" t="inlineStr">
        <is>
          <t>IRIS0217</t>
        </is>
      </c>
      <c r="N290" s="29" t="n">
        <v>16.3</v>
      </c>
      <c r="O290" s="29" t="n">
        <v>14.3</v>
      </c>
      <c r="P290" s="29" t="inlineStr">
        <is>
          <t>B.E</t>
        </is>
      </c>
      <c r="Q290" s="29" t="inlineStr">
        <is>
          <t>L4 – Senior</t>
        </is>
      </c>
      <c r="R290" s="29" t="inlineStr">
        <is>
          <t>B1</t>
        </is>
      </c>
      <c r="S290" s="30" t="inlineStr">
        <is>
          <t>20 of 20</t>
        </is>
      </c>
      <c r="T290" s="31"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t>
        </is>
      </c>
      <c r="U290"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90" s="31" t="inlineStr">
        <is>
          <t>Latest rating: 4 · Potential: High · 9-box: Trusted Professional · Readiness: Ready now</t>
        </is>
      </c>
      <c r="W290" s="31" t="inlineStr">
        <is>
          <t>C L · Au L · Ac M · L M · BI M · Exp H · 16.3 yrs vs 4–7 yrs · Edu M · B.E</t>
        </is>
      </c>
      <c r="X290" s="33" t="inlineStr">
        <is>
          <t>Open ▸</t>
        </is>
      </c>
      <c r="Y290" s="34" t="str">
        <f>IFERROR(INDEX(DL_C,MATCH($CA290,DL_KEY,0)),"M")</f>
        <v>H</v>
      </c>
      <c r="Z290" s="35" t="str">
        <f>IFERROR(INDEX(DL_Au,MATCH($CA290,DL_KEY,0)),"M")</f>
        <v>M</v>
      </c>
      <c r="AA290" s="35" t="str">
        <f>IFERROR(INDEX(DL_Ac,MATCH($CA290,DL_KEY,0)),"M")</f>
        <v>L</v>
      </c>
      <c r="AB290" s="35" t="str">
        <f>IFERROR(INDEX(DL_L,MATCH($CA290,DL_KEY,0)),"M")</f>
        <v>L</v>
      </c>
      <c r="AC290" s="35" t="str">
        <f>IFERROR(INDEX(DL_BI,MATCH($CA290,DL_KEY,0)),"M")</f>
        <v>L</v>
      </c>
      <c r="AD290" s="35" t="str">
        <f>IFERROR(INDEX(DL_Exp,MATCH($CA290,DL_KEY,0)),"M")</f>
        <v>L</v>
      </c>
      <c r="AE290" s="35" t="str">
        <f>IFERROR(INDEX(DL_Edu,MATCH($CA290,DL_KEY,0)),"M")</f>
        <v>L</v>
      </c>
      <c r="AF290" s="34" t="inlineStr">
        <is>
          <t>M</t>
        </is>
      </c>
      <c r="AG290" s="35" t="inlineStr">
        <is>
          <t>M</t>
        </is>
      </c>
      <c r="AH290" s="35" t="inlineStr">
        <is>
          <t>M</t>
        </is>
      </c>
      <c r="AI290" s="35" t="inlineStr">
        <is>
          <t>M</t>
        </is>
      </c>
      <c r="AJ290" s="35" t="inlineStr">
        <is>
          <t>M</t>
        </is>
      </c>
      <c r="AK290" s="35" t="inlineStr">
        <is>
          <t>M</t>
        </is>
      </c>
      <c r="AL290" s="35" t="inlineStr">
        <is>
          <t>M</t>
        </is>
      </c>
      <c r="AM290" s="36" t="n">
        <v>0.513</v>
      </c>
      <c r="AN290" s="37" t="n">
        <v>0.173</v>
      </c>
      <c r="AO290" s="37" t="n">
        <v>0.09699999999999999</v>
      </c>
      <c r="AP290" s="37" t="n">
        <v>0.05</v>
      </c>
      <c r="AQ290" s="37" t="n">
        <v>0.07000000000000001</v>
      </c>
      <c r="AR290" s="37" t="n">
        <v>0.06</v>
      </c>
      <c r="AS290" s="37" t="n">
        <v>0.04</v>
      </c>
      <c r="AT290" s="38" t="inlineStr">
        <is>
          <t>4–8</t>
        </is>
      </c>
      <c r="AU290" s="38" t="inlineStr">
        <is>
          <t>Graduate + relevant qualification or certification preferred</t>
        </is>
      </c>
      <c r="AV290" s="38" t="inlineStr">
        <is>
          <t>IC: none · Team Lead: 3–5</t>
        </is>
      </c>
      <c r="AW290" s="38" t="inlineStr">
        <is>
          <t>P3 / M2 · SFIA 4 Enable</t>
        </is>
      </c>
      <c r="AX2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0" s="39" t="inlineStr">
        <is>
          <t>B1</t>
        </is>
      </c>
      <c r="AZ290" s="40" t="inlineStr">
        <is>
          <t>Band B · Specialist / Manager · Team Lead / Asst Manager</t>
        </is>
      </c>
      <c r="BA290" s="40" t="inlineStr">
        <is>
          <t>Model B1 from the six ratings, the market-derived weights and rules R1–R13 · then No change · already below the manager</t>
        </is>
      </c>
      <c r="BB290" s="41" t="inlineStr">
        <is>
          <t>B1</t>
        </is>
      </c>
      <c r="BC290" s="40" t="inlineStr">
        <is>
          <t>The six ratings on the market-average weights of Band B · Specialist / POD Lead score 3.63 → B1 · Hay, Mercer IPE and public plans · experience 16.3 yrs vs the B1 market range 4–8</t>
        </is>
      </c>
      <c r="BD290" s="42">
        <f>IF(SUM(BM290,BN290,BO290,BP290,BQ290,BR290,BS290)=0,0,(BM290*BT290+BN290*BU290+BO290*BV290+BP290*BW290+BQ290*BX290+BR290*BY290+BS290*BZ290)/SUM(BM290,BN290,BO290,BP290,BQ290,BR290,BS290))</f>
        <v>0</v>
      </c>
      <c r="BE290" s="41" t="str">
        <f>IF(LEFT(AY290,1)="X",AY290,IF(OR(AY290="B+",AY290="C+"),INDEX(LAD_PC,MAX(1,MIN(14,MATCH(AY290,LAD_PC,0)+IF(BD290&gt;=0.5,1,IF(BD290&lt;=-0.5,-1,0))))),INDEX(LAD_STD,MAX(1,MIN(12,MATCH(AY290,LAD_STD,0)+IF(BD290&gt;=0.5,1,IF(BD290&lt;=-0.5,-1,0)))))))</f>
        <v>B1</v>
      </c>
      <c r="BF290" s="43" t="n"/>
      <c r="BG290" s="41" t="str">
        <f>IF(BF290&lt;&gt;"",BF290,BE290)</f>
        <v>B1</v>
      </c>
      <c r="BH290" s="40" t="str">
        <f>IFERROR(CHOOSE(INDEX(B_RANK,MATCH(BG290,B_LVL,0)),"Band A","Band B","B+ · Player-Coach","Band C","C+ · Player-Coach","Band D","Band E"),"Band X · Consultant")</f>
        <v>Band B</v>
      </c>
      <c r="BI290" s="40" t="str">
        <f>IF(BG290=AY290,"• Same",IF(INDEX(B_VAL,MATCH(BG290,B_LVL,0))&gt;INDEX(B_VAL,MATCH(AY290,B_LVL,0)),"▲ Up","▼ Down"))</f>
        <v>• Same</v>
      </c>
      <c r="BJ290" s="40" t="str">
        <f>IF(OR($M290="",$M290="—",$M290="Not in this file"),"",IFERROR(INDEX($BG$7:$BG$592,MATCH($M290,$D$7:$D$592,0)),""))</f>
        <v>B+</v>
      </c>
      <c r="BK290" s="40" t="str">
        <f>IFERROR(IF(BJ290="","—",IF(OR(LEFT(BG290,1)="X",LEFT(BJ290,1)="X"),"—",IF(AND(LEFT(BG290,1)="E",LEFT(BJ290,1)="E"),"Exception · Band E",IF(AND(INDEX(B_VAL,MATCH(BJ290,B_LVL,0))&gt;=7,INDEX(B_RANK,MATCH(BG290,B_LVL,0))&gt;=INDEX(B_RANK,MATCH(BJ290,B_LVL,0))),"⚠ Same band as a head manager",IF(INDEX(B_VAL,MATCH(BG290,B_LVL,0))&gt;=INDEX(B_VAL,MATCH(BJ290,B_LVL,0)),"⚠ At or above the manager's level","OK"))))),"—")</f>
        <v>OK</v>
      </c>
      <c r="BL290" s="43" t="n"/>
      <c r="BM290" s="44">
        <f>IFERROR(INDEX(LMH_PTS,MATCH(Y290,LMH_KEY,0)),0)</f>
        <v>9</v>
      </c>
      <c r="BN290" s="38">
        <f>IFERROR(INDEX(LMH_PTS,MATCH(Z290,LMH_KEY,0)),0)</f>
        <v>3</v>
      </c>
      <c r="BO290" s="38">
        <f>IFERROR(INDEX(LMH_PTS,MATCH(AA290,LMH_KEY,0)),0)</f>
        <v>1</v>
      </c>
      <c r="BP290" s="38">
        <f>IFERROR(INDEX(LMH_PTS,MATCH(AB290,LMH_KEY,0)),0)</f>
        <v>1</v>
      </c>
      <c r="BQ290" s="38">
        <f>IFERROR(INDEX(LMH_PTS,MATCH(AC290,LMH_KEY,0)),0)</f>
        <v>1</v>
      </c>
      <c r="BR290" s="38">
        <f>IFERROR(INDEX(LMH_PTS,MATCH(AD290,LMH_KEY,0)),0)</f>
        <v>1</v>
      </c>
      <c r="BS290" s="38">
        <f>IFERROR(INDEX(LMH_PTS,MATCH(AE290,LMH_KEY,0)),0)</f>
        <v>1</v>
      </c>
      <c r="BT290" s="38">
        <f>IFERROR(INDEX(LMH_STEP,MATCH(AF290,LMH_KEY,0)),0)</f>
        <v>0</v>
      </c>
      <c r="BU290" s="38">
        <f>IFERROR(INDEX(LMH_STEP,MATCH(AG290,LMH_KEY,0)),0)</f>
        <v>0</v>
      </c>
      <c r="BV290" s="38">
        <f>IFERROR(INDEX(LMH_STEP,MATCH(AH290,LMH_KEY,0)),0)</f>
        <v>0</v>
      </c>
      <c r="BW290" s="38">
        <f>IFERROR(INDEX(LMH_STEP,MATCH(AI290,LMH_KEY,0)),0)</f>
        <v>0</v>
      </c>
      <c r="BX290" s="38">
        <f>IFERROR(INDEX(LMH_STEP,MATCH(AJ290,LMH_KEY,0)),0)</f>
        <v>0</v>
      </c>
      <c r="BY290" s="38">
        <f>IFERROR(INDEX(LMH_STEP,MATCH(AK290,LMH_KEY,0)),0)</f>
        <v>0</v>
      </c>
      <c r="BZ290" s="38">
        <f>IFERROR(INDEX(LMH_STEP,MATCH(AL290,LMH_KEY,0)),0)</f>
        <v>0</v>
      </c>
      <c r="CA290" s="38" t="inlineStr">
        <is>
          <t>iFile|Technology|Technical Specialist – POD Lead|B1|B-IC</t>
        </is>
      </c>
    </row>
    <row r="291" ht="110" customHeight="1">
      <c r="A291" s="28" t="inlineStr">
        <is>
          <t>iFile</t>
        </is>
      </c>
      <c r="B291" s="29" t="inlineStr">
        <is>
          <t>Technology</t>
        </is>
      </c>
      <c r="C291" s="29" t="n">
        <v>5</v>
      </c>
      <c r="D291" s="29" t="inlineStr">
        <is>
          <t>IRIS2186</t>
        </is>
      </c>
      <c r="E291" s="29" t="inlineStr">
        <is>
          <t>Harshal Chaudhari</t>
        </is>
      </c>
      <c r="F291" s="29" t="inlineStr">
        <is>
          <t>Junior Software Engineer</t>
        </is>
      </c>
      <c r="G291" s="29" t="inlineStr">
        <is>
          <t>Senior Software Engineer</t>
        </is>
      </c>
      <c r="H291" s="29" t="inlineStr">
        <is>
          <t>Engineering &amp; Development</t>
        </is>
      </c>
      <c r="I291" s="29" t="inlineStr">
        <is>
          <t>Backend Development</t>
        </is>
      </c>
      <c r="J291" s="29" t="inlineStr">
        <is>
          <t>IC</t>
        </is>
      </c>
      <c r="K291" s="29" t="inlineStr">
        <is>
          <t>RC-067</t>
        </is>
      </c>
      <c r="L291" s="29" t="inlineStr">
        <is>
          <t>Pragati Raskar</t>
        </is>
      </c>
      <c r="M291" s="29" t="inlineStr">
        <is>
          <t>IRIS1150</t>
        </is>
      </c>
      <c r="N291" s="29" t="n">
        <v>3</v>
      </c>
      <c r="O291" s="29" t="n">
        <v>3</v>
      </c>
      <c r="P291" s="29" t="inlineStr">
        <is>
          <t>PG-DAC</t>
        </is>
      </c>
      <c r="Q291" s="29" t="inlineStr">
        <is>
          <t>L3 – Professional / Associate</t>
        </is>
      </c>
      <c r="R291" s="29" t="inlineStr">
        <is>
          <t>A3</t>
        </is>
      </c>
      <c r="S291" s="30" t="inlineStr">
        <is>
          <t>20 of 20</t>
        </is>
      </c>
      <c r="T291" s="31"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t>
        </is>
      </c>
      <c r="U29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1" s="31" t="inlineStr">
        <is>
          <t>Latest rating: 4 · Potential: Medium · 9-box: Emerging Talent · Readiness: Ready now</t>
        </is>
      </c>
      <c r="W291" s="31" t="inlineStr">
        <is>
          <t>C L · Au L · Ac L · L L · BI M · Exp M · 3 yrs vs 2–4 yrs · Edu H · PG-DAC</t>
        </is>
      </c>
      <c r="X291" s="33" t="inlineStr">
        <is>
          <t>Open ▸</t>
        </is>
      </c>
      <c r="Y291" s="34" t="str">
        <f>IFERROR(INDEX(DL_C,MATCH($CA291,DL_KEY,0)),"M")</f>
        <v>H</v>
      </c>
      <c r="Z291" s="35" t="str">
        <f>IFERROR(INDEX(DL_Au,MATCH($CA291,DL_KEY,0)),"M")</f>
        <v>M</v>
      </c>
      <c r="AA291" s="35" t="str">
        <f>IFERROR(INDEX(DL_Ac,MATCH($CA291,DL_KEY,0)),"M")</f>
        <v>L</v>
      </c>
      <c r="AB291" s="35" t="str">
        <f>IFERROR(INDEX(DL_L,MATCH($CA291,DL_KEY,0)),"M")</f>
        <v>L</v>
      </c>
      <c r="AC291" s="35" t="str">
        <f>IFERROR(INDEX(DL_BI,MATCH($CA291,DL_KEY,0)),"M")</f>
        <v>L</v>
      </c>
      <c r="AD291" s="35" t="str">
        <f>IFERROR(INDEX(DL_Exp,MATCH($CA291,DL_KEY,0)),"M")</f>
        <v>L</v>
      </c>
      <c r="AE291" s="35" t="str">
        <f>IFERROR(INDEX(DL_Edu,MATCH($CA291,DL_KEY,0)),"M")</f>
        <v>L</v>
      </c>
      <c r="AF291" s="34" t="inlineStr">
        <is>
          <t>M</t>
        </is>
      </c>
      <c r="AG291" s="35" t="inlineStr">
        <is>
          <t>M</t>
        </is>
      </c>
      <c r="AH291" s="35" t="inlineStr">
        <is>
          <t>M</t>
        </is>
      </c>
      <c r="AI291" s="35" t="inlineStr">
        <is>
          <t>M</t>
        </is>
      </c>
      <c r="AJ291" s="35" t="inlineStr">
        <is>
          <t>M</t>
        </is>
      </c>
      <c r="AK291" s="35" t="inlineStr">
        <is>
          <t>M</t>
        </is>
      </c>
      <c r="AL291" s="35" t="inlineStr">
        <is>
          <t>M</t>
        </is>
      </c>
      <c r="AM291" s="36" t="n">
        <v>0.583</v>
      </c>
      <c r="AN291" s="37" t="n">
        <v>0.16</v>
      </c>
      <c r="AO291" s="37" t="n">
        <v>0.09</v>
      </c>
      <c r="AP291" s="37" t="n">
        <v>0</v>
      </c>
      <c r="AQ291" s="37" t="n">
        <v>0.063</v>
      </c>
      <c r="AR291" s="37" t="n">
        <v>0.06</v>
      </c>
      <c r="AS291" s="37" t="n">
        <v>0.04</v>
      </c>
      <c r="AT291" s="38" t="inlineStr">
        <is>
          <t>2–5</t>
        </is>
      </c>
      <c r="AU291" s="38" t="inlineStr">
        <is>
          <t>Graduate; relevant certification preferred</t>
        </is>
      </c>
      <c r="AV291" s="38" t="inlineStr">
        <is>
          <t>None · guides 1–3 juniors informally</t>
        </is>
      </c>
      <c r="AW291" s="38" t="inlineStr">
        <is>
          <t>P2 · SFIA 3 Apply</t>
        </is>
      </c>
      <c r="AX2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1" s="39" t="inlineStr">
        <is>
          <t>A3</t>
        </is>
      </c>
      <c r="AZ291" s="40" t="inlineStr">
        <is>
          <t>Band A · Practitioner · Senior Associate</t>
        </is>
      </c>
      <c r="BA291" s="40" t="inlineStr">
        <is>
          <t>Model A3 from the six ratings, the market-derived weights and rules R1–R13 · then No change · already below the manager</t>
        </is>
      </c>
      <c r="BB291" s="41" t="inlineStr">
        <is>
          <t>A2</t>
        </is>
      </c>
      <c r="BC291" s="40" t="inlineStr">
        <is>
          <t>The six ratings on the market-average weights of Band A · all tracks score 2.18 → A2 · Hay, Mercer IPE and public plans · experience 3 yrs vs the A2 market range 0–3</t>
        </is>
      </c>
      <c r="BD291" s="42">
        <f>IF(SUM(BM291,BN291,BO291,BP291,BQ291,BR291,BS291)=0,0,(BM291*BT291+BN291*BU291+BO291*BV291+BP291*BW291+BQ291*BX291+BR291*BY291+BS291*BZ291)/SUM(BM291,BN291,BO291,BP291,BQ291,BR291,BS291))</f>
        <v>0</v>
      </c>
      <c r="BE291" s="41" t="str">
        <f>IF(LEFT(AY291,1)="X",AY291,IF(OR(AY291="B+",AY291="C+"),INDEX(LAD_PC,MAX(1,MIN(14,MATCH(AY291,LAD_PC,0)+IF(BD291&gt;=0.5,1,IF(BD291&lt;=-0.5,-1,0))))),INDEX(LAD_STD,MAX(1,MIN(12,MATCH(AY291,LAD_STD,0)+IF(BD291&gt;=0.5,1,IF(BD291&lt;=-0.5,-1,0)))))))</f>
        <v>A3</v>
      </c>
      <c r="BF291" s="43" t="n"/>
      <c r="BG291" s="41" t="str">
        <f>IF(BF291&lt;&gt;"",BF291,BE291)</f>
        <v>A3</v>
      </c>
      <c r="BH291" s="40" t="str">
        <f>IFERROR(CHOOSE(INDEX(B_RANK,MATCH(BG291,B_LVL,0)),"Band A","Band B","B+ · Player-Coach","Band C","C+ · Player-Coach","Band D","Band E"),"Band X · Consultant")</f>
        <v>Band A</v>
      </c>
      <c r="BI291" s="40" t="str">
        <f>IF(BG291=AY291,"• Same",IF(INDEX(B_VAL,MATCH(BG291,B_LVL,0))&gt;INDEX(B_VAL,MATCH(AY291,B_LVL,0)),"▲ Up","▼ Down"))</f>
        <v>• Same</v>
      </c>
      <c r="BJ291" s="40" t="str">
        <f>IF(OR($M291="",$M291="—",$M291="Not in this file"),"",IFERROR(INDEX($BG$7:$BG$592,MATCH($M291,$D$7:$D$592,0)),""))</f>
        <v>B1</v>
      </c>
      <c r="BK291" s="40" t="str">
        <f>IFERROR(IF(BJ291="","—",IF(OR(LEFT(BG291,1)="X",LEFT(BJ291,1)="X"),"—",IF(AND(LEFT(BG291,1)="E",LEFT(BJ291,1)="E"),"Exception · Band E",IF(AND(INDEX(B_VAL,MATCH(BJ291,B_LVL,0))&gt;=7,INDEX(B_RANK,MATCH(BG291,B_LVL,0))&gt;=INDEX(B_RANK,MATCH(BJ291,B_LVL,0))),"⚠ Same band as a head manager",IF(INDEX(B_VAL,MATCH(BG291,B_LVL,0))&gt;=INDEX(B_VAL,MATCH(BJ291,B_LVL,0)),"⚠ At or above the manager's level","OK"))))),"—")</f>
        <v>OK</v>
      </c>
      <c r="BL291" s="43" t="n"/>
      <c r="BM291" s="44">
        <f>IFERROR(INDEX(LMH_PTS,MATCH(Y291,LMH_KEY,0)),0)</f>
        <v>9</v>
      </c>
      <c r="BN291" s="38">
        <f>IFERROR(INDEX(LMH_PTS,MATCH(Z291,LMH_KEY,0)),0)</f>
        <v>3</v>
      </c>
      <c r="BO291" s="38">
        <f>IFERROR(INDEX(LMH_PTS,MATCH(AA291,LMH_KEY,0)),0)</f>
        <v>1</v>
      </c>
      <c r="BP291" s="38">
        <f>IFERROR(INDEX(LMH_PTS,MATCH(AB291,LMH_KEY,0)),0)</f>
        <v>1</v>
      </c>
      <c r="BQ291" s="38">
        <f>IFERROR(INDEX(LMH_PTS,MATCH(AC291,LMH_KEY,0)),0)</f>
        <v>1</v>
      </c>
      <c r="BR291" s="38">
        <f>IFERROR(INDEX(LMH_PTS,MATCH(AD291,LMH_KEY,0)),0)</f>
        <v>1</v>
      </c>
      <c r="BS291" s="38">
        <f>IFERROR(INDEX(LMH_PTS,MATCH(AE291,LMH_KEY,0)),0)</f>
        <v>1</v>
      </c>
      <c r="BT291" s="38">
        <f>IFERROR(INDEX(LMH_STEP,MATCH(AF291,LMH_KEY,0)),0)</f>
        <v>0</v>
      </c>
      <c r="BU291" s="38">
        <f>IFERROR(INDEX(LMH_STEP,MATCH(AG291,LMH_KEY,0)),0)</f>
        <v>0</v>
      </c>
      <c r="BV291" s="38">
        <f>IFERROR(INDEX(LMH_STEP,MATCH(AH291,LMH_KEY,0)),0)</f>
        <v>0</v>
      </c>
      <c r="BW291" s="38">
        <f>IFERROR(INDEX(LMH_STEP,MATCH(AI291,LMH_KEY,0)),0)</f>
        <v>0</v>
      </c>
      <c r="BX291" s="38">
        <f>IFERROR(INDEX(LMH_STEP,MATCH(AJ291,LMH_KEY,0)),0)</f>
        <v>0</v>
      </c>
      <c r="BY291" s="38">
        <f>IFERROR(INDEX(LMH_STEP,MATCH(AK291,LMH_KEY,0)),0)</f>
        <v>0</v>
      </c>
      <c r="BZ291" s="38">
        <f>IFERROR(INDEX(LMH_STEP,MATCH(AL291,LMH_KEY,0)),0)</f>
        <v>0</v>
      </c>
      <c r="CA291" s="38" t="inlineStr">
        <is>
          <t>iFile|Technology|Senior Software Engineer|A3|A</t>
        </is>
      </c>
    </row>
    <row r="292" ht="110" customHeight="1">
      <c r="A292" s="28" t="inlineStr">
        <is>
          <t>iFile</t>
        </is>
      </c>
      <c r="B292" s="29" t="inlineStr">
        <is>
          <t>Technology</t>
        </is>
      </c>
      <c r="C292" s="29" t="n">
        <v>5</v>
      </c>
      <c r="D292" s="29" t="inlineStr">
        <is>
          <t>IRIS1945</t>
        </is>
      </c>
      <c r="E292" s="29" t="inlineStr">
        <is>
          <t>Priyadarshini Naidu</t>
        </is>
      </c>
      <c r="F292" s="29" t="inlineStr">
        <is>
          <t>Software Engineer</t>
        </is>
      </c>
      <c r="G292" s="29" t="inlineStr">
        <is>
          <t>Senior Software Engineer</t>
        </is>
      </c>
      <c r="H292" s="29" t="inlineStr">
        <is>
          <t>Engineering &amp; Development</t>
        </is>
      </c>
      <c r="I292" s="29" t="inlineStr">
        <is>
          <t>Backend Development</t>
        </is>
      </c>
      <c r="J292" s="29" t="inlineStr">
        <is>
          <t>IC</t>
        </is>
      </c>
      <c r="K292" s="29" t="inlineStr">
        <is>
          <t>RC-067</t>
        </is>
      </c>
      <c r="L292" s="29" t="inlineStr">
        <is>
          <t>Pragati Raskar</t>
        </is>
      </c>
      <c r="M292" s="29" t="inlineStr">
        <is>
          <t>IRIS1150</t>
        </is>
      </c>
      <c r="N292" s="29" t="n">
        <v>7.1</v>
      </c>
      <c r="O292" s="29" t="n">
        <v>5.1</v>
      </c>
      <c r="P292" s="29" t="inlineStr">
        <is>
          <t>BCA</t>
        </is>
      </c>
      <c r="Q292" s="29" t="inlineStr">
        <is>
          <t>L3 – Professional / Associate</t>
        </is>
      </c>
      <c r="R292" s="29" t="inlineStr">
        <is>
          <t>A3</t>
        </is>
      </c>
      <c r="S292" s="30" t="inlineStr">
        <is>
          <t>20 of 20</t>
        </is>
      </c>
      <c r="T292" s="31"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t>
        </is>
      </c>
      <c r="U29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2" s="31" t="inlineStr">
        <is>
          <t>Latest rating: 4 · Potential: High · 9-box: Emerging Talent · Readiness: Ready now</t>
        </is>
      </c>
      <c r="W292" s="31" t="inlineStr">
        <is>
          <t>C L · Au L · Ac L · L L · BI M · Exp H · 7.1 yrs vs 2–4 yrs · Edu M · BCA</t>
        </is>
      </c>
      <c r="X292" s="33" t="inlineStr">
        <is>
          <t>Open ▸</t>
        </is>
      </c>
      <c r="Y292" s="34" t="str">
        <f>IFERROR(INDEX(DL_C,MATCH($CA292,DL_KEY,0)),"M")</f>
        <v>H</v>
      </c>
      <c r="Z292" s="35" t="str">
        <f>IFERROR(INDEX(DL_Au,MATCH($CA292,DL_KEY,0)),"M")</f>
        <v>M</v>
      </c>
      <c r="AA292" s="35" t="str">
        <f>IFERROR(INDEX(DL_Ac,MATCH($CA292,DL_KEY,0)),"M")</f>
        <v>L</v>
      </c>
      <c r="AB292" s="35" t="str">
        <f>IFERROR(INDEX(DL_L,MATCH($CA292,DL_KEY,0)),"M")</f>
        <v>L</v>
      </c>
      <c r="AC292" s="35" t="str">
        <f>IFERROR(INDEX(DL_BI,MATCH($CA292,DL_KEY,0)),"M")</f>
        <v>L</v>
      </c>
      <c r="AD292" s="35" t="str">
        <f>IFERROR(INDEX(DL_Exp,MATCH($CA292,DL_KEY,0)),"M")</f>
        <v>L</v>
      </c>
      <c r="AE292" s="35" t="str">
        <f>IFERROR(INDEX(DL_Edu,MATCH($CA292,DL_KEY,0)),"M")</f>
        <v>L</v>
      </c>
      <c r="AF292" s="34" t="inlineStr">
        <is>
          <t>M</t>
        </is>
      </c>
      <c r="AG292" s="35" t="inlineStr">
        <is>
          <t>M</t>
        </is>
      </c>
      <c r="AH292" s="35" t="inlineStr">
        <is>
          <t>M</t>
        </is>
      </c>
      <c r="AI292" s="35" t="inlineStr">
        <is>
          <t>M</t>
        </is>
      </c>
      <c r="AJ292" s="35" t="inlineStr">
        <is>
          <t>M</t>
        </is>
      </c>
      <c r="AK292" s="35" t="inlineStr">
        <is>
          <t>M</t>
        </is>
      </c>
      <c r="AL292" s="35" t="inlineStr">
        <is>
          <t>M</t>
        </is>
      </c>
      <c r="AM292" s="36" t="n">
        <v>0.583</v>
      </c>
      <c r="AN292" s="37" t="n">
        <v>0.16</v>
      </c>
      <c r="AO292" s="37" t="n">
        <v>0.09</v>
      </c>
      <c r="AP292" s="37" t="n">
        <v>0</v>
      </c>
      <c r="AQ292" s="37" t="n">
        <v>0.063</v>
      </c>
      <c r="AR292" s="37" t="n">
        <v>0.06</v>
      </c>
      <c r="AS292" s="37" t="n">
        <v>0.04</v>
      </c>
      <c r="AT292" s="38" t="inlineStr">
        <is>
          <t>2–5</t>
        </is>
      </c>
      <c r="AU292" s="38" t="inlineStr">
        <is>
          <t>Graduate; relevant certification preferred</t>
        </is>
      </c>
      <c r="AV292" s="38" t="inlineStr">
        <is>
          <t>None · guides 1–3 juniors informally</t>
        </is>
      </c>
      <c r="AW292" s="38" t="inlineStr">
        <is>
          <t>P2 · SFIA 3 Apply</t>
        </is>
      </c>
      <c r="AX2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2" s="39" t="inlineStr">
        <is>
          <t>A3</t>
        </is>
      </c>
      <c r="AZ292" s="40" t="inlineStr">
        <is>
          <t>Band A · Practitioner · Senior Associate</t>
        </is>
      </c>
      <c r="BA292" s="40" t="inlineStr">
        <is>
          <t>Model A3 from the six ratings, the market-derived weights and rules R1–R13 · then No change · already below the manager</t>
        </is>
      </c>
      <c r="BB292" s="41" t="inlineStr">
        <is>
          <t>A2</t>
        </is>
      </c>
      <c r="BC292" s="40" t="inlineStr">
        <is>
          <t>The six ratings on the market-average weights of Band A · all tracks score 2.33 → A2 · Hay, Mercer IPE and public plans · experience 7.1 yrs vs the A2 market range 0–3</t>
        </is>
      </c>
      <c r="BD292" s="42">
        <f>IF(SUM(BM292,BN292,BO292,BP292,BQ292,BR292,BS292)=0,0,(BM292*BT292+BN292*BU292+BO292*BV292+BP292*BW292+BQ292*BX292+BR292*BY292+BS292*BZ292)/SUM(BM292,BN292,BO292,BP292,BQ292,BR292,BS292))</f>
        <v>0</v>
      </c>
      <c r="BE292" s="41" t="str">
        <f>IF(LEFT(AY292,1)="X",AY292,IF(OR(AY292="B+",AY292="C+"),INDEX(LAD_PC,MAX(1,MIN(14,MATCH(AY292,LAD_PC,0)+IF(BD292&gt;=0.5,1,IF(BD292&lt;=-0.5,-1,0))))),INDEX(LAD_STD,MAX(1,MIN(12,MATCH(AY292,LAD_STD,0)+IF(BD292&gt;=0.5,1,IF(BD292&lt;=-0.5,-1,0)))))))</f>
        <v>A3</v>
      </c>
      <c r="BF292" s="43" t="n"/>
      <c r="BG292" s="41" t="str">
        <f>IF(BF292&lt;&gt;"",BF292,BE292)</f>
        <v>A3</v>
      </c>
      <c r="BH292" s="40" t="str">
        <f>IFERROR(CHOOSE(INDEX(B_RANK,MATCH(BG292,B_LVL,0)),"Band A","Band B","B+ · Player-Coach","Band C","C+ · Player-Coach","Band D","Band E"),"Band X · Consultant")</f>
        <v>Band A</v>
      </c>
      <c r="BI292" s="40" t="str">
        <f>IF(BG292=AY292,"• Same",IF(INDEX(B_VAL,MATCH(BG292,B_LVL,0))&gt;INDEX(B_VAL,MATCH(AY292,B_LVL,0)),"▲ Up","▼ Down"))</f>
        <v>• Same</v>
      </c>
      <c r="BJ292" s="40" t="str">
        <f>IF(OR($M292="",$M292="—",$M292="Not in this file"),"",IFERROR(INDEX($BG$7:$BG$592,MATCH($M292,$D$7:$D$592,0)),""))</f>
        <v>B1</v>
      </c>
      <c r="BK292" s="40" t="str">
        <f>IFERROR(IF(BJ292="","—",IF(OR(LEFT(BG292,1)="X",LEFT(BJ292,1)="X"),"—",IF(AND(LEFT(BG292,1)="E",LEFT(BJ292,1)="E"),"Exception · Band E",IF(AND(INDEX(B_VAL,MATCH(BJ292,B_LVL,0))&gt;=7,INDEX(B_RANK,MATCH(BG292,B_LVL,0))&gt;=INDEX(B_RANK,MATCH(BJ292,B_LVL,0))),"⚠ Same band as a head manager",IF(INDEX(B_VAL,MATCH(BG292,B_LVL,0))&gt;=INDEX(B_VAL,MATCH(BJ292,B_LVL,0)),"⚠ At or above the manager's level","OK"))))),"—")</f>
        <v>OK</v>
      </c>
      <c r="BL292" s="43" t="n"/>
      <c r="BM292" s="44">
        <f>IFERROR(INDEX(LMH_PTS,MATCH(Y292,LMH_KEY,0)),0)</f>
        <v>9</v>
      </c>
      <c r="BN292" s="38">
        <f>IFERROR(INDEX(LMH_PTS,MATCH(Z292,LMH_KEY,0)),0)</f>
        <v>3</v>
      </c>
      <c r="BO292" s="38">
        <f>IFERROR(INDEX(LMH_PTS,MATCH(AA292,LMH_KEY,0)),0)</f>
        <v>1</v>
      </c>
      <c r="BP292" s="38">
        <f>IFERROR(INDEX(LMH_PTS,MATCH(AB292,LMH_KEY,0)),0)</f>
        <v>1</v>
      </c>
      <c r="BQ292" s="38">
        <f>IFERROR(INDEX(LMH_PTS,MATCH(AC292,LMH_KEY,0)),0)</f>
        <v>1</v>
      </c>
      <c r="BR292" s="38">
        <f>IFERROR(INDEX(LMH_PTS,MATCH(AD292,LMH_KEY,0)),0)</f>
        <v>1</v>
      </c>
      <c r="BS292" s="38">
        <f>IFERROR(INDEX(LMH_PTS,MATCH(AE292,LMH_KEY,0)),0)</f>
        <v>1</v>
      </c>
      <c r="BT292" s="38">
        <f>IFERROR(INDEX(LMH_STEP,MATCH(AF292,LMH_KEY,0)),0)</f>
        <v>0</v>
      </c>
      <c r="BU292" s="38">
        <f>IFERROR(INDEX(LMH_STEP,MATCH(AG292,LMH_KEY,0)),0)</f>
        <v>0</v>
      </c>
      <c r="BV292" s="38">
        <f>IFERROR(INDEX(LMH_STEP,MATCH(AH292,LMH_KEY,0)),0)</f>
        <v>0</v>
      </c>
      <c r="BW292" s="38">
        <f>IFERROR(INDEX(LMH_STEP,MATCH(AI292,LMH_KEY,0)),0)</f>
        <v>0</v>
      </c>
      <c r="BX292" s="38">
        <f>IFERROR(INDEX(LMH_STEP,MATCH(AJ292,LMH_KEY,0)),0)</f>
        <v>0</v>
      </c>
      <c r="BY292" s="38">
        <f>IFERROR(INDEX(LMH_STEP,MATCH(AK292,LMH_KEY,0)),0)</f>
        <v>0</v>
      </c>
      <c r="BZ292" s="38">
        <f>IFERROR(INDEX(LMH_STEP,MATCH(AL292,LMH_KEY,0)),0)</f>
        <v>0</v>
      </c>
      <c r="CA292" s="38" t="inlineStr">
        <is>
          <t>iFile|Technology|Senior Software Engineer|A3|A</t>
        </is>
      </c>
    </row>
    <row r="293" ht="110" customHeight="1">
      <c r="A293" s="28" t="inlineStr">
        <is>
          <t>iFile</t>
        </is>
      </c>
      <c r="B293" s="29" t="inlineStr">
        <is>
          <t>Technology</t>
        </is>
      </c>
      <c r="C293" s="29" t="n">
        <v>5</v>
      </c>
      <c r="D293" s="29" t="inlineStr">
        <is>
          <t>IRIS2030</t>
        </is>
      </c>
      <c r="E293" s="29" t="inlineStr">
        <is>
          <t>Ritesh Gadekar</t>
        </is>
      </c>
      <c r="F293" s="29" t="inlineStr">
        <is>
          <t>Software Engineer</t>
        </is>
      </c>
      <c r="G293" s="29" t="inlineStr">
        <is>
          <t>Senior Software Engineer</t>
        </is>
      </c>
      <c r="H293" s="29" t="inlineStr">
        <is>
          <t>Engineering &amp; Development</t>
        </is>
      </c>
      <c r="I293" s="29" t="inlineStr">
        <is>
          <t>Backend Development</t>
        </is>
      </c>
      <c r="J293" s="29" t="inlineStr">
        <is>
          <t>IC</t>
        </is>
      </c>
      <c r="K293" s="29" t="inlineStr">
        <is>
          <t>RC-067</t>
        </is>
      </c>
      <c r="L293" s="29" t="inlineStr">
        <is>
          <t>Pragati Raskar</t>
        </is>
      </c>
      <c r="M293" s="29" t="inlineStr">
        <is>
          <t>IRIS1150</t>
        </is>
      </c>
      <c r="N293" s="29" t="n">
        <v>4.3</v>
      </c>
      <c r="O293" s="29" t="n">
        <v>4.3</v>
      </c>
      <c r="P293" s="29" t="inlineStr">
        <is>
          <t>MSc</t>
        </is>
      </c>
      <c r="Q293" s="29" t="inlineStr">
        <is>
          <t>L3 – Professional / Associate</t>
        </is>
      </c>
      <c r="R293" s="29" t="inlineStr">
        <is>
          <t>A3</t>
        </is>
      </c>
      <c r="S293" s="30" t="inlineStr">
        <is>
          <t>20 of 20</t>
        </is>
      </c>
      <c r="T293" s="31" t="inlineStr">
        <is>
          <t>Business Impact: Moved +0.5: the survey / manager mapping marks it business-critical.</t>
        </is>
      </c>
      <c r="U293"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3" s="31" t="inlineStr">
        <is>
          <t>Latest rating: 4 · Potential: High · 9-box: Trusted Professional · Readiness: Ready now</t>
        </is>
      </c>
      <c r="W293" s="31" t="inlineStr">
        <is>
          <t>C M · Au L · Ac M · L L · BI M · Exp H · 4.3 yrs vs 2–4 yrs · Edu H · MSc</t>
        </is>
      </c>
      <c r="X293" s="33" t="inlineStr">
        <is>
          <t>Open ▸</t>
        </is>
      </c>
      <c r="Y293" s="34" t="str">
        <f>IFERROR(INDEX(DL_C,MATCH($CA293,DL_KEY,0)),"M")</f>
        <v>H</v>
      </c>
      <c r="Z293" s="35" t="str">
        <f>IFERROR(INDEX(DL_Au,MATCH($CA293,DL_KEY,0)),"M")</f>
        <v>M</v>
      </c>
      <c r="AA293" s="35" t="str">
        <f>IFERROR(INDEX(DL_Ac,MATCH($CA293,DL_KEY,0)),"M")</f>
        <v>L</v>
      </c>
      <c r="AB293" s="35" t="str">
        <f>IFERROR(INDEX(DL_L,MATCH($CA293,DL_KEY,0)),"M")</f>
        <v>L</v>
      </c>
      <c r="AC293" s="35" t="str">
        <f>IFERROR(INDEX(DL_BI,MATCH($CA293,DL_KEY,0)),"M")</f>
        <v>L</v>
      </c>
      <c r="AD293" s="35" t="str">
        <f>IFERROR(INDEX(DL_Exp,MATCH($CA293,DL_KEY,0)),"M")</f>
        <v>L</v>
      </c>
      <c r="AE293" s="35" t="str">
        <f>IFERROR(INDEX(DL_Edu,MATCH($CA293,DL_KEY,0)),"M")</f>
        <v>L</v>
      </c>
      <c r="AF293" s="34" t="inlineStr">
        <is>
          <t>M</t>
        </is>
      </c>
      <c r="AG293" s="35" t="inlineStr">
        <is>
          <t>M</t>
        </is>
      </c>
      <c r="AH293" s="35" t="inlineStr">
        <is>
          <t>M</t>
        </is>
      </c>
      <c r="AI293" s="35" t="inlineStr">
        <is>
          <t>M</t>
        </is>
      </c>
      <c r="AJ293" s="35" t="inlineStr">
        <is>
          <t>M</t>
        </is>
      </c>
      <c r="AK293" s="35" t="inlineStr">
        <is>
          <t>M</t>
        </is>
      </c>
      <c r="AL293" s="35" t="inlineStr">
        <is>
          <t>M</t>
        </is>
      </c>
      <c r="AM293" s="36" t="n">
        <v>0.583</v>
      </c>
      <c r="AN293" s="37" t="n">
        <v>0.16</v>
      </c>
      <c r="AO293" s="37" t="n">
        <v>0.09</v>
      </c>
      <c r="AP293" s="37" t="n">
        <v>0</v>
      </c>
      <c r="AQ293" s="37" t="n">
        <v>0.063</v>
      </c>
      <c r="AR293" s="37" t="n">
        <v>0.06</v>
      </c>
      <c r="AS293" s="37" t="n">
        <v>0.04</v>
      </c>
      <c r="AT293" s="38" t="inlineStr">
        <is>
          <t>2–5</t>
        </is>
      </c>
      <c r="AU293" s="38" t="inlineStr">
        <is>
          <t>Graduate; relevant certification preferred</t>
        </is>
      </c>
      <c r="AV293" s="38" t="inlineStr">
        <is>
          <t>None · guides 1–3 juniors informally</t>
        </is>
      </c>
      <c r="AW293" s="38" t="inlineStr">
        <is>
          <t>P2 · SFIA 3 Apply</t>
        </is>
      </c>
      <c r="AX2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3" s="39" t="inlineStr">
        <is>
          <t>A3</t>
        </is>
      </c>
      <c r="AZ293" s="40" t="inlineStr">
        <is>
          <t>Band A · Practitioner · Senior Associate</t>
        </is>
      </c>
      <c r="BA293" s="40" t="inlineStr">
        <is>
          <t>Model A3 from the six ratings, the market-derived weights and rules R1–R13 · then No change · already below the manager</t>
        </is>
      </c>
      <c r="BB293" s="41" t="inlineStr">
        <is>
          <t>A3</t>
        </is>
      </c>
      <c r="BC293" s="40" t="inlineStr">
        <is>
          <t>The six ratings on the market-average weights of Band A · all tracks score 2.60 → A3 · Hay, Mercer IPE and public plans · experience 4.3 yrs vs the A3 market range 2–5</t>
        </is>
      </c>
      <c r="BD293" s="42">
        <f>IF(SUM(BM293,BN293,BO293,BP293,BQ293,BR293,BS293)=0,0,(BM293*BT293+BN293*BU293+BO293*BV293+BP293*BW293+BQ293*BX293+BR293*BY293+BS293*BZ293)/SUM(BM293,BN293,BO293,BP293,BQ293,BR293,BS293))</f>
        <v>0</v>
      </c>
      <c r="BE293" s="41" t="str">
        <f>IF(LEFT(AY293,1)="X",AY293,IF(OR(AY293="B+",AY293="C+"),INDEX(LAD_PC,MAX(1,MIN(14,MATCH(AY293,LAD_PC,0)+IF(BD293&gt;=0.5,1,IF(BD293&lt;=-0.5,-1,0))))),INDEX(LAD_STD,MAX(1,MIN(12,MATCH(AY293,LAD_STD,0)+IF(BD293&gt;=0.5,1,IF(BD293&lt;=-0.5,-1,0)))))))</f>
        <v>A3</v>
      </c>
      <c r="BF293" s="43" t="n"/>
      <c r="BG293" s="41" t="str">
        <f>IF(BF293&lt;&gt;"",BF293,BE293)</f>
        <v>A3</v>
      </c>
      <c r="BH293" s="40" t="str">
        <f>IFERROR(CHOOSE(INDEX(B_RANK,MATCH(BG293,B_LVL,0)),"Band A","Band B","B+ · Player-Coach","Band C","C+ · Player-Coach","Band D","Band E"),"Band X · Consultant")</f>
        <v>Band A</v>
      </c>
      <c r="BI293" s="40" t="str">
        <f>IF(BG293=AY293,"• Same",IF(INDEX(B_VAL,MATCH(BG293,B_LVL,0))&gt;INDEX(B_VAL,MATCH(AY293,B_LVL,0)),"▲ Up","▼ Down"))</f>
        <v>• Same</v>
      </c>
      <c r="BJ293" s="40" t="str">
        <f>IF(OR($M293="",$M293="—",$M293="Not in this file"),"",IFERROR(INDEX($BG$7:$BG$592,MATCH($M293,$D$7:$D$592,0)),""))</f>
        <v>B1</v>
      </c>
      <c r="BK293" s="40" t="str">
        <f>IFERROR(IF(BJ293="","—",IF(OR(LEFT(BG293,1)="X",LEFT(BJ293,1)="X"),"—",IF(AND(LEFT(BG293,1)="E",LEFT(BJ293,1)="E"),"Exception · Band E",IF(AND(INDEX(B_VAL,MATCH(BJ293,B_LVL,0))&gt;=7,INDEX(B_RANK,MATCH(BG293,B_LVL,0))&gt;=INDEX(B_RANK,MATCH(BJ293,B_LVL,0))),"⚠ Same band as a head manager",IF(INDEX(B_VAL,MATCH(BG293,B_LVL,0))&gt;=INDEX(B_VAL,MATCH(BJ293,B_LVL,0)),"⚠ At or above the manager's level","OK"))))),"—")</f>
        <v>OK</v>
      </c>
      <c r="BL293" s="43" t="n"/>
      <c r="BM293" s="44">
        <f>IFERROR(INDEX(LMH_PTS,MATCH(Y293,LMH_KEY,0)),0)</f>
        <v>9</v>
      </c>
      <c r="BN293" s="38">
        <f>IFERROR(INDEX(LMH_PTS,MATCH(Z293,LMH_KEY,0)),0)</f>
        <v>3</v>
      </c>
      <c r="BO293" s="38">
        <f>IFERROR(INDEX(LMH_PTS,MATCH(AA293,LMH_KEY,0)),0)</f>
        <v>1</v>
      </c>
      <c r="BP293" s="38">
        <f>IFERROR(INDEX(LMH_PTS,MATCH(AB293,LMH_KEY,0)),0)</f>
        <v>1</v>
      </c>
      <c r="BQ293" s="38">
        <f>IFERROR(INDEX(LMH_PTS,MATCH(AC293,LMH_KEY,0)),0)</f>
        <v>1</v>
      </c>
      <c r="BR293" s="38">
        <f>IFERROR(INDEX(LMH_PTS,MATCH(AD293,LMH_KEY,0)),0)</f>
        <v>1</v>
      </c>
      <c r="BS293" s="38">
        <f>IFERROR(INDEX(LMH_PTS,MATCH(AE293,LMH_KEY,0)),0)</f>
        <v>1</v>
      </c>
      <c r="BT293" s="38">
        <f>IFERROR(INDEX(LMH_STEP,MATCH(AF293,LMH_KEY,0)),0)</f>
        <v>0</v>
      </c>
      <c r="BU293" s="38">
        <f>IFERROR(INDEX(LMH_STEP,MATCH(AG293,LMH_KEY,0)),0)</f>
        <v>0</v>
      </c>
      <c r="BV293" s="38">
        <f>IFERROR(INDEX(LMH_STEP,MATCH(AH293,LMH_KEY,0)),0)</f>
        <v>0</v>
      </c>
      <c r="BW293" s="38">
        <f>IFERROR(INDEX(LMH_STEP,MATCH(AI293,LMH_KEY,0)),0)</f>
        <v>0</v>
      </c>
      <c r="BX293" s="38">
        <f>IFERROR(INDEX(LMH_STEP,MATCH(AJ293,LMH_KEY,0)),0)</f>
        <v>0</v>
      </c>
      <c r="BY293" s="38">
        <f>IFERROR(INDEX(LMH_STEP,MATCH(AK293,LMH_KEY,0)),0)</f>
        <v>0</v>
      </c>
      <c r="BZ293" s="38">
        <f>IFERROR(INDEX(LMH_STEP,MATCH(AL293,LMH_KEY,0)),0)</f>
        <v>0</v>
      </c>
      <c r="CA293" s="38" t="inlineStr">
        <is>
          <t>iFile|Technology|Senior Software Engineer|A3|A</t>
        </is>
      </c>
    </row>
    <row r="294" ht="110" customHeight="1">
      <c r="A294" s="28" t="inlineStr">
        <is>
          <t>iFile</t>
        </is>
      </c>
      <c r="B294" s="29" t="inlineStr">
        <is>
          <t>Technology</t>
        </is>
      </c>
      <c r="C294" s="29" t="n">
        <v>4</v>
      </c>
      <c r="D294" s="29" t="inlineStr">
        <is>
          <t>IRIS2162</t>
        </is>
      </c>
      <c r="E294" s="29" t="inlineStr">
        <is>
          <t>Vikash Gupta</t>
        </is>
      </c>
      <c r="F294" s="29" t="inlineStr">
        <is>
          <t>Senior Software Engineer</t>
        </is>
      </c>
      <c r="G294" s="29" t="inlineStr">
        <is>
          <t>Technical Specialist</t>
        </is>
      </c>
      <c r="H294" s="29" t="inlineStr">
        <is>
          <t>Engineering &amp; Development</t>
        </is>
      </c>
      <c r="I294" s="29" t="inlineStr">
        <is>
          <t>Full-Stack Development</t>
        </is>
      </c>
      <c r="J294" s="29" t="inlineStr">
        <is>
          <t>IC</t>
        </is>
      </c>
      <c r="K294" s="29" t="inlineStr">
        <is>
          <t>RC-086</t>
        </is>
      </c>
      <c r="L294" s="29" t="inlineStr">
        <is>
          <t>Hemant Trivedi</t>
        </is>
      </c>
      <c r="M294" s="29" t="inlineStr">
        <is>
          <t>IRIS0217</t>
        </is>
      </c>
      <c r="N294" s="29" t="n">
        <v>15.2</v>
      </c>
      <c r="O294" s="29" t="n">
        <v>3.2</v>
      </c>
      <c r="P294" s="29" t="inlineStr">
        <is>
          <t>MCA</t>
        </is>
      </c>
      <c r="Q294" s="29" t="inlineStr">
        <is>
          <t>L4 – Senior</t>
        </is>
      </c>
      <c r="R294" s="29" t="inlineStr">
        <is>
          <t>B1</t>
        </is>
      </c>
      <c r="S294" s="30" t="inlineStr">
        <is>
          <t>20 of 20</t>
        </is>
      </c>
      <c r="T294" s="31" t="inlineStr">
        <is>
          <t>Business Impact: Moved +0.5: the survey / manager mapping marks it business-critical.</t>
        </is>
      </c>
      <c r="U29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4" s="31" t="inlineStr">
        <is>
          <t>Latest rating: 4 · Potential: High · 9-box: Trusted Professional · Readiness: Ready now</t>
        </is>
      </c>
      <c r="W294" s="31" t="inlineStr">
        <is>
          <t>C L · Au L · Ac L · L L · BI M · Exp H · 15.2 yrs vs 4–7 yrs · Edu H · MCA</t>
        </is>
      </c>
      <c r="X294" s="33" t="inlineStr">
        <is>
          <t>Open ▸</t>
        </is>
      </c>
      <c r="Y294" s="34" t="str">
        <f>IFERROR(INDEX(DL_C,MATCH($CA294,DL_KEY,0)),"M")</f>
        <v>H</v>
      </c>
      <c r="Z294" s="35" t="str">
        <f>IFERROR(INDEX(DL_Au,MATCH($CA294,DL_KEY,0)),"M")</f>
        <v>M</v>
      </c>
      <c r="AA294" s="35" t="str">
        <f>IFERROR(INDEX(DL_Ac,MATCH($CA294,DL_KEY,0)),"M")</f>
        <v>L</v>
      </c>
      <c r="AB294" s="35" t="str">
        <f>IFERROR(INDEX(DL_L,MATCH($CA294,DL_KEY,0)),"M")</f>
        <v>L</v>
      </c>
      <c r="AC294" s="35" t="str">
        <f>IFERROR(INDEX(DL_BI,MATCH($CA294,DL_KEY,0)),"M")</f>
        <v>L</v>
      </c>
      <c r="AD294" s="35" t="str">
        <f>IFERROR(INDEX(DL_Exp,MATCH($CA294,DL_KEY,0)),"M")</f>
        <v>L</v>
      </c>
      <c r="AE294" s="35" t="str">
        <f>IFERROR(INDEX(DL_Edu,MATCH($CA294,DL_KEY,0)),"M")</f>
        <v>L</v>
      </c>
      <c r="AF294" s="34" t="inlineStr">
        <is>
          <t>M</t>
        </is>
      </c>
      <c r="AG294" s="35" t="inlineStr">
        <is>
          <t>M</t>
        </is>
      </c>
      <c r="AH294" s="35" t="inlineStr">
        <is>
          <t>M</t>
        </is>
      </c>
      <c r="AI294" s="35" t="inlineStr">
        <is>
          <t>M</t>
        </is>
      </c>
      <c r="AJ294" s="35" t="inlineStr">
        <is>
          <t>M</t>
        </is>
      </c>
      <c r="AK294" s="35" t="inlineStr">
        <is>
          <t>M</t>
        </is>
      </c>
      <c r="AL294" s="35" t="inlineStr">
        <is>
          <t>M</t>
        </is>
      </c>
      <c r="AM294" s="36" t="n">
        <v>0.513</v>
      </c>
      <c r="AN294" s="37" t="n">
        <v>0.173</v>
      </c>
      <c r="AO294" s="37" t="n">
        <v>0.09699999999999999</v>
      </c>
      <c r="AP294" s="37" t="n">
        <v>0.05</v>
      </c>
      <c r="AQ294" s="37" t="n">
        <v>0.07000000000000001</v>
      </c>
      <c r="AR294" s="37" t="n">
        <v>0.06</v>
      </c>
      <c r="AS294" s="37" t="n">
        <v>0.04</v>
      </c>
      <c r="AT294" s="38" t="inlineStr">
        <is>
          <t>4–8</t>
        </is>
      </c>
      <c r="AU294" s="38" t="inlineStr">
        <is>
          <t>Graduate + relevant qualification or certification preferred</t>
        </is>
      </c>
      <c r="AV294" s="38" t="inlineStr">
        <is>
          <t>IC: none · Team Lead: 3–5</t>
        </is>
      </c>
      <c r="AW294" s="38" t="inlineStr">
        <is>
          <t>P3 / M2 · SFIA 4 Enable</t>
        </is>
      </c>
      <c r="AX2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4" s="39" t="inlineStr">
        <is>
          <t>B1</t>
        </is>
      </c>
      <c r="AZ294" s="40" t="inlineStr">
        <is>
          <t>Band B · Specialist / Manager · Specialist</t>
        </is>
      </c>
      <c r="BA294" s="40" t="inlineStr">
        <is>
          <t>Model B1 from the six ratings, the market-derived weights and rules R1–R13 · then No change · already below the manager</t>
        </is>
      </c>
      <c r="BB294" s="41" t="inlineStr">
        <is>
          <t>B1</t>
        </is>
      </c>
      <c r="BC294" s="40" t="inlineStr">
        <is>
          <t>The six ratings on the market-average weights of Band B · Specialist / POD Lead score 3.53 → B1 · Hay, Mercer IPE and public plans · experience 15.2 yrs vs the B1 market range 4–8</t>
        </is>
      </c>
      <c r="BD294" s="42">
        <f>IF(SUM(BM294,BN294,BO294,BP294,BQ294,BR294,BS294)=0,0,(BM294*BT294+BN294*BU294+BO294*BV294+BP294*BW294+BQ294*BX294+BR294*BY294+BS294*BZ294)/SUM(BM294,BN294,BO294,BP294,BQ294,BR294,BS294))</f>
        <v>0</v>
      </c>
      <c r="BE294" s="41" t="str">
        <f>IF(LEFT(AY294,1)="X",AY294,IF(OR(AY294="B+",AY294="C+"),INDEX(LAD_PC,MAX(1,MIN(14,MATCH(AY294,LAD_PC,0)+IF(BD294&gt;=0.5,1,IF(BD294&lt;=-0.5,-1,0))))),INDEX(LAD_STD,MAX(1,MIN(12,MATCH(AY294,LAD_STD,0)+IF(BD294&gt;=0.5,1,IF(BD294&lt;=-0.5,-1,0)))))))</f>
        <v>B1</v>
      </c>
      <c r="BF294" s="43" t="n"/>
      <c r="BG294" s="41" t="str">
        <f>IF(BF294&lt;&gt;"",BF294,BE294)</f>
        <v>B1</v>
      </c>
      <c r="BH294" s="40" t="str">
        <f>IFERROR(CHOOSE(INDEX(B_RANK,MATCH(BG294,B_LVL,0)),"Band A","Band B","B+ · Player-Coach","Band C","C+ · Player-Coach","Band D","Band E"),"Band X · Consultant")</f>
        <v>Band B</v>
      </c>
      <c r="BI294" s="40" t="str">
        <f>IF(BG294=AY294,"• Same",IF(INDEX(B_VAL,MATCH(BG294,B_LVL,0))&gt;INDEX(B_VAL,MATCH(AY294,B_LVL,0)),"▲ Up","▼ Down"))</f>
        <v>• Same</v>
      </c>
      <c r="BJ294" s="40" t="str">
        <f>IF(OR($M294="",$M294="—",$M294="Not in this file"),"",IFERROR(INDEX($BG$7:$BG$592,MATCH($M294,$D$7:$D$592,0)),""))</f>
        <v>B+</v>
      </c>
      <c r="BK294" s="40" t="str">
        <f>IFERROR(IF(BJ294="","—",IF(OR(LEFT(BG294,1)="X",LEFT(BJ294,1)="X"),"—",IF(AND(LEFT(BG294,1)="E",LEFT(BJ294,1)="E"),"Exception · Band E",IF(AND(INDEX(B_VAL,MATCH(BJ294,B_LVL,0))&gt;=7,INDEX(B_RANK,MATCH(BG294,B_LVL,0))&gt;=INDEX(B_RANK,MATCH(BJ294,B_LVL,0))),"⚠ Same band as a head manager",IF(INDEX(B_VAL,MATCH(BG294,B_LVL,0))&gt;=INDEX(B_VAL,MATCH(BJ294,B_LVL,0)),"⚠ At or above the manager's level","OK"))))),"—")</f>
        <v>OK</v>
      </c>
      <c r="BL294" s="43" t="n"/>
      <c r="BM294" s="44">
        <f>IFERROR(INDEX(LMH_PTS,MATCH(Y294,LMH_KEY,0)),0)</f>
        <v>9</v>
      </c>
      <c r="BN294" s="38">
        <f>IFERROR(INDEX(LMH_PTS,MATCH(Z294,LMH_KEY,0)),0)</f>
        <v>3</v>
      </c>
      <c r="BO294" s="38">
        <f>IFERROR(INDEX(LMH_PTS,MATCH(AA294,LMH_KEY,0)),0)</f>
        <v>1</v>
      </c>
      <c r="BP294" s="38">
        <f>IFERROR(INDEX(LMH_PTS,MATCH(AB294,LMH_KEY,0)),0)</f>
        <v>1</v>
      </c>
      <c r="BQ294" s="38">
        <f>IFERROR(INDEX(LMH_PTS,MATCH(AC294,LMH_KEY,0)),0)</f>
        <v>1</v>
      </c>
      <c r="BR294" s="38">
        <f>IFERROR(INDEX(LMH_PTS,MATCH(AD294,LMH_KEY,0)),0)</f>
        <v>1</v>
      </c>
      <c r="BS294" s="38">
        <f>IFERROR(INDEX(LMH_PTS,MATCH(AE294,LMH_KEY,0)),0)</f>
        <v>1</v>
      </c>
      <c r="BT294" s="38">
        <f>IFERROR(INDEX(LMH_STEP,MATCH(AF294,LMH_KEY,0)),0)</f>
        <v>0</v>
      </c>
      <c r="BU294" s="38">
        <f>IFERROR(INDEX(LMH_STEP,MATCH(AG294,LMH_KEY,0)),0)</f>
        <v>0</v>
      </c>
      <c r="BV294" s="38">
        <f>IFERROR(INDEX(LMH_STEP,MATCH(AH294,LMH_KEY,0)),0)</f>
        <v>0</v>
      </c>
      <c r="BW294" s="38">
        <f>IFERROR(INDEX(LMH_STEP,MATCH(AI294,LMH_KEY,0)),0)</f>
        <v>0</v>
      </c>
      <c r="BX294" s="38">
        <f>IFERROR(INDEX(LMH_STEP,MATCH(AJ294,LMH_KEY,0)),0)</f>
        <v>0</v>
      </c>
      <c r="BY294" s="38">
        <f>IFERROR(INDEX(LMH_STEP,MATCH(AK294,LMH_KEY,0)),0)</f>
        <v>0</v>
      </c>
      <c r="BZ294" s="38">
        <f>IFERROR(INDEX(LMH_STEP,MATCH(AL294,LMH_KEY,0)),0)</f>
        <v>0</v>
      </c>
      <c r="CA294" s="38" t="inlineStr">
        <is>
          <t>iFile|Technology|Technical Specialist|B1|B-IC</t>
        </is>
      </c>
    </row>
    <row r="295" ht="110" customHeight="1">
      <c r="A295" s="28" t="inlineStr">
        <is>
          <t>iFile</t>
        </is>
      </c>
      <c r="B295" s="29" t="inlineStr">
        <is>
          <t>Technology</t>
        </is>
      </c>
      <c r="C295" s="29" t="n">
        <v>4</v>
      </c>
      <c r="D295" s="29" t="inlineStr">
        <is>
          <t>IRIS2299</t>
        </is>
      </c>
      <c r="E295" s="29" t="inlineStr">
        <is>
          <t>Mukesh Babulal Suthar</t>
        </is>
      </c>
      <c r="F295" s="29" t="inlineStr">
        <is>
          <t>Senior Software Engineer</t>
        </is>
      </c>
      <c r="G295" s="29" t="inlineStr">
        <is>
          <t>Senior Software Engineer</t>
        </is>
      </c>
      <c r="H295" s="29" t="inlineStr">
        <is>
          <t>Engineering &amp; Development</t>
        </is>
      </c>
      <c r="I295" s="29" t="inlineStr">
        <is>
          <t>Backend Development</t>
        </is>
      </c>
      <c r="J295" s="29" t="inlineStr">
        <is>
          <t>IC</t>
        </is>
      </c>
      <c r="K295" s="29" t="inlineStr">
        <is>
          <t>RC-067</t>
        </is>
      </c>
      <c r="L295" s="29" t="inlineStr">
        <is>
          <t>Hemant Trivedi</t>
        </is>
      </c>
      <c r="M295" s="29" t="inlineStr">
        <is>
          <t>IRIS0217</t>
        </is>
      </c>
      <c r="N295" s="29" t="n">
        <v>11.1</v>
      </c>
      <c r="O295" s="29" t="n">
        <v>2.1</v>
      </c>
      <c r="P295" s="29" t="inlineStr">
        <is>
          <t>B.E</t>
        </is>
      </c>
      <c r="Q295" s="29" t="inlineStr">
        <is>
          <t>L4 – Senior</t>
        </is>
      </c>
      <c r="R295" s="29" t="inlineStr">
        <is>
          <t>A3</t>
        </is>
      </c>
      <c r="S295" s="30" t="inlineStr">
        <is>
          <t>20 of 20</t>
        </is>
      </c>
      <c r="T295" s="31"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t>
        </is>
      </c>
      <c r="U29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5" s="31" t="inlineStr">
        <is>
          <t>Latest rating: 4 · Potential: High · 9-box: Trusted Professional · Readiness: Ready now</t>
        </is>
      </c>
      <c r="W295" s="31" t="inlineStr">
        <is>
          <t>C M · Au M · Ac M · L L · BI M · Exp H · 11.1 yrs vs 2–4 yrs · Edu M · B.E</t>
        </is>
      </c>
      <c r="X295" s="33" t="inlineStr">
        <is>
          <t>Open ▸</t>
        </is>
      </c>
      <c r="Y295" s="34" t="str">
        <f>IFERROR(INDEX(DL_C,MATCH($CA295,DL_KEY,0)),"M")</f>
        <v>H</v>
      </c>
      <c r="Z295" s="35" t="str">
        <f>IFERROR(INDEX(DL_Au,MATCH($CA295,DL_KEY,0)),"M")</f>
        <v>M</v>
      </c>
      <c r="AA295" s="35" t="str">
        <f>IFERROR(INDEX(DL_Ac,MATCH($CA295,DL_KEY,0)),"M")</f>
        <v>L</v>
      </c>
      <c r="AB295" s="35" t="str">
        <f>IFERROR(INDEX(DL_L,MATCH($CA295,DL_KEY,0)),"M")</f>
        <v>L</v>
      </c>
      <c r="AC295" s="35" t="str">
        <f>IFERROR(INDEX(DL_BI,MATCH($CA295,DL_KEY,0)),"M")</f>
        <v>L</v>
      </c>
      <c r="AD295" s="35" t="str">
        <f>IFERROR(INDEX(DL_Exp,MATCH($CA295,DL_KEY,0)),"M")</f>
        <v>L</v>
      </c>
      <c r="AE295" s="35" t="str">
        <f>IFERROR(INDEX(DL_Edu,MATCH($CA295,DL_KEY,0)),"M")</f>
        <v>L</v>
      </c>
      <c r="AF295" s="34" t="inlineStr">
        <is>
          <t>M</t>
        </is>
      </c>
      <c r="AG295" s="35" t="inlineStr">
        <is>
          <t>M</t>
        </is>
      </c>
      <c r="AH295" s="35" t="inlineStr">
        <is>
          <t>M</t>
        </is>
      </c>
      <c r="AI295" s="35" t="inlineStr">
        <is>
          <t>M</t>
        </is>
      </c>
      <c r="AJ295" s="35" t="inlineStr">
        <is>
          <t>M</t>
        </is>
      </c>
      <c r="AK295" s="35" t="inlineStr">
        <is>
          <t>M</t>
        </is>
      </c>
      <c r="AL295" s="35" t="inlineStr">
        <is>
          <t>M</t>
        </is>
      </c>
      <c r="AM295" s="36" t="n">
        <v>0.583</v>
      </c>
      <c r="AN295" s="37" t="n">
        <v>0.16</v>
      </c>
      <c r="AO295" s="37" t="n">
        <v>0.09</v>
      </c>
      <c r="AP295" s="37" t="n">
        <v>0</v>
      </c>
      <c r="AQ295" s="37" t="n">
        <v>0.063</v>
      </c>
      <c r="AR295" s="37" t="n">
        <v>0.06</v>
      </c>
      <c r="AS295" s="37" t="n">
        <v>0.04</v>
      </c>
      <c r="AT295" s="38" t="inlineStr">
        <is>
          <t>2–5</t>
        </is>
      </c>
      <c r="AU295" s="38" t="inlineStr">
        <is>
          <t>Graduate; relevant certification preferred</t>
        </is>
      </c>
      <c r="AV295" s="38" t="inlineStr">
        <is>
          <t>None · guides 1–3 juniors informally</t>
        </is>
      </c>
      <c r="AW295" s="38" t="inlineStr">
        <is>
          <t>P2 · SFIA 3 Apply</t>
        </is>
      </c>
      <c r="AX2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5" s="39" t="inlineStr">
        <is>
          <t>A3</t>
        </is>
      </c>
      <c r="AZ295" s="40" t="inlineStr">
        <is>
          <t>Band A · Practitioner · Senior Associate</t>
        </is>
      </c>
      <c r="BA295" s="40" t="inlineStr">
        <is>
          <t>Model A3 from the six ratings, the market-derived weights and rules R1–R13 · then No change · already below the manager</t>
        </is>
      </c>
      <c r="BB295" s="41" t="inlineStr">
        <is>
          <t>A3</t>
        </is>
      </c>
      <c r="BC295" s="40" t="inlineStr">
        <is>
          <t>The six ratings on the market-average weights of Band A · all tracks score 2.93 → A3 · Hay, Mercer IPE and public plans · experience 11.1 yrs vs the A3 market range 2–5</t>
        </is>
      </c>
      <c r="BD295" s="42">
        <f>IF(SUM(BM295,BN295,BO295,BP295,BQ295,BR295,BS295)=0,0,(BM295*BT295+BN295*BU295+BO295*BV295+BP295*BW295+BQ295*BX295+BR295*BY295+BS295*BZ295)/SUM(BM295,BN295,BO295,BP295,BQ295,BR295,BS295))</f>
        <v>0</v>
      </c>
      <c r="BE295" s="41" t="str">
        <f>IF(LEFT(AY295,1)="X",AY295,IF(OR(AY295="B+",AY295="C+"),INDEX(LAD_PC,MAX(1,MIN(14,MATCH(AY295,LAD_PC,0)+IF(BD295&gt;=0.5,1,IF(BD295&lt;=-0.5,-1,0))))),INDEX(LAD_STD,MAX(1,MIN(12,MATCH(AY295,LAD_STD,0)+IF(BD295&gt;=0.5,1,IF(BD295&lt;=-0.5,-1,0)))))))</f>
        <v>A3</v>
      </c>
      <c r="BF295" s="43" t="n"/>
      <c r="BG295" s="41" t="str">
        <f>IF(BF295&lt;&gt;"",BF295,BE295)</f>
        <v>A3</v>
      </c>
      <c r="BH295" s="40" t="str">
        <f>IFERROR(CHOOSE(INDEX(B_RANK,MATCH(BG295,B_LVL,0)),"Band A","Band B","B+ · Player-Coach","Band C","C+ · Player-Coach","Band D","Band E"),"Band X · Consultant")</f>
        <v>Band A</v>
      </c>
      <c r="BI295" s="40" t="str">
        <f>IF(BG295=AY295,"• Same",IF(INDEX(B_VAL,MATCH(BG295,B_LVL,0))&gt;INDEX(B_VAL,MATCH(AY295,B_LVL,0)),"▲ Up","▼ Down"))</f>
        <v>• Same</v>
      </c>
      <c r="BJ295" s="40" t="str">
        <f>IF(OR($M295="",$M295="—",$M295="Not in this file"),"",IFERROR(INDEX($BG$7:$BG$592,MATCH($M295,$D$7:$D$592,0)),""))</f>
        <v>B+</v>
      </c>
      <c r="BK295" s="40" t="str">
        <f>IFERROR(IF(BJ295="","—",IF(OR(LEFT(BG295,1)="X",LEFT(BJ295,1)="X"),"—",IF(AND(LEFT(BG295,1)="E",LEFT(BJ295,1)="E"),"Exception · Band E",IF(AND(INDEX(B_VAL,MATCH(BJ295,B_LVL,0))&gt;=7,INDEX(B_RANK,MATCH(BG295,B_LVL,0))&gt;=INDEX(B_RANK,MATCH(BJ295,B_LVL,0))),"⚠ Same band as a head manager",IF(INDEX(B_VAL,MATCH(BG295,B_LVL,0))&gt;=INDEX(B_VAL,MATCH(BJ295,B_LVL,0)),"⚠ At or above the manager's level","OK"))))),"—")</f>
        <v>OK</v>
      </c>
      <c r="BL295" s="43" t="n"/>
      <c r="BM295" s="44">
        <f>IFERROR(INDEX(LMH_PTS,MATCH(Y295,LMH_KEY,0)),0)</f>
        <v>9</v>
      </c>
      <c r="BN295" s="38">
        <f>IFERROR(INDEX(LMH_PTS,MATCH(Z295,LMH_KEY,0)),0)</f>
        <v>3</v>
      </c>
      <c r="BO295" s="38">
        <f>IFERROR(INDEX(LMH_PTS,MATCH(AA295,LMH_KEY,0)),0)</f>
        <v>1</v>
      </c>
      <c r="BP295" s="38">
        <f>IFERROR(INDEX(LMH_PTS,MATCH(AB295,LMH_KEY,0)),0)</f>
        <v>1</v>
      </c>
      <c r="BQ295" s="38">
        <f>IFERROR(INDEX(LMH_PTS,MATCH(AC295,LMH_KEY,0)),0)</f>
        <v>1</v>
      </c>
      <c r="BR295" s="38">
        <f>IFERROR(INDEX(LMH_PTS,MATCH(AD295,LMH_KEY,0)),0)</f>
        <v>1</v>
      </c>
      <c r="BS295" s="38">
        <f>IFERROR(INDEX(LMH_PTS,MATCH(AE295,LMH_KEY,0)),0)</f>
        <v>1</v>
      </c>
      <c r="BT295" s="38">
        <f>IFERROR(INDEX(LMH_STEP,MATCH(AF295,LMH_KEY,0)),0)</f>
        <v>0</v>
      </c>
      <c r="BU295" s="38">
        <f>IFERROR(INDEX(LMH_STEP,MATCH(AG295,LMH_KEY,0)),0)</f>
        <v>0</v>
      </c>
      <c r="BV295" s="38">
        <f>IFERROR(INDEX(LMH_STEP,MATCH(AH295,LMH_KEY,0)),0)</f>
        <v>0</v>
      </c>
      <c r="BW295" s="38">
        <f>IFERROR(INDEX(LMH_STEP,MATCH(AI295,LMH_KEY,0)),0)</f>
        <v>0</v>
      </c>
      <c r="BX295" s="38">
        <f>IFERROR(INDEX(LMH_STEP,MATCH(AJ295,LMH_KEY,0)),0)</f>
        <v>0</v>
      </c>
      <c r="BY295" s="38">
        <f>IFERROR(INDEX(LMH_STEP,MATCH(AK295,LMH_KEY,0)),0)</f>
        <v>0</v>
      </c>
      <c r="BZ295" s="38">
        <f>IFERROR(INDEX(LMH_STEP,MATCH(AL295,LMH_KEY,0)),0)</f>
        <v>0</v>
      </c>
      <c r="CA295" s="38" t="inlineStr">
        <is>
          <t>iFile|Technology|Senior Software Engineer|A3|A</t>
        </is>
      </c>
    </row>
    <row r="296" ht="110" customHeight="1">
      <c r="A296" s="28" t="inlineStr">
        <is>
          <t>iFile</t>
        </is>
      </c>
      <c r="B296" s="29" t="inlineStr">
        <is>
          <t>Technology</t>
        </is>
      </c>
      <c r="C296" s="29" t="n">
        <v>3</v>
      </c>
      <c r="D296" s="29" t="inlineStr">
        <is>
          <t>IRIS1712</t>
        </is>
      </c>
      <c r="E296" s="29" t="inlineStr">
        <is>
          <t>Izharuddin Shaikh</t>
        </is>
      </c>
      <c r="F296" s="29" t="inlineStr">
        <is>
          <t>Program Manager</t>
        </is>
      </c>
      <c r="G296" s="29" t="inlineStr">
        <is>
          <t>Practice Lead – Project &amp; Program Delivery · Player-Coach</t>
        </is>
      </c>
      <c r="H296" s="29" t="inlineStr">
        <is>
          <t>Project &amp; Program Management</t>
        </is>
      </c>
      <c r="I296" s="29" t="inlineStr">
        <is>
          <t>Project &amp; Program Delivery</t>
        </is>
      </c>
      <c r="J296" s="29" t="inlineStr">
        <is>
          <t>Player-Coach</t>
        </is>
      </c>
      <c r="K296" s="29" t="inlineStr">
        <is>
          <t>RC-138</t>
        </is>
      </c>
      <c r="L296" s="29" t="inlineStr">
        <is>
          <t>Pradip Dey</t>
        </is>
      </c>
      <c r="M296" s="29" t="inlineStr">
        <is>
          <t>IRISC223</t>
        </is>
      </c>
      <c r="N296" s="29" t="n">
        <v>20.6</v>
      </c>
      <c r="O296" s="29" t="n">
        <v>8.5</v>
      </c>
      <c r="P296" s="29" t="inlineStr">
        <is>
          <t>MBA</t>
        </is>
      </c>
      <c r="Q296" s="29" t="inlineStr">
        <is>
          <t>L5 – Manager</t>
        </is>
      </c>
      <c r="R296" s="29" t="inlineStr">
        <is>
          <t>B+</t>
        </is>
      </c>
      <c r="S296" s="30" t="inlineStr">
        <is>
          <t>20 of 20</t>
        </is>
      </c>
      <c r="T296" s="31"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t>
        </is>
      </c>
      <c r="U296" s="31" t="inlineStr">
        <is>
          <t>Received · manager annual, quarterly · 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t>
        </is>
      </c>
      <c r="V296" s="31" t="inlineStr">
        <is>
          <t>Latest rating: 4 · Potential: High · 9-box: High Impact / Growth Talent · Readiness: Ready now</t>
        </is>
      </c>
      <c r="W296" s="31" t="inlineStr">
        <is>
          <t>C L · Au L · Ac M · L M · BI M · Exp H · 20.6 yrs vs 9–14 yrs · Edu M · MBA</t>
        </is>
      </c>
      <c r="X296" s="33" t="inlineStr">
        <is>
          <t>Open ▸</t>
        </is>
      </c>
      <c r="Y296" s="34" t="str">
        <f>IFERROR(INDEX(DL_C,MATCH($CA296,DL_KEY,0)),"M")</f>
        <v>H</v>
      </c>
      <c r="Z296" s="35" t="str">
        <f>IFERROR(INDEX(DL_Au,MATCH($CA296,DL_KEY,0)),"M")</f>
        <v>M</v>
      </c>
      <c r="AA296" s="35" t="str">
        <f>IFERROR(INDEX(DL_Ac,MATCH($CA296,DL_KEY,0)),"M")</f>
        <v>L</v>
      </c>
      <c r="AB296" s="35" t="str">
        <f>IFERROR(INDEX(DL_L,MATCH($CA296,DL_KEY,0)),"M")</f>
        <v>M</v>
      </c>
      <c r="AC296" s="35" t="str">
        <f>IFERROR(INDEX(DL_BI,MATCH($CA296,DL_KEY,0)),"M")</f>
        <v>L</v>
      </c>
      <c r="AD296" s="35" t="str">
        <f>IFERROR(INDEX(DL_Exp,MATCH($CA296,DL_KEY,0)),"M")</f>
        <v>L</v>
      </c>
      <c r="AE296" s="35" t="str">
        <f>IFERROR(INDEX(DL_Edu,MATCH($CA296,DL_KEY,0)),"M")</f>
        <v>L</v>
      </c>
      <c r="AF296" s="34" t="inlineStr">
        <is>
          <t>M</t>
        </is>
      </c>
      <c r="AG296" s="35" t="inlineStr">
        <is>
          <t>M</t>
        </is>
      </c>
      <c r="AH296" s="35" t="inlineStr">
        <is>
          <t>M</t>
        </is>
      </c>
      <c r="AI296" s="35" t="inlineStr">
        <is>
          <t>M</t>
        </is>
      </c>
      <c r="AJ296" s="35" t="inlineStr">
        <is>
          <t>M</t>
        </is>
      </c>
      <c r="AK296" s="35" t="inlineStr">
        <is>
          <t>M</t>
        </is>
      </c>
      <c r="AL296" s="35" t="inlineStr">
        <is>
          <t>M</t>
        </is>
      </c>
      <c r="AM296" s="36" t="n">
        <v>0.44</v>
      </c>
      <c r="AN296" s="37" t="n">
        <v>0.177</v>
      </c>
      <c r="AO296" s="37" t="n">
        <v>0.103</v>
      </c>
      <c r="AP296" s="37" t="n">
        <v>0.1</v>
      </c>
      <c r="AQ296" s="37" t="n">
        <v>0.077</v>
      </c>
      <c r="AR296" s="37" t="n">
        <v>0.06</v>
      </c>
      <c r="AS296" s="37" t="n">
        <v>0.04</v>
      </c>
      <c r="AT296" s="38" t="inlineStr">
        <is>
          <t>9–14</t>
        </is>
      </c>
      <c r="AU296" s="38" t="inlineStr">
        <is>
          <t>Postgraduate or professional qualification preferred</t>
        </is>
      </c>
      <c r="AV296" s="38" t="inlineStr">
        <is>
          <t>3–6 direct reports with ≥ 40% of time on own delivery · McKinsey player/coach 3–5; Google Tech Lead Manager</t>
        </is>
      </c>
      <c r="AW296" s="38" t="inlineStr">
        <is>
          <t>P5–P6 / M4–M5 · SFIA 5 Ensure, advise</t>
        </is>
      </c>
      <c r="AX2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6" s="39" t="inlineStr">
        <is>
          <t>B+</t>
        </is>
      </c>
      <c r="AZ296" s="40" t="inlineStr">
        <is>
          <t>B+ · Player-Coach · Practice Lead · Player-Coach</t>
        </is>
      </c>
      <c r="BA296" s="40" t="inlineStr">
        <is>
          <t>Model B+ from the six ratings, the market-derived weights and rules R1–R13 · then No change · already below the manager</t>
        </is>
      </c>
      <c r="BB296" s="41" t="inlineStr">
        <is>
          <t>B3</t>
        </is>
      </c>
      <c r="BC296" s="40" t="inlineStr">
        <is>
          <t>The six ratings on the market-average weights of B+ · Player-Coach score 6.27 → B3 · Hay, Mercer IPE and public plans · experience 20.6 yrs vs the B3 market range 8–13</t>
        </is>
      </c>
      <c r="BD296" s="42">
        <f>IF(SUM(BM296,BN296,BO296,BP296,BQ296,BR296,BS296)=0,0,(BM296*BT296+BN296*BU296+BO296*BV296+BP296*BW296+BQ296*BX296+BR296*BY296+BS296*BZ296)/SUM(BM296,BN296,BO296,BP296,BQ296,BR296,BS296))</f>
        <v>0</v>
      </c>
      <c r="BE296" s="41" t="str">
        <f>IF(LEFT(AY296,1)="X",AY296,IF(OR(AY296="B+",AY296="C+"),INDEX(LAD_PC,MAX(1,MIN(14,MATCH(AY296,LAD_PC,0)+IF(BD296&gt;=0.5,1,IF(BD296&lt;=-0.5,-1,0))))),INDEX(LAD_STD,MAX(1,MIN(12,MATCH(AY296,LAD_STD,0)+IF(BD296&gt;=0.5,1,IF(BD296&lt;=-0.5,-1,0)))))))</f>
        <v>B+</v>
      </c>
      <c r="BF296" s="43" t="n"/>
      <c r="BG296" s="41" t="str">
        <f>IF(BF296&lt;&gt;"",BF296,BE296)</f>
        <v>B+</v>
      </c>
      <c r="BH296" s="40" t="str">
        <f>IFERROR(CHOOSE(INDEX(B_RANK,MATCH(BG296,B_LVL,0)),"Band A","Band B","B+ · Player-Coach","Band C","C+ · Player-Coach","Band D","Band E"),"Band X · Consultant")</f>
        <v>B+ · Player-Coach</v>
      </c>
      <c r="BI296" s="40" t="str">
        <f>IF(BG296=AY296,"• Same",IF(INDEX(B_VAL,MATCH(BG296,B_LVL,0))&gt;INDEX(B_VAL,MATCH(AY296,B_LVL,0)),"▲ Up","▼ Down"))</f>
        <v>• Same</v>
      </c>
      <c r="BJ296" s="40" t="str">
        <f>IF(OR($M296="",$M296="—",$M296="Not in this file"),"",IFERROR(INDEX($BG$7:$BG$592,MATCH($M296,$D$7:$D$592,0)),""))</f>
        <v>C2</v>
      </c>
      <c r="BK296" s="40" t="str">
        <f>IFERROR(IF(BJ296="","—",IF(OR(LEFT(BG296,1)="X",LEFT(BJ296,1)="X"),"—",IF(AND(LEFT(BG296,1)="E",LEFT(BJ296,1)="E"),"Exception · Band E",IF(AND(INDEX(B_VAL,MATCH(BJ296,B_LVL,0))&gt;=7,INDEX(B_RANK,MATCH(BG296,B_LVL,0))&gt;=INDEX(B_RANK,MATCH(BJ296,B_LVL,0))),"⚠ Same band as a head manager",IF(INDEX(B_VAL,MATCH(BG296,B_LVL,0))&gt;=INDEX(B_VAL,MATCH(BJ296,B_LVL,0)),"⚠ At or above the manager's level","OK"))))),"—")</f>
        <v>OK</v>
      </c>
      <c r="BL296" s="43" t="n"/>
      <c r="BM296" s="44">
        <f>IFERROR(INDEX(LMH_PTS,MATCH(Y296,LMH_KEY,0)),0)</f>
        <v>9</v>
      </c>
      <c r="BN296" s="38">
        <f>IFERROR(INDEX(LMH_PTS,MATCH(Z296,LMH_KEY,0)),0)</f>
        <v>3</v>
      </c>
      <c r="BO296" s="38">
        <f>IFERROR(INDEX(LMH_PTS,MATCH(AA296,LMH_KEY,0)),0)</f>
        <v>1</v>
      </c>
      <c r="BP296" s="38">
        <f>IFERROR(INDEX(LMH_PTS,MATCH(AB296,LMH_KEY,0)),0)</f>
        <v>3</v>
      </c>
      <c r="BQ296" s="38">
        <f>IFERROR(INDEX(LMH_PTS,MATCH(AC296,LMH_KEY,0)),0)</f>
        <v>1</v>
      </c>
      <c r="BR296" s="38">
        <f>IFERROR(INDEX(LMH_PTS,MATCH(AD296,LMH_KEY,0)),0)</f>
        <v>1</v>
      </c>
      <c r="BS296" s="38">
        <f>IFERROR(INDEX(LMH_PTS,MATCH(AE296,LMH_KEY,0)),0)</f>
        <v>1</v>
      </c>
      <c r="BT296" s="38">
        <f>IFERROR(INDEX(LMH_STEP,MATCH(AF296,LMH_KEY,0)),0)</f>
        <v>0</v>
      </c>
      <c r="BU296" s="38">
        <f>IFERROR(INDEX(LMH_STEP,MATCH(AG296,LMH_KEY,0)),0)</f>
        <v>0</v>
      </c>
      <c r="BV296" s="38">
        <f>IFERROR(INDEX(LMH_STEP,MATCH(AH296,LMH_KEY,0)),0)</f>
        <v>0</v>
      </c>
      <c r="BW296" s="38">
        <f>IFERROR(INDEX(LMH_STEP,MATCH(AI296,LMH_KEY,0)),0)</f>
        <v>0</v>
      </c>
      <c r="BX296" s="38">
        <f>IFERROR(INDEX(LMH_STEP,MATCH(AJ296,LMH_KEY,0)),0)</f>
        <v>0</v>
      </c>
      <c r="BY296" s="38">
        <f>IFERROR(INDEX(LMH_STEP,MATCH(AK296,LMH_KEY,0)),0)</f>
        <v>0</v>
      </c>
      <c r="BZ296" s="38">
        <f>IFERROR(INDEX(LMH_STEP,MATCH(AL296,LMH_KEY,0)),0)</f>
        <v>0</v>
      </c>
      <c r="CA296" s="38" t="inlineStr">
        <is>
          <t>iFile|Technology|Practice Lead – Project &amp; Program Delivery · Player-Coach|B+|B+</t>
        </is>
      </c>
    </row>
    <row r="297" ht="110" customHeight="1">
      <c r="A297" s="28" t="inlineStr">
        <is>
          <t>iFile</t>
        </is>
      </c>
      <c r="B297" s="29" t="inlineStr">
        <is>
          <t>Technology</t>
        </is>
      </c>
      <c r="C297" s="29" t="n">
        <v>4</v>
      </c>
      <c r="D297" s="29" t="inlineStr">
        <is>
          <t>IRIS2118</t>
        </is>
      </c>
      <c r="E297" s="29" t="inlineStr">
        <is>
          <t>Kimaya Mundlye</t>
        </is>
      </c>
      <c r="F297" s="29" t="inlineStr">
        <is>
          <t>Project Lead</t>
        </is>
      </c>
      <c r="G297" s="29" t="inlineStr">
        <is>
          <t>Delivery Manager</t>
        </is>
      </c>
      <c r="H297" s="29" t="inlineStr">
        <is>
          <t>Project &amp; Program Management</t>
        </is>
      </c>
      <c r="I297" s="29" t="inlineStr">
        <is>
          <t>Project &amp; Program Delivery</t>
        </is>
      </c>
      <c r="J297" s="29" t="inlineStr">
        <is>
          <t>People Manager</t>
        </is>
      </c>
      <c r="K297" s="29" t="inlineStr">
        <is>
          <t>RC-136</t>
        </is>
      </c>
      <c r="L297" s="29" t="inlineStr">
        <is>
          <t>Izharuddin Shaikh</t>
        </is>
      </c>
      <c r="M297" s="29" t="inlineStr">
        <is>
          <t>IRIS1712</t>
        </is>
      </c>
      <c r="N297" s="29" t="n">
        <v>18.2</v>
      </c>
      <c r="O297" s="29" t="n">
        <v>3.4</v>
      </c>
      <c r="P297" s="29" t="inlineStr">
        <is>
          <t>BA</t>
        </is>
      </c>
      <c r="Q297" s="29" t="inlineStr">
        <is>
          <t>L5 – Lead · IC</t>
        </is>
      </c>
      <c r="R297" s="29" t="inlineStr">
        <is>
          <t>B2</t>
        </is>
      </c>
      <c r="S297" s="30" t="inlineStr">
        <is>
          <t>19 of 20</t>
        </is>
      </c>
      <c r="T297" s="31"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t>
        </is>
      </c>
      <c r="U297"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297" s="31" t="inlineStr">
        <is>
          <t>Latest rating: 5 · Potential: High · 9-box: Future Leader · Readiness: Ready now</t>
        </is>
      </c>
      <c r="W297" s="31" t="inlineStr">
        <is>
          <t>C L · Au M · Ac M · L M · BI M · Exp H · 18.2 yrs vs 6–9 yrs · Edu M · BA</t>
        </is>
      </c>
      <c r="X297" s="33" t="inlineStr">
        <is>
          <t>Open ▸</t>
        </is>
      </c>
      <c r="Y297" s="34" t="str">
        <f>IFERROR(INDEX(DL_C,MATCH($CA297,DL_KEY,0)),"M")</f>
        <v>H</v>
      </c>
      <c r="Z297" s="35" t="str">
        <f>IFERROR(INDEX(DL_Au,MATCH($CA297,DL_KEY,0)),"M")</f>
        <v>M</v>
      </c>
      <c r="AA297" s="35" t="str">
        <f>IFERROR(INDEX(DL_Ac,MATCH($CA297,DL_KEY,0)),"M")</f>
        <v>L</v>
      </c>
      <c r="AB297" s="35" t="str">
        <f>IFERROR(INDEX(DL_L,MATCH($CA297,DL_KEY,0)),"M")</f>
        <v>M</v>
      </c>
      <c r="AC297" s="35" t="str">
        <f>IFERROR(INDEX(DL_BI,MATCH($CA297,DL_KEY,0)),"M")</f>
        <v>L</v>
      </c>
      <c r="AD297" s="35" t="str">
        <f>IFERROR(INDEX(DL_Exp,MATCH($CA297,DL_KEY,0)),"M")</f>
        <v>L</v>
      </c>
      <c r="AE297" s="35" t="str">
        <f>IFERROR(INDEX(DL_Edu,MATCH($CA297,DL_KEY,0)),"M")</f>
        <v>L</v>
      </c>
      <c r="AF297" s="34" t="inlineStr">
        <is>
          <t>M</t>
        </is>
      </c>
      <c r="AG297" s="35" t="inlineStr">
        <is>
          <t>M</t>
        </is>
      </c>
      <c r="AH297" s="35" t="inlineStr">
        <is>
          <t>M</t>
        </is>
      </c>
      <c r="AI297" s="35" t="inlineStr">
        <is>
          <t>M</t>
        </is>
      </c>
      <c r="AJ297" s="35" t="inlineStr">
        <is>
          <t>M</t>
        </is>
      </c>
      <c r="AK297" s="35" t="inlineStr">
        <is>
          <t>M</t>
        </is>
      </c>
      <c r="AL297" s="35" t="inlineStr">
        <is>
          <t>M</t>
        </is>
      </c>
      <c r="AM297" s="36" t="n">
        <v>0.37</v>
      </c>
      <c r="AN297" s="37" t="n">
        <v>0.183</v>
      </c>
      <c r="AO297" s="37" t="n">
        <v>0.113</v>
      </c>
      <c r="AP297" s="37" t="n">
        <v>0.15</v>
      </c>
      <c r="AQ297" s="37" t="n">
        <v>0.08699999999999999</v>
      </c>
      <c r="AR297" s="37" t="n">
        <v>0.06</v>
      </c>
      <c r="AS297" s="37" t="n">
        <v>0.04</v>
      </c>
      <c r="AT297" s="38" t="inlineStr">
        <is>
          <t>6–10</t>
        </is>
      </c>
      <c r="AU297" s="38" t="inlineStr">
        <is>
          <t>Graduate or postgraduate; professional qualification preferred</t>
        </is>
      </c>
      <c r="AV297" s="38" t="inlineStr">
        <is>
          <t>IC: none · People: 6–8 knowledge work, 8–12 standardised delivery</t>
        </is>
      </c>
      <c r="AW297" s="38" t="inlineStr">
        <is>
          <t>P4 / M3 · SFIA 4–5</t>
        </is>
      </c>
      <c r="AX2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7" s="39" t="inlineStr">
        <is>
          <t>B2</t>
        </is>
      </c>
      <c r="AZ297" s="40" t="inlineStr">
        <is>
          <t>Band B · Specialist / Manager · Manager</t>
        </is>
      </c>
      <c r="BA297" s="40" t="inlineStr">
        <is>
          <t>Model B2 from the six ratings, the market-derived weights and rules R1–R13 · then No change · already below the manager</t>
        </is>
      </c>
      <c r="BB297" s="41" t="inlineStr">
        <is>
          <t>B2</t>
        </is>
      </c>
      <c r="BC297" s="40" t="inlineStr">
        <is>
          <t>The six ratings on the market-average weights of Band B · People Manager score 5.20 → B2 · Hay, Mercer IPE and public plans · experience 18.2 yrs vs the B2 market range 6–10</t>
        </is>
      </c>
      <c r="BD297" s="42">
        <f>IF(SUM(BM297,BN297,BO297,BP297,BQ297,BR297,BS297)=0,0,(BM297*BT297+BN297*BU297+BO297*BV297+BP297*BW297+BQ297*BX297+BR297*BY297+BS297*BZ297)/SUM(BM297,BN297,BO297,BP297,BQ297,BR297,BS297))</f>
        <v>0</v>
      </c>
      <c r="BE297" s="41" t="str">
        <f>IF(LEFT(AY297,1)="X",AY297,IF(OR(AY297="B+",AY297="C+"),INDEX(LAD_PC,MAX(1,MIN(14,MATCH(AY297,LAD_PC,0)+IF(BD297&gt;=0.5,1,IF(BD297&lt;=-0.5,-1,0))))),INDEX(LAD_STD,MAX(1,MIN(12,MATCH(AY297,LAD_STD,0)+IF(BD297&gt;=0.5,1,IF(BD297&lt;=-0.5,-1,0)))))))</f>
        <v>B2</v>
      </c>
      <c r="BF297" s="43" t="n"/>
      <c r="BG297" s="41" t="str">
        <f>IF(BF297&lt;&gt;"",BF297,BE297)</f>
        <v>B2</v>
      </c>
      <c r="BH297" s="40" t="str">
        <f>IFERROR(CHOOSE(INDEX(B_RANK,MATCH(BG297,B_LVL,0)),"Band A","Band B","B+ · Player-Coach","Band C","C+ · Player-Coach","Band D","Band E"),"Band X · Consultant")</f>
        <v>Band B</v>
      </c>
      <c r="BI297" s="40" t="str">
        <f>IF(BG297=AY297,"• Same",IF(INDEX(B_VAL,MATCH(BG297,B_LVL,0))&gt;INDEX(B_VAL,MATCH(AY297,B_LVL,0)),"▲ Up","▼ Down"))</f>
        <v>• Same</v>
      </c>
      <c r="BJ297" s="40" t="str">
        <f>IF(OR($M297="",$M297="—",$M297="Not in this file"),"",IFERROR(INDEX($BG$7:$BG$592,MATCH($M297,$D$7:$D$592,0)),""))</f>
        <v>B+</v>
      </c>
      <c r="BK297" s="40" t="str">
        <f>IFERROR(IF(BJ297="","—",IF(OR(LEFT(BG297,1)="X",LEFT(BJ297,1)="X"),"—",IF(AND(LEFT(BG297,1)="E",LEFT(BJ297,1)="E"),"Exception · Band E",IF(AND(INDEX(B_VAL,MATCH(BJ297,B_LVL,0))&gt;=7,INDEX(B_RANK,MATCH(BG297,B_LVL,0))&gt;=INDEX(B_RANK,MATCH(BJ297,B_LVL,0))),"⚠ Same band as a head manager",IF(INDEX(B_VAL,MATCH(BG297,B_LVL,0))&gt;=INDEX(B_VAL,MATCH(BJ297,B_LVL,0)),"⚠ At or above the manager's level","OK"))))),"—")</f>
        <v>OK</v>
      </c>
      <c r="BL297" s="43" t="n"/>
      <c r="BM297" s="44">
        <f>IFERROR(INDEX(LMH_PTS,MATCH(Y297,LMH_KEY,0)),0)</f>
        <v>9</v>
      </c>
      <c r="BN297" s="38">
        <f>IFERROR(INDEX(LMH_PTS,MATCH(Z297,LMH_KEY,0)),0)</f>
        <v>3</v>
      </c>
      <c r="BO297" s="38">
        <f>IFERROR(INDEX(LMH_PTS,MATCH(AA297,LMH_KEY,0)),0)</f>
        <v>1</v>
      </c>
      <c r="BP297" s="38">
        <f>IFERROR(INDEX(LMH_PTS,MATCH(AB297,LMH_KEY,0)),0)</f>
        <v>3</v>
      </c>
      <c r="BQ297" s="38">
        <f>IFERROR(INDEX(LMH_PTS,MATCH(AC297,LMH_KEY,0)),0)</f>
        <v>1</v>
      </c>
      <c r="BR297" s="38">
        <f>IFERROR(INDEX(LMH_PTS,MATCH(AD297,LMH_KEY,0)),0)</f>
        <v>1</v>
      </c>
      <c r="BS297" s="38">
        <f>IFERROR(INDEX(LMH_PTS,MATCH(AE297,LMH_KEY,0)),0)</f>
        <v>1</v>
      </c>
      <c r="BT297" s="38">
        <f>IFERROR(INDEX(LMH_STEP,MATCH(AF297,LMH_KEY,0)),0)</f>
        <v>0</v>
      </c>
      <c r="BU297" s="38">
        <f>IFERROR(INDEX(LMH_STEP,MATCH(AG297,LMH_KEY,0)),0)</f>
        <v>0</v>
      </c>
      <c r="BV297" s="38">
        <f>IFERROR(INDEX(LMH_STEP,MATCH(AH297,LMH_KEY,0)),0)</f>
        <v>0</v>
      </c>
      <c r="BW297" s="38">
        <f>IFERROR(INDEX(LMH_STEP,MATCH(AI297,LMH_KEY,0)),0)</f>
        <v>0</v>
      </c>
      <c r="BX297" s="38">
        <f>IFERROR(INDEX(LMH_STEP,MATCH(AJ297,LMH_KEY,0)),0)</f>
        <v>0</v>
      </c>
      <c r="BY297" s="38">
        <f>IFERROR(INDEX(LMH_STEP,MATCH(AK297,LMH_KEY,0)),0)</f>
        <v>0</v>
      </c>
      <c r="BZ297" s="38">
        <f>IFERROR(INDEX(LMH_STEP,MATCH(AL297,LMH_KEY,0)),0)</f>
        <v>0</v>
      </c>
      <c r="CA297" s="38" t="inlineStr">
        <is>
          <t>iFile|Technology|Delivery Manager|B2|B-M</t>
        </is>
      </c>
    </row>
    <row r="298" ht="110" customHeight="1">
      <c r="A298" s="28" t="inlineStr">
        <is>
          <t>iFile</t>
        </is>
      </c>
      <c r="B298" s="29" t="inlineStr">
        <is>
          <t>Technology</t>
        </is>
      </c>
      <c r="C298" s="29" t="n">
        <v>5</v>
      </c>
      <c r="D298" s="29" t="inlineStr">
        <is>
          <t>IRIS1817</t>
        </is>
      </c>
      <c r="E298" s="29" t="inlineStr">
        <is>
          <t>Arpit Pagaria</t>
        </is>
      </c>
      <c r="F298" s="29" t="inlineStr">
        <is>
          <t>Tech Lead</t>
        </is>
      </c>
      <c r="G298" s="29" t="inlineStr">
        <is>
          <t>Senior Technical Specialist – POD Lead</t>
        </is>
      </c>
      <c r="H298" s="29" t="inlineStr">
        <is>
          <t>Engineering &amp; Development</t>
        </is>
      </c>
      <c r="I298" s="29" t="inlineStr">
        <is>
          <t>Backend Development</t>
        </is>
      </c>
      <c r="J298" s="29" t="inlineStr">
        <is>
          <t>POD Lead</t>
        </is>
      </c>
      <c r="K298" s="29" t="inlineStr">
        <is>
          <t>RC-069</t>
        </is>
      </c>
      <c r="L298" s="29" t="inlineStr">
        <is>
          <t>Kimaya Mundlye</t>
        </is>
      </c>
      <c r="M298" s="29" t="inlineStr">
        <is>
          <t>IRIS2118</t>
        </is>
      </c>
      <c r="N298" s="29" t="n">
        <v>15.2</v>
      </c>
      <c r="O298" s="29" t="n">
        <v>6.9</v>
      </c>
      <c r="P298" s="29" t="inlineStr">
        <is>
          <t>B.Tech</t>
        </is>
      </c>
      <c r="Q298" s="29" t="inlineStr">
        <is>
          <t>L5 – Lead · IC</t>
        </is>
      </c>
      <c r="R298" s="29" t="inlineStr">
        <is>
          <t>B2</t>
        </is>
      </c>
      <c r="S298" s="30" t="inlineStr">
        <is>
          <t>20 of 20</t>
        </is>
      </c>
      <c r="T298" s="31"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t>
        </is>
      </c>
      <c r="U298"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98" s="31" t="inlineStr">
        <is>
          <t>Latest rating: 5 · Potential: High · 9-box: Future Leader · Readiness: Ready now</t>
        </is>
      </c>
      <c r="W298" s="31" t="inlineStr">
        <is>
          <t>C M · Au M · Ac M · L M · BI M · Exp H · 15.2 yrs vs 4–7 yrs · Edu M · B.Tech</t>
        </is>
      </c>
      <c r="X298" s="33" t="inlineStr">
        <is>
          <t>Open ▸</t>
        </is>
      </c>
      <c r="Y298" s="34" t="str">
        <f>IFERROR(INDEX(DL_C,MATCH($CA298,DL_KEY,0)),"M")</f>
        <v>H</v>
      </c>
      <c r="Z298" s="35" t="str">
        <f>IFERROR(INDEX(DL_Au,MATCH($CA298,DL_KEY,0)),"M")</f>
        <v>M</v>
      </c>
      <c r="AA298" s="35" t="str">
        <f>IFERROR(INDEX(DL_Ac,MATCH($CA298,DL_KEY,0)),"M")</f>
        <v>L</v>
      </c>
      <c r="AB298" s="35" t="str">
        <f>IFERROR(INDEX(DL_L,MATCH($CA298,DL_KEY,0)),"M")</f>
        <v>L</v>
      </c>
      <c r="AC298" s="35" t="str">
        <f>IFERROR(INDEX(DL_BI,MATCH($CA298,DL_KEY,0)),"M")</f>
        <v>L</v>
      </c>
      <c r="AD298" s="35" t="str">
        <f>IFERROR(INDEX(DL_Exp,MATCH($CA298,DL_KEY,0)),"M")</f>
        <v>L</v>
      </c>
      <c r="AE298" s="35" t="str">
        <f>IFERROR(INDEX(DL_Edu,MATCH($CA298,DL_KEY,0)),"M")</f>
        <v>L</v>
      </c>
      <c r="AF298" s="34" t="inlineStr">
        <is>
          <t>M</t>
        </is>
      </c>
      <c r="AG298" s="35" t="inlineStr">
        <is>
          <t>M</t>
        </is>
      </c>
      <c r="AH298" s="35" t="inlineStr">
        <is>
          <t>M</t>
        </is>
      </c>
      <c r="AI298" s="35" t="inlineStr">
        <is>
          <t>M</t>
        </is>
      </c>
      <c r="AJ298" s="35" t="inlineStr">
        <is>
          <t>M</t>
        </is>
      </c>
      <c r="AK298" s="35" t="inlineStr">
        <is>
          <t>M</t>
        </is>
      </c>
      <c r="AL298" s="35" t="inlineStr">
        <is>
          <t>M</t>
        </is>
      </c>
      <c r="AM298" s="36" t="n">
        <v>0.513</v>
      </c>
      <c r="AN298" s="37" t="n">
        <v>0.173</v>
      </c>
      <c r="AO298" s="37" t="n">
        <v>0.09699999999999999</v>
      </c>
      <c r="AP298" s="37" t="n">
        <v>0.05</v>
      </c>
      <c r="AQ298" s="37" t="n">
        <v>0.07000000000000001</v>
      </c>
      <c r="AR298" s="37" t="n">
        <v>0.06</v>
      </c>
      <c r="AS298" s="37" t="n">
        <v>0.04</v>
      </c>
      <c r="AT298" s="38" t="inlineStr">
        <is>
          <t>4–8</t>
        </is>
      </c>
      <c r="AU298" s="38" t="inlineStr">
        <is>
          <t>Graduate + relevant qualification or certification preferred</t>
        </is>
      </c>
      <c r="AV298" s="38" t="inlineStr">
        <is>
          <t>IC: none · Team Lead: 3–5</t>
        </is>
      </c>
      <c r="AW298" s="38" t="inlineStr">
        <is>
          <t>P3 / M2 · SFIA 4 Enable</t>
        </is>
      </c>
      <c r="AX2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8" s="39" t="inlineStr">
        <is>
          <t>B1</t>
        </is>
      </c>
      <c r="AZ298" s="40" t="inlineStr">
        <is>
          <t>Band B · Specialist / Manager · Team Lead / Asst Manager</t>
        </is>
      </c>
      <c r="BA298" s="40" t="inlineStr">
        <is>
          <t>Model B2 from the six ratings, the market-derived weights and rules R1–R13 · then Level rule: manager B2; a reportee sits at least one level below · B2 → B1 · move down · pay and title protected for one cycle</t>
        </is>
      </c>
      <c r="BB298" s="41" t="inlineStr">
        <is>
          <t>B2</t>
        </is>
      </c>
      <c r="BC298" s="40" t="inlineStr">
        <is>
          <t>The six ratings on the market-average weights of Band B · Specialist / POD Lead score 4.74 → B2 · Hay, Mercer IPE and public plans · experience 15.2 yrs vs the B2 market range 6–10</t>
        </is>
      </c>
      <c r="BD298" s="42">
        <f>IF(SUM(BM298,BN298,BO298,BP298,BQ298,BR298,BS298)=0,0,(BM298*BT298+BN298*BU298+BO298*BV298+BP298*BW298+BQ298*BX298+BR298*BY298+BS298*BZ298)/SUM(BM298,BN298,BO298,BP298,BQ298,BR298,BS298))</f>
        <v>0</v>
      </c>
      <c r="BE298" s="41" t="str">
        <f>IF(LEFT(AY298,1)="X",AY298,IF(OR(AY298="B+",AY298="C+"),INDEX(LAD_PC,MAX(1,MIN(14,MATCH(AY298,LAD_PC,0)+IF(BD298&gt;=0.5,1,IF(BD298&lt;=-0.5,-1,0))))),INDEX(LAD_STD,MAX(1,MIN(12,MATCH(AY298,LAD_STD,0)+IF(BD298&gt;=0.5,1,IF(BD298&lt;=-0.5,-1,0)))))))</f>
        <v>B1</v>
      </c>
      <c r="BF298" s="43" t="n"/>
      <c r="BG298" s="41" t="str">
        <f>IF(BF298&lt;&gt;"",BF298,BE298)</f>
        <v>B1</v>
      </c>
      <c r="BH298" s="40" t="str">
        <f>IFERROR(CHOOSE(INDEX(B_RANK,MATCH(BG298,B_LVL,0)),"Band A","Band B","B+ · Player-Coach","Band C","C+ · Player-Coach","Band D","Band E"),"Band X · Consultant")</f>
        <v>Band B</v>
      </c>
      <c r="BI298" s="40" t="str">
        <f>IF(BG298=AY298,"• Same",IF(INDEX(B_VAL,MATCH(BG298,B_LVL,0))&gt;INDEX(B_VAL,MATCH(AY298,B_LVL,0)),"▲ Up","▼ Down"))</f>
        <v>• Same</v>
      </c>
      <c r="BJ298" s="40" t="str">
        <f>IF(OR($M298="",$M298="—",$M298="Not in this file"),"",IFERROR(INDEX($BG$7:$BG$592,MATCH($M298,$D$7:$D$592,0)),""))</f>
        <v>B2</v>
      </c>
      <c r="BK298" s="40" t="str">
        <f>IFERROR(IF(BJ298="","—",IF(OR(LEFT(BG298,1)="X",LEFT(BJ298,1)="X"),"—",IF(AND(LEFT(BG298,1)="E",LEFT(BJ298,1)="E"),"Exception · Band E",IF(AND(INDEX(B_VAL,MATCH(BJ298,B_LVL,0))&gt;=7,INDEX(B_RANK,MATCH(BG298,B_LVL,0))&gt;=INDEX(B_RANK,MATCH(BJ298,B_LVL,0))),"⚠ Same band as a head manager",IF(INDEX(B_VAL,MATCH(BG298,B_LVL,0))&gt;=INDEX(B_VAL,MATCH(BJ298,B_LVL,0)),"⚠ At or above the manager's level","OK"))))),"—")</f>
        <v>OK</v>
      </c>
      <c r="BL298" s="43" t="n"/>
      <c r="BM298" s="44">
        <f>IFERROR(INDEX(LMH_PTS,MATCH(Y298,LMH_KEY,0)),0)</f>
        <v>9</v>
      </c>
      <c r="BN298" s="38">
        <f>IFERROR(INDEX(LMH_PTS,MATCH(Z298,LMH_KEY,0)),0)</f>
        <v>3</v>
      </c>
      <c r="BO298" s="38">
        <f>IFERROR(INDEX(LMH_PTS,MATCH(AA298,LMH_KEY,0)),0)</f>
        <v>1</v>
      </c>
      <c r="BP298" s="38">
        <f>IFERROR(INDEX(LMH_PTS,MATCH(AB298,LMH_KEY,0)),0)</f>
        <v>1</v>
      </c>
      <c r="BQ298" s="38">
        <f>IFERROR(INDEX(LMH_PTS,MATCH(AC298,LMH_KEY,0)),0)</f>
        <v>1</v>
      </c>
      <c r="BR298" s="38">
        <f>IFERROR(INDEX(LMH_PTS,MATCH(AD298,LMH_KEY,0)),0)</f>
        <v>1</v>
      </c>
      <c r="BS298" s="38">
        <f>IFERROR(INDEX(LMH_PTS,MATCH(AE298,LMH_KEY,0)),0)</f>
        <v>1</v>
      </c>
      <c r="BT298" s="38">
        <f>IFERROR(INDEX(LMH_STEP,MATCH(AF298,LMH_KEY,0)),0)</f>
        <v>0</v>
      </c>
      <c r="BU298" s="38">
        <f>IFERROR(INDEX(LMH_STEP,MATCH(AG298,LMH_KEY,0)),0)</f>
        <v>0</v>
      </c>
      <c r="BV298" s="38">
        <f>IFERROR(INDEX(LMH_STEP,MATCH(AH298,LMH_KEY,0)),0)</f>
        <v>0</v>
      </c>
      <c r="BW298" s="38">
        <f>IFERROR(INDEX(LMH_STEP,MATCH(AI298,LMH_KEY,0)),0)</f>
        <v>0</v>
      </c>
      <c r="BX298" s="38">
        <f>IFERROR(INDEX(LMH_STEP,MATCH(AJ298,LMH_KEY,0)),0)</f>
        <v>0</v>
      </c>
      <c r="BY298" s="38">
        <f>IFERROR(INDEX(LMH_STEP,MATCH(AK298,LMH_KEY,0)),0)</f>
        <v>0</v>
      </c>
      <c r="BZ298" s="38">
        <f>IFERROR(INDEX(LMH_STEP,MATCH(AL298,LMH_KEY,0)),0)</f>
        <v>0</v>
      </c>
      <c r="CA298" s="38" t="inlineStr">
        <is>
          <t>iFile|Technology|Senior Technical Specialist – POD Lead|B1|B-IC</t>
        </is>
      </c>
    </row>
    <row r="299" ht="110" customHeight="1">
      <c r="A299" s="28" t="inlineStr">
        <is>
          <t>iFile</t>
        </is>
      </c>
      <c r="B299" s="29" t="inlineStr">
        <is>
          <t>Technology</t>
        </is>
      </c>
      <c r="C299" s="29" t="n">
        <v>6</v>
      </c>
      <c r="D299" s="29" t="inlineStr">
        <is>
          <t>IRIS2501</t>
        </is>
      </c>
      <c r="E299" s="29" t="inlineStr">
        <is>
          <t>Abhishek Kadam</t>
        </is>
      </c>
      <c r="F299" s="29" t="inlineStr">
        <is>
          <t>Software Engineer</t>
        </is>
      </c>
      <c r="G299" s="29" t="inlineStr">
        <is>
          <t>Senior Software Engineer</t>
        </is>
      </c>
      <c r="H299" s="29" t="inlineStr">
        <is>
          <t>Engineering &amp; Development</t>
        </is>
      </c>
      <c r="I299" s="29" t="inlineStr">
        <is>
          <t>Backend Development</t>
        </is>
      </c>
      <c r="J299" s="29" t="inlineStr">
        <is>
          <t>IC</t>
        </is>
      </c>
      <c r="K299" s="29" t="inlineStr">
        <is>
          <t>RC-067</t>
        </is>
      </c>
      <c r="L299" s="29" t="inlineStr">
        <is>
          <t>Arpit Pagaria</t>
        </is>
      </c>
      <c r="M299" s="29" t="inlineStr">
        <is>
          <t>IRIS1817</t>
        </is>
      </c>
      <c r="N299" s="29" t="n">
        <v>2.5</v>
      </c>
      <c r="O299" s="29" t="n">
        <v>0.5</v>
      </c>
      <c r="P299" s="29" t="inlineStr">
        <is>
          <t>B.Tech</t>
        </is>
      </c>
      <c r="Q299" s="29" t="inlineStr">
        <is>
          <t>L3 – Professional / Associate</t>
        </is>
      </c>
      <c r="R299" s="29" t="inlineStr">
        <is>
          <t>A3</t>
        </is>
      </c>
      <c r="S299" s="30" t="inlineStr">
        <is>
          <t>20 of 20</t>
        </is>
      </c>
      <c r="T299" s="31"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t>
        </is>
      </c>
      <c r="U299"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9" s="31" t="inlineStr">
        <is>
          <t>Latest rating: 2 · Potential: Medium · 9-box: Emerging Talent · Readiness: Performance first</t>
        </is>
      </c>
      <c r="W299" s="31" t="inlineStr">
        <is>
          <t>C L · Au L · Ac L · L L · BI L · Exp M · 2.5 yrs vs 2–4 yrs · Edu M · B.Tech</t>
        </is>
      </c>
      <c r="X299" s="33" t="inlineStr">
        <is>
          <t>Open ▸</t>
        </is>
      </c>
      <c r="Y299" s="34" t="str">
        <f>IFERROR(INDEX(DL_C,MATCH($CA299,DL_KEY,0)),"M")</f>
        <v>H</v>
      </c>
      <c r="Z299" s="35" t="str">
        <f>IFERROR(INDEX(DL_Au,MATCH($CA299,DL_KEY,0)),"M")</f>
        <v>M</v>
      </c>
      <c r="AA299" s="35" t="str">
        <f>IFERROR(INDEX(DL_Ac,MATCH($CA299,DL_KEY,0)),"M")</f>
        <v>L</v>
      </c>
      <c r="AB299" s="35" t="str">
        <f>IFERROR(INDEX(DL_L,MATCH($CA299,DL_KEY,0)),"M")</f>
        <v>L</v>
      </c>
      <c r="AC299" s="35" t="str">
        <f>IFERROR(INDEX(DL_BI,MATCH($CA299,DL_KEY,0)),"M")</f>
        <v>L</v>
      </c>
      <c r="AD299" s="35" t="str">
        <f>IFERROR(INDEX(DL_Exp,MATCH($CA299,DL_KEY,0)),"M")</f>
        <v>L</v>
      </c>
      <c r="AE299" s="35" t="str">
        <f>IFERROR(INDEX(DL_Edu,MATCH($CA299,DL_KEY,0)),"M")</f>
        <v>L</v>
      </c>
      <c r="AF299" s="34" t="inlineStr">
        <is>
          <t>M</t>
        </is>
      </c>
      <c r="AG299" s="35" t="inlineStr">
        <is>
          <t>M</t>
        </is>
      </c>
      <c r="AH299" s="35" t="inlineStr">
        <is>
          <t>M</t>
        </is>
      </c>
      <c r="AI299" s="35" t="inlineStr">
        <is>
          <t>M</t>
        </is>
      </c>
      <c r="AJ299" s="35" t="inlineStr">
        <is>
          <t>M</t>
        </is>
      </c>
      <c r="AK299" s="35" t="inlineStr">
        <is>
          <t>M</t>
        </is>
      </c>
      <c r="AL299" s="35" t="inlineStr">
        <is>
          <t>M</t>
        </is>
      </c>
      <c r="AM299" s="36" t="n">
        <v>0.583</v>
      </c>
      <c r="AN299" s="37" t="n">
        <v>0.16</v>
      </c>
      <c r="AO299" s="37" t="n">
        <v>0.09</v>
      </c>
      <c r="AP299" s="37" t="n">
        <v>0</v>
      </c>
      <c r="AQ299" s="37" t="n">
        <v>0.063</v>
      </c>
      <c r="AR299" s="37" t="n">
        <v>0.06</v>
      </c>
      <c r="AS299" s="37" t="n">
        <v>0.04</v>
      </c>
      <c r="AT299" s="38" t="inlineStr">
        <is>
          <t>2–5</t>
        </is>
      </c>
      <c r="AU299" s="38" t="inlineStr">
        <is>
          <t>Graduate; relevant certification preferred</t>
        </is>
      </c>
      <c r="AV299" s="38" t="inlineStr">
        <is>
          <t>None · guides 1–3 juniors informally</t>
        </is>
      </c>
      <c r="AW299" s="38" t="inlineStr">
        <is>
          <t>P2 · SFIA 3 Apply</t>
        </is>
      </c>
      <c r="AX2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9" s="39" t="inlineStr">
        <is>
          <t>A3</t>
        </is>
      </c>
      <c r="AZ299" s="40" t="inlineStr">
        <is>
          <t>Band A · Practitioner · Senior Associate</t>
        </is>
      </c>
      <c r="BA299" s="40" t="inlineStr">
        <is>
          <t>Model A3 from the six ratings, the market-derived weights and rules R1–R13 · then No change · already below the manager</t>
        </is>
      </c>
      <c r="BB299" s="41" t="inlineStr">
        <is>
          <t>A2</t>
        </is>
      </c>
      <c r="BC299" s="40" t="inlineStr">
        <is>
          <t>The six ratings on the market-average weights of Band A · all tracks score 2.10 → A2 · Hay, Mercer IPE and public plans · experience 2.5 yrs vs the A2 market range 0–3</t>
        </is>
      </c>
      <c r="BD299" s="42">
        <f>IF(SUM(BM299,BN299,BO299,BP299,BQ299,BR299,BS299)=0,0,(BM299*BT299+BN299*BU299+BO299*BV299+BP299*BW299+BQ299*BX299+BR299*BY299+BS299*BZ299)/SUM(BM299,BN299,BO299,BP299,BQ299,BR299,BS299))</f>
        <v>0</v>
      </c>
      <c r="BE299" s="41" t="str">
        <f>IF(LEFT(AY299,1)="X",AY299,IF(OR(AY299="B+",AY299="C+"),INDEX(LAD_PC,MAX(1,MIN(14,MATCH(AY299,LAD_PC,0)+IF(BD299&gt;=0.5,1,IF(BD299&lt;=-0.5,-1,0))))),INDEX(LAD_STD,MAX(1,MIN(12,MATCH(AY299,LAD_STD,0)+IF(BD299&gt;=0.5,1,IF(BD299&lt;=-0.5,-1,0)))))))</f>
        <v>A3</v>
      </c>
      <c r="BF299" s="43" t="n"/>
      <c r="BG299" s="41" t="str">
        <f>IF(BF299&lt;&gt;"",BF299,BE299)</f>
        <v>A3</v>
      </c>
      <c r="BH299" s="40" t="str">
        <f>IFERROR(CHOOSE(INDEX(B_RANK,MATCH(BG299,B_LVL,0)),"Band A","Band B","B+ · Player-Coach","Band C","C+ · Player-Coach","Band D","Band E"),"Band X · Consultant")</f>
        <v>Band A</v>
      </c>
      <c r="BI299" s="40" t="str">
        <f>IF(BG299=AY299,"• Same",IF(INDEX(B_VAL,MATCH(BG299,B_LVL,0))&gt;INDEX(B_VAL,MATCH(AY299,B_LVL,0)),"▲ Up","▼ Down"))</f>
        <v>• Same</v>
      </c>
      <c r="BJ299" s="40" t="str">
        <f>IF(OR($M299="",$M299="—",$M299="Not in this file"),"",IFERROR(INDEX($BG$7:$BG$592,MATCH($M299,$D$7:$D$592,0)),""))</f>
        <v>B1</v>
      </c>
      <c r="BK299" s="40" t="str">
        <f>IFERROR(IF(BJ299="","—",IF(OR(LEFT(BG299,1)="X",LEFT(BJ299,1)="X"),"—",IF(AND(LEFT(BG299,1)="E",LEFT(BJ299,1)="E"),"Exception · Band E",IF(AND(INDEX(B_VAL,MATCH(BJ299,B_LVL,0))&gt;=7,INDEX(B_RANK,MATCH(BG299,B_LVL,0))&gt;=INDEX(B_RANK,MATCH(BJ299,B_LVL,0))),"⚠ Same band as a head manager",IF(INDEX(B_VAL,MATCH(BG299,B_LVL,0))&gt;=INDEX(B_VAL,MATCH(BJ299,B_LVL,0)),"⚠ At or above the manager's level","OK"))))),"—")</f>
        <v>OK</v>
      </c>
      <c r="BL299" s="43" t="n"/>
      <c r="BM299" s="44">
        <f>IFERROR(INDEX(LMH_PTS,MATCH(Y299,LMH_KEY,0)),0)</f>
        <v>9</v>
      </c>
      <c r="BN299" s="38">
        <f>IFERROR(INDEX(LMH_PTS,MATCH(Z299,LMH_KEY,0)),0)</f>
        <v>3</v>
      </c>
      <c r="BO299" s="38">
        <f>IFERROR(INDEX(LMH_PTS,MATCH(AA299,LMH_KEY,0)),0)</f>
        <v>1</v>
      </c>
      <c r="BP299" s="38">
        <f>IFERROR(INDEX(LMH_PTS,MATCH(AB299,LMH_KEY,0)),0)</f>
        <v>1</v>
      </c>
      <c r="BQ299" s="38">
        <f>IFERROR(INDEX(LMH_PTS,MATCH(AC299,LMH_KEY,0)),0)</f>
        <v>1</v>
      </c>
      <c r="BR299" s="38">
        <f>IFERROR(INDEX(LMH_PTS,MATCH(AD299,LMH_KEY,0)),0)</f>
        <v>1</v>
      </c>
      <c r="BS299" s="38">
        <f>IFERROR(INDEX(LMH_PTS,MATCH(AE299,LMH_KEY,0)),0)</f>
        <v>1</v>
      </c>
      <c r="BT299" s="38">
        <f>IFERROR(INDEX(LMH_STEP,MATCH(AF299,LMH_KEY,0)),0)</f>
        <v>0</v>
      </c>
      <c r="BU299" s="38">
        <f>IFERROR(INDEX(LMH_STEP,MATCH(AG299,LMH_KEY,0)),0)</f>
        <v>0</v>
      </c>
      <c r="BV299" s="38">
        <f>IFERROR(INDEX(LMH_STEP,MATCH(AH299,LMH_KEY,0)),0)</f>
        <v>0</v>
      </c>
      <c r="BW299" s="38">
        <f>IFERROR(INDEX(LMH_STEP,MATCH(AI299,LMH_KEY,0)),0)</f>
        <v>0</v>
      </c>
      <c r="BX299" s="38">
        <f>IFERROR(INDEX(LMH_STEP,MATCH(AJ299,LMH_KEY,0)),0)</f>
        <v>0</v>
      </c>
      <c r="BY299" s="38">
        <f>IFERROR(INDEX(LMH_STEP,MATCH(AK299,LMH_KEY,0)),0)</f>
        <v>0</v>
      </c>
      <c r="BZ299" s="38">
        <f>IFERROR(INDEX(LMH_STEP,MATCH(AL299,LMH_KEY,0)),0)</f>
        <v>0</v>
      </c>
      <c r="CA299" s="38" t="inlineStr">
        <is>
          <t>iFile|Technology|Senior Software Engineer|A3|A</t>
        </is>
      </c>
    </row>
    <row r="300" ht="110" customHeight="1">
      <c r="A300" s="28" t="inlineStr">
        <is>
          <t>iFile</t>
        </is>
      </c>
      <c r="B300" s="29" t="inlineStr">
        <is>
          <t>Technology</t>
        </is>
      </c>
      <c r="C300" s="29" t="n">
        <v>6</v>
      </c>
      <c r="D300" s="29" t="inlineStr">
        <is>
          <t>IRIS2074</t>
        </is>
      </c>
      <c r="E300" s="29" t="inlineStr">
        <is>
          <t>Govind Chidrawar</t>
        </is>
      </c>
      <c r="F300" s="29" t="inlineStr">
        <is>
          <t>Senior Software Engineer</t>
        </is>
      </c>
      <c r="G300" s="29" t="inlineStr">
        <is>
          <t>Senior Software Engineer</t>
        </is>
      </c>
      <c r="H300" s="29" t="inlineStr">
        <is>
          <t>Engineering &amp; Development</t>
        </is>
      </c>
      <c r="I300" s="29" t="inlineStr">
        <is>
          <t>Backend Development</t>
        </is>
      </c>
      <c r="J300" s="29" t="inlineStr">
        <is>
          <t>IC</t>
        </is>
      </c>
      <c r="K300" s="29" t="inlineStr">
        <is>
          <t>RC-067</t>
        </is>
      </c>
      <c r="L300" s="29" t="inlineStr">
        <is>
          <t>Arpit Pagaria</t>
        </is>
      </c>
      <c r="M300" s="29" t="inlineStr">
        <is>
          <t>IRIS1817</t>
        </is>
      </c>
      <c r="N300" s="29" t="n">
        <v>6.1</v>
      </c>
      <c r="O300" s="29" t="n">
        <v>3.9</v>
      </c>
      <c r="P300" s="29" t="inlineStr">
        <is>
          <t>B.E</t>
        </is>
      </c>
      <c r="Q300" s="29" t="inlineStr">
        <is>
          <t>L4 – Senior</t>
        </is>
      </c>
      <c r="R300" s="29" t="inlineStr">
        <is>
          <t>A3</t>
        </is>
      </c>
      <c r="S300" s="30" t="inlineStr">
        <is>
          <t>20 of 20</t>
        </is>
      </c>
      <c r="T300" s="31"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t>
        </is>
      </c>
      <c r="U300"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0" s="31" t="inlineStr">
        <is>
          <t>Latest rating: 4 · Potential: High · 9-box: High Impact / Growth Talent · Readiness: Ready now</t>
        </is>
      </c>
      <c r="W300" s="31" t="inlineStr">
        <is>
          <t>C M · Au M · Ac M · L M · BI M · Exp H · 6.1 yrs vs 2–4 yrs · Edu M · B.E</t>
        </is>
      </c>
      <c r="X300" s="33" t="inlineStr">
        <is>
          <t>Open ▸</t>
        </is>
      </c>
      <c r="Y300" s="34" t="str">
        <f>IFERROR(INDEX(DL_C,MATCH($CA300,DL_KEY,0)),"M")</f>
        <v>H</v>
      </c>
      <c r="Z300" s="35" t="str">
        <f>IFERROR(INDEX(DL_Au,MATCH($CA300,DL_KEY,0)),"M")</f>
        <v>M</v>
      </c>
      <c r="AA300" s="35" t="str">
        <f>IFERROR(INDEX(DL_Ac,MATCH($CA300,DL_KEY,0)),"M")</f>
        <v>L</v>
      </c>
      <c r="AB300" s="35" t="str">
        <f>IFERROR(INDEX(DL_L,MATCH($CA300,DL_KEY,0)),"M")</f>
        <v>L</v>
      </c>
      <c r="AC300" s="35" t="str">
        <f>IFERROR(INDEX(DL_BI,MATCH($CA300,DL_KEY,0)),"M")</f>
        <v>L</v>
      </c>
      <c r="AD300" s="35" t="str">
        <f>IFERROR(INDEX(DL_Exp,MATCH($CA300,DL_KEY,0)),"M")</f>
        <v>L</v>
      </c>
      <c r="AE300" s="35" t="str">
        <f>IFERROR(INDEX(DL_Edu,MATCH($CA300,DL_KEY,0)),"M")</f>
        <v>L</v>
      </c>
      <c r="AF300" s="34" t="inlineStr">
        <is>
          <t>M</t>
        </is>
      </c>
      <c r="AG300" s="35" t="inlineStr">
        <is>
          <t>M</t>
        </is>
      </c>
      <c r="AH300" s="35" t="inlineStr">
        <is>
          <t>M</t>
        </is>
      </c>
      <c r="AI300" s="35" t="inlineStr">
        <is>
          <t>M</t>
        </is>
      </c>
      <c r="AJ300" s="35" t="inlineStr">
        <is>
          <t>M</t>
        </is>
      </c>
      <c r="AK300" s="35" t="inlineStr">
        <is>
          <t>M</t>
        </is>
      </c>
      <c r="AL300" s="35" t="inlineStr">
        <is>
          <t>M</t>
        </is>
      </c>
      <c r="AM300" s="36" t="n">
        <v>0.583</v>
      </c>
      <c r="AN300" s="37" t="n">
        <v>0.16</v>
      </c>
      <c r="AO300" s="37" t="n">
        <v>0.09</v>
      </c>
      <c r="AP300" s="37" t="n">
        <v>0</v>
      </c>
      <c r="AQ300" s="37" t="n">
        <v>0.063</v>
      </c>
      <c r="AR300" s="37" t="n">
        <v>0.06</v>
      </c>
      <c r="AS300" s="37" t="n">
        <v>0.04</v>
      </c>
      <c r="AT300" s="38" t="inlineStr">
        <is>
          <t>2–5</t>
        </is>
      </c>
      <c r="AU300" s="38" t="inlineStr">
        <is>
          <t>Graduate; relevant certification preferred</t>
        </is>
      </c>
      <c r="AV300" s="38" t="inlineStr">
        <is>
          <t>None · guides 1–3 juniors informally</t>
        </is>
      </c>
      <c r="AW300" s="38" t="inlineStr">
        <is>
          <t>P2 · SFIA 3 Apply</t>
        </is>
      </c>
      <c r="AX3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0" s="39" t="inlineStr">
        <is>
          <t>A3</t>
        </is>
      </c>
      <c r="AZ300" s="40" t="inlineStr">
        <is>
          <t>Band A · Practitioner · Senior Associate</t>
        </is>
      </c>
      <c r="BA300" s="40" t="inlineStr">
        <is>
          <t>Model A3 from the six ratings, the market-derived weights and rules R1–R13 · then No change · already below the manager</t>
        </is>
      </c>
      <c r="BB300" s="41" t="inlineStr">
        <is>
          <t>A3</t>
        </is>
      </c>
      <c r="BC300" s="40" t="inlineStr">
        <is>
          <t>The six ratings on the market-average weights of Band A · all tracks score 3.07 → A3 · Hay, Mercer IPE and public plans · experience 6.1 yrs vs the A3 market range 2–5</t>
        </is>
      </c>
      <c r="BD300" s="42">
        <f>IF(SUM(BM300,BN300,BO300,BP300,BQ300,BR300,BS300)=0,0,(BM300*BT300+BN300*BU300+BO300*BV300+BP300*BW300+BQ300*BX300+BR300*BY300+BS300*BZ300)/SUM(BM300,BN300,BO300,BP300,BQ300,BR300,BS300))</f>
        <v>0</v>
      </c>
      <c r="BE300" s="41" t="str">
        <f>IF(LEFT(AY300,1)="X",AY300,IF(OR(AY300="B+",AY300="C+"),INDEX(LAD_PC,MAX(1,MIN(14,MATCH(AY300,LAD_PC,0)+IF(BD300&gt;=0.5,1,IF(BD300&lt;=-0.5,-1,0))))),INDEX(LAD_STD,MAX(1,MIN(12,MATCH(AY300,LAD_STD,0)+IF(BD300&gt;=0.5,1,IF(BD300&lt;=-0.5,-1,0)))))))</f>
        <v>A3</v>
      </c>
      <c r="BF300" s="43" t="n"/>
      <c r="BG300" s="41" t="str">
        <f>IF(BF300&lt;&gt;"",BF300,BE300)</f>
        <v>A3</v>
      </c>
      <c r="BH300" s="40" t="str">
        <f>IFERROR(CHOOSE(INDEX(B_RANK,MATCH(BG300,B_LVL,0)),"Band A","Band B","B+ · Player-Coach","Band C","C+ · Player-Coach","Band D","Band E"),"Band X · Consultant")</f>
        <v>Band A</v>
      </c>
      <c r="BI300" s="40" t="str">
        <f>IF(BG300=AY300,"• Same",IF(INDEX(B_VAL,MATCH(BG300,B_LVL,0))&gt;INDEX(B_VAL,MATCH(AY300,B_LVL,0)),"▲ Up","▼ Down"))</f>
        <v>• Same</v>
      </c>
      <c r="BJ300" s="40" t="str">
        <f>IF(OR($M300="",$M300="—",$M300="Not in this file"),"",IFERROR(INDEX($BG$7:$BG$592,MATCH($M300,$D$7:$D$592,0)),""))</f>
        <v>B1</v>
      </c>
      <c r="BK300" s="40" t="str">
        <f>IFERROR(IF(BJ300="","—",IF(OR(LEFT(BG300,1)="X",LEFT(BJ300,1)="X"),"—",IF(AND(LEFT(BG300,1)="E",LEFT(BJ300,1)="E"),"Exception · Band E",IF(AND(INDEX(B_VAL,MATCH(BJ300,B_LVL,0))&gt;=7,INDEX(B_RANK,MATCH(BG300,B_LVL,0))&gt;=INDEX(B_RANK,MATCH(BJ300,B_LVL,0))),"⚠ Same band as a head manager",IF(INDEX(B_VAL,MATCH(BG300,B_LVL,0))&gt;=INDEX(B_VAL,MATCH(BJ300,B_LVL,0)),"⚠ At or above the manager's level","OK"))))),"—")</f>
        <v>OK</v>
      </c>
      <c r="BL300" s="43" t="n"/>
      <c r="BM300" s="44">
        <f>IFERROR(INDEX(LMH_PTS,MATCH(Y300,LMH_KEY,0)),0)</f>
        <v>9</v>
      </c>
      <c r="BN300" s="38">
        <f>IFERROR(INDEX(LMH_PTS,MATCH(Z300,LMH_KEY,0)),0)</f>
        <v>3</v>
      </c>
      <c r="BO300" s="38">
        <f>IFERROR(INDEX(LMH_PTS,MATCH(AA300,LMH_KEY,0)),0)</f>
        <v>1</v>
      </c>
      <c r="BP300" s="38">
        <f>IFERROR(INDEX(LMH_PTS,MATCH(AB300,LMH_KEY,0)),0)</f>
        <v>1</v>
      </c>
      <c r="BQ300" s="38">
        <f>IFERROR(INDEX(LMH_PTS,MATCH(AC300,LMH_KEY,0)),0)</f>
        <v>1</v>
      </c>
      <c r="BR300" s="38">
        <f>IFERROR(INDEX(LMH_PTS,MATCH(AD300,LMH_KEY,0)),0)</f>
        <v>1</v>
      </c>
      <c r="BS300" s="38">
        <f>IFERROR(INDEX(LMH_PTS,MATCH(AE300,LMH_KEY,0)),0)</f>
        <v>1</v>
      </c>
      <c r="BT300" s="38">
        <f>IFERROR(INDEX(LMH_STEP,MATCH(AF300,LMH_KEY,0)),0)</f>
        <v>0</v>
      </c>
      <c r="BU300" s="38">
        <f>IFERROR(INDEX(LMH_STEP,MATCH(AG300,LMH_KEY,0)),0)</f>
        <v>0</v>
      </c>
      <c r="BV300" s="38">
        <f>IFERROR(INDEX(LMH_STEP,MATCH(AH300,LMH_KEY,0)),0)</f>
        <v>0</v>
      </c>
      <c r="BW300" s="38">
        <f>IFERROR(INDEX(LMH_STEP,MATCH(AI300,LMH_KEY,0)),0)</f>
        <v>0</v>
      </c>
      <c r="BX300" s="38">
        <f>IFERROR(INDEX(LMH_STEP,MATCH(AJ300,LMH_KEY,0)),0)</f>
        <v>0</v>
      </c>
      <c r="BY300" s="38">
        <f>IFERROR(INDEX(LMH_STEP,MATCH(AK300,LMH_KEY,0)),0)</f>
        <v>0</v>
      </c>
      <c r="BZ300" s="38">
        <f>IFERROR(INDEX(LMH_STEP,MATCH(AL300,LMH_KEY,0)),0)</f>
        <v>0</v>
      </c>
      <c r="CA300" s="38" t="inlineStr">
        <is>
          <t>iFile|Technology|Senior Software Engineer|A3|A</t>
        </is>
      </c>
    </row>
    <row r="301" ht="110" customHeight="1">
      <c r="A301" s="28" t="inlineStr">
        <is>
          <t>iFile</t>
        </is>
      </c>
      <c r="B301" s="29" t="inlineStr">
        <is>
          <t>Technology</t>
        </is>
      </c>
      <c r="C301" s="29" t="n">
        <v>6</v>
      </c>
      <c r="D301" s="29" t="inlineStr">
        <is>
          <t>IRIS2058</t>
        </is>
      </c>
      <c r="E301" s="29" t="inlineStr">
        <is>
          <t>Siddharth Dhone</t>
        </is>
      </c>
      <c r="F301" s="29" t="inlineStr">
        <is>
          <t>Senior Software Engineer</t>
        </is>
      </c>
      <c r="G301" s="29" t="inlineStr">
        <is>
          <t>Senior Software Engineer</t>
        </is>
      </c>
      <c r="H301" s="29" t="inlineStr">
        <is>
          <t>Engineering &amp; Development</t>
        </is>
      </c>
      <c r="I301" s="29" t="inlineStr">
        <is>
          <t>Backend Development</t>
        </is>
      </c>
      <c r="J301" s="29" t="inlineStr">
        <is>
          <t>IC</t>
        </is>
      </c>
      <c r="K301" s="29" t="inlineStr">
        <is>
          <t>RC-067</t>
        </is>
      </c>
      <c r="L301" s="29" t="inlineStr">
        <is>
          <t>Arpit Pagaria</t>
        </is>
      </c>
      <c r="M301" s="29" t="inlineStr">
        <is>
          <t>IRIS1817</t>
        </is>
      </c>
      <c r="N301" s="29" t="n">
        <v>7.4</v>
      </c>
      <c r="O301" s="29" t="n">
        <v>4.1</v>
      </c>
      <c r="P301" s="29" t="inlineStr">
        <is>
          <t>B.E</t>
        </is>
      </c>
      <c r="Q301" s="29" t="inlineStr">
        <is>
          <t>L4 – Senior</t>
        </is>
      </c>
      <c r="R301" s="29" t="inlineStr">
        <is>
          <t>A3</t>
        </is>
      </c>
      <c r="S301" s="30" t="inlineStr">
        <is>
          <t>20 of 20</t>
        </is>
      </c>
      <c r="T301" s="31"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t>
        </is>
      </c>
      <c r="U30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1" s="31" t="inlineStr">
        <is>
          <t>Latest rating: 4 · Potential: High · 9-box: High Impact / Growth Talent · Readiness: Ready now</t>
        </is>
      </c>
      <c r="W301" s="31" t="inlineStr">
        <is>
          <t>C M · Au M · Ac M · L L · BI M · Exp H · 7.4 yrs vs 2–4 yrs · Edu M · B.E</t>
        </is>
      </c>
      <c r="X301" s="33" t="inlineStr">
        <is>
          <t>Open ▸</t>
        </is>
      </c>
      <c r="Y301" s="34" t="str">
        <f>IFERROR(INDEX(DL_C,MATCH($CA301,DL_KEY,0)),"M")</f>
        <v>H</v>
      </c>
      <c r="Z301" s="35" t="str">
        <f>IFERROR(INDEX(DL_Au,MATCH($CA301,DL_KEY,0)),"M")</f>
        <v>M</v>
      </c>
      <c r="AA301" s="35" t="str">
        <f>IFERROR(INDEX(DL_Ac,MATCH($CA301,DL_KEY,0)),"M")</f>
        <v>L</v>
      </c>
      <c r="AB301" s="35" t="str">
        <f>IFERROR(INDEX(DL_L,MATCH($CA301,DL_KEY,0)),"M")</f>
        <v>L</v>
      </c>
      <c r="AC301" s="35" t="str">
        <f>IFERROR(INDEX(DL_BI,MATCH($CA301,DL_KEY,0)),"M")</f>
        <v>L</v>
      </c>
      <c r="AD301" s="35" t="str">
        <f>IFERROR(INDEX(DL_Exp,MATCH($CA301,DL_KEY,0)),"M")</f>
        <v>L</v>
      </c>
      <c r="AE301" s="35" t="str">
        <f>IFERROR(INDEX(DL_Edu,MATCH($CA301,DL_KEY,0)),"M")</f>
        <v>L</v>
      </c>
      <c r="AF301" s="34" t="inlineStr">
        <is>
          <t>M</t>
        </is>
      </c>
      <c r="AG301" s="35" t="inlineStr">
        <is>
          <t>M</t>
        </is>
      </c>
      <c r="AH301" s="35" t="inlineStr">
        <is>
          <t>M</t>
        </is>
      </c>
      <c r="AI301" s="35" t="inlineStr">
        <is>
          <t>M</t>
        </is>
      </c>
      <c r="AJ301" s="35" t="inlineStr">
        <is>
          <t>M</t>
        </is>
      </c>
      <c r="AK301" s="35" t="inlineStr">
        <is>
          <t>M</t>
        </is>
      </c>
      <c r="AL301" s="35" t="inlineStr">
        <is>
          <t>M</t>
        </is>
      </c>
      <c r="AM301" s="36" t="n">
        <v>0.583</v>
      </c>
      <c r="AN301" s="37" t="n">
        <v>0.16</v>
      </c>
      <c r="AO301" s="37" t="n">
        <v>0.09</v>
      </c>
      <c r="AP301" s="37" t="n">
        <v>0</v>
      </c>
      <c r="AQ301" s="37" t="n">
        <v>0.063</v>
      </c>
      <c r="AR301" s="37" t="n">
        <v>0.06</v>
      </c>
      <c r="AS301" s="37" t="n">
        <v>0.04</v>
      </c>
      <c r="AT301" s="38" t="inlineStr">
        <is>
          <t>2–5</t>
        </is>
      </c>
      <c r="AU301" s="38" t="inlineStr">
        <is>
          <t>Graduate; relevant certification preferred</t>
        </is>
      </c>
      <c r="AV301" s="38" t="inlineStr">
        <is>
          <t>None · guides 1–3 juniors informally</t>
        </is>
      </c>
      <c r="AW301" s="38" t="inlineStr">
        <is>
          <t>P2 · SFIA 3 Apply</t>
        </is>
      </c>
      <c r="AX3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1" s="39" t="inlineStr">
        <is>
          <t>A3</t>
        </is>
      </c>
      <c r="AZ301" s="40" t="inlineStr">
        <is>
          <t>Band A · Practitioner · Senior Associate</t>
        </is>
      </c>
      <c r="BA301" s="40" t="inlineStr">
        <is>
          <t>Model A3 from the six ratings, the market-derived weights and rules R1–R13 · then No change · already below the manager</t>
        </is>
      </c>
      <c r="BB301" s="41" t="inlineStr">
        <is>
          <t>A3</t>
        </is>
      </c>
      <c r="BC301" s="40" t="inlineStr">
        <is>
          <t>The six ratings on the market-average weights of Band A · all tracks score 3.04 → A3 · Hay, Mercer IPE and public plans · experience 7.4 yrs vs the A3 market range 2–5</t>
        </is>
      </c>
      <c r="BD301" s="42">
        <f>IF(SUM(BM301,BN301,BO301,BP301,BQ301,BR301,BS301)=0,0,(BM301*BT301+BN301*BU301+BO301*BV301+BP301*BW301+BQ301*BX301+BR301*BY301+BS301*BZ301)/SUM(BM301,BN301,BO301,BP301,BQ301,BR301,BS301))</f>
        <v>0</v>
      </c>
      <c r="BE301" s="41" t="str">
        <f>IF(LEFT(AY301,1)="X",AY301,IF(OR(AY301="B+",AY301="C+"),INDEX(LAD_PC,MAX(1,MIN(14,MATCH(AY301,LAD_PC,0)+IF(BD301&gt;=0.5,1,IF(BD301&lt;=-0.5,-1,0))))),INDEX(LAD_STD,MAX(1,MIN(12,MATCH(AY301,LAD_STD,0)+IF(BD301&gt;=0.5,1,IF(BD301&lt;=-0.5,-1,0)))))))</f>
        <v>A3</v>
      </c>
      <c r="BF301" s="43" t="n"/>
      <c r="BG301" s="41" t="str">
        <f>IF(BF301&lt;&gt;"",BF301,BE301)</f>
        <v>A3</v>
      </c>
      <c r="BH301" s="40" t="str">
        <f>IFERROR(CHOOSE(INDEX(B_RANK,MATCH(BG301,B_LVL,0)),"Band A","Band B","B+ · Player-Coach","Band C","C+ · Player-Coach","Band D","Band E"),"Band X · Consultant")</f>
        <v>Band A</v>
      </c>
      <c r="BI301" s="40" t="str">
        <f>IF(BG301=AY301,"• Same",IF(INDEX(B_VAL,MATCH(BG301,B_LVL,0))&gt;INDEX(B_VAL,MATCH(AY301,B_LVL,0)),"▲ Up","▼ Down"))</f>
        <v>• Same</v>
      </c>
      <c r="BJ301" s="40" t="str">
        <f>IF(OR($M301="",$M301="—",$M301="Not in this file"),"",IFERROR(INDEX($BG$7:$BG$592,MATCH($M301,$D$7:$D$592,0)),""))</f>
        <v>B1</v>
      </c>
      <c r="BK301" s="40" t="str">
        <f>IFERROR(IF(BJ301="","—",IF(OR(LEFT(BG301,1)="X",LEFT(BJ301,1)="X"),"—",IF(AND(LEFT(BG301,1)="E",LEFT(BJ301,1)="E"),"Exception · Band E",IF(AND(INDEX(B_VAL,MATCH(BJ301,B_LVL,0))&gt;=7,INDEX(B_RANK,MATCH(BG301,B_LVL,0))&gt;=INDEX(B_RANK,MATCH(BJ301,B_LVL,0))),"⚠ Same band as a head manager",IF(INDEX(B_VAL,MATCH(BG301,B_LVL,0))&gt;=INDEX(B_VAL,MATCH(BJ301,B_LVL,0)),"⚠ At or above the manager's level","OK"))))),"—")</f>
        <v>OK</v>
      </c>
      <c r="BL301" s="43" t="n"/>
      <c r="BM301" s="44">
        <f>IFERROR(INDEX(LMH_PTS,MATCH(Y301,LMH_KEY,0)),0)</f>
        <v>9</v>
      </c>
      <c r="BN301" s="38">
        <f>IFERROR(INDEX(LMH_PTS,MATCH(Z301,LMH_KEY,0)),0)</f>
        <v>3</v>
      </c>
      <c r="BO301" s="38">
        <f>IFERROR(INDEX(LMH_PTS,MATCH(AA301,LMH_KEY,0)),0)</f>
        <v>1</v>
      </c>
      <c r="BP301" s="38">
        <f>IFERROR(INDEX(LMH_PTS,MATCH(AB301,LMH_KEY,0)),0)</f>
        <v>1</v>
      </c>
      <c r="BQ301" s="38">
        <f>IFERROR(INDEX(LMH_PTS,MATCH(AC301,LMH_KEY,0)),0)</f>
        <v>1</v>
      </c>
      <c r="BR301" s="38">
        <f>IFERROR(INDEX(LMH_PTS,MATCH(AD301,LMH_KEY,0)),0)</f>
        <v>1</v>
      </c>
      <c r="BS301" s="38">
        <f>IFERROR(INDEX(LMH_PTS,MATCH(AE301,LMH_KEY,0)),0)</f>
        <v>1</v>
      </c>
      <c r="BT301" s="38">
        <f>IFERROR(INDEX(LMH_STEP,MATCH(AF301,LMH_KEY,0)),0)</f>
        <v>0</v>
      </c>
      <c r="BU301" s="38">
        <f>IFERROR(INDEX(LMH_STEP,MATCH(AG301,LMH_KEY,0)),0)</f>
        <v>0</v>
      </c>
      <c r="BV301" s="38">
        <f>IFERROR(INDEX(LMH_STEP,MATCH(AH301,LMH_KEY,0)),0)</f>
        <v>0</v>
      </c>
      <c r="BW301" s="38">
        <f>IFERROR(INDEX(LMH_STEP,MATCH(AI301,LMH_KEY,0)),0)</f>
        <v>0</v>
      </c>
      <c r="BX301" s="38">
        <f>IFERROR(INDEX(LMH_STEP,MATCH(AJ301,LMH_KEY,0)),0)</f>
        <v>0</v>
      </c>
      <c r="BY301" s="38">
        <f>IFERROR(INDEX(LMH_STEP,MATCH(AK301,LMH_KEY,0)),0)</f>
        <v>0</v>
      </c>
      <c r="BZ301" s="38">
        <f>IFERROR(INDEX(LMH_STEP,MATCH(AL301,LMH_KEY,0)),0)</f>
        <v>0</v>
      </c>
      <c r="CA301" s="38" t="inlineStr">
        <is>
          <t>iFile|Technology|Senior Software Engineer|A3|A</t>
        </is>
      </c>
    </row>
    <row r="302" ht="110" customHeight="1">
      <c r="A302" s="28" t="inlineStr">
        <is>
          <t>iFile</t>
        </is>
      </c>
      <c r="B302" s="29" t="inlineStr">
        <is>
          <t>Support</t>
        </is>
      </c>
      <c r="C302" s="29" t="n">
        <v>5</v>
      </c>
      <c r="D302" s="29" t="inlineStr">
        <is>
          <t>IRIS1833</t>
        </is>
      </c>
      <c r="E302" s="29" t="inlineStr">
        <is>
          <t>Shraddha Gawali</t>
        </is>
      </c>
      <c r="F302" s="29" t="inlineStr">
        <is>
          <t>Team Lead</t>
        </is>
      </c>
      <c r="G302" s="29" t="inlineStr">
        <is>
          <t>Support Specialist</t>
        </is>
      </c>
      <c r="H302" s="29" t="inlineStr">
        <is>
          <t>Customer Success &amp; Support</t>
        </is>
      </c>
      <c r="I302" s="29" t="inlineStr">
        <is>
          <t>Application &amp; Product Support</t>
        </is>
      </c>
      <c r="J302" s="29" t="inlineStr">
        <is>
          <t>IC</t>
        </is>
      </c>
      <c r="K302" s="29" t="inlineStr">
        <is>
          <t>RC-032</t>
        </is>
      </c>
      <c r="L302" s="29" t="inlineStr">
        <is>
          <t>Kimaya Mundlye</t>
        </is>
      </c>
      <c r="M302" s="29" t="inlineStr">
        <is>
          <t>IRIS2118</t>
        </is>
      </c>
      <c r="N302" s="29" t="n">
        <v>6.7</v>
      </c>
      <c r="O302" s="29" t="n">
        <v>6.7</v>
      </c>
      <c r="P302" s="29" t="inlineStr">
        <is>
          <t>B.Com</t>
        </is>
      </c>
      <c r="Q302" s="29" t="inlineStr">
        <is>
          <t>L5 – Lead · IC</t>
        </is>
      </c>
      <c r="R302" s="29" t="inlineStr">
        <is>
          <t>B1</t>
        </is>
      </c>
      <c r="S302" s="30" t="inlineStr">
        <is>
          <t>20 of 20</t>
        </is>
      </c>
      <c r="T302" s="31"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t>
        </is>
      </c>
      <c r="U302" s="31" t="inlineStr">
        <is>
          <t>Received · manager annual, quarterly, self · 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t>
        </is>
      </c>
      <c r="V302" s="31" t="inlineStr">
        <is>
          <t>Latest rating: 3 · Potential: Medium · 9-box: Core Contributor · Readiness: Develop in role</t>
        </is>
      </c>
      <c r="W302" s="31" t="inlineStr">
        <is>
          <t>C M · Au M · Ac M · L L · BI M · Exp M · 6.7 yrs vs 4–7 yrs · Edu M · B.Com</t>
        </is>
      </c>
      <c r="X302" s="33" t="inlineStr">
        <is>
          <t>Open ▸</t>
        </is>
      </c>
      <c r="Y302" s="34" t="str">
        <f>IFERROR(INDEX(DL_C,MATCH($CA302,DL_KEY,0)),"M")</f>
        <v>H</v>
      </c>
      <c r="Z302" s="35" t="str">
        <f>IFERROR(INDEX(DL_Au,MATCH($CA302,DL_KEY,0)),"M")</f>
        <v>M</v>
      </c>
      <c r="AA302" s="35" t="str">
        <f>IFERROR(INDEX(DL_Ac,MATCH($CA302,DL_KEY,0)),"M")</f>
        <v>M</v>
      </c>
      <c r="AB302" s="35" t="str">
        <f>IFERROR(INDEX(DL_L,MATCH($CA302,DL_KEY,0)),"M")</f>
        <v>L</v>
      </c>
      <c r="AC302" s="35" t="str">
        <f>IFERROR(INDEX(DL_BI,MATCH($CA302,DL_KEY,0)),"M")</f>
        <v>M</v>
      </c>
      <c r="AD302" s="35" t="str">
        <f>IFERROR(INDEX(DL_Exp,MATCH($CA302,DL_KEY,0)),"M")</f>
        <v>L</v>
      </c>
      <c r="AE302" s="35" t="str">
        <f>IFERROR(INDEX(DL_Edu,MATCH($CA302,DL_KEY,0)),"M")</f>
        <v>L</v>
      </c>
      <c r="AF302" s="34" t="inlineStr">
        <is>
          <t>M</t>
        </is>
      </c>
      <c r="AG302" s="35" t="inlineStr">
        <is>
          <t>M</t>
        </is>
      </c>
      <c r="AH302" s="35" t="inlineStr">
        <is>
          <t>M</t>
        </is>
      </c>
      <c r="AI302" s="35" t="inlineStr">
        <is>
          <t>M</t>
        </is>
      </c>
      <c r="AJ302" s="35" t="inlineStr">
        <is>
          <t>M</t>
        </is>
      </c>
      <c r="AK302" s="35" t="inlineStr">
        <is>
          <t>M</t>
        </is>
      </c>
      <c r="AL302" s="35" t="inlineStr">
        <is>
          <t>M</t>
        </is>
      </c>
      <c r="AM302" s="36" t="n">
        <v>0.513</v>
      </c>
      <c r="AN302" s="37" t="n">
        <v>0.173</v>
      </c>
      <c r="AO302" s="37" t="n">
        <v>0.09699999999999999</v>
      </c>
      <c r="AP302" s="37" t="n">
        <v>0.05</v>
      </c>
      <c r="AQ302" s="37" t="n">
        <v>0.07000000000000001</v>
      </c>
      <c r="AR302" s="37" t="n">
        <v>0.06</v>
      </c>
      <c r="AS302" s="37" t="n">
        <v>0.04</v>
      </c>
      <c r="AT302" s="38" t="inlineStr">
        <is>
          <t>4–8</t>
        </is>
      </c>
      <c r="AU302" s="38" t="inlineStr">
        <is>
          <t>Graduate + relevant qualification or certification preferred</t>
        </is>
      </c>
      <c r="AV302" s="38" t="inlineStr">
        <is>
          <t>IC: none · Team Lead: 3–5</t>
        </is>
      </c>
      <c r="AW302" s="38" t="inlineStr">
        <is>
          <t>P3 / M2 · SFIA 4 Enable</t>
        </is>
      </c>
      <c r="AX3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2" s="39" t="inlineStr">
        <is>
          <t>B1</t>
        </is>
      </c>
      <c r="AZ302" s="40" t="inlineStr">
        <is>
          <t>Band B · Specialist / Manager · Specialist</t>
        </is>
      </c>
      <c r="BA302" s="40" t="inlineStr">
        <is>
          <t>Model B1 from the six ratings, the market-derived weights and rules R1–R13 · then No change · already below the manager</t>
        </is>
      </c>
      <c r="BB302" s="41" t="inlineStr">
        <is>
          <t>B1</t>
        </is>
      </c>
      <c r="BC302" s="40" t="inlineStr">
        <is>
          <t>The six ratings on the market-average weights of Band B · Specialist / POD Lead score 3.55 → B1 · Hay, Mercer IPE and public plans · experience 6.7 yrs vs the B1 market range 4–8</t>
        </is>
      </c>
      <c r="BD302" s="42">
        <f>IF(SUM(BM302,BN302,BO302,BP302,BQ302,BR302,BS302)=0,0,(BM302*BT302+BN302*BU302+BO302*BV302+BP302*BW302+BQ302*BX302+BR302*BY302+BS302*BZ302)/SUM(BM302,BN302,BO302,BP302,BQ302,BR302,BS302))</f>
        <v>0</v>
      </c>
      <c r="BE302" s="41" t="str">
        <f>IF(LEFT(AY302,1)="X",AY302,IF(OR(AY302="B+",AY302="C+"),INDEX(LAD_PC,MAX(1,MIN(14,MATCH(AY302,LAD_PC,0)+IF(BD302&gt;=0.5,1,IF(BD302&lt;=-0.5,-1,0))))),INDEX(LAD_STD,MAX(1,MIN(12,MATCH(AY302,LAD_STD,0)+IF(BD302&gt;=0.5,1,IF(BD302&lt;=-0.5,-1,0)))))))</f>
        <v>B1</v>
      </c>
      <c r="BF302" s="43" t="n"/>
      <c r="BG302" s="41" t="str">
        <f>IF(BF302&lt;&gt;"",BF302,BE302)</f>
        <v>B1</v>
      </c>
      <c r="BH302" s="40" t="str">
        <f>IFERROR(CHOOSE(INDEX(B_RANK,MATCH(BG302,B_LVL,0)),"Band A","Band B","B+ · Player-Coach","Band C","C+ · Player-Coach","Band D","Band E"),"Band X · Consultant")</f>
        <v>Band B</v>
      </c>
      <c r="BI302" s="40" t="str">
        <f>IF(BG302=AY302,"• Same",IF(INDEX(B_VAL,MATCH(BG302,B_LVL,0))&gt;INDEX(B_VAL,MATCH(AY302,B_LVL,0)),"▲ Up","▼ Down"))</f>
        <v>• Same</v>
      </c>
      <c r="BJ302" s="40" t="str">
        <f>IF(OR($M302="",$M302="—",$M302="Not in this file"),"",IFERROR(INDEX($BG$7:$BG$592,MATCH($M302,$D$7:$D$592,0)),""))</f>
        <v>B2</v>
      </c>
      <c r="BK302" s="40" t="str">
        <f>IFERROR(IF(BJ302="","—",IF(OR(LEFT(BG302,1)="X",LEFT(BJ302,1)="X"),"—",IF(AND(LEFT(BG302,1)="E",LEFT(BJ302,1)="E"),"Exception · Band E",IF(AND(INDEX(B_VAL,MATCH(BJ302,B_LVL,0))&gt;=7,INDEX(B_RANK,MATCH(BG302,B_LVL,0))&gt;=INDEX(B_RANK,MATCH(BJ302,B_LVL,0))),"⚠ Same band as a head manager",IF(INDEX(B_VAL,MATCH(BG302,B_LVL,0))&gt;=INDEX(B_VAL,MATCH(BJ302,B_LVL,0)),"⚠ At or above the manager's level","OK"))))),"—")</f>
        <v>OK</v>
      </c>
      <c r="BL302" s="43" t="n"/>
      <c r="BM302" s="44">
        <f>IFERROR(INDEX(LMH_PTS,MATCH(Y302,LMH_KEY,0)),0)</f>
        <v>9</v>
      </c>
      <c r="BN302" s="38">
        <f>IFERROR(INDEX(LMH_PTS,MATCH(Z302,LMH_KEY,0)),0)</f>
        <v>3</v>
      </c>
      <c r="BO302" s="38">
        <f>IFERROR(INDEX(LMH_PTS,MATCH(AA302,LMH_KEY,0)),0)</f>
        <v>3</v>
      </c>
      <c r="BP302" s="38">
        <f>IFERROR(INDEX(LMH_PTS,MATCH(AB302,LMH_KEY,0)),0)</f>
        <v>1</v>
      </c>
      <c r="BQ302" s="38">
        <f>IFERROR(INDEX(LMH_PTS,MATCH(AC302,LMH_KEY,0)),0)</f>
        <v>3</v>
      </c>
      <c r="BR302" s="38">
        <f>IFERROR(INDEX(LMH_PTS,MATCH(AD302,LMH_KEY,0)),0)</f>
        <v>1</v>
      </c>
      <c r="BS302" s="38">
        <f>IFERROR(INDEX(LMH_PTS,MATCH(AE302,LMH_KEY,0)),0)</f>
        <v>1</v>
      </c>
      <c r="BT302" s="38">
        <f>IFERROR(INDEX(LMH_STEP,MATCH(AF302,LMH_KEY,0)),0)</f>
        <v>0</v>
      </c>
      <c r="BU302" s="38">
        <f>IFERROR(INDEX(LMH_STEP,MATCH(AG302,LMH_KEY,0)),0)</f>
        <v>0</v>
      </c>
      <c r="BV302" s="38">
        <f>IFERROR(INDEX(LMH_STEP,MATCH(AH302,LMH_KEY,0)),0)</f>
        <v>0</v>
      </c>
      <c r="BW302" s="38">
        <f>IFERROR(INDEX(LMH_STEP,MATCH(AI302,LMH_KEY,0)),0)</f>
        <v>0</v>
      </c>
      <c r="BX302" s="38">
        <f>IFERROR(INDEX(LMH_STEP,MATCH(AJ302,LMH_KEY,0)),0)</f>
        <v>0</v>
      </c>
      <c r="BY302" s="38">
        <f>IFERROR(INDEX(LMH_STEP,MATCH(AK302,LMH_KEY,0)),0)</f>
        <v>0</v>
      </c>
      <c r="BZ302" s="38">
        <f>IFERROR(INDEX(LMH_STEP,MATCH(AL302,LMH_KEY,0)),0)</f>
        <v>0</v>
      </c>
      <c r="CA302" s="38" t="inlineStr">
        <is>
          <t>iFile|Support|Support Specialist|B1|B-IC</t>
        </is>
      </c>
    </row>
    <row r="303" ht="110" customHeight="1">
      <c r="A303" s="28" t="inlineStr">
        <is>
          <t>iFile</t>
        </is>
      </c>
      <c r="B303" s="29" t="inlineStr">
        <is>
          <t>Support</t>
        </is>
      </c>
      <c r="C303" s="29" t="n">
        <v>5</v>
      </c>
      <c r="D303" s="29" t="inlineStr">
        <is>
          <t>IRIS2046</t>
        </is>
      </c>
      <c r="E303" s="29" t="inlineStr">
        <is>
          <t>Bhagyashree Bauskar</t>
        </is>
      </c>
      <c r="F303" s="29" t="inlineStr">
        <is>
          <t>Client Solutions Executive</t>
        </is>
      </c>
      <c r="G303" s="29" t="inlineStr">
        <is>
          <t>Senior Support Executive</t>
        </is>
      </c>
      <c r="H303" s="29" t="inlineStr">
        <is>
          <t>Customer Success &amp; Support</t>
        </is>
      </c>
      <c r="I303" s="29" t="inlineStr">
        <is>
          <t>Application &amp; Product Support</t>
        </is>
      </c>
      <c r="J303" s="29" t="inlineStr">
        <is>
          <t>IC</t>
        </is>
      </c>
      <c r="K303" s="29" t="inlineStr">
        <is>
          <t>RC-031</t>
        </is>
      </c>
      <c r="L303" s="29" t="inlineStr">
        <is>
          <t>Kimaya Mundlye</t>
        </is>
      </c>
      <c r="M303" s="29" t="inlineStr">
        <is>
          <t>IRIS2118</t>
        </is>
      </c>
      <c r="N303" s="29" t="n">
        <v>6.1</v>
      </c>
      <c r="O303" s="29" t="n">
        <v>4.1</v>
      </c>
      <c r="P303" s="29" t="inlineStr">
        <is>
          <t>MBA</t>
        </is>
      </c>
      <c r="Q303" s="29" t="inlineStr">
        <is>
          <t>L3 – Professional / Associate</t>
        </is>
      </c>
      <c r="R303" s="29" t="inlineStr">
        <is>
          <t>A3</t>
        </is>
      </c>
      <c r="S303" s="30" t="inlineStr">
        <is>
          <t>20 of 20</t>
        </is>
      </c>
      <c r="T303" s="31"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
        </is>
      </c>
      <c r="U303"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3" s="31" t="inlineStr">
        <is>
          <t>Latest rating: 5 · Potential: High · 9-box: High Impact / Growth Talent · Readiness: Ready now</t>
        </is>
      </c>
      <c r="W303" s="31" t="inlineStr">
        <is>
          <t>C M · Au L · Ac L · L L · BI L · Exp H · 6.1 yrs vs 2–4 yrs · Edu H · MBA</t>
        </is>
      </c>
      <c r="X303" s="33" t="inlineStr">
        <is>
          <t>Open ▸</t>
        </is>
      </c>
      <c r="Y303" s="34" t="str">
        <f>IFERROR(INDEX(DL_C,MATCH($CA303,DL_KEY,0)),"M")</f>
        <v>H</v>
      </c>
      <c r="Z303" s="35" t="str">
        <f>IFERROR(INDEX(DL_Au,MATCH($CA303,DL_KEY,0)),"M")</f>
        <v>M</v>
      </c>
      <c r="AA303" s="35" t="str">
        <f>IFERROR(INDEX(DL_Ac,MATCH($CA303,DL_KEY,0)),"M")</f>
        <v>M</v>
      </c>
      <c r="AB303" s="35" t="str">
        <f>IFERROR(INDEX(DL_L,MATCH($CA303,DL_KEY,0)),"M")</f>
        <v>L</v>
      </c>
      <c r="AC303" s="35" t="str">
        <f>IFERROR(INDEX(DL_BI,MATCH($CA303,DL_KEY,0)),"M")</f>
        <v>M</v>
      </c>
      <c r="AD303" s="35" t="str">
        <f>IFERROR(INDEX(DL_Exp,MATCH($CA303,DL_KEY,0)),"M")</f>
        <v>L</v>
      </c>
      <c r="AE303" s="35" t="str">
        <f>IFERROR(INDEX(DL_Edu,MATCH($CA303,DL_KEY,0)),"M")</f>
        <v>L</v>
      </c>
      <c r="AF303" s="34" t="inlineStr">
        <is>
          <t>M</t>
        </is>
      </c>
      <c r="AG303" s="35" t="inlineStr">
        <is>
          <t>M</t>
        </is>
      </c>
      <c r="AH303" s="35" t="inlineStr">
        <is>
          <t>M</t>
        </is>
      </c>
      <c r="AI303" s="35" t="inlineStr">
        <is>
          <t>M</t>
        </is>
      </c>
      <c r="AJ303" s="35" t="inlineStr">
        <is>
          <t>M</t>
        </is>
      </c>
      <c r="AK303" s="35" t="inlineStr">
        <is>
          <t>M</t>
        </is>
      </c>
      <c r="AL303" s="35" t="inlineStr">
        <is>
          <t>M</t>
        </is>
      </c>
      <c r="AM303" s="36" t="n">
        <v>0.583</v>
      </c>
      <c r="AN303" s="37" t="n">
        <v>0.16</v>
      </c>
      <c r="AO303" s="37" t="n">
        <v>0.09</v>
      </c>
      <c r="AP303" s="37" t="n">
        <v>0</v>
      </c>
      <c r="AQ303" s="37" t="n">
        <v>0.063</v>
      </c>
      <c r="AR303" s="37" t="n">
        <v>0.06</v>
      </c>
      <c r="AS303" s="37" t="n">
        <v>0.04</v>
      </c>
      <c r="AT303" s="38" t="inlineStr">
        <is>
          <t>2–5</t>
        </is>
      </c>
      <c r="AU303" s="38" t="inlineStr">
        <is>
          <t>Graduate; relevant certification preferred</t>
        </is>
      </c>
      <c r="AV303" s="38" t="inlineStr">
        <is>
          <t>None · guides 1–3 juniors informally</t>
        </is>
      </c>
      <c r="AW303" s="38" t="inlineStr">
        <is>
          <t>P2 · SFIA 3 Apply</t>
        </is>
      </c>
      <c r="AX3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3" s="39" t="inlineStr">
        <is>
          <t>A3</t>
        </is>
      </c>
      <c r="AZ303" s="40" t="inlineStr">
        <is>
          <t>Band A · Practitioner · Senior Associate</t>
        </is>
      </c>
      <c r="BA303" s="40" t="inlineStr">
        <is>
          <t>Model A3 from the six ratings, the market-derived weights and rules R1–R13 · then No change · already below the manager</t>
        </is>
      </c>
      <c r="BB303" s="41" t="inlineStr">
        <is>
          <t>A3</t>
        </is>
      </c>
      <c r="BC303" s="40" t="inlineStr">
        <is>
          <t>The six ratings on the market-average weights of Band A · all tracks score 2.59 → A3 · Hay, Mercer IPE and public plans · experience 6.1 yrs vs the A3 market range 2–5</t>
        </is>
      </c>
      <c r="BD303" s="42">
        <f>IF(SUM(BM303,BN303,BO303,BP303,BQ303,BR303,BS303)=0,0,(BM303*BT303+BN303*BU303+BO303*BV303+BP303*BW303+BQ303*BX303+BR303*BY303+BS303*BZ303)/SUM(BM303,BN303,BO303,BP303,BQ303,BR303,BS303))</f>
        <v>0</v>
      </c>
      <c r="BE303" s="41" t="str">
        <f>IF(LEFT(AY303,1)="X",AY303,IF(OR(AY303="B+",AY303="C+"),INDEX(LAD_PC,MAX(1,MIN(14,MATCH(AY303,LAD_PC,0)+IF(BD303&gt;=0.5,1,IF(BD303&lt;=-0.5,-1,0))))),INDEX(LAD_STD,MAX(1,MIN(12,MATCH(AY303,LAD_STD,0)+IF(BD303&gt;=0.5,1,IF(BD303&lt;=-0.5,-1,0)))))))</f>
        <v>A3</v>
      </c>
      <c r="BF303" s="43" t="n"/>
      <c r="BG303" s="41" t="str">
        <f>IF(BF303&lt;&gt;"",BF303,BE303)</f>
        <v>A3</v>
      </c>
      <c r="BH303" s="40" t="str">
        <f>IFERROR(CHOOSE(INDEX(B_RANK,MATCH(BG303,B_LVL,0)),"Band A","Band B","B+ · Player-Coach","Band C","C+ · Player-Coach","Band D","Band E"),"Band X · Consultant")</f>
        <v>Band A</v>
      </c>
      <c r="BI303" s="40" t="str">
        <f>IF(BG303=AY303,"• Same",IF(INDEX(B_VAL,MATCH(BG303,B_LVL,0))&gt;INDEX(B_VAL,MATCH(AY303,B_LVL,0)),"▲ Up","▼ Down"))</f>
        <v>• Same</v>
      </c>
      <c r="BJ303" s="40" t="str">
        <f>IF(OR($M303="",$M303="—",$M303="Not in this file"),"",IFERROR(INDEX($BG$7:$BG$592,MATCH($M303,$D$7:$D$592,0)),""))</f>
        <v>B2</v>
      </c>
      <c r="BK303" s="40" t="str">
        <f>IFERROR(IF(BJ303="","—",IF(OR(LEFT(BG303,1)="X",LEFT(BJ303,1)="X"),"—",IF(AND(LEFT(BG303,1)="E",LEFT(BJ303,1)="E"),"Exception · Band E",IF(AND(INDEX(B_VAL,MATCH(BJ303,B_LVL,0))&gt;=7,INDEX(B_RANK,MATCH(BG303,B_LVL,0))&gt;=INDEX(B_RANK,MATCH(BJ303,B_LVL,0))),"⚠ Same band as a head manager",IF(INDEX(B_VAL,MATCH(BG303,B_LVL,0))&gt;=INDEX(B_VAL,MATCH(BJ303,B_LVL,0)),"⚠ At or above the manager's level","OK"))))),"—")</f>
        <v>OK</v>
      </c>
      <c r="BL303" s="43" t="n"/>
      <c r="BM303" s="44">
        <f>IFERROR(INDEX(LMH_PTS,MATCH(Y303,LMH_KEY,0)),0)</f>
        <v>9</v>
      </c>
      <c r="BN303" s="38">
        <f>IFERROR(INDEX(LMH_PTS,MATCH(Z303,LMH_KEY,0)),0)</f>
        <v>3</v>
      </c>
      <c r="BO303" s="38">
        <f>IFERROR(INDEX(LMH_PTS,MATCH(AA303,LMH_KEY,0)),0)</f>
        <v>3</v>
      </c>
      <c r="BP303" s="38">
        <f>IFERROR(INDEX(LMH_PTS,MATCH(AB303,LMH_KEY,0)),0)</f>
        <v>1</v>
      </c>
      <c r="BQ303" s="38">
        <f>IFERROR(INDEX(LMH_PTS,MATCH(AC303,LMH_KEY,0)),0)</f>
        <v>3</v>
      </c>
      <c r="BR303" s="38">
        <f>IFERROR(INDEX(LMH_PTS,MATCH(AD303,LMH_KEY,0)),0)</f>
        <v>1</v>
      </c>
      <c r="BS303" s="38">
        <f>IFERROR(INDEX(LMH_PTS,MATCH(AE303,LMH_KEY,0)),0)</f>
        <v>1</v>
      </c>
      <c r="BT303" s="38">
        <f>IFERROR(INDEX(LMH_STEP,MATCH(AF303,LMH_KEY,0)),0)</f>
        <v>0</v>
      </c>
      <c r="BU303" s="38">
        <f>IFERROR(INDEX(LMH_STEP,MATCH(AG303,LMH_KEY,0)),0)</f>
        <v>0</v>
      </c>
      <c r="BV303" s="38">
        <f>IFERROR(INDEX(LMH_STEP,MATCH(AH303,LMH_KEY,0)),0)</f>
        <v>0</v>
      </c>
      <c r="BW303" s="38">
        <f>IFERROR(INDEX(LMH_STEP,MATCH(AI303,LMH_KEY,0)),0)</f>
        <v>0</v>
      </c>
      <c r="BX303" s="38">
        <f>IFERROR(INDEX(LMH_STEP,MATCH(AJ303,LMH_KEY,0)),0)</f>
        <v>0</v>
      </c>
      <c r="BY303" s="38">
        <f>IFERROR(INDEX(LMH_STEP,MATCH(AK303,LMH_KEY,0)),0)</f>
        <v>0</v>
      </c>
      <c r="BZ303" s="38">
        <f>IFERROR(INDEX(LMH_STEP,MATCH(AL303,LMH_KEY,0)),0)</f>
        <v>0</v>
      </c>
      <c r="CA303" s="38" t="inlineStr">
        <is>
          <t>iFile|Support|Senior Support Executive|A3|A</t>
        </is>
      </c>
    </row>
    <row r="304" ht="110" customHeight="1">
      <c r="A304" s="28" t="inlineStr">
        <is>
          <t>iFile</t>
        </is>
      </c>
      <c r="B304" s="29" t="inlineStr">
        <is>
          <t>Support</t>
        </is>
      </c>
      <c r="C304" s="29" t="n">
        <v>5</v>
      </c>
      <c r="D304" s="29" t="inlineStr">
        <is>
          <t>IRIS2047</t>
        </is>
      </c>
      <c r="E304" s="29" t="inlineStr">
        <is>
          <t>Dipeeka Yewale</t>
        </is>
      </c>
      <c r="F304" s="29" t="inlineStr">
        <is>
          <t>Client Solutions Executive</t>
        </is>
      </c>
      <c r="G304" s="29" t="inlineStr">
        <is>
          <t>Senior Support Executive</t>
        </is>
      </c>
      <c r="H304" s="29" t="inlineStr">
        <is>
          <t>Customer Success &amp; Support</t>
        </is>
      </c>
      <c r="I304" s="29" t="inlineStr">
        <is>
          <t>Application &amp; Product Support</t>
        </is>
      </c>
      <c r="J304" s="29" t="inlineStr">
        <is>
          <t>IC</t>
        </is>
      </c>
      <c r="K304" s="29" t="inlineStr">
        <is>
          <t>RC-031</t>
        </is>
      </c>
      <c r="L304" s="29" t="inlineStr">
        <is>
          <t>Kimaya Mundlye</t>
        </is>
      </c>
      <c r="M304" s="29" t="inlineStr">
        <is>
          <t>IRIS2118</t>
        </is>
      </c>
      <c r="N304" s="29" t="n">
        <v>4.1</v>
      </c>
      <c r="O304" s="29" t="n">
        <v>4.1</v>
      </c>
      <c r="P304" s="29" t="inlineStr">
        <is>
          <t>B.Com</t>
        </is>
      </c>
      <c r="Q304" s="29" t="inlineStr">
        <is>
          <t>L3 – Professional / Associate</t>
        </is>
      </c>
      <c r="R304" s="29" t="inlineStr">
        <is>
          <t>A3</t>
        </is>
      </c>
      <c r="S304" s="30" t="inlineStr">
        <is>
          <t>19 of 20</t>
        </is>
      </c>
      <c r="T304" s="31"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t>
        </is>
      </c>
      <c r="U304"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4" s="31" t="inlineStr">
        <is>
          <t>Latest rating: 3 · Potential: Medium · 9-box: Core Contributor · Readiness: Develop in role</t>
        </is>
      </c>
      <c r="W304" s="31" t="inlineStr">
        <is>
          <t>C L · Au L · Ac L · L L · BI L · Exp H · 4.1 yrs vs 2–4 yrs · Edu M · B.Com</t>
        </is>
      </c>
      <c r="X304" s="33" t="inlineStr">
        <is>
          <t>Open ▸</t>
        </is>
      </c>
      <c r="Y304" s="34" t="str">
        <f>IFERROR(INDEX(DL_C,MATCH($CA304,DL_KEY,0)),"M")</f>
        <v>H</v>
      </c>
      <c r="Z304" s="35" t="str">
        <f>IFERROR(INDEX(DL_Au,MATCH($CA304,DL_KEY,0)),"M")</f>
        <v>M</v>
      </c>
      <c r="AA304" s="35" t="str">
        <f>IFERROR(INDEX(DL_Ac,MATCH($CA304,DL_KEY,0)),"M")</f>
        <v>M</v>
      </c>
      <c r="AB304" s="35" t="str">
        <f>IFERROR(INDEX(DL_L,MATCH($CA304,DL_KEY,0)),"M")</f>
        <v>L</v>
      </c>
      <c r="AC304" s="35" t="str">
        <f>IFERROR(INDEX(DL_BI,MATCH($CA304,DL_KEY,0)),"M")</f>
        <v>M</v>
      </c>
      <c r="AD304" s="35" t="str">
        <f>IFERROR(INDEX(DL_Exp,MATCH($CA304,DL_KEY,0)),"M")</f>
        <v>L</v>
      </c>
      <c r="AE304" s="35" t="str">
        <f>IFERROR(INDEX(DL_Edu,MATCH($CA304,DL_KEY,0)),"M")</f>
        <v>L</v>
      </c>
      <c r="AF304" s="34" t="inlineStr">
        <is>
          <t>M</t>
        </is>
      </c>
      <c r="AG304" s="35" t="inlineStr">
        <is>
          <t>M</t>
        </is>
      </c>
      <c r="AH304" s="35" t="inlineStr">
        <is>
          <t>M</t>
        </is>
      </c>
      <c r="AI304" s="35" t="inlineStr">
        <is>
          <t>M</t>
        </is>
      </c>
      <c r="AJ304" s="35" t="inlineStr">
        <is>
          <t>M</t>
        </is>
      </c>
      <c r="AK304" s="35" t="inlineStr">
        <is>
          <t>M</t>
        </is>
      </c>
      <c r="AL304" s="35" t="inlineStr">
        <is>
          <t>M</t>
        </is>
      </c>
      <c r="AM304" s="36" t="n">
        <v>0.583</v>
      </c>
      <c r="AN304" s="37" t="n">
        <v>0.16</v>
      </c>
      <c r="AO304" s="37" t="n">
        <v>0.09</v>
      </c>
      <c r="AP304" s="37" t="n">
        <v>0</v>
      </c>
      <c r="AQ304" s="37" t="n">
        <v>0.063</v>
      </c>
      <c r="AR304" s="37" t="n">
        <v>0.06</v>
      </c>
      <c r="AS304" s="37" t="n">
        <v>0.04</v>
      </c>
      <c r="AT304" s="38" t="inlineStr">
        <is>
          <t>2–5</t>
        </is>
      </c>
      <c r="AU304" s="38" t="inlineStr">
        <is>
          <t>Graduate; relevant certification preferred</t>
        </is>
      </c>
      <c r="AV304" s="38" t="inlineStr">
        <is>
          <t>None · guides 1–3 juniors informally</t>
        </is>
      </c>
      <c r="AW304" s="38" t="inlineStr">
        <is>
          <t>P2 · SFIA 3 Apply</t>
        </is>
      </c>
      <c r="AX3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4" s="39" t="inlineStr">
        <is>
          <t>A3</t>
        </is>
      </c>
      <c r="AZ304" s="40" t="inlineStr">
        <is>
          <t>Band A · Practitioner · Senior Associate</t>
        </is>
      </c>
      <c r="BA304" s="40" t="inlineStr">
        <is>
          <t>Model A3 from the six ratings, the market-derived weights and rules R1–R13 · then No change · already below the manager</t>
        </is>
      </c>
      <c r="BB304" s="41" t="inlineStr">
        <is>
          <t>A2</t>
        </is>
      </c>
      <c r="BC304" s="40" t="inlineStr">
        <is>
          <t>The six ratings on the market-average weights of Band A · all tracks score 2.15 → A2 · Hay, Mercer IPE and public plans · experience 4.1 yrs vs the A2 market range 0–3</t>
        </is>
      </c>
      <c r="BD304" s="42">
        <f>IF(SUM(BM304,BN304,BO304,BP304,BQ304,BR304,BS304)=0,0,(BM304*BT304+BN304*BU304+BO304*BV304+BP304*BW304+BQ304*BX304+BR304*BY304+BS304*BZ304)/SUM(BM304,BN304,BO304,BP304,BQ304,BR304,BS304))</f>
        <v>0</v>
      </c>
      <c r="BE304" s="41" t="str">
        <f>IF(LEFT(AY304,1)="X",AY304,IF(OR(AY304="B+",AY304="C+"),INDEX(LAD_PC,MAX(1,MIN(14,MATCH(AY304,LAD_PC,0)+IF(BD304&gt;=0.5,1,IF(BD304&lt;=-0.5,-1,0))))),INDEX(LAD_STD,MAX(1,MIN(12,MATCH(AY304,LAD_STD,0)+IF(BD304&gt;=0.5,1,IF(BD304&lt;=-0.5,-1,0)))))))</f>
        <v>A3</v>
      </c>
      <c r="BF304" s="43" t="n"/>
      <c r="BG304" s="41" t="str">
        <f>IF(BF304&lt;&gt;"",BF304,BE304)</f>
        <v>A3</v>
      </c>
      <c r="BH304" s="40" t="str">
        <f>IFERROR(CHOOSE(INDEX(B_RANK,MATCH(BG304,B_LVL,0)),"Band A","Band B","B+ · Player-Coach","Band C","C+ · Player-Coach","Band D","Band E"),"Band X · Consultant")</f>
        <v>Band A</v>
      </c>
      <c r="BI304" s="40" t="str">
        <f>IF(BG304=AY304,"• Same",IF(INDEX(B_VAL,MATCH(BG304,B_LVL,0))&gt;INDEX(B_VAL,MATCH(AY304,B_LVL,0)),"▲ Up","▼ Down"))</f>
        <v>• Same</v>
      </c>
      <c r="BJ304" s="40" t="str">
        <f>IF(OR($M304="",$M304="—",$M304="Not in this file"),"",IFERROR(INDEX($BG$7:$BG$592,MATCH($M304,$D$7:$D$592,0)),""))</f>
        <v>B2</v>
      </c>
      <c r="BK304" s="40" t="str">
        <f>IFERROR(IF(BJ304="","—",IF(OR(LEFT(BG304,1)="X",LEFT(BJ304,1)="X"),"—",IF(AND(LEFT(BG304,1)="E",LEFT(BJ304,1)="E"),"Exception · Band E",IF(AND(INDEX(B_VAL,MATCH(BJ304,B_LVL,0))&gt;=7,INDEX(B_RANK,MATCH(BG304,B_LVL,0))&gt;=INDEX(B_RANK,MATCH(BJ304,B_LVL,0))),"⚠ Same band as a head manager",IF(INDEX(B_VAL,MATCH(BG304,B_LVL,0))&gt;=INDEX(B_VAL,MATCH(BJ304,B_LVL,0)),"⚠ At or above the manager's level","OK"))))),"—")</f>
        <v>OK</v>
      </c>
      <c r="BL304" s="43" t="n"/>
      <c r="BM304" s="44">
        <f>IFERROR(INDEX(LMH_PTS,MATCH(Y304,LMH_KEY,0)),0)</f>
        <v>9</v>
      </c>
      <c r="BN304" s="38">
        <f>IFERROR(INDEX(LMH_PTS,MATCH(Z304,LMH_KEY,0)),0)</f>
        <v>3</v>
      </c>
      <c r="BO304" s="38">
        <f>IFERROR(INDEX(LMH_PTS,MATCH(AA304,LMH_KEY,0)),0)</f>
        <v>3</v>
      </c>
      <c r="BP304" s="38">
        <f>IFERROR(INDEX(LMH_PTS,MATCH(AB304,LMH_KEY,0)),0)</f>
        <v>1</v>
      </c>
      <c r="BQ304" s="38">
        <f>IFERROR(INDEX(LMH_PTS,MATCH(AC304,LMH_KEY,0)),0)</f>
        <v>3</v>
      </c>
      <c r="BR304" s="38">
        <f>IFERROR(INDEX(LMH_PTS,MATCH(AD304,LMH_KEY,0)),0)</f>
        <v>1</v>
      </c>
      <c r="BS304" s="38">
        <f>IFERROR(INDEX(LMH_PTS,MATCH(AE304,LMH_KEY,0)),0)</f>
        <v>1</v>
      </c>
      <c r="BT304" s="38">
        <f>IFERROR(INDEX(LMH_STEP,MATCH(AF304,LMH_KEY,0)),0)</f>
        <v>0</v>
      </c>
      <c r="BU304" s="38">
        <f>IFERROR(INDEX(LMH_STEP,MATCH(AG304,LMH_KEY,0)),0)</f>
        <v>0</v>
      </c>
      <c r="BV304" s="38">
        <f>IFERROR(INDEX(LMH_STEP,MATCH(AH304,LMH_KEY,0)),0)</f>
        <v>0</v>
      </c>
      <c r="BW304" s="38">
        <f>IFERROR(INDEX(LMH_STEP,MATCH(AI304,LMH_KEY,0)),0)</f>
        <v>0</v>
      </c>
      <c r="BX304" s="38">
        <f>IFERROR(INDEX(LMH_STEP,MATCH(AJ304,LMH_KEY,0)),0)</f>
        <v>0</v>
      </c>
      <c r="BY304" s="38">
        <f>IFERROR(INDEX(LMH_STEP,MATCH(AK304,LMH_KEY,0)),0)</f>
        <v>0</v>
      </c>
      <c r="BZ304" s="38">
        <f>IFERROR(INDEX(LMH_STEP,MATCH(AL304,LMH_KEY,0)),0)</f>
        <v>0</v>
      </c>
      <c r="CA304" s="38" t="inlineStr">
        <is>
          <t>iFile|Support|Senior Support Executive|A3|A</t>
        </is>
      </c>
    </row>
    <row r="305" ht="110" customHeight="1">
      <c r="A305" s="28" t="inlineStr">
        <is>
          <t>iFile</t>
        </is>
      </c>
      <c r="B305" s="29" t="inlineStr">
        <is>
          <t>Support</t>
        </is>
      </c>
      <c r="C305" s="29" t="n">
        <v>5</v>
      </c>
      <c r="D305" s="29" t="inlineStr">
        <is>
          <t>IRIS1931</t>
        </is>
      </c>
      <c r="E305" s="29" t="inlineStr">
        <is>
          <t>Manohar Golbane</t>
        </is>
      </c>
      <c r="F305" s="29" t="inlineStr">
        <is>
          <t>Analyst</t>
        </is>
      </c>
      <c r="G305" s="29" t="inlineStr">
        <is>
          <t>Senior Support Executive</t>
        </is>
      </c>
      <c r="H305" s="29" t="inlineStr">
        <is>
          <t>Customer Success &amp; Support</t>
        </is>
      </c>
      <c r="I305" s="29" t="inlineStr">
        <is>
          <t>Application &amp; Product Support</t>
        </is>
      </c>
      <c r="J305" s="29" t="inlineStr">
        <is>
          <t>IC</t>
        </is>
      </c>
      <c r="K305" s="29" t="inlineStr">
        <is>
          <t>RC-031</t>
        </is>
      </c>
      <c r="L305" s="29" t="inlineStr">
        <is>
          <t>Kimaya Mundlye</t>
        </is>
      </c>
      <c r="M305" s="29" t="inlineStr">
        <is>
          <t>IRIS2118</t>
        </is>
      </c>
      <c r="N305" s="29" t="n">
        <v>13.6</v>
      </c>
      <c r="O305" s="29" t="n">
        <v>5.2</v>
      </c>
      <c r="P305" s="29" t="inlineStr">
        <is>
          <t>B.Com</t>
        </is>
      </c>
      <c r="Q305" s="29" t="inlineStr">
        <is>
          <t>L3 – Professional / Associate</t>
        </is>
      </c>
      <c r="R305" s="29" t="inlineStr">
        <is>
          <t>A3</t>
        </is>
      </c>
      <c r="S305" s="30" t="inlineStr">
        <is>
          <t>20 of 20</t>
        </is>
      </c>
      <c r="T305" s="31"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t>
        </is>
      </c>
      <c r="U305"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5" s="31" t="inlineStr">
        <is>
          <t>Latest rating: 4 · Potential: High · 9-box: High Impact / Growth Talent · Readiness: Ready now</t>
        </is>
      </c>
      <c r="W305" s="31" t="inlineStr">
        <is>
          <t>C M · Au L · Ac M · L L · BI M · Exp H · 13.6 yrs vs 2–4 yrs · Edu M · B.Com</t>
        </is>
      </c>
      <c r="X305" s="33" t="inlineStr">
        <is>
          <t>Open ▸</t>
        </is>
      </c>
      <c r="Y305" s="34" t="str">
        <f>IFERROR(INDEX(DL_C,MATCH($CA305,DL_KEY,0)),"M")</f>
        <v>H</v>
      </c>
      <c r="Z305" s="35" t="str">
        <f>IFERROR(INDEX(DL_Au,MATCH($CA305,DL_KEY,0)),"M")</f>
        <v>M</v>
      </c>
      <c r="AA305" s="35" t="str">
        <f>IFERROR(INDEX(DL_Ac,MATCH($CA305,DL_KEY,0)),"M")</f>
        <v>M</v>
      </c>
      <c r="AB305" s="35" t="str">
        <f>IFERROR(INDEX(DL_L,MATCH($CA305,DL_KEY,0)),"M")</f>
        <v>L</v>
      </c>
      <c r="AC305" s="35" t="str">
        <f>IFERROR(INDEX(DL_BI,MATCH($CA305,DL_KEY,0)),"M")</f>
        <v>M</v>
      </c>
      <c r="AD305" s="35" t="str">
        <f>IFERROR(INDEX(DL_Exp,MATCH($CA305,DL_KEY,0)),"M")</f>
        <v>L</v>
      </c>
      <c r="AE305" s="35" t="str">
        <f>IFERROR(INDEX(DL_Edu,MATCH($CA305,DL_KEY,0)),"M")</f>
        <v>L</v>
      </c>
      <c r="AF305" s="34" t="inlineStr">
        <is>
          <t>M</t>
        </is>
      </c>
      <c r="AG305" s="35" t="inlineStr">
        <is>
          <t>M</t>
        </is>
      </c>
      <c r="AH305" s="35" t="inlineStr">
        <is>
          <t>M</t>
        </is>
      </c>
      <c r="AI305" s="35" t="inlineStr">
        <is>
          <t>M</t>
        </is>
      </c>
      <c r="AJ305" s="35" t="inlineStr">
        <is>
          <t>M</t>
        </is>
      </c>
      <c r="AK305" s="35" t="inlineStr">
        <is>
          <t>M</t>
        </is>
      </c>
      <c r="AL305" s="35" t="inlineStr">
        <is>
          <t>M</t>
        </is>
      </c>
      <c r="AM305" s="36" t="n">
        <v>0.583</v>
      </c>
      <c r="AN305" s="37" t="n">
        <v>0.16</v>
      </c>
      <c r="AO305" s="37" t="n">
        <v>0.09</v>
      </c>
      <c r="AP305" s="37" t="n">
        <v>0</v>
      </c>
      <c r="AQ305" s="37" t="n">
        <v>0.063</v>
      </c>
      <c r="AR305" s="37" t="n">
        <v>0.06</v>
      </c>
      <c r="AS305" s="37" t="n">
        <v>0.04</v>
      </c>
      <c r="AT305" s="38" t="inlineStr">
        <is>
          <t>2–5</t>
        </is>
      </c>
      <c r="AU305" s="38" t="inlineStr">
        <is>
          <t>Graduate; relevant certification preferred</t>
        </is>
      </c>
      <c r="AV305" s="38" t="inlineStr">
        <is>
          <t>None · guides 1–3 juniors informally</t>
        </is>
      </c>
      <c r="AW305" s="38" t="inlineStr">
        <is>
          <t>P2 · SFIA 3 Apply</t>
        </is>
      </c>
      <c r="AX3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5" s="39" t="inlineStr">
        <is>
          <t>A3</t>
        </is>
      </c>
      <c r="AZ305" s="40" t="inlineStr">
        <is>
          <t>Band A · Practitioner · Senior Associate</t>
        </is>
      </c>
      <c r="BA305" s="40" t="inlineStr">
        <is>
          <t>Model A3 from the six ratings, the market-derived weights and rules R1–R13 · then No change · already below the manager</t>
        </is>
      </c>
      <c r="BB305" s="41" t="inlineStr">
        <is>
          <t>A3</t>
        </is>
      </c>
      <c r="BC305" s="40" t="inlineStr">
        <is>
          <t>The six ratings on the market-average weights of Band A · all tracks score 2.92 → A3 · Hay, Mercer IPE and public plans · experience 13.6 yrs vs the A3 market range 2–5</t>
        </is>
      </c>
      <c r="BD305" s="42">
        <f>IF(SUM(BM305,BN305,BO305,BP305,BQ305,BR305,BS305)=0,0,(BM305*BT305+BN305*BU305+BO305*BV305+BP305*BW305+BQ305*BX305+BR305*BY305+BS305*BZ305)/SUM(BM305,BN305,BO305,BP305,BQ305,BR305,BS305))</f>
        <v>0</v>
      </c>
      <c r="BE305" s="41" t="str">
        <f>IF(LEFT(AY305,1)="X",AY305,IF(OR(AY305="B+",AY305="C+"),INDEX(LAD_PC,MAX(1,MIN(14,MATCH(AY305,LAD_PC,0)+IF(BD305&gt;=0.5,1,IF(BD305&lt;=-0.5,-1,0))))),INDEX(LAD_STD,MAX(1,MIN(12,MATCH(AY305,LAD_STD,0)+IF(BD305&gt;=0.5,1,IF(BD305&lt;=-0.5,-1,0)))))))</f>
        <v>A3</v>
      </c>
      <c r="BF305" s="43" t="n"/>
      <c r="BG305" s="41" t="str">
        <f>IF(BF305&lt;&gt;"",BF305,BE305)</f>
        <v>A3</v>
      </c>
      <c r="BH305" s="40" t="str">
        <f>IFERROR(CHOOSE(INDEX(B_RANK,MATCH(BG305,B_LVL,0)),"Band A","Band B","B+ · Player-Coach","Band C","C+ · Player-Coach","Band D","Band E"),"Band X · Consultant")</f>
        <v>Band A</v>
      </c>
      <c r="BI305" s="40" t="str">
        <f>IF(BG305=AY305,"• Same",IF(INDEX(B_VAL,MATCH(BG305,B_LVL,0))&gt;INDEX(B_VAL,MATCH(AY305,B_LVL,0)),"▲ Up","▼ Down"))</f>
        <v>• Same</v>
      </c>
      <c r="BJ305" s="40" t="str">
        <f>IF(OR($M305="",$M305="—",$M305="Not in this file"),"",IFERROR(INDEX($BG$7:$BG$592,MATCH($M305,$D$7:$D$592,0)),""))</f>
        <v>B2</v>
      </c>
      <c r="BK305" s="40" t="str">
        <f>IFERROR(IF(BJ305="","—",IF(OR(LEFT(BG305,1)="X",LEFT(BJ305,1)="X"),"—",IF(AND(LEFT(BG305,1)="E",LEFT(BJ305,1)="E"),"Exception · Band E",IF(AND(INDEX(B_VAL,MATCH(BJ305,B_LVL,0))&gt;=7,INDEX(B_RANK,MATCH(BG305,B_LVL,0))&gt;=INDEX(B_RANK,MATCH(BJ305,B_LVL,0))),"⚠ Same band as a head manager",IF(INDEX(B_VAL,MATCH(BG305,B_LVL,0))&gt;=INDEX(B_VAL,MATCH(BJ305,B_LVL,0)),"⚠ At or above the manager's level","OK"))))),"—")</f>
        <v>OK</v>
      </c>
      <c r="BL305" s="43" t="n"/>
      <c r="BM305" s="44">
        <f>IFERROR(INDEX(LMH_PTS,MATCH(Y305,LMH_KEY,0)),0)</f>
        <v>9</v>
      </c>
      <c r="BN305" s="38">
        <f>IFERROR(INDEX(LMH_PTS,MATCH(Z305,LMH_KEY,0)),0)</f>
        <v>3</v>
      </c>
      <c r="BO305" s="38">
        <f>IFERROR(INDEX(LMH_PTS,MATCH(AA305,LMH_KEY,0)),0)</f>
        <v>3</v>
      </c>
      <c r="BP305" s="38">
        <f>IFERROR(INDEX(LMH_PTS,MATCH(AB305,LMH_KEY,0)),0)</f>
        <v>1</v>
      </c>
      <c r="BQ305" s="38">
        <f>IFERROR(INDEX(LMH_PTS,MATCH(AC305,LMH_KEY,0)),0)</f>
        <v>3</v>
      </c>
      <c r="BR305" s="38">
        <f>IFERROR(INDEX(LMH_PTS,MATCH(AD305,LMH_KEY,0)),0)</f>
        <v>1</v>
      </c>
      <c r="BS305" s="38">
        <f>IFERROR(INDEX(LMH_PTS,MATCH(AE305,LMH_KEY,0)),0)</f>
        <v>1</v>
      </c>
      <c r="BT305" s="38">
        <f>IFERROR(INDEX(LMH_STEP,MATCH(AF305,LMH_KEY,0)),0)</f>
        <v>0</v>
      </c>
      <c r="BU305" s="38">
        <f>IFERROR(INDEX(LMH_STEP,MATCH(AG305,LMH_KEY,0)),0)</f>
        <v>0</v>
      </c>
      <c r="BV305" s="38">
        <f>IFERROR(INDEX(LMH_STEP,MATCH(AH305,LMH_KEY,0)),0)</f>
        <v>0</v>
      </c>
      <c r="BW305" s="38">
        <f>IFERROR(INDEX(LMH_STEP,MATCH(AI305,LMH_KEY,0)),0)</f>
        <v>0</v>
      </c>
      <c r="BX305" s="38">
        <f>IFERROR(INDEX(LMH_STEP,MATCH(AJ305,LMH_KEY,0)),0)</f>
        <v>0</v>
      </c>
      <c r="BY305" s="38">
        <f>IFERROR(INDEX(LMH_STEP,MATCH(AK305,LMH_KEY,0)),0)</f>
        <v>0</v>
      </c>
      <c r="BZ305" s="38">
        <f>IFERROR(INDEX(LMH_STEP,MATCH(AL305,LMH_KEY,0)),0)</f>
        <v>0</v>
      </c>
      <c r="CA305" s="38" t="inlineStr">
        <is>
          <t>iFile|Support|Senior Support Executive|A3|A</t>
        </is>
      </c>
    </row>
    <row r="306" ht="110" customHeight="1">
      <c r="A306" s="28" t="inlineStr">
        <is>
          <t>iFile</t>
        </is>
      </c>
      <c r="B306" s="29" t="inlineStr">
        <is>
          <t>Support</t>
        </is>
      </c>
      <c r="C306" s="29" t="n">
        <v>5</v>
      </c>
      <c r="D306" s="29" t="inlineStr">
        <is>
          <t>IRIS2203</t>
        </is>
      </c>
      <c r="E306" s="29" t="inlineStr">
        <is>
          <t>Prajakta Mandhare</t>
        </is>
      </c>
      <c r="F306" s="29" t="inlineStr">
        <is>
          <t>Client Solutions Executive</t>
        </is>
      </c>
      <c r="G306" s="29" t="inlineStr">
        <is>
          <t>Senior Support Executive</t>
        </is>
      </c>
      <c r="H306" s="29" t="inlineStr">
        <is>
          <t>Customer Success &amp; Support</t>
        </is>
      </c>
      <c r="I306" s="29" t="inlineStr">
        <is>
          <t>Application &amp; Product Support</t>
        </is>
      </c>
      <c r="J306" s="29" t="inlineStr">
        <is>
          <t>IC</t>
        </is>
      </c>
      <c r="K306" s="29" t="inlineStr">
        <is>
          <t>RC-031</t>
        </is>
      </c>
      <c r="L306" s="29" t="inlineStr">
        <is>
          <t>Kimaya Mundlye</t>
        </is>
      </c>
      <c r="M306" s="29" t="inlineStr">
        <is>
          <t>IRIS2118</t>
        </is>
      </c>
      <c r="N306" s="29" t="n">
        <v>7.1</v>
      </c>
      <c r="O306" s="29" t="n">
        <v>2.9</v>
      </c>
      <c r="P306" s="29" t="inlineStr">
        <is>
          <t>B.Com</t>
        </is>
      </c>
      <c r="Q306" s="29" t="inlineStr">
        <is>
          <t>L3 – Professional / Associate</t>
        </is>
      </c>
      <c r="R306" s="29" t="inlineStr">
        <is>
          <t>A3</t>
        </is>
      </c>
      <c r="S306" s="30" t="inlineStr">
        <is>
          <t>20 of 20</t>
        </is>
      </c>
      <c r="T306" s="31"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t>
        </is>
      </c>
      <c r="U306"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6" s="31" t="inlineStr">
        <is>
          <t>Latest rating: 3 · Potential: High · 9-box: Emerging Talent · Readiness: Ready in 6–12 months</t>
        </is>
      </c>
      <c r="W306" s="31" t="inlineStr">
        <is>
          <t>C L · Au L · Ac L · L L · BI L · Exp H · 7.1 yrs vs 2–4 yrs · Edu M · B.Com</t>
        </is>
      </c>
      <c r="X306" s="33" t="inlineStr">
        <is>
          <t>Open ▸</t>
        </is>
      </c>
      <c r="Y306" s="34" t="str">
        <f>IFERROR(INDEX(DL_C,MATCH($CA306,DL_KEY,0)),"M")</f>
        <v>H</v>
      </c>
      <c r="Z306" s="35" t="str">
        <f>IFERROR(INDEX(DL_Au,MATCH($CA306,DL_KEY,0)),"M")</f>
        <v>M</v>
      </c>
      <c r="AA306" s="35" t="str">
        <f>IFERROR(INDEX(DL_Ac,MATCH($CA306,DL_KEY,0)),"M")</f>
        <v>M</v>
      </c>
      <c r="AB306" s="35" t="str">
        <f>IFERROR(INDEX(DL_L,MATCH($CA306,DL_KEY,0)),"M")</f>
        <v>L</v>
      </c>
      <c r="AC306" s="35" t="str">
        <f>IFERROR(INDEX(DL_BI,MATCH($CA306,DL_KEY,0)),"M")</f>
        <v>M</v>
      </c>
      <c r="AD306" s="35" t="str">
        <f>IFERROR(INDEX(DL_Exp,MATCH($CA306,DL_KEY,0)),"M")</f>
        <v>L</v>
      </c>
      <c r="AE306" s="35" t="str">
        <f>IFERROR(INDEX(DL_Edu,MATCH($CA306,DL_KEY,0)),"M")</f>
        <v>L</v>
      </c>
      <c r="AF306" s="34" t="inlineStr">
        <is>
          <t>M</t>
        </is>
      </c>
      <c r="AG306" s="35" t="inlineStr">
        <is>
          <t>M</t>
        </is>
      </c>
      <c r="AH306" s="35" t="inlineStr">
        <is>
          <t>M</t>
        </is>
      </c>
      <c r="AI306" s="35" t="inlineStr">
        <is>
          <t>M</t>
        </is>
      </c>
      <c r="AJ306" s="35" t="inlineStr">
        <is>
          <t>M</t>
        </is>
      </c>
      <c r="AK306" s="35" t="inlineStr">
        <is>
          <t>M</t>
        </is>
      </c>
      <c r="AL306" s="35" t="inlineStr">
        <is>
          <t>M</t>
        </is>
      </c>
      <c r="AM306" s="36" t="n">
        <v>0.583</v>
      </c>
      <c r="AN306" s="37" t="n">
        <v>0.16</v>
      </c>
      <c r="AO306" s="37" t="n">
        <v>0.09</v>
      </c>
      <c r="AP306" s="37" t="n">
        <v>0</v>
      </c>
      <c r="AQ306" s="37" t="n">
        <v>0.063</v>
      </c>
      <c r="AR306" s="37" t="n">
        <v>0.06</v>
      </c>
      <c r="AS306" s="37" t="n">
        <v>0.04</v>
      </c>
      <c r="AT306" s="38" t="inlineStr">
        <is>
          <t>2–5</t>
        </is>
      </c>
      <c r="AU306" s="38" t="inlineStr">
        <is>
          <t>Graduate; relevant certification preferred</t>
        </is>
      </c>
      <c r="AV306" s="38" t="inlineStr">
        <is>
          <t>None · guides 1–3 juniors informally</t>
        </is>
      </c>
      <c r="AW306" s="38" t="inlineStr">
        <is>
          <t>P2 · SFIA 3 Apply</t>
        </is>
      </c>
      <c r="AX3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6" s="39" t="inlineStr">
        <is>
          <t>A3</t>
        </is>
      </c>
      <c r="AZ306" s="40" t="inlineStr">
        <is>
          <t>Band A · Practitioner · Senior Associate</t>
        </is>
      </c>
      <c r="BA306" s="40" t="inlineStr">
        <is>
          <t>Model A3 from the six ratings, the market-derived weights and rules R1–R13 · then No change · already below the manager</t>
        </is>
      </c>
      <c r="BB306" s="41" t="inlineStr">
        <is>
          <t>A2</t>
        </is>
      </c>
      <c r="BC306" s="40" t="inlineStr">
        <is>
          <t>The six ratings on the market-average weights of Band A · all tracks score 2.30 → A2 · Hay, Mercer IPE and public plans · experience 7.1 yrs vs the A2 market range 0–3</t>
        </is>
      </c>
      <c r="BD306" s="42">
        <f>IF(SUM(BM306,BN306,BO306,BP306,BQ306,BR306,BS306)=0,0,(BM306*BT306+BN306*BU306+BO306*BV306+BP306*BW306+BQ306*BX306+BR306*BY306+BS306*BZ306)/SUM(BM306,BN306,BO306,BP306,BQ306,BR306,BS306))</f>
        <v>0</v>
      </c>
      <c r="BE306" s="41" t="str">
        <f>IF(LEFT(AY306,1)="X",AY306,IF(OR(AY306="B+",AY306="C+"),INDEX(LAD_PC,MAX(1,MIN(14,MATCH(AY306,LAD_PC,0)+IF(BD306&gt;=0.5,1,IF(BD306&lt;=-0.5,-1,0))))),INDEX(LAD_STD,MAX(1,MIN(12,MATCH(AY306,LAD_STD,0)+IF(BD306&gt;=0.5,1,IF(BD306&lt;=-0.5,-1,0)))))))</f>
        <v>A3</v>
      </c>
      <c r="BF306" s="43" t="n"/>
      <c r="BG306" s="41" t="str">
        <f>IF(BF306&lt;&gt;"",BF306,BE306)</f>
        <v>A3</v>
      </c>
      <c r="BH306" s="40" t="str">
        <f>IFERROR(CHOOSE(INDEX(B_RANK,MATCH(BG306,B_LVL,0)),"Band A","Band B","B+ · Player-Coach","Band C","C+ · Player-Coach","Band D","Band E"),"Band X · Consultant")</f>
        <v>Band A</v>
      </c>
      <c r="BI306" s="40" t="str">
        <f>IF(BG306=AY306,"• Same",IF(INDEX(B_VAL,MATCH(BG306,B_LVL,0))&gt;INDEX(B_VAL,MATCH(AY306,B_LVL,0)),"▲ Up","▼ Down"))</f>
        <v>• Same</v>
      </c>
      <c r="BJ306" s="40" t="str">
        <f>IF(OR($M306="",$M306="—",$M306="Not in this file"),"",IFERROR(INDEX($BG$7:$BG$592,MATCH($M306,$D$7:$D$592,0)),""))</f>
        <v>B2</v>
      </c>
      <c r="BK306" s="40" t="str">
        <f>IFERROR(IF(BJ306="","—",IF(OR(LEFT(BG306,1)="X",LEFT(BJ306,1)="X"),"—",IF(AND(LEFT(BG306,1)="E",LEFT(BJ306,1)="E"),"Exception · Band E",IF(AND(INDEX(B_VAL,MATCH(BJ306,B_LVL,0))&gt;=7,INDEX(B_RANK,MATCH(BG306,B_LVL,0))&gt;=INDEX(B_RANK,MATCH(BJ306,B_LVL,0))),"⚠ Same band as a head manager",IF(INDEX(B_VAL,MATCH(BG306,B_LVL,0))&gt;=INDEX(B_VAL,MATCH(BJ306,B_LVL,0)),"⚠ At or above the manager's level","OK"))))),"—")</f>
        <v>OK</v>
      </c>
      <c r="BL306" s="43" t="n"/>
      <c r="BM306" s="44">
        <f>IFERROR(INDEX(LMH_PTS,MATCH(Y306,LMH_KEY,0)),0)</f>
        <v>9</v>
      </c>
      <c r="BN306" s="38">
        <f>IFERROR(INDEX(LMH_PTS,MATCH(Z306,LMH_KEY,0)),0)</f>
        <v>3</v>
      </c>
      <c r="BO306" s="38">
        <f>IFERROR(INDEX(LMH_PTS,MATCH(AA306,LMH_KEY,0)),0)</f>
        <v>3</v>
      </c>
      <c r="BP306" s="38">
        <f>IFERROR(INDEX(LMH_PTS,MATCH(AB306,LMH_KEY,0)),0)</f>
        <v>1</v>
      </c>
      <c r="BQ306" s="38">
        <f>IFERROR(INDEX(LMH_PTS,MATCH(AC306,LMH_KEY,0)),0)</f>
        <v>3</v>
      </c>
      <c r="BR306" s="38">
        <f>IFERROR(INDEX(LMH_PTS,MATCH(AD306,LMH_KEY,0)),0)</f>
        <v>1</v>
      </c>
      <c r="BS306" s="38">
        <f>IFERROR(INDEX(LMH_PTS,MATCH(AE306,LMH_KEY,0)),0)</f>
        <v>1</v>
      </c>
      <c r="BT306" s="38">
        <f>IFERROR(INDEX(LMH_STEP,MATCH(AF306,LMH_KEY,0)),0)</f>
        <v>0</v>
      </c>
      <c r="BU306" s="38">
        <f>IFERROR(INDEX(LMH_STEP,MATCH(AG306,LMH_KEY,0)),0)</f>
        <v>0</v>
      </c>
      <c r="BV306" s="38">
        <f>IFERROR(INDEX(LMH_STEP,MATCH(AH306,LMH_KEY,0)),0)</f>
        <v>0</v>
      </c>
      <c r="BW306" s="38">
        <f>IFERROR(INDEX(LMH_STEP,MATCH(AI306,LMH_KEY,0)),0)</f>
        <v>0</v>
      </c>
      <c r="BX306" s="38">
        <f>IFERROR(INDEX(LMH_STEP,MATCH(AJ306,LMH_KEY,0)),0)</f>
        <v>0</v>
      </c>
      <c r="BY306" s="38">
        <f>IFERROR(INDEX(LMH_STEP,MATCH(AK306,LMH_KEY,0)),0)</f>
        <v>0</v>
      </c>
      <c r="BZ306" s="38">
        <f>IFERROR(INDEX(LMH_STEP,MATCH(AL306,LMH_KEY,0)),0)</f>
        <v>0</v>
      </c>
      <c r="CA306" s="38" t="inlineStr">
        <is>
          <t>iFile|Support|Senior Support Executive|A3|A</t>
        </is>
      </c>
    </row>
    <row r="307" ht="110" customHeight="1">
      <c r="A307" s="28" t="inlineStr">
        <is>
          <t>iFile</t>
        </is>
      </c>
      <c r="B307" s="29" t="inlineStr">
        <is>
          <t>Technology</t>
        </is>
      </c>
      <c r="C307" s="29" t="n">
        <v>4</v>
      </c>
      <c r="D307" s="29" t="inlineStr">
        <is>
          <t>IRIS2521</t>
        </is>
      </c>
      <c r="E307" s="29" t="inlineStr">
        <is>
          <t>Prasad Gavhane</t>
        </is>
      </c>
      <c r="F307" s="29" t="inlineStr">
        <is>
          <t>Lead Software Engineer</t>
        </is>
      </c>
      <c r="G307" s="29" t="inlineStr">
        <is>
          <t>Lead Software Engineer</t>
        </is>
      </c>
      <c r="H307" s="29" t="inlineStr">
        <is>
          <t>Engineering &amp; Development</t>
        </is>
      </c>
      <c r="I307" s="29" t="inlineStr">
        <is>
          <t>Backend Development</t>
        </is>
      </c>
      <c r="J307" s="29" t="inlineStr">
        <is>
          <t>IC</t>
        </is>
      </c>
      <c r="K307" s="29" t="inlineStr">
        <is>
          <t>RC-069</t>
        </is>
      </c>
      <c r="L307" s="29" t="inlineStr">
        <is>
          <t>Izharuddin Shaikh</t>
        </is>
      </c>
      <c r="M307" s="29" t="inlineStr">
        <is>
          <t>IRIS1712</t>
        </is>
      </c>
      <c r="N307" s="29" t="n">
        <v>11.9</v>
      </c>
      <c r="O307" s="29" t="n">
        <v>0.4</v>
      </c>
      <c r="P307" s="29" t="inlineStr">
        <is>
          <t>B.E</t>
        </is>
      </c>
      <c r="Q307" s="29" t="inlineStr">
        <is>
          <t>L5 – Lead · IC</t>
        </is>
      </c>
      <c r="R307" s="29" t="inlineStr">
        <is>
          <t>B2</t>
        </is>
      </c>
      <c r="S307" s="30" t="inlineStr">
        <is>
          <t>20 of 20</t>
        </is>
      </c>
      <c r="T307" s="31"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t>
        </is>
      </c>
      <c r="U30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7" s="31" t="inlineStr">
        <is>
          <t>Latest rating: 4 · Potential: High · 9-box: Trusted Professional · Readiness: Ready now</t>
        </is>
      </c>
      <c r="W307" s="31" t="inlineStr">
        <is>
          <t>C M · Au M · Ac M · L M · BI H · Exp H · 11.9 yrs vs 6–9 yrs · Edu M · B.E</t>
        </is>
      </c>
      <c r="X307" s="33" t="inlineStr">
        <is>
          <t>Open ▸</t>
        </is>
      </c>
      <c r="Y307" s="34" t="str">
        <f>IFERROR(INDEX(DL_C,MATCH($CA307,DL_KEY,0)),"M")</f>
        <v>H</v>
      </c>
      <c r="Z307" s="35" t="str">
        <f>IFERROR(INDEX(DL_Au,MATCH($CA307,DL_KEY,0)),"M")</f>
        <v>M</v>
      </c>
      <c r="AA307" s="35" t="str">
        <f>IFERROR(INDEX(DL_Ac,MATCH($CA307,DL_KEY,0)),"M")</f>
        <v>L</v>
      </c>
      <c r="AB307" s="35" t="str">
        <f>IFERROR(INDEX(DL_L,MATCH($CA307,DL_KEY,0)),"M")</f>
        <v>L</v>
      </c>
      <c r="AC307" s="35" t="str">
        <f>IFERROR(INDEX(DL_BI,MATCH($CA307,DL_KEY,0)),"M")</f>
        <v>L</v>
      </c>
      <c r="AD307" s="35" t="str">
        <f>IFERROR(INDEX(DL_Exp,MATCH($CA307,DL_KEY,0)),"M")</f>
        <v>L</v>
      </c>
      <c r="AE307" s="35" t="str">
        <f>IFERROR(INDEX(DL_Edu,MATCH($CA307,DL_KEY,0)),"M")</f>
        <v>L</v>
      </c>
      <c r="AF307" s="34" t="inlineStr">
        <is>
          <t>M</t>
        </is>
      </c>
      <c r="AG307" s="35" t="inlineStr">
        <is>
          <t>M</t>
        </is>
      </c>
      <c r="AH307" s="35" t="inlineStr">
        <is>
          <t>M</t>
        </is>
      </c>
      <c r="AI307" s="35" t="inlineStr">
        <is>
          <t>M</t>
        </is>
      </c>
      <c r="AJ307" s="35" t="inlineStr">
        <is>
          <t>M</t>
        </is>
      </c>
      <c r="AK307" s="35" t="inlineStr">
        <is>
          <t>M</t>
        </is>
      </c>
      <c r="AL307" s="35" t="inlineStr">
        <is>
          <t>M</t>
        </is>
      </c>
      <c r="AM307" s="36" t="n">
        <v>0.513</v>
      </c>
      <c r="AN307" s="37" t="n">
        <v>0.173</v>
      </c>
      <c r="AO307" s="37" t="n">
        <v>0.09699999999999999</v>
      </c>
      <c r="AP307" s="37" t="n">
        <v>0.05</v>
      </c>
      <c r="AQ307" s="37" t="n">
        <v>0.07000000000000001</v>
      </c>
      <c r="AR307" s="37" t="n">
        <v>0.06</v>
      </c>
      <c r="AS307" s="37" t="n">
        <v>0.04</v>
      </c>
      <c r="AT307" s="38" t="inlineStr">
        <is>
          <t>6–10</t>
        </is>
      </c>
      <c r="AU307" s="38" t="inlineStr">
        <is>
          <t>Graduate or postgraduate; professional qualification preferred</t>
        </is>
      </c>
      <c r="AV307" s="38" t="inlineStr">
        <is>
          <t>IC: none · People: 6–8 knowledge work, 8–12 standardised delivery</t>
        </is>
      </c>
      <c r="AW307" s="38" t="inlineStr">
        <is>
          <t>P4 / M3 · SFIA 4–5</t>
        </is>
      </c>
      <c r="AX3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7" s="39" t="inlineStr">
        <is>
          <t>B2</t>
        </is>
      </c>
      <c r="AZ307" s="40" t="inlineStr">
        <is>
          <t>Band B · Specialist / Manager · Senior Specialist</t>
        </is>
      </c>
      <c r="BA307" s="40" t="inlineStr">
        <is>
          <t>Model B2 from the six ratings, the market-derived weights and rules R1–R13 · then No change · already below the manager</t>
        </is>
      </c>
      <c r="BB307" s="41" t="inlineStr">
        <is>
          <t>B2</t>
        </is>
      </c>
      <c r="BC307" s="40" t="inlineStr">
        <is>
          <t>The six ratings on the market-average weights of Band B · Specialist / POD Lead score 5.38 → B2 · Hay, Mercer IPE and public plans · experience 11.9 yrs vs the B2 market range 6–10</t>
        </is>
      </c>
      <c r="BD307" s="42">
        <f>IF(SUM(BM307,BN307,BO307,BP307,BQ307,BR307,BS307)=0,0,(BM307*BT307+BN307*BU307+BO307*BV307+BP307*BW307+BQ307*BX307+BR307*BY307+BS307*BZ307)/SUM(BM307,BN307,BO307,BP307,BQ307,BR307,BS307))</f>
        <v>0</v>
      </c>
      <c r="BE307" s="41" t="str">
        <f>IF(LEFT(AY307,1)="X",AY307,IF(OR(AY307="B+",AY307="C+"),INDEX(LAD_PC,MAX(1,MIN(14,MATCH(AY307,LAD_PC,0)+IF(BD307&gt;=0.5,1,IF(BD307&lt;=-0.5,-1,0))))),INDEX(LAD_STD,MAX(1,MIN(12,MATCH(AY307,LAD_STD,0)+IF(BD307&gt;=0.5,1,IF(BD307&lt;=-0.5,-1,0)))))))</f>
        <v>B2</v>
      </c>
      <c r="BF307" s="43" t="n"/>
      <c r="BG307" s="41" t="str">
        <f>IF(BF307&lt;&gt;"",BF307,BE307)</f>
        <v>B2</v>
      </c>
      <c r="BH307" s="40" t="str">
        <f>IFERROR(CHOOSE(INDEX(B_RANK,MATCH(BG307,B_LVL,0)),"Band A","Band B","B+ · Player-Coach","Band C","C+ · Player-Coach","Band D","Band E"),"Band X · Consultant")</f>
        <v>Band B</v>
      </c>
      <c r="BI307" s="40" t="str">
        <f>IF(BG307=AY307,"• Same",IF(INDEX(B_VAL,MATCH(BG307,B_LVL,0))&gt;INDEX(B_VAL,MATCH(AY307,B_LVL,0)),"▲ Up","▼ Down"))</f>
        <v>• Same</v>
      </c>
      <c r="BJ307" s="40" t="str">
        <f>IF(OR($M307="",$M307="—",$M307="Not in this file"),"",IFERROR(INDEX($BG$7:$BG$592,MATCH($M307,$D$7:$D$592,0)),""))</f>
        <v>B+</v>
      </c>
      <c r="BK307" s="40" t="str">
        <f>IFERROR(IF(BJ307="","—",IF(OR(LEFT(BG307,1)="X",LEFT(BJ307,1)="X"),"—",IF(AND(LEFT(BG307,1)="E",LEFT(BJ307,1)="E"),"Exception · Band E",IF(AND(INDEX(B_VAL,MATCH(BJ307,B_LVL,0))&gt;=7,INDEX(B_RANK,MATCH(BG307,B_LVL,0))&gt;=INDEX(B_RANK,MATCH(BJ307,B_LVL,0))),"⚠ Same band as a head manager",IF(INDEX(B_VAL,MATCH(BG307,B_LVL,0))&gt;=INDEX(B_VAL,MATCH(BJ307,B_LVL,0)),"⚠ At or above the manager's level","OK"))))),"—")</f>
        <v>OK</v>
      </c>
      <c r="BL307" s="43" t="n"/>
      <c r="BM307" s="44">
        <f>IFERROR(INDEX(LMH_PTS,MATCH(Y307,LMH_KEY,0)),0)</f>
        <v>9</v>
      </c>
      <c r="BN307" s="38">
        <f>IFERROR(INDEX(LMH_PTS,MATCH(Z307,LMH_KEY,0)),0)</f>
        <v>3</v>
      </c>
      <c r="BO307" s="38">
        <f>IFERROR(INDEX(LMH_PTS,MATCH(AA307,LMH_KEY,0)),0)</f>
        <v>1</v>
      </c>
      <c r="BP307" s="38">
        <f>IFERROR(INDEX(LMH_PTS,MATCH(AB307,LMH_KEY,0)),0)</f>
        <v>1</v>
      </c>
      <c r="BQ307" s="38">
        <f>IFERROR(INDEX(LMH_PTS,MATCH(AC307,LMH_KEY,0)),0)</f>
        <v>1</v>
      </c>
      <c r="BR307" s="38">
        <f>IFERROR(INDEX(LMH_PTS,MATCH(AD307,LMH_KEY,0)),0)</f>
        <v>1</v>
      </c>
      <c r="BS307" s="38">
        <f>IFERROR(INDEX(LMH_PTS,MATCH(AE307,LMH_KEY,0)),0)</f>
        <v>1</v>
      </c>
      <c r="BT307" s="38">
        <f>IFERROR(INDEX(LMH_STEP,MATCH(AF307,LMH_KEY,0)),0)</f>
        <v>0</v>
      </c>
      <c r="BU307" s="38">
        <f>IFERROR(INDEX(LMH_STEP,MATCH(AG307,LMH_KEY,0)),0)</f>
        <v>0</v>
      </c>
      <c r="BV307" s="38">
        <f>IFERROR(INDEX(LMH_STEP,MATCH(AH307,LMH_KEY,0)),0)</f>
        <v>0</v>
      </c>
      <c r="BW307" s="38">
        <f>IFERROR(INDEX(LMH_STEP,MATCH(AI307,LMH_KEY,0)),0)</f>
        <v>0</v>
      </c>
      <c r="BX307" s="38">
        <f>IFERROR(INDEX(LMH_STEP,MATCH(AJ307,LMH_KEY,0)),0)</f>
        <v>0</v>
      </c>
      <c r="BY307" s="38">
        <f>IFERROR(INDEX(LMH_STEP,MATCH(AK307,LMH_KEY,0)),0)</f>
        <v>0</v>
      </c>
      <c r="BZ307" s="38">
        <f>IFERROR(INDEX(LMH_STEP,MATCH(AL307,LMH_KEY,0)),0)</f>
        <v>0</v>
      </c>
      <c r="CA307" s="38" t="inlineStr">
        <is>
          <t>iFile|Technology|Lead Software Engineer|B2|B-IC</t>
        </is>
      </c>
    </row>
    <row r="308" ht="110" customHeight="1">
      <c r="A308" s="28" t="inlineStr">
        <is>
          <t>iFile</t>
        </is>
      </c>
      <c r="B308" s="29" t="inlineStr">
        <is>
          <t>Technology</t>
        </is>
      </c>
      <c r="C308" s="29" t="n">
        <v>4</v>
      </c>
      <c r="D308" s="29" t="inlineStr">
        <is>
          <t>IRIS2127</t>
        </is>
      </c>
      <c r="E308" s="29" t="inlineStr">
        <is>
          <t>Yunus Patel</t>
        </is>
      </c>
      <c r="F308" s="29" t="inlineStr">
        <is>
          <t>Project Manager</t>
        </is>
      </c>
      <c r="G308" s="29" t="inlineStr">
        <is>
          <t>Delivery Manager</t>
        </is>
      </c>
      <c r="H308" s="29" t="inlineStr">
        <is>
          <t>Project &amp; Program Management</t>
        </is>
      </c>
      <c r="I308" s="29" t="inlineStr">
        <is>
          <t>Project &amp; Program Delivery</t>
        </is>
      </c>
      <c r="J308" s="29" t="inlineStr">
        <is>
          <t>People Manager</t>
        </is>
      </c>
      <c r="K308" s="29" t="inlineStr">
        <is>
          <t>RC-136</t>
        </is>
      </c>
      <c r="L308" s="29" t="inlineStr">
        <is>
          <t>Izharuddin Shaikh</t>
        </is>
      </c>
      <c r="M308" s="29" t="inlineStr">
        <is>
          <t>IRIS1712</t>
        </is>
      </c>
      <c r="N308" s="29" t="n">
        <v>22.4</v>
      </c>
      <c r="O308" s="29" t="n">
        <v>3.4</v>
      </c>
      <c r="P308" s="29" t="inlineStr">
        <is>
          <t>B.Com</t>
        </is>
      </c>
      <c r="Q308" s="29" t="inlineStr">
        <is>
          <t>L5 – Manager</t>
        </is>
      </c>
      <c r="R308" s="29" t="inlineStr">
        <is>
          <t>B2</t>
        </is>
      </c>
      <c r="S308" s="30" t="inlineStr">
        <is>
          <t>20 of 20</t>
        </is>
      </c>
      <c r="T308" s="31"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t>
        </is>
      </c>
      <c r="U308"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08" s="31" t="inlineStr">
        <is>
          <t>Latest rating: 4 · Potential: High · 9-box: Trusted Professional · Readiness: Ready now</t>
        </is>
      </c>
      <c r="W308" s="31" t="inlineStr">
        <is>
          <t>C M · Au M · Ac M · L M · BI M · Exp H · 22.4 yrs vs 6–9 yrs · Edu M · B.Com</t>
        </is>
      </c>
      <c r="X308" s="33" t="inlineStr">
        <is>
          <t>Open ▸</t>
        </is>
      </c>
      <c r="Y308" s="34" t="str">
        <f>IFERROR(INDEX(DL_C,MATCH($CA308,DL_KEY,0)),"M")</f>
        <v>H</v>
      </c>
      <c r="Z308" s="35" t="str">
        <f>IFERROR(INDEX(DL_Au,MATCH($CA308,DL_KEY,0)),"M")</f>
        <v>M</v>
      </c>
      <c r="AA308" s="35" t="str">
        <f>IFERROR(INDEX(DL_Ac,MATCH($CA308,DL_KEY,0)),"M")</f>
        <v>L</v>
      </c>
      <c r="AB308" s="35" t="str">
        <f>IFERROR(INDEX(DL_L,MATCH($CA308,DL_KEY,0)),"M")</f>
        <v>M</v>
      </c>
      <c r="AC308" s="35" t="str">
        <f>IFERROR(INDEX(DL_BI,MATCH($CA308,DL_KEY,0)),"M")</f>
        <v>L</v>
      </c>
      <c r="AD308" s="35" t="str">
        <f>IFERROR(INDEX(DL_Exp,MATCH($CA308,DL_KEY,0)),"M")</f>
        <v>L</v>
      </c>
      <c r="AE308" s="35" t="str">
        <f>IFERROR(INDEX(DL_Edu,MATCH($CA308,DL_KEY,0)),"M")</f>
        <v>L</v>
      </c>
      <c r="AF308" s="34" t="inlineStr">
        <is>
          <t>M</t>
        </is>
      </c>
      <c r="AG308" s="35" t="inlineStr">
        <is>
          <t>M</t>
        </is>
      </c>
      <c r="AH308" s="35" t="inlineStr">
        <is>
          <t>M</t>
        </is>
      </c>
      <c r="AI308" s="35" t="inlineStr">
        <is>
          <t>M</t>
        </is>
      </c>
      <c r="AJ308" s="35" t="inlineStr">
        <is>
          <t>M</t>
        </is>
      </c>
      <c r="AK308" s="35" t="inlineStr">
        <is>
          <t>M</t>
        </is>
      </c>
      <c r="AL308" s="35" t="inlineStr">
        <is>
          <t>M</t>
        </is>
      </c>
      <c r="AM308" s="36" t="n">
        <v>0.37</v>
      </c>
      <c r="AN308" s="37" t="n">
        <v>0.183</v>
      </c>
      <c r="AO308" s="37" t="n">
        <v>0.113</v>
      </c>
      <c r="AP308" s="37" t="n">
        <v>0.15</v>
      </c>
      <c r="AQ308" s="37" t="n">
        <v>0.08699999999999999</v>
      </c>
      <c r="AR308" s="37" t="n">
        <v>0.06</v>
      </c>
      <c r="AS308" s="37" t="n">
        <v>0.04</v>
      </c>
      <c r="AT308" s="38" t="inlineStr">
        <is>
          <t>6–10</t>
        </is>
      </c>
      <c r="AU308" s="38" t="inlineStr">
        <is>
          <t>Graduate or postgraduate; professional qualification preferred</t>
        </is>
      </c>
      <c r="AV308" s="38" t="inlineStr">
        <is>
          <t>IC: none · People: 6–8 knowledge work, 8–12 standardised delivery</t>
        </is>
      </c>
      <c r="AW308" s="38" t="inlineStr">
        <is>
          <t>P4 / M3 · SFIA 4–5</t>
        </is>
      </c>
      <c r="AX3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8" s="39" t="inlineStr">
        <is>
          <t>B2</t>
        </is>
      </c>
      <c r="AZ308" s="40" t="inlineStr">
        <is>
          <t>Band B · Specialist / Manager · Manager</t>
        </is>
      </c>
      <c r="BA308" s="40" t="inlineStr">
        <is>
          <t>Model B2 from the six ratings, the market-derived weights and rules R1–R13 · then No change · already below the manager</t>
        </is>
      </c>
      <c r="BB308" s="41" t="inlineStr">
        <is>
          <t>B2</t>
        </is>
      </c>
      <c r="BC308" s="40" t="inlineStr">
        <is>
          <t>The six ratings on the market-average weights of Band B · People Manager score 5.37 → B2 · Hay, Mercer IPE and public plans · experience 22.4 yrs vs the B2 market range 6–10</t>
        </is>
      </c>
      <c r="BD308" s="42">
        <f>IF(SUM(BM308,BN308,BO308,BP308,BQ308,BR308,BS308)=0,0,(BM308*BT308+BN308*BU308+BO308*BV308+BP308*BW308+BQ308*BX308+BR308*BY308+BS308*BZ308)/SUM(BM308,BN308,BO308,BP308,BQ308,BR308,BS308))</f>
        <v>0</v>
      </c>
      <c r="BE308" s="41" t="str">
        <f>IF(LEFT(AY308,1)="X",AY308,IF(OR(AY308="B+",AY308="C+"),INDEX(LAD_PC,MAX(1,MIN(14,MATCH(AY308,LAD_PC,0)+IF(BD308&gt;=0.5,1,IF(BD308&lt;=-0.5,-1,0))))),INDEX(LAD_STD,MAX(1,MIN(12,MATCH(AY308,LAD_STD,0)+IF(BD308&gt;=0.5,1,IF(BD308&lt;=-0.5,-1,0)))))))</f>
        <v>B2</v>
      </c>
      <c r="BF308" s="43" t="n"/>
      <c r="BG308" s="41" t="str">
        <f>IF(BF308&lt;&gt;"",BF308,BE308)</f>
        <v>B2</v>
      </c>
      <c r="BH308" s="40" t="str">
        <f>IFERROR(CHOOSE(INDEX(B_RANK,MATCH(BG308,B_LVL,0)),"Band A","Band B","B+ · Player-Coach","Band C","C+ · Player-Coach","Band D","Band E"),"Band X · Consultant")</f>
        <v>Band B</v>
      </c>
      <c r="BI308" s="40" t="str">
        <f>IF(BG308=AY308,"• Same",IF(INDEX(B_VAL,MATCH(BG308,B_LVL,0))&gt;INDEX(B_VAL,MATCH(AY308,B_LVL,0)),"▲ Up","▼ Down"))</f>
        <v>• Same</v>
      </c>
      <c r="BJ308" s="40" t="str">
        <f>IF(OR($M308="",$M308="—",$M308="Not in this file"),"",IFERROR(INDEX($BG$7:$BG$592,MATCH($M308,$D$7:$D$592,0)),""))</f>
        <v>B+</v>
      </c>
      <c r="BK308" s="40" t="str">
        <f>IFERROR(IF(BJ308="","—",IF(OR(LEFT(BG308,1)="X",LEFT(BJ308,1)="X"),"—",IF(AND(LEFT(BG308,1)="E",LEFT(BJ308,1)="E"),"Exception · Band E",IF(AND(INDEX(B_VAL,MATCH(BJ308,B_LVL,0))&gt;=7,INDEX(B_RANK,MATCH(BG308,B_LVL,0))&gt;=INDEX(B_RANK,MATCH(BJ308,B_LVL,0))),"⚠ Same band as a head manager",IF(INDEX(B_VAL,MATCH(BG308,B_LVL,0))&gt;=INDEX(B_VAL,MATCH(BJ308,B_LVL,0)),"⚠ At or above the manager's level","OK"))))),"—")</f>
        <v>OK</v>
      </c>
      <c r="BL308" s="43" t="n"/>
      <c r="BM308" s="44">
        <f>IFERROR(INDEX(LMH_PTS,MATCH(Y308,LMH_KEY,0)),0)</f>
        <v>9</v>
      </c>
      <c r="BN308" s="38">
        <f>IFERROR(INDEX(LMH_PTS,MATCH(Z308,LMH_KEY,0)),0)</f>
        <v>3</v>
      </c>
      <c r="BO308" s="38">
        <f>IFERROR(INDEX(LMH_PTS,MATCH(AA308,LMH_KEY,0)),0)</f>
        <v>1</v>
      </c>
      <c r="BP308" s="38">
        <f>IFERROR(INDEX(LMH_PTS,MATCH(AB308,LMH_KEY,0)),0)</f>
        <v>3</v>
      </c>
      <c r="BQ308" s="38">
        <f>IFERROR(INDEX(LMH_PTS,MATCH(AC308,LMH_KEY,0)),0)</f>
        <v>1</v>
      </c>
      <c r="BR308" s="38">
        <f>IFERROR(INDEX(LMH_PTS,MATCH(AD308,LMH_KEY,0)),0)</f>
        <v>1</v>
      </c>
      <c r="BS308" s="38">
        <f>IFERROR(INDEX(LMH_PTS,MATCH(AE308,LMH_KEY,0)),0)</f>
        <v>1</v>
      </c>
      <c r="BT308" s="38">
        <f>IFERROR(INDEX(LMH_STEP,MATCH(AF308,LMH_KEY,0)),0)</f>
        <v>0</v>
      </c>
      <c r="BU308" s="38">
        <f>IFERROR(INDEX(LMH_STEP,MATCH(AG308,LMH_KEY,0)),0)</f>
        <v>0</v>
      </c>
      <c r="BV308" s="38">
        <f>IFERROR(INDEX(LMH_STEP,MATCH(AH308,LMH_KEY,0)),0)</f>
        <v>0</v>
      </c>
      <c r="BW308" s="38">
        <f>IFERROR(INDEX(LMH_STEP,MATCH(AI308,LMH_KEY,0)),0)</f>
        <v>0</v>
      </c>
      <c r="BX308" s="38">
        <f>IFERROR(INDEX(LMH_STEP,MATCH(AJ308,LMH_KEY,0)),0)</f>
        <v>0</v>
      </c>
      <c r="BY308" s="38">
        <f>IFERROR(INDEX(LMH_STEP,MATCH(AK308,LMH_KEY,0)),0)</f>
        <v>0</v>
      </c>
      <c r="BZ308" s="38">
        <f>IFERROR(INDEX(LMH_STEP,MATCH(AL308,LMH_KEY,0)),0)</f>
        <v>0</v>
      </c>
      <c r="CA308" s="38" t="inlineStr">
        <is>
          <t>iFile|Technology|Delivery Manager|B2|B-M</t>
        </is>
      </c>
    </row>
    <row r="309" ht="110" customHeight="1">
      <c r="A309" s="28" t="inlineStr">
        <is>
          <t>iFile</t>
        </is>
      </c>
      <c r="B309" s="29" t="inlineStr">
        <is>
          <t>Technology</t>
        </is>
      </c>
      <c r="C309" s="29" t="n">
        <v>5</v>
      </c>
      <c r="D309" s="29" t="inlineStr">
        <is>
          <t>IRIS1474</t>
        </is>
      </c>
      <c r="E309" s="29" t="inlineStr">
        <is>
          <t>Amruta Kadam</t>
        </is>
      </c>
      <c r="F309" s="29" t="inlineStr">
        <is>
          <t>Tech Lead</t>
        </is>
      </c>
      <c r="G309" s="29" t="inlineStr">
        <is>
          <t>Engineering Manager</t>
        </is>
      </c>
      <c r="H309" s="29" t="inlineStr">
        <is>
          <t>Engineering &amp; Development</t>
        </is>
      </c>
      <c r="I309" s="29" t="inlineStr">
        <is>
          <t>Backend Development</t>
        </is>
      </c>
      <c r="J309" s="29" t="inlineStr">
        <is>
          <t>People Manager</t>
        </is>
      </c>
      <c r="K309" s="29" t="inlineStr">
        <is>
          <t>RC-070</t>
        </is>
      </c>
      <c r="L309" s="29" t="inlineStr">
        <is>
          <t>Yunus Patel</t>
        </is>
      </c>
      <c r="M309" s="29" t="inlineStr">
        <is>
          <t>IRIS2127</t>
        </is>
      </c>
      <c r="N309" s="29" t="n">
        <v>12.1</v>
      </c>
      <c r="O309" s="29" t="n">
        <v>12.1</v>
      </c>
      <c r="P309" s="29" t="inlineStr">
        <is>
          <t>B.E</t>
        </is>
      </c>
      <c r="Q309" s="29" t="inlineStr">
        <is>
          <t>L5 – Lead · IC</t>
        </is>
      </c>
      <c r="R309" s="29" t="inlineStr">
        <is>
          <t>B2</t>
        </is>
      </c>
      <c r="S309" s="30" t="inlineStr">
        <is>
          <t>20 of 20</t>
        </is>
      </c>
      <c r="T309" s="31"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t>
        </is>
      </c>
      <c r="U309"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09" s="31" t="inlineStr">
        <is>
          <t>Latest rating: 4 · Potential: High · 9-box: Future Leader · Readiness: Ready now</t>
        </is>
      </c>
      <c r="W309" s="31" t="inlineStr">
        <is>
          <t>C H · Au M · Ac H · L H · BI H · Exp H · 12.1 yrs vs 4–7 yrs · Edu M · B.E</t>
        </is>
      </c>
      <c r="X309" s="33" t="inlineStr">
        <is>
          <t>Open ▸</t>
        </is>
      </c>
      <c r="Y309" s="34" t="str">
        <f>IFERROR(INDEX(DL_C,MATCH($CA309,DL_KEY,0)),"M")</f>
        <v>H</v>
      </c>
      <c r="Z309" s="35" t="str">
        <f>IFERROR(INDEX(DL_Au,MATCH($CA309,DL_KEY,0)),"M")</f>
        <v>M</v>
      </c>
      <c r="AA309" s="35" t="str">
        <f>IFERROR(INDEX(DL_Ac,MATCH($CA309,DL_KEY,0)),"M")</f>
        <v>L</v>
      </c>
      <c r="AB309" s="35" t="str">
        <f>IFERROR(INDEX(DL_L,MATCH($CA309,DL_KEY,0)),"M")</f>
        <v>M</v>
      </c>
      <c r="AC309" s="35" t="str">
        <f>IFERROR(INDEX(DL_BI,MATCH($CA309,DL_KEY,0)),"M")</f>
        <v>L</v>
      </c>
      <c r="AD309" s="35" t="str">
        <f>IFERROR(INDEX(DL_Exp,MATCH($CA309,DL_KEY,0)),"M")</f>
        <v>L</v>
      </c>
      <c r="AE309" s="35" t="str">
        <f>IFERROR(INDEX(DL_Edu,MATCH($CA309,DL_KEY,0)),"M")</f>
        <v>L</v>
      </c>
      <c r="AF309" s="34" t="inlineStr">
        <is>
          <t>M</t>
        </is>
      </c>
      <c r="AG309" s="35" t="inlineStr">
        <is>
          <t>M</t>
        </is>
      </c>
      <c r="AH309" s="35" t="inlineStr">
        <is>
          <t>M</t>
        </is>
      </c>
      <c r="AI309" s="35" t="inlineStr">
        <is>
          <t>M</t>
        </is>
      </c>
      <c r="AJ309" s="35" t="inlineStr">
        <is>
          <t>M</t>
        </is>
      </c>
      <c r="AK309" s="35" t="inlineStr">
        <is>
          <t>M</t>
        </is>
      </c>
      <c r="AL309" s="35" t="inlineStr">
        <is>
          <t>M</t>
        </is>
      </c>
      <c r="AM309" s="36" t="n">
        <v>0.37</v>
      </c>
      <c r="AN309" s="37" t="n">
        <v>0.183</v>
      </c>
      <c r="AO309" s="37" t="n">
        <v>0.113</v>
      </c>
      <c r="AP309" s="37" t="n">
        <v>0.15</v>
      </c>
      <c r="AQ309" s="37" t="n">
        <v>0.08699999999999999</v>
      </c>
      <c r="AR309" s="37" t="n">
        <v>0.06</v>
      </c>
      <c r="AS309" s="37" t="n">
        <v>0.04</v>
      </c>
      <c r="AT309" s="38" t="inlineStr">
        <is>
          <t>4–8</t>
        </is>
      </c>
      <c r="AU309" s="38" t="inlineStr">
        <is>
          <t>Graduate + relevant qualification or certification preferred</t>
        </is>
      </c>
      <c r="AV309" s="38" t="inlineStr">
        <is>
          <t>IC: none · Team Lead: 3–5</t>
        </is>
      </c>
      <c r="AW309" s="38" t="inlineStr">
        <is>
          <t>P3 / M2 · SFIA 4 Enable</t>
        </is>
      </c>
      <c r="AX3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9" s="39" t="inlineStr">
        <is>
          <t>B1</t>
        </is>
      </c>
      <c r="AZ309" s="40" t="inlineStr">
        <is>
          <t>Band B · Specialist / Manager · Team Lead / Asst Manager</t>
        </is>
      </c>
      <c r="BA309" s="40" t="inlineStr">
        <is>
          <t>Model B2 from the six ratings, the market-derived weights and rules R1–R13 · then Level rule: manager B2; a reportee sits at least one level below · B2 → B1 · move down · pay and title protected for one cycle</t>
        </is>
      </c>
      <c r="BB309" s="41" t="inlineStr">
        <is>
          <t>B2</t>
        </is>
      </c>
      <c r="BC309" s="40" t="inlineStr">
        <is>
          <t>The six ratings on the market-average weights of Band B · People Manager score 5.11 → B2 · Hay, Mercer IPE and public plans · experience 12.1 yrs vs the B2 market range 6–10</t>
        </is>
      </c>
      <c r="BD309" s="42">
        <f>IF(SUM(BM309,BN309,BO309,BP309,BQ309,BR309,BS309)=0,0,(BM309*BT309+BN309*BU309+BO309*BV309+BP309*BW309+BQ309*BX309+BR309*BY309+BS309*BZ309)/SUM(BM309,BN309,BO309,BP309,BQ309,BR309,BS309))</f>
        <v>0</v>
      </c>
      <c r="BE309" s="41" t="str">
        <f>IF(LEFT(AY309,1)="X",AY309,IF(OR(AY309="B+",AY309="C+"),INDEX(LAD_PC,MAX(1,MIN(14,MATCH(AY309,LAD_PC,0)+IF(BD309&gt;=0.5,1,IF(BD309&lt;=-0.5,-1,0))))),INDEX(LAD_STD,MAX(1,MIN(12,MATCH(AY309,LAD_STD,0)+IF(BD309&gt;=0.5,1,IF(BD309&lt;=-0.5,-1,0)))))))</f>
        <v>B1</v>
      </c>
      <c r="BF309" s="43" t="n"/>
      <c r="BG309" s="41" t="str">
        <f>IF(BF309&lt;&gt;"",BF309,BE309)</f>
        <v>B1</v>
      </c>
      <c r="BH309" s="40" t="str">
        <f>IFERROR(CHOOSE(INDEX(B_RANK,MATCH(BG309,B_LVL,0)),"Band A","Band B","B+ · Player-Coach","Band C","C+ · Player-Coach","Band D","Band E"),"Band X · Consultant")</f>
        <v>Band B</v>
      </c>
      <c r="BI309" s="40" t="str">
        <f>IF(BG309=AY309,"• Same",IF(INDEX(B_VAL,MATCH(BG309,B_LVL,0))&gt;INDEX(B_VAL,MATCH(AY309,B_LVL,0)),"▲ Up","▼ Down"))</f>
        <v>• Same</v>
      </c>
      <c r="BJ309" s="40" t="str">
        <f>IF(OR($M309="",$M309="—",$M309="Not in this file"),"",IFERROR(INDEX($BG$7:$BG$592,MATCH($M309,$D$7:$D$592,0)),""))</f>
        <v>B2</v>
      </c>
      <c r="BK309" s="40" t="str">
        <f>IFERROR(IF(BJ309="","—",IF(OR(LEFT(BG309,1)="X",LEFT(BJ309,1)="X"),"—",IF(AND(LEFT(BG309,1)="E",LEFT(BJ309,1)="E"),"Exception · Band E",IF(AND(INDEX(B_VAL,MATCH(BJ309,B_LVL,0))&gt;=7,INDEX(B_RANK,MATCH(BG309,B_LVL,0))&gt;=INDEX(B_RANK,MATCH(BJ309,B_LVL,0))),"⚠ Same band as a head manager",IF(INDEX(B_VAL,MATCH(BG309,B_LVL,0))&gt;=INDEX(B_VAL,MATCH(BJ309,B_LVL,0)),"⚠ At or above the manager's level","OK"))))),"—")</f>
        <v>OK</v>
      </c>
      <c r="BL309" s="43" t="n"/>
      <c r="BM309" s="44">
        <f>IFERROR(INDEX(LMH_PTS,MATCH(Y309,LMH_KEY,0)),0)</f>
        <v>9</v>
      </c>
      <c r="BN309" s="38">
        <f>IFERROR(INDEX(LMH_PTS,MATCH(Z309,LMH_KEY,0)),0)</f>
        <v>3</v>
      </c>
      <c r="BO309" s="38">
        <f>IFERROR(INDEX(LMH_PTS,MATCH(AA309,LMH_KEY,0)),0)</f>
        <v>1</v>
      </c>
      <c r="BP309" s="38">
        <f>IFERROR(INDEX(LMH_PTS,MATCH(AB309,LMH_KEY,0)),0)</f>
        <v>3</v>
      </c>
      <c r="BQ309" s="38">
        <f>IFERROR(INDEX(LMH_PTS,MATCH(AC309,LMH_KEY,0)),0)</f>
        <v>1</v>
      </c>
      <c r="BR309" s="38">
        <f>IFERROR(INDEX(LMH_PTS,MATCH(AD309,LMH_KEY,0)),0)</f>
        <v>1</v>
      </c>
      <c r="BS309" s="38">
        <f>IFERROR(INDEX(LMH_PTS,MATCH(AE309,LMH_KEY,0)),0)</f>
        <v>1</v>
      </c>
      <c r="BT309" s="38">
        <f>IFERROR(INDEX(LMH_STEP,MATCH(AF309,LMH_KEY,0)),0)</f>
        <v>0</v>
      </c>
      <c r="BU309" s="38">
        <f>IFERROR(INDEX(LMH_STEP,MATCH(AG309,LMH_KEY,0)),0)</f>
        <v>0</v>
      </c>
      <c r="BV309" s="38">
        <f>IFERROR(INDEX(LMH_STEP,MATCH(AH309,LMH_KEY,0)),0)</f>
        <v>0</v>
      </c>
      <c r="BW309" s="38">
        <f>IFERROR(INDEX(LMH_STEP,MATCH(AI309,LMH_KEY,0)),0)</f>
        <v>0</v>
      </c>
      <c r="BX309" s="38">
        <f>IFERROR(INDEX(LMH_STEP,MATCH(AJ309,LMH_KEY,0)),0)</f>
        <v>0</v>
      </c>
      <c r="BY309" s="38">
        <f>IFERROR(INDEX(LMH_STEP,MATCH(AK309,LMH_KEY,0)),0)</f>
        <v>0</v>
      </c>
      <c r="BZ309" s="38">
        <f>IFERROR(INDEX(LMH_STEP,MATCH(AL309,LMH_KEY,0)),0)</f>
        <v>0</v>
      </c>
      <c r="CA309" s="38" t="inlineStr">
        <is>
          <t>iFile|Technology|Engineering Manager|B1|B-M</t>
        </is>
      </c>
    </row>
    <row r="310" ht="110" customHeight="1">
      <c r="A310" s="28" t="inlineStr">
        <is>
          <t>iFile</t>
        </is>
      </c>
      <c r="B310" s="29" t="inlineStr">
        <is>
          <t>Technology</t>
        </is>
      </c>
      <c r="C310" s="29" t="n">
        <v>6</v>
      </c>
      <c r="D310" s="29" t="inlineStr">
        <is>
          <t>IRIS2028</t>
        </is>
      </c>
      <c r="E310" s="29" t="inlineStr">
        <is>
          <t>Akhilesh Gore</t>
        </is>
      </c>
      <c r="F310" s="29" t="inlineStr">
        <is>
          <t>Software Engineer</t>
        </is>
      </c>
      <c r="G310" s="29" t="inlineStr">
        <is>
          <t>Senior DevOps Engineer</t>
        </is>
      </c>
      <c r="H310" s="29" t="inlineStr">
        <is>
          <t>Engineering &amp; Development</t>
        </is>
      </c>
      <c r="I310" s="29" t="inlineStr">
        <is>
          <t>DevOps &amp; Release Engineering</t>
        </is>
      </c>
      <c r="J310" s="29" t="inlineStr">
        <is>
          <t>IC</t>
        </is>
      </c>
      <c r="K310" s="29" t="inlineStr">
        <is>
          <t>RC-076</t>
        </is>
      </c>
      <c r="L310" s="29" t="inlineStr">
        <is>
          <t>Amruta Kadam</t>
        </is>
      </c>
      <c r="M310" s="29" t="inlineStr">
        <is>
          <t>IRIS1474</t>
        </is>
      </c>
      <c r="N310" s="29" t="n">
        <v>6.7</v>
      </c>
      <c r="O310" s="29" t="n">
        <v>4.3</v>
      </c>
      <c r="P310" s="29" t="inlineStr">
        <is>
          <t>B.SC</t>
        </is>
      </c>
      <c r="Q310" s="29" t="inlineStr">
        <is>
          <t>L3 – Professional / Associate</t>
        </is>
      </c>
      <c r="R310" s="29" t="inlineStr">
        <is>
          <t>A3</t>
        </is>
      </c>
      <c r="S310" s="30" t="inlineStr">
        <is>
          <t>20 of 20</t>
        </is>
      </c>
      <c r="T310" s="31"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t>
        </is>
      </c>
      <c r="U310"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0" s="31" t="inlineStr">
        <is>
          <t>Latest rating: 3 · Potential: Low · 9-box: Core Contributor · Readiness: Develop in role</t>
        </is>
      </c>
      <c r="W310" s="31" t="inlineStr">
        <is>
          <t>C L · Au L · Ac M · L L · BI M · Exp H · 6.7 yrs vs 2–4 yrs · Edu M · B.SC</t>
        </is>
      </c>
      <c r="X310" s="33" t="inlineStr">
        <is>
          <t>Open ▸</t>
        </is>
      </c>
      <c r="Y310" s="34" t="str">
        <f>IFERROR(INDEX(DL_C,MATCH($CA310,DL_KEY,0)),"M")</f>
        <v>H</v>
      </c>
      <c r="Z310" s="35" t="str">
        <f>IFERROR(INDEX(DL_Au,MATCH($CA310,DL_KEY,0)),"M")</f>
        <v>M</v>
      </c>
      <c r="AA310" s="35" t="str">
        <f>IFERROR(INDEX(DL_Ac,MATCH($CA310,DL_KEY,0)),"M")</f>
        <v>L</v>
      </c>
      <c r="AB310" s="35" t="str">
        <f>IFERROR(INDEX(DL_L,MATCH($CA310,DL_KEY,0)),"M")</f>
        <v>L</v>
      </c>
      <c r="AC310" s="35" t="str">
        <f>IFERROR(INDEX(DL_BI,MATCH($CA310,DL_KEY,0)),"M")</f>
        <v>L</v>
      </c>
      <c r="AD310" s="35" t="str">
        <f>IFERROR(INDEX(DL_Exp,MATCH($CA310,DL_KEY,0)),"M")</f>
        <v>L</v>
      </c>
      <c r="AE310" s="35" t="str">
        <f>IFERROR(INDEX(DL_Edu,MATCH($CA310,DL_KEY,0)),"M")</f>
        <v>L</v>
      </c>
      <c r="AF310" s="34" t="inlineStr">
        <is>
          <t>M</t>
        </is>
      </c>
      <c r="AG310" s="35" t="inlineStr">
        <is>
          <t>M</t>
        </is>
      </c>
      <c r="AH310" s="35" t="inlineStr">
        <is>
          <t>M</t>
        </is>
      </c>
      <c r="AI310" s="35" t="inlineStr">
        <is>
          <t>M</t>
        </is>
      </c>
      <c r="AJ310" s="35" t="inlineStr">
        <is>
          <t>M</t>
        </is>
      </c>
      <c r="AK310" s="35" t="inlineStr">
        <is>
          <t>M</t>
        </is>
      </c>
      <c r="AL310" s="35" t="inlineStr">
        <is>
          <t>M</t>
        </is>
      </c>
      <c r="AM310" s="36" t="n">
        <v>0.583</v>
      </c>
      <c r="AN310" s="37" t="n">
        <v>0.16</v>
      </c>
      <c r="AO310" s="37" t="n">
        <v>0.09</v>
      </c>
      <c r="AP310" s="37" t="n">
        <v>0</v>
      </c>
      <c r="AQ310" s="37" t="n">
        <v>0.063</v>
      </c>
      <c r="AR310" s="37" t="n">
        <v>0.06</v>
      </c>
      <c r="AS310" s="37" t="n">
        <v>0.04</v>
      </c>
      <c r="AT310" s="38" t="inlineStr">
        <is>
          <t>2–5</t>
        </is>
      </c>
      <c r="AU310" s="38" t="inlineStr">
        <is>
          <t>Graduate; relevant certification preferred</t>
        </is>
      </c>
      <c r="AV310" s="38" t="inlineStr">
        <is>
          <t>None · guides 1–3 juniors informally</t>
        </is>
      </c>
      <c r="AW310" s="38" t="inlineStr">
        <is>
          <t>P2 · SFIA 3 Apply</t>
        </is>
      </c>
      <c r="AX3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0" s="39" t="inlineStr">
        <is>
          <t>A3</t>
        </is>
      </c>
      <c r="AZ310" s="40" t="inlineStr">
        <is>
          <t>Band A · Practitioner · Senior Associate</t>
        </is>
      </c>
      <c r="BA310" s="40" t="inlineStr">
        <is>
          <t>Model A3 from the six ratings, the market-derived weights and rules R1–R13 · then No change · already below the manager</t>
        </is>
      </c>
      <c r="BB310" s="41" t="inlineStr">
        <is>
          <t>A2</t>
        </is>
      </c>
      <c r="BC310" s="40" t="inlineStr">
        <is>
          <t>The six ratings on the market-average weights of Band A · all tracks score 2.33 → A2 · Hay, Mercer IPE and public plans · experience 6.7 yrs vs the A2 market range 0–3</t>
        </is>
      </c>
      <c r="BD310" s="42">
        <f>IF(SUM(BM310,BN310,BO310,BP310,BQ310,BR310,BS310)=0,0,(BM310*BT310+BN310*BU310+BO310*BV310+BP310*BW310+BQ310*BX310+BR310*BY310+BS310*BZ310)/SUM(BM310,BN310,BO310,BP310,BQ310,BR310,BS310))</f>
        <v>0</v>
      </c>
      <c r="BE310" s="41" t="str">
        <f>IF(LEFT(AY310,1)="X",AY310,IF(OR(AY310="B+",AY310="C+"),INDEX(LAD_PC,MAX(1,MIN(14,MATCH(AY310,LAD_PC,0)+IF(BD310&gt;=0.5,1,IF(BD310&lt;=-0.5,-1,0))))),INDEX(LAD_STD,MAX(1,MIN(12,MATCH(AY310,LAD_STD,0)+IF(BD310&gt;=0.5,1,IF(BD310&lt;=-0.5,-1,0)))))))</f>
        <v>A3</v>
      </c>
      <c r="BF310" s="43" t="n"/>
      <c r="BG310" s="41" t="str">
        <f>IF(BF310&lt;&gt;"",BF310,BE310)</f>
        <v>A3</v>
      </c>
      <c r="BH310" s="40" t="str">
        <f>IFERROR(CHOOSE(INDEX(B_RANK,MATCH(BG310,B_LVL,0)),"Band A","Band B","B+ · Player-Coach","Band C","C+ · Player-Coach","Band D","Band E"),"Band X · Consultant")</f>
        <v>Band A</v>
      </c>
      <c r="BI310" s="40" t="str">
        <f>IF(BG310=AY310,"• Same",IF(INDEX(B_VAL,MATCH(BG310,B_LVL,0))&gt;INDEX(B_VAL,MATCH(AY310,B_LVL,0)),"▲ Up","▼ Down"))</f>
        <v>• Same</v>
      </c>
      <c r="BJ310" s="40" t="str">
        <f>IF(OR($M310="",$M310="—",$M310="Not in this file"),"",IFERROR(INDEX($BG$7:$BG$592,MATCH($M310,$D$7:$D$592,0)),""))</f>
        <v>B1</v>
      </c>
      <c r="BK310" s="40" t="str">
        <f>IFERROR(IF(BJ310="","—",IF(OR(LEFT(BG310,1)="X",LEFT(BJ310,1)="X"),"—",IF(AND(LEFT(BG310,1)="E",LEFT(BJ310,1)="E"),"Exception · Band E",IF(AND(INDEX(B_VAL,MATCH(BJ310,B_LVL,0))&gt;=7,INDEX(B_RANK,MATCH(BG310,B_LVL,0))&gt;=INDEX(B_RANK,MATCH(BJ310,B_LVL,0))),"⚠ Same band as a head manager",IF(INDEX(B_VAL,MATCH(BG310,B_LVL,0))&gt;=INDEX(B_VAL,MATCH(BJ310,B_LVL,0)),"⚠ At or above the manager's level","OK"))))),"—")</f>
        <v>OK</v>
      </c>
      <c r="BL310" s="43" t="n"/>
      <c r="BM310" s="44">
        <f>IFERROR(INDEX(LMH_PTS,MATCH(Y310,LMH_KEY,0)),0)</f>
        <v>9</v>
      </c>
      <c r="BN310" s="38">
        <f>IFERROR(INDEX(LMH_PTS,MATCH(Z310,LMH_KEY,0)),0)</f>
        <v>3</v>
      </c>
      <c r="BO310" s="38">
        <f>IFERROR(INDEX(LMH_PTS,MATCH(AA310,LMH_KEY,0)),0)</f>
        <v>1</v>
      </c>
      <c r="BP310" s="38">
        <f>IFERROR(INDEX(LMH_PTS,MATCH(AB310,LMH_KEY,0)),0)</f>
        <v>1</v>
      </c>
      <c r="BQ310" s="38">
        <f>IFERROR(INDEX(LMH_PTS,MATCH(AC310,LMH_KEY,0)),0)</f>
        <v>1</v>
      </c>
      <c r="BR310" s="38">
        <f>IFERROR(INDEX(LMH_PTS,MATCH(AD310,LMH_KEY,0)),0)</f>
        <v>1</v>
      </c>
      <c r="BS310" s="38">
        <f>IFERROR(INDEX(LMH_PTS,MATCH(AE310,LMH_KEY,0)),0)</f>
        <v>1</v>
      </c>
      <c r="BT310" s="38">
        <f>IFERROR(INDEX(LMH_STEP,MATCH(AF310,LMH_KEY,0)),0)</f>
        <v>0</v>
      </c>
      <c r="BU310" s="38">
        <f>IFERROR(INDEX(LMH_STEP,MATCH(AG310,LMH_KEY,0)),0)</f>
        <v>0</v>
      </c>
      <c r="BV310" s="38">
        <f>IFERROR(INDEX(LMH_STEP,MATCH(AH310,LMH_KEY,0)),0)</f>
        <v>0</v>
      </c>
      <c r="BW310" s="38">
        <f>IFERROR(INDEX(LMH_STEP,MATCH(AI310,LMH_KEY,0)),0)</f>
        <v>0</v>
      </c>
      <c r="BX310" s="38">
        <f>IFERROR(INDEX(LMH_STEP,MATCH(AJ310,LMH_KEY,0)),0)</f>
        <v>0</v>
      </c>
      <c r="BY310" s="38">
        <f>IFERROR(INDEX(LMH_STEP,MATCH(AK310,LMH_KEY,0)),0)</f>
        <v>0</v>
      </c>
      <c r="BZ310" s="38">
        <f>IFERROR(INDEX(LMH_STEP,MATCH(AL310,LMH_KEY,0)),0)</f>
        <v>0</v>
      </c>
      <c r="CA310" s="38" t="inlineStr">
        <is>
          <t>iFile|Technology|Senior DevOps Engineer|A3|A</t>
        </is>
      </c>
    </row>
    <row r="311" ht="110" customHeight="1">
      <c r="A311" s="28" t="inlineStr">
        <is>
          <t>iFile</t>
        </is>
      </c>
      <c r="B311" s="29" t="inlineStr">
        <is>
          <t>Technology</t>
        </is>
      </c>
      <c r="C311" s="29" t="n">
        <v>6</v>
      </c>
      <c r="D311" s="29" t="inlineStr">
        <is>
          <t>IRIS2089</t>
        </is>
      </c>
      <c r="E311" s="29" t="inlineStr">
        <is>
          <t>Nilesh Mohite</t>
        </is>
      </c>
      <c r="F311" s="29" t="inlineStr">
        <is>
          <t>Software Engineer</t>
        </is>
      </c>
      <c r="G311" s="29" t="inlineStr">
        <is>
          <t>Senior Software Engineer</t>
        </is>
      </c>
      <c r="H311" s="29" t="inlineStr">
        <is>
          <t>Engineering &amp; Development</t>
        </is>
      </c>
      <c r="I311" s="29" t="inlineStr">
        <is>
          <t>Backend Development</t>
        </is>
      </c>
      <c r="J311" s="29" t="inlineStr">
        <is>
          <t>IC</t>
        </is>
      </c>
      <c r="K311" s="29" t="inlineStr">
        <is>
          <t>RC-067</t>
        </is>
      </c>
      <c r="L311" s="29" t="inlineStr">
        <is>
          <t>Amruta Kadam</t>
        </is>
      </c>
      <c r="M311" s="29" t="inlineStr">
        <is>
          <t>IRIS1474</t>
        </is>
      </c>
      <c r="N311" s="29" t="n">
        <v>5.2</v>
      </c>
      <c r="O311" s="29" t="n">
        <v>3.7</v>
      </c>
      <c r="P311" s="29" t="inlineStr">
        <is>
          <t>B.E</t>
        </is>
      </c>
      <c r="Q311" s="29" t="inlineStr">
        <is>
          <t>L3 – Professional / Associate</t>
        </is>
      </c>
      <c r="R311" s="29" t="inlineStr">
        <is>
          <t>A3</t>
        </is>
      </c>
      <c r="S311" s="30" t="inlineStr">
        <is>
          <t>20 of 20</t>
        </is>
      </c>
      <c r="T311" s="31"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t>
        </is>
      </c>
      <c r="U31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1" s="31" t="inlineStr">
        <is>
          <t>Latest rating: 4 · Potential: Medium · 9-box: High Impact / Growth Talent · Readiness: Ready in 6–12 months</t>
        </is>
      </c>
      <c r="W311" s="31" t="inlineStr">
        <is>
          <t>C L · Au L · Ac L · L L · BI L · Exp H · 5.2 yrs vs 2–4 yrs · Edu M · B.E</t>
        </is>
      </c>
      <c r="X311" s="33" t="inlineStr">
        <is>
          <t>Open ▸</t>
        </is>
      </c>
      <c r="Y311" s="34" t="str">
        <f>IFERROR(INDEX(DL_C,MATCH($CA311,DL_KEY,0)),"M")</f>
        <v>H</v>
      </c>
      <c r="Z311" s="35" t="str">
        <f>IFERROR(INDEX(DL_Au,MATCH($CA311,DL_KEY,0)),"M")</f>
        <v>M</v>
      </c>
      <c r="AA311" s="35" t="str">
        <f>IFERROR(INDEX(DL_Ac,MATCH($CA311,DL_KEY,0)),"M")</f>
        <v>L</v>
      </c>
      <c r="AB311" s="35" t="str">
        <f>IFERROR(INDEX(DL_L,MATCH($CA311,DL_KEY,0)),"M")</f>
        <v>L</v>
      </c>
      <c r="AC311" s="35" t="str">
        <f>IFERROR(INDEX(DL_BI,MATCH($CA311,DL_KEY,0)),"M")</f>
        <v>L</v>
      </c>
      <c r="AD311" s="35" t="str">
        <f>IFERROR(INDEX(DL_Exp,MATCH($CA311,DL_KEY,0)),"M")</f>
        <v>L</v>
      </c>
      <c r="AE311" s="35" t="str">
        <f>IFERROR(INDEX(DL_Edu,MATCH($CA311,DL_KEY,0)),"M")</f>
        <v>L</v>
      </c>
      <c r="AF311" s="34" t="inlineStr">
        <is>
          <t>M</t>
        </is>
      </c>
      <c r="AG311" s="35" t="inlineStr">
        <is>
          <t>M</t>
        </is>
      </c>
      <c r="AH311" s="35" t="inlineStr">
        <is>
          <t>M</t>
        </is>
      </c>
      <c r="AI311" s="35" t="inlineStr">
        <is>
          <t>M</t>
        </is>
      </c>
      <c r="AJ311" s="35" t="inlineStr">
        <is>
          <t>M</t>
        </is>
      </c>
      <c r="AK311" s="35" t="inlineStr">
        <is>
          <t>M</t>
        </is>
      </c>
      <c r="AL311" s="35" t="inlineStr">
        <is>
          <t>M</t>
        </is>
      </c>
      <c r="AM311" s="36" t="n">
        <v>0.583</v>
      </c>
      <c r="AN311" s="37" t="n">
        <v>0.16</v>
      </c>
      <c r="AO311" s="37" t="n">
        <v>0.09</v>
      </c>
      <c r="AP311" s="37" t="n">
        <v>0</v>
      </c>
      <c r="AQ311" s="37" t="n">
        <v>0.063</v>
      </c>
      <c r="AR311" s="37" t="n">
        <v>0.06</v>
      </c>
      <c r="AS311" s="37" t="n">
        <v>0.04</v>
      </c>
      <c r="AT311" s="38" t="inlineStr">
        <is>
          <t>2–5</t>
        </is>
      </c>
      <c r="AU311" s="38" t="inlineStr">
        <is>
          <t>Graduate; relevant certification preferred</t>
        </is>
      </c>
      <c r="AV311" s="38" t="inlineStr">
        <is>
          <t>None · guides 1–3 juniors informally</t>
        </is>
      </c>
      <c r="AW311" s="38" t="inlineStr">
        <is>
          <t>P2 · SFIA 3 Apply</t>
        </is>
      </c>
      <c r="AX3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1" s="39" t="inlineStr">
        <is>
          <t>A3</t>
        </is>
      </c>
      <c r="AZ311" s="40" t="inlineStr">
        <is>
          <t>Band A · Practitioner · Senior Associate</t>
        </is>
      </c>
      <c r="BA311" s="40" t="inlineStr">
        <is>
          <t>Model A3 from the six ratings, the market-derived weights and rules R1–R13 · then No change · already below the manager</t>
        </is>
      </c>
      <c r="BB311" s="41" t="inlineStr">
        <is>
          <t>A2</t>
        </is>
      </c>
      <c r="BC311" s="40" t="inlineStr">
        <is>
          <t>The six ratings on the market-average weights of Band A · all tracks score 2.20 → A2 · Hay, Mercer IPE and public plans · experience 5.2 yrs vs the A2 market range 0–3</t>
        </is>
      </c>
      <c r="BD311" s="42">
        <f>IF(SUM(BM311,BN311,BO311,BP311,BQ311,BR311,BS311)=0,0,(BM311*BT311+BN311*BU311+BO311*BV311+BP311*BW311+BQ311*BX311+BR311*BY311+BS311*BZ311)/SUM(BM311,BN311,BO311,BP311,BQ311,BR311,BS311))</f>
        <v>0</v>
      </c>
      <c r="BE311" s="41" t="str">
        <f>IF(LEFT(AY311,1)="X",AY311,IF(OR(AY311="B+",AY311="C+"),INDEX(LAD_PC,MAX(1,MIN(14,MATCH(AY311,LAD_PC,0)+IF(BD311&gt;=0.5,1,IF(BD311&lt;=-0.5,-1,0))))),INDEX(LAD_STD,MAX(1,MIN(12,MATCH(AY311,LAD_STD,0)+IF(BD311&gt;=0.5,1,IF(BD311&lt;=-0.5,-1,0)))))))</f>
        <v>A3</v>
      </c>
      <c r="BF311" s="43" t="n"/>
      <c r="BG311" s="41" t="str">
        <f>IF(BF311&lt;&gt;"",BF311,BE311)</f>
        <v>A3</v>
      </c>
      <c r="BH311" s="40" t="str">
        <f>IFERROR(CHOOSE(INDEX(B_RANK,MATCH(BG311,B_LVL,0)),"Band A","Band B","B+ · Player-Coach","Band C","C+ · Player-Coach","Band D","Band E"),"Band X · Consultant")</f>
        <v>Band A</v>
      </c>
      <c r="BI311" s="40" t="str">
        <f>IF(BG311=AY311,"• Same",IF(INDEX(B_VAL,MATCH(BG311,B_LVL,0))&gt;INDEX(B_VAL,MATCH(AY311,B_LVL,0)),"▲ Up","▼ Down"))</f>
        <v>• Same</v>
      </c>
      <c r="BJ311" s="40" t="str">
        <f>IF(OR($M311="",$M311="—",$M311="Not in this file"),"",IFERROR(INDEX($BG$7:$BG$592,MATCH($M311,$D$7:$D$592,0)),""))</f>
        <v>B1</v>
      </c>
      <c r="BK311" s="40" t="str">
        <f>IFERROR(IF(BJ311="","—",IF(OR(LEFT(BG311,1)="X",LEFT(BJ311,1)="X"),"—",IF(AND(LEFT(BG311,1)="E",LEFT(BJ311,1)="E"),"Exception · Band E",IF(AND(INDEX(B_VAL,MATCH(BJ311,B_LVL,0))&gt;=7,INDEX(B_RANK,MATCH(BG311,B_LVL,0))&gt;=INDEX(B_RANK,MATCH(BJ311,B_LVL,0))),"⚠ Same band as a head manager",IF(INDEX(B_VAL,MATCH(BG311,B_LVL,0))&gt;=INDEX(B_VAL,MATCH(BJ311,B_LVL,0)),"⚠ At or above the manager's level","OK"))))),"—")</f>
        <v>OK</v>
      </c>
      <c r="BL311" s="43" t="n"/>
      <c r="BM311" s="44">
        <f>IFERROR(INDEX(LMH_PTS,MATCH(Y311,LMH_KEY,0)),0)</f>
        <v>9</v>
      </c>
      <c r="BN311" s="38">
        <f>IFERROR(INDEX(LMH_PTS,MATCH(Z311,LMH_KEY,0)),0)</f>
        <v>3</v>
      </c>
      <c r="BO311" s="38">
        <f>IFERROR(INDEX(LMH_PTS,MATCH(AA311,LMH_KEY,0)),0)</f>
        <v>1</v>
      </c>
      <c r="BP311" s="38">
        <f>IFERROR(INDEX(LMH_PTS,MATCH(AB311,LMH_KEY,0)),0)</f>
        <v>1</v>
      </c>
      <c r="BQ311" s="38">
        <f>IFERROR(INDEX(LMH_PTS,MATCH(AC311,LMH_KEY,0)),0)</f>
        <v>1</v>
      </c>
      <c r="BR311" s="38">
        <f>IFERROR(INDEX(LMH_PTS,MATCH(AD311,LMH_KEY,0)),0)</f>
        <v>1</v>
      </c>
      <c r="BS311" s="38">
        <f>IFERROR(INDEX(LMH_PTS,MATCH(AE311,LMH_KEY,0)),0)</f>
        <v>1</v>
      </c>
      <c r="BT311" s="38">
        <f>IFERROR(INDEX(LMH_STEP,MATCH(AF311,LMH_KEY,0)),0)</f>
        <v>0</v>
      </c>
      <c r="BU311" s="38">
        <f>IFERROR(INDEX(LMH_STEP,MATCH(AG311,LMH_KEY,0)),0)</f>
        <v>0</v>
      </c>
      <c r="BV311" s="38">
        <f>IFERROR(INDEX(LMH_STEP,MATCH(AH311,LMH_KEY,0)),0)</f>
        <v>0</v>
      </c>
      <c r="BW311" s="38">
        <f>IFERROR(INDEX(LMH_STEP,MATCH(AI311,LMH_KEY,0)),0)</f>
        <v>0</v>
      </c>
      <c r="BX311" s="38">
        <f>IFERROR(INDEX(LMH_STEP,MATCH(AJ311,LMH_KEY,0)),0)</f>
        <v>0</v>
      </c>
      <c r="BY311" s="38">
        <f>IFERROR(INDEX(LMH_STEP,MATCH(AK311,LMH_KEY,0)),0)</f>
        <v>0</v>
      </c>
      <c r="BZ311" s="38">
        <f>IFERROR(INDEX(LMH_STEP,MATCH(AL311,LMH_KEY,0)),0)</f>
        <v>0</v>
      </c>
      <c r="CA311" s="38" t="inlineStr">
        <is>
          <t>iFile|Technology|Senior Software Engineer|A3|A</t>
        </is>
      </c>
    </row>
    <row r="312" ht="110" customHeight="1">
      <c r="A312" s="28" t="inlineStr">
        <is>
          <t>iFile</t>
        </is>
      </c>
      <c r="B312" s="29" t="inlineStr">
        <is>
          <t>Technology</t>
        </is>
      </c>
      <c r="C312" s="29" t="n">
        <v>6</v>
      </c>
      <c r="D312" s="29" t="inlineStr">
        <is>
          <t>IRIS2433</t>
        </is>
      </c>
      <c r="E312" s="29" t="inlineStr">
        <is>
          <t>Sadhna Sahu</t>
        </is>
      </c>
      <c r="F312" s="29" t="inlineStr">
        <is>
          <t>Software Engineer</t>
        </is>
      </c>
      <c r="G312" s="29" t="inlineStr">
        <is>
          <t>Senior Software Engineer</t>
        </is>
      </c>
      <c r="H312" s="29" t="inlineStr">
        <is>
          <t>Engineering &amp; Development</t>
        </is>
      </c>
      <c r="I312" s="29" t="inlineStr">
        <is>
          <t>Backend Development</t>
        </is>
      </c>
      <c r="J312" s="29" t="inlineStr">
        <is>
          <t>IC</t>
        </is>
      </c>
      <c r="K312" s="29" t="inlineStr">
        <is>
          <t>RC-067</t>
        </is>
      </c>
      <c r="L312" s="29" t="inlineStr">
        <is>
          <t>Amruta Kadam</t>
        </is>
      </c>
      <c r="M312" s="29" t="inlineStr">
        <is>
          <t>IRIS1474</t>
        </is>
      </c>
      <c r="N312" s="29" t="n">
        <v>2.5</v>
      </c>
      <c r="O312" s="29" t="n">
        <v>1</v>
      </c>
      <c r="P312" s="29" t="inlineStr">
        <is>
          <t>B.Tech</t>
        </is>
      </c>
      <c r="Q312" s="29" t="inlineStr">
        <is>
          <t>Not in current mapping files</t>
        </is>
      </c>
      <c r="R312" s="29" t="inlineStr">
        <is>
          <t>A3</t>
        </is>
      </c>
      <c r="S312" s="30" t="inlineStr">
        <is>
          <t>0 of 20</t>
        </is>
      </c>
      <c r="T312" s="31" t="inlineStr">
        <is>
          <t>Business Impact: No survey or manager-mapping signal on criticality: kept at the start point.</t>
        </is>
      </c>
      <c r="U312" s="32" t="inlineStr">
        <is>
          <t>KRAs not received · manager to supply</t>
        </is>
      </c>
      <c r="V312" s="31" t="inlineStr">
        <is>
          <t>Latest rating: Not rated · manager · 9-box: Not placed · manager · Readiness: No rating data</t>
        </is>
      </c>
      <c r="W312" s="31" t="inlineStr">
        <is>
          <t>C M · Au L · Ac M · L L · BI M · Exp M · 2.5 yrs vs 2–4 yrs · Edu M · B.Tech</t>
        </is>
      </c>
      <c r="X312" s="33" t="inlineStr">
        <is>
          <t>Open ▸</t>
        </is>
      </c>
      <c r="Y312" s="34" t="str">
        <f>IFERROR(INDEX(DL_C,MATCH($CA312,DL_KEY,0)),"M")</f>
        <v>H</v>
      </c>
      <c r="Z312" s="35" t="str">
        <f>IFERROR(INDEX(DL_Au,MATCH($CA312,DL_KEY,0)),"M")</f>
        <v>M</v>
      </c>
      <c r="AA312" s="35" t="str">
        <f>IFERROR(INDEX(DL_Ac,MATCH($CA312,DL_KEY,0)),"M")</f>
        <v>L</v>
      </c>
      <c r="AB312" s="35" t="str">
        <f>IFERROR(INDEX(DL_L,MATCH($CA312,DL_KEY,0)),"M")</f>
        <v>L</v>
      </c>
      <c r="AC312" s="35" t="str">
        <f>IFERROR(INDEX(DL_BI,MATCH($CA312,DL_KEY,0)),"M")</f>
        <v>L</v>
      </c>
      <c r="AD312" s="35" t="str">
        <f>IFERROR(INDEX(DL_Exp,MATCH($CA312,DL_KEY,0)),"M")</f>
        <v>L</v>
      </c>
      <c r="AE312" s="35" t="str">
        <f>IFERROR(INDEX(DL_Edu,MATCH($CA312,DL_KEY,0)),"M")</f>
        <v>L</v>
      </c>
      <c r="AF312" s="34" t="inlineStr">
        <is>
          <t>M</t>
        </is>
      </c>
      <c r="AG312" s="35" t="inlineStr">
        <is>
          <t>M</t>
        </is>
      </c>
      <c r="AH312" s="35" t="inlineStr">
        <is>
          <t>M</t>
        </is>
      </c>
      <c r="AI312" s="35" t="inlineStr">
        <is>
          <t>M</t>
        </is>
      </c>
      <c r="AJ312" s="35" t="inlineStr">
        <is>
          <t>M</t>
        </is>
      </c>
      <c r="AK312" s="35" t="inlineStr">
        <is>
          <t>M</t>
        </is>
      </c>
      <c r="AL312" s="35" t="inlineStr">
        <is>
          <t>M</t>
        </is>
      </c>
      <c r="AM312" s="36" t="n">
        <v>0.583</v>
      </c>
      <c r="AN312" s="37" t="n">
        <v>0.16</v>
      </c>
      <c r="AO312" s="37" t="n">
        <v>0.09</v>
      </c>
      <c r="AP312" s="37" t="n">
        <v>0</v>
      </c>
      <c r="AQ312" s="37" t="n">
        <v>0.063</v>
      </c>
      <c r="AR312" s="37" t="n">
        <v>0.06</v>
      </c>
      <c r="AS312" s="37" t="n">
        <v>0.04</v>
      </c>
      <c r="AT312" s="38" t="inlineStr">
        <is>
          <t>2–5</t>
        </is>
      </c>
      <c r="AU312" s="38" t="inlineStr">
        <is>
          <t>Graduate; relevant certification preferred</t>
        </is>
      </c>
      <c r="AV312" s="38" t="inlineStr">
        <is>
          <t>None · guides 1–3 juniors informally</t>
        </is>
      </c>
      <c r="AW312" s="38" t="inlineStr">
        <is>
          <t>P2 · SFIA 3 Apply</t>
        </is>
      </c>
      <c r="AX3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2" s="39" t="inlineStr">
        <is>
          <t>A3</t>
        </is>
      </c>
      <c r="AZ312" s="40" t="inlineStr">
        <is>
          <t>Band A · Practitioner · Senior Associate</t>
        </is>
      </c>
      <c r="BA312" s="40" t="inlineStr">
        <is>
          <t>Model A3 from the six ratings, the market-derived weights and rules R1–R13 · then No change · already below the manager</t>
        </is>
      </c>
      <c r="BB312" s="41" t="inlineStr">
        <is>
          <t>A2</t>
        </is>
      </c>
      <c r="BC312" s="40" t="inlineStr">
        <is>
          <t>The six ratings on the market-average weights of Band A · all tracks score 2.47 → A2 · Hay, Mercer IPE and public plans · experience 2.5 yrs vs the A2 market range 0–3</t>
        </is>
      </c>
      <c r="BD312" s="42">
        <f>IF(SUM(BM312,BN312,BO312,BP312,BQ312,BR312,BS312)=0,0,(BM312*BT312+BN312*BU312+BO312*BV312+BP312*BW312+BQ312*BX312+BR312*BY312+BS312*BZ312)/SUM(BM312,BN312,BO312,BP312,BQ312,BR312,BS312))</f>
        <v>0</v>
      </c>
      <c r="BE312" s="41" t="str">
        <f>IF(LEFT(AY312,1)="X",AY312,IF(OR(AY312="B+",AY312="C+"),INDEX(LAD_PC,MAX(1,MIN(14,MATCH(AY312,LAD_PC,0)+IF(BD312&gt;=0.5,1,IF(BD312&lt;=-0.5,-1,0))))),INDEX(LAD_STD,MAX(1,MIN(12,MATCH(AY312,LAD_STD,0)+IF(BD312&gt;=0.5,1,IF(BD312&lt;=-0.5,-1,0)))))))</f>
        <v>A3</v>
      </c>
      <c r="BF312" s="43" t="n"/>
      <c r="BG312" s="41" t="str">
        <f>IF(BF312&lt;&gt;"",BF312,BE312)</f>
        <v>A3</v>
      </c>
      <c r="BH312" s="40" t="str">
        <f>IFERROR(CHOOSE(INDEX(B_RANK,MATCH(BG312,B_LVL,0)),"Band A","Band B","B+ · Player-Coach","Band C","C+ · Player-Coach","Band D","Band E"),"Band X · Consultant")</f>
        <v>Band A</v>
      </c>
      <c r="BI312" s="40" t="str">
        <f>IF(BG312=AY312,"• Same",IF(INDEX(B_VAL,MATCH(BG312,B_LVL,0))&gt;INDEX(B_VAL,MATCH(AY312,B_LVL,0)),"▲ Up","▼ Down"))</f>
        <v>• Same</v>
      </c>
      <c r="BJ312" s="40" t="str">
        <f>IF(OR($M312="",$M312="—",$M312="Not in this file"),"",IFERROR(INDEX($BG$7:$BG$592,MATCH($M312,$D$7:$D$592,0)),""))</f>
        <v>B1</v>
      </c>
      <c r="BK312" s="40" t="str">
        <f>IFERROR(IF(BJ312="","—",IF(OR(LEFT(BG312,1)="X",LEFT(BJ312,1)="X"),"—",IF(AND(LEFT(BG312,1)="E",LEFT(BJ312,1)="E"),"Exception · Band E",IF(AND(INDEX(B_VAL,MATCH(BJ312,B_LVL,0))&gt;=7,INDEX(B_RANK,MATCH(BG312,B_LVL,0))&gt;=INDEX(B_RANK,MATCH(BJ312,B_LVL,0))),"⚠ Same band as a head manager",IF(INDEX(B_VAL,MATCH(BG312,B_LVL,0))&gt;=INDEX(B_VAL,MATCH(BJ312,B_LVL,0)),"⚠ At or above the manager's level","OK"))))),"—")</f>
        <v>OK</v>
      </c>
      <c r="BL312" s="43" t="n"/>
      <c r="BM312" s="44">
        <f>IFERROR(INDEX(LMH_PTS,MATCH(Y312,LMH_KEY,0)),0)</f>
        <v>9</v>
      </c>
      <c r="BN312" s="38">
        <f>IFERROR(INDEX(LMH_PTS,MATCH(Z312,LMH_KEY,0)),0)</f>
        <v>3</v>
      </c>
      <c r="BO312" s="38">
        <f>IFERROR(INDEX(LMH_PTS,MATCH(AA312,LMH_KEY,0)),0)</f>
        <v>1</v>
      </c>
      <c r="BP312" s="38">
        <f>IFERROR(INDEX(LMH_PTS,MATCH(AB312,LMH_KEY,0)),0)</f>
        <v>1</v>
      </c>
      <c r="BQ312" s="38">
        <f>IFERROR(INDEX(LMH_PTS,MATCH(AC312,LMH_KEY,0)),0)</f>
        <v>1</v>
      </c>
      <c r="BR312" s="38">
        <f>IFERROR(INDEX(LMH_PTS,MATCH(AD312,LMH_KEY,0)),0)</f>
        <v>1</v>
      </c>
      <c r="BS312" s="38">
        <f>IFERROR(INDEX(LMH_PTS,MATCH(AE312,LMH_KEY,0)),0)</f>
        <v>1</v>
      </c>
      <c r="BT312" s="38">
        <f>IFERROR(INDEX(LMH_STEP,MATCH(AF312,LMH_KEY,0)),0)</f>
        <v>0</v>
      </c>
      <c r="BU312" s="38">
        <f>IFERROR(INDEX(LMH_STEP,MATCH(AG312,LMH_KEY,0)),0)</f>
        <v>0</v>
      </c>
      <c r="BV312" s="38">
        <f>IFERROR(INDEX(LMH_STEP,MATCH(AH312,LMH_KEY,0)),0)</f>
        <v>0</v>
      </c>
      <c r="BW312" s="38">
        <f>IFERROR(INDEX(LMH_STEP,MATCH(AI312,LMH_KEY,0)),0)</f>
        <v>0</v>
      </c>
      <c r="BX312" s="38">
        <f>IFERROR(INDEX(LMH_STEP,MATCH(AJ312,LMH_KEY,0)),0)</f>
        <v>0</v>
      </c>
      <c r="BY312" s="38">
        <f>IFERROR(INDEX(LMH_STEP,MATCH(AK312,LMH_KEY,0)),0)</f>
        <v>0</v>
      </c>
      <c r="BZ312" s="38">
        <f>IFERROR(INDEX(LMH_STEP,MATCH(AL312,LMH_KEY,0)),0)</f>
        <v>0</v>
      </c>
      <c r="CA312" s="38" t="inlineStr">
        <is>
          <t>iFile|Technology|Senior Software Engineer|A3|A</t>
        </is>
      </c>
    </row>
    <row r="313" ht="110" customHeight="1">
      <c r="A313" s="28" t="inlineStr">
        <is>
          <t>iFile</t>
        </is>
      </c>
      <c r="B313" s="29" t="inlineStr">
        <is>
          <t>Technology</t>
        </is>
      </c>
      <c r="C313" s="29" t="n">
        <v>6</v>
      </c>
      <c r="D313" s="29" t="inlineStr">
        <is>
          <t>IRIS2476</t>
        </is>
      </c>
      <c r="E313" s="29" t="inlineStr">
        <is>
          <t>Sagar Soni</t>
        </is>
      </c>
      <c r="F313" s="29" t="inlineStr">
        <is>
          <t>Software Engineer</t>
        </is>
      </c>
      <c r="G313" s="29" t="inlineStr">
        <is>
          <t>Senior Software Engineer</t>
        </is>
      </c>
      <c r="H313" s="29" t="inlineStr">
        <is>
          <t>Engineering &amp; Development</t>
        </is>
      </c>
      <c r="I313" s="29" t="inlineStr">
        <is>
          <t>Backend Development</t>
        </is>
      </c>
      <c r="J313" s="29" t="inlineStr">
        <is>
          <t>IC</t>
        </is>
      </c>
      <c r="K313" s="29" t="inlineStr">
        <is>
          <t>RC-067</t>
        </is>
      </c>
      <c r="L313" s="29" t="inlineStr">
        <is>
          <t>Amruta Kadam</t>
        </is>
      </c>
      <c r="M313" s="29" t="inlineStr">
        <is>
          <t>IRIS1474</t>
        </is>
      </c>
      <c r="N313" s="29" t="n">
        <v>4.9</v>
      </c>
      <c r="O313" s="29" t="n">
        <v>0.6</v>
      </c>
      <c r="P313" s="29" t="inlineStr">
        <is>
          <t>B.E</t>
        </is>
      </c>
      <c r="Q313" s="29" t="inlineStr">
        <is>
          <t>L3 – Professional / Associate</t>
        </is>
      </c>
      <c r="R313" s="29" t="inlineStr">
        <is>
          <t>A3</t>
        </is>
      </c>
      <c r="S313" s="30" t="inlineStr">
        <is>
          <t>20 of 20</t>
        </is>
      </c>
      <c r="T313" s="31"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t>
        </is>
      </c>
      <c r="U31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3" s="31" t="inlineStr">
        <is>
          <t>Latest rating: 3 · Potential: Low · 9-box: Core Contributor · Readiness: Develop in role</t>
        </is>
      </c>
      <c r="W313" s="31" t="inlineStr">
        <is>
          <t>C M · Au L · Ac M · L L · BI M · Exp H · 4.9 yrs vs 2–4 yrs · Edu M · B.E</t>
        </is>
      </c>
      <c r="X313" s="33" t="inlineStr">
        <is>
          <t>Open ▸</t>
        </is>
      </c>
      <c r="Y313" s="34" t="str">
        <f>IFERROR(INDEX(DL_C,MATCH($CA313,DL_KEY,0)),"M")</f>
        <v>H</v>
      </c>
      <c r="Z313" s="35" t="str">
        <f>IFERROR(INDEX(DL_Au,MATCH($CA313,DL_KEY,0)),"M")</f>
        <v>M</v>
      </c>
      <c r="AA313" s="35" t="str">
        <f>IFERROR(INDEX(DL_Ac,MATCH($CA313,DL_KEY,0)),"M")</f>
        <v>L</v>
      </c>
      <c r="AB313" s="35" t="str">
        <f>IFERROR(INDEX(DL_L,MATCH($CA313,DL_KEY,0)),"M")</f>
        <v>L</v>
      </c>
      <c r="AC313" s="35" t="str">
        <f>IFERROR(INDEX(DL_BI,MATCH($CA313,DL_KEY,0)),"M")</f>
        <v>L</v>
      </c>
      <c r="AD313" s="35" t="str">
        <f>IFERROR(INDEX(DL_Exp,MATCH($CA313,DL_KEY,0)),"M")</f>
        <v>L</v>
      </c>
      <c r="AE313" s="35" t="str">
        <f>IFERROR(INDEX(DL_Edu,MATCH($CA313,DL_KEY,0)),"M")</f>
        <v>L</v>
      </c>
      <c r="AF313" s="34" t="inlineStr">
        <is>
          <t>M</t>
        </is>
      </c>
      <c r="AG313" s="35" t="inlineStr">
        <is>
          <t>M</t>
        </is>
      </c>
      <c r="AH313" s="35" t="inlineStr">
        <is>
          <t>M</t>
        </is>
      </c>
      <c r="AI313" s="35" t="inlineStr">
        <is>
          <t>M</t>
        </is>
      </c>
      <c r="AJ313" s="35" t="inlineStr">
        <is>
          <t>M</t>
        </is>
      </c>
      <c r="AK313" s="35" t="inlineStr">
        <is>
          <t>M</t>
        </is>
      </c>
      <c r="AL313" s="35" t="inlineStr">
        <is>
          <t>M</t>
        </is>
      </c>
      <c r="AM313" s="36" t="n">
        <v>0.583</v>
      </c>
      <c r="AN313" s="37" t="n">
        <v>0.16</v>
      </c>
      <c r="AO313" s="37" t="n">
        <v>0.09</v>
      </c>
      <c r="AP313" s="37" t="n">
        <v>0</v>
      </c>
      <c r="AQ313" s="37" t="n">
        <v>0.063</v>
      </c>
      <c r="AR313" s="37" t="n">
        <v>0.06</v>
      </c>
      <c r="AS313" s="37" t="n">
        <v>0.04</v>
      </c>
      <c r="AT313" s="38" t="inlineStr">
        <is>
          <t>2–5</t>
        </is>
      </c>
      <c r="AU313" s="38" t="inlineStr">
        <is>
          <t>Graduate; relevant certification preferred</t>
        </is>
      </c>
      <c r="AV313" s="38" t="inlineStr">
        <is>
          <t>None · guides 1–3 juniors informally</t>
        </is>
      </c>
      <c r="AW313" s="38" t="inlineStr">
        <is>
          <t>P2 · SFIA 3 Apply</t>
        </is>
      </c>
      <c r="AX3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3" s="39" t="inlineStr">
        <is>
          <t>A3</t>
        </is>
      </c>
      <c r="AZ313" s="40" t="inlineStr">
        <is>
          <t>Band A · Practitioner · Senior Associate</t>
        </is>
      </c>
      <c r="BA313" s="40" t="inlineStr">
        <is>
          <t>Model A3 from the six ratings, the market-derived weights and rules R1–R13 · then No change · already below the manager</t>
        </is>
      </c>
      <c r="BB313" s="41" t="inlineStr">
        <is>
          <t>A3</t>
        </is>
      </c>
      <c r="BC313" s="40" t="inlineStr">
        <is>
          <t>The six ratings on the market-average weights of Band A · all tracks score 2.57 → A3 · Hay, Mercer IPE and public plans · experience 4.9 yrs vs the A3 market range 2–5</t>
        </is>
      </c>
      <c r="BD313" s="42">
        <f>IF(SUM(BM313,BN313,BO313,BP313,BQ313,BR313,BS313)=0,0,(BM313*BT313+BN313*BU313+BO313*BV313+BP313*BW313+BQ313*BX313+BR313*BY313+BS313*BZ313)/SUM(BM313,BN313,BO313,BP313,BQ313,BR313,BS313))</f>
        <v>0</v>
      </c>
      <c r="BE313" s="41" t="str">
        <f>IF(LEFT(AY313,1)="X",AY313,IF(OR(AY313="B+",AY313="C+"),INDEX(LAD_PC,MAX(1,MIN(14,MATCH(AY313,LAD_PC,0)+IF(BD313&gt;=0.5,1,IF(BD313&lt;=-0.5,-1,0))))),INDEX(LAD_STD,MAX(1,MIN(12,MATCH(AY313,LAD_STD,0)+IF(BD313&gt;=0.5,1,IF(BD313&lt;=-0.5,-1,0)))))))</f>
        <v>A3</v>
      </c>
      <c r="BF313" s="43" t="n"/>
      <c r="BG313" s="41" t="str">
        <f>IF(BF313&lt;&gt;"",BF313,BE313)</f>
        <v>A3</v>
      </c>
      <c r="BH313" s="40" t="str">
        <f>IFERROR(CHOOSE(INDEX(B_RANK,MATCH(BG313,B_LVL,0)),"Band A","Band B","B+ · Player-Coach","Band C","C+ · Player-Coach","Band D","Band E"),"Band X · Consultant")</f>
        <v>Band A</v>
      </c>
      <c r="BI313" s="40" t="str">
        <f>IF(BG313=AY313,"• Same",IF(INDEX(B_VAL,MATCH(BG313,B_LVL,0))&gt;INDEX(B_VAL,MATCH(AY313,B_LVL,0)),"▲ Up","▼ Down"))</f>
        <v>• Same</v>
      </c>
      <c r="BJ313" s="40" t="str">
        <f>IF(OR($M313="",$M313="—",$M313="Not in this file"),"",IFERROR(INDEX($BG$7:$BG$592,MATCH($M313,$D$7:$D$592,0)),""))</f>
        <v>B1</v>
      </c>
      <c r="BK313" s="40" t="str">
        <f>IFERROR(IF(BJ313="","—",IF(OR(LEFT(BG313,1)="X",LEFT(BJ313,1)="X"),"—",IF(AND(LEFT(BG313,1)="E",LEFT(BJ313,1)="E"),"Exception · Band E",IF(AND(INDEX(B_VAL,MATCH(BJ313,B_LVL,0))&gt;=7,INDEX(B_RANK,MATCH(BG313,B_LVL,0))&gt;=INDEX(B_RANK,MATCH(BJ313,B_LVL,0))),"⚠ Same band as a head manager",IF(INDEX(B_VAL,MATCH(BG313,B_LVL,0))&gt;=INDEX(B_VAL,MATCH(BJ313,B_LVL,0)),"⚠ At or above the manager's level","OK"))))),"—")</f>
        <v>OK</v>
      </c>
      <c r="BL313" s="43" t="n"/>
      <c r="BM313" s="44">
        <f>IFERROR(INDEX(LMH_PTS,MATCH(Y313,LMH_KEY,0)),0)</f>
        <v>9</v>
      </c>
      <c r="BN313" s="38">
        <f>IFERROR(INDEX(LMH_PTS,MATCH(Z313,LMH_KEY,0)),0)</f>
        <v>3</v>
      </c>
      <c r="BO313" s="38">
        <f>IFERROR(INDEX(LMH_PTS,MATCH(AA313,LMH_KEY,0)),0)</f>
        <v>1</v>
      </c>
      <c r="BP313" s="38">
        <f>IFERROR(INDEX(LMH_PTS,MATCH(AB313,LMH_KEY,0)),0)</f>
        <v>1</v>
      </c>
      <c r="BQ313" s="38">
        <f>IFERROR(INDEX(LMH_PTS,MATCH(AC313,LMH_KEY,0)),0)</f>
        <v>1</v>
      </c>
      <c r="BR313" s="38">
        <f>IFERROR(INDEX(LMH_PTS,MATCH(AD313,LMH_KEY,0)),0)</f>
        <v>1</v>
      </c>
      <c r="BS313" s="38">
        <f>IFERROR(INDEX(LMH_PTS,MATCH(AE313,LMH_KEY,0)),0)</f>
        <v>1</v>
      </c>
      <c r="BT313" s="38">
        <f>IFERROR(INDEX(LMH_STEP,MATCH(AF313,LMH_KEY,0)),0)</f>
        <v>0</v>
      </c>
      <c r="BU313" s="38">
        <f>IFERROR(INDEX(LMH_STEP,MATCH(AG313,LMH_KEY,0)),0)</f>
        <v>0</v>
      </c>
      <c r="BV313" s="38">
        <f>IFERROR(INDEX(LMH_STEP,MATCH(AH313,LMH_KEY,0)),0)</f>
        <v>0</v>
      </c>
      <c r="BW313" s="38">
        <f>IFERROR(INDEX(LMH_STEP,MATCH(AI313,LMH_KEY,0)),0)</f>
        <v>0</v>
      </c>
      <c r="BX313" s="38">
        <f>IFERROR(INDEX(LMH_STEP,MATCH(AJ313,LMH_KEY,0)),0)</f>
        <v>0</v>
      </c>
      <c r="BY313" s="38">
        <f>IFERROR(INDEX(LMH_STEP,MATCH(AK313,LMH_KEY,0)),0)</f>
        <v>0</v>
      </c>
      <c r="BZ313" s="38">
        <f>IFERROR(INDEX(LMH_STEP,MATCH(AL313,LMH_KEY,0)),0)</f>
        <v>0</v>
      </c>
      <c r="CA313" s="38" t="inlineStr">
        <is>
          <t>iFile|Technology|Senior Software Engineer|A3|A</t>
        </is>
      </c>
    </row>
    <row r="314" ht="110" customHeight="1">
      <c r="A314" s="28" t="inlineStr">
        <is>
          <t>iFile</t>
        </is>
      </c>
      <c r="B314" s="29" t="inlineStr">
        <is>
          <t>Technology</t>
        </is>
      </c>
      <c r="C314" s="29" t="n">
        <v>6</v>
      </c>
      <c r="D314" s="29" t="inlineStr">
        <is>
          <t>IRIS2068</t>
        </is>
      </c>
      <c r="E314" s="29" t="inlineStr">
        <is>
          <t>Sonal Bagul</t>
        </is>
      </c>
      <c r="F314" s="29" t="inlineStr">
        <is>
          <t>Senior Software Engineer</t>
        </is>
      </c>
      <c r="G314" s="29" t="inlineStr">
        <is>
          <t>Senior Software Engineer</t>
        </is>
      </c>
      <c r="H314" s="29" t="inlineStr">
        <is>
          <t>Engineering &amp; Development</t>
        </is>
      </c>
      <c r="I314" s="29" t="inlineStr">
        <is>
          <t>Backend Development</t>
        </is>
      </c>
      <c r="J314" s="29" t="inlineStr">
        <is>
          <t>IC</t>
        </is>
      </c>
      <c r="K314" s="29" t="inlineStr">
        <is>
          <t>RC-067</t>
        </is>
      </c>
      <c r="L314" s="29" t="inlineStr">
        <is>
          <t>Amruta Kadam</t>
        </is>
      </c>
      <c r="M314" s="29" t="inlineStr">
        <is>
          <t>IRIS1474</t>
        </is>
      </c>
      <c r="N314" s="29" t="n">
        <v>10.3</v>
      </c>
      <c r="O314" s="29" t="n">
        <v>4</v>
      </c>
      <c r="P314" s="29" t="inlineStr">
        <is>
          <t>MCA</t>
        </is>
      </c>
      <c r="Q314" s="29" t="inlineStr">
        <is>
          <t>L4 – Senior</t>
        </is>
      </c>
      <c r="R314" s="29" t="inlineStr">
        <is>
          <t>A3</t>
        </is>
      </c>
      <c r="S314" s="30" t="inlineStr">
        <is>
          <t>20 of 20</t>
        </is>
      </c>
      <c r="T314" s="31"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t>
        </is>
      </c>
      <c r="U314"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4" s="31" t="inlineStr">
        <is>
          <t>Latest rating: 3 · Potential: Low · 9-box: Reliable Specialist · Readiness: Develop in role</t>
        </is>
      </c>
      <c r="W314" s="31" t="inlineStr">
        <is>
          <t>C M · Au M · Ac M · L M · BI M · Exp H · 10.3 yrs vs 2–4 yrs · Edu H · MCA</t>
        </is>
      </c>
      <c r="X314" s="33" t="inlineStr">
        <is>
          <t>Open ▸</t>
        </is>
      </c>
      <c r="Y314" s="34" t="str">
        <f>IFERROR(INDEX(DL_C,MATCH($CA314,DL_KEY,0)),"M")</f>
        <v>H</v>
      </c>
      <c r="Z314" s="35" t="str">
        <f>IFERROR(INDEX(DL_Au,MATCH($CA314,DL_KEY,0)),"M")</f>
        <v>M</v>
      </c>
      <c r="AA314" s="35" t="str">
        <f>IFERROR(INDEX(DL_Ac,MATCH($CA314,DL_KEY,0)),"M")</f>
        <v>L</v>
      </c>
      <c r="AB314" s="35" t="str">
        <f>IFERROR(INDEX(DL_L,MATCH($CA314,DL_KEY,0)),"M")</f>
        <v>L</v>
      </c>
      <c r="AC314" s="35" t="str">
        <f>IFERROR(INDEX(DL_BI,MATCH($CA314,DL_KEY,0)),"M")</f>
        <v>L</v>
      </c>
      <c r="AD314" s="35" t="str">
        <f>IFERROR(INDEX(DL_Exp,MATCH($CA314,DL_KEY,0)),"M")</f>
        <v>L</v>
      </c>
      <c r="AE314" s="35" t="str">
        <f>IFERROR(INDEX(DL_Edu,MATCH($CA314,DL_KEY,0)),"M")</f>
        <v>L</v>
      </c>
      <c r="AF314" s="34" t="inlineStr">
        <is>
          <t>M</t>
        </is>
      </c>
      <c r="AG314" s="35" t="inlineStr">
        <is>
          <t>M</t>
        </is>
      </c>
      <c r="AH314" s="35" t="inlineStr">
        <is>
          <t>M</t>
        </is>
      </c>
      <c r="AI314" s="35" t="inlineStr">
        <is>
          <t>M</t>
        </is>
      </c>
      <c r="AJ314" s="35" t="inlineStr">
        <is>
          <t>M</t>
        </is>
      </c>
      <c r="AK314" s="35" t="inlineStr">
        <is>
          <t>M</t>
        </is>
      </c>
      <c r="AL314" s="35" t="inlineStr">
        <is>
          <t>M</t>
        </is>
      </c>
      <c r="AM314" s="36" t="n">
        <v>0.583</v>
      </c>
      <c r="AN314" s="37" t="n">
        <v>0.16</v>
      </c>
      <c r="AO314" s="37" t="n">
        <v>0.09</v>
      </c>
      <c r="AP314" s="37" t="n">
        <v>0</v>
      </c>
      <c r="AQ314" s="37" t="n">
        <v>0.063</v>
      </c>
      <c r="AR314" s="37" t="n">
        <v>0.06</v>
      </c>
      <c r="AS314" s="37" t="n">
        <v>0.04</v>
      </c>
      <c r="AT314" s="38" t="inlineStr">
        <is>
          <t>2–5</t>
        </is>
      </c>
      <c r="AU314" s="38" t="inlineStr">
        <is>
          <t>Graduate; relevant certification preferred</t>
        </is>
      </c>
      <c r="AV314" s="38" t="inlineStr">
        <is>
          <t>None · guides 1–3 juniors informally</t>
        </is>
      </c>
      <c r="AW314" s="38" t="inlineStr">
        <is>
          <t>P2 · SFIA 3 Apply</t>
        </is>
      </c>
      <c r="AX3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4" s="39" t="inlineStr">
        <is>
          <t>A3</t>
        </is>
      </c>
      <c r="AZ314" s="40" t="inlineStr">
        <is>
          <t>Band A · Practitioner · Senior Associate</t>
        </is>
      </c>
      <c r="BA314" s="40" t="inlineStr">
        <is>
          <t>Model A3 from the six ratings, the market-derived weights and rules R1–R13 · then No change · already below the manager</t>
        </is>
      </c>
      <c r="BB314" s="41" t="inlineStr">
        <is>
          <t>A3</t>
        </is>
      </c>
      <c r="BC314" s="40" t="inlineStr">
        <is>
          <t>The six ratings on the market-average weights of Band A · all tracks score 2.98 → A3 · Hay, Mercer IPE and public plans · experience 10.3 yrs vs the A3 market range 2–5</t>
        </is>
      </c>
      <c r="BD314" s="42">
        <f>IF(SUM(BM314,BN314,BO314,BP314,BQ314,BR314,BS314)=0,0,(BM314*BT314+BN314*BU314+BO314*BV314+BP314*BW314+BQ314*BX314+BR314*BY314+BS314*BZ314)/SUM(BM314,BN314,BO314,BP314,BQ314,BR314,BS314))</f>
        <v>0</v>
      </c>
      <c r="BE314" s="41" t="str">
        <f>IF(LEFT(AY314,1)="X",AY314,IF(OR(AY314="B+",AY314="C+"),INDEX(LAD_PC,MAX(1,MIN(14,MATCH(AY314,LAD_PC,0)+IF(BD314&gt;=0.5,1,IF(BD314&lt;=-0.5,-1,0))))),INDEX(LAD_STD,MAX(1,MIN(12,MATCH(AY314,LAD_STD,0)+IF(BD314&gt;=0.5,1,IF(BD314&lt;=-0.5,-1,0)))))))</f>
        <v>A3</v>
      </c>
      <c r="BF314" s="43" t="n"/>
      <c r="BG314" s="41" t="str">
        <f>IF(BF314&lt;&gt;"",BF314,BE314)</f>
        <v>A3</v>
      </c>
      <c r="BH314" s="40" t="str">
        <f>IFERROR(CHOOSE(INDEX(B_RANK,MATCH(BG314,B_LVL,0)),"Band A","Band B","B+ · Player-Coach","Band C","C+ · Player-Coach","Band D","Band E"),"Band X · Consultant")</f>
        <v>Band A</v>
      </c>
      <c r="BI314" s="40" t="str">
        <f>IF(BG314=AY314,"• Same",IF(INDEX(B_VAL,MATCH(BG314,B_LVL,0))&gt;INDEX(B_VAL,MATCH(AY314,B_LVL,0)),"▲ Up","▼ Down"))</f>
        <v>• Same</v>
      </c>
      <c r="BJ314" s="40" t="str">
        <f>IF(OR($M314="",$M314="—",$M314="Not in this file"),"",IFERROR(INDEX($BG$7:$BG$592,MATCH($M314,$D$7:$D$592,0)),""))</f>
        <v>B1</v>
      </c>
      <c r="BK314" s="40" t="str">
        <f>IFERROR(IF(BJ314="","—",IF(OR(LEFT(BG314,1)="X",LEFT(BJ314,1)="X"),"—",IF(AND(LEFT(BG314,1)="E",LEFT(BJ314,1)="E"),"Exception · Band E",IF(AND(INDEX(B_VAL,MATCH(BJ314,B_LVL,0))&gt;=7,INDEX(B_RANK,MATCH(BG314,B_LVL,0))&gt;=INDEX(B_RANK,MATCH(BJ314,B_LVL,0))),"⚠ Same band as a head manager",IF(INDEX(B_VAL,MATCH(BG314,B_LVL,0))&gt;=INDEX(B_VAL,MATCH(BJ314,B_LVL,0)),"⚠ At or above the manager's level","OK"))))),"—")</f>
        <v>OK</v>
      </c>
      <c r="BL314" s="43" t="n"/>
      <c r="BM314" s="44">
        <f>IFERROR(INDEX(LMH_PTS,MATCH(Y314,LMH_KEY,0)),0)</f>
        <v>9</v>
      </c>
      <c r="BN314" s="38">
        <f>IFERROR(INDEX(LMH_PTS,MATCH(Z314,LMH_KEY,0)),0)</f>
        <v>3</v>
      </c>
      <c r="BO314" s="38">
        <f>IFERROR(INDEX(LMH_PTS,MATCH(AA314,LMH_KEY,0)),0)</f>
        <v>1</v>
      </c>
      <c r="BP314" s="38">
        <f>IFERROR(INDEX(LMH_PTS,MATCH(AB314,LMH_KEY,0)),0)</f>
        <v>1</v>
      </c>
      <c r="BQ314" s="38">
        <f>IFERROR(INDEX(LMH_PTS,MATCH(AC314,LMH_KEY,0)),0)</f>
        <v>1</v>
      </c>
      <c r="BR314" s="38">
        <f>IFERROR(INDEX(LMH_PTS,MATCH(AD314,LMH_KEY,0)),0)</f>
        <v>1</v>
      </c>
      <c r="BS314" s="38">
        <f>IFERROR(INDEX(LMH_PTS,MATCH(AE314,LMH_KEY,0)),0)</f>
        <v>1</v>
      </c>
      <c r="BT314" s="38">
        <f>IFERROR(INDEX(LMH_STEP,MATCH(AF314,LMH_KEY,0)),0)</f>
        <v>0</v>
      </c>
      <c r="BU314" s="38">
        <f>IFERROR(INDEX(LMH_STEP,MATCH(AG314,LMH_KEY,0)),0)</f>
        <v>0</v>
      </c>
      <c r="BV314" s="38">
        <f>IFERROR(INDEX(LMH_STEP,MATCH(AH314,LMH_KEY,0)),0)</f>
        <v>0</v>
      </c>
      <c r="BW314" s="38">
        <f>IFERROR(INDEX(LMH_STEP,MATCH(AI314,LMH_KEY,0)),0)</f>
        <v>0</v>
      </c>
      <c r="BX314" s="38">
        <f>IFERROR(INDEX(LMH_STEP,MATCH(AJ314,LMH_KEY,0)),0)</f>
        <v>0</v>
      </c>
      <c r="BY314" s="38">
        <f>IFERROR(INDEX(LMH_STEP,MATCH(AK314,LMH_KEY,0)),0)</f>
        <v>0</v>
      </c>
      <c r="BZ314" s="38">
        <f>IFERROR(INDEX(LMH_STEP,MATCH(AL314,LMH_KEY,0)),0)</f>
        <v>0</v>
      </c>
      <c r="CA314" s="38" t="inlineStr">
        <is>
          <t>iFile|Technology|Senior Software Engineer|A3|A</t>
        </is>
      </c>
    </row>
    <row r="315" ht="110" customHeight="1">
      <c r="A315" s="28" t="inlineStr">
        <is>
          <t>iFile</t>
        </is>
      </c>
      <c r="B315" s="29" t="inlineStr">
        <is>
          <t>Technology</t>
        </is>
      </c>
      <c r="C315" s="29" t="n">
        <v>6</v>
      </c>
      <c r="D315" s="29" t="inlineStr">
        <is>
          <t>IRIS2442</t>
        </is>
      </c>
      <c r="E315" s="29" t="inlineStr">
        <is>
          <t>Rushikesh Shrikhande</t>
        </is>
      </c>
      <c r="F315" s="29" t="inlineStr">
        <is>
          <t>Trainee Software Engineer</t>
        </is>
      </c>
      <c r="G315" s="29" t="inlineStr">
        <is>
          <t>Trainee Software Engineer</t>
        </is>
      </c>
      <c r="H315" s="29" t="inlineStr">
        <is>
          <t>Engineering &amp; Development</t>
        </is>
      </c>
      <c r="I315" s="29" t="inlineStr">
        <is>
          <t>Backend Development</t>
        </is>
      </c>
      <c r="J315" s="29" t="inlineStr">
        <is>
          <t>IC</t>
        </is>
      </c>
      <c r="K315" s="29" t="inlineStr">
        <is>
          <t>RC-065</t>
        </is>
      </c>
      <c r="L315" s="29" t="inlineStr">
        <is>
          <t>Amruta Kadam</t>
        </is>
      </c>
      <c r="M315" s="29" t="inlineStr">
        <is>
          <t>IRIS1474</t>
        </is>
      </c>
      <c r="N315" s="29" t="n">
        <v>0.9</v>
      </c>
      <c r="O315" s="29" t="n">
        <v>0.9</v>
      </c>
      <c r="P315" s="29" t="inlineStr">
        <is>
          <t>B.E</t>
        </is>
      </c>
      <c r="Q315" s="29" t="inlineStr">
        <is>
          <t>L2 – Trainee</t>
        </is>
      </c>
      <c r="R315" s="29" t="inlineStr">
        <is>
          <t>A1</t>
        </is>
      </c>
      <c r="S315" s="30" t="inlineStr">
        <is>
          <t>20 of 20</t>
        </is>
      </c>
      <c r="T315" s="32" t="inlineStr">
        <is>
          <t>Full survey answers not in the files received · How We Grow export needed · HR</t>
        </is>
      </c>
      <c r="U315"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5" s="31" t="inlineStr">
        <is>
          <t>Latest rating: 3 · Potential: Low · 9-box: Core Contributor · Readiness: Develop in role</t>
        </is>
      </c>
      <c r="W315" s="31" t="inlineStr">
        <is>
          <t>C — · Au — · Ac — · L — · BI — · Exp H · 0.9 yrs vs 0 yrs · fresher / intern · Edu M · B.E</t>
        </is>
      </c>
      <c r="X315" s="33" t="inlineStr">
        <is>
          <t>Open ▸</t>
        </is>
      </c>
      <c r="Y315" s="34" t="str">
        <f>IFERROR(INDEX(DL_C,MATCH($CA315,DL_KEY,0)),"M")</f>
        <v>H</v>
      </c>
      <c r="Z315" s="35" t="str">
        <f>IFERROR(INDEX(DL_Au,MATCH($CA315,DL_KEY,0)),"M")</f>
        <v>M</v>
      </c>
      <c r="AA315" s="35" t="str">
        <f>IFERROR(INDEX(DL_Ac,MATCH($CA315,DL_KEY,0)),"M")</f>
        <v>L</v>
      </c>
      <c r="AB315" s="35" t="str">
        <f>IFERROR(INDEX(DL_L,MATCH($CA315,DL_KEY,0)),"M")</f>
        <v>L</v>
      </c>
      <c r="AC315" s="35" t="str">
        <f>IFERROR(INDEX(DL_BI,MATCH($CA315,DL_KEY,0)),"M")</f>
        <v>L</v>
      </c>
      <c r="AD315" s="35" t="str">
        <f>IFERROR(INDEX(DL_Exp,MATCH($CA315,DL_KEY,0)),"M")</f>
        <v>L</v>
      </c>
      <c r="AE315" s="35" t="str">
        <f>IFERROR(INDEX(DL_Edu,MATCH($CA315,DL_KEY,0)),"M")</f>
        <v>L</v>
      </c>
      <c r="AF315" s="34" t="inlineStr">
        <is>
          <t>M</t>
        </is>
      </c>
      <c r="AG315" s="35" t="inlineStr">
        <is>
          <t>M</t>
        </is>
      </c>
      <c r="AH315" s="35" t="inlineStr">
        <is>
          <t>M</t>
        </is>
      </c>
      <c r="AI315" s="35" t="inlineStr">
        <is>
          <t>M</t>
        </is>
      </c>
      <c r="AJ315" s="35" t="inlineStr">
        <is>
          <t>M</t>
        </is>
      </c>
      <c r="AK315" s="35" t="inlineStr">
        <is>
          <t>M</t>
        </is>
      </c>
      <c r="AL315" s="35" t="inlineStr">
        <is>
          <t>M</t>
        </is>
      </c>
      <c r="AM315" s="36" t="n">
        <v>0.583</v>
      </c>
      <c r="AN315" s="37" t="n">
        <v>0.16</v>
      </c>
      <c r="AO315" s="37" t="n">
        <v>0.09</v>
      </c>
      <c r="AP315" s="37" t="n">
        <v>0</v>
      </c>
      <c r="AQ315" s="37" t="n">
        <v>0.063</v>
      </c>
      <c r="AR315" s="37" t="n">
        <v>0.06</v>
      </c>
      <c r="AS315" s="37" t="n">
        <v>0.04</v>
      </c>
      <c r="AT315" s="38" t="inlineStr">
        <is>
          <t>0 yrs · fresher / intern</t>
        </is>
      </c>
      <c r="AU315" s="38" t="inlineStr">
        <is>
          <t>Pursuing or completed graduation / diploma</t>
        </is>
      </c>
      <c r="AV315" s="38" t="inlineStr">
        <is>
          <t>No direct reports</t>
        </is>
      </c>
      <c r="AW315" s="38" t="inlineStr">
        <is>
          <t>Entry / P1 · intern · SFIA 1 Follow</t>
        </is>
      </c>
      <c r="AX3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5" s="39" t="inlineStr">
        <is>
          <t>A1</t>
        </is>
      </c>
      <c r="AZ315" s="40" t="inlineStr">
        <is>
          <t>Band A · Practitioner · Intern / Trainee</t>
        </is>
      </c>
      <c r="BA315" s="40" t="inlineStr">
        <is>
          <t>Model A1 from the six ratings, the market-derived weights and rules R1–R13 · then No change · already below the manager</t>
        </is>
      </c>
      <c r="BB315" s="41" t="inlineStr">
        <is>
          <t>A1</t>
        </is>
      </c>
      <c r="BC315" s="40" t="inlineStr">
        <is>
          <t>Placed by a category rule — no full set of ratings · benchmark follows the HR proposed level</t>
        </is>
      </c>
      <c r="BD315" s="42">
        <f>IF(SUM(BM315,BN315,BO315,BP315,BQ315,BR315,BS315)=0,0,(BM315*BT315+BN315*BU315+BO315*BV315+BP315*BW315+BQ315*BX315+BR315*BY315+BS315*BZ315)/SUM(BM315,BN315,BO315,BP315,BQ315,BR315,BS315))</f>
        <v>0</v>
      </c>
      <c r="BE315" s="41" t="str">
        <f>IF(LEFT(AY315,1)="X",AY315,IF(OR(AY315="B+",AY315="C+"),INDEX(LAD_PC,MAX(1,MIN(14,MATCH(AY315,LAD_PC,0)+IF(BD315&gt;=0.5,1,IF(BD315&lt;=-0.5,-1,0))))),INDEX(LAD_STD,MAX(1,MIN(12,MATCH(AY315,LAD_STD,0)+IF(BD315&gt;=0.5,1,IF(BD315&lt;=-0.5,-1,0)))))))</f>
        <v>A1</v>
      </c>
      <c r="BF315" s="43" t="n"/>
      <c r="BG315" s="41" t="str">
        <f>IF(BF315&lt;&gt;"",BF315,BE315)</f>
        <v>A1</v>
      </c>
      <c r="BH315" s="40" t="str">
        <f>IFERROR(CHOOSE(INDEX(B_RANK,MATCH(BG315,B_LVL,0)),"Band A","Band B","B+ · Player-Coach","Band C","C+ · Player-Coach","Band D","Band E"),"Band X · Consultant")</f>
        <v>Band A</v>
      </c>
      <c r="BI315" s="40" t="str">
        <f>IF(BG315=AY315,"• Same",IF(INDEX(B_VAL,MATCH(BG315,B_LVL,0))&gt;INDEX(B_VAL,MATCH(AY315,B_LVL,0)),"▲ Up","▼ Down"))</f>
        <v>• Same</v>
      </c>
      <c r="BJ315" s="40" t="str">
        <f>IF(OR($M315="",$M315="—",$M315="Not in this file"),"",IFERROR(INDEX($BG$7:$BG$592,MATCH($M315,$D$7:$D$592,0)),""))</f>
        <v>B1</v>
      </c>
      <c r="BK315" s="40" t="str">
        <f>IFERROR(IF(BJ315="","—",IF(OR(LEFT(BG315,1)="X",LEFT(BJ315,1)="X"),"—",IF(AND(LEFT(BG315,1)="E",LEFT(BJ315,1)="E"),"Exception · Band E",IF(AND(INDEX(B_VAL,MATCH(BJ315,B_LVL,0))&gt;=7,INDEX(B_RANK,MATCH(BG315,B_LVL,0))&gt;=INDEX(B_RANK,MATCH(BJ315,B_LVL,0))),"⚠ Same band as a head manager",IF(INDEX(B_VAL,MATCH(BG315,B_LVL,0))&gt;=INDEX(B_VAL,MATCH(BJ315,B_LVL,0)),"⚠ At or above the manager's level","OK"))))),"—")</f>
        <v>OK</v>
      </c>
      <c r="BL315" s="43" t="n"/>
      <c r="BM315" s="44">
        <f>IFERROR(INDEX(LMH_PTS,MATCH(Y315,LMH_KEY,0)),0)</f>
        <v>9</v>
      </c>
      <c r="BN315" s="38">
        <f>IFERROR(INDEX(LMH_PTS,MATCH(Z315,LMH_KEY,0)),0)</f>
        <v>3</v>
      </c>
      <c r="BO315" s="38">
        <f>IFERROR(INDEX(LMH_PTS,MATCH(AA315,LMH_KEY,0)),0)</f>
        <v>1</v>
      </c>
      <c r="BP315" s="38">
        <f>IFERROR(INDEX(LMH_PTS,MATCH(AB315,LMH_KEY,0)),0)</f>
        <v>1</v>
      </c>
      <c r="BQ315" s="38">
        <f>IFERROR(INDEX(LMH_PTS,MATCH(AC315,LMH_KEY,0)),0)</f>
        <v>1</v>
      </c>
      <c r="BR315" s="38">
        <f>IFERROR(INDEX(LMH_PTS,MATCH(AD315,LMH_KEY,0)),0)</f>
        <v>1</v>
      </c>
      <c r="BS315" s="38">
        <f>IFERROR(INDEX(LMH_PTS,MATCH(AE315,LMH_KEY,0)),0)</f>
        <v>1</v>
      </c>
      <c r="BT315" s="38">
        <f>IFERROR(INDEX(LMH_STEP,MATCH(AF315,LMH_KEY,0)),0)</f>
        <v>0</v>
      </c>
      <c r="BU315" s="38">
        <f>IFERROR(INDEX(LMH_STEP,MATCH(AG315,LMH_KEY,0)),0)</f>
        <v>0</v>
      </c>
      <c r="BV315" s="38">
        <f>IFERROR(INDEX(LMH_STEP,MATCH(AH315,LMH_KEY,0)),0)</f>
        <v>0</v>
      </c>
      <c r="BW315" s="38">
        <f>IFERROR(INDEX(LMH_STEP,MATCH(AI315,LMH_KEY,0)),0)</f>
        <v>0</v>
      </c>
      <c r="BX315" s="38">
        <f>IFERROR(INDEX(LMH_STEP,MATCH(AJ315,LMH_KEY,0)),0)</f>
        <v>0</v>
      </c>
      <c r="BY315" s="38">
        <f>IFERROR(INDEX(LMH_STEP,MATCH(AK315,LMH_KEY,0)),0)</f>
        <v>0</v>
      </c>
      <c r="BZ315" s="38">
        <f>IFERROR(INDEX(LMH_STEP,MATCH(AL315,LMH_KEY,0)),0)</f>
        <v>0</v>
      </c>
      <c r="CA315" s="38" t="inlineStr">
        <is>
          <t>iFile|Technology|Trainee Software Engineer|A1|A</t>
        </is>
      </c>
    </row>
    <row r="316" ht="110" customHeight="1">
      <c r="A316" s="28" t="inlineStr">
        <is>
          <t>iFile</t>
        </is>
      </c>
      <c r="B316" s="29" t="inlineStr">
        <is>
          <t>Technology</t>
        </is>
      </c>
      <c r="C316" s="29" t="n">
        <v>5</v>
      </c>
      <c r="D316" s="29" t="inlineStr">
        <is>
          <t>IRIS1647</t>
        </is>
      </c>
      <c r="E316" s="29" t="inlineStr">
        <is>
          <t>Bhavana Thakare</t>
        </is>
      </c>
      <c r="F316" s="29" t="inlineStr">
        <is>
          <t>Tech Lead</t>
        </is>
      </c>
      <c r="G316" s="29" t="inlineStr">
        <is>
          <t>Senior Technical Specialist – POD Lead</t>
        </is>
      </c>
      <c r="H316" s="29" t="inlineStr">
        <is>
          <t>Engineering &amp; Development</t>
        </is>
      </c>
      <c r="I316" s="29" t="inlineStr">
        <is>
          <t>Backend Development</t>
        </is>
      </c>
      <c r="J316" s="29" t="inlineStr">
        <is>
          <t>POD Lead</t>
        </is>
      </c>
      <c r="K316" s="29" t="inlineStr">
        <is>
          <t>RC-068</t>
        </is>
      </c>
      <c r="L316" s="29" t="inlineStr">
        <is>
          <t>Yunus Patel</t>
        </is>
      </c>
      <c r="M316" s="29" t="inlineStr">
        <is>
          <t>IRIS2127</t>
        </is>
      </c>
      <c r="N316" s="29" t="n">
        <v>13.3</v>
      </c>
      <c r="O316" s="29" t="n">
        <v>9.300000000000001</v>
      </c>
      <c r="P316" s="29" t="inlineStr">
        <is>
          <t>MSc</t>
        </is>
      </c>
      <c r="Q316" s="29" t="inlineStr">
        <is>
          <t>L5 – Lead · IC</t>
        </is>
      </c>
      <c r="R316" s="29" t="inlineStr">
        <is>
          <t>B1</t>
        </is>
      </c>
      <c r="S316" s="30" t="inlineStr">
        <is>
          <t>19 of 20</t>
        </is>
      </c>
      <c r="T316" s="31"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t>
        </is>
      </c>
      <c r="U316"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16" s="31" t="inlineStr">
        <is>
          <t>Latest rating: 4 · Potential: Medium · 9-box: High Impact / Growth Talent · Readiness: Ready in 6–12 months</t>
        </is>
      </c>
      <c r="W316" s="31" t="inlineStr">
        <is>
          <t>C M · Au M · Ac M · L M · BI M · Exp H · 13.3 yrs vs 4–7 yrs · Edu H · MSc</t>
        </is>
      </c>
      <c r="X316" s="33" t="inlineStr">
        <is>
          <t>Open ▸</t>
        </is>
      </c>
      <c r="Y316" s="34" t="str">
        <f>IFERROR(INDEX(DL_C,MATCH($CA316,DL_KEY,0)),"M")</f>
        <v>H</v>
      </c>
      <c r="Z316" s="35" t="str">
        <f>IFERROR(INDEX(DL_Au,MATCH($CA316,DL_KEY,0)),"M")</f>
        <v>M</v>
      </c>
      <c r="AA316" s="35" t="str">
        <f>IFERROR(INDEX(DL_Ac,MATCH($CA316,DL_KEY,0)),"M")</f>
        <v>L</v>
      </c>
      <c r="AB316" s="35" t="str">
        <f>IFERROR(INDEX(DL_L,MATCH($CA316,DL_KEY,0)),"M")</f>
        <v>L</v>
      </c>
      <c r="AC316" s="35" t="str">
        <f>IFERROR(INDEX(DL_BI,MATCH($CA316,DL_KEY,0)),"M")</f>
        <v>L</v>
      </c>
      <c r="AD316" s="35" t="str">
        <f>IFERROR(INDEX(DL_Exp,MATCH($CA316,DL_KEY,0)),"M")</f>
        <v>L</v>
      </c>
      <c r="AE316" s="35" t="str">
        <f>IFERROR(INDEX(DL_Edu,MATCH($CA316,DL_KEY,0)),"M")</f>
        <v>L</v>
      </c>
      <c r="AF316" s="34" t="inlineStr">
        <is>
          <t>M</t>
        </is>
      </c>
      <c r="AG316" s="35" t="inlineStr">
        <is>
          <t>M</t>
        </is>
      </c>
      <c r="AH316" s="35" t="inlineStr">
        <is>
          <t>M</t>
        </is>
      </c>
      <c r="AI316" s="35" t="inlineStr">
        <is>
          <t>M</t>
        </is>
      </c>
      <c r="AJ316" s="35" t="inlineStr">
        <is>
          <t>M</t>
        </is>
      </c>
      <c r="AK316" s="35" t="inlineStr">
        <is>
          <t>M</t>
        </is>
      </c>
      <c r="AL316" s="35" t="inlineStr">
        <is>
          <t>M</t>
        </is>
      </c>
      <c r="AM316" s="36" t="n">
        <v>0.513</v>
      </c>
      <c r="AN316" s="37" t="n">
        <v>0.173</v>
      </c>
      <c r="AO316" s="37" t="n">
        <v>0.09699999999999999</v>
      </c>
      <c r="AP316" s="37" t="n">
        <v>0.05</v>
      </c>
      <c r="AQ316" s="37" t="n">
        <v>0.07000000000000001</v>
      </c>
      <c r="AR316" s="37" t="n">
        <v>0.06</v>
      </c>
      <c r="AS316" s="37" t="n">
        <v>0.04</v>
      </c>
      <c r="AT316" s="38" t="inlineStr">
        <is>
          <t>4–8</t>
        </is>
      </c>
      <c r="AU316" s="38" t="inlineStr">
        <is>
          <t>Graduate + relevant qualification or certification preferred</t>
        </is>
      </c>
      <c r="AV316" s="38" t="inlineStr">
        <is>
          <t>IC: none · Team Lead: 3–5</t>
        </is>
      </c>
      <c r="AW316" s="38" t="inlineStr">
        <is>
          <t>P3 / M2 · SFIA 4 Enable</t>
        </is>
      </c>
      <c r="AX3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6" s="39" t="inlineStr">
        <is>
          <t>B1</t>
        </is>
      </c>
      <c r="AZ316" s="40" t="inlineStr">
        <is>
          <t>Band B · Specialist / Manager · Team Lead / Asst Manager</t>
        </is>
      </c>
      <c r="BA316" s="40" t="inlineStr">
        <is>
          <t>Model B1 from the six ratings, the market-derived weights and rules R1–R13 · then No change · already below the manager</t>
        </is>
      </c>
      <c r="BB316" s="41" t="inlineStr">
        <is>
          <t>B1</t>
        </is>
      </c>
      <c r="BC316" s="40" t="inlineStr">
        <is>
          <t>The six ratings on the market-average weights of Band B · Specialist / POD Lead score 4.37 → B1 · Hay, Mercer IPE and public plans · experience 13.3 yrs vs the B1 market range 4–8</t>
        </is>
      </c>
      <c r="BD316" s="42">
        <f>IF(SUM(BM316,BN316,BO316,BP316,BQ316,BR316,BS316)=0,0,(BM316*BT316+BN316*BU316+BO316*BV316+BP316*BW316+BQ316*BX316+BR316*BY316+BS316*BZ316)/SUM(BM316,BN316,BO316,BP316,BQ316,BR316,BS316))</f>
        <v>0</v>
      </c>
      <c r="BE316" s="41" t="str">
        <f>IF(LEFT(AY316,1)="X",AY316,IF(OR(AY316="B+",AY316="C+"),INDEX(LAD_PC,MAX(1,MIN(14,MATCH(AY316,LAD_PC,0)+IF(BD316&gt;=0.5,1,IF(BD316&lt;=-0.5,-1,0))))),INDEX(LAD_STD,MAX(1,MIN(12,MATCH(AY316,LAD_STD,0)+IF(BD316&gt;=0.5,1,IF(BD316&lt;=-0.5,-1,0)))))))</f>
        <v>B1</v>
      </c>
      <c r="BF316" s="43" t="n"/>
      <c r="BG316" s="41" t="str">
        <f>IF(BF316&lt;&gt;"",BF316,BE316)</f>
        <v>B1</v>
      </c>
      <c r="BH316" s="40" t="str">
        <f>IFERROR(CHOOSE(INDEX(B_RANK,MATCH(BG316,B_LVL,0)),"Band A","Band B","B+ · Player-Coach","Band C","C+ · Player-Coach","Band D","Band E"),"Band X · Consultant")</f>
        <v>Band B</v>
      </c>
      <c r="BI316" s="40" t="str">
        <f>IF(BG316=AY316,"• Same",IF(INDEX(B_VAL,MATCH(BG316,B_LVL,0))&gt;INDEX(B_VAL,MATCH(AY316,B_LVL,0)),"▲ Up","▼ Down"))</f>
        <v>• Same</v>
      </c>
      <c r="BJ316" s="40" t="str">
        <f>IF(OR($M316="",$M316="—",$M316="Not in this file"),"",IFERROR(INDEX($BG$7:$BG$592,MATCH($M316,$D$7:$D$592,0)),""))</f>
        <v>B2</v>
      </c>
      <c r="BK316" s="40" t="str">
        <f>IFERROR(IF(BJ316="","—",IF(OR(LEFT(BG316,1)="X",LEFT(BJ316,1)="X"),"—",IF(AND(LEFT(BG316,1)="E",LEFT(BJ316,1)="E"),"Exception · Band E",IF(AND(INDEX(B_VAL,MATCH(BJ316,B_LVL,0))&gt;=7,INDEX(B_RANK,MATCH(BG316,B_LVL,0))&gt;=INDEX(B_RANK,MATCH(BJ316,B_LVL,0))),"⚠ Same band as a head manager",IF(INDEX(B_VAL,MATCH(BG316,B_LVL,0))&gt;=INDEX(B_VAL,MATCH(BJ316,B_LVL,0)),"⚠ At or above the manager's level","OK"))))),"—")</f>
        <v>OK</v>
      </c>
      <c r="BL316" s="43" t="n"/>
      <c r="BM316" s="44">
        <f>IFERROR(INDEX(LMH_PTS,MATCH(Y316,LMH_KEY,0)),0)</f>
        <v>9</v>
      </c>
      <c r="BN316" s="38">
        <f>IFERROR(INDEX(LMH_PTS,MATCH(Z316,LMH_KEY,0)),0)</f>
        <v>3</v>
      </c>
      <c r="BO316" s="38">
        <f>IFERROR(INDEX(LMH_PTS,MATCH(AA316,LMH_KEY,0)),0)</f>
        <v>1</v>
      </c>
      <c r="BP316" s="38">
        <f>IFERROR(INDEX(LMH_PTS,MATCH(AB316,LMH_KEY,0)),0)</f>
        <v>1</v>
      </c>
      <c r="BQ316" s="38">
        <f>IFERROR(INDEX(LMH_PTS,MATCH(AC316,LMH_KEY,0)),0)</f>
        <v>1</v>
      </c>
      <c r="BR316" s="38">
        <f>IFERROR(INDEX(LMH_PTS,MATCH(AD316,LMH_KEY,0)),0)</f>
        <v>1</v>
      </c>
      <c r="BS316" s="38">
        <f>IFERROR(INDEX(LMH_PTS,MATCH(AE316,LMH_KEY,0)),0)</f>
        <v>1</v>
      </c>
      <c r="BT316" s="38">
        <f>IFERROR(INDEX(LMH_STEP,MATCH(AF316,LMH_KEY,0)),0)</f>
        <v>0</v>
      </c>
      <c r="BU316" s="38">
        <f>IFERROR(INDEX(LMH_STEP,MATCH(AG316,LMH_KEY,0)),0)</f>
        <v>0</v>
      </c>
      <c r="BV316" s="38">
        <f>IFERROR(INDEX(LMH_STEP,MATCH(AH316,LMH_KEY,0)),0)</f>
        <v>0</v>
      </c>
      <c r="BW316" s="38">
        <f>IFERROR(INDEX(LMH_STEP,MATCH(AI316,LMH_KEY,0)),0)</f>
        <v>0</v>
      </c>
      <c r="BX316" s="38">
        <f>IFERROR(INDEX(LMH_STEP,MATCH(AJ316,LMH_KEY,0)),0)</f>
        <v>0</v>
      </c>
      <c r="BY316" s="38">
        <f>IFERROR(INDEX(LMH_STEP,MATCH(AK316,LMH_KEY,0)),0)</f>
        <v>0</v>
      </c>
      <c r="BZ316" s="38">
        <f>IFERROR(INDEX(LMH_STEP,MATCH(AL316,LMH_KEY,0)),0)</f>
        <v>0</v>
      </c>
      <c r="CA316" s="38" t="inlineStr">
        <is>
          <t>iFile|Technology|Senior Technical Specialist – POD Lead|B1|B-IC</t>
        </is>
      </c>
    </row>
    <row r="317" ht="110" customHeight="1">
      <c r="A317" s="28" t="inlineStr">
        <is>
          <t>iFile</t>
        </is>
      </c>
      <c r="B317" s="29" t="inlineStr">
        <is>
          <t>Technology</t>
        </is>
      </c>
      <c r="C317" s="29" t="n">
        <v>6</v>
      </c>
      <c r="D317" s="29" t="inlineStr">
        <is>
          <t>IRIS2004</t>
        </is>
      </c>
      <c r="E317" s="29" t="inlineStr">
        <is>
          <t>Swati Patil</t>
        </is>
      </c>
      <c r="F317" s="29" t="inlineStr">
        <is>
          <t>Software Engineer</t>
        </is>
      </c>
      <c r="G317" s="29" t="inlineStr">
        <is>
          <t>Senior Software Engineer</t>
        </is>
      </c>
      <c r="H317" s="29" t="inlineStr">
        <is>
          <t>Engineering &amp; Development</t>
        </is>
      </c>
      <c r="I317" s="29" t="inlineStr">
        <is>
          <t>Full-Stack Development</t>
        </is>
      </c>
      <c r="J317" s="29" t="inlineStr">
        <is>
          <t>IC</t>
        </is>
      </c>
      <c r="K317" s="29" t="inlineStr">
        <is>
          <t>RC-085</t>
        </is>
      </c>
      <c r="L317" s="29" t="inlineStr">
        <is>
          <t>Bhavana Thakare</t>
        </is>
      </c>
      <c r="M317" s="29" t="inlineStr">
        <is>
          <t>IRIS1647</t>
        </is>
      </c>
      <c r="N317" s="29" t="n">
        <v>4.5</v>
      </c>
      <c r="O317" s="29" t="n">
        <v>4.5</v>
      </c>
      <c r="P317" s="29" t="inlineStr">
        <is>
          <t>B.E</t>
        </is>
      </c>
      <c r="Q317" s="29" t="inlineStr">
        <is>
          <t>L3 – Professional / Associate</t>
        </is>
      </c>
      <c r="R317" s="29" t="inlineStr">
        <is>
          <t>A3</t>
        </is>
      </c>
      <c r="S317" s="30" t="inlineStr">
        <is>
          <t>20 of 20</t>
        </is>
      </c>
      <c r="T317" s="31"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t>
        </is>
      </c>
      <c r="U31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7" s="31" t="inlineStr">
        <is>
          <t>Latest rating: 3 · Potential: Low · 9-box: Reliable Specialist · Readiness: Develop in role</t>
        </is>
      </c>
      <c r="W317" s="31" t="inlineStr">
        <is>
          <t>C L · Au L · Ac L · L L · BI L · Exp H · 4.5 yrs vs 2–4 yrs · Edu M · B.E</t>
        </is>
      </c>
      <c r="X317" s="33" t="inlineStr">
        <is>
          <t>Open ▸</t>
        </is>
      </c>
      <c r="Y317" s="34" t="str">
        <f>IFERROR(INDEX(DL_C,MATCH($CA317,DL_KEY,0)),"M")</f>
        <v>H</v>
      </c>
      <c r="Z317" s="35" t="str">
        <f>IFERROR(INDEX(DL_Au,MATCH($CA317,DL_KEY,0)),"M")</f>
        <v>M</v>
      </c>
      <c r="AA317" s="35" t="str">
        <f>IFERROR(INDEX(DL_Ac,MATCH($CA317,DL_KEY,0)),"M")</f>
        <v>L</v>
      </c>
      <c r="AB317" s="35" t="str">
        <f>IFERROR(INDEX(DL_L,MATCH($CA317,DL_KEY,0)),"M")</f>
        <v>L</v>
      </c>
      <c r="AC317" s="35" t="str">
        <f>IFERROR(INDEX(DL_BI,MATCH($CA317,DL_KEY,0)),"M")</f>
        <v>L</v>
      </c>
      <c r="AD317" s="35" t="str">
        <f>IFERROR(INDEX(DL_Exp,MATCH($CA317,DL_KEY,0)),"M")</f>
        <v>L</v>
      </c>
      <c r="AE317" s="35" t="str">
        <f>IFERROR(INDEX(DL_Edu,MATCH($CA317,DL_KEY,0)),"M")</f>
        <v>L</v>
      </c>
      <c r="AF317" s="34" t="inlineStr">
        <is>
          <t>M</t>
        </is>
      </c>
      <c r="AG317" s="35" t="inlineStr">
        <is>
          <t>M</t>
        </is>
      </c>
      <c r="AH317" s="35" t="inlineStr">
        <is>
          <t>M</t>
        </is>
      </c>
      <c r="AI317" s="35" t="inlineStr">
        <is>
          <t>M</t>
        </is>
      </c>
      <c r="AJ317" s="35" t="inlineStr">
        <is>
          <t>M</t>
        </is>
      </c>
      <c r="AK317" s="35" t="inlineStr">
        <is>
          <t>M</t>
        </is>
      </c>
      <c r="AL317" s="35" t="inlineStr">
        <is>
          <t>M</t>
        </is>
      </c>
      <c r="AM317" s="36" t="n">
        <v>0.583</v>
      </c>
      <c r="AN317" s="37" t="n">
        <v>0.16</v>
      </c>
      <c r="AO317" s="37" t="n">
        <v>0.09</v>
      </c>
      <c r="AP317" s="37" t="n">
        <v>0</v>
      </c>
      <c r="AQ317" s="37" t="n">
        <v>0.063</v>
      </c>
      <c r="AR317" s="37" t="n">
        <v>0.06</v>
      </c>
      <c r="AS317" s="37" t="n">
        <v>0.04</v>
      </c>
      <c r="AT317" s="38" t="inlineStr">
        <is>
          <t>2–5</t>
        </is>
      </c>
      <c r="AU317" s="38" t="inlineStr">
        <is>
          <t>Graduate; relevant certification preferred</t>
        </is>
      </c>
      <c r="AV317" s="38" t="inlineStr">
        <is>
          <t>None · guides 1–3 juniors informally</t>
        </is>
      </c>
      <c r="AW317" s="38" t="inlineStr">
        <is>
          <t>P2 · SFIA 3 Apply</t>
        </is>
      </c>
      <c r="AX3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7" s="39" t="inlineStr">
        <is>
          <t>A3</t>
        </is>
      </c>
      <c r="AZ317" s="40" t="inlineStr">
        <is>
          <t>Band A · Practitioner · Senior Associate</t>
        </is>
      </c>
      <c r="BA317" s="40" t="inlineStr">
        <is>
          <t>Model A3 from the six ratings, the market-derived weights and rules R1–R13 · then No change · already below the manager</t>
        </is>
      </c>
      <c r="BB317" s="41" t="inlineStr">
        <is>
          <t>A2</t>
        </is>
      </c>
      <c r="BC317" s="40" t="inlineStr">
        <is>
          <t>The six ratings on the market-average weights of Band A · all tracks score 2.15 → A2 · Hay, Mercer IPE and public plans · experience 4.5 yrs vs the A2 market range 0–3</t>
        </is>
      </c>
      <c r="BD317" s="42">
        <f>IF(SUM(BM317,BN317,BO317,BP317,BQ317,BR317,BS317)=0,0,(BM317*BT317+BN317*BU317+BO317*BV317+BP317*BW317+BQ317*BX317+BR317*BY317+BS317*BZ317)/SUM(BM317,BN317,BO317,BP317,BQ317,BR317,BS317))</f>
        <v>0</v>
      </c>
      <c r="BE317" s="41" t="str">
        <f>IF(LEFT(AY317,1)="X",AY317,IF(OR(AY317="B+",AY317="C+"),INDEX(LAD_PC,MAX(1,MIN(14,MATCH(AY317,LAD_PC,0)+IF(BD317&gt;=0.5,1,IF(BD317&lt;=-0.5,-1,0))))),INDEX(LAD_STD,MAX(1,MIN(12,MATCH(AY317,LAD_STD,0)+IF(BD317&gt;=0.5,1,IF(BD317&lt;=-0.5,-1,0)))))))</f>
        <v>A3</v>
      </c>
      <c r="BF317" s="43" t="n"/>
      <c r="BG317" s="41" t="str">
        <f>IF(BF317&lt;&gt;"",BF317,BE317)</f>
        <v>A3</v>
      </c>
      <c r="BH317" s="40" t="str">
        <f>IFERROR(CHOOSE(INDEX(B_RANK,MATCH(BG317,B_LVL,0)),"Band A","Band B","B+ · Player-Coach","Band C","C+ · Player-Coach","Band D","Band E"),"Band X · Consultant")</f>
        <v>Band A</v>
      </c>
      <c r="BI317" s="40" t="str">
        <f>IF(BG317=AY317,"• Same",IF(INDEX(B_VAL,MATCH(BG317,B_LVL,0))&gt;INDEX(B_VAL,MATCH(AY317,B_LVL,0)),"▲ Up","▼ Down"))</f>
        <v>• Same</v>
      </c>
      <c r="BJ317" s="40" t="str">
        <f>IF(OR($M317="",$M317="—",$M317="Not in this file"),"",IFERROR(INDEX($BG$7:$BG$592,MATCH($M317,$D$7:$D$592,0)),""))</f>
        <v>B1</v>
      </c>
      <c r="BK317" s="40" t="str">
        <f>IFERROR(IF(BJ317="","—",IF(OR(LEFT(BG317,1)="X",LEFT(BJ317,1)="X"),"—",IF(AND(LEFT(BG317,1)="E",LEFT(BJ317,1)="E"),"Exception · Band E",IF(AND(INDEX(B_VAL,MATCH(BJ317,B_LVL,0))&gt;=7,INDEX(B_RANK,MATCH(BG317,B_LVL,0))&gt;=INDEX(B_RANK,MATCH(BJ317,B_LVL,0))),"⚠ Same band as a head manager",IF(INDEX(B_VAL,MATCH(BG317,B_LVL,0))&gt;=INDEX(B_VAL,MATCH(BJ317,B_LVL,0)),"⚠ At or above the manager's level","OK"))))),"—")</f>
        <v>OK</v>
      </c>
      <c r="BL317" s="43" t="n"/>
      <c r="BM317" s="44">
        <f>IFERROR(INDEX(LMH_PTS,MATCH(Y317,LMH_KEY,0)),0)</f>
        <v>9</v>
      </c>
      <c r="BN317" s="38">
        <f>IFERROR(INDEX(LMH_PTS,MATCH(Z317,LMH_KEY,0)),0)</f>
        <v>3</v>
      </c>
      <c r="BO317" s="38">
        <f>IFERROR(INDEX(LMH_PTS,MATCH(AA317,LMH_KEY,0)),0)</f>
        <v>1</v>
      </c>
      <c r="BP317" s="38">
        <f>IFERROR(INDEX(LMH_PTS,MATCH(AB317,LMH_KEY,0)),0)</f>
        <v>1</v>
      </c>
      <c r="BQ317" s="38">
        <f>IFERROR(INDEX(LMH_PTS,MATCH(AC317,LMH_KEY,0)),0)</f>
        <v>1</v>
      </c>
      <c r="BR317" s="38">
        <f>IFERROR(INDEX(LMH_PTS,MATCH(AD317,LMH_KEY,0)),0)</f>
        <v>1</v>
      </c>
      <c r="BS317" s="38">
        <f>IFERROR(INDEX(LMH_PTS,MATCH(AE317,LMH_KEY,0)),0)</f>
        <v>1</v>
      </c>
      <c r="BT317" s="38">
        <f>IFERROR(INDEX(LMH_STEP,MATCH(AF317,LMH_KEY,0)),0)</f>
        <v>0</v>
      </c>
      <c r="BU317" s="38">
        <f>IFERROR(INDEX(LMH_STEP,MATCH(AG317,LMH_KEY,0)),0)</f>
        <v>0</v>
      </c>
      <c r="BV317" s="38">
        <f>IFERROR(INDEX(LMH_STEP,MATCH(AH317,LMH_KEY,0)),0)</f>
        <v>0</v>
      </c>
      <c r="BW317" s="38">
        <f>IFERROR(INDEX(LMH_STEP,MATCH(AI317,LMH_KEY,0)),0)</f>
        <v>0</v>
      </c>
      <c r="BX317" s="38">
        <f>IFERROR(INDEX(LMH_STEP,MATCH(AJ317,LMH_KEY,0)),0)</f>
        <v>0</v>
      </c>
      <c r="BY317" s="38">
        <f>IFERROR(INDEX(LMH_STEP,MATCH(AK317,LMH_KEY,0)),0)</f>
        <v>0</v>
      </c>
      <c r="BZ317" s="38">
        <f>IFERROR(INDEX(LMH_STEP,MATCH(AL317,LMH_KEY,0)),0)</f>
        <v>0</v>
      </c>
      <c r="CA317" s="38" t="inlineStr">
        <is>
          <t>iFile|Technology|Senior Software Engineer|A3|A</t>
        </is>
      </c>
    </row>
    <row r="318" ht="110" customHeight="1">
      <c r="A318" s="28" t="inlineStr">
        <is>
          <t>iFile</t>
        </is>
      </c>
      <c r="B318" s="29" t="inlineStr">
        <is>
          <t>Technology</t>
        </is>
      </c>
      <c r="C318" s="29" t="n">
        <v>5</v>
      </c>
      <c r="D318" s="29" t="inlineStr">
        <is>
          <t>IRIS2017</t>
        </is>
      </c>
      <c r="E318" s="29" t="inlineStr">
        <is>
          <t>Jerigan Gracias</t>
        </is>
      </c>
      <c r="F318" s="29" t="inlineStr">
        <is>
          <t>Project Lead</t>
        </is>
      </c>
      <c r="G318" s="29" t="inlineStr">
        <is>
          <t>Associate Project Manager – POD Lead</t>
        </is>
      </c>
      <c r="H318" s="29" t="inlineStr">
        <is>
          <t>Project &amp; Program Management</t>
        </is>
      </c>
      <c r="I318" s="29" t="inlineStr">
        <is>
          <t>Project &amp; Program Delivery</t>
        </is>
      </c>
      <c r="J318" s="29" t="inlineStr">
        <is>
          <t>POD Lead</t>
        </is>
      </c>
      <c r="K318" s="29" t="inlineStr">
        <is>
          <t>RC-134</t>
        </is>
      </c>
      <c r="L318" s="29" t="inlineStr">
        <is>
          <t>Yunus Patel</t>
        </is>
      </c>
      <c r="M318" s="29" t="inlineStr">
        <is>
          <t>IRIS2127</t>
        </is>
      </c>
      <c r="N318" s="29" t="n">
        <v>4.4</v>
      </c>
      <c r="O318" s="29" t="n">
        <v>4.4</v>
      </c>
      <c r="P318" s="29" t="inlineStr">
        <is>
          <t>B.SC</t>
        </is>
      </c>
      <c r="Q318" s="29" t="inlineStr">
        <is>
          <t>L5 – Lead · IC</t>
        </is>
      </c>
      <c r="R318" s="29" t="inlineStr">
        <is>
          <t>B1</t>
        </is>
      </c>
      <c r="S318" s="30" t="inlineStr">
        <is>
          <t>20 of 20</t>
        </is>
      </c>
      <c r="T31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18"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18" s="31" t="inlineStr">
        <is>
          <t>Latest rating: 4 · Potential: Medium · 9-box: Trusted Professional · Readiness: Ready in 6–12 months</t>
        </is>
      </c>
      <c r="W318" s="31" t="inlineStr">
        <is>
          <t>C M · Au M · Ac M · L M · BI M · Exp M · 4.4 yrs vs 4–7 yrs · Edu M · B.SC</t>
        </is>
      </c>
      <c r="X318" s="33" t="inlineStr">
        <is>
          <t>Open ▸</t>
        </is>
      </c>
      <c r="Y318" s="34" t="str">
        <f>IFERROR(INDEX(DL_C,MATCH($CA318,DL_KEY,0)),"M")</f>
        <v>H</v>
      </c>
      <c r="Z318" s="35" t="str">
        <f>IFERROR(INDEX(DL_Au,MATCH($CA318,DL_KEY,0)),"M")</f>
        <v>M</v>
      </c>
      <c r="AA318" s="35" t="str">
        <f>IFERROR(INDEX(DL_Ac,MATCH($CA318,DL_KEY,0)),"M")</f>
        <v>L</v>
      </c>
      <c r="AB318" s="35" t="str">
        <f>IFERROR(INDEX(DL_L,MATCH($CA318,DL_KEY,0)),"M")</f>
        <v>L</v>
      </c>
      <c r="AC318" s="35" t="str">
        <f>IFERROR(INDEX(DL_BI,MATCH($CA318,DL_KEY,0)),"M")</f>
        <v>L</v>
      </c>
      <c r="AD318" s="35" t="str">
        <f>IFERROR(INDEX(DL_Exp,MATCH($CA318,DL_KEY,0)),"M")</f>
        <v>L</v>
      </c>
      <c r="AE318" s="35" t="str">
        <f>IFERROR(INDEX(DL_Edu,MATCH($CA318,DL_KEY,0)),"M")</f>
        <v>L</v>
      </c>
      <c r="AF318" s="34" t="inlineStr">
        <is>
          <t>M</t>
        </is>
      </c>
      <c r="AG318" s="35" t="inlineStr">
        <is>
          <t>M</t>
        </is>
      </c>
      <c r="AH318" s="35" t="inlineStr">
        <is>
          <t>M</t>
        </is>
      </c>
      <c r="AI318" s="35" t="inlineStr">
        <is>
          <t>M</t>
        </is>
      </c>
      <c r="AJ318" s="35" t="inlineStr">
        <is>
          <t>M</t>
        </is>
      </c>
      <c r="AK318" s="35" t="inlineStr">
        <is>
          <t>M</t>
        </is>
      </c>
      <c r="AL318" s="35" t="inlineStr">
        <is>
          <t>M</t>
        </is>
      </c>
      <c r="AM318" s="36" t="n">
        <v>0.513</v>
      </c>
      <c r="AN318" s="37" t="n">
        <v>0.173</v>
      </c>
      <c r="AO318" s="37" t="n">
        <v>0.09699999999999999</v>
      </c>
      <c r="AP318" s="37" t="n">
        <v>0.05</v>
      </c>
      <c r="AQ318" s="37" t="n">
        <v>0.07000000000000001</v>
      </c>
      <c r="AR318" s="37" t="n">
        <v>0.06</v>
      </c>
      <c r="AS318" s="37" t="n">
        <v>0.04</v>
      </c>
      <c r="AT318" s="38" t="inlineStr">
        <is>
          <t>4–8</t>
        </is>
      </c>
      <c r="AU318" s="38" t="inlineStr">
        <is>
          <t>Graduate + relevant qualification or certification preferred</t>
        </is>
      </c>
      <c r="AV318" s="38" t="inlineStr">
        <is>
          <t>IC: none · Team Lead: 3–5</t>
        </is>
      </c>
      <c r="AW318" s="38" t="inlineStr">
        <is>
          <t>P3 / M2 · SFIA 4 Enable</t>
        </is>
      </c>
      <c r="AX3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8" s="39" t="inlineStr">
        <is>
          <t>B1</t>
        </is>
      </c>
      <c r="AZ318" s="40" t="inlineStr">
        <is>
          <t>Band B · Specialist / Manager · Team Lead / Asst Manager</t>
        </is>
      </c>
      <c r="BA318" s="40" t="inlineStr">
        <is>
          <t>Model B1 from the six ratings, the market-derived weights and rules R1–R13 · then No change · already below the manager</t>
        </is>
      </c>
      <c r="BB318" s="41" t="inlineStr">
        <is>
          <t>B1</t>
        </is>
      </c>
      <c r="BC318" s="40" t="inlineStr">
        <is>
          <t>The six ratings on the market-average weights of Band B · Specialist / POD Lead score 3.93 → B1 · Hay, Mercer IPE and public plans · experience 4.4 yrs vs the B1 market range 4–8</t>
        </is>
      </c>
      <c r="BD318" s="42">
        <f>IF(SUM(BM318,BN318,BO318,BP318,BQ318,BR318,BS318)=0,0,(BM318*BT318+BN318*BU318+BO318*BV318+BP318*BW318+BQ318*BX318+BR318*BY318+BS318*BZ318)/SUM(BM318,BN318,BO318,BP318,BQ318,BR318,BS318))</f>
        <v>0</v>
      </c>
      <c r="BE318" s="41" t="str">
        <f>IF(LEFT(AY318,1)="X",AY318,IF(OR(AY318="B+",AY318="C+"),INDEX(LAD_PC,MAX(1,MIN(14,MATCH(AY318,LAD_PC,0)+IF(BD318&gt;=0.5,1,IF(BD318&lt;=-0.5,-1,0))))),INDEX(LAD_STD,MAX(1,MIN(12,MATCH(AY318,LAD_STD,0)+IF(BD318&gt;=0.5,1,IF(BD318&lt;=-0.5,-1,0)))))))</f>
        <v>B1</v>
      </c>
      <c r="BF318" s="43" t="n"/>
      <c r="BG318" s="41" t="str">
        <f>IF(BF318&lt;&gt;"",BF318,BE318)</f>
        <v>B1</v>
      </c>
      <c r="BH318" s="40" t="str">
        <f>IFERROR(CHOOSE(INDEX(B_RANK,MATCH(BG318,B_LVL,0)),"Band A","Band B","B+ · Player-Coach","Band C","C+ · Player-Coach","Band D","Band E"),"Band X · Consultant")</f>
        <v>Band B</v>
      </c>
      <c r="BI318" s="40" t="str">
        <f>IF(BG318=AY318,"• Same",IF(INDEX(B_VAL,MATCH(BG318,B_LVL,0))&gt;INDEX(B_VAL,MATCH(AY318,B_LVL,0)),"▲ Up","▼ Down"))</f>
        <v>• Same</v>
      </c>
      <c r="BJ318" s="40" t="str">
        <f>IF(OR($M318="",$M318="—",$M318="Not in this file"),"",IFERROR(INDEX($BG$7:$BG$592,MATCH($M318,$D$7:$D$592,0)),""))</f>
        <v>B2</v>
      </c>
      <c r="BK318" s="40" t="str">
        <f>IFERROR(IF(BJ318="","—",IF(OR(LEFT(BG318,1)="X",LEFT(BJ318,1)="X"),"—",IF(AND(LEFT(BG318,1)="E",LEFT(BJ318,1)="E"),"Exception · Band E",IF(AND(INDEX(B_VAL,MATCH(BJ318,B_LVL,0))&gt;=7,INDEX(B_RANK,MATCH(BG318,B_LVL,0))&gt;=INDEX(B_RANK,MATCH(BJ318,B_LVL,0))),"⚠ Same band as a head manager",IF(INDEX(B_VAL,MATCH(BG318,B_LVL,0))&gt;=INDEX(B_VAL,MATCH(BJ318,B_LVL,0)),"⚠ At or above the manager's level","OK"))))),"—")</f>
        <v>OK</v>
      </c>
      <c r="BL318" s="43" t="n"/>
      <c r="BM318" s="44">
        <f>IFERROR(INDEX(LMH_PTS,MATCH(Y318,LMH_KEY,0)),0)</f>
        <v>9</v>
      </c>
      <c r="BN318" s="38">
        <f>IFERROR(INDEX(LMH_PTS,MATCH(Z318,LMH_KEY,0)),0)</f>
        <v>3</v>
      </c>
      <c r="BO318" s="38">
        <f>IFERROR(INDEX(LMH_PTS,MATCH(AA318,LMH_KEY,0)),0)</f>
        <v>1</v>
      </c>
      <c r="BP318" s="38">
        <f>IFERROR(INDEX(LMH_PTS,MATCH(AB318,LMH_KEY,0)),0)</f>
        <v>1</v>
      </c>
      <c r="BQ318" s="38">
        <f>IFERROR(INDEX(LMH_PTS,MATCH(AC318,LMH_KEY,0)),0)</f>
        <v>1</v>
      </c>
      <c r="BR318" s="38">
        <f>IFERROR(INDEX(LMH_PTS,MATCH(AD318,LMH_KEY,0)),0)</f>
        <v>1</v>
      </c>
      <c r="BS318" s="38">
        <f>IFERROR(INDEX(LMH_PTS,MATCH(AE318,LMH_KEY,0)),0)</f>
        <v>1</v>
      </c>
      <c r="BT318" s="38">
        <f>IFERROR(INDEX(LMH_STEP,MATCH(AF318,LMH_KEY,0)),0)</f>
        <v>0</v>
      </c>
      <c r="BU318" s="38">
        <f>IFERROR(INDEX(LMH_STEP,MATCH(AG318,LMH_KEY,0)),0)</f>
        <v>0</v>
      </c>
      <c r="BV318" s="38">
        <f>IFERROR(INDEX(LMH_STEP,MATCH(AH318,LMH_KEY,0)),0)</f>
        <v>0</v>
      </c>
      <c r="BW318" s="38">
        <f>IFERROR(INDEX(LMH_STEP,MATCH(AI318,LMH_KEY,0)),0)</f>
        <v>0</v>
      </c>
      <c r="BX318" s="38">
        <f>IFERROR(INDEX(LMH_STEP,MATCH(AJ318,LMH_KEY,0)),0)</f>
        <v>0</v>
      </c>
      <c r="BY318" s="38">
        <f>IFERROR(INDEX(LMH_STEP,MATCH(AK318,LMH_KEY,0)),0)</f>
        <v>0</v>
      </c>
      <c r="BZ318" s="38">
        <f>IFERROR(INDEX(LMH_STEP,MATCH(AL318,LMH_KEY,0)),0)</f>
        <v>0</v>
      </c>
      <c r="CA318" s="38" t="inlineStr">
        <is>
          <t>iFile|Technology|Associate Project Manager – POD Lead|B1|B-IC</t>
        </is>
      </c>
    </row>
    <row r="319" ht="110" customHeight="1">
      <c r="A319" s="28" t="inlineStr">
        <is>
          <t>iFile</t>
        </is>
      </c>
      <c r="B319" s="29" t="inlineStr">
        <is>
          <t>Quality Assurance</t>
        </is>
      </c>
      <c r="C319" s="29" t="n">
        <v>6</v>
      </c>
      <c r="D319" s="29" t="inlineStr">
        <is>
          <t>IRIS2453</t>
        </is>
      </c>
      <c r="E319" s="29" t="inlineStr">
        <is>
          <t>Mahesh Dhokale</t>
        </is>
      </c>
      <c r="F319" s="29" t="inlineStr">
        <is>
          <t>Trainee QA Engineer</t>
        </is>
      </c>
      <c r="G319" s="29" t="inlineStr">
        <is>
          <t>Trainee QA Automation Engineer</t>
        </is>
      </c>
      <c r="H319" s="29" t="inlineStr">
        <is>
          <t>Quality Assurance</t>
        </is>
      </c>
      <c r="I319" s="29" t="inlineStr">
        <is>
          <t>Test Automation</t>
        </is>
      </c>
      <c r="J319" s="29" t="inlineStr">
        <is>
          <t>IC</t>
        </is>
      </c>
      <c r="K319" s="29" t="inlineStr">
        <is>
          <t>RC-145</t>
        </is>
      </c>
      <c r="L319" s="29" t="inlineStr">
        <is>
          <t>Jerigan Gracias</t>
        </is>
      </c>
      <c r="M319" s="29" t="inlineStr">
        <is>
          <t>IRIS2017</t>
        </is>
      </c>
      <c r="N319" s="29" t="n">
        <v>0.8</v>
      </c>
      <c r="O319" s="29" t="n">
        <v>0.8</v>
      </c>
      <c r="P319" s="29" t="inlineStr">
        <is>
          <t>MCA</t>
        </is>
      </c>
      <c r="Q319" s="29" t="inlineStr">
        <is>
          <t>L2 – Trainee</t>
        </is>
      </c>
      <c r="R319" s="29" t="inlineStr">
        <is>
          <t>A1</t>
        </is>
      </c>
      <c r="S319" s="30" t="inlineStr">
        <is>
          <t>20 of 20</t>
        </is>
      </c>
      <c r="T319" s="32" t="inlineStr">
        <is>
          <t>Full survey answers not in the files received · How We Grow export needed · HR</t>
        </is>
      </c>
      <c r="U319" s="31" t="inlineStr">
        <is>
          <t>Received · manager annual, quarterly ·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t>
        </is>
      </c>
      <c r="V319" s="31" t="inlineStr">
        <is>
          <t>Latest rating: 3 · Potential: Medium · 9-box: Core Contributor · Readiness: Develop in role</t>
        </is>
      </c>
      <c r="W319" s="31" t="inlineStr">
        <is>
          <t>C — · Au — · Ac — · L — · BI — · Exp H · 0.8 yrs vs 0 yrs · fresher / intern · Edu H · MCA</t>
        </is>
      </c>
      <c r="X319" s="33" t="inlineStr">
        <is>
          <t>Open ▸</t>
        </is>
      </c>
      <c r="Y319" s="34" t="str">
        <f>IFERROR(INDEX(DL_C,MATCH($CA319,DL_KEY,0)),"M")</f>
        <v>H</v>
      </c>
      <c r="Z319" s="35" t="str">
        <f>IFERROR(INDEX(DL_Au,MATCH($CA319,DL_KEY,0)),"M")</f>
        <v>M</v>
      </c>
      <c r="AA319" s="35" t="str">
        <f>IFERROR(INDEX(DL_Ac,MATCH($CA319,DL_KEY,0)),"M")</f>
        <v>L</v>
      </c>
      <c r="AB319" s="35" t="str">
        <f>IFERROR(INDEX(DL_L,MATCH($CA319,DL_KEY,0)),"M")</f>
        <v>L</v>
      </c>
      <c r="AC319" s="35" t="str">
        <f>IFERROR(INDEX(DL_BI,MATCH($CA319,DL_KEY,0)),"M")</f>
        <v>L</v>
      </c>
      <c r="AD319" s="35" t="str">
        <f>IFERROR(INDEX(DL_Exp,MATCH($CA319,DL_KEY,0)),"M")</f>
        <v>L</v>
      </c>
      <c r="AE319" s="35" t="str">
        <f>IFERROR(INDEX(DL_Edu,MATCH($CA319,DL_KEY,0)),"M")</f>
        <v>L</v>
      </c>
      <c r="AF319" s="34" t="inlineStr">
        <is>
          <t>M</t>
        </is>
      </c>
      <c r="AG319" s="35" t="inlineStr">
        <is>
          <t>M</t>
        </is>
      </c>
      <c r="AH319" s="35" t="inlineStr">
        <is>
          <t>M</t>
        </is>
      </c>
      <c r="AI319" s="35" t="inlineStr">
        <is>
          <t>M</t>
        </is>
      </c>
      <c r="AJ319" s="35" t="inlineStr">
        <is>
          <t>M</t>
        </is>
      </c>
      <c r="AK319" s="35" t="inlineStr">
        <is>
          <t>M</t>
        </is>
      </c>
      <c r="AL319" s="35" t="inlineStr">
        <is>
          <t>M</t>
        </is>
      </c>
      <c r="AM319" s="36" t="n">
        <v>0.583</v>
      </c>
      <c r="AN319" s="37" t="n">
        <v>0.16</v>
      </c>
      <c r="AO319" s="37" t="n">
        <v>0.09</v>
      </c>
      <c r="AP319" s="37" t="n">
        <v>0</v>
      </c>
      <c r="AQ319" s="37" t="n">
        <v>0.063</v>
      </c>
      <c r="AR319" s="37" t="n">
        <v>0.06</v>
      </c>
      <c r="AS319" s="37" t="n">
        <v>0.04</v>
      </c>
      <c r="AT319" s="38" t="inlineStr">
        <is>
          <t>0 yrs · fresher / intern</t>
        </is>
      </c>
      <c r="AU319" s="38" t="inlineStr">
        <is>
          <t>Pursuing or completed graduation / diploma</t>
        </is>
      </c>
      <c r="AV319" s="38" t="inlineStr">
        <is>
          <t>No direct reports</t>
        </is>
      </c>
      <c r="AW319" s="38" t="inlineStr">
        <is>
          <t>Entry / P1 · intern · SFIA 1 Follow</t>
        </is>
      </c>
      <c r="AX3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9" s="39" t="inlineStr">
        <is>
          <t>A1</t>
        </is>
      </c>
      <c r="AZ319" s="40" t="inlineStr">
        <is>
          <t>Band A · Practitioner · Intern / Trainee</t>
        </is>
      </c>
      <c r="BA319" s="40" t="inlineStr">
        <is>
          <t>Model A1 from the six ratings, the market-derived weights and rules R1–R13 · then No change · already below the manager</t>
        </is>
      </c>
      <c r="BB319" s="41" t="inlineStr">
        <is>
          <t>A1</t>
        </is>
      </c>
      <c r="BC319" s="40" t="inlineStr">
        <is>
          <t>Placed by a category rule — no full set of ratings · benchmark follows the HR proposed level</t>
        </is>
      </c>
      <c r="BD319" s="42">
        <f>IF(SUM(BM319,BN319,BO319,BP319,BQ319,BR319,BS319)=0,0,(BM319*BT319+BN319*BU319+BO319*BV319+BP319*BW319+BQ319*BX319+BR319*BY319+BS319*BZ319)/SUM(BM319,BN319,BO319,BP319,BQ319,BR319,BS319))</f>
        <v>0</v>
      </c>
      <c r="BE319" s="41" t="str">
        <f>IF(LEFT(AY319,1)="X",AY319,IF(OR(AY319="B+",AY319="C+"),INDEX(LAD_PC,MAX(1,MIN(14,MATCH(AY319,LAD_PC,0)+IF(BD319&gt;=0.5,1,IF(BD319&lt;=-0.5,-1,0))))),INDEX(LAD_STD,MAX(1,MIN(12,MATCH(AY319,LAD_STD,0)+IF(BD319&gt;=0.5,1,IF(BD319&lt;=-0.5,-1,0)))))))</f>
        <v>A1</v>
      </c>
      <c r="BF319" s="43" t="n"/>
      <c r="BG319" s="41" t="str">
        <f>IF(BF319&lt;&gt;"",BF319,BE319)</f>
        <v>A1</v>
      </c>
      <c r="BH319" s="40" t="str">
        <f>IFERROR(CHOOSE(INDEX(B_RANK,MATCH(BG319,B_LVL,0)),"Band A","Band B","B+ · Player-Coach","Band C","C+ · Player-Coach","Band D","Band E"),"Band X · Consultant")</f>
        <v>Band A</v>
      </c>
      <c r="BI319" s="40" t="str">
        <f>IF(BG319=AY319,"• Same",IF(INDEX(B_VAL,MATCH(BG319,B_LVL,0))&gt;INDEX(B_VAL,MATCH(AY319,B_LVL,0)),"▲ Up","▼ Down"))</f>
        <v>• Same</v>
      </c>
      <c r="BJ319" s="40" t="str">
        <f>IF(OR($M319="",$M319="—",$M319="Not in this file"),"",IFERROR(INDEX($BG$7:$BG$592,MATCH($M319,$D$7:$D$592,0)),""))</f>
        <v>B1</v>
      </c>
      <c r="BK319" s="40" t="str">
        <f>IFERROR(IF(BJ319="","—",IF(OR(LEFT(BG319,1)="X",LEFT(BJ319,1)="X"),"—",IF(AND(LEFT(BG319,1)="E",LEFT(BJ319,1)="E"),"Exception · Band E",IF(AND(INDEX(B_VAL,MATCH(BJ319,B_LVL,0))&gt;=7,INDEX(B_RANK,MATCH(BG319,B_LVL,0))&gt;=INDEX(B_RANK,MATCH(BJ319,B_LVL,0))),"⚠ Same band as a head manager",IF(INDEX(B_VAL,MATCH(BG319,B_LVL,0))&gt;=INDEX(B_VAL,MATCH(BJ319,B_LVL,0)),"⚠ At or above the manager's level","OK"))))),"—")</f>
        <v>OK</v>
      </c>
      <c r="BL319" s="43" t="n"/>
      <c r="BM319" s="44">
        <f>IFERROR(INDEX(LMH_PTS,MATCH(Y319,LMH_KEY,0)),0)</f>
        <v>9</v>
      </c>
      <c r="BN319" s="38">
        <f>IFERROR(INDEX(LMH_PTS,MATCH(Z319,LMH_KEY,0)),0)</f>
        <v>3</v>
      </c>
      <c r="BO319" s="38">
        <f>IFERROR(INDEX(LMH_PTS,MATCH(AA319,LMH_KEY,0)),0)</f>
        <v>1</v>
      </c>
      <c r="BP319" s="38">
        <f>IFERROR(INDEX(LMH_PTS,MATCH(AB319,LMH_KEY,0)),0)</f>
        <v>1</v>
      </c>
      <c r="BQ319" s="38">
        <f>IFERROR(INDEX(LMH_PTS,MATCH(AC319,LMH_KEY,0)),0)</f>
        <v>1</v>
      </c>
      <c r="BR319" s="38">
        <f>IFERROR(INDEX(LMH_PTS,MATCH(AD319,LMH_KEY,0)),0)</f>
        <v>1</v>
      </c>
      <c r="BS319" s="38">
        <f>IFERROR(INDEX(LMH_PTS,MATCH(AE319,LMH_KEY,0)),0)</f>
        <v>1</v>
      </c>
      <c r="BT319" s="38">
        <f>IFERROR(INDEX(LMH_STEP,MATCH(AF319,LMH_KEY,0)),0)</f>
        <v>0</v>
      </c>
      <c r="BU319" s="38">
        <f>IFERROR(INDEX(LMH_STEP,MATCH(AG319,LMH_KEY,0)),0)</f>
        <v>0</v>
      </c>
      <c r="BV319" s="38">
        <f>IFERROR(INDEX(LMH_STEP,MATCH(AH319,LMH_KEY,0)),0)</f>
        <v>0</v>
      </c>
      <c r="BW319" s="38">
        <f>IFERROR(INDEX(LMH_STEP,MATCH(AI319,LMH_KEY,0)),0)</f>
        <v>0</v>
      </c>
      <c r="BX319" s="38">
        <f>IFERROR(INDEX(LMH_STEP,MATCH(AJ319,LMH_KEY,0)),0)</f>
        <v>0</v>
      </c>
      <c r="BY319" s="38">
        <f>IFERROR(INDEX(LMH_STEP,MATCH(AK319,LMH_KEY,0)),0)</f>
        <v>0</v>
      </c>
      <c r="BZ319" s="38">
        <f>IFERROR(INDEX(LMH_STEP,MATCH(AL319,LMH_KEY,0)),0)</f>
        <v>0</v>
      </c>
      <c r="CA319" s="38" t="inlineStr">
        <is>
          <t>iFile|Quality Assurance|Trainee QA Automation Engineer|A1|A</t>
        </is>
      </c>
    </row>
    <row r="320" ht="110" customHeight="1">
      <c r="A320" s="28" t="inlineStr">
        <is>
          <t>iFile</t>
        </is>
      </c>
      <c r="B320" s="29" t="inlineStr">
        <is>
          <t>Support</t>
        </is>
      </c>
      <c r="C320" s="29" t="n">
        <v>5</v>
      </c>
      <c r="D320" s="29" t="inlineStr">
        <is>
          <t>IRIS1728</t>
        </is>
      </c>
      <c r="E320" s="29" t="inlineStr">
        <is>
          <t>Vijay Sakpal</t>
        </is>
      </c>
      <c r="F320" s="29" t="inlineStr">
        <is>
          <t>Team Lead</t>
        </is>
      </c>
      <c r="G320" s="29" t="inlineStr">
        <is>
          <t>Support Specialist</t>
        </is>
      </c>
      <c r="H320" s="29" t="inlineStr">
        <is>
          <t>Customer Success &amp; Support</t>
        </is>
      </c>
      <c r="I320" s="29" t="inlineStr">
        <is>
          <t>Application &amp; Product Support</t>
        </is>
      </c>
      <c r="J320" s="29" t="inlineStr">
        <is>
          <t>IC</t>
        </is>
      </c>
      <c r="K320" s="29" t="inlineStr">
        <is>
          <t>RC-032</t>
        </is>
      </c>
      <c r="L320" s="29" t="inlineStr">
        <is>
          <t>Yunus Patel</t>
        </is>
      </c>
      <c r="M320" s="29" t="inlineStr">
        <is>
          <t>IRIS2127</t>
        </is>
      </c>
      <c r="N320" s="29" t="n">
        <v>14.8</v>
      </c>
      <c r="O320" s="29" t="n">
        <v>8.199999999999999</v>
      </c>
      <c r="P320" s="29" t="inlineStr">
        <is>
          <t>B.SC</t>
        </is>
      </c>
      <c r="Q320" s="29" t="inlineStr">
        <is>
          <t>L5 – Lead · IC</t>
        </is>
      </c>
      <c r="R320" s="29" t="inlineStr">
        <is>
          <t>B1</t>
        </is>
      </c>
      <c r="S320" s="30" t="inlineStr">
        <is>
          <t>20 of 20</t>
        </is>
      </c>
      <c r="T320" s="31"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t>
        </is>
      </c>
      <c r="U320"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20" s="31" t="inlineStr">
        <is>
          <t>Latest rating: 3 · Potential: Low · 9-box: Reliable Specialist · Readiness: Develop in role</t>
        </is>
      </c>
      <c r="W320" s="31" t="inlineStr">
        <is>
          <t>C M · Au L · Ac M · L L · BI M · Exp H · 14.8 yrs vs 4–7 yrs · Edu M · B.SC</t>
        </is>
      </c>
      <c r="X320" s="33" t="inlineStr">
        <is>
          <t>Open ▸</t>
        </is>
      </c>
      <c r="Y320" s="34" t="str">
        <f>IFERROR(INDEX(DL_C,MATCH($CA320,DL_KEY,0)),"M")</f>
        <v>H</v>
      </c>
      <c r="Z320" s="35" t="str">
        <f>IFERROR(INDEX(DL_Au,MATCH($CA320,DL_KEY,0)),"M")</f>
        <v>M</v>
      </c>
      <c r="AA320" s="35" t="str">
        <f>IFERROR(INDEX(DL_Ac,MATCH($CA320,DL_KEY,0)),"M")</f>
        <v>M</v>
      </c>
      <c r="AB320" s="35" t="str">
        <f>IFERROR(INDEX(DL_L,MATCH($CA320,DL_KEY,0)),"M")</f>
        <v>L</v>
      </c>
      <c r="AC320" s="35" t="str">
        <f>IFERROR(INDEX(DL_BI,MATCH($CA320,DL_KEY,0)),"M")</f>
        <v>M</v>
      </c>
      <c r="AD320" s="35" t="str">
        <f>IFERROR(INDEX(DL_Exp,MATCH($CA320,DL_KEY,0)),"M")</f>
        <v>L</v>
      </c>
      <c r="AE320" s="35" t="str">
        <f>IFERROR(INDEX(DL_Edu,MATCH($CA320,DL_KEY,0)),"M")</f>
        <v>L</v>
      </c>
      <c r="AF320" s="34" t="inlineStr">
        <is>
          <t>M</t>
        </is>
      </c>
      <c r="AG320" s="35" t="inlineStr">
        <is>
          <t>M</t>
        </is>
      </c>
      <c r="AH320" s="35" t="inlineStr">
        <is>
          <t>M</t>
        </is>
      </c>
      <c r="AI320" s="35" t="inlineStr">
        <is>
          <t>M</t>
        </is>
      </c>
      <c r="AJ320" s="35" t="inlineStr">
        <is>
          <t>M</t>
        </is>
      </c>
      <c r="AK320" s="35" t="inlineStr">
        <is>
          <t>M</t>
        </is>
      </c>
      <c r="AL320" s="35" t="inlineStr">
        <is>
          <t>M</t>
        </is>
      </c>
      <c r="AM320" s="36" t="n">
        <v>0.513</v>
      </c>
      <c r="AN320" s="37" t="n">
        <v>0.173</v>
      </c>
      <c r="AO320" s="37" t="n">
        <v>0.09699999999999999</v>
      </c>
      <c r="AP320" s="37" t="n">
        <v>0.05</v>
      </c>
      <c r="AQ320" s="37" t="n">
        <v>0.07000000000000001</v>
      </c>
      <c r="AR320" s="37" t="n">
        <v>0.06</v>
      </c>
      <c r="AS320" s="37" t="n">
        <v>0.04</v>
      </c>
      <c r="AT320" s="38" t="inlineStr">
        <is>
          <t>4–8</t>
        </is>
      </c>
      <c r="AU320" s="38" t="inlineStr">
        <is>
          <t>Graduate + relevant qualification or certification preferred</t>
        </is>
      </c>
      <c r="AV320" s="38" t="inlineStr">
        <is>
          <t>IC: none · Team Lead: 3–5</t>
        </is>
      </c>
      <c r="AW320" s="38" t="inlineStr">
        <is>
          <t>P3 / M2 · SFIA 4 Enable</t>
        </is>
      </c>
      <c r="AX3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0" s="39" t="inlineStr">
        <is>
          <t>B1</t>
        </is>
      </c>
      <c r="AZ320" s="40" t="inlineStr">
        <is>
          <t>Band B · Specialist / Manager · Specialist</t>
        </is>
      </c>
      <c r="BA320" s="40" t="inlineStr">
        <is>
          <t>Model B1 from the six ratings, the market-derived weights and rules R1–R13 · then No change · already below the manager</t>
        </is>
      </c>
      <c r="BB320" s="41" t="inlineStr">
        <is>
          <t>B1</t>
        </is>
      </c>
      <c r="BC320" s="40" t="inlineStr">
        <is>
          <t>The six ratings on the market-average weights of Band B · Specialist / POD Lead score 3.79 → B1 · Hay, Mercer IPE and public plans · experience 14.8 yrs vs the B1 market range 4–8</t>
        </is>
      </c>
      <c r="BD320" s="42">
        <f>IF(SUM(BM320,BN320,BO320,BP320,BQ320,BR320,BS320)=0,0,(BM320*BT320+BN320*BU320+BO320*BV320+BP320*BW320+BQ320*BX320+BR320*BY320+BS320*BZ320)/SUM(BM320,BN320,BO320,BP320,BQ320,BR320,BS320))</f>
        <v>0</v>
      </c>
      <c r="BE320" s="41" t="str">
        <f>IF(LEFT(AY320,1)="X",AY320,IF(OR(AY320="B+",AY320="C+"),INDEX(LAD_PC,MAX(1,MIN(14,MATCH(AY320,LAD_PC,0)+IF(BD320&gt;=0.5,1,IF(BD320&lt;=-0.5,-1,0))))),INDEX(LAD_STD,MAX(1,MIN(12,MATCH(AY320,LAD_STD,0)+IF(BD320&gt;=0.5,1,IF(BD320&lt;=-0.5,-1,0)))))))</f>
        <v>B1</v>
      </c>
      <c r="BF320" s="43" t="n"/>
      <c r="BG320" s="41" t="str">
        <f>IF(BF320&lt;&gt;"",BF320,BE320)</f>
        <v>B1</v>
      </c>
      <c r="BH320" s="40" t="str">
        <f>IFERROR(CHOOSE(INDEX(B_RANK,MATCH(BG320,B_LVL,0)),"Band A","Band B","B+ · Player-Coach","Band C","C+ · Player-Coach","Band D","Band E"),"Band X · Consultant")</f>
        <v>Band B</v>
      </c>
      <c r="BI320" s="40" t="str">
        <f>IF(BG320=AY320,"• Same",IF(INDEX(B_VAL,MATCH(BG320,B_LVL,0))&gt;INDEX(B_VAL,MATCH(AY320,B_LVL,0)),"▲ Up","▼ Down"))</f>
        <v>• Same</v>
      </c>
      <c r="BJ320" s="40" t="str">
        <f>IF(OR($M320="",$M320="—",$M320="Not in this file"),"",IFERROR(INDEX($BG$7:$BG$592,MATCH($M320,$D$7:$D$592,0)),""))</f>
        <v>B2</v>
      </c>
      <c r="BK320" s="40" t="str">
        <f>IFERROR(IF(BJ320="","—",IF(OR(LEFT(BG320,1)="X",LEFT(BJ320,1)="X"),"—",IF(AND(LEFT(BG320,1)="E",LEFT(BJ320,1)="E"),"Exception · Band E",IF(AND(INDEX(B_VAL,MATCH(BJ320,B_LVL,0))&gt;=7,INDEX(B_RANK,MATCH(BG320,B_LVL,0))&gt;=INDEX(B_RANK,MATCH(BJ320,B_LVL,0))),"⚠ Same band as a head manager",IF(INDEX(B_VAL,MATCH(BG320,B_LVL,0))&gt;=INDEX(B_VAL,MATCH(BJ320,B_LVL,0)),"⚠ At or above the manager's level","OK"))))),"—")</f>
        <v>OK</v>
      </c>
      <c r="BL320" s="43" t="n"/>
      <c r="BM320" s="44">
        <f>IFERROR(INDEX(LMH_PTS,MATCH(Y320,LMH_KEY,0)),0)</f>
        <v>9</v>
      </c>
      <c r="BN320" s="38">
        <f>IFERROR(INDEX(LMH_PTS,MATCH(Z320,LMH_KEY,0)),0)</f>
        <v>3</v>
      </c>
      <c r="BO320" s="38">
        <f>IFERROR(INDEX(LMH_PTS,MATCH(AA320,LMH_KEY,0)),0)</f>
        <v>3</v>
      </c>
      <c r="BP320" s="38">
        <f>IFERROR(INDEX(LMH_PTS,MATCH(AB320,LMH_KEY,0)),0)</f>
        <v>1</v>
      </c>
      <c r="BQ320" s="38">
        <f>IFERROR(INDEX(LMH_PTS,MATCH(AC320,LMH_KEY,0)),0)</f>
        <v>3</v>
      </c>
      <c r="BR320" s="38">
        <f>IFERROR(INDEX(LMH_PTS,MATCH(AD320,LMH_KEY,0)),0)</f>
        <v>1</v>
      </c>
      <c r="BS320" s="38">
        <f>IFERROR(INDEX(LMH_PTS,MATCH(AE320,LMH_KEY,0)),0)</f>
        <v>1</v>
      </c>
      <c r="BT320" s="38">
        <f>IFERROR(INDEX(LMH_STEP,MATCH(AF320,LMH_KEY,0)),0)</f>
        <v>0</v>
      </c>
      <c r="BU320" s="38">
        <f>IFERROR(INDEX(LMH_STEP,MATCH(AG320,LMH_KEY,0)),0)</f>
        <v>0</v>
      </c>
      <c r="BV320" s="38">
        <f>IFERROR(INDEX(LMH_STEP,MATCH(AH320,LMH_KEY,0)),0)</f>
        <v>0</v>
      </c>
      <c r="BW320" s="38">
        <f>IFERROR(INDEX(LMH_STEP,MATCH(AI320,LMH_KEY,0)),0)</f>
        <v>0</v>
      </c>
      <c r="BX320" s="38">
        <f>IFERROR(INDEX(LMH_STEP,MATCH(AJ320,LMH_KEY,0)),0)</f>
        <v>0</v>
      </c>
      <c r="BY320" s="38">
        <f>IFERROR(INDEX(LMH_STEP,MATCH(AK320,LMH_KEY,0)),0)</f>
        <v>0</v>
      </c>
      <c r="BZ320" s="38">
        <f>IFERROR(INDEX(LMH_STEP,MATCH(AL320,LMH_KEY,0)),0)</f>
        <v>0</v>
      </c>
      <c r="CA320" s="38" t="inlineStr">
        <is>
          <t>iFile|Support|Support Specialist|B1|B-IC</t>
        </is>
      </c>
    </row>
    <row r="321" ht="110" customHeight="1">
      <c r="A321" s="28" t="inlineStr">
        <is>
          <t>iFile</t>
        </is>
      </c>
      <c r="B321" s="29" t="inlineStr">
        <is>
          <t>Support</t>
        </is>
      </c>
      <c r="C321" s="29" t="n">
        <v>5</v>
      </c>
      <c r="D321" s="29" t="inlineStr">
        <is>
          <t>IRIS1919</t>
        </is>
      </c>
      <c r="E321" s="29" t="inlineStr">
        <is>
          <t>Jyoti Patil</t>
        </is>
      </c>
      <c r="F321" s="29" t="inlineStr">
        <is>
          <t>Tech Support Executive</t>
        </is>
      </c>
      <c r="G321" s="29" t="inlineStr">
        <is>
          <t>Senior Support Executive</t>
        </is>
      </c>
      <c r="H321" s="29" t="inlineStr">
        <is>
          <t>Customer Success &amp; Support</t>
        </is>
      </c>
      <c r="I321" s="29" t="inlineStr">
        <is>
          <t>Application &amp; Product Support</t>
        </is>
      </c>
      <c r="J321" s="29" t="inlineStr">
        <is>
          <t>IC</t>
        </is>
      </c>
      <c r="K321" s="29" t="inlineStr">
        <is>
          <t>RC-031</t>
        </is>
      </c>
      <c r="L321" s="29" t="inlineStr">
        <is>
          <t>Yunus Patel</t>
        </is>
      </c>
      <c r="M321" s="29" t="inlineStr">
        <is>
          <t>IRIS2127</t>
        </is>
      </c>
      <c r="N321" s="29" t="n">
        <v>8.300000000000001</v>
      </c>
      <c r="O321" s="29" t="n">
        <v>5.3</v>
      </c>
      <c r="P321" s="29" t="inlineStr">
        <is>
          <t>B.E</t>
        </is>
      </c>
      <c r="Q321" s="29" t="inlineStr">
        <is>
          <t>L3 – Professional / Associate</t>
        </is>
      </c>
      <c r="R321" s="29" t="inlineStr">
        <is>
          <t>A3</t>
        </is>
      </c>
      <c r="S321" s="30" t="inlineStr">
        <is>
          <t>20 of 20</t>
        </is>
      </c>
      <c r="T321" s="31"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t>
        </is>
      </c>
      <c r="U321"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21" s="31" t="inlineStr">
        <is>
          <t>Latest rating: 3 · Potential: Medium · 9-box: Core Contributor · Readiness: Develop in role</t>
        </is>
      </c>
      <c r="W321" s="31" t="inlineStr">
        <is>
          <t>C M · Au L · Ac L · L L · BI L · Exp H · 8.3 yrs vs 2–4 yrs · Edu M · B.E</t>
        </is>
      </c>
      <c r="X321" s="33" t="inlineStr">
        <is>
          <t>Open ▸</t>
        </is>
      </c>
      <c r="Y321" s="34" t="str">
        <f>IFERROR(INDEX(DL_C,MATCH($CA321,DL_KEY,0)),"M")</f>
        <v>H</v>
      </c>
      <c r="Z321" s="35" t="str">
        <f>IFERROR(INDEX(DL_Au,MATCH($CA321,DL_KEY,0)),"M")</f>
        <v>M</v>
      </c>
      <c r="AA321" s="35" t="str">
        <f>IFERROR(INDEX(DL_Ac,MATCH($CA321,DL_KEY,0)),"M")</f>
        <v>M</v>
      </c>
      <c r="AB321" s="35" t="str">
        <f>IFERROR(INDEX(DL_L,MATCH($CA321,DL_KEY,0)),"M")</f>
        <v>L</v>
      </c>
      <c r="AC321" s="35" t="str">
        <f>IFERROR(INDEX(DL_BI,MATCH($CA321,DL_KEY,0)),"M")</f>
        <v>M</v>
      </c>
      <c r="AD321" s="35" t="str">
        <f>IFERROR(INDEX(DL_Exp,MATCH($CA321,DL_KEY,0)),"M")</f>
        <v>L</v>
      </c>
      <c r="AE321" s="35" t="str">
        <f>IFERROR(INDEX(DL_Edu,MATCH($CA321,DL_KEY,0)),"M")</f>
        <v>L</v>
      </c>
      <c r="AF321" s="34" t="inlineStr">
        <is>
          <t>M</t>
        </is>
      </c>
      <c r="AG321" s="35" t="inlineStr">
        <is>
          <t>M</t>
        </is>
      </c>
      <c r="AH321" s="35" t="inlineStr">
        <is>
          <t>M</t>
        </is>
      </c>
      <c r="AI321" s="35" t="inlineStr">
        <is>
          <t>M</t>
        </is>
      </c>
      <c r="AJ321" s="35" t="inlineStr">
        <is>
          <t>M</t>
        </is>
      </c>
      <c r="AK321" s="35" t="inlineStr">
        <is>
          <t>M</t>
        </is>
      </c>
      <c r="AL321" s="35" t="inlineStr">
        <is>
          <t>M</t>
        </is>
      </c>
      <c r="AM321" s="36" t="n">
        <v>0.583</v>
      </c>
      <c r="AN321" s="37" t="n">
        <v>0.16</v>
      </c>
      <c r="AO321" s="37" t="n">
        <v>0.09</v>
      </c>
      <c r="AP321" s="37" t="n">
        <v>0</v>
      </c>
      <c r="AQ321" s="37" t="n">
        <v>0.063</v>
      </c>
      <c r="AR321" s="37" t="n">
        <v>0.06</v>
      </c>
      <c r="AS321" s="37" t="n">
        <v>0.04</v>
      </c>
      <c r="AT321" s="38" t="inlineStr">
        <is>
          <t>2–5</t>
        </is>
      </c>
      <c r="AU321" s="38" t="inlineStr">
        <is>
          <t>Graduate; relevant certification preferred</t>
        </is>
      </c>
      <c r="AV321" s="38" t="inlineStr">
        <is>
          <t>None · guides 1–3 juniors informally</t>
        </is>
      </c>
      <c r="AW321" s="38" t="inlineStr">
        <is>
          <t>P2 · SFIA 3 Apply</t>
        </is>
      </c>
      <c r="AX3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1" s="39" t="inlineStr">
        <is>
          <t>A3</t>
        </is>
      </c>
      <c r="AZ321" s="40" t="inlineStr">
        <is>
          <t>Band A · Practitioner · Senior Associate</t>
        </is>
      </c>
      <c r="BA321" s="40" t="inlineStr">
        <is>
          <t>Model A3 from the six ratings, the market-derived weights and rules R1–R13 · then No change · already below the manager</t>
        </is>
      </c>
      <c r="BB321" s="41" t="inlineStr">
        <is>
          <t>A3</t>
        </is>
      </c>
      <c r="BC321" s="40" t="inlineStr">
        <is>
          <t>The six ratings on the market-average weights of Band A · all tracks score 2.64 → A3 · Hay, Mercer IPE and public plans · experience 8.3 yrs vs the A3 market range 2–5</t>
        </is>
      </c>
      <c r="BD321" s="42">
        <f>IF(SUM(BM321,BN321,BO321,BP321,BQ321,BR321,BS321)=0,0,(BM321*BT321+BN321*BU321+BO321*BV321+BP321*BW321+BQ321*BX321+BR321*BY321+BS321*BZ321)/SUM(BM321,BN321,BO321,BP321,BQ321,BR321,BS321))</f>
        <v>0</v>
      </c>
      <c r="BE321" s="41" t="str">
        <f>IF(LEFT(AY321,1)="X",AY321,IF(OR(AY321="B+",AY321="C+"),INDEX(LAD_PC,MAX(1,MIN(14,MATCH(AY321,LAD_PC,0)+IF(BD321&gt;=0.5,1,IF(BD321&lt;=-0.5,-1,0))))),INDEX(LAD_STD,MAX(1,MIN(12,MATCH(AY321,LAD_STD,0)+IF(BD321&gt;=0.5,1,IF(BD321&lt;=-0.5,-1,0)))))))</f>
        <v>A3</v>
      </c>
      <c r="BF321" s="43" t="n"/>
      <c r="BG321" s="41" t="str">
        <f>IF(BF321&lt;&gt;"",BF321,BE321)</f>
        <v>A3</v>
      </c>
      <c r="BH321" s="40" t="str">
        <f>IFERROR(CHOOSE(INDEX(B_RANK,MATCH(BG321,B_LVL,0)),"Band A","Band B","B+ · Player-Coach","Band C","C+ · Player-Coach","Band D","Band E"),"Band X · Consultant")</f>
        <v>Band A</v>
      </c>
      <c r="BI321" s="40" t="str">
        <f>IF(BG321=AY321,"• Same",IF(INDEX(B_VAL,MATCH(BG321,B_LVL,0))&gt;INDEX(B_VAL,MATCH(AY321,B_LVL,0)),"▲ Up","▼ Down"))</f>
        <v>• Same</v>
      </c>
      <c r="BJ321" s="40" t="str">
        <f>IF(OR($M321="",$M321="—",$M321="Not in this file"),"",IFERROR(INDEX($BG$7:$BG$592,MATCH($M321,$D$7:$D$592,0)),""))</f>
        <v>B2</v>
      </c>
      <c r="BK321" s="40" t="str">
        <f>IFERROR(IF(BJ321="","—",IF(OR(LEFT(BG321,1)="X",LEFT(BJ321,1)="X"),"—",IF(AND(LEFT(BG321,1)="E",LEFT(BJ321,1)="E"),"Exception · Band E",IF(AND(INDEX(B_VAL,MATCH(BJ321,B_LVL,0))&gt;=7,INDEX(B_RANK,MATCH(BG321,B_LVL,0))&gt;=INDEX(B_RANK,MATCH(BJ321,B_LVL,0))),"⚠ Same band as a head manager",IF(INDEX(B_VAL,MATCH(BG321,B_LVL,0))&gt;=INDEX(B_VAL,MATCH(BJ321,B_LVL,0)),"⚠ At or above the manager's level","OK"))))),"—")</f>
        <v>OK</v>
      </c>
      <c r="BL321" s="43" t="n"/>
      <c r="BM321" s="44">
        <f>IFERROR(INDEX(LMH_PTS,MATCH(Y321,LMH_KEY,0)),0)</f>
        <v>9</v>
      </c>
      <c r="BN321" s="38">
        <f>IFERROR(INDEX(LMH_PTS,MATCH(Z321,LMH_KEY,0)),0)</f>
        <v>3</v>
      </c>
      <c r="BO321" s="38">
        <f>IFERROR(INDEX(LMH_PTS,MATCH(AA321,LMH_KEY,0)),0)</f>
        <v>3</v>
      </c>
      <c r="BP321" s="38">
        <f>IFERROR(INDEX(LMH_PTS,MATCH(AB321,LMH_KEY,0)),0)</f>
        <v>1</v>
      </c>
      <c r="BQ321" s="38">
        <f>IFERROR(INDEX(LMH_PTS,MATCH(AC321,LMH_KEY,0)),0)</f>
        <v>3</v>
      </c>
      <c r="BR321" s="38">
        <f>IFERROR(INDEX(LMH_PTS,MATCH(AD321,LMH_KEY,0)),0)</f>
        <v>1</v>
      </c>
      <c r="BS321" s="38">
        <f>IFERROR(INDEX(LMH_PTS,MATCH(AE321,LMH_KEY,0)),0)</f>
        <v>1</v>
      </c>
      <c r="BT321" s="38">
        <f>IFERROR(INDEX(LMH_STEP,MATCH(AF321,LMH_KEY,0)),0)</f>
        <v>0</v>
      </c>
      <c r="BU321" s="38">
        <f>IFERROR(INDEX(LMH_STEP,MATCH(AG321,LMH_KEY,0)),0)</f>
        <v>0</v>
      </c>
      <c r="BV321" s="38">
        <f>IFERROR(INDEX(LMH_STEP,MATCH(AH321,LMH_KEY,0)),0)</f>
        <v>0</v>
      </c>
      <c r="BW321" s="38">
        <f>IFERROR(INDEX(LMH_STEP,MATCH(AI321,LMH_KEY,0)),0)</f>
        <v>0</v>
      </c>
      <c r="BX321" s="38">
        <f>IFERROR(INDEX(LMH_STEP,MATCH(AJ321,LMH_KEY,0)),0)</f>
        <v>0</v>
      </c>
      <c r="BY321" s="38">
        <f>IFERROR(INDEX(LMH_STEP,MATCH(AK321,LMH_KEY,0)),0)</f>
        <v>0</v>
      </c>
      <c r="BZ321" s="38">
        <f>IFERROR(INDEX(LMH_STEP,MATCH(AL321,LMH_KEY,0)),0)</f>
        <v>0</v>
      </c>
      <c r="CA321" s="38" t="inlineStr">
        <is>
          <t>iFile|Support|Senior Support Executive|A3|A</t>
        </is>
      </c>
    </row>
    <row r="322" ht="110" customHeight="1">
      <c r="A322" s="28" t="inlineStr">
        <is>
          <t>iFile</t>
        </is>
      </c>
      <c r="B322" s="29" t="inlineStr">
        <is>
          <t>Technology</t>
        </is>
      </c>
      <c r="C322" s="29" t="n">
        <v>4</v>
      </c>
      <c r="D322" s="29" t="inlineStr">
        <is>
          <t>IRIS2363</t>
        </is>
      </c>
      <c r="E322" s="29" t="inlineStr">
        <is>
          <t>Aayushi Sharma</t>
        </is>
      </c>
      <c r="F322" s="29" t="inlineStr">
        <is>
          <t>Project Manager</t>
        </is>
      </c>
      <c r="G322" s="29" t="inlineStr">
        <is>
          <t>Associate Project Manager</t>
        </is>
      </c>
      <c r="H322" s="29" t="inlineStr">
        <is>
          <t>Project &amp; Program Management</t>
        </is>
      </c>
      <c r="I322" s="29" t="inlineStr">
        <is>
          <t>Project &amp; Program Delivery</t>
        </is>
      </c>
      <c r="J322" s="29" t="inlineStr">
        <is>
          <t>IC</t>
        </is>
      </c>
      <c r="K322" s="29" t="inlineStr">
        <is>
          <t>RC-134</t>
        </is>
      </c>
      <c r="L322" s="29" t="inlineStr">
        <is>
          <t>Izharuddin Shaikh</t>
        </is>
      </c>
      <c r="M322" s="29" t="inlineStr">
        <is>
          <t>IRIS1712</t>
        </is>
      </c>
      <c r="N322" s="29" t="n">
        <v>4.1</v>
      </c>
      <c r="O322" s="29" t="n">
        <v>1.5</v>
      </c>
      <c r="P322" s="29" t="inlineStr">
        <is>
          <t>MBA</t>
        </is>
      </c>
      <c r="Q322" s="29" t="inlineStr">
        <is>
          <t>L5 – Manager</t>
        </is>
      </c>
      <c r="R322" s="29" t="inlineStr">
        <is>
          <t>B1</t>
        </is>
      </c>
      <c r="S322" s="30" t="inlineStr">
        <is>
          <t>20 of 20</t>
        </is>
      </c>
      <c r="T322" s="31"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t>
        </is>
      </c>
      <c r="U322" s="31" t="inlineStr">
        <is>
          <t>Received · manager annual, quarterly, self · 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t>
        </is>
      </c>
      <c r="V322" s="31" t="inlineStr">
        <is>
          <t>Latest rating: 3 · Potential: Medium · 9-box: Core Contributor · Readiness: Develop in role</t>
        </is>
      </c>
      <c r="W322" s="31" t="inlineStr">
        <is>
          <t>C M · Au M · Ac M · L L · BI M · Exp M · 4.1 yrs vs 4–7 yrs · Edu H · MBA</t>
        </is>
      </c>
      <c r="X322" s="33" t="inlineStr">
        <is>
          <t>Open ▸</t>
        </is>
      </c>
      <c r="Y322" s="34" t="str">
        <f>IFERROR(INDEX(DL_C,MATCH($CA322,DL_KEY,0)),"M")</f>
        <v>H</v>
      </c>
      <c r="Z322" s="35" t="str">
        <f>IFERROR(INDEX(DL_Au,MATCH($CA322,DL_KEY,0)),"M")</f>
        <v>M</v>
      </c>
      <c r="AA322" s="35" t="str">
        <f>IFERROR(INDEX(DL_Ac,MATCH($CA322,DL_KEY,0)),"M")</f>
        <v>L</v>
      </c>
      <c r="AB322" s="35" t="str">
        <f>IFERROR(INDEX(DL_L,MATCH($CA322,DL_KEY,0)),"M")</f>
        <v>L</v>
      </c>
      <c r="AC322" s="35" t="str">
        <f>IFERROR(INDEX(DL_BI,MATCH($CA322,DL_KEY,0)),"M")</f>
        <v>L</v>
      </c>
      <c r="AD322" s="35" t="str">
        <f>IFERROR(INDEX(DL_Exp,MATCH($CA322,DL_KEY,0)),"M")</f>
        <v>L</v>
      </c>
      <c r="AE322" s="35" t="str">
        <f>IFERROR(INDEX(DL_Edu,MATCH($CA322,DL_KEY,0)),"M")</f>
        <v>L</v>
      </c>
      <c r="AF322" s="34" t="inlineStr">
        <is>
          <t>M</t>
        </is>
      </c>
      <c r="AG322" s="35" t="inlineStr">
        <is>
          <t>M</t>
        </is>
      </c>
      <c r="AH322" s="35" t="inlineStr">
        <is>
          <t>M</t>
        </is>
      </c>
      <c r="AI322" s="35" t="inlineStr">
        <is>
          <t>M</t>
        </is>
      </c>
      <c r="AJ322" s="35" t="inlineStr">
        <is>
          <t>M</t>
        </is>
      </c>
      <c r="AK322" s="35" t="inlineStr">
        <is>
          <t>M</t>
        </is>
      </c>
      <c r="AL322" s="35" t="inlineStr">
        <is>
          <t>M</t>
        </is>
      </c>
      <c r="AM322" s="36" t="n">
        <v>0.513</v>
      </c>
      <c r="AN322" s="37" t="n">
        <v>0.173</v>
      </c>
      <c r="AO322" s="37" t="n">
        <v>0.09699999999999999</v>
      </c>
      <c r="AP322" s="37" t="n">
        <v>0.05</v>
      </c>
      <c r="AQ322" s="37" t="n">
        <v>0.07000000000000001</v>
      </c>
      <c r="AR322" s="37" t="n">
        <v>0.06</v>
      </c>
      <c r="AS322" s="37" t="n">
        <v>0.04</v>
      </c>
      <c r="AT322" s="38" t="inlineStr">
        <is>
          <t>4–8</t>
        </is>
      </c>
      <c r="AU322" s="38" t="inlineStr">
        <is>
          <t>Graduate + relevant qualification or certification preferred</t>
        </is>
      </c>
      <c r="AV322" s="38" t="inlineStr">
        <is>
          <t>IC: none · Team Lead: 3–5</t>
        </is>
      </c>
      <c r="AW322" s="38" t="inlineStr">
        <is>
          <t>P3 / M2 · SFIA 4 Enable</t>
        </is>
      </c>
      <c r="AX3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2" s="39" t="inlineStr">
        <is>
          <t>B1</t>
        </is>
      </c>
      <c r="AZ322" s="40" t="inlineStr">
        <is>
          <t>Band B · Specialist / Manager · Specialist</t>
        </is>
      </c>
      <c r="BA322" s="40" t="inlineStr">
        <is>
          <t>Model B1 from the six ratings, the market-derived weights and rules R1–R13 · then No change · already below the manager</t>
        </is>
      </c>
      <c r="BB322" s="41" t="inlineStr">
        <is>
          <t>B1</t>
        </is>
      </c>
      <c r="BC322" s="40" t="inlineStr">
        <is>
          <t>The six ratings on the market-average weights of Band B · Specialist / POD Lead score 4.33 → B1 · Hay, Mercer IPE and public plans · experience 4.1 yrs vs the B1 market range 4–8</t>
        </is>
      </c>
      <c r="BD322" s="42">
        <f>IF(SUM(BM322,BN322,BO322,BP322,BQ322,BR322,BS322)=0,0,(BM322*BT322+BN322*BU322+BO322*BV322+BP322*BW322+BQ322*BX322+BR322*BY322+BS322*BZ322)/SUM(BM322,BN322,BO322,BP322,BQ322,BR322,BS322))</f>
        <v>0</v>
      </c>
      <c r="BE322" s="41" t="str">
        <f>IF(LEFT(AY322,1)="X",AY322,IF(OR(AY322="B+",AY322="C+"),INDEX(LAD_PC,MAX(1,MIN(14,MATCH(AY322,LAD_PC,0)+IF(BD322&gt;=0.5,1,IF(BD322&lt;=-0.5,-1,0))))),INDEX(LAD_STD,MAX(1,MIN(12,MATCH(AY322,LAD_STD,0)+IF(BD322&gt;=0.5,1,IF(BD322&lt;=-0.5,-1,0)))))))</f>
        <v>B1</v>
      </c>
      <c r="BF322" s="43" t="n"/>
      <c r="BG322" s="41" t="str">
        <f>IF(BF322&lt;&gt;"",BF322,BE322)</f>
        <v>B1</v>
      </c>
      <c r="BH322" s="40" t="str">
        <f>IFERROR(CHOOSE(INDEX(B_RANK,MATCH(BG322,B_LVL,0)),"Band A","Band B","B+ · Player-Coach","Band C","C+ · Player-Coach","Band D","Band E"),"Band X · Consultant")</f>
        <v>Band B</v>
      </c>
      <c r="BI322" s="40" t="str">
        <f>IF(BG322=AY322,"• Same",IF(INDEX(B_VAL,MATCH(BG322,B_LVL,0))&gt;INDEX(B_VAL,MATCH(AY322,B_LVL,0)),"▲ Up","▼ Down"))</f>
        <v>• Same</v>
      </c>
      <c r="BJ322" s="40" t="str">
        <f>IF(OR($M322="",$M322="—",$M322="Not in this file"),"",IFERROR(INDEX($BG$7:$BG$592,MATCH($M322,$D$7:$D$592,0)),""))</f>
        <v>B+</v>
      </c>
      <c r="BK322" s="40" t="str">
        <f>IFERROR(IF(BJ322="","—",IF(OR(LEFT(BG322,1)="X",LEFT(BJ322,1)="X"),"—",IF(AND(LEFT(BG322,1)="E",LEFT(BJ322,1)="E"),"Exception · Band E",IF(AND(INDEX(B_VAL,MATCH(BJ322,B_LVL,0))&gt;=7,INDEX(B_RANK,MATCH(BG322,B_LVL,0))&gt;=INDEX(B_RANK,MATCH(BJ322,B_LVL,0))),"⚠ Same band as a head manager",IF(INDEX(B_VAL,MATCH(BG322,B_LVL,0))&gt;=INDEX(B_VAL,MATCH(BJ322,B_LVL,0)),"⚠ At or above the manager's level","OK"))))),"—")</f>
        <v>OK</v>
      </c>
      <c r="BL322" s="43" t="n"/>
      <c r="BM322" s="44">
        <f>IFERROR(INDEX(LMH_PTS,MATCH(Y322,LMH_KEY,0)),0)</f>
        <v>9</v>
      </c>
      <c r="BN322" s="38">
        <f>IFERROR(INDEX(LMH_PTS,MATCH(Z322,LMH_KEY,0)),0)</f>
        <v>3</v>
      </c>
      <c r="BO322" s="38">
        <f>IFERROR(INDEX(LMH_PTS,MATCH(AA322,LMH_KEY,0)),0)</f>
        <v>1</v>
      </c>
      <c r="BP322" s="38">
        <f>IFERROR(INDEX(LMH_PTS,MATCH(AB322,LMH_KEY,0)),0)</f>
        <v>1</v>
      </c>
      <c r="BQ322" s="38">
        <f>IFERROR(INDEX(LMH_PTS,MATCH(AC322,LMH_KEY,0)),0)</f>
        <v>1</v>
      </c>
      <c r="BR322" s="38">
        <f>IFERROR(INDEX(LMH_PTS,MATCH(AD322,LMH_KEY,0)),0)</f>
        <v>1</v>
      </c>
      <c r="BS322" s="38">
        <f>IFERROR(INDEX(LMH_PTS,MATCH(AE322,LMH_KEY,0)),0)</f>
        <v>1</v>
      </c>
      <c r="BT322" s="38">
        <f>IFERROR(INDEX(LMH_STEP,MATCH(AF322,LMH_KEY,0)),0)</f>
        <v>0</v>
      </c>
      <c r="BU322" s="38">
        <f>IFERROR(INDEX(LMH_STEP,MATCH(AG322,LMH_KEY,0)),0)</f>
        <v>0</v>
      </c>
      <c r="BV322" s="38">
        <f>IFERROR(INDEX(LMH_STEP,MATCH(AH322,LMH_KEY,0)),0)</f>
        <v>0</v>
      </c>
      <c r="BW322" s="38">
        <f>IFERROR(INDEX(LMH_STEP,MATCH(AI322,LMH_KEY,0)),0)</f>
        <v>0</v>
      </c>
      <c r="BX322" s="38">
        <f>IFERROR(INDEX(LMH_STEP,MATCH(AJ322,LMH_KEY,0)),0)</f>
        <v>0</v>
      </c>
      <c r="BY322" s="38">
        <f>IFERROR(INDEX(LMH_STEP,MATCH(AK322,LMH_KEY,0)),0)</f>
        <v>0</v>
      </c>
      <c r="BZ322" s="38">
        <f>IFERROR(INDEX(LMH_STEP,MATCH(AL322,LMH_KEY,0)),0)</f>
        <v>0</v>
      </c>
      <c r="CA322" s="38" t="inlineStr">
        <is>
          <t>iFile|Technology|Associate Project Manager|B1|B-IC</t>
        </is>
      </c>
    </row>
    <row r="323" ht="110" customHeight="1">
      <c r="A323" s="28" t="inlineStr">
        <is>
          <t>iFile</t>
        </is>
      </c>
      <c r="B323" s="29" t="inlineStr">
        <is>
          <t>Technology</t>
        </is>
      </c>
      <c r="C323" s="29" t="n">
        <v>4</v>
      </c>
      <c r="D323" s="29" t="inlineStr">
        <is>
          <t>IRIS2529</t>
        </is>
      </c>
      <c r="E323" s="29" t="inlineStr">
        <is>
          <t>Yash Raj</t>
        </is>
      </c>
      <c r="F323" s="29" t="inlineStr">
        <is>
          <t>Software Engineer</t>
        </is>
      </c>
      <c r="G323" s="29" t="inlineStr">
        <is>
          <t>Senior Database Engineer</t>
        </is>
      </c>
      <c r="H323" s="29" t="inlineStr">
        <is>
          <t>Engineering &amp; Development</t>
        </is>
      </c>
      <c r="I323" s="29" t="inlineStr">
        <is>
          <t>Data Engineering &amp; Database Development</t>
        </is>
      </c>
      <c r="J323" s="29" t="inlineStr">
        <is>
          <t>IC</t>
        </is>
      </c>
      <c r="K323" s="29" t="inlineStr">
        <is>
          <t>RC-074</t>
        </is>
      </c>
      <c r="L323" s="29" t="inlineStr">
        <is>
          <t>Izharuddin Shaikh</t>
        </is>
      </c>
      <c r="M323" s="29" t="inlineStr">
        <is>
          <t>IRIS1712</t>
        </is>
      </c>
      <c r="N323" s="29" t="n">
        <v>2.7</v>
      </c>
      <c r="O323" s="29" t="n">
        <v>0.4</v>
      </c>
      <c r="P323" s="29" t="inlineStr">
        <is>
          <t>B.Tech</t>
        </is>
      </c>
      <c r="Q323" s="29" t="inlineStr">
        <is>
          <t>L3 – Professional / Associate</t>
        </is>
      </c>
      <c r="R323" s="29" t="inlineStr">
        <is>
          <t>A3</t>
        </is>
      </c>
      <c r="S323" s="30" t="inlineStr">
        <is>
          <t>19 of 20</t>
        </is>
      </c>
      <c r="T323" s="31"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t>
        </is>
      </c>
      <c r="U32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3" s="31" t="inlineStr">
        <is>
          <t>Latest rating: 3 · Potential: Medium · 9-box: Reliable Specialist · Readiness: Develop in role</t>
        </is>
      </c>
      <c r="W323" s="31" t="inlineStr">
        <is>
          <t>C M · Au M · Ac M · L L · BI M · Exp M · 2.7 yrs vs 2–4 yrs · Edu M · B.Tech</t>
        </is>
      </c>
      <c r="X323" s="33" t="inlineStr">
        <is>
          <t>Open ▸</t>
        </is>
      </c>
      <c r="Y323" s="34" t="str">
        <f>IFERROR(INDEX(DL_C,MATCH($CA323,DL_KEY,0)),"M")</f>
        <v>H</v>
      </c>
      <c r="Z323" s="35" t="str">
        <f>IFERROR(INDEX(DL_Au,MATCH($CA323,DL_KEY,0)),"M")</f>
        <v>M</v>
      </c>
      <c r="AA323" s="35" t="str">
        <f>IFERROR(INDEX(DL_Ac,MATCH($CA323,DL_KEY,0)),"M")</f>
        <v>L</v>
      </c>
      <c r="AB323" s="35" t="str">
        <f>IFERROR(INDEX(DL_L,MATCH($CA323,DL_KEY,0)),"M")</f>
        <v>L</v>
      </c>
      <c r="AC323" s="35" t="str">
        <f>IFERROR(INDEX(DL_BI,MATCH($CA323,DL_KEY,0)),"M")</f>
        <v>L</v>
      </c>
      <c r="AD323" s="35" t="str">
        <f>IFERROR(INDEX(DL_Exp,MATCH($CA323,DL_KEY,0)),"M")</f>
        <v>L</v>
      </c>
      <c r="AE323" s="35" t="str">
        <f>IFERROR(INDEX(DL_Edu,MATCH($CA323,DL_KEY,0)),"M")</f>
        <v>L</v>
      </c>
      <c r="AF323" s="34" t="inlineStr">
        <is>
          <t>M</t>
        </is>
      </c>
      <c r="AG323" s="35" t="inlineStr">
        <is>
          <t>M</t>
        </is>
      </c>
      <c r="AH323" s="35" t="inlineStr">
        <is>
          <t>M</t>
        </is>
      </c>
      <c r="AI323" s="35" t="inlineStr">
        <is>
          <t>M</t>
        </is>
      </c>
      <c r="AJ323" s="35" t="inlineStr">
        <is>
          <t>M</t>
        </is>
      </c>
      <c r="AK323" s="35" t="inlineStr">
        <is>
          <t>M</t>
        </is>
      </c>
      <c r="AL323" s="35" t="inlineStr">
        <is>
          <t>M</t>
        </is>
      </c>
      <c r="AM323" s="36" t="n">
        <v>0.583</v>
      </c>
      <c r="AN323" s="37" t="n">
        <v>0.16</v>
      </c>
      <c r="AO323" s="37" t="n">
        <v>0.09</v>
      </c>
      <c r="AP323" s="37" t="n">
        <v>0</v>
      </c>
      <c r="AQ323" s="37" t="n">
        <v>0.063</v>
      </c>
      <c r="AR323" s="37" t="n">
        <v>0.06</v>
      </c>
      <c r="AS323" s="37" t="n">
        <v>0.04</v>
      </c>
      <c r="AT323" s="38" t="inlineStr">
        <is>
          <t>2–5</t>
        </is>
      </c>
      <c r="AU323" s="38" t="inlineStr">
        <is>
          <t>Graduate; relevant certification preferred</t>
        </is>
      </c>
      <c r="AV323" s="38" t="inlineStr">
        <is>
          <t>None · guides 1–3 juniors informally</t>
        </is>
      </c>
      <c r="AW323" s="38" t="inlineStr">
        <is>
          <t>P2 · SFIA 3 Apply</t>
        </is>
      </c>
      <c r="AX3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3" s="39" t="inlineStr">
        <is>
          <t>A3</t>
        </is>
      </c>
      <c r="AZ323" s="40" t="inlineStr">
        <is>
          <t>Band A · Practitioner · Senior Associate</t>
        </is>
      </c>
      <c r="BA323" s="40" t="inlineStr">
        <is>
          <t>Model A3 from the six ratings, the market-derived weights and rules R1–R13 · then No change · already below the manager</t>
        </is>
      </c>
      <c r="BB323" s="41" t="inlineStr">
        <is>
          <t>A3</t>
        </is>
      </c>
      <c r="BC323" s="40" t="inlineStr">
        <is>
          <t>The six ratings on the market-average weights of Band A · all tracks score 2.55 → A3 · Hay, Mercer IPE and public plans · experience 2.7 yrs vs the A3 market range 2–5</t>
        </is>
      </c>
      <c r="BD323" s="42">
        <f>IF(SUM(BM323,BN323,BO323,BP323,BQ323,BR323,BS323)=0,0,(BM323*BT323+BN323*BU323+BO323*BV323+BP323*BW323+BQ323*BX323+BR323*BY323+BS323*BZ323)/SUM(BM323,BN323,BO323,BP323,BQ323,BR323,BS323))</f>
        <v>0</v>
      </c>
      <c r="BE323" s="41" t="str">
        <f>IF(LEFT(AY323,1)="X",AY323,IF(OR(AY323="B+",AY323="C+"),INDEX(LAD_PC,MAX(1,MIN(14,MATCH(AY323,LAD_PC,0)+IF(BD323&gt;=0.5,1,IF(BD323&lt;=-0.5,-1,0))))),INDEX(LAD_STD,MAX(1,MIN(12,MATCH(AY323,LAD_STD,0)+IF(BD323&gt;=0.5,1,IF(BD323&lt;=-0.5,-1,0)))))))</f>
        <v>A3</v>
      </c>
      <c r="BF323" s="43" t="n"/>
      <c r="BG323" s="41" t="str">
        <f>IF(BF323&lt;&gt;"",BF323,BE323)</f>
        <v>A3</v>
      </c>
      <c r="BH323" s="40" t="str">
        <f>IFERROR(CHOOSE(INDEX(B_RANK,MATCH(BG323,B_LVL,0)),"Band A","Band B","B+ · Player-Coach","Band C","C+ · Player-Coach","Band D","Band E"),"Band X · Consultant")</f>
        <v>Band A</v>
      </c>
      <c r="BI323" s="40" t="str">
        <f>IF(BG323=AY323,"• Same",IF(INDEX(B_VAL,MATCH(BG323,B_LVL,0))&gt;INDEX(B_VAL,MATCH(AY323,B_LVL,0)),"▲ Up","▼ Down"))</f>
        <v>• Same</v>
      </c>
      <c r="BJ323" s="40" t="str">
        <f>IF(OR($M323="",$M323="—",$M323="Not in this file"),"",IFERROR(INDEX($BG$7:$BG$592,MATCH($M323,$D$7:$D$592,0)),""))</f>
        <v>B+</v>
      </c>
      <c r="BK323" s="40" t="str">
        <f>IFERROR(IF(BJ323="","—",IF(OR(LEFT(BG323,1)="X",LEFT(BJ323,1)="X"),"—",IF(AND(LEFT(BG323,1)="E",LEFT(BJ323,1)="E"),"Exception · Band E",IF(AND(INDEX(B_VAL,MATCH(BJ323,B_LVL,0))&gt;=7,INDEX(B_RANK,MATCH(BG323,B_LVL,0))&gt;=INDEX(B_RANK,MATCH(BJ323,B_LVL,0))),"⚠ Same band as a head manager",IF(INDEX(B_VAL,MATCH(BG323,B_LVL,0))&gt;=INDEX(B_VAL,MATCH(BJ323,B_LVL,0)),"⚠ At or above the manager's level","OK"))))),"—")</f>
        <v>OK</v>
      </c>
      <c r="BL323" s="43" t="n"/>
      <c r="BM323" s="44">
        <f>IFERROR(INDEX(LMH_PTS,MATCH(Y323,LMH_KEY,0)),0)</f>
        <v>9</v>
      </c>
      <c r="BN323" s="38">
        <f>IFERROR(INDEX(LMH_PTS,MATCH(Z323,LMH_KEY,0)),0)</f>
        <v>3</v>
      </c>
      <c r="BO323" s="38">
        <f>IFERROR(INDEX(LMH_PTS,MATCH(AA323,LMH_KEY,0)),0)</f>
        <v>1</v>
      </c>
      <c r="BP323" s="38">
        <f>IFERROR(INDEX(LMH_PTS,MATCH(AB323,LMH_KEY,0)),0)</f>
        <v>1</v>
      </c>
      <c r="BQ323" s="38">
        <f>IFERROR(INDEX(LMH_PTS,MATCH(AC323,LMH_KEY,0)),0)</f>
        <v>1</v>
      </c>
      <c r="BR323" s="38">
        <f>IFERROR(INDEX(LMH_PTS,MATCH(AD323,LMH_KEY,0)),0)</f>
        <v>1</v>
      </c>
      <c r="BS323" s="38">
        <f>IFERROR(INDEX(LMH_PTS,MATCH(AE323,LMH_KEY,0)),0)</f>
        <v>1</v>
      </c>
      <c r="BT323" s="38">
        <f>IFERROR(INDEX(LMH_STEP,MATCH(AF323,LMH_KEY,0)),0)</f>
        <v>0</v>
      </c>
      <c r="BU323" s="38">
        <f>IFERROR(INDEX(LMH_STEP,MATCH(AG323,LMH_KEY,0)),0)</f>
        <v>0</v>
      </c>
      <c r="BV323" s="38">
        <f>IFERROR(INDEX(LMH_STEP,MATCH(AH323,LMH_KEY,0)),0)</f>
        <v>0</v>
      </c>
      <c r="BW323" s="38">
        <f>IFERROR(INDEX(LMH_STEP,MATCH(AI323,LMH_KEY,0)),0)</f>
        <v>0</v>
      </c>
      <c r="BX323" s="38">
        <f>IFERROR(INDEX(LMH_STEP,MATCH(AJ323,LMH_KEY,0)),0)</f>
        <v>0</v>
      </c>
      <c r="BY323" s="38">
        <f>IFERROR(INDEX(LMH_STEP,MATCH(AK323,LMH_KEY,0)),0)</f>
        <v>0</v>
      </c>
      <c r="BZ323" s="38">
        <f>IFERROR(INDEX(LMH_STEP,MATCH(AL323,LMH_KEY,0)),0)</f>
        <v>0</v>
      </c>
      <c r="CA323" s="38" t="inlineStr">
        <is>
          <t>iFile|Technology|Senior Database Engineer|A3|A</t>
        </is>
      </c>
    </row>
    <row r="324" ht="110" customHeight="1">
      <c r="A324" s="28" t="inlineStr">
        <is>
          <t>iFile</t>
        </is>
      </c>
      <c r="B324" s="29" t="inlineStr">
        <is>
          <t>Technology</t>
        </is>
      </c>
      <c r="C324" s="29" t="n">
        <v>3</v>
      </c>
      <c r="D324" s="29" t="inlineStr">
        <is>
          <t>IRIS2133</t>
        </is>
      </c>
      <c r="E324" s="29" t="inlineStr">
        <is>
          <t>Pushpendra Singh</t>
        </is>
      </c>
      <c r="F324" s="29" t="inlineStr">
        <is>
          <t>Technical Architect</t>
        </is>
      </c>
      <c r="G324" s="29" t="inlineStr">
        <is>
          <t>Practice Lead – Solution &amp; Technical Architecture · Player-Coach</t>
        </is>
      </c>
      <c r="H324" s="29" t="inlineStr">
        <is>
          <t>Engineering &amp; Architecture</t>
        </is>
      </c>
      <c r="I324" s="29" t="inlineStr">
        <is>
          <t>Solution &amp; Technical Architecture</t>
        </is>
      </c>
      <c r="J324" s="29" t="inlineStr">
        <is>
          <t>Player-Coach</t>
        </is>
      </c>
      <c r="K324" s="29" t="inlineStr">
        <is>
          <t>RC-056</t>
        </is>
      </c>
      <c r="L324" s="29" t="inlineStr">
        <is>
          <t>Pradip Dey</t>
        </is>
      </c>
      <c r="M324" s="29" t="inlineStr">
        <is>
          <t>IRISC223</t>
        </is>
      </c>
      <c r="N324" s="29" t="n">
        <v>17.3</v>
      </c>
      <c r="O324" s="29" t="n">
        <v>3.3</v>
      </c>
      <c r="P324" s="29" t="inlineStr">
        <is>
          <t>MBA</t>
        </is>
      </c>
      <c r="Q324" s="29" t="inlineStr">
        <is>
          <t>L3 – Professional / Associate</t>
        </is>
      </c>
      <c r="R324" s="29" t="inlineStr">
        <is>
          <t>B+</t>
        </is>
      </c>
      <c r="S324" s="30" t="inlineStr">
        <is>
          <t>20 of 20</t>
        </is>
      </c>
      <c r="T324" s="31"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t>
        </is>
      </c>
      <c r="U324" s="31" t="inlineStr">
        <is>
          <t>Received · manager annual, quarterly · 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t>
        </is>
      </c>
      <c r="V324" s="31" t="inlineStr">
        <is>
          <t>Latest rating: 4 · Potential: Medium · 9-box: Core Contributor · Readiness: Ready in 6–12 months</t>
        </is>
      </c>
      <c r="W324" s="31" t="inlineStr">
        <is>
          <t>C M · Au M · Ac L · L L · BI L · Exp H · 17.3 yrs vs 9–14 yrs · Edu M · MBA</t>
        </is>
      </c>
      <c r="X324" s="33" t="inlineStr">
        <is>
          <t>Open ▸</t>
        </is>
      </c>
      <c r="Y324" s="34" t="str">
        <f>IFERROR(INDEX(DL_C,MATCH($CA324,DL_KEY,0)),"M")</f>
        <v>H</v>
      </c>
      <c r="Z324" s="35" t="str">
        <f>IFERROR(INDEX(DL_Au,MATCH($CA324,DL_KEY,0)),"M")</f>
        <v>M</v>
      </c>
      <c r="AA324" s="35" t="str">
        <f>IFERROR(INDEX(DL_Ac,MATCH($CA324,DL_KEY,0)),"M")</f>
        <v>L</v>
      </c>
      <c r="AB324" s="35" t="str">
        <f>IFERROR(INDEX(DL_L,MATCH($CA324,DL_KEY,0)),"M")</f>
        <v>M</v>
      </c>
      <c r="AC324" s="35" t="str">
        <f>IFERROR(INDEX(DL_BI,MATCH($CA324,DL_KEY,0)),"M")</f>
        <v>L</v>
      </c>
      <c r="AD324" s="35" t="str">
        <f>IFERROR(INDEX(DL_Exp,MATCH($CA324,DL_KEY,0)),"M")</f>
        <v>L</v>
      </c>
      <c r="AE324" s="35" t="str">
        <f>IFERROR(INDEX(DL_Edu,MATCH($CA324,DL_KEY,0)),"M")</f>
        <v>L</v>
      </c>
      <c r="AF324" s="34" t="inlineStr">
        <is>
          <t>M</t>
        </is>
      </c>
      <c r="AG324" s="35" t="inlineStr">
        <is>
          <t>M</t>
        </is>
      </c>
      <c r="AH324" s="35" t="inlineStr">
        <is>
          <t>M</t>
        </is>
      </c>
      <c r="AI324" s="35" t="inlineStr">
        <is>
          <t>M</t>
        </is>
      </c>
      <c r="AJ324" s="35" t="inlineStr">
        <is>
          <t>M</t>
        </is>
      </c>
      <c r="AK324" s="35" t="inlineStr">
        <is>
          <t>M</t>
        </is>
      </c>
      <c r="AL324" s="35" t="inlineStr">
        <is>
          <t>M</t>
        </is>
      </c>
      <c r="AM324" s="36" t="n">
        <v>0.44</v>
      </c>
      <c r="AN324" s="37" t="n">
        <v>0.177</v>
      </c>
      <c r="AO324" s="37" t="n">
        <v>0.103</v>
      </c>
      <c r="AP324" s="37" t="n">
        <v>0.1</v>
      </c>
      <c r="AQ324" s="37" t="n">
        <v>0.077</v>
      </c>
      <c r="AR324" s="37" t="n">
        <v>0.06</v>
      </c>
      <c r="AS324" s="37" t="n">
        <v>0.04</v>
      </c>
      <c r="AT324" s="38" t="inlineStr">
        <is>
          <t>9–14</t>
        </is>
      </c>
      <c r="AU324" s="38" t="inlineStr">
        <is>
          <t>Postgraduate or professional qualification preferred</t>
        </is>
      </c>
      <c r="AV324" s="38" t="inlineStr">
        <is>
          <t>3–6 direct reports with ≥ 40% of time on own delivery · McKinsey player/coach 3–5; Google Tech Lead Manager</t>
        </is>
      </c>
      <c r="AW324" s="38" t="inlineStr">
        <is>
          <t>P5–P6 / M4–M5 · SFIA 5 Ensure, advise</t>
        </is>
      </c>
      <c r="AX3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4" s="39" t="inlineStr">
        <is>
          <t>B+</t>
        </is>
      </c>
      <c r="AZ324" s="40" t="inlineStr">
        <is>
          <t>B+ · Player-Coach · Practice Lead · Player-Coach</t>
        </is>
      </c>
      <c r="BA324" s="40" t="inlineStr">
        <is>
          <t>Model B+ from the six ratings, the market-derived weights and rules R1–R13 · then No change · already below the manager</t>
        </is>
      </c>
      <c r="BB324" s="41" t="inlineStr">
        <is>
          <t>B3</t>
        </is>
      </c>
      <c r="BC324" s="40" t="inlineStr">
        <is>
          <t>The six ratings on the market-average weights of B+ · Player-Coach score 6.42 → B3 · Hay, Mercer IPE and public plans · experience 17.3 yrs vs the B3 market range 8–13</t>
        </is>
      </c>
      <c r="BD324" s="42">
        <f>IF(SUM(BM324,BN324,BO324,BP324,BQ324,BR324,BS324)=0,0,(BM324*BT324+BN324*BU324+BO324*BV324+BP324*BW324+BQ324*BX324+BR324*BY324+BS324*BZ324)/SUM(BM324,BN324,BO324,BP324,BQ324,BR324,BS324))</f>
        <v>0</v>
      </c>
      <c r="BE324" s="41" t="str">
        <f>IF(LEFT(AY324,1)="X",AY324,IF(OR(AY324="B+",AY324="C+"),INDEX(LAD_PC,MAX(1,MIN(14,MATCH(AY324,LAD_PC,0)+IF(BD324&gt;=0.5,1,IF(BD324&lt;=-0.5,-1,0))))),INDEX(LAD_STD,MAX(1,MIN(12,MATCH(AY324,LAD_STD,0)+IF(BD324&gt;=0.5,1,IF(BD324&lt;=-0.5,-1,0)))))))</f>
        <v>B+</v>
      </c>
      <c r="BF324" s="43" t="n"/>
      <c r="BG324" s="41" t="str">
        <f>IF(BF324&lt;&gt;"",BF324,BE324)</f>
        <v>B+</v>
      </c>
      <c r="BH324" s="40" t="str">
        <f>IFERROR(CHOOSE(INDEX(B_RANK,MATCH(BG324,B_LVL,0)),"Band A","Band B","B+ · Player-Coach","Band C","C+ · Player-Coach","Band D","Band E"),"Band X · Consultant")</f>
        <v>B+ · Player-Coach</v>
      </c>
      <c r="BI324" s="40" t="str">
        <f>IF(BG324=AY324,"• Same",IF(INDEX(B_VAL,MATCH(BG324,B_LVL,0))&gt;INDEX(B_VAL,MATCH(AY324,B_LVL,0)),"▲ Up","▼ Down"))</f>
        <v>• Same</v>
      </c>
      <c r="BJ324" s="40" t="str">
        <f>IF(OR($M324="",$M324="—",$M324="Not in this file"),"",IFERROR(INDEX($BG$7:$BG$592,MATCH($M324,$D$7:$D$592,0)),""))</f>
        <v>C2</v>
      </c>
      <c r="BK324" s="40" t="str">
        <f>IFERROR(IF(BJ324="","—",IF(OR(LEFT(BG324,1)="X",LEFT(BJ324,1)="X"),"—",IF(AND(LEFT(BG324,1)="E",LEFT(BJ324,1)="E"),"Exception · Band E",IF(AND(INDEX(B_VAL,MATCH(BJ324,B_LVL,0))&gt;=7,INDEX(B_RANK,MATCH(BG324,B_LVL,0))&gt;=INDEX(B_RANK,MATCH(BJ324,B_LVL,0))),"⚠ Same band as a head manager",IF(INDEX(B_VAL,MATCH(BG324,B_LVL,0))&gt;=INDEX(B_VAL,MATCH(BJ324,B_LVL,0)),"⚠ At or above the manager's level","OK"))))),"—")</f>
        <v>OK</v>
      </c>
      <c r="BL324" s="43" t="n"/>
      <c r="BM324" s="44">
        <f>IFERROR(INDEX(LMH_PTS,MATCH(Y324,LMH_KEY,0)),0)</f>
        <v>9</v>
      </c>
      <c r="BN324" s="38">
        <f>IFERROR(INDEX(LMH_PTS,MATCH(Z324,LMH_KEY,0)),0)</f>
        <v>3</v>
      </c>
      <c r="BO324" s="38">
        <f>IFERROR(INDEX(LMH_PTS,MATCH(AA324,LMH_KEY,0)),0)</f>
        <v>1</v>
      </c>
      <c r="BP324" s="38">
        <f>IFERROR(INDEX(LMH_PTS,MATCH(AB324,LMH_KEY,0)),0)</f>
        <v>3</v>
      </c>
      <c r="BQ324" s="38">
        <f>IFERROR(INDEX(LMH_PTS,MATCH(AC324,LMH_KEY,0)),0)</f>
        <v>1</v>
      </c>
      <c r="BR324" s="38">
        <f>IFERROR(INDEX(LMH_PTS,MATCH(AD324,LMH_KEY,0)),0)</f>
        <v>1</v>
      </c>
      <c r="BS324" s="38">
        <f>IFERROR(INDEX(LMH_PTS,MATCH(AE324,LMH_KEY,0)),0)</f>
        <v>1</v>
      </c>
      <c r="BT324" s="38">
        <f>IFERROR(INDEX(LMH_STEP,MATCH(AF324,LMH_KEY,0)),0)</f>
        <v>0</v>
      </c>
      <c r="BU324" s="38">
        <f>IFERROR(INDEX(LMH_STEP,MATCH(AG324,LMH_KEY,0)),0)</f>
        <v>0</v>
      </c>
      <c r="BV324" s="38">
        <f>IFERROR(INDEX(LMH_STEP,MATCH(AH324,LMH_KEY,0)),0)</f>
        <v>0</v>
      </c>
      <c r="BW324" s="38">
        <f>IFERROR(INDEX(LMH_STEP,MATCH(AI324,LMH_KEY,0)),0)</f>
        <v>0</v>
      </c>
      <c r="BX324" s="38">
        <f>IFERROR(INDEX(LMH_STEP,MATCH(AJ324,LMH_KEY,0)),0)</f>
        <v>0</v>
      </c>
      <c r="BY324" s="38">
        <f>IFERROR(INDEX(LMH_STEP,MATCH(AK324,LMH_KEY,0)),0)</f>
        <v>0</v>
      </c>
      <c r="BZ324" s="38">
        <f>IFERROR(INDEX(LMH_STEP,MATCH(AL324,LMH_KEY,0)),0)</f>
        <v>0</v>
      </c>
      <c r="CA324" s="38" t="inlineStr">
        <is>
          <t>iFile|Technology|Practice Lead – Solution &amp; Technical Architecture · Player-Coach|B+|B+</t>
        </is>
      </c>
    </row>
    <row r="325" ht="110" customHeight="1">
      <c r="A325" s="28" t="inlineStr">
        <is>
          <t>iFile</t>
        </is>
      </c>
      <c r="B325" s="29" t="inlineStr">
        <is>
          <t>Technology</t>
        </is>
      </c>
      <c r="C325" s="29" t="n">
        <v>4</v>
      </c>
      <c r="D325" s="29" t="inlineStr">
        <is>
          <t>IRIS2257</t>
        </is>
      </c>
      <c r="E325" s="29" t="inlineStr">
        <is>
          <t>Rudransh Nemade</t>
        </is>
      </c>
      <c r="F325" s="29" t="inlineStr">
        <is>
          <t>Trainee Software Engineer</t>
        </is>
      </c>
      <c r="G325" s="29" t="inlineStr">
        <is>
          <t>Senior Software Engineer</t>
        </is>
      </c>
      <c r="H325" s="29" t="inlineStr">
        <is>
          <t>Engineering &amp; Development</t>
        </is>
      </c>
      <c r="I325" s="29" t="inlineStr">
        <is>
          <t>Full-Stack Development</t>
        </is>
      </c>
      <c r="J325" s="29" t="inlineStr">
        <is>
          <t>IC</t>
        </is>
      </c>
      <c r="K325" s="29" t="inlineStr">
        <is>
          <t>RC-085</t>
        </is>
      </c>
      <c r="L325" s="29" t="inlineStr">
        <is>
          <t>Pushpendra Singh</t>
        </is>
      </c>
      <c r="M325" s="29" t="inlineStr">
        <is>
          <t>IRIS2133</t>
        </is>
      </c>
      <c r="N325" s="29" t="n">
        <v>2.3</v>
      </c>
      <c r="O325" s="29" t="n">
        <v>2.3</v>
      </c>
      <c r="P325" s="29" t="inlineStr">
        <is>
          <t>B.E</t>
        </is>
      </c>
      <c r="Q325" s="29" t="inlineStr">
        <is>
          <t>L2 – Trainee</t>
        </is>
      </c>
      <c r="R325" s="29" t="inlineStr">
        <is>
          <t>A3</t>
        </is>
      </c>
      <c r="S325" s="30" t="inlineStr">
        <is>
          <t>20 of 20</t>
        </is>
      </c>
      <c r="T325" s="31"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t>
        </is>
      </c>
      <c r="U325"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5" s="31" t="inlineStr">
        <is>
          <t>Latest rating: 4 · Potential: Medium · 9-box: Emerging Talent · Readiness: Ready in 6–12 months</t>
        </is>
      </c>
      <c r="W325" s="31" t="inlineStr">
        <is>
          <t>C L · Au L · Ac L · L L · BI L · Exp M · 2.3 yrs vs 2–4 yrs · Edu M · B.E</t>
        </is>
      </c>
      <c r="X325" s="33" t="inlineStr">
        <is>
          <t>Open ▸</t>
        </is>
      </c>
      <c r="Y325" s="34" t="str">
        <f>IFERROR(INDEX(DL_C,MATCH($CA325,DL_KEY,0)),"M")</f>
        <v>H</v>
      </c>
      <c r="Z325" s="35" t="str">
        <f>IFERROR(INDEX(DL_Au,MATCH($CA325,DL_KEY,0)),"M")</f>
        <v>M</v>
      </c>
      <c r="AA325" s="35" t="str">
        <f>IFERROR(INDEX(DL_Ac,MATCH($CA325,DL_KEY,0)),"M")</f>
        <v>L</v>
      </c>
      <c r="AB325" s="35" t="str">
        <f>IFERROR(INDEX(DL_L,MATCH($CA325,DL_KEY,0)),"M")</f>
        <v>L</v>
      </c>
      <c r="AC325" s="35" t="str">
        <f>IFERROR(INDEX(DL_BI,MATCH($CA325,DL_KEY,0)),"M")</f>
        <v>L</v>
      </c>
      <c r="AD325" s="35" t="str">
        <f>IFERROR(INDEX(DL_Exp,MATCH($CA325,DL_KEY,0)),"M")</f>
        <v>L</v>
      </c>
      <c r="AE325" s="35" t="str">
        <f>IFERROR(INDEX(DL_Edu,MATCH($CA325,DL_KEY,0)),"M")</f>
        <v>L</v>
      </c>
      <c r="AF325" s="34" t="inlineStr">
        <is>
          <t>M</t>
        </is>
      </c>
      <c r="AG325" s="35" t="inlineStr">
        <is>
          <t>M</t>
        </is>
      </c>
      <c r="AH325" s="35" t="inlineStr">
        <is>
          <t>M</t>
        </is>
      </c>
      <c r="AI325" s="35" t="inlineStr">
        <is>
          <t>M</t>
        </is>
      </c>
      <c r="AJ325" s="35" t="inlineStr">
        <is>
          <t>M</t>
        </is>
      </c>
      <c r="AK325" s="35" t="inlineStr">
        <is>
          <t>M</t>
        </is>
      </c>
      <c r="AL325" s="35" t="inlineStr">
        <is>
          <t>M</t>
        </is>
      </c>
      <c r="AM325" s="36" t="n">
        <v>0.583</v>
      </c>
      <c r="AN325" s="37" t="n">
        <v>0.16</v>
      </c>
      <c r="AO325" s="37" t="n">
        <v>0.09</v>
      </c>
      <c r="AP325" s="37" t="n">
        <v>0</v>
      </c>
      <c r="AQ325" s="37" t="n">
        <v>0.063</v>
      </c>
      <c r="AR325" s="37" t="n">
        <v>0.06</v>
      </c>
      <c r="AS325" s="37" t="n">
        <v>0.04</v>
      </c>
      <c r="AT325" s="38" t="inlineStr">
        <is>
          <t>2–5</t>
        </is>
      </c>
      <c r="AU325" s="38" t="inlineStr">
        <is>
          <t>Graduate; relevant certification preferred</t>
        </is>
      </c>
      <c r="AV325" s="38" t="inlineStr">
        <is>
          <t>None · guides 1–3 juniors informally</t>
        </is>
      </c>
      <c r="AW325" s="38" t="inlineStr">
        <is>
          <t>P2 · SFIA 3 Apply</t>
        </is>
      </c>
      <c r="AX3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5" s="39" t="inlineStr">
        <is>
          <t>A3</t>
        </is>
      </c>
      <c r="AZ325" s="40" t="inlineStr">
        <is>
          <t>Band A · Practitioner · Senior Associate</t>
        </is>
      </c>
      <c r="BA325" s="40" t="inlineStr">
        <is>
          <t>Model A3 from the six ratings, the market-derived weights and rules R1–R13 · then No change · already below the manager</t>
        </is>
      </c>
      <c r="BB325" s="41" t="inlineStr">
        <is>
          <t>A2</t>
        </is>
      </c>
      <c r="BC325" s="40" t="inlineStr">
        <is>
          <t>The six ratings on the market-average weights of Band A · all tracks score 1.97 → A2 · Hay, Mercer IPE and public plans · experience 2.3 yrs vs the A2 market range 0–3</t>
        </is>
      </c>
      <c r="BD325" s="42">
        <f>IF(SUM(BM325,BN325,BO325,BP325,BQ325,BR325,BS325)=0,0,(BM325*BT325+BN325*BU325+BO325*BV325+BP325*BW325+BQ325*BX325+BR325*BY325+BS325*BZ325)/SUM(BM325,BN325,BO325,BP325,BQ325,BR325,BS325))</f>
        <v>0</v>
      </c>
      <c r="BE325" s="41" t="str">
        <f>IF(LEFT(AY325,1)="X",AY325,IF(OR(AY325="B+",AY325="C+"),INDEX(LAD_PC,MAX(1,MIN(14,MATCH(AY325,LAD_PC,0)+IF(BD325&gt;=0.5,1,IF(BD325&lt;=-0.5,-1,0))))),INDEX(LAD_STD,MAX(1,MIN(12,MATCH(AY325,LAD_STD,0)+IF(BD325&gt;=0.5,1,IF(BD325&lt;=-0.5,-1,0)))))))</f>
        <v>A3</v>
      </c>
      <c r="BF325" s="43" t="n"/>
      <c r="BG325" s="41" t="str">
        <f>IF(BF325&lt;&gt;"",BF325,BE325)</f>
        <v>A3</v>
      </c>
      <c r="BH325" s="40" t="str">
        <f>IFERROR(CHOOSE(INDEX(B_RANK,MATCH(BG325,B_LVL,0)),"Band A","Band B","B+ · Player-Coach","Band C","C+ · Player-Coach","Band D","Band E"),"Band X · Consultant")</f>
        <v>Band A</v>
      </c>
      <c r="BI325" s="40" t="str">
        <f>IF(BG325=AY325,"• Same",IF(INDEX(B_VAL,MATCH(BG325,B_LVL,0))&gt;INDEX(B_VAL,MATCH(AY325,B_LVL,0)),"▲ Up","▼ Down"))</f>
        <v>• Same</v>
      </c>
      <c r="BJ325" s="40" t="str">
        <f>IF(OR($M325="",$M325="—",$M325="Not in this file"),"",IFERROR(INDEX($BG$7:$BG$592,MATCH($M325,$D$7:$D$592,0)),""))</f>
        <v>B+</v>
      </c>
      <c r="BK325" s="40" t="str">
        <f>IFERROR(IF(BJ325="","—",IF(OR(LEFT(BG325,1)="X",LEFT(BJ325,1)="X"),"—",IF(AND(LEFT(BG325,1)="E",LEFT(BJ325,1)="E"),"Exception · Band E",IF(AND(INDEX(B_VAL,MATCH(BJ325,B_LVL,0))&gt;=7,INDEX(B_RANK,MATCH(BG325,B_LVL,0))&gt;=INDEX(B_RANK,MATCH(BJ325,B_LVL,0))),"⚠ Same band as a head manager",IF(INDEX(B_VAL,MATCH(BG325,B_LVL,0))&gt;=INDEX(B_VAL,MATCH(BJ325,B_LVL,0)),"⚠ At or above the manager's level","OK"))))),"—")</f>
        <v>OK</v>
      </c>
      <c r="BL325" s="43" t="n"/>
      <c r="BM325" s="44">
        <f>IFERROR(INDEX(LMH_PTS,MATCH(Y325,LMH_KEY,0)),0)</f>
        <v>9</v>
      </c>
      <c r="BN325" s="38">
        <f>IFERROR(INDEX(LMH_PTS,MATCH(Z325,LMH_KEY,0)),0)</f>
        <v>3</v>
      </c>
      <c r="BO325" s="38">
        <f>IFERROR(INDEX(LMH_PTS,MATCH(AA325,LMH_KEY,0)),0)</f>
        <v>1</v>
      </c>
      <c r="BP325" s="38">
        <f>IFERROR(INDEX(LMH_PTS,MATCH(AB325,LMH_KEY,0)),0)</f>
        <v>1</v>
      </c>
      <c r="BQ325" s="38">
        <f>IFERROR(INDEX(LMH_PTS,MATCH(AC325,LMH_KEY,0)),0)</f>
        <v>1</v>
      </c>
      <c r="BR325" s="38">
        <f>IFERROR(INDEX(LMH_PTS,MATCH(AD325,LMH_KEY,0)),0)</f>
        <v>1</v>
      </c>
      <c r="BS325" s="38">
        <f>IFERROR(INDEX(LMH_PTS,MATCH(AE325,LMH_KEY,0)),0)</f>
        <v>1</v>
      </c>
      <c r="BT325" s="38">
        <f>IFERROR(INDEX(LMH_STEP,MATCH(AF325,LMH_KEY,0)),0)</f>
        <v>0</v>
      </c>
      <c r="BU325" s="38">
        <f>IFERROR(INDEX(LMH_STEP,MATCH(AG325,LMH_KEY,0)),0)</f>
        <v>0</v>
      </c>
      <c r="BV325" s="38">
        <f>IFERROR(INDEX(LMH_STEP,MATCH(AH325,LMH_KEY,0)),0)</f>
        <v>0</v>
      </c>
      <c r="BW325" s="38">
        <f>IFERROR(INDEX(LMH_STEP,MATCH(AI325,LMH_KEY,0)),0)</f>
        <v>0</v>
      </c>
      <c r="BX325" s="38">
        <f>IFERROR(INDEX(LMH_STEP,MATCH(AJ325,LMH_KEY,0)),0)</f>
        <v>0</v>
      </c>
      <c r="BY325" s="38">
        <f>IFERROR(INDEX(LMH_STEP,MATCH(AK325,LMH_KEY,0)),0)</f>
        <v>0</v>
      </c>
      <c r="BZ325" s="38">
        <f>IFERROR(INDEX(LMH_STEP,MATCH(AL325,LMH_KEY,0)),0)</f>
        <v>0</v>
      </c>
      <c r="CA325" s="38" t="inlineStr">
        <is>
          <t>iFile|Technology|Senior Software Engineer|A3|A</t>
        </is>
      </c>
    </row>
    <row r="326" ht="110" customHeight="1">
      <c r="A326" s="28" t="inlineStr">
        <is>
          <t>iFile</t>
        </is>
      </c>
      <c r="B326" s="29" t="inlineStr">
        <is>
          <t>Technology</t>
        </is>
      </c>
      <c r="C326" s="29" t="n">
        <v>4</v>
      </c>
      <c r="D326" s="29" t="inlineStr">
        <is>
          <t>IRIS2183</t>
        </is>
      </c>
      <c r="E326" s="29" t="inlineStr">
        <is>
          <t>Saikiran Rowlo</t>
        </is>
      </c>
      <c r="F326" s="29" t="inlineStr">
        <is>
          <t>Junior Software Engineer</t>
        </is>
      </c>
      <c r="G326" s="29" t="inlineStr">
        <is>
          <t>Senior Software Engineer</t>
        </is>
      </c>
      <c r="H326" s="29" t="inlineStr">
        <is>
          <t>Engineering &amp; Development</t>
        </is>
      </c>
      <c r="I326" s="29" t="inlineStr">
        <is>
          <t>Backend Development</t>
        </is>
      </c>
      <c r="J326" s="29" t="inlineStr">
        <is>
          <t>IC</t>
        </is>
      </c>
      <c r="K326" s="29" t="inlineStr">
        <is>
          <t>RC-067</t>
        </is>
      </c>
      <c r="L326" s="29" t="inlineStr">
        <is>
          <t>Pushpendra Singh</t>
        </is>
      </c>
      <c r="M326" s="29" t="inlineStr">
        <is>
          <t>IRIS2133</t>
        </is>
      </c>
      <c r="N326" s="29" t="n">
        <v>3</v>
      </c>
      <c r="O326" s="29" t="n">
        <v>3</v>
      </c>
      <c r="P326" s="29" t="inlineStr">
        <is>
          <t>B.E</t>
        </is>
      </c>
      <c r="Q326" s="29" t="inlineStr">
        <is>
          <t>L3 – Professional / Associate</t>
        </is>
      </c>
      <c r="R326" s="29" t="inlineStr">
        <is>
          <t>A3</t>
        </is>
      </c>
      <c r="S326" s="30" t="inlineStr">
        <is>
          <t>17 of 20</t>
        </is>
      </c>
      <c r="T326" s="31"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t>
        </is>
      </c>
      <c r="U326"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6" s="31" t="inlineStr">
        <is>
          <t>Latest rating: 4 · Potential: Medium · 9-box: Emerging Talent · Readiness: Ready in 6–12 months</t>
        </is>
      </c>
      <c r="W326" s="31" t="inlineStr">
        <is>
          <t>C L · Au L · Ac M · L L · BI M · Exp M · 3 yrs vs 2–4 yrs · Edu M · B.E</t>
        </is>
      </c>
      <c r="X326" s="33" t="inlineStr">
        <is>
          <t>Open ▸</t>
        </is>
      </c>
      <c r="Y326" s="34" t="str">
        <f>IFERROR(INDEX(DL_C,MATCH($CA326,DL_KEY,0)),"M")</f>
        <v>H</v>
      </c>
      <c r="Z326" s="35" t="str">
        <f>IFERROR(INDEX(DL_Au,MATCH($CA326,DL_KEY,0)),"M")</f>
        <v>M</v>
      </c>
      <c r="AA326" s="35" t="str">
        <f>IFERROR(INDEX(DL_Ac,MATCH($CA326,DL_KEY,0)),"M")</f>
        <v>L</v>
      </c>
      <c r="AB326" s="35" t="str">
        <f>IFERROR(INDEX(DL_L,MATCH($CA326,DL_KEY,0)),"M")</f>
        <v>L</v>
      </c>
      <c r="AC326" s="35" t="str">
        <f>IFERROR(INDEX(DL_BI,MATCH($CA326,DL_KEY,0)),"M")</f>
        <v>L</v>
      </c>
      <c r="AD326" s="35" t="str">
        <f>IFERROR(INDEX(DL_Exp,MATCH($CA326,DL_KEY,0)),"M")</f>
        <v>L</v>
      </c>
      <c r="AE326" s="35" t="str">
        <f>IFERROR(INDEX(DL_Edu,MATCH($CA326,DL_KEY,0)),"M")</f>
        <v>L</v>
      </c>
      <c r="AF326" s="34" t="inlineStr">
        <is>
          <t>M</t>
        </is>
      </c>
      <c r="AG326" s="35" t="inlineStr">
        <is>
          <t>M</t>
        </is>
      </c>
      <c r="AH326" s="35" t="inlineStr">
        <is>
          <t>M</t>
        </is>
      </c>
      <c r="AI326" s="35" t="inlineStr">
        <is>
          <t>M</t>
        </is>
      </c>
      <c r="AJ326" s="35" t="inlineStr">
        <is>
          <t>M</t>
        </is>
      </c>
      <c r="AK326" s="35" t="inlineStr">
        <is>
          <t>M</t>
        </is>
      </c>
      <c r="AL326" s="35" t="inlineStr">
        <is>
          <t>M</t>
        </is>
      </c>
      <c r="AM326" s="36" t="n">
        <v>0.583</v>
      </c>
      <c r="AN326" s="37" t="n">
        <v>0.16</v>
      </c>
      <c r="AO326" s="37" t="n">
        <v>0.09</v>
      </c>
      <c r="AP326" s="37" t="n">
        <v>0</v>
      </c>
      <c r="AQ326" s="37" t="n">
        <v>0.063</v>
      </c>
      <c r="AR326" s="37" t="n">
        <v>0.06</v>
      </c>
      <c r="AS326" s="37" t="n">
        <v>0.04</v>
      </c>
      <c r="AT326" s="38" t="inlineStr">
        <is>
          <t>2–5</t>
        </is>
      </c>
      <c r="AU326" s="38" t="inlineStr">
        <is>
          <t>Graduate; relevant certification preferred</t>
        </is>
      </c>
      <c r="AV326" s="38" t="inlineStr">
        <is>
          <t>None · guides 1–3 juniors informally</t>
        </is>
      </c>
      <c r="AW326" s="38" t="inlineStr">
        <is>
          <t>P2 · SFIA 3 Apply</t>
        </is>
      </c>
      <c r="AX3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6" s="39" t="inlineStr">
        <is>
          <t>A3</t>
        </is>
      </c>
      <c r="AZ326" s="40" t="inlineStr">
        <is>
          <t>Band A · Practitioner · Senior Associate</t>
        </is>
      </c>
      <c r="BA326" s="40" t="inlineStr">
        <is>
          <t>Model A3 from the six ratings, the market-derived weights and rules R1–R13 · then No change · already below the manager</t>
        </is>
      </c>
      <c r="BB326" s="41" t="inlineStr">
        <is>
          <t>A2</t>
        </is>
      </c>
      <c r="BC326" s="40" t="inlineStr">
        <is>
          <t>The six ratings on the market-average weights of Band A · all tracks score 2.18 → A2 · Hay, Mercer IPE and public plans · experience 3 yrs vs the A2 market range 0–3</t>
        </is>
      </c>
      <c r="BD326" s="42">
        <f>IF(SUM(BM326,BN326,BO326,BP326,BQ326,BR326,BS326)=0,0,(BM326*BT326+BN326*BU326+BO326*BV326+BP326*BW326+BQ326*BX326+BR326*BY326+BS326*BZ326)/SUM(BM326,BN326,BO326,BP326,BQ326,BR326,BS326))</f>
        <v>0</v>
      </c>
      <c r="BE326" s="41" t="str">
        <f>IF(LEFT(AY326,1)="X",AY326,IF(OR(AY326="B+",AY326="C+"),INDEX(LAD_PC,MAX(1,MIN(14,MATCH(AY326,LAD_PC,0)+IF(BD326&gt;=0.5,1,IF(BD326&lt;=-0.5,-1,0))))),INDEX(LAD_STD,MAX(1,MIN(12,MATCH(AY326,LAD_STD,0)+IF(BD326&gt;=0.5,1,IF(BD326&lt;=-0.5,-1,0)))))))</f>
        <v>A3</v>
      </c>
      <c r="BF326" s="43" t="n"/>
      <c r="BG326" s="41" t="str">
        <f>IF(BF326&lt;&gt;"",BF326,BE326)</f>
        <v>A3</v>
      </c>
      <c r="BH326" s="40" t="str">
        <f>IFERROR(CHOOSE(INDEX(B_RANK,MATCH(BG326,B_LVL,0)),"Band A","Band B","B+ · Player-Coach","Band C","C+ · Player-Coach","Band D","Band E"),"Band X · Consultant")</f>
        <v>Band A</v>
      </c>
      <c r="BI326" s="40" t="str">
        <f>IF(BG326=AY326,"• Same",IF(INDEX(B_VAL,MATCH(BG326,B_LVL,0))&gt;INDEX(B_VAL,MATCH(AY326,B_LVL,0)),"▲ Up","▼ Down"))</f>
        <v>• Same</v>
      </c>
      <c r="BJ326" s="40" t="str">
        <f>IF(OR($M326="",$M326="—",$M326="Not in this file"),"",IFERROR(INDEX($BG$7:$BG$592,MATCH($M326,$D$7:$D$592,0)),""))</f>
        <v>B+</v>
      </c>
      <c r="BK326" s="40" t="str">
        <f>IFERROR(IF(BJ326="","—",IF(OR(LEFT(BG326,1)="X",LEFT(BJ326,1)="X"),"—",IF(AND(LEFT(BG326,1)="E",LEFT(BJ326,1)="E"),"Exception · Band E",IF(AND(INDEX(B_VAL,MATCH(BJ326,B_LVL,0))&gt;=7,INDEX(B_RANK,MATCH(BG326,B_LVL,0))&gt;=INDEX(B_RANK,MATCH(BJ326,B_LVL,0))),"⚠ Same band as a head manager",IF(INDEX(B_VAL,MATCH(BG326,B_LVL,0))&gt;=INDEX(B_VAL,MATCH(BJ326,B_LVL,0)),"⚠ At or above the manager's level","OK"))))),"—")</f>
        <v>OK</v>
      </c>
      <c r="BL326" s="43" t="n"/>
      <c r="BM326" s="44">
        <f>IFERROR(INDEX(LMH_PTS,MATCH(Y326,LMH_KEY,0)),0)</f>
        <v>9</v>
      </c>
      <c r="BN326" s="38">
        <f>IFERROR(INDEX(LMH_PTS,MATCH(Z326,LMH_KEY,0)),0)</f>
        <v>3</v>
      </c>
      <c r="BO326" s="38">
        <f>IFERROR(INDEX(LMH_PTS,MATCH(AA326,LMH_KEY,0)),0)</f>
        <v>1</v>
      </c>
      <c r="BP326" s="38">
        <f>IFERROR(INDEX(LMH_PTS,MATCH(AB326,LMH_KEY,0)),0)</f>
        <v>1</v>
      </c>
      <c r="BQ326" s="38">
        <f>IFERROR(INDEX(LMH_PTS,MATCH(AC326,LMH_KEY,0)),0)</f>
        <v>1</v>
      </c>
      <c r="BR326" s="38">
        <f>IFERROR(INDEX(LMH_PTS,MATCH(AD326,LMH_KEY,0)),0)</f>
        <v>1</v>
      </c>
      <c r="BS326" s="38">
        <f>IFERROR(INDEX(LMH_PTS,MATCH(AE326,LMH_KEY,0)),0)</f>
        <v>1</v>
      </c>
      <c r="BT326" s="38">
        <f>IFERROR(INDEX(LMH_STEP,MATCH(AF326,LMH_KEY,0)),0)</f>
        <v>0</v>
      </c>
      <c r="BU326" s="38">
        <f>IFERROR(INDEX(LMH_STEP,MATCH(AG326,LMH_KEY,0)),0)</f>
        <v>0</v>
      </c>
      <c r="BV326" s="38">
        <f>IFERROR(INDEX(LMH_STEP,MATCH(AH326,LMH_KEY,0)),0)</f>
        <v>0</v>
      </c>
      <c r="BW326" s="38">
        <f>IFERROR(INDEX(LMH_STEP,MATCH(AI326,LMH_KEY,0)),0)</f>
        <v>0</v>
      </c>
      <c r="BX326" s="38">
        <f>IFERROR(INDEX(LMH_STEP,MATCH(AJ326,LMH_KEY,0)),0)</f>
        <v>0</v>
      </c>
      <c r="BY326" s="38">
        <f>IFERROR(INDEX(LMH_STEP,MATCH(AK326,LMH_KEY,0)),0)</f>
        <v>0</v>
      </c>
      <c r="BZ326" s="38">
        <f>IFERROR(INDEX(LMH_STEP,MATCH(AL326,LMH_KEY,0)),0)</f>
        <v>0</v>
      </c>
      <c r="CA326" s="38" t="inlineStr">
        <is>
          <t>iFile|Technology|Senior Software Engineer|A3|A</t>
        </is>
      </c>
    </row>
    <row r="327" ht="110" customHeight="1">
      <c r="A327" s="28" t="inlineStr">
        <is>
          <t>iFile</t>
        </is>
      </c>
      <c r="B327" s="29" t="inlineStr">
        <is>
          <t>Technology</t>
        </is>
      </c>
      <c r="C327" s="29" t="n">
        <v>4</v>
      </c>
      <c r="D327" s="29" t="inlineStr">
        <is>
          <t>IRIS1871</t>
        </is>
      </c>
      <c r="E327" s="29" t="inlineStr">
        <is>
          <t>Sandeep Mehta</t>
        </is>
      </c>
      <c r="F327" s="29" t="inlineStr">
        <is>
          <t>Software Engineer</t>
        </is>
      </c>
      <c r="G327" s="29" t="inlineStr">
        <is>
          <t>Senior Software Engineer</t>
        </is>
      </c>
      <c r="H327" s="29" t="inlineStr">
        <is>
          <t>Engineering &amp; Development</t>
        </is>
      </c>
      <c r="I327" s="29" t="inlineStr">
        <is>
          <t>Backend Development</t>
        </is>
      </c>
      <c r="J327" s="29" t="inlineStr">
        <is>
          <t>IC</t>
        </is>
      </c>
      <c r="K327" s="29" t="inlineStr">
        <is>
          <t>RC-067</t>
        </is>
      </c>
      <c r="L327" s="29" t="inlineStr">
        <is>
          <t>Pushpendra Singh</t>
        </is>
      </c>
      <c r="M327" s="29" t="inlineStr">
        <is>
          <t>IRIS2133</t>
        </is>
      </c>
      <c r="N327" s="29" t="n">
        <v>6</v>
      </c>
      <c r="O327" s="29" t="n">
        <v>6</v>
      </c>
      <c r="P327" s="29" t="inlineStr">
        <is>
          <t>B.Tech</t>
        </is>
      </c>
      <c r="Q327" s="29" t="inlineStr">
        <is>
          <t>L3 – Professional / Associate</t>
        </is>
      </c>
      <c r="R327" s="29" t="inlineStr">
        <is>
          <t>A3</t>
        </is>
      </c>
      <c r="S327" s="30" t="inlineStr">
        <is>
          <t>20 of 20</t>
        </is>
      </c>
      <c r="T327" s="31"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t>
        </is>
      </c>
      <c r="U32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7" s="31" t="inlineStr">
        <is>
          <t>Latest rating: 4 · Potential: Medium · 9-box: Trusted Professional · Readiness: Ready in 6–12 months</t>
        </is>
      </c>
      <c r="W327" s="31" t="inlineStr">
        <is>
          <t>C M · Au L · Ac L · L L · BI M · Exp H · 6 yrs vs 2–4 yrs · Edu M · B.Tech</t>
        </is>
      </c>
      <c r="X327" s="33" t="inlineStr">
        <is>
          <t>Open ▸</t>
        </is>
      </c>
      <c r="Y327" s="34" t="str">
        <f>IFERROR(INDEX(DL_C,MATCH($CA327,DL_KEY,0)),"M")</f>
        <v>H</v>
      </c>
      <c r="Z327" s="35" t="str">
        <f>IFERROR(INDEX(DL_Au,MATCH($CA327,DL_KEY,0)),"M")</f>
        <v>M</v>
      </c>
      <c r="AA327" s="35" t="str">
        <f>IFERROR(INDEX(DL_Ac,MATCH($CA327,DL_KEY,0)),"M")</f>
        <v>L</v>
      </c>
      <c r="AB327" s="35" t="str">
        <f>IFERROR(INDEX(DL_L,MATCH($CA327,DL_KEY,0)),"M")</f>
        <v>L</v>
      </c>
      <c r="AC327" s="35" t="str">
        <f>IFERROR(INDEX(DL_BI,MATCH($CA327,DL_KEY,0)),"M")</f>
        <v>L</v>
      </c>
      <c r="AD327" s="35" t="str">
        <f>IFERROR(INDEX(DL_Exp,MATCH($CA327,DL_KEY,0)),"M")</f>
        <v>L</v>
      </c>
      <c r="AE327" s="35" t="str">
        <f>IFERROR(INDEX(DL_Edu,MATCH($CA327,DL_KEY,0)),"M")</f>
        <v>L</v>
      </c>
      <c r="AF327" s="34" t="inlineStr">
        <is>
          <t>M</t>
        </is>
      </c>
      <c r="AG327" s="35" t="inlineStr">
        <is>
          <t>M</t>
        </is>
      </c>
      <c r="AH327" s="35" t="inlineStr">
        <is>
          <t>M</t>
        </is>
      </c>
      <c r="AI327" s="35" t="inlineStr">
        <is>
          <t>M</t>
        </is>
      </c>
      <c r="AJ327" s="35" t="inlineStr">
        <is>
          <t>M</t>
        </is>
      </c>
      <c r="AK327" s="35" t="inlineStr">
        <is>
          <t>M</t>
        </is>
      </c>
      <c r="AL327" s="35" t="inlineStr">
        <is>
          <t>M</t>
        </is>
      </c>
      <c r="AM327" s="36" t="n">
        <v>0.583</v>
      </c>
      <c r="AN327" s="37" t="n">
        <v>0.16</v>
      </c>
      <c r="AO327" s="37" t="n">
        <v>0.09</v>
      </c>
      <c r="AP327" s="37" t="n">
        <v>0</v>
      </c>
      <c r="AQ327" s="37" t="n">
        <v>0.063</v>
      </c>
      <c r="AR327" s="37" t="n">
        <v>0.06</v>
      </c>
      <c r="AS327" s="37" t="n">
        <v>0.04</v>
      </c>
      <c r="AT327" s="38" t="inlineStr">
        <is>
          <t>2–5</t>
        </is>
      </c>
      <c r="AU327" s="38" t="inlineStr">
        <is>
          <t>Graduate; relevant certification preferred</t>
        </is>
      </c>
      <c r="AV327" s="38" t="inlineStr">
        <is>
          <t>None · guides 1–3 juniors informally</t>
        </is>
      </c>
      <c r="AW327" s="38" t="inlineStr">
        <is>
          <t>P2 · SFIA 3 Apply</t>
        </is>
      </c>
      <c r="AX3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7" s="39" t="inlineStr">
        <is>
          <t>A3</t>
        </is>
      </c>
      <c r="AZ327" s="40" t="inlineStr">
        <is>
          <t>Band A · Practitioner · Senior Associate</t>
        </is>
      </c>
      <c r="BA327" s="40" t="inlineStr">
        <is>
          <t>Model A3 from the six ratings, the market-derived weights and rules R1–R13 · then No change · already below the manager</t>
        </is>
      </c>
      <c r="BB327" s="41" t="inlineStr">
        <is>
          <t>A3</t>
        </is>
      </c>
      <c r="BC327" s="40" t="inlineStr">
        <is>
          <t>The six ratings on the market-average weights of Band A · all tracks score 2.53 → A3 · Hay, Mercer IPE and public plans · experience 6 yrs vs the A3 market range 2–5</t>
        </is>
      </c>
      <c r="BD327" s="42">
        <f>IF(SUM(BM327,BN327,BO327,BP327,BQ327,BR327,BS327)=0,0,(BM327*BT327+BN327*BU327+BO327*BV327+BP327*BW327+BQ327*BX327+BR327*BY327+BS327*BZ327)/SUM(BM327,BN327,BO327,BP327,BQ327,BR327,BS327))</f>
        <v>0</v>
      </c>
      <c r="BE327" s="41" t="str">
        <f>IF(LEFT(AY327,1)="X",AY327,IF(OR(AY327="B+",AY327="C+"),INDEX(LAD_PC,MAX(1,MIN(14,MATCH(AY327,LAD_PC,0)+IF(BD327&gt;=0.5,1,IF(BD327&lt;=-0.5,-1,0))))),INDEX(LAD_STD,MAX(1,MIN(12,MATCH(AY327,LAD_STD,0)+IF(BD327&gt;=0.5,1,IF(BD327&lt;=-0.5,-1,0)))))))</f>
        <v>A3</v>
      </c>
      <c r="BF327" s="43" t="n"/>
      <c r="BG327" s="41" t="str">
        <f>IF(BF327&lt;&gt;"",BF327,BE327)</f>
        <v>A3</v>
      </c>
      <c r="BH327" s="40" t="str">
        <f>IFERROR(CHOOSE(INDEX(B_RANK,MATCH(BG327,B_LVL,0)),"Band A","Band B","B+ · Player-Coach","Band C","C+ · Player-Coach","Band D","Band E"),"Band X · Consultant")</f>
        <v>Band A</v>
      </c>
      <c r="BI327" s="40" t="str">
        <f>IF(BG327=AY327,"• Same",IF(INDEX(B_VAL,MATCH(BG327,B_LVL,0))&gt;INDEX(B_VAL,MATCH(AY327,B_LVL,0)),"▲ Up","▼ Down"))</f>
        <v>• Same</v>
      </c>
      <c r="BJ327" s="40" t="str">
        <f>IF(OR($M327="",$M327="—",$M327="Not in this file"),"",IFERROR(INDEX($BG$7:$BG$592,MATCH($M327,$D$7:$D$592,0)),""))</f>
        <v>B+</v>
      </c>
      <c r="BK327" s="40" t="str">
        <f>IFERROR(IF(BJ327="","—",IF(OR(LEFT(BG327,1)="X",LEFT(BJ327,1)="X"),"—",IF(AND(LEFT(BG327,1)="E",LEFT(BJ327,1)="E"),"Exception · Band E",IF(AND(INDEX(B_VAL,MATCH(BJ327,B_LVL,0))&gt;=7,INDEX(B_RANK,MATCH(BG327,B_LVL,0))&gt;=INDEX(B_RANK,MATCH(BJ327,B_LVL,0))),"⚠ Same band as a head manager",IF(INDEX(B_VAL,MATCH(BG327,B_LVL,0))&gt;=INDEX(B_VAL,MATCH(BJ327,B_LVL,0)),"⚠ At or above the manager's level","OK"))))),"—")</f>
        <v>OK</v>
      </c>
      <c r="BL327" s="43" t="n"/>
      <c r="BM327" s="44">
        <f>IFERROR(INDEX(LMH_PTS,MATCH(Y327,LMH_KEY,0)),0)</f>
        <v>9</v>
      </c>
      <c r="BN327" s="38">
        <f>IFERROR(INDEX(LMH_PTS,MATCH(Z327,LMH_KEY,0)),0)</f>
        <v>3</v>
      </c>
      <c r="BO327" s="38">
        <f>IFERROR(INDEX(LMH_PTS,MATCH(AA327,LMH_KEY,0)),0)</f>
        <v>1</v>
      </c>
      <c r="BP327" s="38">
        <f>IFERROR(INDEX(LMH_PTS,MATCH(AB327,LMH_KEY,0)),0)</f>
        <v>1</v>
      </c>
      <c r="BQ327" s="38">
        <f>IFERROR(INDEX(LMH_PTS,MATCH(AC327,LMH_KEY,0)),0)</f>
        <v>1</v>
      </c>
      <c r="BR327" s="38">
        <f>IFERROR(INDEX(LMH_PTS,MATCH(AD327,LMH_KEY,0)),0)</f>
        <v>1</v>
      </c>
      <c r="BS327" s="38">
        <f>IFERROR(INDEX(LMH_PTS,MATCH(AE327,LMH_KEY,0)),0)</f>
        <v>1</v>
      </c>
      <c r="BT327" s="38">
        <f>IFERROR(INDEX(LMH_STEP,MATCH(AF327,LMH_KEY,0)),0)</f>
        <v>0</v>
      </c>
      <c r="BU327" s="38">
        <f>IFERROR(INDEX(LMH_STEP,MATCH(AG327,LMH_KEY,0)),0)</f>
        <v>0</v>
      </c>
      <c r="BV327" s="38">
        <f>IFERROR(INDEX(LMH_STEP,MATCH(AH327,LMH_KEY,0)),0)</f>
        <v>0</v>
      </c>
      <c r="BW327" s="38">
        <f>IFERROR(INDEX(LMH_STEP,MATCH(AI327,LMH_KEY,0)),0)</f>
        <v>0</v>
      </c>
      <c r="BX327" s="38">
        <f>IFERROR(INDEX(LMH_STEP,MATCH(AJ327,LMH_KEY,0)),0)</f>
        <v>0</v>
      </c>
      <c r="BY327" s="38">
        <f>IFERROR(INDEX(LMH_STEP,MATCH(AK327,LMH_KEY,0)),0)</f>
        <v>0</v>
      </c>
      <c r="BZ327" s="38">
        <f>IFERROR(INDEX(LMH_STEP,MATCH(AL327,LMH_KEY,0)),0)</f>
        <v>0</v>
      </c>
      <c r="CA327" s="38" t="inlineStr">
        <is>
          <t>iFile|Technology|Senior Software Engineer|A3|A</t>
        </is>
      </c>
    </row>
    <row r="328" ht="110" customHeight="1">
      <c r="A328" s="28" t="inlineStr">
        <is>
          <t>iFile</t>
        </is>
      </c>
      <c r="B328" s="29" t="inlineStr">
        <is>
          <t>Product Management</t>
        </is>
      </c>
      <c r="C328" s="29" t="n">
        <v>3</v>
      </c>
      <c r="D328" s="29" t="inlineStr">
        <is>
          <t>IRIS2560</t>
        </is>
      </c>
      <c r="E328" s="29" t="inlineStr">
        <is>
          <t>Sumit Jain</t>
        </is>
      </c>
      <c r="F328" s="29" t="inlineStr">
        <is>
          <t>Senior Product Manager</t>
        </is>
      </c>
      <c r="G328" s="29" t="inlineStr">
        <is>
          <t>Senior Product Manager</t>
        </is>
      </c>
      <c r="H328" s="29" t="inlineStr">
        <is>
          <t>Product Management</t>
        </is>
      </c>
      <c r="I328" s="29" t="inlineStr">
        <is>
          <t>Product Management</t>
        </is>
      </c>
      <c r="J328" s="29" t="inlineStr">
        <is>
          <t>IC</t>
        </is>
      </c>
      <c r="K328" s="29" t="inlineStr">
        <is>
          <t>RC-128</t>
        </is>
      </c>
      <c r="L328" s="29" t="inlineStr">
        <is>
          <t>Pradip Dey</t>
        </is>
      </c>
      <c r="M328" s="29" t="inlineStr">
        <is>
          <t>IRISC223</t>
        </is>
      </c>
      <c r="N328" s="29" t="inlineStr">
        <is>
          <t>Not provided · HRIS</t>
        </is>
      </c>
      <c r="O328" s="29" t="n">
        <v>0.1</v>
      </c>
      <c r="P328" s="29" t="inlineStr">
        <is>
          <t>B.E</t>
        </is>
      </c>
      <c r="Q328" s="29" t="inlineStr">
        <is>
          <t>Not in current mapping files</t>
        </is>
      </c>
      <c r="R328" s="29" t="inlineStr">
        <is>
          <t>B3</t>
        </is>
      </c>
      <c r="S328" s="30" t="inlineStr">
        <is>
          <t>20 of 20</t>
        </is>
      </c>
      <c r="T32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28" s="32" t="inlineStr">
        <is>
          <t>KRAs not received · manager to supply</t>
        </is>
      </c>
      <c r="V328" s="31" t="inlineStr">
        <is>
          <t>Latest rating: Not rated · manager · 9-box: Not placed · manager · Readiness: No rating data</t>
        </is>
      </c>
      <c r="W328" s="31" t="inlineStr">
        <is>
          <t>C M · Au M · Ac M · L L · BI M · Exp — · not on file · Edu L · B.E</t>
        </is>
      </c>
      <c r="X328" s="33" t="inlineStr">
        <is>
          <t>Open ▸</t>
        </is>
      </c>
      <c r="Y328" s="34" t="str">
        <f>IFERROR(INDEX(DL_C,MATCH($CA328,DL_KEY,0)),"M")</f>
        <v>H</v>
      </c>
      <c r="Z328" s="35" t="str">
        <f>IFERROR(INDEX(DL_Au,MATCH($CA328,DL_KEY,0)),"M")</f>
        <v>M</v>
      </c>
      <c r="AA328" s="35" t="str">
        <f>IFERROR(INDEX(DL_Ac,MATCH($CA328,DL_KEY,0)),"M")</f>
        <v>M</v>
      </c>
      <c r="AB328" s="35" t="str">
        <f>IFERROR(INDEX(DL_L,MATCH($CA328,DL_KEY,0)),"M")</f>
        <v>L</v>
      </c>
      <c r="AC328" s="35" t="str">
        <f>IFERROR(INDEX(DL_BI,MATCH($CA328,DL_KEY,0)),"M")</f>
        <v>L</v>
      </c>
      <c r="AD328" s="35" t="str">
        <f>IFERROR(INDEX(DL_Exp,MATCH($CA328,DL_KEY,0)),"M")</f>
        <v>L</v>
      </c>
      <c r="AE328" s="35" t="str">
        <f>IFERROR(INDEX(DL_Edu,MATCH($CA328,DL_KEY,0)),"M")</f>
        <v>L</v>
      </c>
      <c r="AF328" s="34" t="inlineStr">
        <is>
          <t>M</t>
        </is>
      </c>
      <c r="AG328" s="35" t="inlineStr">
        <is>
          <t>M</t>
        </is>
      </c>
      <c r="AH328" s="35" t="inlineStr">
        <is>
          <t>M</t>
        </is>
      </c>
      <c r="AI328" s="35" t="inlineStr">
        <is>
          <t>M</t>
        </is>
      </c>
      <c r="AJ328" s="35" t="inlineStr">
        <is>
          <t>M</t>
        </is>
      </c>
      <c r="AK328" s="35" t="inlineStr">
        <is>
          <t>M</t>
        </is>
      </c>
      <c r="AL328" s="35" t="inlineStr">
        <is>
          <t>M</t>
        </is>
      </c>
      <c r="AM328" s="36" t="n">
        <v>0.513</v>
      </c>
      <c r="AN328" s="37" t="n">
        <v>0.173</v>
      </c>
      <c r="AO328" s="37" t="n">
        <v>0.09699999999999999</v>
      </c>
      <c r="AP328" s="37" t="n">
        <v>0.05</v>
      </c>
      <c r="AQ328" s="37" t="n">
        <v>0.07000000000000001</v>
      </c>
      <c r="AR328" s="37" t="n">
        <v>0.06</v>
      </c>
      <c r="AS328" s="37" t="n">
        <v>0.04</v>
      </c>
      <c r="AT328" s="38" t="inlineStr">
        <is>
          <t>8–13</t>
        </is>
      </c>
      <c r="AU328" s="38" t="inlineStr">
        <is>
          <t>Postgraduate or professional qualification preferred</t>
        </is>
      </c>
      <c r="AV328" s="38" t="inlineStr">
        <is>
          <t>IC: none · People: 5–8 incl. team leads</t>
        </is>
      </c>
      <c r="AW328" s="38" t="inlineStr">
        <is>
          <t>P5 / M4 · SFIA 5 Ensure, advise</t>
        </is>
      </c>
      <c r="AX3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8" s="39" t="inlineStr">
        <is>
          <t>B3</t>
        </is>
      </c>
      <c r="AZ328" s="40" t="inlineStr">
        <is>
          <t>Band B · Specialist / Manager · Lead Specialist</t>
        </is>
      </c>
      <c r="BA328" s="40" t="inlineStr">
        <is>
          <t>Model B3 from the six ratings, the market-derived weights and rules R1–R13 · then No change · already below the manager</t>
        </is>
      </c>
      <c r="BB328" s="41" t="inlineStr">
        <is>
          <t>B3</t>
        </is>
      </c>
      <c r="BC328" s="40" t="inlineStr">
        <is>
          <t>The six ratings on the market-average weights of Band B · Specialist / POD Lead score 5.95 → B3 · Hay, Mercer IPE and public plans · experience Not provided · HRIS yrs vs the B3 market range 8–13</t>
        </is>
      </c>
      <c r="BD328" s="42">
        <f>IF(SUM(BM328,BN328,BO328,BP328,BQ328,BR328,BS328)=0,0,(BM328*BT328+BN328*BU328+BO328*BV328+BP328*BW328+BQ328*BX328+BR328*BY328+BS328*BZ328)/SUM(BM328,BN328,BO328,BP328,BQ328,BR328,BS328))</f>
        <v>0</v>
      </c>
      <c r="BE328" s="41" t="str">
        <f>IF(LEFT(AY328,1)="X",AY328,IF(OR(AY328="B+",AY328="C+"),INDEX(LAD_PC,MAX(1,MIN(14,MATCH(AY328,LAD_PC,0)+IF(BD328&gt;=0.5,1,IF(BD328&lt;=-0.5,-1,0))))),INDEX(LAD_STD,MAX(1,MIN(12,MATCH(AY328,LAD_STD,0)+IF(BD328&gt;=0.5,1,IF(BD328&lt;=-0.5,-1,0)))))))</f>
        <v>B3</v>
      </c>
      <c r="BF328" s="43" t="n"/>
      <c r="BG328" s="41" t="str">
        <f>IF(BF328&lt;&gt;"",BF328,BE328)</f>
        <v>B3</v>
      </c>
      <c r="BH328" s="40" t="str">
        <f>IFERROR(CHOOSE(INDEX(B_RANK,MATCH(BG328,B_LVL,0)),"Band A","Band B","B+ · Player-Coach","Band C","C+ · Player-Coach","Band D","Band E"),"Band X · Consultant")</f>
        <v>Band B</v>
      </c>
      <c r="BI328" s="40" t="str">
        <f>IF(BG328=AY328,"• Same",IF(INDEX(B_VAL,MATCH(BG328,B_LVL,0))&gt;INDEX(B_VAL,MATCH(AY328,B_LVL,0)),"▲ Up","▼ Down"))</f>
        <v>• Same</v>
      </c>
      <c r="BJ328" s="40" t="str">
        <f>IF(OR($M328="",$M328="—",$M328="Not in this file"),"",IFERROR(INDEX($BG$7:$BG$592,MATCH($M328,$D$7:$D$592,0)),""))</f>
        <v>C2</v>
      </c>
      <c r="BK328" s="40" t="str">
        <f>IFERROR(IF(BJ328="","—",IF(OR(LEFT(BG328,1)="X",LEFT(BJ328,1)="X"),"—",IF(AND(LEFT(BG328,1)="E",LEFT(BJ328,1)="E"),"Exception · Band E",IF(AND(INDEX(B_VAL,MATCH(BJ328,B_LVL,0))&gt;=7,INDEX(B_RANK,MATCH(BG328,B_LVL,0))&gt;=INDEX(B_RANK,MATCH(BJ328,B_LVL,0))),"⚠ Same band as a head manager",IF(INDEX(B_VAL,MATCH(BG328,B_LVL,0))&gt;=INDEX(B_VAL,MATCH(BJ328,B_LVL,0)),"⚠ At or above the manager's level","OK"))))),"—")</f>
        <v>OK</v>
      </c>
      <c r="BL328" s="43" t="n"/>
      <c r="BM328" s="44">
        <f>IFERROR(INDEX(LMH_PTS,MATCH(Y328,LMH_KEY,0)),0)</f>
        <v>9</v>
      </c>
      <c r="BN328" s="38">
        <f>IFERROR(INDEX(LMH_PTS,MATCH(Z328,LMH_KEY,0)),0)</f>
        <v>3</v>
      </c>
      <c r="BO328" s="38">
        <f>IFERROR(INDEX(LMH_PTS,MATCH(AA328,LMH_KEY,0)),0)</f>
        <v>3</v>
      </c>
      <c r="BP328" s="38">
        <f>IFERROR(INDEX(LMH_PTS,MATCH(AB328,LMH_KEY,0)),0)</f>
        <v>1</v>
      </c>
      <c r="BQ328" s="38">
        <f>IFERROR(INDEX(LMH_PTS,MATCH(AC328,LMH_KEY,0)),0)</f>
        <v>1</v>
      </c>
      <c r="BR328" s="38">
        <f>IFERROR(INDEX(LMH_PTS,MATCH(AD328,LMH_KEY,0)),0)</f>
        <v>1</v>
      </c>
      <c r="BS328" s="38">
        <f>IFERROR(INDEX(LMH_PTS,MATCH(AE328,LMH_KEY,0)),0)</f>
        <v>1</v>
      </c>
      <c r="BT328" s="38">
        <f>IFERROR(INDEX(LMH_STEP,MATCH(AF328,LMH_KEY,0)),0)</f>
        <v>0</v>
      </c>
      <c r="BU328" s="38">
        <f>IFERROR(INDEX(LMH_STEP,MATCH(AG328,LMH_KEY,0)),0)</f>
        <v>0</v>
      </c>
      <c r="BV328" s="38">
        <f>IFERROR(INDEX(LMH_STEP,MATCH(AH328,LMH_KEY,0)),0)</f>
        <v>0</v>
      </c>
      <c r="BW328" s="38">
        <f>IFERROR(INDEX(LMH_STEP,MATCH(AI328,LMH_KEY,0)),0)</f>
        <v>0</v>
      </c>
      <c r="BX328" s="38">
        <f>IFERROR(INDEX(LMH_STEP,MATCH(AJ328,LMH_KEY,0)),0)</f>
        <v>0</v>
      </c>
      <c r="BY328" s="38">
        <f>IFERROR(INDEX(LMH_STEP,MATCH(AK328,LMH_KEY,0)),0)</f>
        <v>0</v>
      </c>
      <c r="BZ328" s="38">
        <f>IFERROR(INDEX(LMH_STEP,MATCH(AL328,LMH_KEY,0)),0)</f>
        <v>0</v>
      </c>
      <c r="CA328" s="38" t="inlineStr">
        <is>
          <t>iFile|Product Management|Senior Product Manager|B3|B-IC</t>
        </is>
      </c>
    </row>
    <row r="329" ht="110" customHeight="1">
      <c r="A329" s="28" t="inlineStr">
        <is>
          <t>iFile</t>
        </is>
      </c>
      <c r="B329" s="29" t="inlineStr">
        <is>
          <t>Technology</t>
        </is>
      </c>
      <c r="C329" s="29" t="n">
        <v>3</v>
      </c>
      <c r="D329" s="29" t="inlineStr">
        <is>
          <t>IRIS2497</t>
        </is>
      </c>
      <c r="E329" s="29" t="inlineStr">
        <is>
          <t>Tarun Kumar Mittal</t>
        </is>
      </c>
      <c r="F329" s="29" t="inlineStr">
        <is>
          <t>Senior Project Manager</t>
        </is>
      </c>
      <c r="G329" s="29" t="inlineStr">
        <is>
          <t>Program Manager</t>
        </is>
      </c>
      <c r="H329" s="29" t="inlineStr">
        <is>
          <t>Project &amp; Program Management</t>
        </is>
      </c>
      <c r="I329" s="29" t="inlineStr">
        <is>
          <t>Project &amp; Program Delivery</t>
        </is>
      </c>
      <c r="J329" s="29" t="inlineStr">
        <is>
          <t>IC</t>
        </is>
      </c>
      <c r="K329" s="29" t="inlineStr">
        <is>
          <t>RC-137</t>
        </is>
      </c>
      <c r="L329" s="29" t="inlineStr">
        <is>
          <t>Pradip Dey</t>
        </is>
      </c>
      <c r="M329" s="29" t="inlineStr">
        <is>
          <t>IRISC223</t>
        </is>
      </c>
      <c r="N329" s="29" t="n">
        <v>18.5</v>
      </c>
      <c r="O329" s="29" t="n">
        <v>0.5</v>
      </c>
      <c r="P329" s="29" t="inlineStr">
        <is>
          <t>B.Tech</t>
        </is>
      </c>
      <c r="Q329" s="29" t="inlineStr">
        <is>
          <t>L5 – Manager</t>
        </is>
      </c>
      <c r="R329" s="29" t="inlineStr">
        <is>
          <t>B3</t>
        </is>
      </c>
      <c r="S329" s="30" t="inlineStr">
        <is>
          <t>0 of 20</t>
        </is>
      </c>
      <c r="T329" s="31"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t>
        </is>
      </c>
      <c r="U329" s="31" t="inlineStr">
        <is>
          <t>Received · manager annual, quarterly · 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
        </is>
      </c>
      <c r="V329" s="31" t="inlineStr">
        <is>
          <t>Latest rating: 3 · Potential: Medium · 9-box: Core Contributor · Readiness: Develop in role</t>
        </is>
      </c>
      <c r="W329" s="31" t="inlineStr">
        <is>
          <t>C M · Au M · Ac M · L L · BI M · Exp H · 18.5 yrs vs 8–12 yrs · Edu L · B.Tech</t>
        </is>
      </c>
      <c r="X329" s="33" t="inlineStr">
        <is>
          <t>Open ▸</t>
        </is>
      </c>
      <c r="Y329" s="34" t="str">
        <f>IFERROR(INDEX(DL_C,MATCH($CA329,DL_KEY,0)),"M")</f>
        <v>H</v>
      </c>
      <c r="Z329" s="35" t="str">
        <f>IFERROR(INDEX(DL_Au,MATCH($CA329,DL_KEY,0)),"M")</f>
        <v>M</v>
      </c>
      <c r="AA329" s="35" t="str">
        <f>IFERROR(INDEX(DL_Ac,MATCH($CA329,DL_KEY,0)),"M")</f>
        <v>L</v>
      </c>
      <c r="AB329" s="35" t="str">
        <f>IFERROR(INDEX(DL_L,MATCH($CA329,DL_KEY,0)),"M")</f>
        <v>L</v>
      </c>
      <c r="AC329" s="35" t="str">
        <f>IFERROR(INDEX(DL_BI,MATCH($CA329,DL_KEY,0)),"M")</f>
        <v>L</v>
      </c>
      <c r="AD329" s="35" t="str">
        <f>IFERROR(INDEX(DL_Exp,MATCH($CA329,DL_KEY,0)),"M")</f>
        <v>L</v>
      </c>
      <c r="AE329" s="35" t="str">
        <f>IFERROR(INDEX(DL_Edu,MATCH($CA329,DL_KEY,0)),"M")</f>
        <v>L</v>
      </c>
      <c r="AF329" s="34" t="inlineStr">
        <is>
          <t>M</t>
        </is>
      </c>
      <c r="AG329" s="35" t="inlineStr">
        <is>
          <t>M</t>
        </is>
      </c>
      <c r="AH329" s="35" t="inlineStr">
        <is>
          <t>M</t>
        </is>
      </c>
      <c r="AI329" s="35" t="inlineStr">
        <is>
          <t>M</t>
        </is>
      </c>
      <c r="AJ329" s="35" t="inlineStr">
        <is>
          <t>M</t>
        </is>
      </c>
      <c r="AK329" s="35" t="inlineStr">
        <is>
          <t>M</t>
        </is>
      </c>
      <c r="AL329" s="35" t="inlineStr">
        <is>
          <t>M</t>
        </is>
      </c>
      <c r="AM329" s="36" t="n">
        <v>0.513</v>
      </c>
      <c r="AN329" s="37" t="n">
        <v>0.173</v>
      </c>
      <c r="AO329" s="37" t="n">
        <v>0.09699999999999999</v>
      </c>
      <c r="AP329" s="37" t="n">
        <v>0.05</v>
      </c>
      <c r="AQ329" s="37" t="n">
        <v>0.07000000000000001</v>
      </c>
      <c r="AR329" s="37" t="n">
        <v>0.06</v>
      </c>
      <c r="AS329" s="37" t="n">
        <v>0.04</v>
      </c>
      <c r="AT329" s="38" t="inlineStr">
        <is>
          <t>8–13</t>
        </is>
      </c>
      <c r="AU329" s="38" t="inlineStr">
        <is>
          <t>Postgraduate or professional qualification preferred</t>
        </is>
      </c>
      <c r="AV329" s="38" t="inlineStr">
        <is>
          <t>IC: none · People: 5–8 incl. team leads</t>
        </is>
      </c>
      <c r="AW329" s="38" t="inlineStr">
        <is>
          <t>P5 / M4 · SFIA 5 Ensure, advise</t>
        </is>
      </c>
      <c r="AX3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9" s="39" t="inlineStr">
        <is>
          <t>B3</t>
        </is>
      </c>
      <c r="AZ329" s="40" t="inlineStr">
        <is>
          <t>Band B · Specialist / Manager · Lead Specialist</t>
        </is>
      </c>
      <c r="BA329" s="40" t="inlineStr">
        <is>
          <t>Model B3 from the six ratings, the market-derived weights and rules R1–R13 · then No change · already below the manager</t>
        </is>
      </c>
      <c r="BB329" s="41" t="inlineStr">
        <is>
          <t>B3</t>
        </is>
      </c>
      <c r="BC329" s="40" t="inlineStr">
        <is>
          <t>The six ratings on the market-average weights of Band B · Specialist / POD Lead score 5.97 → B3 · Hay, Mercer IPE and public plans · experience 18.5 yrs vs the B3 market range 8–13</t>
        </is>
      </c>
      <c r="BD329" s="42">
        <f>IF(SUM(BM329,BN329,BO329,BP329,BQ329,BR329,BS329)=0,0,(BM329*BT329+BN329*BU329+BO329*BV329+BP329*BW329+BQ329*BX329+BR329*BY329+BS329*BZ329)/SUM(BM329,BN329,BO329,BP329,BQ329,BR329,BS329))</f>
        <v>0</v>
      </c>
      <c r="BE329" s="41" t="str">
        <f>IF(LEFT(AY329,1)="X",AY329,IF(OR(AY329="B+",AY329="C+"),INDEX(LAD_PC,MAX(1,MIN(14,MATCH(AY329,LAD_PC,0)+IF(BD329&gt;=0.5,1,IF(BD329&lt;=-0.5,-1,0))))),INDEX(LAD_STD,MAX(1,MIN(12,MATCH(AY329,LAD_STD,0)+IF(BD329&gt;=0.5,1,IF(BD329&lt;=-0.5,-1,0)))))))</f>
        <v>B3</v>
      </c>
      <c r="BF329" s="43" t="n"/>
      <c r="BG329" s="41" t="str">
        <f>IF(BF329&lt;&gt;"",BF329,BE329)</f>
        <v>B3</v>
      </c>
      <c r="BH329" s="40" t="str">
        <f>IFERROR(CHOOSE(INDEX(B_RANK,MATCH(BG329,B_LVL,0)),"Band A","Band B","B+ · Player-Coach","Band C","C+ · Player-Coach","Band D","Band E"),"Band X · Consultant")</f>
        <v>Band B</v>
      </c>
      <c r="BI329" s="40" t="str">
        <f>IF(BG329=AY329,"• Same",IF(INDEX(B_VAL,MATCH(BG329,B_LVL,0))&gt;INDEX(B_VAL,MATCH(AY329,B_LVL,0)),"▲ Up","▼ Down"))</f>
        <v>• Same</v>
      </c>
      <c r="BJ329" s="40" t="str">
        <f>IF(OR($M329="",$M329="—",$M329="Not in this file"),"",IFERROR(INDEX($BG$7:$BG$592,MATCH($M329,$D$7:$D$592,0)),""))</f>
        <v>C2</v>
      </c>
      <c r="BK329" s="40" t="str">
        <f>IFERROR(IF(BJ329="","—",IF(OR(LEFT(BG329,1)="X",LEFT(BJ329,1)="X"),"—",IF(AND(LEFT(BG329,1)="E",LEFT(BJ329,1)="E"),"Exception · Band E",IF(AND(INDEX(B_VAL,MATCH(BJ329,B_LVL,0))&gt;=7,INDEX(B_RANK,MATCH(BG329,B_LVL,0))&gt;=INDEX(B_RANK,MATCH(BJ329,B_LVL,0))),"⚠ Same band as a head manager",IF(INDEX(B_VAL,MATCH(BG329,B_LVL,0))&gt;=INDEX(B_VAL,MATCH(BJ329,B_LVL,0)),"⚠ At or above the manager's level","OK"))))),"—")</f>
        <v>OK</v>
      </c>
      <c r="BL329" s="43" t="n"/>
      <c r="BM329" s="44">
        <f>IFERROR(INDEX(LMH_PTS,MATCH(Y329,LMH_KEY,0)),0)</f>
        <v>9</v>
      </c>
      <c r="BN329" s="38">
        <f>IFERROR(INDEX(LMH_PTS,MATCH(Z329,LMH_KEY,0)),0)</f>
        <v>3</v>
      </c>
      <c r="BO329" s="38">
        <f>IFERROR(INDEX(LMH_PTS,MATCH(AA329,LMH_KEY,0)),0)</f>
        <v>1</v>
      </c>
      <c r="BP329" s="38">
        <f>IFERROR(INDEX(LMH_PTS,MATCH(AB329,LMH_KEY,0)),0)</f>
        <v>1</v>
      </c>
      <c r="BQ329" s="38">
        <f>IFERROR(INDEX(LMH_PTS,MATCH(AC329,LMH_KEY,0)),0)</f>
        <v>1</v>
      </c>
      <c r="BR329" s="38">
        <f>IFERROR(INDEX(LMH_PTS,MATCH(AD329,LMH_KEY,0)),0)</f>
        <v>1</v>
      </c>
      <c r="BS329" s="38">
        <f>IFERROR(INDEX(LMH_PTS,MATCH(AE329,LMH_KEY,0)),0)</f>
        <v>1</v>
      </c>
      <c r="BT329" s="38">
        <f>IFERROR(INDEX(LMH_STEP,MATCH(AF329,LMH_KEY,0)),0)</f>
        <v>0</v>
      </c>
      <c r="BU329" s="38">
        <f>IFERROR(INDEX(LMH_STEP,MATCH(AG329,LMH_KEY,0)),0)</f>
        <v>0</v>
      </c>
      <c r="BV329" s="38">
        <f>IFERROR(INDEX(LMH_STEP,MATCH(AH329,LMH_KEY,0)),0)</f>
        <v>0</v>
      </c>
      <c r="BW329" s="38">
        <f>IFERROR(INDEX(LMH_STEP,MATCH(AI329,LMH_KEY,0)),0)</f>
        <v>0</v>
      </c>
      <c r="BX329" s="38">
        <f>IFERROR(INDEX(LMH_STEP,MATCH(AJ329,LMH_KEY,0)),0)</f>
        <v>0</v>
      </c>
      <c r="BY329" s="38">
        <f>IFERROR(INDEX(LMH_STEP,MATCH(AK329,LMH_KEY,0)),0)</f>
        <v>0</v>
      </c>
      <c r="BZ329" s="38">
        <f>IFERROR(INDEX(LMH_STEP,MATCH(AL329,LMH_KEY,0)),0)</f>
        <v>0</v>
      </c>
      <c r="CA329" s="38" t="inlineStr">
        <is>
          <t>iFile|Technology|Program Manager|B3|B-IC</t>
        </is>
      </c>
    </row>
    <row r="330" ht="110" customHeight="1">
      <c r="A330" s="28" t="inlineStr">
        <is>
          <t>Corporate</t>
        </is>
      </c>
      <c r="B330" s="29" t="inlineStr">
        <is>
          <t>Technology</t>
        </is>
      </c>
      <c r="C330" s="29" t="n">
        <v>3</v>
      </c>
      <c r="D330" s="29" t="inlineStr">
        <is>
          <t>IRISC344</t>
        </is>
      </c>
      <c r="E330" s="29" t="inlineStr">
        <is>
          <t>Vikas Thakur</t>
        </is>
      </c>
      <c r="F330" s="29" t="inlineStr">
        <is>
          <t>Agile Coach</t>
        </is>
      </c>
      <c r="G330" s="29" t="inlineStr">
        <is>
          <t>Agile Coach</t>
        </is>
      </c>
      <c r="H330" s="29" t="inlineStr">
        <is>
          <t>Project &amp; Program Management</t>
        </is>
      </c>
      <c r="I330" s="29" t="inlineStr">
        <is>
          <t>PMO &amp; Delivery Excellence</t>
        </is>
      </c>
      <c r="J330" s="29" t="inlineStr">
        <is>
          <t>IC</t>
        </is>
      </c>
      <c r="K330" s="29" t="inlineStr">
        <is>
          <t>RC-133</t>
        </is>
      </c>
      <c r="L330" s="29" t="inlineStr">
        <is>
          <t>Pradip Dey</t>
        </is>
      </c>
      <c r="M330" s="29" t="inlineStr">
        <is>
          <t>IRISC223</t>
        </is>
      </c>
      <c r="N330" s="29" t="n">
        <v>11.4</v>
      </c>
      <c r="O330" s="29" t="n">
        <v>0.5</v>
      </c>
      <c r="P330" s="29" t="inlineStr">
        <is>
          <t>B.Tech</t>
        </is>
      </c>
      <c r="Q330" s="29" t="inlineStr">
        <is>
          <t>Not in current mapping files</t>
        </is>
      </c>
      <c r="R330" s="29" t="inlineStr">
        <is>
          <t>B3</t>
        </is>
      </c>
      <c r="S330" s="30" t="inlineStr">
        <is>
          <t>0 of 20</t>
        </is>
      </c>
      <c r="T33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30" s="32" t="inlineStr">
        <is>
          <t>KRAs not received · manager to supply</t>
        </is>
      </c>
      <c r="V330" s="31" t="inlineStr">
        <is>
          <t>Latest rating: Not rated · manager · 9-box: Not placed · manager · Readiness: No rating data</t>
        </is>
      </c>
      <c r="W330" s="31" t="inlineStr">
        <is>
          <t>C M · Au M · Ac M · L L · BI M · Exp M · 11.4 yrs vs 8–12 yrs · Edu L · B.Tech</t>
        </is>
      </c>
      <c r="X330" s="33" t="inlineStr">
        <is>
          <t>Open ▸</t>
        </is>
      </c>
      <c r="Y330" s="34" t="str">
        <f>IFERROR(INDEX(DL_C,MATCH($CA330,DL_KEY,0)),"M")</f>
        <v>H</v>
      </c>
      <c r="Z330" s="35" t="str">
        <f>IFERROR(INDEX(DL_Au,MATCH($CA330,DL_KEY,0)),"M")</f>
        <v>M</v>
      </c>
      <c r="AA330" s="35" t="str">
        <f>IFERROR(INDEX(DL_Ac,MATCH($CA330,DL_KEY,0)),"M")</f>
        <v>L</v>
      </c>
      <c r="AB330" s="35" t="str">
        <f>IFERROR(INDEX(DL_L,MATCH($CA330,DL_KEY,0)),"M")</f>
        <v>L</v>
      </c>
      <c r="AC330" s="35" t="str">
        <f>IFERROR(INDEX(DL_BI,MATCH($CA330,DL_KEY,0)),"M")</f>
        <v>L</v>
      </c>
      <c r="AD330" s="35" t="str">
        <f>IFERROR(INDEX(DL_Exp,MATCH($CA330,DL_KEY,0)),"M")</f>
        <v>L</v>
      </c>
      <c r="AE330" s="35" t="str">
        <f>IFERROR(INDEX(DL_Edu,MATCH($CA330,DL_KEY,0)),"M")</f>
        <v>L</v>
      </c>
      <c r="AF330" s="34" t="inlineStr">
        <is>
          <t>M</t>
        </is>
      </c>
      <c r="AG330" s="35" t="inlineStr">
        <is>
          <t>M</t>
        </is>
      </c>
      <c r="AH330" s="35" t="inlineStr">
        <is>
          <t>M</t>
        </is>
      </c>
      <c r="AI330" s="35" t="inlineStr">
        <is>
          <t>M</t>
        </is>
      </c>
      <c r="AJ330" s="35" t="inlineStr">
        <is>
          <t>M</t>
        </is>
      </c>
      <c r="AK330" s="35" t="inlineStr">
        <is>
          <t>M</t>
        </is>
      </c>
      <c r="AL330" s="35" t="inlineStr">
        <is>
          <t>M</t>
        </is>
      </c>
      <c r="AM330" s="36" t="n">
        <v>0.513</v>
      </c>
      <c r="AN330" s="37" t="n">
        <v>0.173</v>
      </c>
      <c r="AO330" s="37" t="n">
        <v>0.09699999999999999</v>
      </c>
      <c r="AP330" s="37" t="n">
        <v>0.05</v>
      </c>
      <c r="AQ330" s="37" t="n">
        <v>0.07000000000000001</v>
      </c>
      <c r="AR330" s="37" t="n">
        <v>0.06</v>
      </c>
      <c r="AS330" s="37" t="n">
        <v>0.04</v>
      </c>
      <c r="AT330" s="38" t="inlineStr">
        <is>
          <t>8–13</t>
        </is>
      </c>
      <c r="AU330" s="38" t="inlineStr">
        <is>
          <t>Postgraduate or professional qualification preferred</t>
        </is>
      </c>
      <c r="AV330" s="38" t="inlineStr">
        <is>
          <t>IC: none · People: 5–8 incl. team leads</t>
        </is>
      </c>
      <c r="AW330" s="38" t="inlineStr">
        <is>
          <t>P5 / M4 · SFIA 5 Ensure, advise</t>
        </is>
      </c>
      <c r="AX3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0" s="39" t="inlineStr">
        <is>
          <t>B3</t>
        </is>
      </c>
      <c r="AZ330" s="40" t="inlineStr">
        <is>
          <t>Band B · Specialist / Manager · Lead Specialist</t>
        </is>
      </c>
      <c r="BA330" s="40" t="inlineStr">
        <is>
          <t>Model B3 from the six ratings, the market-derived weights and rules R1–R13 · then No change · already below the manager</t>
        </is>
      </c>
      <c r="BB330" s="41" t="inlineStr">
        <is>
          <t>B3</t>
        </is>
      </c>
      <c r="BC330" s="40" t="inlineStr">
        <is>
          <t>The six ratings on the market-average weights of Band B · Specialist / POD Lead score 6.00 → B3 · Hay, Mercer IPE and public plans · experience 11.4 yrs vs the B3 market range 8–13</t>
        </is>
      </c>
      <c r="BD330" s="42">
        <f>IF(SUM(BM330,BN330,BO330,BP330,BQ330,BR330,BS330)=0,0,(BM330*BT330+BN330*BU330+BO330*BV330+BP330*BW330+BQ330*BX330+BR330*BY330+BS330*BZ330)/SUM(BM330,BN330,BO330,BP330,BQ330,BR330,BS330))</f>
        <v>0</v>
      </c>
      <c r="BE330" s="41" t="str">
        <f>IF(LEFT(AY330,1)="X",AY330,IF(OR(AY330="B+",AY330="C+"),INDEX(LAD_PC,MAX(1,MIN(14,MATCH(AY330,LAD_PC,0)+IF(BD330&gt;=0.5,1,IF(BD330&lt;=-0.5,-1,0))))),INDEX(LAD_STD,MAX(1,MIN(12,MATCH(AY330,LAD_STD,0)+IF(BD330&gt;=0.5,1,IF(BD330&lt;=-0.5,-1,0)))))))</f>
        <v>B3</v>
      </c>
      <c r="BF330" s="43" t="n"/>
      <c r="BG330" s="41" t="str">
        <f>IF(BF330&lt;&gt;"",BF330,BE330)</f>
        <v>B3</v>
      </c>
      <c r="BH330" s="40" t="str">
        <f>IFERROR(CHOOSE(INDEX(B_RANK,MATCH(BG330,B_LVL,0)),"Band A","Band B","B+ · Player-Coach","Band C","C+ · Player-Coach","Band D","Band E"),"Band X · Consultant")</f>
        <v>Band B</v>
      </c>
      <c r="BI330" s="40" t="str">
        <f>IF(BG330=AY330,"• Same",IF(INDEX(B_VAL,MATCH(BG330,B_LVL,0))&gt;INDEX(B_VAL,MATCH(AY330,B_LVL,0)),"▲ Up","▼ Down"))</f>
        <v>• Same</v>
      </c>
      <c r="BJ330" s="40" t="str">
        <f>IF(OR($M330="",$M330="—",$M330="Not in this file"),"",IFERROR(INDEX($BG$7:$BG$592,MATCH($M330,$D$7:$D$592,0)),""))</f>
        <v>C2</v>
      </c>
      <c r="BK330" s="40" t="str">
        <f>IFERROR(IF(BJ330="","—",IF(OR(LEFT(BG330,1)="X",LEFT(BJ330,1)="X"),"—",IF(AND(LEFT(BG330,1)="E",LEFT(BJ330,1)="E"),"Exception · Band E",IF(AND(INDEX(B_VAL,MATCH(BJ330,B_LVL,0))&gt;=7,INDEX(B_RANK,MATCH(BG330,B_LVL,0))&gt;=INDEX(B_RANK,MATCH(BJ330,B_LVL,0))),"⚠ Same band as a head manager",IF(INDEX(B_VAL,MATCH(BG330,B_LVL,0))&gt;=INDEX(B_VAL,MATCH(BJ330,B_LVL,0)),"⚠ At or above the manager's level","OK"))))),"—")</f>
        <v>OK</v>
      </c>
      <c r="BL330" s="43" t="n"/>
      <c r="BM330" s="44">
        <f>IFERROR(INDEX(LMH_PTS,MATCH(Y330,LMH_KEY,0)),0)</f>
        <v>9</v>
      </c>
      <c r="BN330" s="38">
        <f>IFERROR(INDEX(LMH_PTS,MATCH(Z330,LMH_KEY,0)),0)</f>
        <v>3</v>
      </c>
      <c r="BO330" s="38">
        <f>IFERROR(INDEX(LMH_PTS,MATCH(AA330,LMH_KEY,0)),0)</f>
        <v>1</v>
      </c>
      <c r="BP330" s="38">
        <f>IFERROR(INDEX(LMH_PTS,MATCH(AB330,LMH_KEY,0)),0)</f>
        <v>1</v>
      </c>
      <c r="BQ330" s="38">
        <f>IFERROR(INDEX(LMH_PTS,MATCH(AC330,LMH_KEY,0)),0)</f>
        <v>1</v>
      </c>
      <c r="BR330" s="38">
        <f>IFERROR(INDEX(LMH_PTS,MATCH(AD330,LMH_KEY,0)),0)</f>
        <v>1</v>
      </c>
      <c r="BS330" s="38">
        <f>IFERROR(INDEX(LMH_PTS,MATCH(AE330,LMH_KEY,0)),0)</f>
        <v>1</v>
      </c>
      <c r="BT330" s="38">
        <f>IFERROR(INDEX(LMH_STEP,MATCH(AF330,LMH_KEY,0)),0)</f>
        <v>0</v>
      </c>
      <c r="BU330" s="38">
        <f>IFERROR(INDEX(LMH_STEP,MATCH(AG330,LMH_KEY,0)),0)</f>
        <v>0</v>
      </c>
      <c r="BV330" s="38">
        <f>IFERROR(INDEX(LMH_STEP,MATCH(AH330,LMH_KEY,0)),0)</f>
        <v>0</v>
      </c>
      <c r="BW330" s="38">
        <f>IFERROR(INDEX(LMH_STEP,MATCH(AI330,LMH_KEY,0)),0)</f>
        <v>0</v>
      </c>
      <c r="BX330" s="38">
        <f>IFERROR(INDEX(LMH_STEP,MATCH(AJ330,LMH_KEY,0)),0)</f>
        <v>0</v>
      </c>
      <c r="BY330" s="38">
        <f>IFERROR(INDEX(LMH_STEP,MATCH(AK330,LMH_KEY,0)),0)</f>
        <v>0</v>
      </c>
      <c r="BZ330" s="38">
        <f>IFERROR(INDEX(LMH_STEP,MATCH(AL330,LMH_KEY,0)),0)</f>
        <v>0</v>
      </c>
      <c r="CA330" s="38" t="inlineStr">
        <is>
          <t>Corporate|Technology|Agile Coach|B3|B-IC</t>
        </is>
      </c>
    </row>
    <row r="331" ht="110" customHeight="1">
      <c r="A331" s="28" t="inlineStr">
        <is>
          <t>iFile</t>
        </is>
      </c>
      <c r="B331" s="29" t="inlineStr">
        <is>
          <t>Technology</t>
        </is>
      </c>
      <c r="C331" s="29" t="n">
        <v>3</v>
      </c>
      <c r="D331" s="29" t="inlineStr">
        <is>
          <t>IRIS1773</t>
        </is>
      </c>
      <c r="E331" s="29" t="inlineStr">
        <is>
          <t>Virendra Kumar Ray</t>
        </is>
      </c>
      <c r="F331" s="29" t="inlineStr">
        <is>
          <t>Technical Architect</t>
        </is>
      </c>
      <c r="G331" s="29" t="inlineStr">
        <is>
          <t>Associate Technical Architect</t>
        </is>
      </c>
      <c r="H331" s="29" t="inlineStr">
        <is>
          <t>Engineering &amp; Architecture</t>
        </is>
      </c>
      <c r="I331" s="29" t="inlineStr">
        <is>
          <t>Solution &amp; Technical Architecture</t>
        </is>
      </c>
      <c r="J331" s="29" t="inlineStr">
        <is>
          <t>IC</t>
        </is>
      </c>
      <c r="K331" s="29" t="inlineStr">
        <is>
          <t>RC-055</t>
        </is>
      </c>
      <c r="L331" s="29" t="inlineStr">
        <is>
          <t>Pradip Dey</t>
        </is>
      </c>
      <c r="M331" s="29" t="inlineStr">
        <is>
          <t>IRISC223</t>
        </is>
      </c>
      <c r="N331" s="29" t="n">
        <v>18.6</v>
      </c>
      <c r="O331" s="29" t="n">
        <v>7.5</v>
      </c>
      <c r="P331" s="29" t="inlineStr">
        <is>
          <t>B.E</t>
        </is>
      </c>
      <c r="Q331" s="29" t="inlineStr">
        <is>
          <t>Not in current mapping files</t>
        </is>
      </c>
      <c r="R331" s="29" t="inlineStr">
        <is>
          <t>B3</t>
        </is>
      </c>
      <c r="S331" s="30" t="inlineStr">
        <is>
          <t>20 of 20</t>
        </is>
      </c>
      <c r="T331" s="31"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t>
        </is>
      </c>
      <c r="U331" s="32" t="inlineStr">
        <is>
          <t>KRAs not received · manager to supply</t>
        </is>
      </c>
      <c r="V331" s="31" t="inlineStr">
        <is>
          <t>Latest rating: Not rated · manager · 9-box: Not placed · manager · Readiness: No rating data</t>
        </is>
      </c>
      <c r="W331" s="31" t="inlineStr">
        <is>
          <t>C M · Au M · Ac M · L L · BI M · Exp H · 18.6 yrs vs 8–12 yrs · Edu L · B.E</t>
        </is>
      </c>
      <c r="X331" s="33" t="inlineStr">
        <is>
          <t>Open ▸</t>
        </is>
      </c>
      <c r="Y331" s="34" t="str">
        <f>IFERROR(INDEX(DL_C,MATCH($CA331,DL_KEY,0)),"M")</f>
        <v>H</v>
      </c>
      <c r="Z331" s="35" t="str">
        <f>IFERROR(INDEX(DL_Au,MATCH($CA331,DL_KEY,0)),"M")</f>
        <v>M</v>
      </c>
      <c r="AA331" s="35" t="str">
        <f>IFERROR(INDEX(DL_Ac,MATCH($CA331,DL_KEY,0)),"M")</f>
        <v>L</v>
      </c>
      <c r="AB331" s="35" t="str">
        <f>IFERROR(INDEX(DL_L,MATCH($CA331,DL_KEY,0)),"M")</f>
        <v>L</v>
      </c>
      <c r="AC331" s="35" t="str">
        <f>IFERROR(INDEX(DL_BI,MATCH($CA331,DL_KEY,0)),"M")</f>
        <v>L</v>
      </c>
      <c r="AD331" s="35" t="str">
        <f>IFERROR(INDEX(DL_Exp,MATCH($CA331,DL_KEY,0)),"M")</f>
        <v>L</v>
      </c>
      <c r="AE331" s="35" t="str">
        <f>IFERROR(INDEX(DL_Edu,MATCH($CA331,DL_KEY,0)),"M")</f>
        <v>L</v>
      </c>
      <c r="AF331" s="34" t="inlineStr">
        <is>
          <t>M</t>
        </is>
      </c>
      <c r="AG331" s="35" t="inlineStr">
        <is>
          <t>M</t>
        </is>
      </c>
      <c r="AH331" s="35" t="inlineStr">
        <is>
          <t>M</t>
        </is>
      </c>
      <c r="AI331" s="35" t="inlineStr">
        <is>
          <t>M</t>
        </is>
      </c>
      <c r="AJ331" s="35" t="inlineStr">
        <is>
          <t>M</t>
        </is>
      </c>
      <c r="AK331" s="35" t="inlineStr">
        <is>
          <t>M</t>
        </is>
      </c>
      <c r="AL331" s="35" t="inlineStr">
        <is>
          <t>M</t>
        </is>
      </c>
      <c r="AM331" s="36" t="n">
        <v>0.513</v>
      </c>
      <c r="AN331" s="37" t="n">
        <v>0.173</v>
      </c>
      <c r="AO331" s="37" t="n">
        <v>0.09699999999999999</v>
      </c>
      <c r="AP331" s="37" t="n">
        <v>0.05</v>
      </c>
      <c r="AQ331" s="37" t="n">
        <v>0.07000000000000001</v>
      </c>
      <c r="AR331" s="37" t="n">
        <v>0.06</v>
      </c>
      <c r="AS331" s="37" t="n">
        <v>0.04</v>
      </c>
      <c r="AT331" s="38" t="inlineStr">
        <is>
          <t>8–13</t>
        </is>
      </c>
      <c r="AU331" s="38" t="inlineStr">
        <is>
          <t>Postgraduate or professional qualification preferred</t>
        </is>
      </c>
      <c r="AV331" s="38" t="inlineStr">
        <is>
          <t>IC: none · People: 5–8 incl. team leads</t>
        </is>
      </c>
      <c r="AW331" s="38" t="inlineStr">
        <is>
          <t>P5 / M4 · SFIA 5 Ensure, advise</t>
        </is>
      </c>
      <c r="AX3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1" s="39" t="inlineStr">
        <is>
          <t>B3</t>
        </is>
      </c>
      <c r="AZ331" s="40" t="inlineStr">
        <is>
          <t>Band B · Specialist / Manager · Lead Specialist</t>
        </is>
      </c>
      <c r="BA331" s="40" t="inlineStr">
        <is>
          <t>Model B3 from the six ratings, the market-derived weights and rules R1–R13 · then No change · already below the manager</t>
        </is>
      </c>
      <c r="BB331" s="41" t="inlineStr">
        <is>
          <t>B3</t>
        </is>
      </c>
      <c r="BC331" s="40" t="inlineStr">
        <is>
          <t>The six ratings on the market-average weights of Band B · Specialist / POD Lead score 6.30 → B3 · Hay, Mercer IPE and public plans · experience 18.6 yrs vs the B3 market range 8–13</t>
        </is>
      </c>
      <c r="BD331" s="42">
        <f>IF(SUM(BM331,BN331,BO331,BP331,BQ331,BR331,BS331)=0,0,(BM331*BT331+BN331*BU331+BO331*BV331+BP331*BW331+BQ331*BX331+BR331*BY331+BS331*BZ331)/SUM(BM331,BN331,BO331,BP331,BQ331,BR331,BS331))</f>
        <v>0</v>
      </c>
      <c r="BE331" s="41" t="str">
        <f>IF(LEFT(AY331,1)="X",AY331,IF(OR(AY331="B+",AY331="C+"),INDEX(LAD_PC,MAX(1,MIN(14,MATCH(AY331,LAD_PC,0)+IF(BD331&gt;=0.5,1,IF(BD331&lt;=-0.5,-1,0))))),INDEX(LAD_STD,MAX(1,MIN(12,MATCH(AY331,LAD_STD,0)+IF(BD331&gt;=0.5,1,IF(BD331&lt;=-0.5,-1,0)))))))</f>
        <v>B3</v>
      </c>
      <c r="BF331" s="43" t="n"/>
      <c r="BG331" s="41" t="str">
        <f>IF(BF331&lt;&gt;"",BF331,BE331)</f>
        <v>B3</v>
      </c>
      <c r="BH331" s="40" t="str">
        <f>IFERROR(CHOOSE(INDEX(B_RANK,MATCH(BG331,B_LVL,0)),"Band A","Band B","B+ · Player-Coach","Band C","C+ · Player-Coach","Band D","Band E"),"Band X · Consultant")</f>
        <v>Band B</v>
      </c>
      <c r="BI331" s="40" t="str">
        <f>IF(BG331=AY331,"• Same",IF(INDEX(B_VAL,MATCH(BG331,B_LVL,0))&gt;INDEX(B_VAL,MATCH(AY331,B_LVL,0)),"▲ Up","▼ Down"))</f>
        <v>• Same</v>
      </c>
      <c r="BJ331" s="40" t="str">
        <f>IF(OR($M331="",$M331="—",$M331="Not in this file"),"",IFERROR(INDEX($BG$7:$BG$592,MATCH($M331,$D$7:$D$592,0)),""))</f>
        <v>C2</v>
      </c>
      <c r="BK331" s="40" t="str">
        <f>IFERROR(IF(BJ331="","—",IF(OR(LEFT(BG331,1)="X",LEFT(BJ331,1)="X"),"—",IF(AND(LEFT(BG331,1)="E",LEFT(BJ331,1)="E"),"Exception · Band E",IF(AND(INDEX(B_VAL,MATCH(BJ331,B_LVL,0))&gt;=7,INDEX(B_RANK,MATCH(BG331,B_LVL,0))&gt;=INDEX(B_RANK,MATCH(BJ331,B_LVL,0))),"⚠ Same band as a head manager",IF(INDEX(B_VAL,MATCH(BG331,B_LVL,0))&gt;=INDEX(B_VAL,MATCH(BJ331,B_LVL,0)),"⚠ At or above the manager's level","OK"))))),"—")</f>
        <v>OK</v>
      </c>
      <c r="BL331" s="43" t="n"/>
      <c r="BM331" s="44">
        <f>IFERROR(INDEX(LMH_PTS,MATCH(Y331,LMH_KEY,0)),0)</f>
        <v>9</v>
      </c>
      <c r="BN331" s="38">
        <f>IFERROR(INDEX(LMH_PTS,MATCH(Z331,LMH_KEY,0)),0)</f>
        <v>3</v>
      </c>
      <c r="BO331" s="38">
        <f>IFERROR(INDEX(LMH_PTS,MATCH(AA331,LMH_KEY,0)),0)</f>
        <v>1</v>
      </c>
      <c r="BP331" s="38">
        <f>IFERROR(INDEX(LMH_PTS,MATCH(AB331,LMH_KEY,0)),0)</f>
        <v>1</v>
      </c>
      <c r="BQ331" s="38">
        <f>IFERROR(INDEX(LMH_PTS,MATCH(AC331,LMH_KEY,0)),0)</f>
        <v>1</v>
      </c>
      <c r="BR331" s="38">
        <f>IFERROR(INDEX(LMH_PTS,MATCH(AD331,LMH_KEY,0)),0)</f>
        <v>1</v>
      </c>
      <c r="BS331" s="38">
        <f>IFERROR(INDEX(LMH_PTS,MATCH(AE331,LMH_KEY,0)),0)</f>
        <v>1</v>
      </c>
      <c r="BT331" s="38">
        <f>IFERROR(INDEX(LMH_STEP,MATCH(AF331,LMH_KEY,0)),0)</f>
        <v>0</v>
      </c>
      <c r="BU331" s="38">
        <f>IFERROR(INDEX(LMH_STEP,MATCH(AG331,LMH_KEY,0)),0)</f>
        <v>0</v>
      </c>
      <c r="BV331" s="38">
        <f>IFERROR(INDEX(LMH_STEP,MATCH(AH331,LMH_KEY,0)),0)</f>
        <v>0</v>
      </c>
      <c r="BW331" s="38">
        <f>IFERROR(INDEX(LMH_STEP,MATCH(AI331,LMH_KEY,0)),0)</f>
        <v>0</v>
      </c>
      <c r="BX331" s="38">
        <f>IFERROR(INDEX(LMH_STEP,MATCH(AJ331,LMH_KEY,0)),0)</f>
        <v>0</v>
      </c>
      <c r="BY331" s="38">
        <f>IFERROR(INDEX(LMH_STEP,MATCH(AK331,LMH_KEY,0)),0)</f>
        <v>0</v>
      </c>
      <c r="BZ331" s="38">
        <f>IFERROR(INDEX(LMH_STEP,MATCH(AL331,LMH_KEY,0)),0)</f>
        <v>0</v>
      </c>
      <c r="CA331" s="38" t="inlineStr">
        <is>
          <t>iFile|Technology|Associate Technical Architect|B3|B-IC</t>
        </is>
      </c>
    </row>
    <row r="332" ht="110" customHeight="1">
      <c r="A332" s="28" t="inlineStr">
        <is>
          <t>iFile</t>
        </is>
      </c>
      <c r="B332" s="29" t="inlineStr">
        <is>
          <t>Quality Assurance</t>
        </is>
      </c>
      <c r="C332" s="29" t="n">
        <v>3</v>
      </c>
      <c r="D332" s="29" t="inlineStr">
        <is>
          <t>IRIS0728</t>
        </is>
      </c>
      <c r="E332" s="29" t="inlineStr">
        <is>
          <t>Davinder Pal Singh</t>
        </is>
      </c>
      <c r="F332" s="29" t="inlineStr">
        <is>
          <t>QA Manager</t>
        </is>
      </c>
      <c r="G332" s="29" t="inlineStr">
        <is>
          <t>Senior QA Manager</t>
        </is>
      </c>
      <c r="H332" s="29" t="inlineStr">
        <is>
          <t>Quality Assurance</t>
        </is>
      </c>
      <c r="I332" s="29" t="inlineStr">
        <is>
          <t>Test Management &amp; QA Leadership</t>
        </is>
      </c>
      <c r="J332" s="29" t="inlineStr">
        <is>
          <t>People Manager</t>
        </is>
      </c>
      <c r="K332" s="29" t="inlineStr">
        <is>
          <t>RC-148</t>
        </is>
      </c>
      <c r="L332" s="29" t="inlineStr">
        <is>
          <t>Pradip Dey</t>
        </is>
      </c>
      <c r="M332" s="29" t="inlineStr">
        <is>
          <t>IRISC223</t>
        </is>
      </c>
      <c r="N332" s="29" t="n">
        <v>16.7</v>
      </c>
      <c r="O332" s="29" t="n">
        <v>15.3</v>
      </c>
      <c r="P332" s="29" t="inlineStr">
        <is>
          <t>B.Tech</t>
        </is>
      </c>
      <c r="Q332" s="29" t="inlineStr">
        <is>
          <t>L5 – Manager</t>
        </is>
      </c>
      <c r="R332" s="29" t="inlineStr">
        <is>
          <t>B2</t>
        </is>
      </c>
      <c r="S332" s="30" t="inlineStr">
        <is>
          <t>20 of 20</t>
        </is>
      </c>
      <c r="T332" s="31"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t>
        </is>
      </c>
      <c r="U332" s="31" t="inlineStr">
        <is>
          <t>Received · manager annual, quarterly · 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t>
        </is>
      </c>
      <c r="V332" s="31" t="inlineStr">
        <is>
          <t>Latest rating: 4 · Potential: High · 9-box: Trusted Professional · Readiness: Ready now</t>
        </is>
      </c>
      <c r="W332" s="31" t="inlineStr">
        <is>
          <t>C M · Au M · Ac M · L M · BI M · Exp H · 16.7 yrs vs 6–9 yrs · Edu M · B.Tech</t>
        </is>
      </c>
      <c r="X332" s="33" t="inlineStr">
        <is>
          <t>Open ▸</t>
        </is>
      </c>
      <c r="Y332" s="34" t="str">
        <f>IFERROR(INDEX(DL_C,MATCH($CA332,DL_KEY,0)),"M")</f>
        <v>H</v>
      </c>
      <c r="Z332" s="35" t="str">
        <f>IFERROR(INDEX(DL_Au,MATCH($CA332,DL_KEY,0)),"M")</f>
        <v>M</v>
      </c>
      <c r="AA332" s="35" t="str">
        <f>IFERROR(INDEX(DL_Ac,MATCH($CA332,DL_KEY,0)),"M")</f>
        <v>L</v>
      </c>
      <c r="AB332" s="35" t="str">
        <f>IFERROR(INDEX(DL_L,MATCH($CA332,DL_KEY,0)),"M")</f>
        <v>M</v>
      </c>
      <c r="AC332" s="35" t="str">
        <f>IFERROR(INDEX(DL_BI,MATCH($CA332,DL_KEY,0)),"M")</f>
        <v>L</v>
      </c>
      <c r="AD332" s="35" t="str">
        <f>IFERROR(INDEX(DL_Exp,MATCH($CA332,DL_KEY,0)),"M")</f>
        <v>L</v>
      </c>
      <c r="AE332" s="35" t="str">
        <f>IFERROR(INDEX(DL_Edu,MATCH($CA332,DL_KEY,0)),"M")</f>
        <v>L</v>
      </c>
      <c r="AF332" s="34" t="inlineStr">
        <is>
          <t>M</t>
        </is>
      </c>
      <c r="AG332" s="35" t="inlineStr">
        <is>
          <t>M</t>
        </is>
      </c>
      <c r="AH332" s="35" t="inlineStr">
        <is>
          <t>M</t>
        </is>
      </c>
      <c r="AI332" s="35" t="inlineStr">
        <is>
          <t>M</t>
        </is>
      </c>
      <c r="AJ332" s="35" t="inlineStr">
        <is>
          <t>M</t>
        </is>
      </c>
      <c r="AK332" s="35" t="inlineStr">
        <is>
          <t>M</t>
        </is>
      </c>
      <c r="AL332" s="35" t="inlineStr">
        <is>
          <t>M</t>
        </is>
      </c>
      <c r="AM332" s="36" t="n">
        <v>0.37</v>
      </c>
      <c r="AN332" s="37" t="n">
        <v>0.183</v>
      </c>
      <c r="AO332" s="37" t="n">
        <v>0.113</v>
      </c>
      <c r="AP332" s="37" t="n">
        <v>0.15</v>
      </c>
      <c r="AQ332" s="37" t="n">
        <v>0.08699999999999999</v>
      </c>
      <c r="AR332" s="37" t="n">
        <v>0.06</v>
      </c>
      <c r="AS332" s="37" t="n">
        <v>0.04</v>
      </c>
      <c r="AT332" s="38" t="inlineStr">
        <is>
          <t>6–10</t>
        </is>
      </c>
      <c r="AU332" s="38" t="inlineStr">
        <is>
          <t>Graduate or postgraduate; professional qualification preferred</t>
        </is>
      </c>
      <c r="AV332" s="38" t="inlineStr">
        <is>
          <t>IC: none · People: 6–8 knowledge work, 8–12 standardised delivery</t>
        </is>
      </c>
      <c r="AW332" s="38" t="inlineStr">
        <is>
          <t>P4 / M3 · SFIA 4–5</t>
        </is>
      </c>
      <c r="AX3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2" s="39" t="inlineStr">
        <is>
          <t>B2</t>
        </is>
      </c>
      <c r="AZ332" s="40" t="inlineStr">
        <is>
          <t>Band B · Specialist / Manager · Manager</t>
        </is>
      </c>
      <c r="BA332" s="40" t="inlineStr">
        <is>
          <t>Model B2 from the six ratings, the market-derived weights and rules R1–R13 · then No change · already below the manager</t>
        </is>
      </c>
      <c r="BB332" s="41" t="inlineStr">
        <is>
          <t>B2</t>
        </is>
      </c>
      <c r="BC332" s="40" t="inlineStr">
        <is>
          <t>The six ratings on the market-average weights of Band B · People Manager score 5.43 → B2 · Hay, Mercer IPE and public plans · experience 16.7 yrs vs the B2 market range 6–10</t>
        </is>
      </c>
      <c r="BD332" s="42">
        <f>IF(SUM(BM332,BN332,BO332,BP332,BQ332,BR332,BS332)=0,0,(BM332*BT332+BN332*BU332+BO332*BV332+BP332*BW332+BQ332*BX332+BR332*BY332+BS332*BZ332)/SUM(BM332,BN332,BO332,BP332,BQ332,BR332,BS332))</f>
        <v>0</v>
      </c>
      <c r="BE332" s="41" t="str">
        <f>IF(LEFT(AY332,1)="X",AY332,IF(OR(AY332="B+",AY332="C+"),INDEX(LAD_PC,MAX(1,MIN(14,MATCH(AY332,LAD_PC,0)+IF(BD332&gt;=0.5,1,IF(BD332&lt;=-0.5,-1,0))))),INDEX(LAD_STD,MAX(1,MIN(12,MATCH(AY332,LAD_STD,0)+IF(BD332&gt;=0.5,1,IF(BD332&lt;=-0.5,-1,0)))))))</f>
        <v>B2</v>
      </c>
      <c r="BF332" s="43" t="n"/>
      <c r="BG332" s="41" t="str">
        <f>IF(BF332&lt;&gt;"",BF332,BE332)</f>
        <v>B2</v>
      </c>
      <c r="BH332" s="40" t="str">
        <f>IFERROR(CHOOSE(INDEX(B_RANK,MATCH(BG332,B_LVL,0)),"Band A","Band B","B+ · Player-Coach","Band C","C+ · Player-Coach","Band D","Band E"),"Band X · Consultant")</f>
        <v>Band B</v>
      </c>
      <c r="BI332" s="40" t="str">
        <f>IF(BG332=AY332,"• Same",IF(INDEX(B_VAL,MATCH(BG332,B_LVL,0))&gt;INDEX(B_VAL,MATCH(AY332,B_LVL,0)),"▲ Up","▼ Down"))</f>
        <v>• Same</v>
      </c>
      <c r="BJ332" s="40" t="str">
        <f>IF(OR($M332="",$M332="—",$M332="Not in this file"),"",IFERROR(INDEX($BG$7:$BG$592,MATCH($M332,$D$7:$D$592,0)),""))</f>
        <v>C2</v>
      </c>
      <c r="BK332" s="40" t="str">
        <f>IFERROR(IF(BJ332="","—",IF(OR(LEFT(BG332,1)="X",LEFT(BJ332,1)="X"),"—",IF(AND(LEFT(BG332,1)="E",LEFT(BJ332,1)="E"),"Exception · Band E",IF(AND(INDEX(B_VAL,MATCH(BJ332,B_LVL,0))&gt;=7,INDEX(B_RANK,MATCH(BG332,B_LVL,0))&gt;=INDEX(B_RANK,MATCH(BJ332,B_LVL,0))),"⚠ Same band as a head manager",IF(INDEX(B_VAL,MATCH(BG332,B_LVL,0))&gt;=INDEX(B_VAL,MATCH(BJ332,B_LVL,0)),"⚠ At or above the manager's level","OK"))))),"—")</f>
        <v>OK</v>
      </c>
      <c r="BL332" s="43" t="n"/>
      <c r="BM332" s="44">
        <f>IFERROR(INDEX(LMH_PTS,MATCH(Y332,LMH_KEY,0)),0)</f>
        <v>9</v>
      </c>
      <c r="BN332" s="38">
        <f>IFERROR(INDEX(LMH_PTS,MATCH(Z332,LMH_KEY,0)),0)</f>
        <v>3</v>
      </c>
      <c r="BO332" s="38">
        <f>IFERROR(INDEX(LMH_PTS,MATCH(AA332,LMH_KEY,0)),0)</f>
        <v>1</v>
      </c>
      <c r="BP332" s="38">
        <f>IFERROR(INDEX(LMH_PTS,MATCH(AB332,LMH_KEY,0)),0)</f>
        <v>3</v>
      </c>
      <c r="BQ332" s="38">
        <f>IFERROR(INDEX(LMH_PTS,MATCH(AC332,LMH_KEY,0)),0)</f>
        <v>1</v>
      </c>
      <c r="BR332" s="38">
        <f>IFERROR(INDEX(LMH_PTS,MATCH(AD332,LMH_KEY,0)),0)</f>
        <v>1</v>
      </c>
      <c r="BS332" s="38">
        <f>IFERROR(INDEX(LMH_PTS,MATCH(AE332,LMH_KEY,0)),0)</f>
        <v>1</v>
      </c>
      <c r="BT332" s="38">
        <f>IFERROR(INDEX(LMH_STEP,MATCH(AF332,LMH_KEY,0)),0)</f>
        <v>0</v>
      </c>
      <c r="BU332" s="38">
        <f>IFERROR(INDEX(LMH_STEP,MATCH(AG332,LMH_KEY,0)),0)</f>
        <v>0</v>
      </c>
      <c r="BV332" s="38">
        <f>IFERROR(INDEX(LMH_STEP,MATCH(AH332,LMH_KEY,0)),0)</f>
        <v>0</v>
      </c>
      <c r="BW332" s="38">
        <f>IFERROR(INDEX(LMH_STEP,MATCH(AI332,LMH_KEY,0)),0)</f>
        <v>0</v>
      </c>
      <c r="BX332" s="38">
        <f>IFERROR(INDEX(LMH_STEP,MATCH(AJ332,LMH_KEY,0)),0)</f>
        <v>0</v>
      </c>
      <c r="BY332" s="38">
        <f>IFERROR(INDEX(LMH_STEP,MATCH(AK332,LMH_KEY,0)),0)</f>
        <v>0</v>
      </c>
      <c r="BZ332" s="38">
        <f>IFERROR(INDEX(LMH_STEP,MATCH(AL332,LMH_KEY,0)),0)</f>
        <v>0</v>
      </c>
      <c r="CA332" s="38" t="inlineStr">
        <is>
          <t>iFile|Quality Assurance|Senior QA Manager|B2|B-M</t>
        </is>
      </c>
    </row>
    <row r="333" ht="110" customHeight="1">
      <c r="A333" s="28" t="inlineStr">
        <is>
          <t>iFile</t>
        </is>
      </c>
      <c r="B333" s="29" t="inlineStr">
        <is>
          <t>Quality Assurance</t>
        </is>
      </c>
      <c r="C333" s="29" t="n">
        <v>4</v>
      </c>
      <c r="D333" s="29" t="inlineStr">
        <is>
          <t>IRIS2115</t>
        </is>
      </c>
      <c r="E333" s="29" t="inlineStr">
        <is>
          <t>Sameer Joshi</t>
        </is>
      </c>
      <c r="F333" s="29" t="inlineStr">
        <is>
          <t>QA-Lead</t>
        </is>
      </c>
      <c r="G333" s="29" t="inlineStr">
        <is>
          <t>Senior QA Specialist – POD Lead</t>
        </is>
      </c>
      <c r="H333" s="29" t="inlineStr">
        <is>
          <t>Quality Assurance</t>
        </is>
      </c>
      <c r="I333" s="29" t="inlineStr">
        <is>
          <t>Test Management &amp; QA Leadership</t>
        </is>
      </c>
      <c r="J333" s="29" t="inlineStr">
        <is>
          <t>POD Lead</t>
        </is>
      </c>
      <c r="K333" s="29" t="inlineStr">
        <is>
          <t>RC-147</t>
        </is>
      </c>
      <c r="L333" s="29" t="inlineStr">
        <is>
          <t>Davinder Pal Singh</t>
        </is>
      </c>
      <c r="M333" s="29" t="inlineStr">
        <is>
          <t>IRIS0728</t>
        </is>
      </c>
      <c r="N333" s="29" t="n">
        <v>19.4</v>
      </c>
      <c r="O333" s="29" t="n">
        <v>3.4</v>
      </c>
      <c r="P333" s="29" t="inlineStr">
        <is>
          <t>B.SC</t>
        </is>
      </c>
      <c r="Q333" s="29" t="inlineStr">
        <is>
          <t>L5 – Lead · IC</t>
        </is>
      </c>
      <c r="R333" s="29" t="inlineStr">
        <is>
          <t>B2</t>
        </is>
      </c>
      <c r="S333" s="30" t="inlineStr">
        <is>
          <t>20 of 20</t>
        </is>
      </c>
      <c r="T333" s="31"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t>
        </is>
      </c>
      <c r="U333" s="31" t="inlineStr">
        <is>
          <t>Received · manager annual, quarterly, self · 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t>
        </is>
      </c>
      <c r="V333" s="31" t="inlineStr">
        <is>
          <t>Latest rating: 4 · Potential: High · 9-box: Reliable Specialist · Readiness: Ready now</t>
        </is>
      </c>
      <c r="W333" s="31" t="inlineStr">
        <is>
          <t>C M · Au M · Ac M · L M · BI M · Exp H · 19.4 yrs vs 4–7 yrs · Edu M · B.SC</t>
        </is>
      </c>
      <c r="X333" s="33" t="inlineStr">
        <is>
          <t>Open ▸</t>
        </is>
      </c>
      <c r="Y333" s="34" t="str">
        <f>IFERROR(INDEX(DL_C,MATCH($CA333,DL_KEY,0)),"M")</f>
        <v>H</v>
      </c>
      <c r="Z333" s="35" t="str">
        <f>IFERROR(INDEX(DL_Au,MATCH($CA333,DL_KEY,0)),"M")</f>
        <v>M</v>
      </c>
      <c r="AA333" s="35" t="str">
        <f>IFERROR(INDEX(DL_Ac,MATCH($CA333,DL_KEY,0)),"M")</f>
        <v>L</v>
      </c>
      <c r="AB333" s="35" t="str">
        <f>IFERROR(INDEX(DL_L,MATCH($CA333,DL_KEY,0)),"M")</f>
        <v>L</v>
      </c>
      <c r="AC333" s="35" t="str">
        <f>IFERROR(INDEX(DL_BI,MATCH($CA333,DL_KEY,0)),"M")</f>
        <v>L</v>
      </c>
      <c r="AD333" s="35" t="str">
        <f>IFERROR(INDEX(DL_Exp,MATCH($CA333,DL_KEY,0)),"M")</f>
        <v>L</v>
      </c>
      <c r="AE333" s="35" t="str">
        <f>IFERROR(INDEX(DL_Edu,MATCH($CA333,DL_KEY,0)),"M")</f>
        <v>L</v>
      </c>
      <c r="AF333" s="34" t="inlineStr">
        <is>
          <t>M</t>
        </is>
      </c>
      <c r="AG333" s="35" t="inlineStr">
        <is>
          <t>M</t>
        </is>
      </c>
      <c r="AH333" s="35" t="inlineStr">
        <is>
          <t>M</t>
        </is>
      </c>
      <c r="AI333" s="35" t="inlineStr">
        <is>
          <t>M</t>
        </is>
      </c>
      <c r="AJ333" s="35" t="inlineStr">
        <is>
          <t>M</t>
        </is>
      </c>
      <c r="AK333" s="35" t="inlineStr">
        <is>
          <t>M</t>
        </is>
      </c>
      <c r="AL333" s="35" t="inlineStr">
        <is>
          <t>M</t>
        </is>
      </c>
      <c r="AM333" s="36" t="n">
        <v>0.513</v>
      </c>
      <c r="AN333" s="37" t="n">
        <v>0.173</v>
      </c>
      <c r="AO333" s="37" t="n">
        <v>0.09699999999999999</v>
      </c>
      <c r="AP333" s="37" t="n">
        <v>0.05</v>
      </c>
      <c r="AQ333" s="37" t="n">
        <v>0.07000000000000001</v>
      </c>
      <c r="AR333" s="37" t="n">
        <v>0.06</v>
      </c>
      <c r="AS333" s="37" t="n">
        <v>0.04</v>
      </c>
      <c r="AT333" s="38" t="inlineStr">
        <is>
          <t>4–8</t>
        </is>
      </c>
      <c r="AU333" s="38" t="inlineStr">
        <is>
          <t>Graduate + relevant qualification or certification preferred</t>
        </is>
      </c>
      <c r="AV333" s="38" t="inlineStr">
        <is>
          <t>IC: none · Team Lead: 3–5</t>
        </is>
      </c>
      <c r="AW333" s="38" t="inlineStr">
        <is>
          <t>P3 / M2 · SFIA 4 Enable</t>
        </is>
      </c>
      <c r="AX3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3" s="39" t="inlineStr">
        <is>
          <t>B1</t>
        </is>
      </c>
      <c r="AZ333" s="40" t="inlineStr">
        <is>
          <t>Band B · Specialist / Manager · Team Lead / Asst Manager</t>
        </is>
      </c>
      <c r="BA333" s="40" t="inlineStr">
        <is>
          <t>Model B2 from the six ratings, the market-derived weights and rules R1–R13 · then Level rule: manager B2; a reportee sits at least one level below · B2 → B1 · move down · pay and title protected for one cycle</t>
        </is>
      </c>
      <c r="BB333" s="41" t="inlineStr">
        <is>
          <t>B2</t>
        </is>
      </c>
      <c r="BC333" s="40" t="inlineStr">
        <is>
          <t>The six ratings on the market-average weights of Band B · Specialist / POD Lead score 4.55 → B2 · Hay, Mercer IPE and public plans · experience 19.4 yrs vs the B2 market range 6–10</t>
        </is>
      </c>
      <c r="BD333" s="42">
        <f>IF(SUM(BM333,BN333,BO333,BP333,BQ333,BR333,BS333)=0,0,(BM333*BT333+BN333*BU333+BO333*BV333+BP333*BW333+BQ333*BX333+BR333*BY333+BS333*BZ333)/SUM(BM333,BN333,BO333,BP333,BQ333,BR333,BS333))</f>
        <v>0</v>
      </c>
      <c r="BE333" s="41" t="str">
        <f>IF(LEFT(AY333,1)="X",AY333,IF(OR(AY333="B+",AY333="C+"),INDEX(LAD_PC,MAX(1,MIN(14,MATCH(AY333,LAD_PC,0)+IF(BD333&gt;=0.5,1,IF(BD333&lt;=-0.5,-1,0))))),INDEX(LAD_STD,MAX(1,MIN(12,MATCH(AY333,LAD_STD,0)+IF(BD333&gt;=0.5,1,IF(BD333&lt;=-0.5,-1,0)))))))</f>
        <v>B1</v>
      </c>
      <c r="BF333" s="43" t="n"/>
      <c r="BG333" s="41" t="str">
        <f>IF(BF333&lt;&gt;"",BF333,BE333)</f>
        <v>B1</v>
      </c>
      <c r="BH333" s="40" t="str">
        <f>IFERROR(CHOOSE(INDEX(B_RANK,MATCH(BG333,B_LVL,0)),"Band A","Band B","B+ · Player-Coach","Band C","C+ · Player-Coach","Band D","Band E"),"Band X · Consultant")</f>
        <v>Band B</v>
      </c>
      <c r="BI333" s="40" t="str">
        <f>IF(BG333=AY333,"• Same",IF(INDEX(B_VAL,MATCH(BG333,B_LVL,0))&gt;INDEX(B_VAL,MATCH(AY333,B_LVL,0)),"▲ Up","▼ Down"))</f>
        <v>• Same</v>
      </c>
      <c r="BJ333" s="40" t="str">
        <f>IF(OR($M333="",$M333="—",$M333="Not in this file"),"",IFERROR(INDEX($BG$7:$BG$592,MATCH($M333,$D$7:$D$592,0)),""))</f>
        <v>B2</v>
      </c>
      <c r="BK333" s="40" t="str">
        <f>IFERROR(IF(BJ333="","—",IF(OR(LEFT(BG333,1)="X",LEFT(BJ333,1)="X"),"—",IF(AND(LEFT(BG333,1)="E",LEFT(BJ333,1)="E"),"Exception · Band E",IF(AND(INDEX(B_VAL,MATCH(BJ333,B_LVL,0))&gt;=7,INDEX(B_RANK,MATCH(BG333,B_LVL,0))&gt;=INDEX(B_RANK,MATCH(BJ333,B_LVL,0))),"⚠ Same band as a head manager",IF(INDEX(B_VAL,MATCH(BG333,B_LVL,0))&gt;=INDEX(B_VAL,MATCH(BJ333,B_LVL,0)),"⚠ At or above the manager's level","OK"))))),"—")</f>
        <v>OK</v>
      </c>
      <c r="BL333" s="43" t="n"/>
      <c r="BM333" s="44">
        <f>IFERROR(INDEX(LMH_PTS,MATCH(Y333,LMH_KEY,0)),0)</f>
        <v>9</v>
      </c>
      <c r="BN333" s="38">
        <f>IFERROR(INDEX(LMH_PTS,MATCH(Z333,LMH_KEY,0)),0)</f>
        <v>3</v>
      </c>
      <c r="BO333" s="38">
        <f>IFERROR(INDEX(LMH_PTS,MATCH(AA333,LMH_KEY,0)),0)</f>
        <v>1</v>
      </c>
      <c r="BP333" s="38">
        <f>IFERROR(INDEX(LMH_PTS,MATCH(AB333,LMH_KEY,0)),0)</f>
        <v>1</v>
      </c>
      <c r="BQ333" s="38">
        <f>IFERROR(INDEX(LMH_PTS,MATCH(AC333,LMH_KEY,0)),0)</f>
        <v>1</v>
      </c>
      <c r="BR333" s="38">
        <f>IFERROR(INDEX(LMH_PTS,MATCH(AD333,LMH_KEY,0)),0)</f>
        <v>1</v>
      </c>
      <c r="BS333" s="38">
        <f>IFERROR(INDEX(LMH_PTS,MATCH(AE333,LMH_KEY,0)),0)</f>
        <v>1</v>
      </c>
      <c r="BT333" s="38">
        <f>IFERROR(INDEX(LMH_STEP,MATCH(AF333,LMH_KEY,0)),0)</f>
        <v>0</v>
      </c>
      <c r="BU333" s="38">
        <f>IFERROR(INDEX(LMH_STEP,MATCH(AG333,LMH_KEY,0)),0)</f>
        <v>0</v>
      </c>
      <c r="BV333" s="38">
        <f>IFERROR(INDEX(LMH_STEP,MATCH(AH333,LMH_KEY,0)),0)</f>
        <v>0</v>
      </c>
      <c r="BW333" s="38">
        <f>IFERROR(INDEX(LMH_STEP,MATCH(AI333,LMH_KEY,0)),0)</f>
        <v>0</v>
      </c>
      <c r="BX333" s="38">
        <f>IFERROR(INDEX(LMH_STEP,MATCH(AJ333,LMH_KEY,0)),0)</f>
        <v>0</v>
      </c>
      <c r="BY333" s="38">
        <f>IFERROR(INDEX(LMH_STEP,MATCH(AK333,LMH_KEY,0)),0)</f>
        <v>0</v>
      </c>
      <c r="BZ333" s="38">
        <f>IFERROR(INDEX(LMH_STEP,MATCH(AL333,LMH_KEY,0)),0)</f>
        <v>0</v>
      </c>
      <c r="CA333" s="38" t="inlineStr">
        <is>
          <t>iFile|Quality Assurance|Senior QA Specialist – POD Lead|B1|B-IC</t>
        </is>
      </c>
    </row>
    <row r="334" ht="110" customHeight="1">
      <c r="A334" s="28" t="inlineStr">
        <is>
          <t>iFile</t>
        </is>
      </c>
      <c r="B334" s="29" t="inlineStr">
        <is>
          <t>Quality Assurance</t>
        </is>
      </c>
      <c r="C334" s="29" t="n">
        <v>5</v>
      </c>
      <c r="D334" s="29" t="inlineStr">
        <is>
          <t>IRIS2040</t>
        </is>
      </c>
      <c r="E334" s="29" t="inlineStr">
        <is>
          <t>Sandeep Padhi</t>
        </is>
      </c>
      <c r="F334" s="29" t="inlineStr">
        <is>
          <t>QA Engineer</t>
        </is>
      </c>
      <c r="G334" s="29" t="inlineStr">
        <is>
          <t>Senior QA Engineer</t>
        </is>
      </c>
      <c r="H334" s="29" t="inlineStr">
        <is>
          <t>Quality Assurance</t>
        </is>
      </c>
      <c r="I334" s="29" t="inlineStr">
        <is>
          <t>Functional &amp; Domain Testing</t>
        </is>
      </c>
      <c r="J334" s="29" t="inlineStr">
        <is>
          <t>IC</t>
        </is>
      </c>
      <c r="K334" s="29" t="inlineStr">
        <is>
          <t>RC-141</t>
        </is>
      </c>
      <c r="L334" s="29" t="inlineStr">
        <is>
          <t>Sameer Joshi</t>
        </is>
      </c>
      <c r="M334" s="29" t="inlineStr">
        <is>
          <t>IRIS2115</t>
        </is>
      </c>
      <c r="N334" s="29" t="n">
        <v>5</v>
      </c>
      <c r="O334" s="29" t="n">
        <v>4.2</v>
      </c>
      <c r="P334" s="29" t="inlineStr">
        <is>
          <t>B.Tech</t>
        </is>
      </c>
      <c r="Q334" s="29" t="inlineStr">
        <is>
          <t>L3 – Professional / Associate</t>
        </is>
      </c>
      <c r="R334" s="29" t="inlineStr">
        <is>
          <t>A3</t>
        </is>
      </c>
      <c r="S334" s="30" t="inlineStr">
        <is>
          <t>20 of 20</t>
        </is>
      </c>
      <c r="T334" s="31"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t>
        </is>
      </c>
      <c r="U334" s="31" t="inlineStr">
        <is>
          <t>Received · manager annual, quarterly, self · 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t>
        </is>
      </c>
      <c r="V334" s="31" t="inlineStr">
        <is>
          <t>Latest rating: 4 · Potential: Medium · 9-box: High Impact / Growth Talent · Readiness: Ready in 6–12 months</t>
        </is>
      </c>
      <c r="W334" s="31" t="inlineStr">
        <is>
          <t>C M · Au M · Ac M · L L · BI M · Exp H · 5 yrs vs 2–4 yrs · Edu M · B.Tech</t>
        </is>
      </c>
      <c r="X334" s="33" t="inlineStr">
        <is>
          <t>Open ▸</t>
        </is>
      </c>
      <c r="Y334" s="34" t="str">
        <f>IFERROR(INDEX(DL_C,MATCH($CA334,DL_KEY,0)),"M")</f>
        <v>H</v>
      </c>
      <c r="Z334" s="35" t="str">
        <f>IFERROR(INDEX(DL_Au,MATCH($CA334,DL_KEY,0)),"M")</f>
        <v>M</v>
      </c>
      <c r="AA334" s="35" t="str">
        <f>IFERROR(INDEX(DL_Ac,MATCH($CA334,DL_KEY,0)),"M")</f>
        <v>L</v>
      </c>
      <c r="AB334" s="35" t="str">
        <f>IFERROR(INDEX(DL_L,MATCH($CA334,DL_KEY,0)),"M")</f>
        <v>L</v>
      </c>
      <c r="AC334" s="35" t="str">
        <f>IFERROR(INDEX(DL_BI,MATCH($CA334,DL_KEY,0)),"M")</f>
        <v>L</v>
      </c>
      <c r="AD334" s="35" t="str">
        <f>IFERROR(INDEX(DL_Exp,MATCH($CA334,DL_KEY,0)),"M")</f>
        <v>L</v>
      </c>
      <c r="AE334" s="35" t="str">
        <f>IFERROR(INDEX(DL_Edu,MATCH($CA334,DL_KEY,0)),"M")</f>
        <v>L</v>
      </c>
      <c r="AF334" s="34" t="inlineStr">
        <is>
          <t>M</t>
        </is>
      </c>
      <c r="AG334" s="35" t="inlineStr">
        <is>
          <t>M</t>
        </is>
      </c>
      <c r="AH334" s="35" t="inlineStr">
        <is>
          <t>M</t>
        </is>
      </c>
      <c r="AI334" s="35" t="inlineStr">
        <is>
          <t>M</t>
        </is>
      </c>
      <c r="AJ334" s="35" t="inlineStr">
        <is>
          <t>M</t>
        </is>
      </c>
      <c r="AK334" s="35" t="inlineStr">
        <is>
          <t>M</t>
        </is>
      </c>
      <c r="AL334" s="35" t="inlineStr">
        <is>
          <t>M</t>
        </is>
      </c>
      <c r="AM334" s="36" t="n">
        <v>0.583</v>
      </c>
      <c r="AN334" s="37" t="n">
        <v>0.16</v>
      </c>
      <c r="AO334" s="37" t="n">
        <v>0.09</v>
      </c>
      <c r="AP334" s="37" t="n">
        <v>0</v>
      </c>
      <c r="AQ334" s="37" t="n">
        <v>0.063</v>
      </c>
      <c r="AR334" s="37" t="n">
        <v>0.06</v>
      </c>
      <c r="AS334" s="37" t="n">
        <v>0.04</v>
      </c>
      <c r="AT334" s="38" t="inlineStr">
        <is>
          <t>2–5</t>
        </is>
      </c>
      <c r="AU334" s="38" t="inlineStr">
        <is>
          <t>Graduate; relevant certification preferred</t>
        </is>
      </c>
      <c r="AV334" s="38" t="inlineStr">
        <is>
          <t>None · guides 1–3 juniors informally</t>
        </is>
      </c>
      <c r="AW334" s="38" t="inlineStr">
        <is>
          <t>P2 · SFIA 3 Apply</t>
        </is>
      </c>
      <c r="AX3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4" s="39" t="inlineStr">
        <is>
          <t>A3</t>
        </is>
      </c>
      <c r="AZ334" s="40" t="inlineStr">
        <is>
          <t>Band A · Practitioner · Senior Associate</t>
        </is>
      </c>
      <c r="BA334" s="40" t="inlineStr">
        <is>
          <t>Model A3 from the six ratings, the market-derived weights and rules R1–R13 · then No change · already below the manager</t>
        </is>
      </c>
      <c r="BB334" s="41" t="inlineStr">
        <is>
          <t>A3</t>
        </is>
      </c>
      <c r="BC334" s="40" t="inlineStr">
        <is>
          <t>The six ratings on the market-average weights of Band A · all tracks score 2.65 → A3 · Hay, Mercer IPE and public plans · experience 5 yrs vs the A3 market range 2–5</t>
        </is>
      </c>
      <c r="BD334" s="42">
        <f>IF(SUM(BM334,BN334,BO334,BP334,BQ334,BR334,BS334)=0,0,(BM334*BT334+BN334*BU334+BO334*BV334+BP334*BW334+BQ334*BX334+BR334*BY334+BS334*BZ334)/SUM(BM334,BN334,BO334,BP334,BQ334,BR334,BS334))</f>
        <v>0</v>
      </c>
      <c r="BE334" s="41" t="str">
        <f>IF(LEFT(AY334,1)="X",AY334,IF(OR(AY334="B+",AY334="C+"),INDEX(LAD_PC,MAX(1,MIN(14,MATCH(AY334,LAD_PC,0)+IF(BD334&gt;=0.5,1,IF(BD334&lt;=-0.5,-1,0))))),INDEX(LAD_STD,MAX(1,MIN(12,MATCH(AY334,LAD_STD,0)+IF(BD334&gt;=0.5,1,IF(BD334&lt;=-0.5,-1,0)))))))</f>
        <v>A3</v>
      </c>
      <c r="BF334" s="43" t="n"/>
      <c r="BG334" s="41" t="str">
        <f>IF(BF334&lt;&gt;"",BF334,BE334)</f>
        <v>A3</v>
      </c>
      <c r="BH334" s="40" t="str">
        <f>IFERROR(CHOOSE(INDEX(B_RANK,MATCH(BG334,B_LVL,0)),"Band A","Band B","B+ · Player-Coach","Band C","C+ · Player-Coach","Band D","Band E"),"Band X · Consultant")</f>
        <v>Band A</v>
      </c>
      <c r="BI334" s="40" t="str">
        <f>IF(BG334=AY334,"• Same",IF(INDEX(B_VAL,MATCH(BG334,B_LVL,0))&gt;INDEX(B_VAL,MATCH(AY334,B_LVL,0)),"▲ Up","▼ Down"))</f>
        <v>• Same</v>
      </c>
      <c r="BJ334" s="40" t="str">
        <f>IF(OR($M334="",$M334="—",$M334="Not in this file"),"",IFERROR(INDEX($BG$7:$BG$592,MATCH($M334,$D$7:$D$592,0)),""))</f>
        <v>B1</v>
      </c>
      <c r="BK334" s="40" t="str">
        <f>IFERROR(IF(BJ334="","—",IF(OR(LEFT(BG334,1)="X",LEFT(BJ334,1)="X"),"—",IF(AND(LEFT(BG334,1)="E",LEFT(BJ334,1)="E"),"Exception · Band E",IF(AND(INDEX(B_VAL,MATCH(BJ334,B_LVL,0))&gt;=7,INDEX(B_RANK,MATCH(BG334,B_LVL,0))&gt;=INDEX(B_RANK,MATCH(BJ334,B_LVL,0))),"⚠ Same band as a head manager",IF(INDEX(B_VAL,MATCH(BG334,B_LVL,0))&gt;=INDEX(B_VAL,MATCH(BJ334,B_LVL,0)),"⚠ At or above the manager's level","OK"))))),"—")</f>
        <v>OK</v>
      </c>
      <c r="BL334" s="43" t="n"/>
      <c r="BM334" s="44">
        <f>IFERROR(INDEX(LMH_PTS,MATCH(Y334,LMH_KEY,0)),0)</f>
        <v>9</v>
      </c>
      <c r="BN334" s="38">
        <f>IFERROR(INDEX(LMH_PTS,MATCH(Z334,LMH_KEY,0)),0)</f>
        <v>3</v>
      </c>
      <c r="BO334" s="38">
        <f>IFERROR(INDEX(LMH_PTS,MATCH(AA334,LMH_KEY,0)),0)</f>
        <v>1</v>
      </c>
      <c r="BP334" s="38">
        <f>IFERROR(INDEX(LMH_PTS,MATCH(AB334,LMH_KEY,0)),0)</f>
        <v>1</v>
      </c>
      <c r="BQ334" s="38">
        <f>IFERROR(INDEX(LMH_PTS,MATCH(AC334,LMH_KEY,0)),0)</f>
        <v>1</v>
      </c>
      <c r="BR334" s="38">
        <f>IFERROR(INDEX(LMH_PTS,MATCH(AD334,LMH_KEY,0)),0)</f>
        <v>1</v>
      </c>
      <c r="BS334" s="38">
        <f>IFERROR(INDEX(LMH_PTS,MATCH(AE334,LMH_KEY,0)),0)</f>
        <v>1</v>
      </c>
      <c r="BT334" s="38">
        <f>IFERROR(INDEX(LMH_STEP,MATCH(AF334,LMH_KEY,0)),0)</f>
        <v>0</v>
      </c>
      <c r="BU334" s="38">
        <f>IFERROR(INDEX(LMH_STEP,MATCH(AG334,LMH_KEY,0)),0)</f>
        <v>0</v>
      </c>
      <c r="BV334" s="38">
        <f>IFERROR(INDEX(LMH_STEP,MATCH(AH334,LMH_KEY,0)),0)</f>
        <v>0</v>
      </c>
      <c r="BW334" s="38">
        <f>IFERROR(INDEX(LMH_STEP,MATCH(AI334,LMH_KEY,0)),0)</f>
        <v>0</v>
      </c>
      <c r="BX334" s="38">
        <f>IFERROR(INDEX(LMH_STEP,MATCH(AJ334,LMH_KEY,0)),0)</f>
        <v>0</v>
      </c>
      <c r="BY334" s="38">
        <f>IFERROR(INDEX(LMH_STEP,MATCH(AK334,LMH_KEY,0)),0)</f>
        <v>0</v>
      </c>
      <c r="BZ334" s="38">
        <f>IFERROR(INDEX(LMH_STEP,MATCH(AL334,LMH_KEY,0)),0)</f>
        <v>0</v>
      </c>
      <c r="CA334" s="38" t="inlineStr">
        <is>
          <t>iFile|Quality Assurance|Senior QA Engineer|A3|A</t>
        </is>
      </c>
    </row>
    <row r="335" ht="110" customHeight="1">
      <c r="A335" s="28" t="inlineStr">
        <is>
          <t>iFile</t>
        </is>
      </c>
      <c r="B335" s="29" t="inlineStr">
        <is>
          <t>Quality Assurance</t>
        </is>
      </c>
      <c r="C335" s="29" t="n">
        <v>5</v>
      </c>
      <c r="D335" s="29" t="inlineStr">
        <is>
          <t>IRIS2227</t>
        </is>
      </c>
      <c r="E335" s="29" t="inlineStr">
        <is>
          <t>Suraj Govind Walhekar</t>
        </is>
      </c>
      <c r="F335" s="29" t="inlineStr">
        <is>
          <t>QA Engineer</t>
        </is>
      </c>
      <c r="G335" s="29" t="inlineStr">
        <is>
          <t>Senior QA Engineer</t>
        </is>
      </c>
      <c r="H335" s="29" t="inlineStr">
        <is>
          <t>Quality Assurance</t>
        </is>
      </c>
      <c r="I335" s="29" t="inlineStr">
        <is>
          <t>Functional &amp; Domain Testing</t>
        </is>
      </c>
      <c r="J335" s="29" t="inlineStr">
        <is>
          <t>IC</t>
        </is>
      </c>
      <c r="K335" s="29" t="inlineStr">
        <is>
          <t>RC-141</t>
        </is>
      </c>
      <c r="L335" s="29" t="inlineStr">
        <is>
          <t>Sameer Joshi</t>
        </is>
      </c>
      <c r="M335" s="29" t="inlineStr">
        <is>
          <t>IRIS2115</t>
        </is>
      </c>
      <c r="N335" s="29" t="n">
        <v>5.4</v>
      </c>
      <c r="O335" s="29" t="n">
        <v>2.6</v>
      </c>
      <c r="P335" s="29" t="inlineStr">
        <is>
          <t>B.E</t>
        </is>
      </c>
      <c r="Q335" s="29" t="inlineStr">
        <is>
          <t>L3 – Professional / Associate</t>
        </is>
      </c>
      <c r="R335" s="29" t="inlineStr">
        <is>
          <t>A3</t>
        </is>
      </c>
      <c r="S335" s="30" t="inlineStr">
        <is>
          <t>20 of 20</t>
        </is>
      </c>
      <c r="T335" s="31"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t>
        </is>
      </c>
      <c r="U335" s="31" t="inlineStr">
        <is>
          <t>Received · manager annual, quarterly, self · 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
        </is>
      </c>
      <c r="V335" s="31" t="inlineStr">
        <is>
          <t>Latest rating: 4 · Potential: Medium · 9-box: High Impact / Growth Talent · Readiness: Ready in 6–12 months</t>
        </is>
      </c>
      <c r="W335" s="31" t="inlineStr">
        <is>
          <t>C L · Au L · Ac M · L L · BI M · Exp H · 5.4 yrs vs 2–4 yrs · Edu M · B.E</t>
        </is>
      </c>
      <c r="X335" s="33" t="inlineStr">
        <is>
          <t>Open ▸</t>
        </is>
      </c>
      <c r="Y335" s="34" t="str">
        <f>IFERROR(INDEX(DL_C,MATCH($CA335,DL_KEY,0)),"M")</f>
        <v>H</v>
      </c>
      <c r="Z335" s="35" t="str">
        <f>IFERROR(INDEX(DL_Au,MATCH($CA335,DL_KEY,0)),"M")</f>
        <v>M</v>
      </c>
      <c r="AA335" s="35" t="str">
        <f>IFERROR(INDEX(DL_Ac,MATCH($CA335,DL_KEY,0)),"M")</f>
        <v>L</v>
      </c>
      <c r="AB335" s="35" t="str">
        <f>IFERROR(INDEX(DL_L,MATCH($CA335,DL_KEY,0)),"M")</f>
        <v>L</v>
      </c>
      <c r="AC335" s="35" t="str">
        <f>IFERROR(INDEX(DL_BI,MATCH($CA335,DL_KEY,0)),"M")</f>
        <v>L</v>
      </c>
      <c r="AD335" s="35" t="str">
        <f>IFERROR(INDEX(DL_Exp,MATCH($CA335,DL_KEY,0)),"M")</f>
        <v>L</v>
      </c>
      <c r="AE335" s="35" t="str">
        <f>IFERROR(INDEX(DL_Edu,MATCH($CA335,DL_KEY,0)),"M")</f>
        <v>L</v>
      </c>
      <c r="AF335" s="34" t="inlineStr">
        <is>
          <t>M</t>
        </is>
      </c>
      <c r="AG335" s="35" t="inlineStr">
        <is>
          <t>M</t>
        </is>
      </c>
      <c r="AH335" s="35" t="inlineStr">
        <is>
          <t>M</t>
        </is>
      </c>
      <c r="AI335" s="35" t="inlineStr">
        <is>
          <t>M</t>
        </is>
      </c>
      <c r="AJ335" s="35" t="inlineStr">
        <is>
          <t>M</t>
        </is>
      </c>
      <c r="AK335" s="35" t="inlineStr">
        <is>
          <t>M</t>
        </is>
      </c>
      <c r="AL335" s="35" t="inlineStr">
        <is>
          <t>M</t>
        </is>
      </c>
      <c r="AM335" s="36" t="n">
        <v>0.583</v>
      </c>
      <c r="AN335" s="37" t="n">
        <v>0.16</v>
      </c>
      <c r="AO335" s="37" t="n">
        <v>0.09</v>
      </c>
      <c r="AP335" s="37" t="n">
        <v>0</v>
      </c>
      <c r="AQ335" s="37" t="n">
        <v>0.063</v>
      </c>
      <c r="AR335" s="37" t="n">
        <v>0.06</v>
      </c>
      <c r="AS335" s="37" t="n">
        <v>0.04</v>
      </c>
      <c r="AT335" s="38" t="inlineStr">
        <is>
          <t>2–5</t>
        </is>
      </c>
      <c r="AU335" s="38" t="inlineStr">
        <is>
          <t>Graduate; relevant certification preferred</t>
        </is>
      </c>
      <c r="AV335" s="38" t="inlineStr">
        <is>
          <t>None · guides 1–3 juniors informally</t>
        </is>
      </c>
      <c r="AW335" s="38" t="inlineStr">
        <is>
          <t>P2 · SFIA 3 Apply</t>
        </is>
      </c>
      <c r="AX3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5" s="39" t="inlineStr">
        <is>
          <t>A3</t>
        </is>
      </c>
      <c r="AZ335" s="40" t="inlineStr">
        <is>
          <t>Band A · Practitioner · Senior Associate</t>
        </is>
      </c>
      <c r="BA335" s="40" t="inlineStr">
        <is>
          <t>Model A3 from the six ratings, the market-derived weights and rules R1–R13 · then No change · already below the manager</t>
        </is>
      </c>
      <c r="BB335" s="41" t="inlineStr">
        <is>
          <t>A2</t>
        </is>
      </c>
      <c r="BC335" s="40" t="inlineStr">
        <is>
          <t>The six ratings on the market-average weights of Band A · all tracks score 2.28 → A2 · Hay, Mercer IPE and public plans · experience 5.4 yrs vs the A2 market range 0–3</t>
        </is>
      </c>
      <c r="BD335" s="42">
        <f>IF(SUM(BM335,BN335,BO335,BP335,BQ335,BR335,BS335)=0,0,(BM335*BT335+BN335*BU335+BO335*BV335+BP335*BW335+BQ335*BX335+BR335*BY335+BS335*BZ335)/SUM(BM335,BN335,BO335,BP335,BQ335,BR335,BS335))</f>
        <v>0</v>
      </c>
      <c r="BE335" s="41" t="str">
        <f>IF(LEFT(AY335,1)="X",AY335,IF(OR(AY335="B+",AY335="C+"),INDEX(LAD_PC,MAX(1,MIN(14,MATCH(AY335,LAD_PC,0)+IF(BD335&gt;=0.5,1,IF(BD335&lt;=-0.5,-1,0))))),INDEX(LAD_STD,MAX(1,MIN(12,MATCH(AY335,LAD_STD,0)+IF(BD335&gt;=0.5,1,IF(BD335&lt;=-0.5,-1,0)))))))</f>
        <v>A3</v>
      </c>
      <c r="BF335" s="43" t="n"/>
      <c r="BG335" s="41" t="str">
        <f>IF(BF335&lt;&gt;"",BF335,BE335)</f>
        <v>A3</v>
      </c>
      <c r="BH335" s="40" t="str">
        <f>IFERROR(CHOOSE(INDEX(B_RANK,MATCH(BG335,B_LVL,0)),"Band A","Band B","B+ · Player-Coach","Band C","C+ · Player-Coach","Band D","Band E"),"Band X · Consultant")</f>
        <v>Band A</v>
      </c>
      <c r="BI335" s="40" t="str">
        <f>IF(BG335=AY335,"• Same",IF(INDEX(B_VAL,MATCH(BG335,B_LVL,0))&gt;INDEX(B_VAL,MATCH(AY335,B_LVL,0)),"▲ Up","▼ Down"))</f>
        <v>• Same</v>
      </c>
      <c r="BJ335" s="40" t="str">
        <f>IF(OR($M335="",$M335="—",$M335="Not in this file"),"",IFERROR(INDEX($BG$7:$BG$592,MATCH($M335,$D$7:$D$592,0)),""))</f>
        <v>B1</v>
      </c>
      <c r="BK335" s="40" t="str">
        <f>IFERROR(IF(BJ335="","—",IF(OR(LEFT(BG335,1)="X",LEFT(BJ335,1)="X"),"—",IF(AND(LEFT(BG335,1)="E",LEFT(BJ335,1)="E"),"Exception · Band E",IF(AND(INDEX(B_VAL,MATCH(BJ335,B_LVL,0))&gt;=7,INDEX(B_RANK,MATCH(BG335,B_LVL,0))&gt;=INDEX(B_RANK,MATCH(BJ335,B_LVL,0))),"⚠ Same band as a head manager",IF(INDEX(B_VAL,MATCH(BG335,B_LVL,0))&gt;=INDEX(B_VAL,MATCH(BJ335,B_LVL,0)),"⚠ At or above the manager's level","OK"))))),"—")</f>
        <v>OK</v>
      </c>
      <c r="BL335" s="43" t="n"/>
      <c r="BM335" s="44">
        <f>IFERROR(INDEX(LMH_PTS,MATCH(Y335,LMH_KEY,0)),0)</f>
        <v>9</v>
      </c>
      <c r="BN335" s="38">
        <f>IFERROR(INDEX(LMH_PTS,MATCH(Z335,LMH_KEY,0)),0)</f>
        <v>3</v>
      </c>
      <c r="BO335" s="38">
        <f>IFERROR(INDEX(LMH_PTS,MATCH(AA335,LMH_KEY,0)),0)</f>
        <v>1</v>
      </c>
      <c r="BP335" s="38">
        <f>IFERROR(INDEX(LMH_PTS,MATCH(AB335,LMH_KEY,0)),0)</f>
        <v>1</v>
      </c>
      <c r="BQ335" s="38">
        <f>IFERROR(INDEX(LMH_PTS,MATCH(AC335,LMH_KEY,0)),0)</f>
        <v>1</v>
      </c>
      <c r="BR335" s="38">
        <f>IFERROR(INDEX(LMH_PTS,MATCH(AD335,LMH_KEY,0)),0)</f>
        <v>1</v>
      </c>
      <c r="BS335" s="38">
        <f>IFERROR(INDEX(LMH_PTS,MATCH(AE335,LMH_KEY,0)),0)</f>
        <v>1</v>
      </c>
      <c r="BT335" s="38">
        <f>IFERROR(INDEX(LMH_STEP,MATCH(AF335,LMH_KEY,0)),0)</f>
        <v>0</v>
      </c>
      <c r="BU335" s="38">
        <f>IFERROR(INDEX(LMH_STEP,MATCH(AG335,LMH_KEY,0)),0)</f>
        <v>0</v>
      </c>
      <c r="BV335" s="38">
        <f>IFERROR(INDEX(LMH_STEP,MATCH(AH335,LMH_KEY,0)),0)</f>
        <v>0</v>
      </c>
      <c r="BW335" s="38">
        <f>IFERROR(INDEX(LMH_STEP,MATCH(AI335,LMH_KEY,0)),0)</f>
        <v>0</v>
      </c>
      <c r="BX335" s="38">
        <f>IFERROR(INDEX(LMH_STEP,MATCH(AJ335,LMH_KEY,0)),0)</f>
        <v>0</v>
      </c>
      <c r="BY335" s="38">
        <f>IFERROR(INDEX(LMH_STEP,MATCH(AK335,LMH_KEY,0)),0)</f>
        <v>0</v>
      </c>
      <c r="BZ335" s="38">
        <f>IFERROR(INDEX(LMH_STEP,MATCH(AL335,LMH_KEY,0)),0)</f>
        <v>0</v>
      </c>
      <c r="CA335" s="38" t="inlineStr">
        <is>
          <t>iFile|Quality Assurance|Senior QA Engineer|A3|A</t>
        </is>
      </c>
    </row>
    <row r="336" ht="110" customHeight="1">
      <c r="A336" s="28" t="inlineStr">
        <is>
          <t>iFile</t>
        </is>
      </c>
      <c r="B336" s="29" t="inlineStr">
        <is>
          <t>Quality Assurance</t>
        </is>
      </c>
      <c r="C336" s="29" t="n">
        <v>4</v>
      </c>
      <c r="D336" s="29" t="inlineStr">
        <is>
          <t>IRIS1654</t>
        </is>
      </c>
      <c r="E336" s="29" t="inlineStr">
        <is>
          <t>Pallavi Suryavanshi</t>
        </is>
      </c>
      <c r="F336" s="29" t="inlineStr">
        <is>
          <t>Senior QA - Engineer</t>
        </is>
      </c>
      <c r="G336" s="29" t="inlineStr">
        <is>
          <t>QA Specialist – POD Lead</t>
        </is>
      </c>
      <c r="H336" s="29" t="inlineStr">
        <is>
          <t>Quality Assurance</t>
        </is>
      </c>
      <c r="I336" s="29" t="inlineStr">
        <is>
          <t>Functional &amp; Domain Testing</t>
        </is>
      </c>
      <c r="J336" s="29" t="inlineStr">
        <is>
          <t>POD Lead</t>
        </is>
      </c>
      <c r="K336" s="29" t="inlineStr">
        <is>
          <t>RC-142</t>
        </is>
      </c>
      <c r="L336" s="29" t="inlineStr">
        <is>
          <t>Davinder Pal Singh</t>
        </is>
      </c>
      <c r="M336" s="29" t="inlineStr">
        <is>
          <t>IRIS0728</t>
        </is>
      </c>
      <c r="N336" s="29" t="n">
        <v>11.2</v>
      </c>
      <c r="O336" s="29" t="n">
        <v>9.199999999999999</v>
      </c>
      <c r="P336" s="29" t="inlineStr">
        <is>
          <t>MCA</t>
        </is>
      </c>
      <c r="Q336" s="29" t="inlineStr">
        <is>
          <t>L4 – Senior</t>
        </is>
      </c>
      <c r="R336" s="29" t="inlineStr">
        <is>
          <t>B1</t>
        </is>
      </c>
      <c r="S336" s="30" t="inlineStr">
        <is>
          <t>20 of 20</t>
        </is>
      </c>
      <c r="T336" s="31"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t>
        </is>
      </c>
      <c r="U336" s="31" t="inlineStr">
        <is>
          <t>Received · manager annual, quarterly, self · 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t>
        </is>
      </c>
      <c r="V336" s="31" t="inlineStr">
        <is>
          <t>Latest rating: 4 · Potential: Medium · 9-box: Trusted Professional · Readiness: Ready in 6–12 months</t>
        </is>
      </c>
      <c r="W336" s="31" t="inlineStr">
        <is>
          <t>C M · Au L · Ac M · L M · BI M · Exp H · 11.2 yrs vs 4–7 yrs · Edu H · MCA</t>
        </is>
      </c>
      <c r="X336" s="33" t="inlineStr">
        <is>
          <t>Open ▸</t>
        </is>
      </c>
      <c r="Y336" s="34" t="str">
        <f>IFERROR(INDEX(DL_C,MATCH($CA336,DL_KEY,0)),"M")</f>
        <v>H</v>
      </c>
      <c r="Z336" s="35" t="str">
        <f>IFERROR(INDEX(DL_Au,MATCH($CA336,DL_KEY,0)),"M")</f>
        <v>M</v>
      </c>
      <c r="AA336" s="35" t="str">
        <f>IFERROR(INDEX(DL_Ac,MATCH($CA336,DL_KEY,0)),"M")</f>
        <v>L</v>
      </c>
      <c r="AB336" s="35" t="str">
        <f>IFERROR(INDEX(DL_L,MATCH($CA336,DL_KEY,0)),"M")</f>
        <v>L</v>
      </c>
      <c r="AC336" s="35" t="str">
        <f>IFERROR(INDEX(DL_BI,MATCH($CA336,DL_KEY,0)),"M")</f>
        <v>L</v>
      </c>
      <c r="AD336" s="35" t="str">
        <f>IFERROR(INDEX(DL_Exp,MATCH($CA336,DL_KEY,0)),"M")</f>
        <v>L</v>
      </c>
      <c r="AE336" s="35" t="str">
        <f>IFERROR(INDEX(DL_Edu,MATCH($CA336,DL_KEY,0)),"M")</f>
        <v>L</v>
      </c>
      <c r="AF336" s="34" t="inlineStr">
        <is>
          <t>M</t>
        </is>
      </c>
      <c r="AG336" s="35" t="inlineStr">
        <is>
          <t>M</t>
        </is>
      </c>
      <c r="AH336" s="35" t="inlineStr">
        <is>
          <t>M</t>
        </is>
      </c>
      <c r="AI336" s="35" t="inlineStr">
        <is>
          <t>M</t>
        </is>
      </c>
      <c r="AJ336" s="35" t="inlineStr">
        <is>
          <t>M</t>
        </is>
      </c>
      <c r="AK336" s="35" t="inlineStr">
        <is>
          <t>M</t>
        </is>
      </c>
      <c r="AL336" s="35" t="inlineStr">
        <is>
          <t>M</t>
        </is>
      </c>
      <c r="AM336" s="36" t="n">
        <v>0.513</v>
      </c>
      <c r="AN336" s="37" t="n">
        <v>0.173</v>
      </c>
      <c r="AO336" s="37" t="n">
        <v>0.09699999999999999</v>
      </c>
      <c r="AP336" s="37" t="n">
        <v>0.05</v>
      </c>
      <c r="AQ336" s="37" t="n">
        <v>0.07000000000000001</v>
      </c>
      <c r="AR336" s="37" t="n">
        <v>0.06</v>
      </c>
      <c r="AS336" s="37" t="n">
        <v>0.04</v>
      </c>
      <c r="AT336" s="38" t="inlineStr">
        <is>
          <t>4–8</t>
        </is>
      </c>
      <c r="AU336" s="38" t="inlineStr">
        <is>
          <t>Graduate + relevant qualification or certification preferred</t>
        </is>
      </c>
      <c r="AV336" s="38" t="inlineStr">
        <is>
          <t>IC: none · Team Lead: 3–5</t>
        </is>
      </c>
      <c r="AW336" s="38" t="inlineStr">
        <is>
          <t>P3 / M2 · SFIA 4 Enable</t>
        </is>
      </c>
      <c r="AX3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6" s="39" t="inlineStr">
        <is>
          <t>B1</t>
        </is>
      </c>
      <c r="AZ336" s="40" t="inlineStr">
        <is>
          <t>Band B · Specialist / Manager · Team Lead / Asst Manager</t>
        </is>
      </c>
      <c r="BA336" s="40" t="inlineStr">
        <is>
          <t>Model B1 from the six ratings, the market-derived weights and rules R1–R13 · then No change · already below the manager</t>
        </is>
      </c>
      <c r="BB336" s="41" t="inlineStr">
        <is>
          <t>B1</t>
        </is>
      </c>
      <c r="BC336" s="40" t="inlineStr">
        <is>
          <t>The six ratings on the market-average weights of Band B · Specialist / POD Lead score 3.85 → B1 · Hay, Mercer IPE and public plans · experience 11.2 yrs vs the B1 market range 4–8</t>
        </is>
      </c>
      <c r="BD336" s="42">
        <f>IF(SUM(BM336,BN336,BO336,BP336,BQ336,BR336,BS336)=0,0,(BM336*BT336+BN336*BU336+BO336*BV336+BP336*BW336+BQ336*BX336+BR336*BY336+BS336*BZ336)/SUM(BM336,BN336,BO336,BP336,BQ336,BR336,BS336))</f>
        <v>0</v>
      </c>
      <c r="BE336" s="41" t="str">
        <f>IF(LEFT(AY336,1)="X",AY336,IF(OR(AY336="B+",AY336="C+"),INDEX(LAD_PC,MAX(1,MIN(14,MATCH(AY336,LAD_PC,0)+IF(BD336&gt;=0.5,1,IF(BD336&lt;=-0.5,-1,0))))),INDEX(LAD_STD,MAX(1,MIN(12,MATCH(AY336,LAD_STD,0)+IF(BD336&gt;=0.5,1,IF(BD336&lt;=-0.5,-1,0)))))))</f>
        <v>B1</v>
      </c>
      <c r="BF336" s="43" t="n"/>
      <c r="BG336" s="41" t="str">
        <f>IF(BF336&lt;&gt;"",BF336,BE336)</f>
        <v>B1</v>
      </c>
      <c r="BH336" s="40" t="str">
        <f>IFERROR(CHOOSE(INDEX(B_RANK,MATCH(BG336,B_LVL,0)),"Band A","Band B","B+ · Player-Coach","Band C","C+ · Player-Coach","Band D","Band E"),"Band X · Consultant")</f>
        <v>Band B</v>
      </c>
      <c r="BI336" s="40" t="str">
        <f>IF(BG336=AY336,"• Same",IF(INDEX(B_VAL,MATCH(BG336,B_LVL,0))&gt;INDEX(B_VAL,MATCH(AY336,B_LVL,0)),"▲ Up","▼ Down"))</f>
        <v>• Same</v>
      </c>
      <c r="BJ336" s="40" t="str">
        <f>IF(OR($M336="",$M336="—",$M336="Not in this file"),"",IFERROR(INDEX($BG$7:$BG$592,MATCH($M336,$D$7:$D$592,0)),""))</f>
        <v>B2</v>
      </c>
      <c r="BK336" s="40" t="str">
        <f>IFERROR(IF(BJ336="","—",IF(OR(LEFT(BG336,1)="X",LEFT(BJ336,1)="X"),"—",IF(AND(LEFT(BG336,1)="E",LEFT(BJ336,1)="E"),"Exception · Band E",IF(AND(INDEX(B_VAL,MATCH(BJ336,B_LVL,0))&gt;=7,INDEX(B_RANK,MATCH(BG336,B_LVL,0))&gt;=INDEX(B_RANK,MATCH(BJ336,B_LVL,0))),"⚠ Same band as a head manager",IF(INDEX(B_VAL,MATCH(BG336,B_LVL,0))&gt;=INDEX(B_VAL,MATCH(BJ336,B_LVL,0)),"⚠ At or above the manager's level","OK"))))),"—")</f>
        <v>OK</v>
      </c>
      <c r="BL336" s="43" t="n"/>
      <c r="BM336" s="44">
        <f>IFERROR(INDEX(LMH_PTS,MATCH(Y336,LMH_KEY,0)),0)</f>
        <v>9</v>
      </c>
      <c r="BN336" s="38">
        <f>IFERROR(INDEX(LMH_PTS,MATCH(Z336,LMH_KEY,0)),0)</f>
        <v>3</v>
      </c>
      <c r="BO336" s="38">
        <f>IFERROR(INDEX(LMH_PTS,MATCH(AA336,LMH_KEY,0)),0)</f>
        <v>1</v>
      </c>
      <c r="BP336" s="38">
        <f>IFERROR(INDEX(LMH_PTS,MATCH(AB336,LMH_KEY,0)),0)</f>
        <v>1</v>
      </c>
      <c r="BQ336" s="38">
        <f>IFERROR(INDEX(LMH_PTS,MATCH(AC336,LMH_KEY,0)),0)</f>
        <v>1</v>
      </c>
      <c r="BR336" s="38">
        <f>IFERROR(INDEX(LMH_PTS,MATCH(AD336,LMH_KEY,0)),0)</f>
        <v>1</v>
      </c>
      <c r="BS336" s="38">
        <f>IFERROR(INDEX(LMH_PTS,MATCH(AE336,LMH_KEY,0)),0)</f>
        <v>1</v>
      </c>
      <c r="BT336" s="38">
        <f>IFERROR(INDEX(LMH_STEP,MATCH(AF336,LMH_KEY,0)),0)</f>
        <v>0</v>
      </c>
      <c r="BU336" s="38">
        <f>IFERROR(INDEX(LMH_STEP,MATCH(AG336,LMH_KEY,0)),0)</f>
        <v>0</v>
      </c>
      <c r="BV336" s="38">
        <f>IFERROR(INDEX(LMH_STEP,MATCH(AH336,LMH_KEY,0)),0)</f>
        <v>0</v>
      </c>
      <c r="BW336" s="38">
        <f>IFERROR(INDEX(LMH_STEP,MATCH(AI336,LMH_KEY,0)),0)</f>
        <v>0</v>
      </c>
      <c r="BX336" s="38">
        <f>IFERROR(INDEX(LMH_STEP,MATCH(AJ336,LMH_KEY,0)),0)</f>
        <v>0</v>
      </c>
      <c r="BY336" s="38">
        <f>IFERROR(INDEX(LMH_STEP,MATCH(AK336,LMH_KEY,0)),0)</f>
        <v>0</v>
      </c>
      <c r="BZ336" s="38">
        <f>IFERROR(INDEX(LMH_STEP,MATCH(AL336,LMH_KEY,0)),0)</f>
        <v>0</v>
      </c>
      <c r="CA336" s="38" t="inlineStr">
        <is>
          <t>iFile|Quality Assurance|QA Specialist – POD Lead|B1|B-IC</t>
        </is>
      </c>
    </row>
    <row r="337" ht="110" customHeight="1">
      <c r="A337" s="28" t="inlineStr">
        <is>
          <t>iFile</t>
        </is>
      </c>
      <c r="B337" s="29" t="inlineStr">
        <is>
          <t>Quality Assurance</t>
        </is>
      </c>
      <c r="C337" s="29" t="n">
        <v>5</v>
      </c>
      <c r="D337" s="29" t="inlineStr">
        <is>
          <t>IRIS2075</t>
        </is>
      </c>
      <c r="E337" s="29" t="inlineStr">
        <is>
          <t>Deepika Bartwal</t>
        </is>
      </c>
      <c r="F337" s="29" t="inlineStr">
        <is>
          <t>QA Engineer</t>
        </is>
      </c>
      <c r="G337" s="29" t="inlineStr">
        <is>
          <t>Senior QA Engineer</t>
        </is>
      </c>
      <c r="H337" s="29" t="inlineStr">
        <is>
          <t>Quality Assurance</t>
        </is>
      </c>
      <c r="I337" s="29" t="inlineStr">
        <is>
          <t>Functional &amp; Domain Testing</t>
        </is>
      </c>
      <c r="J337" s="29" t="inlineStr">
        <is>
          <t>IC</t>
        </is>
      </c>
      <c r="K337" s="29" t="inlineStr">
        <is>
          <t>RC-141</t>
        </is>
      </c>
      <c r="L337" s="29" t="inlineStr">
        <is>
          <t>Pallavi Suryavanshi</t>
        </is>
      </c>
      <c r="M337" s="29" t="inlineStr">
        <is>
          <t>IRIS1654</t>
        </is>
      </c>
      <c r="N337" s="29" t="n">
        <v>3.9</v>
      </c>
      <c r="O337" s="29" t="n">
        <v>3.9</v>
      </c>
      <c r="P337" s="29" t="inlineStr">
        <is>
          <t>B.Com</t>
        </is>
      </c>
      <c r="Q337" s="29" t="inlineStr">
        <is>
          <t>L3 – Professional / Associate</t>
        </is>
      </c>
      <c r="R337" s="29" t="inlineStr">
        <is>
          <t>A3</t>
        </is>
      </c>
      <c r="S337" s="30" t="inlineStr">
        <is>
          <t>20 of 20</t>
        </is>
      </c>
      <c r="T337" s="31"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t>
        </is>
      </c>
      <c r="U337" s="31" t="inlineStr">
        <is>
          <t>Received · manager annual, quarterly, self · 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
        </is>
      </c>
      <c r="V337" s="31" t="inlineStr">
        <is>
          <t>Latest rating: 3 · Potential: Medium · 9-box: Trusted Professional · Readiness: Develop in role</t>
        </is>
      </c>
      <c r="W337" s="31" t="inlineStr">
        <is>
          <t>C L · Au L · Ac L · L L · BI L · Exp M · 3.9 yrs vs 2–4 yrs · Edu M · B.Com</t>
        </is>
      </c>
      <c r="X337" s="33" t="inlineStr">
        <is>
          <t>Open ▸</t>
        </is>
      </c>
      <c r="Y337" s="34" t="str">
        <f>IFERROR(INDEX(DL_C,MATCH($CA337,DL_KEY,0)),"M")</f>
        <v>H</v>
      </c>
      <c r="Z337" s="35" t="str">
        <f>IFERROR(INDEX(DL_Au,MATCH($CA337,DL_KEY,0)),"M")</f>
        <v>M</v>
      </c>
      <c r="AA337" s="35" t="str">
        <f>IFERROR(INDEX(DL_Ac,MATCH($CA337,DL_KEY,0)),"M")</f>
        <v>L</v>
      </c>
      <c r="AB337" s="35" t="str">
        <f>IFERROR(INDEX(DL_L,MATCH($CA337,DL_KEY,0)),"M")</f>
        <v>L</v>
      </c>
      <c r="AC337" s="35" t="str">
        <f>IFERROR(INDEX(DL_BI,MATCH($CA337,DL_KEY,0)),"M")</f>
        <v>L</v>
      </c>
      <c r="AD337" s="35" t="str">
        <f>IFERROR(INDEX(DL_Exp,MATCH($CA337,DL_KEY,0)),"M")</f>
        <v>L</v>
      </c>
      <c r="AE337" s="35" t="str">
        <f>IFERROR(INDEX(DL_Edu,MATCH($CA337,DL_KEY,0)),"M")</f>
        <v>L</v>
      </c>
      <c r="AF337" s="34" t="inlineStr">
        <is>
          <t>M</t>
        </is>
      </c>
      <c r="AG337" s="35" t="inlineStr">
        <is>
          <t>M</t>
        </is>
      </c>
      <c r="AH337" s="35" t="inlineStr">
        <is>
          <t>M</t>
        </is>
      </c>
      <c r="AI337" s="35" t="inlineStr">
        <is>
          <t>M</t>
        </is>
      </c>
      <c r="AJ337" s="35" t="inlineStr">
        <is>
          <t>M</t>
        </is>
      </c>
      <c r="AK337" s="35" t="inlineStr">
        <is>
          <t>M</t>
        </is>
      </c>
      <c r="AL337" s="35" t="inlineStr">
        <is>
          <t>M</t>
        </is>
      </c>
      <c r="AM337" s="36" t="n">
        <v>0.583</v>
      </c>
      <c r="AN337" s="37" t="n">
        <v>0.16</v>
      </c>
      <c r="AO337" s="37" t="n">
        <v>0.09</v>
      </c>
      <c r="AP337" s="37" t="n">
        <v>0</v>
      </c>
      <c r="AQ337" s="37" t="n">
        <v>0.063</v>
      </c>
      <c r="AR337" s="37" t="n">
        <v>0.06</v>
      </c>
      <c r="AS337" s="37" t="n">
        <v>0.04</v>
      </c>
      <c r="AT337" s="38" t="inlineStr">
        <is>
          <t>2–5</t>
        </is>
      </c>
      <c r="AU337" s="38" t="inlineStr">
        <is>
          <t>Graduate; relevant certification preferred</t>
        </is>
      </c>
      <c r="AV337" s="38" t="inlineStr">
        <is>
          <t>None · guides 1–3 juniors informally</t>
        </is>
      </c>
      <c r="AW337" s="38" t="inlineStr">
        <is>
          <t>P2 · SFIA 3 Apply</t>
        </is>
      </c>
      <c r="AX3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7" s="39" t="inlineStr">
        <is>
          <t>A3</t>
        </is>
      </c>
      <c r="AZ337" s="40" t="inlineStr">
        <is>
          <t>Band A · Practitioner · Senior Associate</t>
        </is>
      </c>
      <c r="BA337" s="40" t="inlineStr">
        <is>
          <t>Model A3 from the six ratings, the market-derived weights and rules R1–R13 · then No change · already below the manager</t>
        </is>
      </c>
      <c r="BB337" s="41" t="inlineStr">
        <is>
          <t>A2</t>
        </is>
      </c>
      <c r="BC337" s="40" t="inlineStr">
        <is>
          <t>The six ratings on the market-average weights of Band A · all tracks score 2.07 → A2 · Hay, Mercer IPE and public plans · experience 3.9 yrs vs the A2 market range 0–3</t>
        </is>
      </c>
      <c r="BD337" s="42">
        <f>IF(SUM(BM337,BN337,BO337,BP337,BQ337,BR337,BS337)=0,0,(BM337*BT337+BN337*BU337+BO337*BV337+BP337*BW337+BQ337*BX337+BR337*BY337+BS337*BZ337)/SUM(BM337,BN337,BO337,BP337,BQ337,BR337,BS337))</f>
        <v>0</v>
      </c>
      <c r="BE337" s="41" t="str">
        <f>IF(LEFT(AY337,1)="X",AY337,IF(OR(AY337="B+",AY337="C+"),INDEX(LAD_PC,MAX(1,MIN(14,MATCH(AY337,LAD_PC,0)+IF(BD337&gt;=0.5,1,IF(BD337&lt;=-0.5,-1,0))))),INDEX(LAD_STD,MAX(1,MIN(12,MATCH(AY337,LAD_STD,0)+IF(BD337&gt;=0.5,1,IF(BD337&lt;=-0.5,-1,0)))))))</f>
        <v>A3</v>
      </c>
      <c r="BF337" s="43" t="n"/>
      <c r="BG337" s="41" t="str">
        <f>IF(BF337&lt;&gt;"",BF337,BE337)</f>
        <v>A3</v>
      </c>
      <c r="BH337" s="40" t="str">
        <f>IFERROR(CHOOSE(INDEX(B_RANK,MATCH(BG337,B_LVL,0)),"Band A","Band B","B+ · Player-Coach","Band C","C+ · Player-Coach","Band D","Band E"),"Band X · Consultant")</f>
        <v>Band A</v>
      </c>
      <c r="BI337" s="40" t="str">
        <f>IF(BG337=AY337,"• Same",IF(INDEX(B_VAL,MATCH(BG337,B_LVL,0))&gt;INDEX(B_VAL,MATCH(AY337,B_LVL,0)),"▲ Up","▼ Down"))</f>
        <v>• Same</v>
      </c>
      <c r="BJ337" s="40" t="str">
        <f>IF(OR($M337="",$M337="—",$M337="Not in this file"),"",IFERROR(INDEX($BG$7:$BG$592,MATCH($M337,$D$7:$D$592,0)),""))</f>
        <v>B1</v>
      </c>
      <c r="BK337" s="40" t="str">
        <f>IFERROR(IF(BJ337="","—",IF(OR(LEFT(BG337,1)="X",LEFT(BJ337,1)="X"),"—",IF(AND(LEFT(BG337,1)="E",LEFT(BJ337,1)="E"),"Exception · Band E",IF(AND(INDEX(B_VAL,MATCH(BJ337,B_LVL,0))&gt;=7,INDEX(B_RANK,MATCH(BG337,B_LVL,0))&gt;=INDEX(B_RANK,MATCH(BJ337,B_LVL,0))),"⚠ Same band as a head manager",IF(INDEX(B_VAL,MATCH(BG337,B_LVL,0))&gt;=INDEX(B_VAL,MATCH(BJ337,B_LVL,0)),"⚠ At or above the manager's level","OK"))))),"—")</f>
        <v>OK</v>
      </c>
      <c r="BL337" s="43" t="n"/>
      <c r="BM337" s="44">
        <f>IFERROR(INDEX(LMH_PTS,MATCH(Y337,LMH_KEY,0)),0)</f>
        <v>9</v>
      </c>
      <c r="BN337" s="38">
        <f>IFERROR(INDEX(LMH_PTS,MATCH(Z337,LMH_KEY,0)),0)</f>
        <v>3</v>
      </c>
      <c r="BO337" s="38">
        <f>IFERROR(INDEX(LMH_PTS,MATCH(AA337,LMH_KEY,0)),0)</f>
        <v>1</v>
      </c>
      <c r="BP337" s="38">
        <f>IFERROR(INDEX(LMH_PTS,MATCH(AB337,LMH_KEY,0)),0)</f>
        <v>1</v>
      </c>
      <c r="BQ337" s="38">
        <f>IFERROR(INDEX(LMH_PTS,MATCH(AC337,LMH_KEY,0)),0)</f>
        <v>1</v>
      </c>
      <c r="BR337" s="38">
        <f>IFERROR(INDEX(LMH_PTS,MATCH(AD337,LMH_KEY,0)),0)</f>
        <v>1</v>
      </c>
      <c r="BS337" s="38">
        <f>IFERROR(INDEX(LMH_PTS,MATCH(AE337,LMH_KEY,0)),0)</f>
        <v>1</v>
      </c>
      <c r="BT337" s="38">
        <f>IFERROR(INDEX(LMH_STEP,MATCH(AF337,LMH_KEY,0)),0)</f>
        <v>0</v>
      </c>
      <c r="BU337" s="38">
        <f>IFERROR(INDEX(LMH_STEP,MATCH(AG337,LMH_KEY,0)),0)</f>
        <v>0</v>
      </c>
      <c r="BV337" s="38">
        <f>IFERROR(INDEX(LMH_STEP,MATCH(AH337,LMH_KEY,0)),0)</f>
        <v>0</v>
      </c>
      <c r="BW337" s="38">
        <f>IFERROR(INDEX(LMH_STEP,MATCH(AI337,LMH_KEY,0)),0)</f>
        <v>0</v>
      </c>
      <c r="BX337" s="38">
        <f>IFERROR(INDEX(LMH_STEP,MATCH(AJ337,LMH_KEY,0)),0)</f>
        <v>0</v>
      </c>
      <c r="BY337" s="38">
        <f>IFERROR(INDEX(LMH_STEP,MATCH(AK337,LMH_KEY,0)),0)</f>
        <v>0</v>
      </c>
      <c r="BZ337" s="38">
        <f>IFERROR(INDEX(LMH_STEP,MATCH(AL337,LMH_KEY,0)),0)</f>
        <v>0</v>
      </c>
      <c r="CA337" s="38" t="inlineStr">
        <is>
          <t>iFile|Quality Assurance|Senior QA Engineer|A3|A</t>
        </is>
      </c>
    </row>
    <row r="338" ht="110" customHeight="1">
      <c r="A338" s="28" t="inlineStr">
        <is>
          <t>iFile</t>
        </is>
      </c>
      <c r="B338" s="29" t="inlineStr">
        <is>
          <t>Quality Assurance</t>
        </is>
      </c>
      <c r="C338" s="29" t="n">
        <v>5</v>
      </c>
      <c r="D338" s="29" t="inlineStr">
        <is>
          <t>IRIS2041</t>
        </is>
      </c>
      <c r="E338" s="29" t="inlineStr">
        <is>
          <t>Sandip Potkule</t>
        </is>
      </c>
      <c r="F338" s="29" t="inlineStr">
        <is>
          <t>QA Engineer</t>
        </is>
      </c>
      <c r="G338" s="29" t="inlineStr">
        <is>
          <t>Senior QA Engineer</t>
        </is>
      </c>
      <c r="H338" s="29" t="inlineStr">
        <is>
          <t>Quality Assurance</t>
        </is>
      </c>
      <c r="I338" s="29" t="inlineStr">
        <is>
          <t>Functional &amp; Domain Testing</t>
        </is>
      </c>
      <c r="J338" s="29" t="inlineStr">
        <is>
          <t>IC</t>
        </is>
      </c>
      <c r="K338" s="29" t="inlineStr">
        <is>
          <t>RC-141</t>
        </is>
      </c>
      <c r="L338" s="29" t="inlineStr">
        <is>
          <t>Pallavi Suryavanshi</t>
        </is>
      </c>
      <c r="M338" s="29" t="inlineStr">
        <is>
          <t>IRIS1654</t>
        </is>
      </c>
      <c r="N338" s="29" t="n">
        <v>4.2</v>
      </c>
      <c r="O338" s="29" t="n">
        <v>4.2</v>
      </c>
      <c r="P338" s="29" t="inlineStr">
        <is>
          <t>B.E</t>
        </is>
      </c>
      <c r="Q338" s="29" t="inlineStr">
        <is>
          <t>L3 – Professional / Associate</t>
        </is>
      </c>
      <c r="R338" s="29" t="inlineStr">
        <is>
          <t>A3</t>
        </is>
      </c>
      <c r="S338" s="30" t="inlineStr">
        <is>
          <t>0 of 20</t>
        </is>
      </c>
      <c r="T338" s="31"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t>
        </is>
      </c>
      <c r="U338" s="31" t="inlineStr">
        <is>
          <t>Received · manager annual, quarterly, self · 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
        </is>
      </c>
      <c r="V338" s="31" t="inlineStr">
        <is>
          <t>Latest rating: 4 · Potential: Medium · 9-box: Trusted Professional · Readiness: Ready in 6–12 months</t>
        </is>
      </c>
      <c r="W338" s="31" t="inlineStr">
        <is>
          <t>C L · Au L · Ac M · L L · BI M · Exp H · 4.2 yrs vs 2–4 yrs · Edu M · B.E</t>
        </is>
      </c>
      <c r="X338" s="33" t="inlineStr">
        <is>
          <t>Open ▸</t>
        </is>
      </c>
      <c r="Y338" s="34" t="str">
        <f>IFERROR(INDEX(DL_C,MATCH($CA338,DL_KEY,0)),"M")</f>
        <v>H</v>
      </c>
      <c r="Z338" s="35" t="str">
        <f>IFERROR(INDEX(DL_Au,MATCH($CA338,DL_KEY,0)),"M")</f>
        <v>M</v>
      </c>
      <c r="AA338" s="35" t="str">
        <f>IFERROR(INDEX(DL_Ac,MATCH($CA338,DL_KEY,0)),"M")</f>
        <v>L</v>
      </c>
      <c r="AB338" s="35" t="str">
        <f>IFERROR(INDEX(DL_L,MATCH($CA338,DL_KEY,0)),"M")</f>
        <v>L</v>
      </c>
      <c r="AC338" s="35" t="str">
        <f>IFERROR(INDEX(DL_BI,MATCH($CA338,DL_KEY,0)),"M")</f>
        <v>L</v>
      </c>
      <c r="AD338" s="35" t="str">
        <f>IFERROR(INDEX(DL_Exp,MATCH($CA338,DL_KEY,0)),"M")</f>
        <v>L</v>
      </c>
      <c r="AE338" s="35" t="str">
        <f>IFERROR(INDEX(DL_Edu,MATCH($CA338,DL_KEY,0)),"M")</f>
        <v>L</v>
      </c>
      <c r="AF338" s="34" t="inlineStr">
        <is>
          <t>M</t>
        </is>
      </c>
      <c r="AG338" s="35" t="inlineStr">
        <is>
          <t>M</t>
        </is>
      </c>
      <c r="AH338" s="35" t="inlineStr">
        <is>
          <t>M</t>
        </is>
      </c>
      <c r="AI338" s="35" t="inlineStr">
        <is>
          <t>M</t>
        </is>
      </c>
      <c r="AJ338" s="35" t="inlineStr">
        <is>
          <t>M</t>
        </is>
      </c>
      <c r="AK338" s="35" t="inlineStr">
        <is>
          <t>M</t>
        </is>
      </c>
      <c r="AL338" s="35" t="inlineStr">
        <is>
          <t>M</t>
        </is>
      </c>
      <c r="AM338" s="36" t="n">
        <v>0.583</v>
      </c>
      <c r="AN338" s="37" t="n">
        <v>0.16</v>
      </c>
      <c r="AO338" s="37" t="n">
        <v>0.09</v>
      </c>
      <c r="AP338" s="37" t="n">
        <v>0</v>
      </c>
      <c r="AQ338" s="37" t="n">
        <v>0.063</v>
      </c>
      <c r="AR338" s="37" t="n">
        <v>0.06</v>
      </c>
      <c r="AS338" s="37" t="n">
        <v>0.04</v>
      </c>
      <c r="AT338" s="38" t="inlineStr">
        <is>
          <t>2–5</t>
        </is>
      </c>
      <c r="AU338" s="38" t="inlineStr">
        <is>
          <t>Graduate; relevant certification preferred</t>
        </is>
      </c>
      <c r="AV338" s="38" t="inlineStr">
        <is>
          <t>None · guides 1–3 juniors informally</t>
        </is>
      </c>
      <c r="AW338" s="38" t="inlineStr">
        <is>
          <t>P2 · SFIA 3 Apply</t>
        </is>
      </c>
      <c r="AX3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8" s="39" t="inlineStr">
        <is>
          <t>A3</t>
        </is>
      </c>
      <c r="AZ338" s="40" t="inlineStr">
        <is>
          <t>Band A · Practitioner · Senior Associate</t>
        </is>
      </c>
      <c r="BA338" s="40" t="inlineStr">
        <is>
          <t>Model A3 from the six ratings, the market-derived weights and rules R1–R13 · then No change · already below the manager</t>
        </is>
      </c>
      <c r="BB338" s="41" t="inlineStr">
        <is>
          <t>A2</t>
        </is>
      </c>
      <c r="BC338" s="40" t="inlineStr">
        <is>
          <t>The six ratings on the market-average weights of Band A · all tracks score 2.23 → A2 · Hay, Mercer IPE and public plans · experience 4.2 yrs vs the A2 market range 0–3</t>
        </is>
      </c>
      <c r="BD338" s="42">
        <f>IF(SUM(BM338,BN338,BO338,BP338,BQ338,BR338,BS338)=0,0,(BM338*BT338+BN338*BU338+BO338*BV338+BP338*BW338+BQ338*BX338+BR338*BY338+BS338*BZ338)/SUM(BM338,BN338,BO338,BP338,BQ338,BR338,BS338))</f>
        <v>0</v>
      </c>
      <c r="BE338" s="41" t="str">
        <f>IF(LEFT(AY338,1)="X",AY338,IF(OR(AY338="B+",AY338="C+"),INDEX(LAD_PC,MAX(1,MIN(14,MATCH(AY338,LAD_PC,0)+IF(BD338&gt;=0.5,1,IF(BD338&lt;=-0.5,-1,0))))),INDEX(LAD_STD,MAX(1,MIN(12,MATCH(AY338,LAD_STD,0)+IF(BD338&gt;=0.5,1,IF(BD338&lt;=-0.5,-1,0)))))))</f>
        <v>A3</v>
      </c>
      <c r="BF338" s="43" t="n"/>
      <c r="BG338" s="41" t="str">
        <f>IF(BF338&lt;&gt;"",BF338,BE338)</f>
        <v>A3</v>
      </c>
      <c r="BH338" s="40" t="str">
        <f>IFERROR(CHOOSE(INDEX(B_RANK,MATCH(BG338,B_LVL,0)),"Band A","Band B","B+ · Player-Coach","Band C","C+ · Player-Coach","Band D","Band E"),"Band X · Consultant")</f>
        <v>Band A</v>
      </c>
      <c r="BI338" s="40" t="str">
        <f>IF(BG338=AY338,"• Same",IF(INDEX(B_VAL,MATCH(BG338,B_LVL,0))&gt;INDEX(B_VAL,MATCH(AY338,B_LVL,0)),"▲ Up","▼ Down"))</f>
        <v>• Same</v>
      </c>
      <c r="BJ338" s="40" t="str">
        <f>IF(OR($M338="",$M338="—",$M338="Not in this file"),"",IFERROR(INDEX($BG$7:$BG$592,MATCH($M338,$D$7:$D$592,0)),""))</f>
        <v>B1</v>
      </c>
      <c r="BK338" s="40" t="str">
        <f>IFERROR(IF(BJ338="","—",IF(OR(LEFT(BG338,1)="X",LEFT(BJ338,1)="X"),"—",IF(AND(LEFT(BG338,1)="E",LEFT(BJ338,1)="E"),"Exception · Band E",IF(AND(INDEX(B_VAL,MATCH(BJ338,B_LVL,0))&gt;=7,INDEX(B_RANK,MATCH(BG338,B_LVL,0))&gt;=INDEX(B_RANK,MATCH(BJ338,B_LVL,0))),"⚠ Same band as a head manager",IF(INDEX(B_VAL,MATCH(BG338,B_LVL,0))&gt;=INDEX(B_VAL,MATCH(BJ338,B_LVL,0)),"⚠ At or above the manager's level","OK"))))),"—")</f>
        <v>OK</v>
      </c>
      <c r="BL338" s="43" t="n"/>
      <c r="BM338" s="44">
        <f>IFERROR(INDEX(LMH_PTS,MATCH(Y338,LMH_KEY,0)),0)</f>
        <v>9</v>
      </c>
      <c r="BN338" s="38">
        <f>IFERROR(INDEX(LMH_PTS,MATCH(Z338,LMH_KEY,0)),0)</f>
        <v>3</v>
      </c>
      <c r="BO338" s="38">
        <f>IFERROR(INDEX(LMH_PTS,MATCH(AA338,LMH_KEY,0)),0)</f>
        <v>1</v>
      </c>
      <c r="BP338" s="38">
        <f>IFERROR(INDEX(LMH_PTS,MATCH(AB338,LMH_KEY,0)),0)</f>
        <v>1</v>
      </c>
      <c r="BQ338" s="38">
        <f>IFERROR(INDEX(LMH_PTS,MATCH(AC338,LMH_KEY,0)),0)</f>
        <v>1</v>
      </c>
      <c r="BR338" s="38">
        <f>IFERROR(INDEX(LMH_PTS,MATCH(AD338,LMH_KEY,0)),0)</f>
        <v>1</v>
      </c>
      <c r="BS338" s="38">
        <f>IFERROR(INDEX(LMH_PTS,MATCH(AE338,LMH_KEY,0)),0)</f>
        <v>1</v>
      </c>
      <c r="BT338" s="38">
        <f>IFERROR(INDEX(LMH_STEP,MATCH(AF338,LMH_KEY,0)),0)</f>
        <v>0</v>
      </c>
      <c r="BU338" s="38">
        <f>IFERROR(INDEX(LMH_STEP,MATCH(AG338,LMH_KEY,0)),0)</f>
        <v>0</v>
      </c>
      <c r="BV338" s="38">
        <f>IFERROR(INDEX(LMH_STEP,MATCH(AH338,LMH_KEY,0)),0)</f>
        <v>0</v>
      </c>
      <c r="BW338" s="38">
        <f>IFERROR(INDEX(LMH_STEP,MATCH(AI338,LMH_KEY,0)),0)</f>
        <v>0</v>
      </c>
      <c r="BX338" s="38">
        <f>IFERROR(INDEX(LMH_STEP,MATCH(AJ338,LMH_KEY,0)),0)</f>
        <v>0</v>
      </c>
      <c r="BY338" s="38">
        <f>IFERROR(INDEX(LMH_STEP,MATCH(AK338,LMH_KEY,0)),0)</f>
        <v>0</v>
      </c>
      <c r="BZ338" s="38">
        <f>IFERROR(INDEX(LMH_STEP,MATCH(AL338,LMH_KEY,0)),0)</f>
        <v>0</v>
      </c>
      <c r="CA338" s="38" t="inlineStr">
        <is>
          <t>iFile|Quality Assurance|Senior QA Engineer|A3|A</t>
        </is>
      </c>
    </row>
    <row r="339" ht="110" customHeight="1">
      <c r="A339" s="28" t="inlineStr">
        <is>
          <t>iFile</t>
        </is>
      </c>
      <c r="B339" s="29" t="inlineStr">
        <is>
          <t>Quality Assurance</t>
        </is>
      </c>
      <c r="C339" s="29" t="n">
        <v>4</v>
      </c>
      <c r="D339" s="29" t="inlineStr">
        <is>
          <t>IRIS1923</t>
        </is>
      </c>
      <c r="E339" s="29" t="inlineStr">
        <is>
          <t>Ruturaj Kadam</t>
        </is>
      </c>
      <c r="F339" s="29" t="inlineStr">
        <is>
          <t>Senior QA - Engineer</t>
        </is>
      </c>
      <c r="G339" s="29" t="inlineStr">
        <is>
          <t>QA Specialist – POD Lead</t>
        </is>
      </c>
      <c r="H339" s="29" t="inlineStr">
        <is>
          <t>Quality Assurance</t>
        </is>
      </c>
      <c r="I339" s="29" t="inlineStr">
        <is>
          <t>Functional &amp; Domain Testing</t>
        </is>
      </c>
      <c r="J339" s="29" t="inlineStr">
        <is>
          <t>POD Lead</t>
        </is>
      </c>
      <c r="K339" s="29" t="inlineStr">
        <is>
          <t>RC-142</t>
        </is>
      </c>
      <c r="L339" s="29" t="inlineStr">
        <is>
          <t>Davinder Pal Singh</t>
        </is>
      </c>
      <c r="M339" s="29" t="inlineStr">
        <is>
          <t>IRIS0728</t>
        </is>
      </c>
      <c r="N339" s="29" t="n">
        <v>8.4</v>
      </c>
      <c r="O339" s="29" t="n">
        <v>5.2</v>
      </c>
      <c r="P339" s="29" t="inlineStr">
        <is>
          <t>B.E</t>
        </is>
      </c>
      <c r="Q339" s="29" t="inlineStr">
        <is>
          <t>L4 – Senior</t>
        </is>
      </c>
      <c r="R339" s="29" t="inlineStr">
        <is>
          <t>B1</t>
        </is>
      </c>
      <c r="S339" s="30" t="inlineStr">
        <is>
          <t>20 of 20</t>
        </is>
      </c>
      <c r="T339" s="31"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t>
        </is>
      </c>
      <c r="U339" s="31" t="inlineStr">
        <is>
          <t>Received · manager annual, quarterly, self · 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t>
        </is>
      </c>
      <c r="V339" s="31" t="inlineStr">
        <is>
          <t>Latest rating: 4 · Potential: Medium · 9-box: Emerging Talent · Readiness: Ready in 6–12 months</t>
        </is>
      </c>
      <c r="W339" s="31" t="inlineStr">
        <is>
          <t>C L · Au L · Ac M · L L · BI M · Exp H · 8.4 yrs vs 4–7 yrs · Edu M · B.E</t>
        </is>
      </c>
      <c r="X339" s="33" t="inlineStr">
        <is>
          <t>Open ▸</t>
        </is>
      </c>
      <c r="Y339" s="34" t="str">
        <f>IFERROR(INDEX(DL_C,MATCH($CA339,DL_KEY,0)),"M")</f>
        <v>H</v>
      </c>
      <c r="Z339" s="35" t="str">
        <f>IFERROR(INDEX(DL_Au,MATCH($CA339,DL_KEY,0)),"M")</f>
        <v>M</v>
      </c>
      <c r="AA339" s="35" t="str">
        <f>IFERROR(INDEX(DL_Ac,MATCH($CA339,DL_KEY,0)),"M")</f>
        <v>L</v>
      </c>
      <c r="AB339" s="35" t="str">
        <f>IFERROR(INDEX(DL_L,MATCH($CA339,DL_KEY,0)),"M")</f>
        <v>L</v>
      </c>
      <c r="AC339" s="35" t="str">
        <f>IFERROR(INDEX(DL_BI,MATCH($CA339,DL_KEY,0)),"M")</f>
        <v>L</v>
      </c>
      <c r="AD339" s="35" t="str">
        <f>IFERROR(INDEX(DL_Exp,MATCH($CA339,DL_KEY,0)),"M")</f>
        <v>L</v>
      </c>
      <c r="AE339" s="35" t="str">
        <f>IFERROR(INDEX(DL_Edu,MATCH($CA339,DL_KEY,0)),"M")</f>
        <v>L</v>
      </c>
      <c r="AF339" s="34" t="inlineStr">
        <is>
          <t>M</t>
        </is>
      </c>
      <c r="AG339" s="35" t="inlineStr">
        <is>
          <t>M</t>
        </is>
      </c>
      <c r="AH339" s="35" t="inlineStr">
        <is>
          <t>M</t>
        </is>
      </c>
      <c r="AI339" s="35" t="inlineStr">
        <is>
          <t>M</t>
        </is>
      </c>
      <c r="AJ339" s="35" t="inlineStr">
        <is>
          <t>M</t>
        </is>
      </c>
      <c r="AK339" s="35" t="inlineStr">
        <is>
          <t>M</t>
        </is>
      </c>
      <c r="AL339" s="35" t="inlineStr">
        <is>
          <t>M</t>
        </is>
      </c>
      <c r="AM339" s="36" t="n">
        <v>0.513</v>
      </c>
      <c r="AN339" s="37" t="n">
        <v>0.173</v>
      </c>
      <c r="AO339" s="37" t="n">
        <v>0.09699999999999999</v>
      </c>
      <c r="AP339" s="37" t="n">
        <v>0.05</v>
      </c>
      <c r="AQ339" s="37" t="n">
        <v>0.07000000000000001</v>
      </c>
      <c r="AR339" s="37" t="n">
        <v>0.06</v>
      </c>
      <c r="AS339" s="37" t="n">
        <v>0.04</v>
      </c>
      <c r="AT339" s="38" t="inlineStr">
        <is>
          <t>4–8</t>
        </is>
      </c>
      <c r="AU339" s="38" t="inlineStr">
        <is>
          <t>Graduate + relevant qualification or certification preferred</t>
        </is>
      </c>
      <c r="AV339" s="38" t="inlineStr">
        <is>
          <t>IC: none · Team Lead: 3–5</t>
        </is>
      </c>
      <c r="AW339" s="38" t="inlineStr">
        <is>
          <t>P3 / M2 · SFIA 4 Enable</t>
        </is>
      </c>
      <c r="AX3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9" s="39" t="inlineStr">
        <is>
          <t>B1</t>
        </is>
      </c>
      <c r="AZ339" s="40" t="inlineStr">
        <is>
          <t>Band B · Specialist / Manager · Team Lead / Asst Manager</t>
        </is>
      </c>
      <c r="BA339" s="40" t="inlineStr">
        <is>
          <t>Model B1 from the six ratings, the market-derived weights and rules R1–R13 · then No change · already below the manager</t>
        </is>
      </c>
      <c r="BB339" s="41" t="inlineStr">
        <is>
          <t>A3</t>
        </is>
      </c>
      <c r="BC339" s="40" t="inlineStr">
        <is>
          <t>The six ratings on the market-average weights of Band B · Specialist / POD Lead score 3.42 → A3 · Hay, Mercer IPE and public plans · experience 8.4 yrs vs the A3 market range 2–5</t>
        </is>
      </c>
      <c r="BD339" s="42">
        <f>IF(SUM(BM339,BN339,BO339,BP339,BQ339,BR339,BS339)=0,0,(BM339*BT339+BN339*BU339+BO339*BV339+BP339*BW339+BQ339*BX339+BR339*BY339+BS339*BZ339)/SUM(BM339,BN339,BO339,BP339,BQ339,BR339,BS339))</f>
        <v>0</v>
      </c>
      <c r="BE339" s="41" t="str">
        <f>IF(LEFT(AY339,1)="X",AY339,IF(OR(AY339="B+",AY339="C+"),INDEX(LAD_PC,MAX(1,MIN(14,MATCH(AY339,LAD_PC,0)+IF(BD339&gt;=0.5,1,IF(BD339&lt;=-0.5,-1,0))))),INDEX(LAD_STD,MAX(1,MIN(12,MATCH(AY339,LAD_STD,0)+IF(BD339&gt;=0.5,1,IF(BD339&lt;=-0.5,-1,0)))))))</f>
        <v>B1</v>
      </c>
      <c r="BF339" s="43" t="n"/>
      <c r="BG339" s="41" t="str">
        <f>IF(BF339&lt;&gt;"",BF339,BE339)</f>
        <v>B1</v>
      </c>
      <c r="BH339" s="40" t="str">
        <f>IFERROR(CHOOSE(INDEX(B_RANK,MATCH(BG339,B_LVL,0)),"Band A","Band B","B+ · Player-Coach","Band C","C+ · Player-Coach","Band D","Band E"),"Band X · Consultant")</f>
        <v>Band B</v>
      </c>
      <c r="BI339" s="40" t="str">
        <f>IF(BG339=AY339,"• Same",IF(INDEX(B_VAL,MATCH(BG339,B_LVL,0))&gt;INDEX(B_VAL,MATCH(AY339,B_LVL,0)),"▲ Up","▼ Down"))</f>
        <v>• Same</v>
      </c>
      <c r="BJ339" s="40" t="str">
        <f>IF(OR($M339="",$M339="—",$M339="Not in this file"),"",IFERROR(INDEX($BG$7:$BG$592,MATCH($M339,$D$7:$D$592,0)),""))</f>
        <v>B2</v>
      </c>
      <c r="BK339" s="40" t="str">
        <f>IFERROR(IF(BJ339="","—",IF(OR(LEFT(BG339,1)="X",LEFT(BJ339,1)="X"),"—",IF(AND(LEFT(BG339,1)="E",LEFT(BJ339,1)="E"),"Exception · Band E",IF(AND(INDEX(B_VAL,MATCH(BJ339,B_LVL,0))&gt;=7,INDEX(B_RANK,MATCH(BG339,B_LVL,0))&gt;=INDEX(B_RANK,MATCH(BJ339,B_LVL,0))),"⚠ Same band as a head manager",IF(INDEX(B_VAL,MATCH(BG339,B_LVL,0))&gt;=INDEX(B_VAL,MATCH(BJ339,B_LVL,0)),"⚠ At or above the manager's level","OK"))))),"—")</f>
        <v>OK</v>
      </c>
      <c r="BL339" s="43" t="n"/>
      <c r="BM339" s="44">
        <f>IFERROR(INDEX(LMH_PTS,MATCH(Y339,LMH_KEY,0)),0)</f>
        <v>9</v>
      </c>
      <c r="BN339" s="38">
        <f>IFERROR(INDEX(LMH_PTS,MATCH(Z339,LMH_KEY,0)),0)</f>
        <v>3</v>
      </c>
      <c r="BO339" s="38">
        <f>IFERROR(INDEX(LMH_PTS,MATCH(AA339,LMH_KEY,0)),0)</f>
        <v>1</v>
      </c>
      <c r="BP339" s="38">
        <f>IFERROR(INDEX(LMH_PTS,MATCH(AB339,LMH_KEY,0)),0)</f>
        <v>1</v>
      </c>
      <c r="BQ339" s="38">
        <f>IFERROR(INDEX(LMH_PTS,MATCH(AC339,LMH_KEY,0)),0)</f>
        <v>1</v>
      </c>
      <c r="BR339" s="38">
        <f>IFERROR(INDEX(LMH_PTS,MATCH(AD339,LMH_KEY,0)),0)</f>
        <v>1</v>
      </c>
      <c r="BS339" s="38">
        <f>IFERROR(INDEX(LMH_PTS,MATCH(AE339,LMH_KEY,0)),0)</f>
        <v>1</v>
      </c>
      <c r="BT339" s="38">
        <f>IFERROR(INDEX(LMH_STEP,MATCH(AF339,LMH_KEY,0)),0)</f>
        <v>0</v>
      </c>
      <c r="BU339" s="38">
        <f>IFERROR(INDEX(LMH_STEP,MATCH(AG339,LMH_KEY,0)),0)</f>
        <v>0</v>
      </c>
      <c r="BV339" s="38">
        <f>IFERROR(INDEX(LMH_STEP,MATCH(AH339,LMH_KEY,0)),0)</f>
        <v>0</v>
      </c>
      <c r="BW339" s="38">
        <f>IFERROR(INDEX(LMH_STEP,MATCH(AI339,LMH_KEY,0)),0)</f>
        <v>0</v>
      </c>
      <c r="BX339" s="38">
        <f>IFERROR(INDEX(LMH_STEP,MATCH(AJ339,LMH_KEY,0)),0)</f>
        <v>0</v>
      </c>
      <c r="BY339" s="38">
        <f>IFERROR(INDEX(LMH_STEP,MATCH(AK339,LMH_KEY,0)),0)</f>
        <v>0</v>
      </c>
      <c r="BZ339" s="38">
        <f>IFERROR(INDEX(LMH_STEP,MATCH(AL339,LMH_KEY,0)),0)</f>
        <v>0</v>
      </c>
      <c r="CA339" s="38" t="inlineStr">
        <is>
          <t>iFile|Quality Assurance|QA Specialist – POD Lead|B1|B-IC</t>
        </is>
      </c>
    </row>
    <row r="340" ht="110" customHeight="1">
      <c r="A340" s="28" t="inlineStr">
        <is>
          <t>iFile</t>
        </is>
      </c>
      <c r="B340" s="29" t="inlineStr">
        <is>
          <t>Quality Assurance</t>
        </is>
      </c>
      <c r="C340" s="29" t="n">
        <v>5</v>
      </c>
      <c r="D340" s="29" t="inlineStr">
        <is>
          <t>IRIS2452</t>
        </is>
      </c>
      <c r="E340" s="29" t="inlineStr">
        <is>
          <t>Chinmay Dambe</t>
        </is>
      </c>
      <c r="F340" s="29" t="inlineStr">
        <is>
          <t>Trainee QA Engineer</t>
        </is>
      </c>
      <c r="G340" s="29" t="inlineStr">
        <is>
          <t>Trainee QA Automation Engineer</t>
        </is>
      </c>
      <c r="H340" s="29" t="inlineStr">
        <is>
          <t>Quality Assurance</t>
        </is>
      </c>
      <c r="I340" s="29" t="inlineStr">
        <is>
          <t>Test Automation</t>
        </is>
      </c>
      <c r="J340" s="29" t="inlineStr">
        <is>
          <t>IC</t>
        </is>
      </c>
      <c r="K340" s="29" t="inlineStr">
        <is>
          <t>RC-145</t>
        </is>
      </c>
      <c r="L340" s="29" t="inlineStr">
        <is>
          <t>Ruturaj Kadam</t>
        </is>
      </c>
      <c r="M340" s="29" t="inlineStr">
        <is>
          <t>IRIS1923</t>
        </is>
      </c>
      <c r="N340" s="29" t="n">
        <v>0.8</v>
      </c>
      <c r="O340" s="29" t="n">
        <v>0.8</v>
      </c>
      <c r="P340" s="29" t="inlineStr">
        <is>
          <t>B.E</t>
        </is>
      </c>
      <c r="Q340" s="29" t="inlineStr">
        <is>
          <t>L2 – Trainee</t>
        </is>
      </c>
      <c r="R340" s="29" t="inlineStr">
        <is>
          <t>A1</t>
        </is>
      </c>
      <c r="S340" s="30" t="inlineStr">
        <is>
          <t>19 of 20</t>
        </is>
      </c>
      <c r="T340" s="32" t="inlineStr">
        <is>
          <t>Full survey answers not in the files received · How We Grow export needed · HR</t>
        </is>
      </c>
      <c r="U340" s="31" t="inlineStr">
        <is>
          <t>Received · manager annual, quarterly, self · 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t>
        </is>
      </c>
      <c r="V340" s="31" t="inlineStr">
        <is>
          <t>Latest rating: 3 · Potential: Medium · 9-box: High Impact / Growth Talent · Readiness: Develop in role</t>
        </is>
      </c>
      <c r="W340" s="31" t="inlineStr">
        <is>
          <t>C — · Au — · Ac — · L — · BI — · Exp H · 0.8 yrs vs 0 yrs · fresher / intern · Edu M · B.E</t>
        </is>
      </c>
      <c r="X340" s="33" t="inlineStr">
        <is>
          <t>Open ▸</t>
        </is>
      </c>
      <c r="Y340" s="34" t="str">
        <f>IFERROR(INDEX(DL_C,MATCH($CA340,DL_KEY,0)),"M")</f>
        <v>H</v>
      </c>
      <c r="Z340" s="35" t="str">
        <f>IFERROR(INDEX(DL_Au,MATCH($CA340,DL_KEY,0)),"M")</f>
        <v>M</v>
      </c>
      <c r="AA340" s="35" t="str">
        <f>IFERROR(INDEX(DL_Ac,MATCH($CA340,DL_KEY,0)),"M")</f>
        <v>L</v>
      </c>
      <c r="AB340" s="35" t="str">
        <f>IFERROR(INDEX(DL_L,MATCH($CA340,DL_KEY,0)),"M")</f>
        <v>L</v>
      </c>
      <c r="AC340" s="35" t="str">
        <f>IFERROR(INDEX(DL_BI,MATCH($CA340,DL_KEY,0)),"M")</f>
        <v>L</v>
      </c>
      <c r="AD340" s="35" t="str">
        <f>IFERROR(INDEX(DL_Exp,MATCH($CA340,DL_KEY,0)),"M")</f>
        <v>L</v>
      </c>
      <c r="AE340" s="35" t="str">
        <f>IFERROR(INDEX(DL_Edu,MATCH($CA340,DL_KEY,0)),"M")</f>
        <v>L</v>
      </c>
      <c r="AF340" s="34" t="inlineStr">
        <is>
          <t>M</t>
        </is>
      </c>
      <c r="AG340" s="35" t="inlineStr">
        <is>
          <t>M</t>
        </is>
      </c>
      <c r="AH340" s="35" t="inlineStr">
        <is>
          <t>M</t>
        </is>
      </c>
      <c r="AI340" s="35" t="inlineStr">
        <is>
          <t>M</t>
        </is>
      </c>
      <c r="AJ340" s="35" t="inlineStr">
        <is>
          <t>M</t>
        </is>
      </c>
      <c r="AK340" s="35" t="inlineStr">
        <is>
          <t>M</t>
        </is>
      </c>
      <c r="AL340" s="35" t="inlineStr">
        <is>
          <t>M</t>
        </is>
      </c>
      <c r="AM340" s="36" t="n">
        <v>0.583</v>
      </c>
      <c r="AN340" s="37" t="n">
        <v>0.16</v>
      </c>
      <c r="AO340" s="37" t="n">
        <v>0.09</v>
      </c>
      <c r="AP340" s="37" t="n">
        <v>0</v>
      </c>
      <c r="AQ340" s="37" t="n">
        <v>0.063</v>
      </c>
      <c r="AR340" s="37" t="n">
        <v>0.06</v>
      </c>
      <c r="AS340" s="37" t="n">
        <v>0.04</v>
      </c>
      <c r="AT340" s="38" t="inlineStr">
        <is>
          <t>0 yrs · fresher / intern</t>
        </is>
      </c>
      <c r="AU340" s="38" t="inlineStr">
        <is>
          <t>Pursuing or completed graduation / diploma</t>
        </is>
      </c>
      <c r="AV340" s="38" t="inlineStr">
        <is>
          <t>No direct reports</t>
        </is>
      </c>
      <c r="AW340" s="38" t="inlineStr">
        <is>
          <t>Entry / P1 · intern · SFIA 1 Follow</t>
        </is>
      </c>
      <c r="AX3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0" s="39" t="inlineStr">
        <is>
          <t>A1</t>
        </is>
      </c>
      <c r="AZ340" s="40" t="inlineStr">
        <is>
          <t>Band A · Practitioner · Intern / Trainee</t>
        </is>
      </c>
      <c r="BA340" s="40" t="inlineStr">
        <is>
          <t>Model A1 from the six ratings, the market-derived weights and rules R1–R13 · then No change · already below the manager</t>
        </is>
      </c>
      <c r="BB340" s="41" t="inlineStr">
        <is>
          <t>A1</t>
        </is>
      </c>
      <c r="BC340" s="40" t="inlineStr">
        <is>
          <t>Placed by a category rule — no full set of ratings · benchmark follows the HR proposed level</t>
        </is>
      </c>
      <c r="BD340" s="42">
        <f>IF(SUM(BM340,BN340,BO340,BP340,BQ340,BR340,BS340)=0,0,(BM340*BT340+BN340*BU340+BO340*BV340+BP340*BW340+BQ340*BX340+BR340*BY340+BS340*BZ340)/SUM(BM340,BN340,BO340,BP340,BQ340,BR340,BS340))</f>
        <v>0</v>
      </c>
      <c r="BE340" s="41" t="str">
        <f>IF(LEFT(AY340,1)="X",AY340,IF(OR(AY340="B+",AY340="C+"),INDEX(LAD_PC,MAX(1,MIN(14,MATCH(AY340,LAD_PC,0)+IF(BD340&gt;=0.5,1,IF(BD340&lt;=-0.5,-1,0))))),INDEX(LAD_STD,MAX(1,MIN(12,MATCH(AY340,LAD_STD,0)+IF(BD340&gt;=0.5,1,IF(BD340&lt;=-0.5,-1,0)))))))</f>
        <v>A1</v>
      </c>
      <c r="BF340" s="43" t="n"/>
      <c r="BG340" s="41" t="str">
        <f>IF(BF340&lt;&gt;"",BF340,BE340)</f>
        <v>A1</v>
      </c>
      <c r="BH340" s="40" t="str">
        <f>IFERROR(CHOOSE(INDEX(B_RANK,MATCH(BG340,B_LVL,0)),"Band A","Band B","B+ · Player-Coach","Band C","C+ · Player-Coach","Band D","Band E"),"Band X · Consultant")</f>
        <v>Band A</v>
      </c>
      <c r="BI340" s="40" t="str">
        <f>IF(BG340=AY340,"• Same",IF(INDEX(B_VAL,MATCH(BG340,B_LVL,0))&gt;INDEX(B_VAL,MATCH(AY340,B_LVL,0)),"▲ Up","▼ Down"))</f>
        <v>• Same</v>
      </c>
      <c r="BJ340" s="40" t="str">
        <f>IF(OR($M340="",$M340="—",$M340="Not in this file"),"",IFERROR(INDEX($BG$7:$BG$592,MATCH($M340,$D$7:$D$592,0)),""))</f>
        <v>B1</v>
      </c>
      <c r="BK340" s="40" t="str">
        <f>IFERROR(IF(BJ340="","—",IF(OR(LEFT(BG340,1)="X",LEFT(BJ340,1)="X"),"—",IF(AND(LEFT(BG340,1)="E",LEFT(BJ340,1)="E"),"Exception · Band E",IF(AND(INDEX(B_VAL,MATCH(BJ340,B_LVL,0))&gt;=7,INDEX(B_RANK,MATCH(BG340,B_LVL,0))&gt;=INDEX(B_RANK,MATCH(BJ340,B_LVL,0))),"⚠ Same band as a head manager",IF(INDEX(B_VAL,MATCH(BG340,B_LVL,0))&gt;=INDEX(B_VAL,MATCH(BJ340,B_LVL,0)),"⚠ At or above the manager's level","OK"))))),"—")</f>
        <v>OK</v>
      </c>
      <c r="BL340" s="43" t="n"/>
      <c r="BM340" s="44">
        <f>IFERROR(INDEX(LMH_PTS,MATCH(Y340,LMH_KEY,0)),0)</f>
        <v>9</v>
      </c>
      <c r="BN340" s="38">
        <f>IFERROR(INDEX(LMH_PTS,MATCH(Z340,LMH_KEY,0)),0)</f>
        <v>3</v>
      </c>
      <c r="BO340" s="38">
        <f>IFERROR(INDEX(LMH_PTS,MATCH(AA340,LMH_KEY,0)),0)</f>
        <v>1</v>
      </c>
      <c r="BP340" s="38">
        <f>IFERROR(INDEX(LMH_PTS,MATCH(AB340,LMH_KEY,0)),0)</f>
        <v>1</v>
      </c>
      <c r="BQ340" s="38">
        <f>IFERROR(INDEX(LMH_PTS,MATCH(AC340,LMH_KEY,0)),0)</f>
        <v>1</v>
      </c>
      <c r="BR340" s="38">
        <f>IFERROR(INDEX(LMH_PTS,MATCH(AD340,LMH_KEY,0)),0)</f>
        <v>1</v>
      </c>
      <c r="BS340" s="38">
        <f>IFERROR(INDEX(LMH_PTS,MATCH(AE340,LMH_KEY,0)),0)</f>
        <v>1</v>
      </c>
      <c r="BT340" s="38">
        <f>IFERROR(INDEX(LMH_STEP,MATCH(AF340,LMH_KEY,0)),0)</f>
        <v>0</v>
      </c>
      <c r="BU340" s="38">
        <f>IFERROR(INDEX(LMH_STEP,MATCH(AG340,LMH_KEY,0)),0)</f>
        <v>0</v>
      </c>
      <c r="BV340" s="38">
        <f>IFERROR(INDEX(LMH_STEP,MATCH(AH340,LMH_KEY,0)),0)</f>
        <v>0</v>
      </c>
      <c r="BW340" s="38">
        <f>IFERROR(INDEX(LMH_STEP,MATCH(AI340,LMH_KEY,0)),0)</f>
        <v>0</v>
      </c>
      <c r="BX340" s="38">
        <f>IFERROR(INDEX(LMH_STEP,MATCH(AJ340,LMH_KEY,0)),0)</f>
        <v>0</v>
      </c>
      <c r="BY340" s="38">
        <f>IFERROR(INDEX(LMH_STEP,MATCH(AK340,LMH_KEY,0)),0)</f>
        <v>0</v>
      </c>
      <c r="BZ340" s="38">
        <f>IFERROR(INDEX(LMH_STEP,MATCH(AL340,LMH_KEY,0)),0)</f>
        <v>0</v>
      </c>
      <c r="CA340" s="38" t="inlineStr">
        <is>
          <t>iFile|Quality Assurance|Trainee QA Automation Engineer|A1|A</t>
        </is>
      </c>
    </row>
    <row r="341" ht="110" customHeight="1">
      <c r="A341" s="28" t="inlineStr">
        <is>
          <t>iFile</t>
        </is>
      </c>
      <c r="B341" s="29" t="inlineStr">
        <is>
          <t>Quality Assurance</t>
        </is>
      </c>
      <c r="C341" s="29" t="n">
        <v>4</v>
      </c>
      <c r="D341" s="29" t="inlineStr">
        <is>
          <t>IRIS1827</t>
        </is>
      </c>
      <c r="E341" s="29" t="inlineStr">
        <is>
          <t>Susan Peter</t>
        </is>
      </c>
      <c r="F341" s="29" t="inlineStr">
        <is>
          <t>Senior QA - Engineer</t>
        </is>
      </c>
      <c r="G341" s="29" t="inlineStr">
        <is>
          <t>QA Specialist – POD Lead</t>
        </is>
      </c>
      <c r="H341" s="29" t="inlineStr">
        <is>
          <t>Quality Assurance</t>
        </is>
      </c>
      <c r="I341" s="29" t="inlineStr">
        <is>
          <t>Functional &amp; Domain Testing</t>
        </is>
      </c>
      <c r="J341" s="29" t="inlineStr">
        <is>
          <t>POD Lead</t>
        </is>
      </c>
      <c r="K341" s="29" t="inlineStr">
        <is>
          <t>RC-142</t>
        </is>
      </c>
      <c r="L341" s="29" t="inlineStr">
        <is>
          <t>Davinder Pal Singh</t>
        </is>
      </c>
      <c r="M341" s="29" t="inlineStr">
        <is>
          <t>IRIS0728</t>
        </is>
      </c>
      <c r="N341" s="29" t="n">
        <v>12.1</v>
      </c>
      <c r="O341" s="29" t="n">
        <v>6.8</v>
      </c>
      <c r="P341" s="29" t="inlineStr">
        <is>
          <t>B.E</t>
        </is>
      </c>
      <c r="Q341" s="29" t="inlineStr">
        <is>
          <t>L4 – Senior</t>
        </is>
      </c>
      <c r="R341" s="29" t="inlineStr">
        <is>
          <t>B1</t>
        </is>
      </c>
      <c r="S341" s="30" t="inlineStr">
        <is>
          <t>20 of 20</t>
        </is>
      </c>
      <c r="T341" s="31"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
        </is>
      </c>
      <c r="U341" s="31" t="inlineStr">
        <is>
          <t>Received · manager annual, quarterly, self · 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t>
        </is>
      </c>
      <c r="V341" s="31" t="inlineStr">
        <is>
          <t>Latest rating: 4 · 9-box: Not placed · manager · Readiness: Ready in 6–12 months</t>
        </is>
      </c>
      <c r="W341" s="31" t="inlineStr">
        <is>
          <t>C L · Au M · Ac M · L M · BI M · Exp H · 12.1 yrs vs 4–7 yrs · Edu M · B.E</t>
        </is>
      </c>
      <c r="X341" s="33" t="inlineStr">
        <is>
          <t>Open ▸</t>
        </is>
      </c>
      <c r="Y341" s="34" t="str">
        <f>IFERROR(INDEX(DL_C,MATCH($CA341,DL_KEY,0)),"M")</f>
        <v>H</v>
      </c>
      <c r="Z341" s="35" t="str">
        <f>IFERROR(INDEX(DL_Au,MATCH($CA341,DL_KEY,0)),"M")</f>
        <v>M</v>
      </c>
      <c r="AA341" s="35" t="str">
        <f>IFERROR(INDEX(DL_Ac,MATCH($CA341,DL_KEY,0)),"M")</f>
        <v>L</v>
      </c>
      <c r="AB341" s="35" t="str">
        <f>IFERROR(INDEX(DL_L,MATCH($CA341,DL_KEY,0)),"M")</f>
        <v>L</v>
      </c>
      <c r="AC341" s="35" t="str">
        <f>IFERROR(INDEX(DL_BI,MATCH($CA341,DL_KEY,0)),"M")</f>
        <v>L</v>
      </c>
      <c r="AD341" s="35" t="str">
        <f>IFERROR(INDEX(DL_Exp,MATCH($CA341,DL_KEY,0)),"M")</f>
        <v>L</v>
      </c>
      <c r="AE341" s="35" t="str">
        <f>IFERROR(INDEX(DL_Edu,MATCH($CA341,DL_KEY,0)),"M")</f>
        <v>L</v>
      </c>
      <c r="AF341" s="34" t="inlineStr">
        <is>
          <t>M</t>
        </is>
      </c>
      <c r="AG341" s="35" t="inlineStr">
        <is>
          <t>M</t>
        </is>
      </c>
      <c r="AH341" s="35" t="inlineStr">
        <is>
          <t>M</t>
        </is>
      </c>
      <c r="AI341" s="35" t="inlineStr">
        <is>
          <t>M</t>
        </is>
      </c>
      <c r="AJ341" s="35" t="inlineStr">
        <is>
          <t>M</t>
        </is>
      </c>
      <c r="AK341" s="35" t="inlineStr">
        <is>
          <t>M</t>
        </is>
      </c>
      <c r="AL341" s="35" t="inlineStr">
        <is>
          <t>M</t>
        </is>
      </c>
      <c r="AM341" s="36" t="n">
        <v>0.513</v>
      </c>
      <c r="AN341" s="37" t="n">
        <v>0.173</v>
      </c>
      <c r="AO341" s="37" t="n">
        <v>0.09699999999999999</v>
      </c>
      <c r="AP341" s="37" t="n">
        <v>0.05</v>
      </c>
      <c r="AQ341" s="37" t="n">
        <v>0.07000000000000001</v>
      </c>
      <c r="AR341" s="37" t="n">
        <v>0.06</v>
      </c>
      <c r="AS341" s="37" t="n">
        <v>0.04</v>
      </c>
      <c r="AT341" s="38" t="inlineStr">
        <is>
          <t>4–8</t>
        </is>
      </c>
      <c r="AU341" s="38" t="inlineStr">
        <is>
          <t>Graduate + relevant qualification or certification preferred</t>
        </is>
      </c>
      <c r="AV341" s="38" t="inlineStr">
        <is>
          <t>IC: none · Team Lead: 3–5</t>
        </is>
      </c>
      <c r="AW341" s="38" t="inlineStr">
        <is>
          <t>P3 / M2 · SFIA 4 Enable</t>
        </is>
      </c>
      <c r="AX3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1" s="39" t="inlineStr">
        <is>
          <t>B1</t>
        </is>
      </c>
      <c r="AZ341" s="40" t="inlineStr">
        <is>
          <t>Band B · Specialist / Manager · Team Lead / Asst Manager</t>
        </is>
      </c>
      <c r="BA341" s="40" t="inlineStr">
        <is>
          <t>Model B1 from the six ratings, the market-derived weights and rules R1–R13 · then No change · already below the manager</t>
        </is>
      </c>
      <c r="BB341" s="41" t="inlineStr">
        <is>
          <t>B1</t>
        </is>
      </c>
      <c r="BC341" s="40" t="inlineStr">
        <is>
          <t>The six ratings on the market-average weights of Band B · Specialist / POD Lead score 3.70 → B1 · Hay, Mercer IPE and public plans · experience 12.1 yrs vs the B1 market range 4–8</t>
        </is>
      </c>
      <c r="BD341" s="42">
        <f>IF(SUM(BM341,BN341,BO341,BP341,BQ341,BR341,BS341)=0,0,(BM341*BT341+BN341*BU341+BO341*BV341+BP341*BW341+BQ341*BX341+BR341*BY341+BS341*BZ341)/SUM(BM341,BN341,BO341,BP341,BQ341,BR341,BS341))</f>
        <v>0</v>
      </c>
      <c r="BE341" s="41" t="str">
        <f>IF(LEFT(AY341,1)="X",AY341,IF(OR(AY341="B+",AY341="C+"),INDEX(LAD_PC,MAX(1,MIN(14,MATCH(AY341,LAD_PC,0)+IF(BD341&gt;=0.5,1,IF(BD341&lt;=-0.5,-1,0))))),INDEX(LAD_STD,MAX(1,MIN(12,MATCH(AY341,LAD_STD,0)+IF(BD341&gt;=0.5,1,IF(BD341&lt;=-0.5,-1,0)))))))</f>
        <v>B1</v>
      </c>
      <c r="BF341" s="43" t="n"/>
      <c r="BG341" s="41" t="str">
        <f>IF(BF341&lt;&gt;"",BF341,BE341)</f>
        <v>B1</v>
      </c>
      <c r="BH341" s="40" t="str">
        <f>IFERROR(CHOOSE(INDEX(B_RANK,MATCH(BG341,B_LVL,0)),"Band A","Band B","B+ · Player-Coach","Band C","C+ · Player-Coach","Band D","Band E"),"Band X · Consultant")</f>
        <v>Band B</v>
      </c>
      <c r="BI341" s="40" t="str">
        <f>IF(BG341=AY341,"• Same",IF(INDEX(B_VAL,MATCH(BG341,B_LVL,0))&gt;INDEX(B_VAL,MATCH(AY341,B_LVL,0)),"▲ Up","▼ Down"))</f>
        <v>• Same</v>
      </c>
      <c r="BJ341" s="40" t="str">
        <f>IF(OR($M341="",$M341="—",$M341="Not in this file"),"",IFERROR(INDEX($BG$7:$BG$592,MATCH($M341,$D$7:$D$592,0)),""))</f>
        <v>B2</v>
      </c>
      <c r="BK341" s="40" t="str">
        <f>IFERROR(IF(BJ341="","—",IF(OR(LEFT(BG341,1)="X",LEFT(BJ341,1)="X"),"—",IF(AND(LEFT(BG341,1)="E",LEFT(BJ341,1)="E"),"Exception · Band E",IF(AND(INDEX(B_VAL,MATCH(BJ341,B_LVL,0))&gt;=7,INDEX(B_RANK,MATCH(BG341,B_LVL,0))&gt;=INDEX(B_RANK,MATCH(BJ341,B_LVL,0))),"⚠ Same band as a head manager",IF(INDEX(B_VAL,MATCH(BG341,B_LVL,0))&gt;=INDEX(B_VAL,MATCH(BJ341,B_LVL,0)),"⚠ At or above the manager's level","OK"))))),"—")</f>
        <v>OK</v>
      </c>
      <c r="BL341" s="43" t="n"/>
      <c r="BM341" s="44">
        <f>IFERROR(INDEX(LMH_PTS,MATCH(Y341,LMH_KEY,0)),0)</f>
        <v>9</v>
      </c>
      <c r="BN341" s="38">
        <f>IFERROR(INDEX(LMH_PTS,MATCH(Z341,LMH_KEY,0)),0)</f>
        <v>3</v>
      </c>
      <c r="BO341" s="38">
        <f>IFERROR(INDEX(LMH_PTS,MATCH(AA341,LMH_KEY,0)),0)</f>
        <v>1</v>
      </c>
      <c r="BP341" s="38">
        <f>IFERROR(INDEX(LMH_PTS,MATCH(AB341,LMH_KEY,0)),0)</f>
        <v>1</v>
      </c>
      <c r="BQ341" s="38">
        <f>IFERROR(INDEX(LMH_PTS,MATCH(AC341,LMH_KEY,0)),0)</f>
        <v>1</v>
      </c>
      <c r="BR341" s="38">
        <f>IFERROR(INDEX(LMH_PTS,MATCH(AD341,LMH_KEY,0)),0)</f>
        <v>1</v>
      </c>
      <c r="BS341" s="38">
        <f>IFERROR(INDEX(LMH_PTS,MATCH(AE341,LMH_KEY,0)),0)</f>
        <v>1</v>
      </c>
      <c r="BT341" s="38">
        <f>IFERROR(INDEX(LMH_STEP,MATCH(AF341,LMH_KEY,0)),0)</f>
        <v>0</v>
      </c>
      <c r="BU341" s="38">
        <f>IFERROR(INDEX(LMH_STEP,MATCH(AG341,LMH_KEY,0)),0)</f>
        <v>0</v>
      </c>
      <c r="BV341" s="38">
        <f>IFERROR(INDEX(LMH_STEP,MATCH(AH341,LMH_KEY,0)),0)</f>
        <v>0</v>
      </c>
      <c r="BW341" s="38">
        <f>IFERROR(INDEX(LMH_STEP,MATCH(AI341,LMH_KEY,0)),0)</f>
        <v>0</v>
      </c>
      <c r="BX341" s="38">
        <f>IFERROR(INDEX(LMH_STEP,MATCH(AJ341,LMH_KEY,0)),0)</f>
        <v>0</v>
      </c>
      <c r="BY341" s="38">
        <f>IFERROR(INDEX(LMH_STEP,MATCH(AK341,LMH_KEY,0)),0)</f>
        <v>0</v>
      </c>
      <c r="BZ341" s="38">
        <f>IFERROR(INDEX(LMH_STEP,MATCH(AL341,LMH_KEY,0)),0)</f>
        <v>0</v>
      </c>
      <c r="CA341" s="38" t="inlineStr">
        <is>
          <t>iFile|Quality Assurance|QA Specialist – POD Lead|B1|B-IC</t>
        </is>
      </c>
    </row>
    <row r="342" ht="110" customHeight="1">
      <c r="A342" s="28" t="inlineStr">
        <is>
          <t>iFile</t>
        </is>
      </c>
      <c r="B342" s="29" t="inlineStr">
        <is>
          <t>Quality Assurance</t>
        </is>
      </c>
      <c r="C342" s="29" t="n">
        <v>5</v>
      </c>
      <c r="D342" s="29" t="inlineStr">
        <is>
          <t>IRIS2304</t>
        </is>
      </c>
      <c r="E342" s="29" t="inlineStr">
        <is>
          <t>Adnan Yakub Majgaonkar</t>
        </is>
      </c>
      <c r="F342" s="29" t="inlineStr">
        <is>
          <t>QA Engineer</t>
        </is>
      </c>
      <c r="G342" s="29" t="inlineStr">
        <is>
          <t>Senior QA Automation Engineer</t>
        </is>
      </c>
      <c r="H342" s="29" t="inlineStr">
        <is>
          <t>Quality Assurance</t>
        </is>
      </c>
      <c r="I342" s="29" t="inlineStr">
        <is>
          <t>Test Automation</t>
        </is>
      </c>
      <c r="J342" s="29" t="inlineStr">
        <is>
          <t>IC</t>
        </is>
      </c>
      <c r="K342" s="29" t="inlineStr">
        <is>
          <t>RC-146</t>
        </is>
      </c>
      <c r="L342" s="29" t="inlineStr">
        <is>
          <t>Susan Peter</t>
        </is>
      </c>
      <c r="M342" s="29" t="inlineStr">
        <is>
          <t>IRIS1827</t>
        </is>
      </c>
      <c r="N342" s="29" t="n">
        <v>4</v>
      </c>
      <c r="O342" s="29" t="n">
        <v>2</v>
      </c>
      <c r="P342" s="29" t="inlineStr">
        <is>
          <t>B.Tech</t>
        </is>
      </c>
      <c r="Q342" s="29" t="inlineStr">
        <is>
          <t>L3 – Professional / Associate</t>
        </is>
      </c>
      <c r="R342" s="29" t="inlineStr">
        <is>
          <t>A3</t>
        </is>
      </c>
      <c r="S342" s="30" t="inlineStr">
        <is>
          <t>20 of 20</t>
        </is>
      </c>
      <c r="T342" s="31"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t>
        </is>
      </c>
      <c r="U342" s="31" t="inlineStr">
        <is>
          <t>Received · manager annual, quarterly, self · 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t>
        </is>
      </c>
      <c r="V342" s="31" t="inlineStr">
        <is>
          <t>Latest rating: 4 · Potential: Medium · 9-box: Trusted Professional · Readiness: Ready in 6–12 months</t>
        </is>
      </c>
      <c r="W342" s="31" t="inlineStr">
        <is>
          <t>C L · Au L · Ac L · L L · BI L · Exp M · 4 yrs vs 2–4 yrs · Edu M · B.Tech</t>
        </is>
      </c>
      <c r="X342" s="33" t="inlineStr">
        <is>
          <t>Open ▸</t>
        </is>
      </c>
      <c r="Y342" s="34" t="str">
        <f>IFERROR(INDEX(DL_C,MATCH($CA342,DL_KEY,0)),"M")</f>
        <v>H</v>
      </c>
      <c r="Z342" s="35" t="str">
        <f>IFERROR(INDEX(DL_Au,MATCH($CA342,DL_KEY,0)),"M")</f>
        <v>M</v>
      </c>
      <c r="AA342" s="35" t="str">
        <f>IFERROR(INDEX(DL_Ac,MATCH($CA342,DL_KEY,0)),"M")</f>
        <v>L</v>
      </c>
      <c r="AB342" s="35" t="str">
        <f>IFERROR(INDEX(DL_L,MATCH($CA342,DL_KEY,0)),"M")</f>
        <v>L</v>
      </c>
      <c r="AC342" s="35" t="str">
        <f>IFERROR(INDEX(DL_BI,MATCH($CA342,DL_KEY,0)),"M")</f>
        <v>L</v>
      </c>
      <c r="AD342" s="35" t="str">
        <f>IFERROR(INDEX(DL_Exp,MATCH($CA342,DL_KEY,0)),"M")</f>
        <v>L</v>
      </c>
      <c r="AE342" s="35" t="str">
        <f>IFERROR(INDEX(DL_Edu,MATCH($CA342,DL_KEY,0)),"M")</f>
        <v>L</v>
      </c>
      <c r="AF342" s="34" t="inlineStr">
        <is>
          <t>M</t>
        </is>
      </c>
      <c r="AG342" s="35" t="inlineStr">
        <is>
          <t>M</t>
        </is>
      </c>
      <c r="AH342" s="35" t="inlineStr">
        <is>
          <t>M</t>
        </is>
      </c>
      <c r="AI342" s="35" t="inlineStr">
        <is>
          <t>M</t>
        </is>
      </c>
      <c r="AJ342" s="35" t="inlineStr">
        <is>
          <t>M</t>
        </is>
      </c>
      <c r="AK342" s="35" t="inlineStr">
        <is>
          <t>M</t>
        </is>
      </c>
      <c r="AL342" s="35" t="inlineStr">
        <is>
          <t>M</t>
        </is>
      </c>
      <c r="AM342" s="36" t="n">
        <v>0.583</v>
      </c>
      <c r="AN342" s="37" t="n">
        <v>0.16</v>
      </c>
      <c r="AO342" s="37" t="n">
        <v>0.09</v>
      </c>
      <c r="AP342" s="37" t="n">
        <v>0</v>
      </c>
      <c r="AQ342" s="37" t="n">
        <v>0.063</v>
      </c>
      <c r="AR342" s="37" t="n">
        <v>0.06</v>
      </c>
      <c r="AS342" s="37" t="n">
        <v>0.04</v>
      </c>
      <c r="AT342" s="38" t="inlineStr">
        <is>
          <t>2–5</t>
        </is>
      </c>
      <c r="AU342" s="38" t="inlineStr">
        <is>
          <t>Graduate; relevant certification preferred</t>
        </is>
      </c>
      <c r="AV342" s="38" t="inlineStr">
        <is>
          <t>None · guides 1–3 juniors informally</t>
        </is>
      </c>
      <c r="AW342" s="38" t="inlineStr">
        <is>
          <t>P2 · SFIA 3 Apply</t>
        </is>
      </c>
      <c r="AX3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2" s="39" t="inlineStr">
        <is>
          <t>A3</t>
        </is>
      </c>
      <c r="AZ342" s="40" t="inlineStr">
        <is>
          <t>Band A · Practitioner · Senior Associate</t>
        </is>
      </c>
      <c r="BA342" s="40" t="inlineStr">
        <is>
          <t>Model A3 from the six ratings, the market-derived weights and rules R1–R13 · then No change · already below the manager</t>
        </is>
      </c>
      <c r="BB342" s="41" t="inlineStr">
        <is>
          <t>A2</t>
        </is>
      </c>
      <c r="BC342" s="40" t="inlineStr">
        <is>
          <t>The six ratings on the market-average weights of Band A · all tracks score 2.15 → A2 · Hay, Mercer IPE and public plans · experience 4 yrs vs the A2 market range 0–3</t>
        </is>
      </c>
      <c r="BD342" s="42">
        <f>IF(SUM(BM342,BN342,BO342,BP342,BQ342,BR342,BS342)=0,0,(BM342*BT342+BN342*BU342+BO342*BV342+BP342*BW342+BQ342*BX342+BR342*BY342+BS342*BZ342)/SUM(BM342,BN342,BO342,BP342,BQ342,BR342,BS342))</f>
        <v>0</v>
      </c>
      <c r="BE342" s="41" t="str">
        <f>IF(LEFT(AY342,1)="X",AY342,IF(OR(AY342="B+",AY342="C+"),INDEX(LAD_PC,MAX(1,MIN(14,MATCH(AY342,LAD_PC,0)+IF(BD342&gt;=0.5,1,IF(BD342&lt;=-0.5,-1,0))))),INDEX(LAD_STD,MAX(1,MIN(12,MATCH(AY342,LAD_STD,0)+IF(BD342&gt;=0.5,1,IF(BD342&lt;=-0.5,-1,0)))))))</f>
        <v>A3</v>
      </c>
      <c r="BF342" s="43" t="n"/>
      <c r="BG342" s="41" t="str">
        <f>IF(BF342&lt;&gt;"",BF342,BE342)</f>
        <v>A3</v>
      </c>
      <c r="BH342" s="40" t="str">
        <f>IFERROR(CHOOSE(INDEX(B_RANK,MATCH(BG342,B_LVL,0)),"Band A","Band B","B+ · Player-Coach","Band C","C+ · Player-Coach","Band D","Band E"),"Band X · Consultant")</f>
        <v>Band A</v>
      </c>
      <c r="BI342" s="40" t="str">
        <f>IF(BG342=AY342,"• Same",IF(INDEX(B_VAL,MATCH(BG342,B_LVL,0))&gt;INDEX(B_VAL,MATCH(AY342,B_LVL,0)),"▲ Up","▼ Down"))</f>
        <v>• Same</v>
      </c>
      <c r="BJ342" s="40" t="str">
        <f>IF(OR($M342="",$M342="—",$M342="Not in this file"),"",IFERROR(INDEX($BG$7:$BG$592,MATCH($M342,$D$7:$D$592,0)),""))</f>
        <v>B1</v>
      </c>
      <c r="BK342" s="40" t="str">
        <f>IFERROR(IF(BJ342="","—",IF(OR(LEFT(BG342,1)="X",LEFT(BJ342,1)="X"),"—",IF(AND(LEFT(BG342,1)="E",LEFT(BJ342,1)="E"),"Exception · Band E",IF(AND(INDEX(B_VAL,MATCH(BJ342,B_LVL,0))&gt;=7,INDEX(B_RANK,MATCH(BG342,B_LVL,0))&gt;=INDEX(B_RANK,MATCH(BJ342,B_LVL,0))),"⚠ Same band as a head manager",IF(INDEX(B_VAL,MATCH(BG342,B_LVL,0))&gt;=INDEX(B_VAL,MATCH(BJ342,B_LVL,0)),"⚠ At or above the manager's level","OK"))))),"—")</f>
        <v>OK</v>
      </c>
      <c r="BL342" s="43" t="n"/>
      <c r="BM342" s="44">
        <f>IFERROR(INDEX(LMH_PTS,MATCH(Y342,LMH_KEY,0)),0)</f>
        <v>9</v>
      </c>
      <c r="BN342" s="38">
        <f>IFERROR(INDEX(LMH_PTS,MATCH(Z342,LMH_KEY,0)),0)</f>
        <v>3</v>
      </c>
      <c r="BO342" s="38">
        <f>IFERROR(INDEX(LMH_PTS,MATCH(AA342,LMH_KEY,0)),0)</f>
        <v>1</v>
      </c>
      <c r="BP342" s="38">
        <f>IFERROR(INDEX(LMH_PTS,MATCH(AB342,LMH_KEY,0)),0)</f>
        <v>1</v>
      </c>
      <c r="BQ342" s="38">
        <f>IFERROR(INDEX(LMH_PTS,MATCH(AC342,LMH_KEY,0)),0)</f>
        <v>1</v>
      </c>
      <c r="BR342" s="38">
        <f>IFERROR(INDEX(LMH_PTS,MATCH(AD342,LMH_KEY,0)),0)</f>
        <v>1</v>
      </c>
      <c r="BS342" s="38">
        <f>IFERROR(INDEX(LMH_PTS,MATCH(AE342,LMH_KEY,0)),0)</f>
        <v>1</v>
      </c>
      <c r="BT342" s="38">
        <f>IFERROR(INDEX(LMH_STEP,MATCH(AF342,LMH_KEY,0)),0)</f>
        <v>0</v>
      </c>
      <c r="BU342" s="38">
        <f>IFERROR(INDEX(LMH_STEP,MATCH(AG342,LMH_KEY,0)),0)</f>
        <v>0</v>
      </c>
      <c r="BV342" s="38">
        <f>IFERROR(INDEX(LMH_STEP,MATCH(AH342,LMH_KEY,0)),0)</f>
        <v>0</v>
      </c>
      <c r="BW342" s="38">
        <f>IFERROR(INDEX(LMH_STEP,MATCH(AI342,LMH_KEY,0)),0)</f>
        <v>0</v>
      </c>
      <c r="BX342" s="38">
        <f>IFERROR(INDEX(LMH_STEP,MATCH(AJ342,LMH_KEY,0)),0)</f>
        <v>0</v>
      </c>
      <c r="BY342" s="38">
        <f>IFERROR(INDEX(LMH_STEP,MATCH(AK342,LMH_KEY,0)),0)</f>
        <v>0</v>
      </c>
      <c r="BZ342" s="38">
        <f>IFERROR(INDEX(LMH_STEP,MATCH(AL342,LMH_KEY,0)),0)</f>
        <v>0</v>
      </c>
      <c r="CA342" s="38" t="inlineStr">
        <is>
          <t>iFile|Quality Assurance|Senior QA Automation Engineer|A3|A</t>
        </is>
      </c>
    </row>
    <row r="343" ht="110" customHeight="1">
      <c r="A343" s="28" t="inlineStr">
        <is>
          <t>iFile</t>
        </is>
      </c>
      <c r="B343" s="29" t="inlineStr">
        <is>
          <t>Quality Assurance</t>
        </is>
      </c>
      <c r="C343" s="29" t="n">
        <v>5</v>
      </c>
      <c r="D343" s="29" t="inlineStr">
        <is>
          <t>INTN0288</t>
        </is>
      </c>
      <c r="E343" s="29" t="inlineStr">
        <is>
          <t>Yugal Kishore Singh</t>
        </is>
      </c>
      <c r="F343" s="29" t="inlineStr">
        <is>
          <t>Intern</t>
        </is>
      </c>
      <c r="G343" s="29" t="inlineStr">
        <is>
          <t>Intern – Functional &amp; Domain Testing</t>
        </is>
      </c>
      <c r="H343" s="29" t="inlineStr">
        <is>
          <t>Quality Assurance</t>
        </is>
      </c>
      <c r="I343" s="29" t="inlineStr">
        <is>
          <t>Functional &amp; Domain Testing</t>
        </is>
      </c>
      <c r="J343" s="29" t="inlineStr">
        <is>
          <t>IC</t>
        </is>
      </c>
      <c r="K343" s="29" t="inlineStr">
        <is>
          <t>RC-139</t>
        </is>
      </c>
      <c r="L343" s="29" t="inlineStr">
        <is>
          <t>Susan Peter</t>
        </is>
      </c>
      <c r="M343" s="29" t="inlineStr">
        <is>
          <t>IRIS1827</t>
        </is>
      </c>
      <c r="N343" s="29" t="n">
        <v>4.3</v>
      </c>
      <c r="O343" s="29" t="n">
        <v>0.7</v>
      </c>
      <c r="P343" s="29" t="inlineStr">
        <is>
          <t>B.Sc</t>
        </is>
      </c>
      <c r="Q343" s="29" t="inlineStr">
        <is>
          <t>L1 – Intern</t>
        </is>
      </c>
      <c r="R343" s="29" t="inlineStr">
        <is>
          <t>A1</t>
        </is>
      </c>
      <c r="S343" s="30" t="inlineStr">
        <is>
          <t>20 of 20</t>
        </is>
      </c>
      <c r="T343" s="32" t="inlineStr">
        <is>
          <t>Full survey answers not in the files received · How We Grow export needed · HR</t>
        </is>
      </c>
      <c r="U343" s="31" t="inlineStr">
        <is>
          <t>Received · manager annual, quarterly, self · 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t>
        </is>
      </c>
      <c r="V343" s="31" t="inlineStr">
        <is>
          <t>Latest rating: 3 · Potential: Medium · 9-box: High Impact / Growth Talent · Readiness: Develop in role</t>
        </is>
      </c>
      <c r="W343" s="31" t="inlineStr">
        <is>
          <t>C — · Au — · Ac — · L — · BI — · Exp H · 4.3 yrs vs 0 yrs · fresher / intern · Edu M · B.Sc</t>
        </is>
      </c>
      <c r="X343" s="33" t="inlineStr">
        <is>
          <t>Open ▸</t>
        </is>
      </c>
      <c r="Y343" s="34" t="str">
        <f>IFERROR(INDEX(DL_C,MATCH($CA343,DL_KEY,0)),"M")</f>
        <v>H</v>
      </c>
      <c r="Z343" s="35" t="str">
        <f>IFERROR(INDEX(DL_Au,MATCH($CA343,DL_KEY,0)),"M")</f>
        <v>M</v>
      </c>
      <c r="AA343" s="35" t="str">
        <f>IFERROR(INDEX(DL_Ac,MATCH($CA343,DL_KEY,0)),"M")</f>
        <v>L</v>
      </c>
      <c r="AB343" s="35" t="str">
        <f>IFERROR(INDEX(DL_L,MATCH($CA343,DL_KEY,0)),"M")</f>
        <v>L</v>
      </c>
      <c r="AC343" s="35" t="str">
        <f>IFERROR(INDEX(DL_BI,MATCH($CA343,DL_KEY,0)),"M")</f>
        <v>L</v>
      </c>
      <c r="AD343" s="35" t="str">
        <f>IFERROR(INDEX(DL_Exp,MATCH($CA343,DL_KEY,0)),"M")</f>
        <v>L</v>
      </c>
      <c r="AE343" s="35" t="str">
        <f>IFERROR(INDEX(DL_Edu,MATCH($CA343,DL_KEY,0)),"M")</f>
        <v>L</v>
      </c>
      <c r="AF343" s="34" t="inlineStr">
        <is>
          <t>M</t>
        </is>
      </c>
      <c r="AG343" s="35" t="inlineStr">
        <is>
          <t>M</t>
        </is>
      </c>
      <c r="AH343" s="35" t="inlineStr">
        <is>
          <t>M</t>
        </is>
      </c>
      <c r="AI343" s="35" t="inlineStr">
        <is>
          <t>M</t>
        </is>
      </c>
      <c r="AJ343" s="35" t="inlineStr">
        <is>
          <t>M</t>
        </is>
      </c>
      <c r="AK343" s="35" t="inlineStr">
        <is>
          <t>M</t>
        </is>
      </c>
      <c r="AL343" s="35" t="inlineStr">
        <is>
          <t>M</t>
        </is>
      </c>
      <c r="AM343" s="36" t="n">
        <v>0.583</v>
      </c>
      <c r="AN343" s="37" t="n">
        <v>0.16</v>
      </c>
      <c r="AO343" s="37" t="n">
        <v>0.09</v>
      </c>
      <c r="AP343" s="37" t="n">
        <v>0</v>
      </c>
      <c r="AQ343" s="37" t="n">
        <v>0.063</v>
      </c>
      <c r="AR343" s="37" t="n">
        <v>0.06</v>
      </c>
      <c r="AS343" s="37" t="n">
        <v>0.04</v>
      </c>
      <c r="AT343" s="38" t="inlineStr">
        <is>
          <t>0 yrs · fresher / intern</t>
        </is>
      </c>
      <c r="AU343" s="38" t="inlineStr">
        <is>
          <t>Pursuing or completed graduation / diploma</t>
        </is>
      </c>
      <c r="AV343" s="38" t="inlineStr">
        <is>
          <t>No direct reports</t>
        </is>
      </c>
      <c r="AW343" s="38" t="inlineStr">
        <is>
          <t>Entry / P1 · intern · SFIA 1 Follow</t>
        </is>
      </c>
      <c r="AX3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3" s="39" t="inlineStr">
        <is>
          <t>A1</t>
        </is>
      </c>
      <c r="AZ343" s="40" t="inlineStr">
        <is>
          <t>Band A · Practitioner · Intern / Trainee</t>
        </is>
      </c>
      <c r="BA343" s="40" t="inlineStr">
        <is>
          <t>Model A1 from the six ratings, the market-derived weights and rules R1–R13 · then No change · already below the manager</t>
        </is>
      </c>
      <c r="BB343" s="41" t="inlineStr">
        <is>
          <t>A1</t>
        </is>
      </c>
      <c r="BC343" s="40" t="inlineStr">
        <is>
          <t>Placed by a category rule — no full set of ratings · benchmark follows the HR proposed level</t>
        </is>
      </c>
      <c r="BD343" s="42">
        <f>IF(SUM(BM343,BN343,BO343,BP343,BQ343,BR343,BS343)=0,0,(BM343*BT343+BN343*BU343+BO343*BV343+BP343*BW343+BQ343*BX343+BR343*BY343+BS343*BZ343)/SUM(BM343,BN343,BO343,BP343,BQ343,BR343,BS343))</f>
        <v>0</v>
      </c>
      <c r="BE343" s="41" t="str">
        <f>IF(LEFT(AY343,1)="X",AY343,IF(OR(AY343="B+",AY343="C+"),INDEX(LAD_PC,MAX(1,MIN(14,MATCH(AY343,LAD_PC,0)+IF(BD343&gt;=0.5,1,IF(BD343&lt;=-0.5,-1,0))))),INDEX(LAD_STD,MAX(1,MIN(12,MATCH(AY343,LAD_STD,0)+IF(BD343&gt;=0.5,1,IF(BD343&lt;=-0.5,-1,0)))))))</f>
        <v>A1</v>
      </c>
      <c r="BF343" s="43" t="n"/>
      <c r="BG343" s="41" t="str">
        <f>IF(BF343&lt;&gt;"",BF343,BE343)</f>
        <v>A1</v>
      </c>
      <c r="BH343" s="40" t="str">
        <f>IFERROR(CHOOSE(INDEX(B_RANK,MATCH(BG343,B_LVL,0)),"Band A","Band B","B+ · Player-Coach","Band C","C+ · Player-Coach","Band D","Band E"),"Band X · Consultant")</f>
        <v>Band A</v>
      </c>
      <c r="BI343" s="40" t="str">
        <f>IF(BG343=AY343,"• Same",IF(INDEX(B_VAL,MATCH(BG343,B_LVL,0))&gt;INDEX(B_VAL,MATCH(AY343,B_LVL,0)),"▲ Up","▼ Down"))</f>
        <v>• Same</v>
      </c>
      <c r="BJ343" s="40" t="str">
        <f>IF(OR($M343="",$M343="—",$M343="Not in this file"),"",IFERROR(INDEX($BG$7:$BG$592,MATCH($M343,$D$7:$D$592,0)),""))</f>
        <v>B1</v>
      </c>
      <c r="BK343" s="40" t="str">
        <f>IFERROR(IF(BJ343="","—",IF(OR(LEFT(BG343,1)="X",LEFT(BJ343,1)="X"),"—",IF(AND(LEFT(BG343,1)="E",LEFT(BJ343,1)="E"),"Exception · Band E",IF(AND(INDEX(B_VAL,MATCH(BJ343,B_LVL,0))&gt;=7,INDEX(B_RANK,MATCH(BG343,B_LVL,0))&gt;=INDEX(B_RANK,MATCH(BJ343,B_LVL,0))),"⚠ Same band as a head manager",IF(INDEX(B_VAL,MATCH(BG343,B_LVL,0))&gt;=INDEX(B_VAL,MATCH(BJ343,B_LVL,0)),"⚠ At or above the manager's level","OK"))))),"—")</f>
        <v>OK</v>
      </c>
      <c r="BL343" s="43" t="n"/>
      <c r="BM343" s="44">
        <f>IFERROR(INDEX(LMH_PTS,MATCH(Y343,LMH_KEY,0)),0)</f>
        <v>9</v>
      </c>
      <c r="BN343" s="38">
        <f>IFERROR(INDEX(LMH_PTS,MATCH(Z343,LMH_KEY,0)),0)</f>
        <v>3</v>
      </c>
      <c r="BO343" s="38">
        <f>IFERROR(INDEX(LMH_PTS,MATCH(AA343,LMH_KEY,0)),0)</f>
        <v>1</v>
      </c>
      <c r="BP343" s="38">
        <f>IFERROR(INDEX(LMH_PTS,MATCH(AB343,LMH_KEY,0)),0)</f>
        <v>1</v>
      </c>
      <c r="BQ343" s="38">
        <f>IFERROR(INDEX(LMH_PTS,MATCH(AC343,LMH_KEY,0)),0)</f>
        <v>1</v>
      </c>
      <c r="BR343" s="38">
        <f>IFERROR(INDEX(LMH_PTS,MATCH(AD343,LMH_KEY,0)),0)</f>
        <v>1</v>
      </c>
      <c r="BS343" s="38">
        <f>IFERROR(INDEX(LMH_PTS,MATCH(AE343,LMH_KEY,0)),0)</f>
        <v>1</v>
      </c>
      <c r="BT343" s="38">
        <f>IFERROR(INDEX(LMH_STEP,MATCH(AF343,LMH_KEY,0)),0)</f>
        <v>0</v>
      </c>
      <c r="BU343" s="38">
        <f>IFERROR(INDEX(LMH_STEP,MATCH(AG343,LMH_KEY,0)),0)</f>
        <v>0</v>
      </c>
      <c r="BV343" s="38">
        <f>IFERROR(INDEX(LMH_STEP,MATCH(AH343,LMH_KEY,0)),0)</f>
        <v>0</v>
      </c>
      <c r="BW343" s="38">
        <f>IFERROR(INDEX(LMH_STEP,MATCH(AI343,LMH_KEY,0)),0)</f>
        <v>0</v>
      </c>
      <c r="BX343" s="38">
        <f>IFERROR(INDEX(LMH_STEP,MATCH(AJ343,LMH_KEY,0)),0)</f>
        <v>0</v>
      </c>
      <c r="BY343" s="38">
        <f>IFERROR(INDEX(LMH_STEP,MATCH(AK343,LMH_KEY,0)),0)</f>
        <v>0</v>
      </c>
      <c r="BZ343" s="38">
        <f>IFERROR(INDEX(LMH_STEP,MATCH(AL343,LMH_KEY,0)),0)</f>
        <v>0</v>
      </c>
      <c r="CA343" s="38" t="inlineStr">
        <is>
          <t>iFile|Quality Assurance|Intern – Functional &amp; Domain Testing|A1|A</t>
        </is>
      </c>
    </row>
    <row r="344" ht="110" customHeight="1">
      <c r="A344" s="28" t="inlineStr">
        <is>
          <t>iFile</t>
        </is>
      </c>
      <c r="B344" s="29" t="inlineStr">
        <is>
          <t>Quality Assurance</t>
        </is>
      </c>
      <c r="C344" s="29" t="n">
        <v>4</v>
      </c>
      <c r="D344" s="29" t="inlineStr">
        <is>
          <t>IRIS1984</t>
        </is>
      </c>
      <c r="E344" s="29" t="inlineStr">
        <is>
          <t>Bhagyshree Khedkar</t>
        </is>
      </c>
      <c r="F344" s="29" t="inlineStr">
        <is>
          <t>QA Engineer</t>
        </is>
      </c>
      <c r="G344" s="29" t="inlineStr">
        <is>
          <t>Senior QA Engineer</t>
        </is>
      </c>
      <c r="H344" s="29" t="inlineStr">
        <is>
          <t>Quality Assurance</t>
        </is>
      </c>
      <c r="I344" s="29" t="inlineStr">
        <is>
          <t>Functional &amp; Domain Testing</t>
        </is>
      </c>
      <c r="J344" s="29" t="inlineStr">
        <is>
          <t>IC</t>
        </is>
      </c>
      <c r="K344" s="29" t="inlineStr">
        <is>
          <t>RC-141</t>
        </is>
      </c>
      <c r="L344" s="29" t="inlineStr">
        <is>
          <t>Davinder Pal Singh</t>
        </is>
      </c>
      <c r="M344" s="29" t="inlineStr">
        <is>
          <t>IRIS0728</t>
        </is>
      </c>
      <c r="N344" s="29" t="n">
        <v>7.1</v>
      </c>
      <c r="O344" s="29" t="n">
        <v>4.7</v>
      </c>
      <c r="P344" s="29" t="inlineStr">
        <is>
          <t>B.E</t>
        </is>
      </c>
      <c r="Q344" s="29" t="inlineStr">
        <is>
          <t>L3 – Professional / Associate</t>
        </is>
      </c>
      <c r="R344" s="29" t="inlineStr">
        <is>
          <t>A3</t>
        </is>
      </c>
      <c r="S344" s="30" t="inlineStr">
        <is>
          <t>20 of 20</t>
        </is>
      </c>
      <c r="T344" s="31"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t>
        </is>
      </c>
      <c r="U344" s="31" t="inlineStr">
        <is>
          <t>Received · manager annual, quarterly, self · 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t>
        </is>
      </c>
      <c r="V344" s="31" t="inlineStr">
        <is>
          <t>Latest rating: 5 · Potential: Medium · 9-box: High Impact / Growth Talent · Readiness: Ready in 6–12 months</t>
        </is>
      </c>
      <c r="W344" s="31" t="inlineStr">
        <is>
          <t>C M · Au L · Ac M · L L · BI M · Exp H · 7.1 yrs vs 2–4 yrs · Edu M · B.E</t>
        </is>
      </c>
      <c r="X344" s="33" t="inlineStr">
        <is>
          <t>Open ▸</t>
        </is>
      </c>
      <c r="Y344" s="34" t="str">
        <f>IFERROR(INDEX(DL_C,MATCH($CA344,DL_KEY,0)),"M")</f>
        <v>H</v>
      </c>
      <c r="Z344" s="35" t="str">
        <f>IFERROR(INDEX(DL_Au,MATCH($CA344,DL_KEY,0)),"M")</f>
        <v>M</v>
      </c>
      <c r="AA344" s="35" t="str">
        <f>IFERROR(INDEX(DL_Ac,MATCH($CA344,DL_KEY,0)),"M")</f>
        <v>L</v>
      </c>
      <c r="AB344" s="35" t="str">
        <f>IFERROR(INDEX(DL_L,MATCH($CA344,DL_KEY,0)),"M")</f>
        <v>L</v>
      </c>
      <c r="AC344" s="35" t="str">
        <f>IFERROR(INDEX(DL_BI,MATCH($CA344,DL_KEY,0)),"M")</f>
        <v>L</v>
      </c>
      <c r="AD344" s="35" t="str">
        <f>IFERROR(INDEX(DL_Exp,MATCH($CA344,DL_KEY,0)),"M")</f>
        <v>L</v>
      </c>
      <c r="AE344" s="35" t="str">
        <f>IFERROR(INDEX(DL_Edu,MATCH($CA344,DL_KEY,0)),"M")</f>
        <v>L</v>
      </c>
      <c r="AF344" s="34" t="inlineStr">
        <is>
          <t>M</t>
        </is>
      </c>
      <c r="AG344" s="35" t="inlineStr">
        <is>
          <t>M</t>
        </is>
      </c>
      <c r="AH344" s="35" t="inlineStr">
        <is>
          <t>M</t>
        </is>
      </c>
      <c r="AI344" s="35" t="inlineStr">
        <is>
          <t>M</t>
        </is>
      </c>
      <c r="AJ344" s="35" t="inlineStr">
        <is>
          <t>M</t>
        </is>
      </c>
      <c r="AK344" s="35" t="inlineStr">
        <is>
          <t>M</t>
        </is>
      </c>
      <c r="AL344" s="35" t="inlineStr">
        <is>
          <t>M</t>
        </is>
      </c>
      <c r="AM344" s="36" t="n">
        <v>0.583</v>
      </c>
      <c r="AN344" s="37" t="n">
        <v>0.16</v>
      </c>
      <c r="AO344" s="37" t="n">
        <v>0.09</v>
      </c>
      <c r="AP344" s="37" t="n">
        <v>0</v>
      </c>
      <c r="AQ344" s="37" t="n">
        <v>0.063</v>
      </c>
      <c r="AR344" s="37" t="n">
        <v>0.06</v>
      </c>
      <c r="AS344" s="37" t="n">
        <v>0.04</v>
      </c>
      <c r="AT344" s="38" t="inlineStr">
        <is>
          <t>2–5</t>
        </is>
      </c>
      <c r="AU344" s="38" t="inlineStr">
        <is>
          <t>Graduate; relevant certification preferred</t>
        </is>
      </c>
      <c r="AV344" s="38" t="inlineStr">
        <is>
          <t>None · guides 1–3 juniors informally</t>
        </is>
      </c>
      <c r="AW344" s="38" t="inlineStr">
        <is>
          <t>P2 · SFIA 3 Apply</t>
        </is>
      </c>
      <c r="AX3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4" s="39" t="inlineStr">
        <is>
          <t>A3</t>
        </is>
      </c>
      <c r="AZ344" s="40" t="inlineStr">
        <is>
          <t>Band A · Practitioner · Senior Associate</t>
        </is>
      </c>
      <c r="BA344" s="40" t="inlineStr">
        <is>
          <t>Model A3 from the six ratings, the market-derived weights and rules R1–R13 · then No change · already below the manager</t>
        </is>
      </c>
      <c r="BB344" s="41" t="inlineStr">
        <is>
          <t>A3</t>
        </is>
      </c>
      <c r="BC344" s="40" t="inlineStr">
        <is>
          <t>The six ratings on the market-average weights of Band A · all tracks score 2.67 → A3 · Hay, Mercer IPE and public plans · experience 7.1 yrs vs the A3 market range 2–5</t>
        </is>
      </c>
      <c r="BD344" s="42">
        <f>IF(SUM(BM344,BN344,BO344,BP344,BQ344,BR344,BS344)=0,0,(BM344*BT344+BN344*BU344+BO344*BV344+BP344*BW344+BQ344*BX344+BR344*BY344+BS344*BZ344)/SUM(BM344,BN344,BO344,BP344,BQ344,BR344,BS344))</f>
        <v>0</v>
      </c>
      <c r="BE344" s="41" t="str">
        <f>IF(LEFT(AY344,1)="X",AY344,IF(OR(AY344="B+",AY344="C+"),INDEX(LAD_PC,MAX(1,MIN(14,MATCH(AY344,LAD_PC,0)+IF(BD344&gt;=0.5,1,IF(BD344&lt;=-0.5,-1,0))))),INDEX(LAD_STD,MAX(1,MIN(12,MATCH(AY344,LAD_STD,0)+IF(BD344&gt;=0.5,1,IF(BD344&lt;=-0.5,-1,0)))))))</f>
        <v>A3</v>
      </c>
      <c r="BF344" s="43" t="n"/>
      <c r="BG344" s="41" t="str">
        <f>IF(BF344&lt;&gt;"",BF344,BE344)</f>
        <v>A3</v>
      </c>
      <c r="BH344" s="40" t="str">
        <f>IFERROR(CHOOSE(INDEX(B_RANK,MATCH(BG344,B_LVL,0)),"Band A","Band B","B+ · Player-Coach","Band C","C+ · Player-Coach","Band D","Band E"),"Band X · Consultant")</f>
        <v>Band A</v>
      </c>
      <c r="BI344" s="40" t="str">
        <f>IF(BG344=AY344,"• Same",IF(INDEX(B_VAL,MATCH(BG344,B_LVL,0))&gt;INDEX(B_VAL,MATCH(AY344,B_LVL,0)),"▲ Up","▼ Down"))</f>
        <v>• Same</v>
      </c>
      <c r="BJ344" s="40" t="str">
        <f>IF(OR($M344="",$M344="—",$M344="Not in this file"),"",IFERROR(INDEX($BG$7:$BG$592,MATCH($M344,$D$7:$D$592,0)),""))</f>
        <v>B2</v>
      </c>
      <c r="BK344" s="40" t="str">
        <f>IFERROR(IF(BJ344="","—",IF(OR(LEFT(BG344,1)="X",LEFT(BJ344,1)="X"),"—",IF(AND(LEFT(BG344,1)="E",LEFT(BJ344,1)="E"),"Exception · Band E",IF(AND(INDEX(B_VAL,MATCH(BJ344,B_LVL,0))&gt;=7,INDEX(B_RANK,MATCH(BG344,B_LVL,0))&gt;=INDEX(B_RANK,MATCH(BJ344,B_LVL,0))),"⚠ Same band as a head manager",IF(INDEX(B_VAL,MATCH(BG344,B_LVL,0))&gt;=INDEX(B_VAL,MATCH(BJ344,B_LVL,0)),"⚠ At or above the manager's level","OK"))))),"—")</f>
        <v>OK</v>
      </c>
      <c r="BL344" s="43" t="n"/>
      <c r="BM344" s="44">
        <f>IFERROR(INDEX(LMH_PTS,MATCH(Y344,LMH_KEY,0)),0)</f>
        <v>9</v>
      </c>
      <c r="BN344" s="38">
        <f>IFERROR(INDEX(LMH_PTS,MATCH(Z344,LMH_KEY,0)),0)</f>
        <v>3</v>
      </c>
      <c r="BO344" s="38">
        <f>IFERROR(INDEX(LMH_PTS,MATCH(AA344,LMH_KEY,0)),0)</f>
        <v>1</v>
      </c>
      <c r="BP344" s="38">
        <f>IFERROR(INDEX(LMH_PTS,MATCH(AB344,LMH_KEY,0)),0)</f>
        <v>1</v>
      </c>
      <c r="BQ344" s="38">
        <f>IFERROR(INDEX(LMH_PTS,MATCH(AC344,LMH_KEY,0)),0)</f>
        <v>1</v>
      </c>
      <c r="BR344" s="38">
        <f>IFERROR(INDEX(LMH_PTS,MATCH(AD344,LMH_KEY,0)),0)</f>
        <v>1</v>
      </c>
      <c r="BS344" s="38">
        <f>IFERROR(INDEX(LMH_PTS,MATCH(AE344,LMH_KEY,0)),0)</f>
        <v>1</v>
      </c>
      <c r="BT344" s="38">
        <f>IFERROR(INDEX(LMH_STEP,MATCH(AF344,LMH_KEY,0)),0)</f>
        <v>0</v>
      </c>
      <c r="BU344" s="38">
        <f>IFERROR(INDEX(LMH_STEP,MATCH(AG344,LMH_KEY,0)),0)</f>
        <v>0</v>
      </c>
      <c r="BV344" s="38">
        <f>IFERROR(INDEX(LMH_STEP,MATCH(AH344,LMH_KEY,0)),0)</f>
        <v>0</v>
      </c>
      <c r="BW344" s="38">
        <f>IFERROR(INDEX(LMH_STEP,MATCH(AI344,LMH_KEY,0)),0)</f>
        <v>0</v>
      </c>
      <c r="BX344" s="38">
        <f>IFERROR(INDEX(LMH_STEP,MATCH(AJ344,LMH_KEY,0)),0)</f>
        <v>0</v>
      </c>
      <c r="BY344" s="38">
        <f>IFERROR(INDEX(LMH_STEP,MATCH(AK344,LMH_KEY,0)),0)</f>
        <v>0</v>
      </c>
      <c r="BZ344" s="38">
        <f>IFERROR(INDEX(LMH_STEP,MATCH(AL344,LMH_KEY,0)),0)</f>
        <v>0</v>
      </c>
      <c r="CA344" s="38" t="inlineStr">
        <is>
          <t>iFile|Quality Assurance|Senior QA Engineer|A3|A</t>
        </is>
      </c>
    </row>
    <row r="345" ht="110" customHeight="1">
      <c r="A345" s="28" t="inlineStr">
        <is>
          <t>iFile</t>
        </is>
      </c>
      <c r="B345" s="29" t="inlineStr">
        <is>
          <t>Quality Assurance</t>
        </is>
      </c>
      <c r="C345" s="29" t="n">
        <v>4</v>
      </c>
      <c r="D345" s="29" t="inlineStr">
        <is>
          <t>IRIS1975</t>
        </is>
      </c>
      <c r="E345" s="29" t="inlineStr">
        <is>
          <t>Rahul Devarkonda</t>
        </is>
      </c>
      <c r="F345" s="29" t="inlineStr">
        <is>
          <t>QA Engineer</t>
        </is>
      </c>
      <c r="G345" s="29" t="inlineStr">
        <is>
          <t>Senior QA Engineer</t>
        </is>
      </c>
      <c r="H345" s="29" t="inlineStr">
        <is>
          <t>Quality Assurance</t>
        </is>
      </c>
      <c r="I345" s="29" t="inlineStr">
        <is>
          <t>Functional &amp; Domain Testing</t>
        </is>
      </c>
      <c r="J345" s="29" t="inlineStr">
        <is>
          <t>IC</t>
        </is>
      </c>
      <c r="K345" s="29" t="inlineStr">
        <is>
          <t>RC-141</t>
        </is>
      </c>
      <c r="L345" s="29" t="inlineStr">
        <is>
          <t>Davinder Pal Singh</t>
        </is>
      </c>
      <c r="M345" s="29" t="inlineStr">
        <is>
          <t>IRIS0728</t>
        </is>
      </c>
      <c r="N345" s="29" t="n">
        <v>6.9</v>
      </c>
      <c r="O345" s="29" t="n">
        <v>4.7</v>
      </c>
      <c r="P345" s="29" t="inlineStr">
        <is>
          <t>B.SC</t>
        </is>
      </c>
      <c r="Q345" s="29" t="inlineStr">
        <is>
          <t>L3 – Professional / Associate</t>
        </is>
      </c>
      <c r="R345" s="29" t="inlineStr">
        <is>
          <t>A3</t>
        </is>
      </c>
      <c r="S345" s="30" t="inlineStr">
        <is>
          <t>20 of 20</t>
        </is>
      </c>
      <c r="T345" s="31"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t>
        </is>
      </c>
      <c r="U345" s="31" t="inlineStr">
        <is>
          <t>Received · manager annual, quarterly, self · 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t>
        </is>
      </c>
      <c r="V345" s="31" t="inlineStr">
        <is>
          <t>Latest rating: 5 · Potential: High · 9-box: High Impact / Growth Talent · Readiness: Ready now</t>
        </is>
      </c>
      <c r="W345" s="31" t="inlineStr">
        <is>
          <t>C M · Au L · Ac M · L L · BI M · Exp H · 6.9 yrs vs 2–4 yrs · Edu M · B.SC</t>
        </is>
      </c>
      <c r="X345" s="33" t="inlineStr">
        <is>
          <t>Open ▸</t>
        </is>
      </c>
      <c r="Y345" s="34" t="str">
        <f>IFERROR(INDEX(DL_C,MATCH($CA345,DL_KEY,0)),"M")</f>
        <v>H</v>
      </c>
      <c r="Z345" s="35" t="str">
        <f>IFERROR(INDEX(DL_Au,MATCH($CA345,DL_KEY,0)),"M")</f>
        <v>M</v>
      </c>
      <c r="AA345" s="35" t="str">
        <f>IFERROR(INDEX(DL_Ac,MATCH($CA345,DL_KEY,0)),"M")</f>
        <v>L</v>
      </c>
      <c r="AB345" s="35" t="str">
        <f>IFERROR(INDEX(DL_L,MATCH($CA345,DL_KEY,0)),"M")</f>
        <v>L</v>
      </c>
      <c r="AC345" s="35" t="str">
        <f>IFERROR(INDEX(DL_BI,MATCH($CA345,DL_KEY,0)),"M")</f>
        <v>L</v>
      </c>
      <c r="AD345" s="35" t="str">
        <f>IFERROR(INDEX(DL_Exp,MATCH($CA345,DL_KEY,0)),"M")</f>
        <v>L</v>
      </c>
      <c r="AE345" s="35" t="str">
        <f>IFERROR(INDEX(DL_Edu,MATCH($CA345,DL_KEY,0)),"M")</f>
        <v>L</v>
      </c>
      <c r="AF345" s="34" t="inlineStr">
        <is>
          <t>M</t>
        </is>
      </c>
      <c r="AG345" s="35" t="inlineStr">
        <is>
          <t>M</t>
        </is>
      </c>
      <c r="AH345" s="35" t="inlineStr">
        <is>
          <t>M</t>
        </is>
      </c>
      <c r="AI345" s="35" t="inlineStr">
        <is>
          <t>M</t>
        </is>
      </c>
      <c r="AJ345" s="35" t="inlineStr">
        <is>
          <t>M</t>
        </is>
      </c>
      <c r="AK345" s="35" t="inlineStr">
        <is>
          <t>M</t>
        </is>
      </c>
      <c r="AL345" s="35" t="inlineStr">
        <is>
          <t>M</t>
        </is>
      </c>
      <c r="AM345" s="36" t="n">
        <v>0.583</v>
      </c>
      <c r="AN345" s="37" t="n">
        <v>0.16</v>
      </c>
      <c r="AO345" s="37" t="n">
        <v>0.09</v>
      </c>
      <c r="AP345" s="37" t="n">
        <v>0</v>
      </c>
      <c r="AQ345" s="37" t="n">
        <v>0.063</v>
      </c>
      <c r="AR345" s="37" t="n">
        <v>0.06</v>
      </c>
      <c r="AS345" s="37" t="n">
        <v>0.04</v>
      </c>
      <c r="AT345" s="38" t="inlineStr">
        <is>
          <t>2–5</t>
        </is>
      </c>
      <c r="AU345" s="38" t="inlineStr">
        <is>
          <t>Graduate; relevant certification preferred</t>
        </is>
      </c>
      <c r="AV345" s="38" t="inlineStr">
        <is>
          <t>None · guides 1–3 juniors informally</t>
        </is>
      </c>
      <c r="AW345" s="38" t="inlineStr">
        <is>
          <t>P2 · SFIA 3 Apply</t>
        </is>
      </c>
      <c r="AX3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5" s="39" t="inlineStr">
        <is>
          <t>A3</t>
        </is>
      </c>
      <c r="AZ345" s="40" t="inlineStr">
        <is>
          <t>Band A · Practitioner · Senior Associate</t>
        </is>
      </c>
      <c r="BA345" s="40" t="inlineStr">
        <is>
          <t>Model A3 from the six ratings, the market-derived weights and rules R1–R13 · then No change · already below the manager</t>
        </is>
      </c>
      <c r="BB345" s="41" t="inlineStr">
        <is>
          <t>A3</t>
        </is>
      </c>
      <c r="BC345" s="40" t="inlineStr">
        <is>
          <t>The six ratings on the market-average weights of Band A · all tracks score 2.62 → A3 · Hay, Mercer IPE and public plans · experience 6.9 yrs vs the A3 market range 2–5</t>
        </is>
      </c>
      <c r="BD345" s="42">
        <f>IF(SUM(BM345,BN345,BO345,BP345,BQ345,BR345,BS345)=0,0,(BM345*BT345+BN345*BU345+BO345*BV345+BP345*BW345+BQ345*BX345+BR345*BY345+BS345*BZ345)/SUM(BM345,BN345,BO345,BP345,BQ345,BR345,BS345))</f>
        <v>0</v>
      </c>
      <c r="BE345" s="41" t="str">
        <f>IF(LEFT(AY345,1)="X",AY345,IF(OR(AY345="B+",AY345="C+"),INDEX(LAD_PC,MAX(1,MIN(14,MATCH(AY345,LAD_PC,0)+IF(BD345&gt;=0.5,1,IF(BD345&lt;=-0.5,-1,0))))),INDEX(LAD_STD,MAX(1,MIN(12,MATCH(AY345,LAD_STD,0)+IF(BD345&gt;=0.5,1,IF(BD345&lt;=-0.5,-1,0)))))))</f>
        <v>A3</v>
      </c>
      <c r="BF345" s="43" t="n"/>
      <c r="BG345" s="41" t="str">
        <f>IF(BF345&lt;&gt;"",BF345,BE345)</f>
        <v>A3</v>
      </c>
      <c r="BH345" s="40" t="str">
        <f>IFERROR(CHOOSE(INDEX(B_RANK,MATCH(BG345,B_LVL,0)),"Band A","Band B","B+ · Player-Coach","Band C","C+ · Player-Coach","Band D","Band E"),"Band X · Consultant")</f>
        <v>Band A</v>
      </c>
      <c r="BI345" s="40" t="str">
        <f>IF(BG345=AY345,"• Same",IF(INDEX(B_VAL,MATCH(BG345,B_LVL,0))&gt;INDEX(B_VAL,MATCH(AY345,B_LVL,0)),"▲ Up","▼ Down"))</f>
        <v>• Same</v>
      </c>
      <c r="BJ345" s="40" t="str">
        <f>IF(OR($M345="",$M345="—",$M345="Not in this file"),"",IFERROR(INDEX($BG$7:$BG$592,MATCH($M345,$D$7:$D$592,0)),""))</f>
        <v>B2</v>
      </c>
      <c r="BK345" s="40" t="str">
        <f>IFERROR(IF(BJ345="","—",IF(OR(LEFT(BG345,1)="X",LEFT(BJ345,1)="X"),"—",IF(AND(LEFT(BG345,1)="E",LEFT(BJ345,1)="E"),"Exception · Band E",IF(AND(INDEX(B_VAL,MATCH(BJ345,B_LVL,0))&gt;=7,INDEX(B_RANK,MATCH(BG345,B_LVL,0))&gt;=INDEX(B_RANK,MATCH(BJ345,B_LVL,0))),"⚠ Same band as a head manager",IF(INDEX(B_VAL,MATCH(BG345,B_LVL,0))&gt;=INDEX(B_VAL,MATCH(BJ345,B_LVL,0)),"⚠ At or above the manager's level","OK"))))),"—")</f>
        <v>OK</v>
      </c>
      <c r="BL345" s="43" t="n"/>
      <c r="BM345" s="44">
        <f>IFERROR(INDEX(LMH_PTS,MATCH(Y345,LMH_KEY,0)),0)</f>
        <v>9</v>
      </c>
      <c r="BN345" s="38">
        <f>IFERROR(INDEX(LMH_PTS,MATCH(Z345,LMH_KEY,0)),0)</f>
        <v>3</v>
      </c>
      <c r="BO345" s="38">
        <f>IFERROR(INDEX(LMH_PTS,MATCH(AA345,LMH_KEY,0)),0)</f>
        <v>1</v>
      </c>
      <c r="BP345" s="38">
        <f>IFERROR(INDEX(LMH_PTS,MATCH(AB345,LMH_KEY,0)),0)</f>
        <v>1</v>
      </c>
      <c r="BQ345" s="38">
        <f>IFERROR(INDEX(LMH_PTS,MATCH(AC345,LMH_KEY,0)),0)</f>
        <v>1</v>
      </c>
      <c r="BR345" s="38">
        <f>IFERROR(INDEX(LMH_PTS,MATCH(AD345,LMH_KEY,0)),0)</f>
        <v>1</v>
      </c>
      <c r="BS345" s="38">
        <f>IFERROR(INDEX(LMH_PTS,MATCH(AE345,LMH_KEY,0)),0)</f>
        <v>1</v>
      </c>
      <c r="BT345" s="38">
        <f>IFERROR(INDEX(LMH_STEP,MATCH(AF345,LMH_KEY,0)),0)</f>
        <v>0</v>
      </c>
      <c r="BU345" s="38">
        <f>IFERROR(INDEX(LMH_STEP,MATCH(AG345,LMH_KEY,0)),0)</f>
        <v>0</v>
      </c>
      <c r="BV345" s="38">
        <f>IFERROR(INDEX(LMH_STEP,MATCH(AH345,LMH_KEY,0)),0)</f>
        <v>0</v>
      </c>
      <c r="BW345" s="38">
        <f>IFERROR(INDEX(LMH_STEP,MATCH(AI345,LMH_KEY,0)),0)</f>
        <v>0</v>
      </c>
      <c r="BX345" s="38">
        <f>IFERROR(INDEX(LMH_STEP,MATCH(AJ345,LMH_KEY,0)),0)</f>
        <v>0</v>
      </c>
      <c r="BY345" s="38">
        <f>IFERROR(INDEX(LMH_STEP,MATCH(AK345,LMH_KEY,0)),0)</f>
        <v>0</v>
      </c>
      <c r="BZ345" s="38">
        <f>IFERROR(INDEX(LMH_STEP,MATCH(AL345,LMH_KEY,0)),0)</f>
        <v>0</v>
      </c>
      <c r="CA345" s="38" t="inlineStr">
        <is>
          <t>iFile|Quality Assurance|Senior QA Engineer|A3|A</t>
        </is>
      </c>
    </row>
    <row r="346" ht="110" customHeight="1">
      <c r="A346" s="28" t="inlineStr">
        <is>
          <t>iFile</t>
        </is>
      </c>
      <c r="B346" s="29" t="inlineStr">
        <is>
          <t>Quality Assurance</t>
        </is>
      </c>
      <c r="C346" s="29" t="n">
        <v>4</v>
      </c>
      <c r="D346" s="29" t="inlineStr">
        <is>
          <t>IRIS0651</t>
        </is>
      </c>
      <c r="E346" s="29" t="inlineStr">
        <is>
          <t>Sakina Rampurawala</t>
        </is>
      </c>
      <c r="F346" s="29" t="inlineStr">
        <is>
          <t>Senior QA - Engineer</t>
        </is>
      </c>
      <c r="G346" s="29" t="inlineStr">
        <is>
          <t>QA Specialist</t>
        </is>
      </c>
      <c r="H346" s="29" t="inlineStr">
        <is>
          <t>Quality Assurance</t>
        </is>
      </c>
      <c r="I346" s="29" t="inlineStr">
        <is>
          <t>Functional &amp; Domain Testing</t>
        </is>
      </c>
      <c r="J346" s="29" t="inlineStr">
        <is>
          <t>IC</t>
        </is>
      </c>
      <c r="K346" s="29" t="inlineStr">
        <is>
          <t>RC-141</t>
        </is>
      </c>
      <c r="L346" s="29" t="inlineStr">
        <is>
          <t>Davinder Pal Singh</t>
        </is>
      </c>
      <c r="M346" s="29" t="inlineStr">
        <is>
          <t>IRIS0728</t>
        </is>
      </c>
      <c r="N346" s="29" t="n">
        <v>15.3</v>
      </c>
      <c r="O346" s="29" t="n">
        <v>15.3</v>
      </c>
      <c r="P346" s="29" t="inlineStr">
        <is>
          <t>M.Com</t>
        </is>
      </c>
      <c r="Q346" s="29" t="inlineStr">
        <is>
          <t>L4 – Senior</t>
        </is>
      </c>
      <c r="R346" s="29" t="inlineStr">
        <is>
          <t>A3</t>
        </is>
      </c>
      <c r="S346" s="30" t="inlineStr">
        <is>
          <t>20 of 20</t>
        </is>
      </c>
      <c r="T346" s="31"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t>
        </is>
      </c>
      <c r="U346" s="31" t="inlineStr">
        <is>
          <t>Received · manager annual, quarterly, self · 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
        </is>
      </c>
      <c r="V346" s="31" t="inlineStr">
        <is>
          <t>Latest rating: 4 · Potential: Medium · 9-box: Trusted Professional · Readiness: Ready in 6–12 months</t>
        </is>
      </c>
      <c r="W346" s="31" t="inlineStr">
        <is>
          <t>C M · Au M · Ac M · L L · BI M · Exp H · 15.3 yrs vs 2–4 yrs · Edu H · M.Com</t>
        </is>
      </c>
      <c r="X346" s="33" t="inlineStr">
        <is>
          <t>Open ▸</t>
        </is>
      </c>
      <c r="Y346" s="34" t="str">
        <f>IFERROR(INDEX(DL_C,MATCH($CA346,DL_KEY,0)),"M")</f>
        <v>H</v>
      </c>
      <c r="Z346" s="35" t="str">
        <f>IFERROR(INDEX(DL_Au,MATCH($CA346,DL_KEY,0)),"M")</f>
        <v>M</v>
      </c>
      <c r="AA346" s="35" t="str">
        <f>IFERROR(INDEX(DL_Ac,MATCH($CA346,DL_KEY,0)),"M")</f>
        <v>L</v>
      </c>
      <c r="AB346" s="35" t="str">
        <f>IFERROR(INDEX(DL_L,MATCH($CA346,DL_KEY,0)),"M")</f>
        <v>L</v>
      </c>
      <c r="AC346" s="35" t="str">
        <f>IFERROR(INDEX(DL_BI,MATCH($CA346,DL_KEY,0)),"M")</f>
        <v>L</v>
      </c>
      <c r="AD346" s="35" t="str">
        <f>IFERROR(INDEX(DL_Exp,MATCH($CA346,DL_KEY,0)),"M")</f>
        <v>L</v>
      </c>
      <c r="AE346" s="35" t="str">
        <f>IFERROR(INDEX(DL_Edu,MATCH($CA346,DL_KEY,0)),"M")</f>
        <v>L</v>
      </c>
      <c r="AF346" s="34" t="inlineStr">
        <is>
          <t>M</t>
        </is>
      </c>
      <c r="AG346" s="35" t="inlineStr">
        <is>
          <t>M</t>
        </is>
      </c>
      <c r="AH346" s="35" t="inlineStr">
        <is>
          <t>M</t>
        </is>
      </c>
      <c r="AI346" s="35" t="inlineStr">
        <is>
          <t>M</t>
        </is>
      </c>
      <c r="AJ346" s="35" t="inlineStr">
        <is>
          <t>M</t>
        </is>
      </c>
      <c r="AK346" s="35" t="inlineStr">
        <is>
          <t>M</t>
        </is>
      </c>
      <c r="AL346" s="35" t="inlineStr">
        <is>
          <t>M</t>
        </is>
      </c>
      <c r="AM346" s="36" t="n">
        <v>0.583</v>
      </c>
      <c r="AN346" s="37" t="n">
        <v>0.16</v>
      </c>
      <c r="AO346" s="37" t="n">
        <v>0.09</v>
      </c>
      <c r="AP346" s="37" t="n">
        <v>0</v>
      </c>
      <c r="AQ346" s="37" t="n">
        <v>0.063</v>
      </c>
      <c r="AR346" s="37" t="n">
        <v>0.06</v>
      </c>
      <c r="AS346" s="37" t="n">
        <v>0.04</v>
      </c>
      <c r="AT346" s="38" t="inlineStr">
        <is>
          <t>2–5</t>
        </is>
      </c>
      <c r="AU346" s="38" t="inlineStr">
        <is>
          <t>Graduate; relevant certification preferred</t>
        </is>
      </c>
      <c r="AV346" s="38" t="inlineStr">
        <is>
          <t>None · guides 1–3 juniors informally</t>
        </is>
      </c>
      <c r="AW346" s="38" t="inlineStr">
        <is>
          <t>P2 · SFIA 3 Apply</t>
        </is>
      </c>
      <c r="AX3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6" s="39" t="inlineStr">
        <is>
          <t>A3</t>
        </is>
      </c>
      <c r="AZ346" s="40" t="inlineStr">
        <is>
          <t>Band A · Practitioner · Senior Associate</t>
        </is>
      </c>
      <c r="BA346" s="40" t="inlineStr">
        <is>
          <t>Model A3 from the six ratings, the market-derived weights and rules R1–R13 · then No change · already below the manager</t>
        </is>
      </c>
      <c r="BB346" s="41" t="inlineStr">
        <is>
          <t>B1</t>
        </is>
      </c>
      <c r="BC346" s="40" t="inlineStr">
        <is>
          <t>The six ratings on the market-average weights of Band A · all tracks score 3.55 → B1 · Hay, Mercer IPE and public plans · experience 15.3 yrs vs the B1 market range 4–8</t>
        </is>
      </c>
      <c r="BD346" s="42">
        <f>IF(SUM(BM346,BN346,BO346,BP346,BQ346,BR346,BS346)=0,0,(BM346*BT346+BN346*BU346+BO346*BV346+BP346*BW346+BQ346*BX346+BR346*BY346+BS346*BZ346)/SUM(BM346,BN346,BO346,BP346,BQ346,BR346,BS346))</f>
        <v>0</v>
      </c>
      <c r="BE346" s="41" t="str">
        <f>IF(LEFT(AY346,1)="X",AY346,IF(OR(AY346="B+",AY346="C+"),INDEX(LAD_PC,MAX(1,MIN(14,MATCH(AY346,LAD_PC,0)+IF(BD346&gt;=0.5,1,IF(BD346&lt;=-0.5,-1,0))))),INDEX(LAD_STD,MAX(1,MIN(12,MATCH(AY346,LAD_STD,0)+IF(BD346&gt;=0.5,1,IF(BD346&lt;=-0.5,-1,0)))))))</f>
        <v>A3</v>
      </c>
      <c r="BF346" s="43" t="n"/>
      <c r="BG346" s="41" t="str">
        <f>IF(BF346&lt;&gt;"",BF346,BE346)</f>
        <v>A3</v>
      </c>
      <c r="BH346" s="40" t="str">
        <f>IFERROR(CHOOSE(INDEX(B_RANK,MATCH(BG346,B_LVL,0)),"Band A","Band B","B+ · Player-Coach","Band C","C+ · Player-Coach","Band D","Band E"),"Band X · Consultant")</f>
        <v>Band A</v>
      </c>
      <c r="BI346" s="40" t="str">
        <f>IF(BG346=AY346,"• Same",IF(INDEX(B_VAL,MATCH(BG346,B_LVL,0))&gt;INDEX(B_VAL,MATCH(AY346,B_LVL,0)),"▲ Up","▼ Down"))</f>
        <v>• Same</v>
      </c>
      <c r="BJ346" s="40" t="str">
        <f>IF(OR($M346="",$M346="—",$M346="Not in this file"),"",IFERROR(INDEX($BG$7:$BG$592,MATCH($M346,$D$7:$D$592,0)),""))</f>
        <v>B2</v>
      </c>
      <c r="BK346" s="40" t="str">
        <f>IFERROR(IF(BJ346="","—",IF(OR(LEFT(BG346,1)="X",LEFT(BJ346,1)="X"),"—",IF(AND(LEFT(BG346,1)="E",LEFT(BJ346,1)="E"),"Exception · Band E",IF(AND(INDEX(B_VAL,MATCH(BJ346,B_LVL,0))&gt;=7,INDEX(B_RANK,MATCH(BG346,B_LVL,0))&gt;=INDEX(B_RANK,MATCH(BJ346,B_LVL,0))),"⚠ Same band as a head manager",IF(INDEX(B_VAL,MATCH(BG346,B_LVL,0))&gt;=INDEX(B_VAL,MATCH(BJ346,B_LVL,0)),"⚠ At or above the manager's level","OK"))))),"—")</f>
        <v>OK</v>
      </c>
      <c r="BL346" s="43" t="n"/>
      <c r="BM346" s="44">
        <f>IFERROR(INDEX(LMH_PTS,MATCH(Y346,LMH_KEY,0)),0)</f>
        <v>9</v>
      </c>
      <c r="BN346" s="38">
        <f>IFERROR(INDEX(LMH_PTS,MATCH(Z346,LMH_KEY,0)),0)</f>
        <v>3</v>
      </c>
      <c r="BO346" s="38">
        <f>IFERROR(INDEX(LMH_PTS,MATCH(AA346,LMH_KEY,0)),0)</f>
        <v>1</v>
      </c>
      <c r="BP346" s="38">
        <f>IFERROR(INDEX(LMH_PTS,MATCH(AB346,LMH_KEY,0)),0)</f>
        <v>1</v>
      </c>
      <c r="BQ346" s="38">
        <f>IFERROR(INDEX(LMH_PTS,MATCH(AC346,LMH_KEY,0)),0)</f>
        <v>1</v>
      </c>
      <c r="BR346" s="38">
        <f>IFERROR(INDEX(LMH_PTS,MATCH(AD346,LMH_KEY,0)),0)</f>
        <v>1</v>
      </c>
      <c r="BS346" s="38">
        <f>IFERROR(INDEX(LMH_PTS,MATCH(AE346,LMH_KEY,0)),0)</f>
        <v>1</v>
      </c>
      <c r="BT346" s="38">
        <f>IFERROR(INDEX(LMH_STEP,MATCH(AF346,LMH_KEY,0)),0)</f>
        <v>0</v>
      </c>
      <c r="BU346" s="38">
        <f>IFERROR(INDEX(LMH_STEP,MATCH(AG346,LMH_KEY,0)),0)</f>
        <v>0</v>
      </c>
      <c r="BV346" s="38">
        <f>IFERROR(INDEX(LMH_STEP,MATCH(AH346,LMH_KEY,0)),0)</f>
        <v>0</v>
      </c>
      <c r="BW346" s="38">
        <f>IFERROR(INDEX(LMH_STEP,MATCH(AI346,LMH_KEY,0)),0)</f>
        <v>0</v>
      </c>
      <c r="BX346" s="38">
        <f>IFERROR(INDEX(LMH_STEP,MATCH(AJ346,LMH_KEY,0)),0)</f>
        <v>0</v>
      </c>
      <c r="BY346" s="38">
        <f>IFERROR(INDEX(LMH_STEP,MATCH(AK346,LMH_KEY,0)),0)</f>
        <v>0</v>
      </c>
      <c r="BZ346" s="38">
        <f>IFERROR(INDEX(LMH_STEP,MATCH(AL346,LMH_KEY,0)),0)</f>
        <v>0</v>
      </c>
      <c r="CA346" s="38" t="inlineStr">
        <is>
          <t>iFile|Quality Assurance|QA Specialist|A3|A</t>
        </is>
      </c>
    </row>
    <row r="347" ht="110" customHeight="1">
      <c r="A347" s="28" t="inlineStr">
        <is>
          <t>iFile</t>
        </is>
      </c>
      <c r="B347" s="29" t="inlineStr">
        <is>
          <t>Quality Assurance</t>
        </is>
      </c>
      <c r="C347" s="29" t="n">
        <v>4</v>
      </c>
      <c r="D347" s="29" t="inlineStr">
        <is>
          <t>IRIS1762</t>
        </is>
      </c>
      <c r="E347" s="29" t="inlineStr">
        <is>
          <t>Sanchi Pawaskar</t>
        </is>
      </c>
      <c r="F347" s="29" t="inlineStr">
        <is>
          <t>QA Engineer</t>
        </is>
      </c>
      <c r="G347" s="29" t="inlineStr">
        <is>
          <t>Senior QA Engineer</t>
        </is>
      </c>
      <c r="H347" s="29" t="inlineStr">
        <is>
          <t>Quality Assurance</t>
        </is>
      </c>
      <c r="I347" s="29" t="inlineStr">
        <is>
          <t>Functional &amp; Domain Testing</t>
        </is>
      </c>
      <c r="J347" s="29" t="inlineStr">
        <is>
          <t>IC</t>
        </is>
      </c>
      <c r="K347" s="29" t="inlineStr">
        <is>
          <t>RC-141</t>
        </is>
      </c>
      <c r="L347" s="29" t="inlineStr">
        <is>
          <t>Davinder Pal Singh</t>
        </is>
      </c>
      <c r="M347" s="29" t="inlineStr">
        <is>
          <t>IRIS0728</t>
        </is>
      </c>
      <c r="N347" s="29" t="n">
        <v>8.199999999999999</v>
      </c>
      <c r="O347" s="29" t="n">
        <v>7.7</v>
      </c>
      <c r="P347" s="29" t="inlineStr">
        <is>
          <t>B.SC</t>
        </is>
      </c>
      <c r="Q347" s="29" t="inlineStr">
        <is>
          <t>L3 – Professional / Associate</t>
        </is>
      </c>
      <c r="R347" s="29" t="inlineStr">
        <is>
          <t>A3</t>
        </is>
      </c>
      <c r="S347" s="30" t="inlineStr">
        <is>
          <t>20 of 20</t>
        </is>
      </c>
      <c r="T347" s="31" t="inlineStr">
        <is>
          <t>Business Impact: No survey or manager-mapping signal on criticality: kept at the start point.</t>
        </is>
      </c>
      <c r="U347" s="31" t="inlineStr">
        <is>
          <t>Received · manager annual, quarterly, self · 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t>
        </is>
      </c>
      <c r="V347" s="31" t="inlineStr">
        <is>
          <t>Latest rating: 3 · 9-box: Trusted Professional · Readiness: Develop in role</t>
        </is>
      </c>
      <c r="W347" s="31" t="inlineStr">
        <is>
          <t>C L · Au L · Ac M · L L · BI M · Exp H · 8.2 yrs vs 2–4 yrs · Edu M · B.SC</t>
        </is>
      </c>
      <c r="X347" s="33" t="inlineStr">
        <is>
          <t>Open ▸</t>
        </is>
      </c>
      <c r="Y347" s="34" t="str">
        <f>IFERROR(INDEX(DL_C,MATCH($CA347,DL_KEY,0)),"M")</f>
        <v>H</v>
      </c>
      <c r="Z347" s="35" t="str">
        <f>IFERROR(INDEX(DL_Au,MATCH($CA347,DL_KEY,0)),"M")</f>
        <v>M</v>
      </c>
      <c r="AA347" s="35" t="str">
        <f>IFERROR(INDEX(DL_Ac,MATCH($CA347,DL_KEY,0)),"M")</f>
        <v>L</v>
      </c>
      <c r="AB347" s="35" t="str">
        <f>IFERROR(INDEX(DL_L,MATCH($CA347,DL_KEY,0)),"M")</f>
        <v>L</v>
      </c>
      <c r="AC347" s="35" t="str">
        <f>IFERROR(INDEX(DL_BI,MATCH($CA347,DL_KEY,0)),"M")</f>
        <v>L</v>
      </c>
      <c r="AD347" s="35" t="str">
        <f>IFERROR(INDEX(DL_Exp,MATCH($CA347,DL_KEY,0)),"M")</f>
        <v>L</v>
      </c>
      <c r="AE347" s="35" t="str">
        <f>IFERROR(INDEX(DL_Edu,MATCH($CA347,DL_KEY,0)),"M")</f>
        <v>L</v>
      </c>
      <c r="AF347" s="34" t="inlineStr">
        <is>
          <t>M</t>
        </is>
      </c>
      <c r="AG347" s="35" t="inlineStr">
        <is>
          <t>M</t>
        </is>
      </c>
      <c r="AH347" s="35" t="inlineStr">
        <is>
          <t>M</t>
        </is>
      </c>
      <c r="AI347" s="35" t="inlineStr">
        <is>
          <t>M</t>
        </is>
      </c>
      <c r="AJ347" s="35" t="inlineStr">
        <is>
          <t>M</t>
        </is>
      </c>
      <c r="AK347" s="35" t="inlineStr">
        <is>
          <t>M</t>
        </is>
      </c>
      <c r="AL347" s="35" t="inlineStr">
        <is>
          <t>M</t>
        </is>
      </c>
      <c r="AM347" s="36" t="n">
        <v>0.583</v>
      </c>
      <c r="AN347" s="37" t="n">
        <v>0.16</v>
      </c>
      <c r="AO347" s="37" t="n">
        <v>0.09</v>
      </c>
      <c r="AP347" s="37" t="n">
        <v>0</v>
      </c>
      <c r="AQ347" s="37" t="n">
        <v>0.063</v>
      </c>
      <c r="AR347" s="37" t="n">
        <v>0.06</v>
      </c>
      <c r="AS347" s="37" t="n">
        <v>0.04</v>
      </c>
      <c r="AT347" s="38" t="inlineStr">
        <is>
          <t>2–5</t>
        </is>
      </c>
      <c r="AU347" s="38" t="inlineStr">
        <is>
          <t>Graduate; relevant certification preferred</t>
        </is>
      </c>
      <c r="AV347" s="38" t="inlineStr">
        <is>
          <t>None · guides 1–3 juniors informally</t>
        </is>
      </c>
      <c r="AW347" s="38" t="inlineStr">
        <is>
          <t>P2 · SFIA 3 Apply</t>
        </is>
      </c>
      <c r="AX3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7" s="39" t="inlineStr">
        <is>
          <t>A3</t>
        </is>
      </c>
      <c r="AZ347" s="40" t="inlineStr">
        <is>
          <t>Band A · Practitioner · Senior Associate</t>
        </is>
      </c>
      <c r="BA347" s="40" t="inlineStr">
        <is>
          <t>Model A3 from the six ratings, the market-derived weights and rules R1–R13 · then No change · already below the manager</t>
        </is>
      </c>
      <c r="BB347" s="41" t="inlineStr">
        <is>
          <t>A2</t>
        </is>
      </c>
      <c r="BC347" s="40" t="inlineStr">
        <is>
          <t>The six ratings on the market-average weights of Band A · all tracks score 2.43 → A2 · Hay, Mercer IPE and public plans · experience 8.2 yrs vs the A2 market range 0–3</t>
        </is>
      </c>
      <c r="BD347" s="42">
        <f>IF(SUM(BM347,BN347,BO347,BP347,BQ347,BR347,BS347)=0,0,(BM347*BT347+BN347*BU347+BO347*BV347+BP347*BW347+BQ347*BX347+BR347*BY347+BS347*BZ347)/SUM(BM347,BN347,BO347,BP347,BQ347,BR347,BS347))</f>
        <v>0</v>
      </c>
      <c r="BE347" s="41" t="str">
        <f>IF(LEFT(AY347,1)="X",AY347,IF(OR(AY347="B+",AY347="C+"),INDEX(LAD_PC,MAX(1,MIN(14,MATCH(AY347,LAD_PC,0)+IF(BD347&gt;=0.5,1,IF(BD347&lt;=-0.5,-1,0))))),INDEX(LAD_STD,MAX(1,MIN(12,MATCH(AY347,LAD_STD,0)+IF(BD347&gt;=0.5,1,IF(BD347&lt;=-0.5,-1,0)))))))</f>
        <v>A3</v>
      </c>
      <c r="BF347" s="43" t="n"/>
      <c r="BG347" s="41" t="str">
        <f>IF(BF347&lt;&gt;"",BF347,BE347)</f>
        <v>A3</v>
      </c>
      <c r="BH347" s="40" t="str">
        <f>IFERROR(CHOOSE(INDEX(B_RANK,MATCH(BG347,B_LVL,0)),"Band A","Band B","B+ · Player-Coach","Band C","C+ · Player-Coach","Band D","Band E"),"Band X · Consultant")</f>
        <v>Band A</v>
      </c>
      <c r="BI347" s="40" t="str">
        <f>IF(BG347=AY347,"• Same",IF(INDEX(B_VAL,MATCH(BG347,B_LVL,0))&gt;INDEX(B_VAL,MATCH(AY347,B_LVL,0)),"▲ Up","▼ Down"))</f>
        <v>• Same</v>
      </c>
      <c r="BJ347" s="40" t="str">
        <f>IF(OR($M347="",$M347="—",$M347="Not in this file"),"",IFERROR(INDEX($BG$7:$BG$592,MATCH($M347,$D$7:$D$592,0)),""))</f>
        <v>B2</v>
      </c>
      <c r="BK347" s="40" t="str">
        <f>IFERROR(IF(BJ347="","—",IF(OR(LEFT(BG347,1)="X",LEFT(BJ347,1)="X"),"—",IF(AND(LEFT(BG347,1)="E",LEFT(BJ347,1)="E"),"Exception · Band E",IF(AND(INDEX(B_VAL,MATCH(BJ347,B_LVL,0))&gt;=7,INDEX(B_RANK,MATCH(BG347,B_LVL,0))&gt;=INDEX(B_RANK,MATCH(BJ347,B_LVL,0))),"⚠ Same band as a head manager",IF(INDEX(B_VAL,MATCH(BG347,B_LVL,0))&gt;=INDEX(B_VAL,MATCH(BJ347,B_LVL,0)),"⚠ At or above the manager's level","OK"))))),"—")</f>
        <v>OK</v>
      </c>
      <c r="BL347" s="43" t="n"/>
      <c r="BM347" s="44">
        <f>IFERROR(INDEX(LMH_PTS,MATCH(Y347,LMH_KEY,0)),0)</f>
        <v>9</v>
      </c>
      <c r="BN347" s="38">
        <f>IFERROR(INDEX(LMH_PTS,MATCH(Z347,LMH_KEY,0)),0)</f>
        <v>3</v>
      </c>
      <c r="BO347" s="38">
        <f>IFERROR(INDEX(LMH_PTS,MATCH(AA347,LMH_KEY,0)),0)</f>
        <v>1</v>
      </c>
      <c r="BP347" s="38">
        <f>IFERROR(INDEX(LMH_PTS,MATCH(AB347,LMH_KEY,0)),0)</f>
        <v>1</v>
      </c>
      <c r="BQ347" s="38">
        <f>IFERROR(INDEX(LMH_PTS,MATCH(AC347,LMH_KEY,0)),0)</f>
        <v>1</v>
      </c>
      <c r="BR347" s="38">
        <f>IFERROR(INDEX(LMH_PTS,MATCH(AD347,LMH_KEY,0)),0)</f>
        <v>1</v>
      </c>
      <c r="BS347" s="38">
        <f>IFERROR(INDEX(LMH_PTS,MATCH(AE347,LMH_KEY,0)),0)</f>
        <v>1</v>
      </c>
      <c r="BT347" s="38">
        <f>IFERROR(INDEX(LMH_STEP,MATCH(AF347,LMH_KEY,0)),0)</f>
        <v>0</v>
      </c>
      <c r="BU347" s="38">
        <f>IFERROR(INDEX(LMH_STEP,MATCH(AG347,LMH_KEY,0)),0)</f>
        <v>0</v>
      </c>
      <c r="BV347" s="38">
        <f>IFERROR(INDEX(LMH_STEP,MATCH(AH347,LMH_KEY,0)),0)</f>
        <v>0</v>
      </c>
      <c r="BW347" s="38">
        <f>IFERROR(INDEX(LMH_STEP,MATCH(AI347,LMH_KEY,0)),0)</f>
        <v>0</v>
      </c>
      <c r="BX347" s="38">
        <f>IFERROR(INDEX(LMH_STEP,MATCH(AJ347,LMH_KEY,0)),0)</f>
        <v>0</v>
      </c>
      <c r="BY347" s="38">
        <f>IFERROR(INDEX(LMH_STEP,MATCH(AK347,LMH_KEY,0)),0)</f>
        <v>0</v>
      </c>
      <c r="BZ347" s="38">
        <f>IFERROR(INDEX(LMH_STEP,MATCH(AL347,LMH_KEY,0)),0)</f>
        <v>0</v>
      </c>
      <c r="CA347" s="38" t="inlineStr">
        <is>
          <t>iFile|Quality Assurance|Senior QA Engineer|A3|A</t>
        </is>
      </c>
    </row>
    <row r="348" ht="110" customHeight="1">
      <c r="A348" s="28" t="inlineStr">
        <is>
          <t>iFile</t>
        </is>
      </c>
      <c r="B348" s="29" t="inlineStr">
        <is>
          <t>Quality Assurance</t>
        </is>
      </c>
      <c r="C348" s="29" t="n">
        <v>4</v>
      </c>
      <c r="D348" s="29" t="inlineStr">
        <is>
          <t>IRIS2496</t>
        </is>
      </c>
      <c r="E348" s="29" t="inlineStr">
        <is>
          <t>Tejas Rane</t>
        </is>
      </c>
      <c r="F348" s="29" t="inlineStr">
        <is>
          <t>QA Engineer</t>
        </is>
      </c>
      <c r="G348" s="29" t="inlineStr">
        <is>
          <t>Senior QA Engineer</t>
        </is>
      </c>
      <c r="H348" s="29" t="inlineStr">
        <is>
          <t>Quality Assurance</t>
        </is>
      </c>
      <c r="I348" s="29" t="inlineStr">
        <is>
          <t>Functional &amp; Domain Testing</t>
        </is>
      </c>
      <c r="J348" s="29" t="inlineStr">
        <is>
          <t>IC</t>
        </is>
      </c>
      <c r="K348" s="29" t="inlineStr">
        <is>
          <t>RC-141</t>
        </is>
      </c>
      <c r="L348" s="29" t="inlineStr">
        <is>
          <t>Davinder Pal Singh</t>
        </is>
      </c>
      <c r="M348" s="29" t="inlineStr">
        <is>
          <t>IRIS0728</t>
        </is>
      </c>
      <c r="N348" s="29" t="n">
        <v>4.9</v>
      </c>
      <c r="O348" s="29" t="n">
        <v>0.5</v>
      </c>
      <c r="P348" s="29" t="inlineStr">
        <is>
          <t>PG-DAC</t>
        </is>
      </c>
      <c r="Q348" s="29" t="inlineStr">
        <is>
          <t>L3 – Professional / Associate</t>
        </is>
      </c>
      <c r="R348" s="29" t="inlineStr">
        <is>
          <t>A3</t>
        </is>
      </c>
      <c r="S348" s="30" t="inlineStr">
        <is>
          <t>20 of 20</t>
        </is>
      </c>
      <c r="T348" s="31"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t>
        </is>
      </c>
      <c r="U348" s="31" t="inlineStr">
        <is>
          <t>Received · manager annual, quarterly, self · 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t>
        </is>
      </c>
      <c r="V348" s="31" t="inlineStr">
        <is>
          <t>Latest rating: 3 · Potential: Medium · 9-box: Trusted Professional · Readiness: Develop in role</t>
        </is>
      </c>
      <c r="W348" s="31" t="inlineStr">
        <is>
          <t>C L · Au L · Ac L · L L · BI L · Exp H · 4.9 yrs vs 2–4 yrs · Edu H · PG-DAC</t>
        </is>
      </c>
      <c r="X348" s="33" t="inlineStr">
        <is>
          <t>Open ▸</t>
        </is>
      </c>
      <c r="Y348" s="34" t="str">
        <f>IFERROR(INDEX(DL_C,MATCH($CA348,DL_KEY,0)),"M")</f>
        <v>H</v>
      </c>
      <c r="Z348" s="35" t="str">
        <f>IFERROR(INDEX(DL_Au,MATCH($CA348,DL_KEY,0)),"M")</f>
        <v>M</v>
      </c>
      <c r="AA348" s="35" t="str">
        <f>IFERROR(INDEX(DL_Ac,MATCH($CA348,DL_KEY,0)),"M")</f>
        <v>L</v>
      </c>
      <c r="AB348" s="35" t="str">
        <f>IFERROR(INDEX(DL_L,MATCH($CA348,DL_KEY,0)),"M")</f>
        <v>L</v>
      </c>
      <c r="AC348" s="35" t="str">
        <f>IFERROR(INDEX(DL_BI,MATCH($CA348,DL_KEY,0)),"M")</f>
        <v>L</v>
      </c>
      <c r="AD348" s="35" t="str">
        <f>IFERROR(INDEX(DL_Exp,MATCH($CA348,DL_KEY,0)),"M")</f>
        <v>L</v>
      </c>
      <c r="AE348" s="35" t="str">
        <f>IFERROR(INDEX(DL_Edu,MATCH($CA348,DL_KEY,0)),"M")</f>
        <v>L</v>
      </c>
      <c r="AF348" s="34" t="inlineStr">
        <is>
          <t>M</t>
        </is>
      </c>
      <c r="AG348" s="35" t="inlineStr">
        <is>
          <t>M</t>
        </is>
      </c>
      <c r="AH348" s="35" t="inlineStr">
        <is>
          <t>M</t>
        </is>
      </c>
      <c r="AI348" s="35" t="inlineStr">
        <is>
          <t>M</t>
        </is>
      </c>
      <c r="AJ348" s="35" t="inlineStr">
        <is>
          <t>M</t>
        </is>
      </c>
      <c r="AK348" s="35" t="inlineStr">
        <is>
          <t>M</t>
        </is>
      </c>
      <c r="AL348" s="35" t="inlineStr">
        <is>
          <t>M</t>
        </is>
      </c>
      <c r="AM348" s="36" t="n">
        <v>0.583</v>
      </c>
      <c r="AN348" s="37" t="n">
        <v>0.16</v>
      </c>
      <c r="AO348" s="37" t="n">
        <v>0.09</v>
      </c>
      <c r="AP348" s="37" t="n">
        <v>0</v>
      </c>
      <c r="AQ348" s="37" t="n">
        <v>0.063</v>
      </c>
      <c r="AR348" s="37" t="n">
        <v>0.06</v>
      </c>
      <c r="AS348" s="37" t="n">
        <v>0.04</v>
      </c>
      <c r="AT348" s="38" t="inlineStr">
        <is>
          <t>2–5</t>
        </is>
      </c>
      <c r="AU348" s="38" t="inlineStr">
        <is>
          <t>Graduate; relevant certification preferred</t>
        </is>
      </c>
      <c r="AV348" s="38" t="inlineStr">
        <is>
          <t>None · guides 1–3 juniors informally</t>
        </is>
      </c>
      <c r="AW348" s="38" t="inlineStr">
        <is>
          <t>P2 · SFIA 3 Apply</t>
        </is>
      </c>
      <c r="AX3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8" s="39" t="inlineStr">
        <is>
          <t>A3</t>
        </is>
      </c>
      <c r="AZ348" s="40" t="inlineStr">
        <is>
          <t>Band A · Practitioner · Senior Associate</t>
        </is>
      </c>
      <c r="BA348" s="40" t="inlineStr">
        <is>
          <t>Model A3 from the six ratings, the market-derived weights and rules R1–R13 · then No change · already below the manager</t>
        </is>
      </c>
      <c r="BB348" s="41" t="inlineStr">
        <is>
          <t>A2</t>
        </is>
      </c>
      <c r="BC348" s="40" t="inlineStr">
        <is>
          <t>The six ratings on the market-average weights of Band A · all tracks score 2.25 → A2 · Hay, Mercer IPE and public plans · experience 4.9 yrs vs the A2 market range 0–3</t>
        </is>
      </c>
      <c r="BD348" s="42">
        <f>IF(SUM(BM348,BN348,BO348,BP348,BQ348,BR348,BS348)=0,0,(BM348*BT348+BN348*BU348+BO348*BV348+BP348*BW348+BQ348*BX348+BR348*BY348+BS348*BZ348)/SUM(BM348,BN348,BO348,BP348,BQ348,BR348,BS348))</f>
        <v>0</v>
      </c>
      <c r="BE348" s="41" t="str">
        <f>IF(LEFT(AY348,1)="X",AY348,IF(OR(AY348="B+",AY348="C+"),INDEX(LAD_PC,MAX(1,MIN(14,MATCH(AY348,LAD_PC,0)+IF(BD348&gt;=0.5,1,IF(BD348&lt;=-0.5,-1,0))))),INDEX(LAD_STD,MAX(1,MIN(12,MATCH(AY348,LAD_STD,0)+IF(BD348&gt;=0.5,1,IF(BD348&lt;=-0.5,-1,0)))))))</f>
        <v>A3</v>
      </c>
      <c r="BF348" s="43" t="n"/>
      <c r="BG348" s="41" t="str">
        <f>IF(BF348&lt;&gt;"",BF348,BE348)</f>
        <v>A3</v>
      </c>
      <c r="BH348" s="40" t="str">
        <f>IFERROR(CHOOSE(INDEX(B_RANK,MATCH(BG348,B_LVL,0)),"Band A","Band B","B+ · Player-Coach","Band C","C+ · Player-Coach","Band D","Band E"),"Band X · Consultant")</f>
        <v>Band A</v>
      </c>
      <c r="BI348" s="40" t="str">
        <f>IF(BG348=AY348,"• Same",IF(INDEX(B_VAL,MATCH(BG348,B_LVL,0))&gt;INDEX(B_VAL,MATCH(AY348,B_LVL,0)),"▲ Up","▼ Down"))</f>
        <v>• Same</v>
      </c>
      <c r="BJ348" s="40" t="str">
        <f>IF(OR($M348="",$M348="—",$M348="Not in this file"),"",IFERROR(INDEX($BG$7:$BG$592,MATCH($M348,$D$7:$D$592,0)),""))</f>
        <v>B2</v>
      </c>
      <c r="BK348" s="40" t="str">
        <f>IFERROR(IF(BJ348="","—",IF(OR(LEFT(BG348,1)="X",LEFT(BJ348,1)="X"),"—",IF(AND(LEFT(BG348,1)="E",LEFT(BJ348,1)="E"),"Exception · Band E",IF(AND(INDEX(B_VAL,MATCH(BJ348,B_LVL,0))&gt;=7,INDEX(B_RANK,MATCH(BG348,B_LVL,0))&gt;=INDEX(B_RANK,MATCH(BJ348,B_LVL,0))),"⚠ Same band as a head manager",IF(INDEX(B_VAL,MATCH(BG348,B_LVL,0))&gt;=INDEX(B_VAL,MATCH(BJ348,B_LVL,0)),"⚠ At or above the manager's level","OK"))))),"—")</f>
        <v>OK</v>
      </c>
      <c r="BL348" s="43" t="n"/>
      <c r="BM348" s="44">
        <f>IFERROR(INDEX(LMH_PTS,MATCH(Y348,LMH_KEY,0)),0)</f>
        <v>9</v>
      </c>
      <c r="BN348" s="38">
        <f>IFERROR(INDEX(LMH_PTS,MATCH(Z348,LMH_KEY,0)),0)</f>
        <v>3</v>
      </c>
      <c r="BO348" s="38">
        <f>IFERROR(INDEX(LMH_PTS,MATCH(AA348,LMH_KEY,0)),0)</f>
        <v>1</v>
      </c>
      <c r="BP348" s="38">
        <f>IFERROR(INDEX(LMH_PTS,MATCH(AB348,LMH_KEY,0)),0)</f>
        <v>1</v>
      </c>
      <c r="BQ348" s="38">
        <f>IFERROR(INDEX(LMH_PTS,MATCH(AC348,LMH_KEY,0)),0)</f>
        <v>1</v>
      </c>
      <c r="BR348" s="38">
        <f>IFERROR(INDEX(LMH_PTS,MATCH(AD348,LMH_KEY,0)),0)</f>
        <v>1</v>
      </c>
      <c r="BS348" s="38">
        <f>IFERROR(INDEX(LMH_PTS,MATCH(AE348,LMH_KEY,0)),0)</f>
        <v>1</v>
      </c>
      <c r="BT348" s="38">
        <f>IFERROR(INDEX(LMH_STEP,MATCH(AF348,LMH_KEY,0)),0)</f>
        <v>0</v>
      </c>
      <c r="BU348" s="38">
        <f>IFERROR(INDEX(LMH_STEP,MATCH(AG348,LMH_KEY,0)),0)</f>
        <v>0</v>
      </c>
      <c r="BV348" s="38">
        <f>IFERROR(INDEX(LMH_STEP,MATCH(AH348,LMH_KEY,0)),0)</f>
        <v>0</v>
      </c>
      <c r="BW348" s="38">
        <f>IFERROR(INDEX(LMH_STEP,MATCH(AI348,LMH_KEY,0)),0)</f>
        <v>0</v>
      </c>
      <c r="BX348" s="38">
        <f>IFERROR(INDEX(LMH_STEP,MATCH(AJ348,LMH_KEY,0)),0)</f>
        <v>0</v>
      </c>
      <c r="BY348" s="38">
        <f>IFERROR(INDEX(LMH_STEP,MATCH(AK348,LMH_KEY,0)),0)</f>
        <v>0</v>
      </c>
      <c r="BZ348" s="38">
        <f>IFERROR(INDEX(LMH_STEP,MATCH(AL348,LMH_KEY,0)),0)</f>
        <v>0</v>
      </c>
      <c r="CA348" s="38" t="inlineStr">
        <is>
          <t>iFile|Quality Assurance|Senior QA Engineer|A3|A</t>
        </is>
      </c>
    </row>
    <row r="349" ht="110" customHeight="1">
      <c r="A349" s="28" t="inlineStr">
        <is>
          <t>iFile</t>
        </is>
      </c>
      <c r="B349" s="29" t="inlineStr">
        <is>
          <t>Quality Assurance</t>
        </is>
      </c>
      <c r="C349" s="29" t="n">
        <v>4</v>
      </c>
      <c r="D349" s="29" t="inlineStr">
        <is>
          <t>IRIS2456</t>
        </is>
      </c>
      <c r="E349" s="29" t="inlineStr">
        <is>
          <t>Vishal Khare</t>
        </is>
      </c>
      <c r="F349" s="29" t="inlineStr">
        <is>
          <t>QA Engineer</t>
        </is>
      </c>
      <c r="G349" s="29" t="inlineStr">
        <is>
          <t>Senior QA Engineer</t>
        </is>
      </c>
      <c r="H349" s="29" t="inlineStr">
        <is>
          <t>Quality Assurance</t>
        </is>
      </c>
      <c r="I349" s="29" t="inlineStr">
        <is>
          <t>Functional &amp; Domain Testing</t>
        </is>
      </c>
      <c r="J349" s="29" t="inlineStr">
        <is>
          <t>IC</t>
        </is>
      </c>
      <c r="K349" s="29" t="inlineStr">
        <is>
          <t>RC-141</t>
        </is>
      </c>
      <c r="L349" s="29" t="inlineStr">
        <is>
          <t>Davinder Pal Singh</t>
        </is>
      </c>
      <c r="M349" s="29" t="inlineStr">
        <is>
          <t>IRIS0728</t>
        </is>
      </c>
      <c r="N349" s="29" t="n">
        <v>4.1</v>
      </c>
      <c r="O349" s="29" t="n">
        <v>0.8</v>
      </c>
      <c r="P349" s="29" t="inlineStr">
        <is>
          <t>B.E</t>
        </is>
      </c>
      <c r="Q349" s="29" t="inlineStr">
        <is>
          <t>L3 – Professional / Associate</t>
        </is>
      </c>
      <c r="R349" s="29" t="inlineStr">
        <is>
          <t>A3</t>
        </is>
      </c>
      <c r="S349" s="30" t="inlineStr">
        <is>
          <t>20 of 20</t>
        </is>
      </c>
      <c r="T349" s="31"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t>
        </is>
      </c>
      <c r="U349" s="31" t="inlineStr">
        <is>
          <t>Received · manager annual, quarterly, self · 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t>
        </is>
      </c>
      <c r="V349" s="31" t="inlineStr">
        <is>
          <t>Latest rating: 3 · Potential: Medium · 9-box: Emerging Talent · Readiness: Develop in role</t>
        </is>
      </c>
      <c r="W349" s="31" t="inlineStr">
        <is>
          <t>C M · Au L · Ac M · L L · BI M · Exp H · 4.1 yrs vs 2–4 yrs · Edu M · B.E</t>
        </is>
      </c>
      <c r="X349" s="33" t="inlineStr">
        <is>
          <t>Open ▸</t>
        </is>
      </c>
      <c r="Y349" s="34" t="str">
        <f>IFERROR(INDEX(DL_C,MATCH($CA349,DL_KEY,0)),"M")</f>
        <v>H</v>
      </c>
      <c r="Z349" s="35" t="str">
        <f>IFERROR(INDEX(DL_Au,MATCH($CA349,DL_KEY,0)),"M")</f>
        <v>M</v>
      </c>
      <c r="AA349" s="35" t="str">
        <f>IFERROR(INDEX(DL_Ac,MATCH($CA349,DL_KEY,0)),"M")</f>
        <v>L</v>
      </c>
      <c r="AB349" s="35" t="str">
        <f>IFERROR(INDEX(DL_L,MATCH($CA349,DL_KEY,0)),"M")</f>
        <v>L</v>
      </c>
      <c r="AC349" s="35" t="str">
        <f>IFERROR(INDEX(DL_BI,MATCH($CA349,DL_KEY,0)),"M")</f>
        <v>L</v>
      </c>
      <c r="AD349" s="35" t="str">
        <f>IFERROR(INDEX(DL_Exp,MATCH($CA349,DL_KEY,0)),"M")</f>
        <v>L</v>
      </c>
      <c r="AE349" s="35" t="str">
        <f>IFERROR(INDEX(DL_Edu,MATCH($CA349,DL_KEY,0)),"M")</f>
        <v>L</v>
      </c>
      <c r="AF349" s="34" t="inlineStr">
        <is>
          <t>M</t>
        </is>
      </c>
      <c r="AG349" s="35" t="inlineStr">
        <is>
          <t>M</t>
        </is>
      </c>
      <c r="AH349" s="35" t="inlineStr">
        <is>
          <t>M</t>
        </is>
      </c>
      <c r="AI349" s="35" t="inlineStr">
        <is>
          <t>M</t>
        </is>
      </c>
      <c r="AJ349" s="35" t="inlineStr">
        <is>
          <t>M</t>
        </is>
      </c>
      <c r="AK349" s="35" t="inlineStr">
        <is>
          <t>M</t>
        </is>
      </c>
      <c r="AL349" s="35" t="inlineStr">
        <is>
          <t>M</t>
        </is>
      </c>
      <c r="AM349" s="36" t="n">
        <v>0.583</v>
      </c>
      <c r="AN349" s="37" t="n">
        <v>0.16</v>
      </c>
      <c r="AO349" s="37" t="n">
        <v>0.09</v>
      </c>
      <c r="AP349" s="37" t="n">
        <v>0</v>
      </c>
      <c r="AQ349" s="37" t="n">
        <v>0.063</v>
      </c>
      <c r="AR349" s="37" t="n">
        <v>0.06</v>
      </c>
      <c r="AS349" s="37" t="n">
        <v>0.04</v>
      </c>
      <c r="AT349" s="38" t="inlineStr">
        <is>
          <t>2–5</t>
        </is>
      </c>
      <c r="AU349" s="38" t="inlineStr">
        <is>
          <t>Graduate; relevant certification preferred</t>
        </is>
      </c>
      <c r="AV349" s="38" t="inlineStr">
        <is>
          <t>None · guides 1–3 juniors informally</t>
        </is>
      </c>
      <c r="AW349" s="38" t="inlineStr">
        <is>
          <t>P2 · SFIA 3 Apply</t>
        </is>
      </c>
      <c r="AX3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9" s="39" t="inlineStr">
        <is>
          <t>A3</t>
        </is>
      </c>
      <c r="AZ349" s="40" t="inlineStr">
        <is>
          <t>Band A · Practitioner · Senior Associate</t>
        </is>
      </c>
      <c r="BA349" s="40" t="inlineStr">
        <is>
          <t>Model A3 from the six ratings, the market-derived weights and rules R1–R13 · then No change · already below the manager</t>
        </is>
      </c>
      <c r="BB349" s="41" t="inlineStr">
        <is>
          <t>A3</t>
        </is>
      </c>
      <c r="BC349" s="40" t="inlineStr">
        <is>
          <t>The six ratings on the market-average weights of Band A · all tracks score 2.52 → A3 · Hay, Mercer IPE and public plans · experience 4.1 yrs vs the A3 market range 2–5</t>
        </is>
      </c>
      <c r="BD349" s="42">
        <f>IF(SUM(BM349,BN349,BO349,BP349,BQ349,BR349,BS349)=0,0,(BM349*BT349+BN349*BU349+BO349*BV349+BP349*BW349+BQ349*BX349+BR349*BY349+BS349*BZ349)/SUM(BM349,BN349,BO349,BP349,BQ349,BR349,BS349))</f>
        <v>0</v>
      </c>
      <c r="BE349" s="41" t="str">
        <f>IF(LEFT(AY349,1)="X",AY349,IF(OR(AY349="B+",AY349="C+"),INDEX(LAD_PC,MAX(1,MIN(14,MATCH(AY349,LAD_PC,0)+IF(BD349&gt;=0.5,1,IF(BD349&lt;=-0.5,-1,0))))),INDEX(LAD_STD,MAX(1,MIN(12,MATCH(AY349,LAD_STD,0)+IF(BD349&gt;=0.5,1,IF(BD349&lt;=-0.5,-1,0)))))))</f>
        <v>A3</v>
      </c>
      <c r="BF349" s="43" t="n"/>
      <c r="BG349" s="41" t="str">
        <f>IF(BF349&lt;&gt;"",BF349,BE349)</f>
        <v>A3</v>
      </c>
      <c r="BH349" s="40" t="str">
        <f>IFERROR(CHOOSE(INDEX(B_RANK,MATCH(BG349,B_LVL,0)),"Band A","Band B","B+ · Player-Coach","Band C","C+ · Player-Coach","Band D","Band E"),"Band X · Consultant")</f>
        <v>Band A</v>
      </c>
      <c r="BI349" s="40" t="str">
        <f>IF(BG349=AY349,"• Same",IF(INDEX(B_VAL,MATCH(BG349,B_LVL,0))&gt;INDEX(B_VAL,MATCH(AY349,B_LVL,0)),"▲ Up","▼ Down"))</f>
        <v>• Same</v>
      </c>
      <c r="BJ349" s="40" t="str">
        <f>IF(OR($M349="",$M349="—",$M349="Not in this file"),"",IFERROR(INDEX($BG$7:$BG$592,MATCH($M349,$D$7:$D$592,0)),""))</f>
        <v>B2</v>
      </c>
      <c r="BK349" s="40" t="str">
        <f>IFERROR(IF(BJ349="","—",IF(OR(LEFT(BG349,1)="X",LEFT(BJ349,1)="X"),"—",IF(AND(LEFT(BG349,1)="E",LEFT(BJ349,1)="E"),"Exception · Band E",IF(AND(INDEX(B_VAL,MATCH(BJ349,B_LVL,0))&gt;=7,INDEX(B_RANK,MATCH(BG349,B_LVL,0))&gt;=INDEX(B_RANK,MATCH(BJ349,B_LVL,0))),"⚠ Same band as a head manager",IF(INDEX(B_VAL,MATCH(BG349,B_LVL,0))&gt;=INDEX(B_VAL,MATCH(BJ349,B_LVL,0)),"⚠ At or above the manager's level","OK"))))),"—")</f>
        <v>OK</v>
      </c>
      <c r="BL349" s="43" t="n"/>
      <c r="BM349" s="44">
        <f>IFERROR(INDEX(LMH_PTS,MATCH(Y349,LMH_KEY,0)),0)</f>
        <v>9</v>
      </c>
      <c r="BN349" s="38">
        <f>IFERROR(INDEX(LMH_PTS,MATCH(Z349,LMH_KEY,0)),0)</f>
        <v>3</v>
      </c>
      <c r="BO349" s="38">
        <f>IFERROR(INDEX(LMH_PTS,MATCH(AA349,LMH_KEY,0)),0)</f>
        <v>1</v>
      </c>
      <c r="BP349" s="38">
        <f>IFERROR(INDEX(LMH_PTS,MATCH(AB349,LMH_KEY,0)),0)</f>
        <v>1</v>
      </c>
      <c r="BQ349" s="38">
        <f>IFERROR(INDEX(LMH_PTS,MATCH(AC349,LMH_KEY,0)),0)</f>
        <v>1</v>
      </c>
      <c r="BR349" s="38">
        <f>IFERROR(INDEX(LMH_PTS,MATCH(AD349,LMH_KEY,0)),0)</f>
        <v>1</v>
      </c>
      <c r="BS349" s="38">
        <f>IFERROR(INDEX(LMH_PTS,MATCH(AE349,LMH_KEY,0)),0)</f>
        <v>1</v>
      </c>
      <c r="BT349" s="38">
        <f>IFERROR(INDEX(LMH_STEP,MATCH(AF349,LMH_KEY,0)),0)</f>
        <v>0</v>
      </c>
      <c r="BU349" s="38">
        <f>IFERROR(INDEX(LMH_STEP,MATCH(AG349,LMH_KEY,0)),0)</f>
        <v>0</v>
      </c>
      <c r="BV349" s="38">
        <f>IFERROR(INDEX(LMH_STEP,MATCH(AH349,LMH_KEY,0)),0)</f>
        <v>0</v>
      </c>
      <c r="BW349" s="38">
        <f>IFERROR(INDEX(LMH_STEP,MATCH(AI349,LMH_KEY,0)),0)</f>
        <v>0</v>
      </c>
      <c r="BX349" s="38">
        <f>IFERROR(INDEX(LMH_STEP,MATCH(AJ349,LMH_KEY,0)),0)</f>
        <v>0</v>
      </c>
      <c r="BY349" s="38">
        <f>IFERROR(INDEX(LMH_STEP,MATCH(AK349,LMH_KEY,0)),0)</f>
        <v>0</v>
      </c>
      <c r="BZ349" s="38">
        <f>IFERROR(INDEX(LMH_STEP,MATCH(AL349,LMH_KEY,0)),0)</f>
        <v>0</v>
      </c>
      <c r="CA349" s="38" t="inlineStr">
        <is>
          <t>iFile|Quality Assurance|Senior QA Engineer|A3|A</t>
        </is>
      </c>
    </row>
    <row r="350" ht="110" customHeight="1">
      <c r="A350" s="28" t="inlineStr">
        <is>
          <t>iFile</t>
        </is>
      </c>
      <c r="B350" s="29" t="inlineStr">
        <is>
          <t>Technology</t>
        </is>
      </c>
      <c r="C350" s="29" t="n">
        <v>3</v>
      </c>
      <c r="D350" s="29" t="inlineStr">
        <is>
          <t>IRIS2296</t>
        </is>
      </c>
      <c r="E350" s="29" t="inlineStr">
        <is>
          <t>Deepa Vaman Shinde</t>
        </is>
      </c>
      <c r="F350" s="29" t="inlineStr">
        <is>
          <t>Project Manager</t>
        </is>
      </c>
      <c r="G350" s="29" t="inlineStr">
        <is>
          <t>Project Manager</t>
        </is>
      </c>
      <c r="H350" s="29" t="inlineStr">
        <is>
          <t>Project &amp; Program Management</t>
        </is>
      </c>
      <c r="I350" s="29" t="inlineStr">
        <is>
          <t>Project &amp; Program Delivery</t>
        </is>
      </c>
      <c r="J350" s="29" t="inlineStr">
        <is>
          <t>IC</t>
        </is>
      </c>
      <c r="K350" s="29" t="inlineStr">
        <is>
          <t>RC-135</t>
        </is>
      </c>
      <c r="L350" s="29" t="inlineStr">
        <is>
          <t>Pradip Dey</t>
        </is>
      </c>
      <c r="M350" s="29" t="inlineStr">
        <is>
          <t>IRISC223</t>
        </is>
      </c>
      <c r="N350" s="29" t="n">
        <v>14.7</v>
      </c>
      <c r="O350" s="29" t="n">
        <v>2.2</v>
      </c>
      <c r="P350" s="29" t="inlineStr">
        <is>
          <t>B.E</t>
        </is>
      </c>
      <c r="Q350" s="29" t="inlineStr">
        <is>
          <t>L5 – Manager</t>
        </is>
      </c>
      <c r="R350" s="29" t="inlineStr">
        <is>
          <t>B2</t>
        </is>
      </c>
      <c r="S350" s="30" t="inlineStr">
        <is>
          <t>20 of 20</t>
        </is>
      </c>
      <c r="T350" s="31"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t>
        </is>
      </c>
      <c r="U350" s="31" t="inlineStr">
        <is>
          <t>Received · manager annual, quarterly · 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t>
        </is>
      </c>
      <c r="V350" s="31" t="inlineStr">
        <is>
          <t>Latest rating: 3 · Potential: Medium · 9-box: Reliable Specialist · Readiness: Develop in role</t>
        </is>
      </c>
      <c r="W350" s="31" t="inlineStr">
        <is>
          <t>C M · Au M · Ac M · L L · BI M · Exp H · 14.7 yrs vs 6–9 yrs · Edu M · B.E</t>
        </is>
      </c>
      <c r="X350" s="33" t="inlineStr">
        <is>
          <t>Open ▸</t>
        </is>
      </c>
      <c r="Y350" s="34" t="str">
        <f>IFERROR(INDEX(DL_C,MATCH($CA350,DL_KEY,0)),"M")</f>
        <v>H</v>
      </c>
      <c r="Z350" s="35" t="str">
        <f>IFERROR(INDEX(DL_Au,MATCH($CA350,DL_KEY,0)),"M")</f>
        <v>M</v>
      </c>
      <c r="AA350" s="35" t="str">
        <f>IFERROR(INDEX(DL_Ac,MATCH($CA350,DL_KEY,0)),"M")</f>
        <v>L</v>
      </c>
      <c r="AB350" s="35" t="str">
        <f>IFERROR(INDEX(DL_L,MATCH($CA350,DL_KEY,0)),"M")</f>
        <v>L</v>
      </c>
      <c r="AC350" s="35" t="str">
        <f>IFERROR(INDEX(DL_BI,MATCH($CA350,DL_KEY,0)),"M")</f>
        <v>L</v>
      </c>
      <c r="AD350" s="35" t="str">
        <f>IFERROR(INDEX(DL_Exp,MATCH($CA350,DL_KEY,0)),"M")</f>
        <v>L</v>
      </c>
      <c r="AE350" s="35" t="str">
        <f>IFERROR(INDEX(DL_Edu,MATCH($CA350,DL_KEY,0)),"M")</f>
        <v>L</v>
      </c>
      <c r="AF350" s="34" t="inlineStr">
        <is>
          <t>M</t>
        </is>
      </c>
      <c r="AG350" s="35" t="inlineStr">
        <is>
          <t>M</t>
        </is>
      </c>
      <c r="AH350" s="35" t="inlineStr">
        <is>
          <t>M</t>
        </is>
      </c>
      <c r="AI350" s="35" t="inlineStr">
        <is>
          <t>M</t>
        </is>
      </c>
      <c r="AJ350" s="35" t="inlineStr">
        <is>
          <t>M</t>
        </is>
      </c>
      <c r="AK350" s="35" t="inlineStr">
        <is>
          <t>M</t>
        </is>
      </c>
      <c r="AL350" s="35" t="inlineStr">
        <is>
          <t>M</t>
        </is>
      </c>
      <c r="AM350" s="36" t="n">
        <v>0.513</v>
      </c>
      <c r="AN350" s="37" t="n">
        <v>0.173</v>
      </c>
      <c r="AO350" s="37" t="n">
        <v>0.09699999999999999</v>
      </c>
      <c r="AP350" s="37" t="n">
        <v>0.05</v>
      </c>
      <c r="AQ350" s="37" t="n">
        <v>0.07000000000000001</v>
      </c>
      <c r="AR350" s="37" t="n">
        <v>0.06</v>
      </c>
      <c r="AS350" s="37" t="n">
        <v>0.04</v>
      </c>
      <c r="AT350" s="38" t="inlineStr">
        <is>
          <t>6–10</t>
        </is>
      </c>
      <c r="AU350" s="38" t="inlineStr">
        <is>
          <t>Graduate or postgraduate; professional qualification preferred</t>
        </is>
      </c>
      <c r="AV350" s="38" t="inlineStr">
        <is>
          <t>IC: none · People: 6–8 knowledge work, 8–12 standardised delivery</t>
        </is>
      </c>
      <c r="AW350" s="38" t="inlineStr">
        <is>
          <t>P4 / M3 · SFIA 4–5</t>
        </is>
      </c>
      <c r="AX3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0" s="39" t="inlineStr">
        <is>
          <t>B2</t>
        </is>
      </c>
      <c r="AZ350" s="40" t="inlineStr">
        <is>
          <t>Band B · Specialist / Manager · Senior Specialist</t>
        </is>
      </c>
      <c r="BA350" s="40" t="inlineStr">
        <is>
          <t>Model B2 from the six ratings, the market-derived weights and rules R1–R13 · then No change · already below the manager</t>
        </is>
      </c>
      <c r="BB350" s="41" t="inlineStr">
        <is>
          <t>B2</t>
        </is>
      </c>
      <c r="BC350" s="40" t="inlineStr">
        <is>
          <t>The six ratings on the market-average weights of Band B · Specialist / POD Lead score 4.88 → B2 · Hay, Mercer IPE and public plans · experience 14.7 yrs vs the B2 market range 6–10</t>
        </is>
      </c>
      <c r="BD350" s="42">
        <f>IF(SUM(BM350,BN350,BO350,BP350,BQ350,BR350,BS350)=0,0,(BM350*BT350+BN350*BU350+BO350*BV350+BP350*BW350+BQ350*BX350+BR350*BY350+BS350*BZ350)/SUM(BM350,BN350,BO350,BP350,BQ350,BR350,BS350))</f>
        <v>0</v>
      </c>
      <c r="BE350" s="41" t="str">
        <f>IF(LEFT(AY350,1)="X",AY350,IF(OR(AY350="B+",AY350="C+"),INDEX(LAD_PC,MAX(1,MIN(14,MATCH(AY350,LAD_PC,0)+IF(BD350&gt;=0.5,1,IF(BD350&lt;=-0.5,-1,0))))),INDEX(LAD_STD,MAX(1,MIN(12,MATCH(AY350,LAD_STD,0)+IF(BD350&gt;=0.5,1,IF(BD350&lt;=-0.5,-1,0)))))))</f>
        <v>B2</v>
      </c>
      <c r="BF350" s="43" t="n"/>
      <c r="BG350" s="41" t="str">
        <f>IF(BF350&lt;&gt;"",BF350,BE350)</f>
        <v>B2</v>
      </c>
      <c r="BH350" s="40" t="str">
        <f>IFERROR(CHOOSE(INDEX(B_RANK,MATCH(BG350,B_LVL,0)),"Band A","Band B","B+ · Player-Coach","Band C","C+ · Player-Coach","Band D","Band E"),"Band X · Consultant")</f>
        <v>Band B</v>
      </c>
      <c r="BI350" s="40" t="str">
        <f>IF(BG350=AY350,"• Same",IF(INDEX(B_VAL,MATCH(BG350,B_LVL,0))&gt;INDEX(B_VAL,MATCH(AY350,B_LVL,0)),"▲ Up","▼ Down"))</f>
        <v>• Same</v>
      </c>
      <c r="BJ350" s="40" t="str">
        <f>IF(OR($M350="",$M350="—",$M350="Not in this file"),"",IFERROR(INDEX($BG$7:$BG$592,MATCH($M350,$D$7:$D$592,0)),""))</f>
        <v>C2</v>
      </c>
      <c r="BK350" s="40" t="str">
        <f>IFERROR(IF(BJ350="","—",IF(OR(LEFT(BG350,1)="X",LEFT(BJ350,1)="X"),"—",IF(AND(LEFT(BG350,1)="E",LEFT(BJ350,1)="E"),"Exception · Band E",IF(AND(INDEX(B_VAL,MATCH(BJ350,B_LVL,0))&gt;=7,INDEX(B_RANK,MATCH(BG350,B_LVL,0))&gt;=INDEX(B_RANK,MATCH(BJ350,B_LVL,0))),"⚠ Same band as a head manager",IF(INDEX(B_VAL,MATCH(BG350,B_LVL,0))&gt;=INDEX(B_VAL,MATCH(BJ350,B_LVL,0)),"⚠ At or above the manager's level","OK"))))),"—")</f>
        <v>OK</v>
      </c>
      <c r="BL350" s="43" t="n"/>
      <c r="BM350" s="44">
        <f>IFERROR(INDEX(LMH_PTS,MATCH(Y350,LMH_KEY,0)),0)</f>
        <v>9</v>
      </c>
      <c r="BN350" s="38">
        <f>IFERROR(INDEX(LMH_PTS,MATCH(Z350,LMH_KEY,0)),0)</f>
        <v>3</v>
      </c>
      <c r="BO350" s="38">
        <f>IFERROR(INDEX(LMH_PTS,MATCH(AA350,LMH_KEY,0)),0)</f>
        <v>1</v>
      </c>
      <c r="BP350" s="38">
        <f>IFERROR(INDEX(LMH_PTS,MATCH(AB350,LMH_KEY,0)),0)</f>
        <v>1</v>
      </c>
      <c r="BQ350" s="38">
        <f>IFERROR(INDEX(LMH_PTS,MATCH(AC350,LMH_KEY,0)),0)</f>
        <v>1</v>
      </c>
      <c r="BR350" s="38">
        <f>IFERROR(INDEX(LMH_PTS,MATCH(AD350,LMH_KEY,0)),0)</f>
        <v>1</v>
      </c>
      <c r="BS350" s="38">
        <f>IFERROR(INDEX(LMH_PTS,MATCH(AE350,LMH_KEY,0)),0)</f>
        <v>1</v>
      </c>
      <c r="BT350" s="38">
        <f>IFERROR(INDEX(LMH_STEP,MATCH(AF350,LMH_KEY,0)),0)</f>
        <v>0</v>
      </c>
      <c r="BU350" s="38">
        <f>IFERROR(INDEX(LMH_STEP,MATCH(AG350,LMH_KEY,0)),0)</f>
        <v>0</v>
      </c>
      <c r="BV350" s="38">
        <f>IFERROR(INDEX(LMH_STEP,MATCH(AH350,LMH_KEY,0)),0)</f>
        <v>0</v>
      </c>
      <c r="BW350" s="38">
        <f>IFERROR(INDEX(LMH_STEP,MATCH(AI350,LMH_KEY,0)),0)</f>
        <v>0</v>
      </c>
      <c r="BX350" s="38">
        <f>IFERROR(INDEX(LMH_STEP,MATCH(AJ350,LMH_KEY,0)),0)</f>
        <v>0</v>
      </c>
      <c r="BY350" s="38">
        <f>IFERROR(INDEX(LMH_STEP,MATCH(AK350,LMH_KEY,0)),0)</f>
        <v>0</v>
      </c>
      <c r="BZ350" s="38">
        <f>IFERROR(INDEX(LMH_STEP,MATCH(AL350,LMH_KEY,0)),0)</f>
        <v>0</v>
      </c>
      <c r="CA350" s="38" t="inlineStr">
        <is>
          <t>iFile|Technology|Project Manager|B2|B-IC</t>
        </is>
      </c>
    </row>
    <row r="351" ht="110" customHeight="1">
      <c r="A351" s="28" t="inlineStr">
        <is>
          <t>iFile</t>
        </is>
      </c>
      <c r="B351" s="29" t="inlineStr">
        <is>
          <t>Technology</t>
        </is>
      </c>
      <c r="C351" s="29" t="n">
        <v>3</v>
      </c>
      <c r="D351" s="29" t="inlineStr">
        <is>
          <t>IRIS2366</t>
        </is>
      </c>
      <c r="E351" s="29" t="inlineStr">
        <is>
          <t>Jailesh Bhadra</t>
        </is>
      </c>
      <c r="F351" s="29" t="inlineStr">
        <is>
          <t>Project Manager</t>
        </is>
      </c>
      <c r="G351" s="29" t="inlineStr">
        <is>
          <t>Project Manager</t>
        </is>
      </c>
      <c r="H351" s="29" t="inlineStr">
        <is>
          <t>Project &amp; Program Management</t>
        </is>
      </c>
      <c r="I351" s="29" t="inlineStr">
        <is>
          <t>Project &amp; Program Delivery</t>
        </is>
      </c>
      <c r="J351" s="29" t="inlineStr">
        <is>
          <t>People Manager</t>
        </is>
      </c>
      <c r="K351" s="29" t="inlineStr">
        <is>
          <t>RC-136</t>
        </is>
      </c>
      <c r="L351" s="29" t="inlineStr">
        <is>
          <t>Pradip Dey</t>
        </is>
      </c>
      <c r="M351" s="29" t="inlineStr">
        <is>
          <t>IRISC223</t>
        </is>
      </c>
      <c r="N351" s="29" t="n">
        <v>11.5</v>
      </c>
      <c r="O351" s="29" t="n">
        <v>1.5</v>
      </c>
      <c r="P351" s="29" t="inlineStr">
        <is>
          <t>B.E</t>
        </is>
      </c>
      <c r="Q351" s="29" t="inlineStr">
        <is>
          <t>L5 – Manager</t>
        </is>
      </c>
      <c r="R351" s="29" t="inlineStr">
        <is>
          <t>B2</t>
        </is>
      </c>
      <c r="S351" s="30" t="inlineStr">
        <is>
          <t>20 of 20</t>
        </is>
      </c>
      <c r="T351" s="31"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t>
        </is>
      </c>
      <c r="U351" s="31" t="inlineStr">
        <is>
          <t>Received · manager annual, quarterly · 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t>
        </is>
      </c>
      <c r="V351" s="31" t="inlineStr">
        <is>
          <t>Latest rating: 4 · Potential: High · 9-box: High Impact / Growth Talent · Readiness: Ready now</t>
        </is>
      </c>
      <c r="W351" s="31" t="inlineStr">
        <is>
          <t>C M · Au M · Ac M · L M · BI H · Exp H · 11.5 yrs vs 6–9 yrs · Edu M · B.E</t>
        </is>
      </c>
      <c r="X351" s="33" t="inlineStr">
        <is>
          <t>Open ▸</t>
        </is>
      </c>
      <c r="Y351" s="34" t="str">
        <f>IFERROR(INDEX(DL_C,MATCH($CA351,DL_KEY,0)),"M")</f>
        <v>H</v>
      </c>
      <c r="Z351" s="35" t="str">
        <f>IFERROR(INDEX(DL_Au,MATCH($CA351,DL_KEY,0)),"M")</f>
        <v>M</v>
      </c>
      <c r="AA351" s="35" t="str">
        <f>IFERROR(INDEX(DL_Ac,MATCH($CA351,DL_KEY,0)),"M")</f>
        <v>L</v>
      </c>
      <c r="AB351" s="35" t="str">
        <f>IFERROR(INDEX(DL_L,MATCH($CA351,DL_KEY,0)),"M")</f>
        <v>M</v>
      </c>
      <c r="AC351" s="35" t="str">
        <f>IFERROR(INDEX(DL_BI,MATCH($CA351,DL_KEY,0)),"M")</f>
        <v>L</v>
      </c>
      <c r="AD351" s="35" t="str">
        <f>IFERROR(INDEX(DL_Exp,MATCH($CA351,DL_KEY,0)),"M")</f>
        <v>L</v>
      </c>
      <c r="AE351" s="35" t="str">
        <f>IFERROR(INDEX(DL_Edu,MATCH($CA351,DL_KEY,0)),"M")</f>
        <v>L</v>
      </c>
      <c r="AF351" s="34" t="inlineStr">
        <is>
          <t>M</t>
        </is>
      </c>
      <c r="AG351" s="35" t="inlineStr">
        <is>
          <t>M</t>
        </is>
      </c>
      <c r="AH351" s="35" t="inlineStr">
        <is>
          <t>M</t>
        </is>
      </c>
      <c r="AI351" s="35" t="inlineStr">
        <is>
          <t>M</t>
        </is>
      </c>
      <c r="AJ351" s="35" t="inlineStr">
        <is>
          <t>M</t>
        </is>
      </c>
      <c r="AK351" s="35" t="inlineStr">
        <is>
          <t>M</t>
        </is>
      </c>
      <c r="AL351" s="35" t="inlineStr">
        <is>
          <t>M</t>
        </is>
      </c>
      <c r="AM351" s="36" t="n">
        <v>0.37</v>
      </c>
      <c r="AN351" s="37" t="n">
        <v>0.183</v>
      </c>
      <c r="AO351" s="37" t="n">
        <v>0.113</v>
      </c>
      <c r="AP351" s="37" t="n">
        <v>0.15</v>
      </c>
      <c r="AQ351" s="37" t="n">
        <v>0.08699999999999999</v>
      </c>
      <c r="AR351" s="37" t="n">
        <v>0.06</v>
      </c>
      <c r="AS351" s="37" t="n">
        <v>0.04</v>
      </c>
      <c r="AT351" s="38" t="inlineStr">
        <is>
          <t>6–10</t>
        </is>
      </c>
      <c r="AU351" s="38" t="inlineStr">
        <is>
          <t>Graduate or postgraduate; professional qualification preferred</t>
        </is>
      </c>
      <c r="AV351" s="38" t="inlineStr">
        <is>
          <t>IC: none · People: 6–8 knowledge work, 8–12 standardised delivery</t>
        </is>
      </c>
      <c r="AW351" s="38" t="inlineStr">
        <is>
          <t>P4 / M3 · SFIA 4–5</t>
        </is>
      </c>
      <c r="AX3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1" s="39" t="inlineStr">
        <is>
          <t>B2</t>
        </is>
      </c>
      <c r="AZ351" s="40" t="inlineStr">
        <is>
          <t>Band B · Specialist / Manager · Manager</t>
        </is>
      </c>
      <c r="BA351" s="40" t="inlineStr">
        <is>
          <t>Model B2 from the six ratings, the market-derived weights and rules R1–R13 · then No change · already below the manager</t>
        </is>
      </c>
      <c r="BB351" s="41" t="inlineStr">
        <is>
          <t>B2</t>
        </is>
      </c>
      <c r="BC351" s="40" t="inlineStr">
        <is>
          <t>The six ratings on the market-average weights of Band B · People Manager score 5.14 → B2 · Hay, Mercer IPE and public plans · experience 11.5 yrs vs the B2 market range 6–10</t>
        </is>
      </c>
      <c r="BD351" s="42">
        <f>IF(SUM(BM351,BN351,BO351,BP351,BQ351,BR351,BS351)=0,0,(BM351*BT351+BN351*BU351+BO351*BV351+BP351*BW351+BQ351*BX351+BR351*BY351+BS351*BZ351)/SUM(BM351,BN351,BO351,BP351,BQ351,BR351,BS351))</f>
        <v>0</v>
      </c>
      <c r="BE351" s="41" t="str">
        <f>IF(LEFT(AY351,1)="X",AY351,IF(OR(AY351="B+",AY351="C+"),INDEX(LAD_PC,MAX(1,MIN(14,MATCH(AY351,LAD_PC,0)+IF(BD351&gt;=0.5,1,IF(BD351&lt;=-0.5,-1,0))))),INDEX(LAD_STD,MAX(1,MIN(12,MATCH(AY351,LAD_STD,0)+IF(BD351&gt;=0.5,1,IF(BD351&lt;=-0.5,-1,0)))))))</f>
        <v>B2</v>
      </c>
      <c r="BF351" s="43" t="n"/>
      <c r="BG351" s="41" t="str">
        <f>IF(BF351&lt;&gt;"",BF351,BE351)</f>
        <v>B2</v>
      </c>
      <c r="BH351" s="40" t="str">
        <f>IFERROR(CHOOSE(INDEX(B_RANK,MATCH(BG351,B_LVL,0)),"Band A","Band B","B+ · Player-Coach","Band C","C+ · Player-Coach","Band D","Band E"),"Band X · Consultant")</f>
        <v>Band B</v>
      </c>
      <c r="BI351" s="40" t="str">
        <f>IF(BG351=AY351,"• Same",IF(INDEX(B_VAL,MATCH(BG351,B_LVL,0))&gt;INDEX(B_VAL,MATCH(AY351,B_LVL,0)),"▲ Up","▼ Down"))</f>
        <v>• Same</v>
      </c>
      <c r="BJ351" s="40" t="str">
        <f>IF(OR($M351="",$M351="—",$M351="Not in this file"),"",IFERROR(INDEX($BG$7:$BG$592,MATCH($M351,$D$7:$D$592,0)),""))</f>
        <v>C2</v>
      </c>
      <c r="BK351" s="40" t="str">
        <f>IFERROR(IF(BJ351="","—",IF(OR(LEFT(BG351,1)="X",LEFT(BJ351,1)="X"),"—",IF(AND(LEFT(BG351,1)="E",LEFT(BJ351,1)="E"),"Exception · Band E",IF(AND(INDEX(B_VAL,MATCH(BJ351,B_LVL,0))&gt;=7,INDEX(B_RANK,MATCH(BG351,B_LVL,0))&gt;=INDEX(B_RANK,MATCH(BJ351,B_LVL,0))),"⚠ Same band as a head manager",IF(INDEX(B_VAL,MATCH(BG351,B_LVL,0))&gt;=INDEX(B_VAL,MATCH(BJ351,B_LVL,0)),"⚠ At or above the manager's level","OK"))))),"—")</f>
        <v>OK</v>
      </c>
      <c r="BL351" s="43" t="n"/>
      <c r="BM351" s="44">
        <f>IFERROR(INDEX(LMH_PTS,MATCH(Y351,LMH_KEY,0)),0)</f>
        <v>9</v>
      </c>
      <c r="BN351" s="38">
        <f>IFERROR(INDEX(LMH_PTS,MATCH(Z351,LMH_KEY,0)),0)</f>
        <v>3</v>
      </c>
      <c r="BO351" s="38">
        <f>IFERROR(INDEX(LMH_PTS,MATCH(AA351,LMH_KEY,0)),0)</f>
        <v>1</v>
      </c>
      <c r="BP351" s="38">
        <f>IFERROR(INDEX(LMH_PTS,MATCH(AB351,LMH_KEY,0)),0)</f>
        <v>3</v>
      </c>
      <c r="BQ351" s="38">
        <f>IFERROR(INDEX(LMH_PTS,MATCH(AC351,LMH_KEY,0)),0)</f>
        <v>1</v>
      </c>
      <c r="BR351" s="38">
        <f>IFERROR(INDEX(LMH_PTS,MATCH(AD351,LMH_KEY,0)),0)</f>
        <v>1</v>
      </c>
      <c r="BS351" s="38">
        <f>IFERROR(INDEX(LMH_PTS,MATCH(AE351,LMH_KEY,0)),0)</f>
        <v>1</v>
      </c>
      <c r="BT351" s="38">
        <f>IFERROR(INDEX(LMH_STEP,MATCH(AF351,LMH_KEY,0)),0)</f>
        <v>0</v>
      </c>
      <c r="BU351" s="38">
        <f>IFERROR(INDEX(LMH_STEP,MATCH(AG351,LMH_KEY,0)),0)</f>
        <v>0</v>
      </c>
      <c r="BV351" s="38">
        <f>IFERROR(INDEX(LMH_STEP,MATCH(AH351,LMH_KEY,0)),0)</f>
        <v>0</v>
      </c>
      <c r="BW351" s="38">
        <f>IFERROR(INDEX(LMH_STEP,MATCH(AI351,LMH_KEY,0)),0)</f>
        <v>0</v>
      </c>
      <c r="BX351" s="38">
        <f>IFERROR(INDEX(LMH_STEP,MATCH(AJ351,LMH_KEY,0)),0)</f>
        <v>0</v>
      </c>
      <c r="BY351" s="38">
        <f>IFERROR(INDEX(LMH_STEP,MATCH(AK351,LMH_KEY,0)),0)</f>
        <v>0</v>
      </c>
      <c r="BZ351" s="38">
        <f>IFERROR(INDEX(LMH_STEP,MATCH(AL351,LMH_KEY,0)),0)</f>
        <v>0</v>
      </c>
      <c r="CA351" s="38" t="inlineStr">
        <is>
          <t>iFile|Technology|Project Manager|B2|B-M</t>
        </is>
      </c>
    </row>
    <row r="352" ht="110" customHeight="1">
      <c r="A352" s="28" t="inlineStr">
        <is>
          <t>iFile</t>
        </is>
      </c>
      <c r="B352" s="29" t="inlineStr">
        <is>
          <t>Technology</t>
        </is>
      </c>
      <c r="C352" s="29" t="n">
        <v>4</v>
      </c>
      <c r="D352" s="29" t="inlineStr">
        <is>
          <t>IRIS0484</t>
        </is>
      </c>
      <c r="E352" s="29" t="inlineStr">
        <is>
          <t>Deepa Karmarkar</t>
        </is>
      </c>
      <c r="F352" s="29" t="inlineStr">
        <is>
          <t>Lead Software Engineer</t>
        </is>
      </c>
      <c r="G352" s="29" t="inlineStr">
        <is>
          <t>Lead Software Engineer</t>
        </is>
      </c>
      <c r="H352" s="29" t="inlineStr">
        <is>
          <t>Engineering &amp; Development</t>
        </is>
      </c>
      <c r="I352" s="29" t="inlineStr">
        <is>
          <t>Backend Development</t>
        </is>
      </c>
      <c r="J352" s="29" t="inlineStr">
        <is>
          <t>IC</t>
        </is>
      </c>
      <c r="K352" s="29" t="inlineStr">
        <is>
          <t>RC-069</t>
        </is>
      </c>
      <c r="L352" s="29" t="inlineStr">
        <is>
          <t>Jailesh Bhadra</t>
        </is>
      </c>
      <c r="M352" s="29" t="inlineStr">
        <is>
          <t>IRIS2366</t>
        </is>
      </c>
      <c r="N352" s="29" t="n">
        <v>19.9</v>
      </c>
      <c r="O352" s="29" t="n">
        <v>15.8</v>
      </c>
      <c r="P352" s="29" t="inlineStr">
        <is>
          <t>B.E</t>
        </is>
      </c>
      <c r="Q352" s="29" t="inlineStr">
        <is>
          <t>L5 – Lead · IC</t>
        </is>
      </c>
      <c r="R352" s="29" t="inlineStr">
        <is>
          <t>B2</t>
        </is>
      </c>
      <c r="S352" s="30" t="inlineStr">
        <is>
          <t>20 of 20</t>
        </is>
      </c>
      <c r="T352" s="31"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t>
        </is>
      </c>
      <c r="U352" s="31" t="inlineStr">
        <is>
          <t>Received · manager annual, quarterly, self · 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t>
        </is>
      </c>
      <c r="V352" s="31" t="inlineStr">
        <is>
          <t>Latest rating: 4 · Potential: Medium · 9-box: High Impact / Growth Talent · Readiness: Ready in 6–12 months</t>
        </is>
      </c>
      <c r="W352" s="31" t="inlineStr">
        <is>
          <t>C H · Au H · Ac H · L M · BI H · Exp H · 19.9 yrs vs 4–7 yrs · Edu M · B.E</t>
        </is>
      </c>
      <c r="X352" s="33" t="inlineStr">
        <is>
          <t>Open ▸</t>
        </is>
      </c>
      <c r="Y352" s="34" t="str">
        <f>IFERROR(INDEX(DL_C,MATCH($CA352,DL_KEY,0)),"M")</f>
        <v>H</v>
      </c>
      <c r="Z352" s="35" t="str">
        <f>IFERROR(INDEX(DL_Au,MATCH($CA352,DL_KEY,0)),"M")</f>
        <v>M</v>
      </c>
      <c r="AA352" s="35" t="str">
        <f>IFERROR(INDEX(DL_Ac,MATCH($CA352,DL_KEY,0)),"M")</f>
        <v>L</v>
      </c>
      <c r="AB352" s="35" t="str">
        <f>IFERROR(INDEX(DL_L,MATCH($CA352,DL_KEY,0)),"M")</f>
        <v>L</v>
      </c>
      <c r="AC352" s="35" t="str">
        <f>IFERROR(INDEX(DL_BI,MATCH($CA352,DL_KEY,0)),"M")</f>
        <v>L</v>
      </c>
      <c r="AD352" s="35" t="str">
        <f>IFERROR(INDEX(DL_Exp,MATCH($CA352,DL_KEY,0)),"M")</f>
        <v>L</v>
      </c>
      <c r="AE352" s="35" t="str">
        <f>IFERROR(INDEX(DL_Edu,MATCH($CA352,DL_KEY,0)),"M")</f>
        <v>L</v>
      </c>
      <c r="AF352" s="34" t="inlineStr">
        <is>
          <t>M</t>
        </is>
      </c>
      <c r="AG352" s="35" t="inlineStr">
        <is>
          <t>M</t>
        </is>
      </c>
      <c r="AH352" s="35" t="inlineStr">
        <is>
          <t>M</t>
        </is>
      </c>
      <c r="AI352" s="35" t="inlineStr">
        <is>
          <t>M</t>
        </is>
      </c>
      <c r="AJ352" s="35" t="inlineStr">
        <is>
          <t>M</t>
        </is>
      </c>
      <c r="AK352" s="35" t="inlineStr">
        <is>
          <t>M</t>
        </is>
      </c>
      <c r="AL352" s="35" t="inlineStr">
        <is>
          <t>M</t>
        </is>
      </c>
      <c r="AM352" s="36" t="n">
        <v>0.513</v>
      </c>
      <c r="AN352" s="37" t="n">
        <v>0.173</v>
      </c>
      <c r="AO352" s="37" t="n">
        <v>0.09699999999999999</v>
      </c>
      <c r="AP352" s="37" t="n">
        <v>0.05</v>
      </c>
      <c r="AQ352" s="37" t="n">
        <v>0.07000000000000001</v>
      </c>
      <c r="AR352" s="37" t="n">
        <v>0.06</v>
      </c>
      <c r="AS352" s="37" t="n">
        <v>0.04</v>
      </c>
      <c r="AT352" s="38" t="inlineStr">
        <is>
          <t>4–8</t>
        </is>
      </c>
      <c r="AU352" s="38" t="inlineStr">
        <is>
          <t>Graduate + relevant qualification or certification preferred</t>
        </is>
      </c>
      <c r="AV352" s="38" t="inlineStr">
        <is>
          <t>IC: none · Team Lead: 3–5</t>
        </is>
      </c>
      <c r="AW352" s="38" t="inlineStr">
        <is>
          <t>P3 / M2 · SFIA 4 Enable</t>
        </is>
      </c>
      <c r="AX3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2" s="39" t="inlineStr">
        <is>
          <t>B1</t>
        </is>
      </c>
      <c r="AZ352" s="40" t="inlineStr">
        <is>
          <t>Band B · Specialist / Manager · Specialist</t>
        </is>
      </c>
      <c r="BA352" s="40" t="inlineStr">
        <is>
          <t>Model B2 from the six ratings, the market-derived weights and rules R1–R13 · then Level rule: manager B2; a reportee sits at least one level below · B2 → B1 · move down · pay and title protected for one cycle</t>
        </is>
      </c>
      <c r="BB352" s="41" t="inlineStr">
        <is>
          <t>B2</t>
        </is>
      </c>
      <c r="BC352" s="40" t="inlineStr">
        <is>
          <t>The six ratings on the market-average weights of Band B · Specialist / POD Lead score 5.43 → B2 · Hay, Mercer IPE and public plans · experience 19.9 yrs vs the B2 market range 6–10</t>
        </is>
      </c>
      <c r="BD352" s="42">
        <f>IF(SUM(BM352,BN352,BO352,BP352,BQ352,BR352,BS352)=0,0,(BM352*BT352+BN352*BU352+BO352*BV352+BP352*BW352+BQ352*BX352+BR352*BY352+BS352*BZ352)/SUM(BM352,BN352,BO352,BP352,BQ352,BR352,BS352))</f>
        <v>0</v>
      </c>
      <c r="BE352" s="41" t="str">
        <f>IF(LEFT(AY352,1)="X",AY352,IF(OR(AY352="B+",AY352="C+"),INDEX(LAD_PC,MAX(1,MIN(14,MATCH(AY352,LAD_PC,0)+IF(BD352&gt;=0.5,1,IF(BD352&lt;=-0.5,-1,0))))),INDEX(LAD_STD,MAX(1,MIN(12,MATCH(AY352,LAD_STD,0)+IF(BD352&gt;=0.5,1,IF(BD352&lt;=-0.5,-1,0)))))))</f>
        <v>B1</v>
      </c>
      <c r="BF352" s="43" t="n"/>
      <c r="BG352" s="41" t="str">
        <f>IF(BF352&lt;&gt;"",BF352,BE352)</f>
        <v>B1</v>
      </c>
      <c r="BH352" s="40" t="str">
        <f>IFERROR(CHOOSE(INDEX(B_RANK,MATCH(BG352,B_LVL,0)),"Band A","Band B","B+ · Player-Coach","Band C","C+ · Player-Coach","Band D","Band E"),"Band X · Consultant")</f>
        <v>Band B</v>
      </c>
      <c r="BI352" s="40" t="str">
        <f>IF(BG352=AY352,"• Same",IF(INDEX(B_VAL,MATCH(BG352,B_LVL,0))&gt;INDEX(B_VAL,MATCH(AY352,B_LVL,0)),"▲ Up","▼ Down"))</f>
        <v>• Same</v>
      </c>
      <c r="BJ352" s="40" t="str">
        <f>IF(OR($M352="",$M352="—",$M352="Not in this file"),"",IFERROR(INDEX($BG$7:$BG$592,MATCH($M352,$D$7:$D$592,0)),""))</f>
        <v>B2</v>
      </c>
      <c r="BK352" s="40" t="str">
        <f>IFERROR(IF(BJ352="","—",IF(OR(LEFT(BG352,1)="X",LEFT(BJ352,1)="X"),"—",IF(AND(LEFT(BG352,1)="E",LEFT(BJ352,1)="E"),"Exception · Band E",IF(AND(INDEX(B_VAL,MATCH(BJ352,B_LVL,0))&gt;=7,INDEX(B_RANK,MATCH(BG352,B_LVL,0))&gt;=INDEX(B_RANK,MATCH(BJ352,B_LVL,0))),"⚠ Same band as a head manager",IF(INDEX(B_VAL,MATCH(BG352,B_LVL,0))&gt;=INDEX(B_VAL,MATCH(BJ352,B_LVL,0)),"⚠ At or above the manager's level","OK"))))),"—")</f>
        <v>OK</v>
      </c>
      <c r="BL352" s="43" t="n"/>
      <c r="BM352" s="44">
        <f>IFERROR(INDEX(LMH_PTS,MATCH(Y352,LMH_KEY,0)),0)</f>
        <v>9</v>
      </c>
      <c r="BN352" s="38">
        <f>IFERROR(INDEX(LMH_PTS,MATCH(Z352,LMH_KEY,0)),0)</f>
        <v>3</v>
      </c>
      <c r="BO352" s="38">
        <f>IFERROR(INDEX(LMH_PTS,MATCH(AA352,LMH_KEY,0)),0)</f>
        <v>1</v>
      </c>
      <c r="BP352" s="38">
        <f>IFERROR(INDEX(LMH_PTS,MATCH(AB352,LMH_KEY,0)),0)</f>
        <v>1</v>
      </c>
      <c r="BQ352" s="38">
        <f>IFERROR(INDEX(LMH_PTS,MATCH(AC352,LMH_KEY,0)),0)</f>
        <v>1</v>
      </c>
      <c r="BR352" s="38">
        <f>IFERROR(INDEX(LMH_PTS,MATCH(AD352,LMH_KEY,0)),0)</f>
        <v>1</v>
      </c>
      <c r="BS352" s="38">
        <f>IFERROR(INDEX(LMH_PTS,MATCH(AE352,LMH_KEY,0)),0)</f>
        <v>1</v>
      </c>
      <c r="BT352" s="38">
        <f>IFERROR(INDEX(LMH_STEP,MATCH(AF352,LMH_KEY,0)),0)</f>
        <v>0</v>
      </c>
      <c r="BU352" s="38">
        <f>IFERROR(INDEX(LMH_STEP,MATCH(AG352,LMH_KEY,0)),0)</f>
        <v>0</v>
      </c>
      <c r="BV352" s="38">
        <f>IFERROR(INDEX(LMH_STEP,MATCH(AH352,LMH_KEY,0)),0)</f>
        <v>0</v>
      </c>
      <c r="BW352" s="38">
        <f>IFERROR(INDEX(LMH_STEP,MATCH(AI352,LMH_KEY,0)),0)</f>
        <v>0</v>
      </c>
      <c r="BX352" s="38">
        <f>IFERROR(INDEX(LMH_STEP,MATCH(AJ352,LMH_KEY,0)),0)</f>
        <v>0</v>
      </c>
      <c r="BY352" s="38">
        <f>IFERROR(INDEX(LMH_STEP,MATCH(AK352,LMH_KEY,0)),0)</f>
        <v>0</v>
      </c>
      <c r="BZ352" s="38">
        <f>IFERROR(INDEX(LMH_STEP,MATCH(AL352,LMH_KEY,0)),0)</f>
        <v>0</v>
      </c>
      <c r="CA352" s="38" t="inlineStr">
        <is>
          <t>iFile|Technology|Lead Software Engineer|B1|B-IC</t>
        </is>
      </c>
    </row>
    <row r="353" ht="110" customHeight="1">
      <c r="A353" s="28" t="inlineStr">
        <is>
          <t>iFile</t>
        </is>
      </c>
      <c r="B353" s="29" t="inlineStr">
        <is>
          <t>Technology</t>
        </is>
      </c>
      <c r="C353" s="29" t="n">
        <v>4</v>
      </c>
      <c r="D353" s="29" t="inlineStr">
        <is>
          <t>IRIS2492</t>
        </is>
      </c>
      <c r="E353" s="29" t="inlineStr">
        <is>
          <t>Abhishek Hegde</t>
        </is>
      </c>
      <c r="F353" s="29" t="inlineStr">
        <is>
          <t>Senior Business Analyst</t>
        </is>
      </c>
      <c r="G353" s="29" t="inlineStr">
        <is>
          <t>Business Analysis Specialist</t>
        </is>
      </c>
      <c r="H353" s="29" t="inlineStr">
        <is>
          <t>Business Analysis</t>
        </is>
      </c>
      <c r="I353" s="29" t="inlineStr">
        <is>
          <t>Business Analysis</t>
        </is>
      </c>
      <c r="J353" s="29" t="inlineStr">
        <is>
          <t>IC</t>
        </is>
      </c>
      <c r="K353" s="29" t="inlineStr">
        <is>
          <t>RC-010</t>
        </is>
      </c>
      <c r="L353" s="29" t="inlineStr">
        <is>
          <t>Jailesh Bhadra</t>
        </is>
      </c>
      <c r="M353" s="29" t="inlineStr">
        <is>
          <t>IRIS2366</t>
        </is>
      </c>
      <c r="N353" s="29" t="n">
        <v>9.199999999999999</v>
      </c>
      <c r="O353" s="29" t="n">
        <v>0.5</v>
      </c>
      <c r="P353" s="29" t="inlineStr">
        <is>
          <t>MBA</t>
        </is>
      </c>
      <c r="Q353" s="29" t="inlineStr">
        <is>
          <t>L4 – Senior</t>
        </is>
      </c>
      <c r="R353" s="29" t="inlineStr">
        <is>
          <t>B1</t>
        </is>
      </c>
      <c r="S353" s="30" t="inlineStr">
        <is>
          <t>20 of 20</t>
        </is>
      </c>
      <c r="T353" s="31"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t>
        </is>
      </c>
      <c r="U353" s="31" t="inlineStr">
        <is>
          <t>Received · manager annual, quarterly, self · 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t>
        </is>
      </c>
      <c r="V353" s="31" t="inlineStr">
        <is>
          <t>Latest rating: 3 · Potential: Medium · 9-box: Core Contributor · Readiness: Develop in role</t>
        </is>
      </c>
      <c r="W353" s="31" t="inlineStr">
        <is>
          <t>C M · Au M · Ac M · L L · BI M · Exp H · 9.2 yrs vs 4–7 yrs · Edu H · MBA</t>
        </is>
      </c>
      <c r="X353" s="33" t="inlineStr">
        <is>
          <t>Open ▸</t>
        </is>
      </c>
      <c r="Y353" s="34" t="str">
        <f>IFERROR(INDEX(DL_C,MATCH($CA353,DL_KEY,0)),"M")</f>
        <v>H</v>
      </c>
      <c r="Z353" s="35" t="str">
        <f>IFERROR(INDEX(DL_Au,MATCH($CA353,DL_KEY,0)),"M")</f>
        <v>M</v>
      </c>
      <c r="AA353" s="35" t="str">
        <f>IFERROR(INDEX(DL_Ac,MATCH($CA353,DL_KEY,0)),"M")</f>
        <v>L</v>
      </c>
      <c r="AB353" s="35" t="str">
        <f>IFERROR(INDEX(DL_L,MATCH($CA353,DL_KEY,0)),"M")</f>
        <v>L</v>
      </c>
      <c r="AC353" s="35" t="str">
        <f>IFERROR(INDEX(DL_BI,MATCH($CA353,DL_KEY,0)),"M")</f>
        <v>L</v>
      </c>
      <c r="AD353" s="35" t="str">
        <f>IFERROR(INDEX(DL_Exp,MATCH($CA353,DL_KEY,0)),"M")</f>
        <v>L</v>
      </c>
      <c r="AE353" s="35" t="str">
        <f>IFERROR(INDEX(DL_Edu,MATCH($CA353,DL_KEY,0)),"M")</f>
        <v>L</v>
      </c>
      <c r="AF353" s="34" t="inlineStr">
        <is>
          <t>M</t>
        </is>
      </c>
      <c r="AG353" s="35" t="inlineStr">
        <is>
          <t>M</t>
        </is>
      </c>
      <c r="AH353" s="35" t="inlineStr">
        <is>
          <t>M</t>
        </is>
      </c>
      <c r="AI353" s="35" t="inlineStr">
        <is>
          <t>M</t>
        </is>
      </c>
      <c r="AJ353" s="35" t="inlineStr">
        <is>
          <t>M</t>
        </is>
      </c>
      <c r="AK353" s="35" t="inlineStr">
        <is>
          <t>M</t>
        </is>
      </c>
      <c r="AL353" s="35" t="inlineStr">
        <is>
          <t>M</t>
        </is>
      </c>
      <c r="AM353" s="36" t="n">
        <v>0.513</v>
      </c>
      <c r="AN353" s="37" t="n">
        <v>0.173</v>
      </c>
      <c r="AO353" s="37" t="n">
        <v>0.09699999999999999</v>
      </c>
      <c r="AP353" s="37" t="n">
        <v>0.05</v>
      </c>
      <c r="AQ353" s="37" t="n">
        <v>0.07000000000000001</v>
      </c>
      <c r="AR353" s="37" t="n">
        <v>0.06</v>
      </c>
      <c r="AS353" s="37" t="n">
        <v>0.04</v>
      </c>
      <c r="AT353" s="38" t="inlineStr">
        <is>
          <t>4–8</t>
        </is>
      </c>
      <c r="AU353" s="38" t="inlineStr">
        <is>
          <t>Graduate + relevant qualification or certification preferred</t>
        </is>
      </c>
      <c r="AV353" s="38" t="inlineStr">
        <is>
          <t>IC: none · Team Lead: 3–5</t>
        </is>
      </c>
      <c r="AW353" s="38" t="inlineStr">
        <is>
          <t>P3 / M2 · SFIA 4 Enable</t>
        </is>
      </c>
      <c r="AX3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3" s="39" t="inlineStr">
        <is>
          <t>B1</t>
        </is>
      </c>
      <c r="AZ353" s="40" t="inlineStr">
        <is>
          <t>Band B · Specialist / Manager · Specialist</t>
        </is>
      </c>
      <c r="BA353" s="40" t="inlineStr">
        <is>
          <t>Model B1 from the six ratings, the market-derived weights and rules R1–R13 · then No change · already below the manager</t>
        </is>
      </c>
      <c r="BB353" s="41" t="inlineStr">
        <is>
          <t>B1</t>
        </is>
      </c>
      <c r="BC353" s="40" t="inlineStr">
        <is>
          <t>The six ratings on the market-average weights of Band B · Specialist / POD Lead score 3.71 → B1 · Hay, Mercer IPE and public plans · experience 9.2 yrs vs the B1 market range 4–8</t>
        </is>
      </c>
      <c r="BD353" s="42">
        <f>IF(SUM(BM353,BN353,BO353,BP353,BQ353,BR353,BS353)=0,0,(BM353*BT353+BN353*BU353+BO353*BV353+BP353*BW353+BQ353*BX353+BR353*BY353+BS353*BZ353)/SUM(BM353,BN353,BO353,BP353,BQ353,BR353,BS353))</f>
        <v>0</v>
      </c>
      <c r="BE353" s="41" t="str">
        <f>IF(LEFT(AY353,1)="X",AY353,IF(OR(AY353="B+",AY353="C+"),INDEX(LAD_PC,MAX(1,MIN(14,MATCH(AY353,LAD_PC,0)+IF(BD353&gt;=0.5,1,IF(BD353&lt;=-0.5,-1,0))))),INDEX(LAD_STD,MAX(1,MIN(12,MATCH(AY353,LAD_STD,0)+IF(BD353&gt;=0.5,1,IF(BD353&lt;=-0.5,-1,0)))))))</f>
        <v>B1</v>
      </c>
      <c r="BF353" s="43" t="n"/>
      <c r="BG353" s="41" t="str">
        <f>IF(BF353&lt;&gt;"",BF353,BE353)</f>
        <v>B1</v>
      </c>
      <c r="BH353" s="40" t="str">
        <f>IFERROR(CHOOSE(INDEX(B_RANK,MATCH(BG353,B_LVL,0)),"Band A","Band B","B+ · Player-Coach","Band C","C+ · Player-Coach","Band D","Band E"),"Band X · Consultant")</f>
        <v>Band B</v>
      </c>
      <c r="BI353" s="40" t="str">
        <f>IF(BG353=AY353,"• Same",IF(INDEX(B_VAL,MATCH(BG353,B_LVL,0))&gt;INDEX(B_VAL,MATCH(AY353,B_LVL,0)),"▲ Up","▼ Down"))</f>
        <v>• Same</v>
      </c>
      <c r="BJ353" s="40" t="str">
        <f>IF(OR($M353="",$M353="—",$M353="Not in this file"),"",IFERROR(INDEX($BG$7:$BG$592,MATCH($M353,$D$7:$D$592,0)),""))</f>
        <v>B2</v>
      </c>
      <c r="BK353" s="40" t="str">
        <f>IFERROR(IF(BJ353="","—",IF(OR(LEFT(BG353,1)="X",LEFT(BJ353,1)="X"),"—",IF(AND(LEFT(BG353,1)="E",LEFT(BJ353,1)="E"),"Exception · Band E",IF(AND(INDEX(B_VAL,MATCH(BJ353,B_LVL,0))&gt;=7,INDEX(B_RANK,MATCH(BG353,B_LVL,0))&gt;=INDEX(B_RANK,MATCH(BJ353,B_LVL,0))),"⚠ Same band as a head manager",IF(INDEX(B_VAL,MATCH(BG353,B_LVL,0))&gt;=INDEX(B_VAL,MATCH(BJ353,B_LVL,0)),"⚠ At or above the manager's level","OK"))))),"—")</f>
        <v>OK</v>
      </c>
      <c r="BL353" s="43" t="n"/>
      <c r="BM353" s="44">
        <f>IFERROR(INDEX(LMH_PTS,MATCH(Y353,LMH_KEY,0)),0)</f>
        <v>9</v>
      </c>
      <c r="BN353" s="38">
        <f>IFERROR(INDEX(LMH_PTS,MATCH(Z353,LMH_KEY,0)),0)</f>
        <v>3</v>
      </c>
      <c r="BO353" s="38">
        <f>IFERROR(INDEX(LMH_PTS,MATCH(AA353,LMH_KEY,0)),0)</f>
        <v>1</v>
      </c>
      <c r="BP353" s="38">
        <f>IFERROR(INDEX(LMH_PTS,MATCH(AB353,LMH_KEY,0)),0)</f>
        <v>1</v>
      </c>
      <c r="BQ353" s="38">
        <f>IFERROR(INDEX(LMH_PTS,MATCH(AC353,LMH_KEY,0)),0)</f>
        <v>1</v>
      </c>
      <c r="BR353" s="38">
        <f>IFERROR(INDEX(LMH_PTS,MATCH(AD353,LMH_KEY,0)),0)</f>
        <v>1</v>
      </c>
      <c r="BS353" s="38">
        <f>IFERROR(INDEX(LMH_PTS,MATCH(AE353,LMH_KEY,0)),0)</f>
        <v>1</v>
      </c>
      <c r="BT353" s="38">
        <f>IFERROR(INDEX(LMH_STEP,MATCH(AF353,LMH_KEY,0)),0)</f>
        <v>0</v>
      </c>
      <c r="BU353" s="38">
        <f>IFERROR(INDEX(LMH_STEP,MATCH(AG353,LMH_KEY,0)),0)</f>
        <v>0</v>
      </c>
      <c r="BV353" s="38">
        <f>IFERROR(INDEX(LMH_STEP,MATCH(AH353,LMH_KEY,0)),0)</f>
        <v>0</v>
      </c>
      <c r="BW353" s="38">
        <f>IFERROR(INDEX(LMH_STEP,MATCH(AI353,LMH_KEY,0)),0)</f>
        <v>0</v>
      </c>
      <c r="BX353" s="38">
        <f>IFERROR(INDEX(LMH_STEP,MATCH(AJ353,LMH_KEY,0)),0)</f>
        <v>0</v>
      </c>
      <c r="BY353" s="38">
        <f>IFERROR(INDEX(LMH_STEP,MATCH(AK353,LMH_KEY,0)),0)</f>
        <v>0</v>
      </c>
      <c r="BZ353" s="38">
        <f>IFERROR(INDEX(LMH_STEP,MATCH(AL353,LMH_KEY,0)),0)</f>
        <v>0</v>
      </c>
      <c r="CA353" s="38" t="inlineStr">
        <is>
          <t>iFile|Technology|Business Analysis Specialist|B1|B-IC</t>
        </is>
      </c>
    </row>
    <row r="354" ht="110" customHeight="1">
      <c r="A354" s="28" t="inlineStr">
        <is>
          <t>iFile</t>
        </is>
      </c>
      <c r="B354" s="29" t="inlineStr">
        <is>
          <t>Technology</t>
        </is>
      </c>
      <c r="C354" s="29" t="n">
        <v>4</v>
      </c>
      <c r="D354" s="29" t="inlineStr">
        <is>
          <t>IRIS2289</t>
        </is>
      </c>
      <c r="E354" s="29" t="inlineStr">
        <is>
          <t>Shruti Patil</t>
        </is>
      </c>
      <c r="F354" s="29" t="inlineStr">
        <is>
          <t>Business Analyst</t>
        </is>
      </c>
      <c r="G354" s="29" t="inlineStr">
        <is>
          <t>Team Lead – Business Analysis</t>
        </is>
      </c>
      <c r="H354" s="29" t="inlineStr">
        <is>
          <t>Business Analysis</t>
        </is>
      </c>
      <c r="I354" s="29" t="inlineStr">
        <is>
          <t>Business Analysis</t>
        </is>
      </c>
      <c r="J354" s="29" t="inlineStr">
        <is>
          <t>People Manager</t>
        </is>
      </c>
      <c r="K354" s="29" t="inlineStr">
        <is>
          <t>RC-011</t>
        </is>
      </c>
      <c r="L354" s="29" t="inlineStr">
        <is>
          <t>Jailesh Bhadra</t>
        </is>
      </c>
      <c r="M354" s="29" t="inlineStr">
        <is>
          <t>IRIS2366</t>
        </is>
      </c>
      <c r="N354" s="29" t="n">
        <v>4.4</v>
      </c>
      <c r="O354" s="29" t="n">
        <v>2.2</v>
      </c>
      <c r="P354" s="29" t="inlineStr">
        <is>
          <t>M.E</t>
        </is>
      </c>
      <c r="Q354" s="29" t="inlineStr">
        <is>
          <t>L3 – Professional / Associate</t>
        </is>
      </c>
      <c r="R354" s="29" t="inlineStr">
        <is>
          <t>B1</t>
        </is>
      </c>
      <c r="S354" s="30" t="inlineStr">
        <is>
          <t>20 of 20</t>
        </is>
      </c>
      <c r="T354" s="31"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t>
        </is>
      </c>
      <c r="U354" s="31" t="inlineStr">
        <is>
          <t>Received · manager annual, quarterly, self · 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t>
        </is>
      </c>
      <c r="V354" s="31" t="inlineStr">
        <is>
          <t>Latest rating: 4 · Potential: High · 9-box: Future Leader · Readiness: Ready now</t>
        </is>
      </c>
      <c r="W354" s="31" t="inlineStr">
        <is>
          <t>C L · Au M · Ac M · L M · BI M · Exp M · 4.4 yrs vs 4–7 yrs · Edu H · M.E</t>
        </is>
      </c>
      <c r="X354" s="33" t="inlineStr">
        <is>
          <t>Open ▸</t>
        </is>
      </c>
      <c r="Y354" s="34" t="str">
        <f>IFERROR(INDEX(DL_C,MATCH($CA354,DL_KEY,0)),"M")</f>
        <v>H</v>
      </c>
      <c r="Z354" s="35" t="str">
        <f>IFERROR(INDEX(DL_Au,MATCH($CA354,DL_KEY,0)),"M")</f>
        <v>M</v>
      </c>
      <c r="AA354" s="35" t="str">
        <f>IFERROR(INDEX(DL_Ac,MATCH($CA354,DL_KEY,0)),"M")</f>
        <v>L</v>
      </c>
      <c r="AB354" s="35" t="str">
        <f>IFERROR(INDEX(DL_L,MATCH($CA354,DL_KEY,0)),"M")</f>
        <v>M</v>
      </c>
      <c r="AC354" s="35" t="str">
        <f>IFERROR(INDEX(DL_BI,MATCH($CA354,DL_KEY,0)),"M")</f>
        <v>L</v>
      </c>
      <c r="AD354" s="35" t="str">
        <f>IFERROR(INDEX(DL_Exp,MATCH($CA354,DL_KEY,0)),"M")</f>
        <v>L</v>
      </c>
      <c r="AE354" s="35" t="str">
        <f>IFERROR(INDEX(DL_Edu,MATCH($CA354,DL_KEY,0)),"M")</f>
        <v>L</v>
      </c>
      <c r="AF354" s="34" t="inlineStr">
        <is>
          <t>M</t>
        </is>
      </c>
      <c r="AG354" s="35" t="inlineStr">
        <is>
          <t>M</t>
        </is>
      </c>
      <c r="AH354" s="35" t="inlineStr">
        <is>
          <t>M</t>
        </is>
      </c>
      <c r="AI354" s="35" t="inlineStr">
        <is>
          <t>M</t>
        </is>
      </c>
      <c r="AJ354" s="35" t="inlineStr">
        <is>
          <t>M</t>
        </is>
      </c>
      <c r="AK354" s="35" t="inlineStr">
        <is>
          <t>M</t>
        </is>
      </c>
      <c r="AL354" s="35" t="inlineStr">
        <is>
          <t>M</t>
        </is>
      </c>
      <c r="AM354" s="36" t="n">
        <v>0.37</v>
      </c>
      <c r="AN354" s="37" t="n">
        <v>0.183</v>
      </c>
      <c r="AO354" s="37" t="n">
        <v>0.113</v>
      </c>
      <c r="AP354" s="37" t="n">
        <v>0.15</v>
      </c>
      <c r="AQ354" s="37" t="n">
        <v>0.08699999999999999</v>
      </c>
      <c r="AR354" s="37" t="n">
        <v>0.06</v>
      </c>
      <c r="AS354" s="37" t="n">
        <v>0.04</v>
      </c>
      <c r="AT354" s="38" t="inlineStr">
        <is>
          <t>4–8</t>
        </is>
      </c>
      <c r="AU354" s="38" t="inlineStr">
        <is>
          <t>Graduate + relevant qualification or certification preferred</t>
        </is>
      </c>
      <c r="AV354" s="38" t="inlineStr">
        <is>
          <t>IC: none · Team Lead: 3–5</t>
        </is>
      </c>
      <c r="AW354" s="38" t="inlineStr">
        <is>
          <t>P3 / M2 · SFIA 4 Enable</t>
        </is>
      </c>
      <c r="AX3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4" s="39" t="inlineStr">
        <is>
          <t>B1</t>
        </is>
      </c>
      <c r="AZ354" s="40" t="inlineStr">
        <is>
          <t>Band B · Specialist / Manager · Team Lead / Asst Manager</t>
        </is>
      </c>
      <c r="BA354" s="40" t="inlineStr">
        <is>
          <t>Model B1 from the six ratings, the market-derived weights and rules R1–R13 · then No change · already below the manager</t>
        </is>
      </c>
      <c r="BB354" s="41" t="inlineStr">
        <is>
          <t>B1</t>
        </is>
      </c>
      <c r="BC354" s="40" t="inlineStr">
        <is>
          <t>The six ratings on the market-average weights of Band B · People Manager score 3.58 → B1 · Hay, Mercer IPE and public plans · experience 4.4 yrs vs the B1 market range 4–8</t>
        </is>
      </c>
      <c r="BD354" s="42">
        <f>IF(SUM(BM354,BN354,BO354,BP354,BQ354,BR354,BS354)=0,0,(BM354*BT354+BN354*BU354+BO354*BV354+BP354*BW354+BQ354*BX354+BR354*BY354+BS354*BZ354)/SUM(BM354,BN354,BO354,BP354,BQ354,BR354,BS354))</f>
        <v>0</v>
      </c>
      <c r="BE354" s="41" t="str">
        <f>IF(LEFT(AY354,1)="X",AY354,IF(OR(AY354="B+",AY354="C+"),INDEX(LAD_PC,MAX(1,MIN(14,MATCH(AY354,LAD_PC,0)+IF(BD354&gt;=0.5,1,IF(BD354&lt;=-0.5,-1,0))))),INDEX(LAD_STD,MAX(1,MIN(12,MATCH(AY354,LAD_STD,0)+IF(BD354&gt;=0.5,1,IF(BD354&lt;=-0.5,-1,0)))))))</f>
        <v>B1</v>
      </c>
      <c r="BF354" s="43" t="n"/>
      <c r="BG354" s="41" t="str">
        <f>IF(BF354&lt;&gt;"",BF354,BE354)</f>
        <v>B1</v>
      </c>
      <c r="BH354" s="40" t="str">
        <f>IFERROR(CHOOSE(INDEX(B_RANK,MATCH(BG354,B_LVL,0)),"Band A","Band B","B+ · Player-Coach","Band C","C+ · Player-Coach","Band D","Band E"),"Band X · Consultant")</f>
        <v>Band B</v>
      </c>
      <c r="BI354" s="40" t="str">
        <f>IF(BG354=AY354,"• Same",IF(INDEX(B_VAL,MATCH(BG354,B_LVL,0))&gt;INDEX(B_VAL,MATCH(AY354,B_LVL,0)),"▲ Up","▼ Down"))</f>
        <v>• Same</v>
      </c>
      <c r="BJ354" s="40" t="str">
        <f>IF(OR($M354="",$M354="—",$M354="Not in this file"),"",IFERROR(INDEX($BG$7:$BG$592,MATCH($M354,$D$7:$D$592,0)),""))</f>
        <v>B2</v>
      </c>
      <c r="BK354" s="40" t="str">
        <f>IFERROR(IF(BJ354="","—",IF(OR(LEFT(BG354,1)="X",LEFT(BJ354,1)="X"),"—",IF(AND(LEFT(BG354,1)="E",LEFT(BJ354,1)="E"),"Exception · Band E",IF(AND(INDEX(B_VAL,MATCH(BJ354,B_LVL,0))&gt;=7,INDEX(B_RANK,MATCH(BG354,B_LVL,0))&gt;=INDEX(B_RANK,MATCH(BJ354,B_LVL,0))),"⚠ Same band as a head manager",IF(INDEX(B_VAL,MATCH(BG354,B_LVL,0))&gt;=INDEX(B_VAL,MATCH(BJ354,B_LVL,0)),"⚠ At or above the manager's level","OK"))))),"—")</f>
        <v>OK</v>
      </c>
      <c r="BL354" s="43" t="n"/>
      <c r="BM354" s="44">
        <f>IFERROR(INDEX(LMH_PTS,MATCH(Y354,LMH_KEY,0)),0)</f>
        <v>9</v>
      </c>
      <c r="BN354" s="38">
        <f>IFERROR(INDEX(LMH_PTS,MATCH(Z354,LMH_KEY,0)),0)</f>
        <v>3</v>
      </c>
      <c r="BO354" s="38">
        <f>IFERROR(INDEX(LMH_PTS,MATCH(AA354,LMH_KEY,0)),0)</f>
        <v>1</v>
      </c>
      <c r="BP354" s="38">
        <f>IFERROR(INDEX(LMH_PTS,MATCH(AB354,LMH_KEY,0)),0)</f>
        <v>3</v>
      </c>
      <c r="BQ354" s="38">
        <f>IFERROR(INDEX(LMH_PTS,MATCH(AC354,LMH_KEY,0)),0)</f>
        <v>1</v>
      </c>
      <c r="BR354" s="38">
        <f>IFERROR(INDEX(LMH_PTS,MATCH(AD354,LMH_KEY,0)),0)</f>
        <v>1</v>
      </c>
      <c r="BS354" s="38">
        <f>IFERROR(INDEX(LMH_PTS,MATCH(AE354,LMH_KEY,0)),0)</f>
        <v>1</v>
      </c>
      <c r="BT354" s="38">
        <f>IFERROR(INDEX(LMH_STEP,MATCH(AF354,LMH_KEY,0)),0)</f>
        <v>0</v>
      </c>
      <c r="BU354" s="38">
        <f>IFERROR(INDEX(LMH_STEP,MATCH(AG354,LMH_KEY,0)),0)</f>
        <v>0</v>
      </c>
      <c r="BV354" s="38">
        <f>IFERROR(INDEX(LMH_STEP,MATCH(AH354,LMH_KEY,0)),0)</f>
        <v>0</v>
      </c>
      <c r="BW354" s="38">
        <f>IFERROR(INDEX(LMH_STEP,MATCH(AI354,LMH_KEY,0)),0)</f>
        <v>0</v>
      </c>
      <c r="BX354" s="38">
        <f>IFERROR(INDEX(LMH_STEP,MATCH(AJ354,LMH_KEY,0)),0)</f>
        <v>0</v>
      </c>
      <c r="BY354" s="38">
        <f>IFERROR(INDEX(LMH_STEP,MATCH(AK354,LMH_KEY,0)),0)</f>
        <v>0</v>
      </c>
      <c r="BZ354" s="38">
        <f>IFERROR(INDEX(LMH_STEP,MATCH(AL354,LMH_KEY,0)),0)</f>
        <v>0</v>
      </c>
      <c r="CA354" s="38" t="inlineStr">
        <is>
          <t>iFile|Technology|Team Lead – Business Analysis|B1|B-M</t>
        </is>
      </c>
    </row>
    <row r="355" ht="110" customHeight="1">
      <c r="A355" s="28" t="inlineStr">
        <is>
          <t>iFile</t>
        </is>
      </c>
      <c r="B355" s="29" t="inlineStr">
        <is>
          <t>Support</t>
        </is>
      </c>
      <c r="C355" s="29" t="n">
        <v>5</v>
      </c>
      <c r="D355" s="29" t="inlineStr">
        <is>
          <t>IRIS2202</t>
        </is>
      </c>
      <c r="E355" s="29" t="inlineStr">
        <is>
          <t>Shreya Shinde</t>
        </is>
      </c>
      <c r="F355" s="29" t="inlineStr">
        <is>
          <t>Client Solutions Executive</t>
        </is>
      </c>
      <c r="G355" s="29" t="inlineStr">
        <is>
          <t>Senior Support Executive</t>
        </is>
      </c>
      <c r="H355" s="29" t="inlineStr">
        <is>
          <t>Customer Success &amp; Support</t>
        </is>
      </c>
      <c r="I355" s="29" t="inlineStr">
        <is>
          <t>Application &amp; Product Support</t>
        </is>
      </c>
      <c r="J355" s="29" t="inlineStr">
        <is>
          <t>IC</t>
        </is>
      </c>
      <c r="K355" s="29" t="inlineStr">
        <is>
          <t>RC-031</t>
        </is>
      </c>
      <c r="L355" s="29" t="inlineStr">
        <is>
          <t>Shruti Patil</t>
        </is>
      </c>
      <c r="M355" s="29" t="inlineStr">
        <is>
          <t>IRIS2289</t>
        </is>
      </c>
      <c r="N355" s="29" t="n">
        <v>12.8</v>
      </c>
      <c r="O355" s="29" t="n">
        <v>2.9</v>
      </c>
      <c r="P355" s="29" t="inlineStr">
        <is>
          <t>B.Com</t>
        </is>
      </c>
      <c r="Q355" s="29" t="inlineStr">
        <is>
          <t>L3 – Professional / Associate</t>
        </is>
      </c>
      <c r="R355" s="29" t="inlineStr">
        <is>
          <t>A3</t>
        </is>
      </c>
      <c r="S355" s="30" t="inlineStr">
        <is>
          <t>20 of 20</t>
        </is>
      </c>
      <c r="T355" s="31"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
        </is>
      </c>
      <c r="U355"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55" s="31" t="inlineStr">
        <is>
          <t>Latest rating: 3 · Potential: Medium · 9-box: Core Contributor · Readiness: Develop in role</t>
        </is>
      </c>
      <c r="W355" s="31" t="inlineStr">
        <is>
          <t>C L · Au L · Ac L · L L · BI L · Exp H · 12.8 yrs vs 2–4 yrs · Edu M · B.Com</t>
        </is>
      </c>
      <c r="X355" s="33" t="inlineStr">
        <is>
          <t>Open ▸</t>
        </is>
      </c>
      <c r="Y355" s="34" t="str">
        <f>IFERROR(INDEX(DL_C,MATCH($CA355,DL_KEY,0)),"M")</f>
        <v>H</v>
      </c>
      <c r="Z355" s="35" t="str">
        <f>IFERROR(INDEX(DL_Au,MATCH($CA355,DL_KEY,0)),"M")</f>
        <v>M</v>
      </c>
      <c r="AA355" s="35" t="str">
        <f>IFERROR(INDEX(DL_Ac,MATCH($CA355,DL_KEY,0)),"M")</f>
        <v>M</v>
      </c>
      <c r="AB355" s="35" t="str">
        <f>IFERROR(INDEX(DL_L,MATCH($CA355,DL_KEY,0)),"M")</f>
        <v>L</v>
      </c>
      <c r="AC355" s="35" t="str">
        <f>IFERROR(INDEX(DL_BI,MATCH($CA355,DL_KEY,0)),"M")</f>
        <v>M</v>
      </c>
      <c r="AD355" s="35" t="str">
        <f>IFERROR(INDEX(DL_Exp,MATCH($CA355,DL_KEY,0)),"M")</f>
        <v>L</v>
      </c>
      <c r="AE355" s="35" t="str">
        <f>IFERROR(INDEX(DL_Edu,MATCH($CA355,DL_KEY,0)),"M")</f>
        <v>L</v>
      </c>
      <c r="AF355" s="34" t="inlineStr">
        <is>
          <t>M</t>
        </is>
      </c>
      <c r="AG355" s="35" t="inlineStr">
        <is>
          <t>M</t>
        </is>
      </c>
      <c r="AH355" s="35" t="inlineStr">
        <is>
          <t>M</t>
        </is>
      </c>
      <c r="AI355" s="35" t="inlineStr">
        <is>
          <t>M</t>
        </is>
      </c>
      <c r="AJ355" s="35" t="inlineStr">
        <is>
          <t>M</t>
        </is>
      </c>
      <c r="AK355" s="35" t="inlineStr">
        <is>
          <t>M</t>
        </is>
      </c>
      <c r="AL355" s="35" t="inlineStr">
        <is>
          <t>M</t>
        </is>
      </c>
      <c r="AM355" s="36" t="n">
        <v>0.583</v>
      </c>
      <c r="AN355" s="37" t="n">
        <v>0.16</v>
      </c>
      <c r="AO355" s="37" t="n">
        <v>0.09</v>
      </c>
      <c r="AP355" s="37" t="n">
        <v>0</v>
      </c>
      <c r="AQ355" s="37" t="n">
        <v>0.063</v>
      </c>
      <c r="AR355" s="37" t="n">
        <v>0.06</v>
      </c>
      <c r="AS355" s="37" t="n">
        <v>0.04</v>
      </c>
      <c r="AT355" s="38" t="inlineStr">
        <is>
          <t>2–5</t>
        </is>
      </c>
      <c r="AU355" s="38" t="inlineStr">
        <is>
          <t>Graduate; relevant certification preferred</t>
        </is>
      </c>
      <c r="AV355" s="38" t="inlineStr">
        <is>
          <t>None · guides 1–3 juniors informally</t>
        </is>
      </c>
      <c r="AW355" s="38" t="inlineStr">
        <is>
          <t>P2 · SFIA 3 Apply</t>
        </is>
      </c>
      <c r="AX3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5" s="39" t="inlineStr">
        <is>
          <t>A3</t>
        </is>
      </c>
      <c r="AZ355" s="40" t="inlineStr">
        <is>
          <t>Band A · Practitioner · Senior Associate</t>
        </is>
      </c>
      <c r="BA355" s="40" t="inlineStr">
        <is>
          <t>Model A3 from the six ratings, the market-derived weights and rules R1–R13 · then No change · already below the manager</t>
        </is>
      </c>
      <c r="BB355" s="41" t="inlineStr">
        <is>
          <t>A3</t>
        </is>
      </c>
      <c r="BC355" s="40" t="inlineStr">
        <is>
          <t>The six ratings on the market-average weights of Band A · all tracks score 2.55 → A3 · Hay, Mercer IPE and public plans · experience 12.8 yrs vs the A3 market range 2–5</t>
        </is>
      </c>
      <c r="BD355" s="42">
        <f>IF(SUM(BM355,BN355,BO355,BP355,BQ355,BR355,BS355)=0,0,(BM355*BT355+BN355*BU355+BO355*BV355+BP355*BW355+BQ355*BX355+BR355*BY355+BS355*BZ355)/SUM(BM355,BN355,BO355,BP355,BQ355,BR355,BS355))</f>
        <v>0</v>
      </c>
      <c r="BE355" s="41" t="str">
        <f>IF(LEFT(AY355,1)="X",AY355,IF(OR(AY355="B+",AY355="C+"),INDEX(LAD_PC,MAX(1,MIN(14,MATCH(AY355,LAD_PC,0)+IF(BD355&gt;=0.5,1,IF(BD355&lt;=-0.5,-1,0))))),INDEX(LAD_STD,MAX(1,MIN(12,MATCH(AY355,LAD_STD,0)+IF(BD355&gt;=0.5,1,IF(BD355&lt;=-0.5,-1,0)))))))</f>
        <v>A3</v>
      </c>
      <c r="BF355" s="43" t="n"/>
      <c r="BG355" s="41" t="str">
        <f>IF(BF355&lt;&gt;"",BF355,BE355)</f>
        <v>A3</v>
      </c>
      <c r="BH355" s="40" t="str">
        <f>IFERROR(CHOOSE(INDEX(B_RANK,MATCH(BG355,B_LVL,0)),"Band A","Band B","B+ · Player-Coach","Band C","C+ · Player-Coach","Band D","Band E"),"Band X · Consultant")</f>
        <v>Band A</v>
      </c>
      <c r="BI355" s="40" t="str">
        <f>IF(BG355=AY355,"• Same",IF(INDEX(B_VAL,MATCH(BG355,B_LVL,0))&gt;INDEX(B_VAL,MATCH(AY355,B_LVL,0)),"▲ Up","▼ Down"))</f>
        <v>• Same</v>
      </c>
      <c r="BJ355" s="40" t="str">
        <f>IF(OR($M355="",$M355="—",$M355="Not in this file"),"",IFERROR(INDEX($BG$7:$BG$592,MATCH($M355,$D$7:$D$592,0)),""))</f>
        <v>B1</v>
      </c>
      <c r="BK355" s="40" t="str">
        <f>IFERROR(IF(BJ355="","—",IF(OR(LEFT(BG355,1)="X",LEFT(BJ355,1)="X"),"—",IF(AND(LEFT(BG355,1)="E",LEFT(BJ355,1)="E"),"Exception · Band E",IF(AND(INDEX(B_VAL,MATCH(BJ355,B_LVL,0))&gt;=7,INDEX(B_RANK,MATCH(BG355,B_LVL,0))&gt;=INDEX(B_RANK,MATCH(BJ355,B_LVL,0))),"⚠ Same band as a head manager",IF(INDEX(B_VAL,MATCH(BG355,B_LVL,0))&gt;=INDEX(B_VAL,MATCH(BJ355,B_LVL,0)),"⚠ At or above the manager's level","OK"))))),"—")</f>
        <v>OK</v>
      </c>
      <c r="BL355" s="43" t="n"/>
      <c r="BM355" s="44">
        <f>IFERROR(INDEX(LMH_PTS,MATCH(Y355,LMH_KEY,0)),0)</f>
        <v>9</v>
      </c>
      <c r="BN355" s="38">
        <f>IFERROR(INDEX(LMH_PTS,MATCH(Z355,LMH_KEY,0)),0)</f>
        <v>3</v>
      </c>
      <c r="BO355" s="38">
        <f>IFERROR(INDEX(LMH_PTS,MATCH(AA355,LMH_KEY,0)),0)</f>
        <v>3</v>
      </c>
      <c r="BP355" s="38">
        <f>IFERROR(INDEX(LMH_PTS,MATCH(AB355,LMH_KEY,0)),0)</f>
        <v>1</v>
      </c>
      <c r="BQ355" s="38">
        <f>IFERROR(INDEX(LMH_PTS,MATCH(AC355,LMH_KEY,0)),0)</f>
        <v>3</v>
      </c>
      <c r="BR355" s="38">
        <f>IFERROR(INDEX(LMH_PTS,MATCH(AD355,LMH_KEY,0)),0)</f>
        <v>1</v>
      </c>
      <c r="BS355" s="38">
        <f>IFERROR(INDEX(LMH_PTS,MATCH(AE355,LMH_KEY,0)),0)</f>
        <v>1</v>
      </c>
      <c r="BT355" s="38">
        <f>IFERROR(INDEX(LMH_STEP,MATCH(AF355,LMH_KEY,0)),0)</f>
        <v>0</v>
      </c>
      <c r="BU355" s="38">
        <f>IFERROR(INDEX(LMH_STEP,MATCH(AG355,LMH_KEY,0)),0)</f>
        <v>0</v>
      </c>
      <c r="BV355" s="38">
        <f>IFERROR(INDEX(LMH_STEP,MATCH(AH355,LMH_KEY,0)),0)</f>
        <v>0</v>
      </c>
      <c r="BW355" s="38">
        <f>IFERROR(INDEX(LMH_STEP,MATCH(AI355,LMH_KEY,0)),0)</f>
        <v>0</v>
      </c>
      <c r="BX355" s="38">
        <f>IFERROR(INDEX(LMH_STEP,MATCH(AJ355,LMH_KEY,0)),0)</f>
        <v>0</v>
      </c>
      <c r="BY355" s="38">
        <f>IFERROR(INDEX(LMH_STEP,MATCH(AK355,LMH_KEY,0)),0)</f>
        <v>0</v>
      </c>
      <c r="BZ355" s="38">
        <f>IFERROR(INDEX(LMH_STEP,MATCH(AL355,LMH_KEY,0)),0)</f>
        <v>0</v>
      </c>
      <c r="CA355" s="38" t="inlineStr">
        <is>
          <t>iFile|Support|Senior Support Executive|A3|A</t>
        </is>
      </c>
    </row>
    <row r="356" ht="110" customHeight="1">
      <c r="A356" s="28" t="inlineStr">
        <is>
          <t>iFile</t>
        </is>
      </c>
      <c r="B356" s="29" t="inlineStr">
        <is>
          <t>Support</t>
        </is>
      </c>
      <c r="C356" s="29" t="n">
        <v>5</v>
      </c>
      <c r="D356" s="29" t="inlineStr">
        <is>
          <t>IRIS1907</t>
        </is>
      </c>
      <c r="E356" s="29" t="inlineStr">
        <is>
          <t>Varsha Kambale</t>
        </is>
      </c>
      <c r="F356" s="29" t="inlineStr">
        <is>
          <t>Client Solutions Executive</t>
        </is>
      </c>
      <c r="G356" s="29" t="inlineStr">
        <is>
          <t>Senior Support Executive</t>
        </is>
      </c>
      <c r="H356" s="29" t="inlineStr">
        <is>
          <t>Customer Success &amp; Support</t>
        </is>
      </c>
      <c r="I356" s="29" t="inlineStr">
        <is>
          <t>Application &amp; Product Support</t>
        </is>
      </c>
      <c r="J356" s="29" t="inlineStr">
        <is>
          <t>IC</t>
        </is>
      </c>
      <c r="K356" s="29" t="inlineStr">
        <is>
          <t>RC-031</t>
        </is>
      </c>
      <c r="L356" s="29" t="inlineStr">
        <is>
          <t>Shruti Patil</t>
        </is>
      </c>
      <c r="M356" s="29" t="inlineStr">
        <is>
          <t>IRIS2289</t>
        </is>
      </c>
      <c r="N356" s="29" t="n">
        <v>10.4</v>
      </c>
      <c r="O356" s="29" t="n">
        <v>5.4</v>
      </c>
      <c r="P356" s="29" t="inlineStr">
        <is>
          <t>B.E</t>
        </is>
      </c>
      <c r="Q356" s="29" t="inlineStr">
        <is>
          <t>L3 – Professional / Associate</t>
        </is>
      </c>
      <c r="R356" s="29" t="inlineStr">
        <is>
          <t>A3</t>
        </is>
      </c>
      <c r="S356" s="30" t="inlineStr">
        <is>
          <t>20 of 20</t>
        </is>
      </c>
      <c r="T356" s="31"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t>
        </is>
      </c>
      <c r="U356"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56" s="31" t="inlineStr">
        <is>
          <t>Latest rating: 3 · Potential: Medium · 9-box: Reliable Specialist · Readiness: Develop in role</t>
        </is>
      </c>
      <c r="W356" s="31" t="inlineStr">
        <is>
          <t>C M · Au L · Ac M · L L · BI M · Exp H · 10.4 yrs vs 2–4 yrs · Edu M · B.E</t>
        </is>
      </c>
      <c r="X356" s="33" t="inlineStr">
        <is>
          <t>Open ▸</t>
        </is>
      </c>
      <c r="Y356" s="34" t="str">
        <f>IFERROR(INDEX(DL_C,MATCH($CA356,DL_KEY,0)),"M")</f>
        <v>H</v>
      </c>
      <c r="Z356" s="35" t="str">
        <f>IFERROR(INDEX(DL_Au,MATCH($CA356,DL_KEY,0)),"M")</f>
        <v>M</v>
      </c>
      <c r="AA356" s="35" t="str">
        <f>IFERROR(INDEX(DL_Ac,MATCH($CA356,DL_KEY,0)),"M")</f>
        <v>M</v>
      </c>
      <c r="AB356" s="35" t="str">
        <f>IFERROR(INDEX(DL_L,MATCH($CA356,DL_KEY,0)),"M")</f>
        <v>L</v>
      </c>
      <c r="AC356" s="35" t="str">
        <f>IFERROR(INDEX(DL_BI,MATCH($CA356,DL_KEY,0)),"M")</f>
        <v>M</v>
      </c>
      <c r="AD356" s="35" t="str">
        <f>IFERROR(INDEX(DL_Exp,MATCH($CA356,DL_KEY,0)),"M")</f>
        <v>L</v>
      </c>
      <c r="AE356" s="35" t="str">
        <f>IFERROR(INDEX(DL_Edu,MATCH($CA356,DL_KEY,0)),"M")</f>
        <v>L</v>
      </c>
      <c r="AF356" s="34" t="inlineStr">
        <is>
          <t>M</t>
        </is>
      </c>
      <c r="AG356" s="35" t="inlineStr">
        <is>
          <t>M</t>
        </is>
      </c>
      <c r="AH356" s="35" t="inlineStr">
        <is>
          <t>M</t>
        </is>
      </c>
      <c r="AI356" s="35" t="inlineStr">
        <is>
          <t>M</t>
        </is>
      </c>
      <c r="AJ356" s="35" t="inlineStr">
        <is>
          <t>M</t>
        </is>
      </c>
      <c r="AK356" s="35" t="inlineStr">
        <is>
          <t>M</t>
        </is>
      </c>
      <c r="AL356" s="35" t="inlineStr">
        <is>
          <t>M</t>
        </is>
      </c>
      <c r="AM356" s="36" t="n">
        <v>0.583</v>
      </c>
      <c r="AN356" s="37" t="n">
        <v>0.16</v>
      </c>
      <c r="AO356" s="37" t="n">
        <v>0.09</v>
      </c>
      <c r="AP356" s="37" t="n">
        <v>0</v>
      </c>
      <c r="AQ356" s="37" t="n">
        <v>0.063</v>
      </c>
      <c r="AR356" s="37" t="n">
        <v>0.06</v>
      </c>
      <c r="AS356" s="37" t="n">
        <v>0.04</v>
      </c>
      <c r="AT356" s="38" t="inlineStr">
        <is>
          <t>2–5</t>
        </is>
      </c>
      <c r="AU356" s="38" t="inlineStr">
        <is>
          <t>Graduate; relevant certification preferred</t>
        </is>
      </c>
      <c r="AV356" s="38" t="inlineStr">
        <is>
          <t>None · guides 1–3 juniors informally</t>
        </is>
      </c>
      <c r="AW356" s="38" t="inlineStr">
        <is>
          <t>P2 · SFIA 3 Apply</t>
        </is>
      </c>
      <c r="AX3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6" s="39" t="inlineStr">
        <is>
          <t>A3</t>
        </is>
      </c>
      <c r="AZ356" s="40" t="inlineStr">
        <is>
          <t>Band A · Practitioner · Senior Associate</t>
        </is>
      </c>
      <c r="BA356" s="40" t="inlineStr">
        <is>
          <t>Model A3 from the six ratings, the market-derived weights and rules R1–R13 · then No change · already below the manager</t>
        </is>
      </c>
      <c r="BB356" s="41" t="inlineStr">
        <is>
          <t>A3</t>
        </is>
      </c>
      <c r="BC356" s="40" t="inlineStr">
        <is>
          <t>The six ratings on the market-average weights of Band A · all tracks score 2.80 → A3 · Hay, Mercer IPE and public plans · experience 10.4 yrs vs the A3 market range 2–5</t>
        </is>
      </c>
      <c r="BD356" s="42">
        <f>IF(SUM(BM356,BN356,BO356,BP356,BQ356,BR356,BS356)=0,0,(BM356*BT356+BN356*BU356+BO356*BV356+BP356*BW356+BQ356*BX356+BR356*BY356+BS356*BZ356)/SUM(BM356,BN356,BO356,BP356,BQ356,BR356,BS356))</f>
        <v>0</v>
      </c>
      <c r="BE356" s="41" t="str">
        <f>IF(LEFT(AY356,1)="X",AY356,IF(OR(AY356="B+",AY356="C+"),INDEX(LAD_PC,MAX(1,MIN(14,MATCH(AY356,LAD_PC,0)+IF(BD356&gt;=0.5,1,IF(BD356&lt;=-0.5,-1,0))))),INDEX(LAD_STD,MAX(1,MIN(12,MATCH(AY356,LAD_STD,0)+IF(BD356&gt;=0.5,1,IF(BD356&lt;=-0.5,-1,0)))))))</f>
        <v>A3</v>
      </c>
      <c r="BF356" s="43" t="n"/>
      <c r="BG356" s="41" t="str">
        <f>IF(BF356&lt;&gt;"",BF356,BE356)</f>
        <v>A3</v>
      </c>
      <c r="BH356" s="40" t="str">
        <f>IFERROR(CHOOSE(INDEX(B_RANK,MATCH(BG356,B_LVL,0)),"Band A","Band B","B+ · Player-Coach","Band C","C+ · Player-Coach","Band D","Band E"),"Band X · Consultant")</f>
        <v>Band A</v>
      </c>
      <c r="BI356" s="40" t="str">
        <f>IF(BG356=AY356,"• Same",IF(INDEX(B_VAL,MATCH(BG356,B_LVL,0))&gt;INDEX(B_VAL,MATCH(AY356,B_LVL,0)),"▲ Up","▼ Down"))</f>
        <v>• Same</v>
      </c>
      <c r="BJ356" s="40" t="str">
        <f>IF(OR($M356="",$M356="—",$M356="Not in this file"),"",IFERROR(INDEX($BG$7:$BG$592,MATCH($M356,$D$7:$D$592,0)),""))</f>
        <v>B1</v>
      </c>
      <c r="BK356" s="40" t="str">
        <f>IFERROR(IF(BJ356="","—",IF(OR(LEFT(BG356,1)="X",LEFT(BJ356,1)="X"),"—",IF(AND(LEFT(BG356,1)="E",LEFT(BJ356,1)="E"),"Exception · Band E",IF(AND(INDEX(B_VAL,MATCH(BJ356,B_LVL,0))&gt;=7,INDEX(B_RANK,MATCH(BG356,B_LVL,0))&gt;=INDEX(B_RANK,MATCH(BJ356,B_LVL,0))),"⚠ Same band as a head manager",IF(INDEX(B_VAL,MATCH(BG356,B_LVL,0))&gt;=INDEX(B_VAL,MATCH(BJ356,B_LVL,0)),"⚠ At or above the manager's level","OK"))))),"—")</f>
        <v>OK</v>
      </c>
      <c r="BL356" s="43" t="n"/>
      <c r="BM356" s="44">
        <f>IFERROR(INDEX(LMH_PTS,MATCH(Y356,LMH_KEY,0)),0)</f>
        <v>9</v>
      </c>
      <c r="BN356" s="38">
        <f>IFERROR(INDEX(LMH_PTS,MATCH(Z356,LMH_KEY,0)),0)</f>
        <v>3</v>
      </c>
      <c r="BO356" s="38">
        <f>IFERROR(INDEX(LMH_PTS,MATCH(AA356,LMH_KEY,0)),0)</f>
        <v>3</v>
      </c>
      <c r="BP356" s="38">
        <f>IFERROR(INDEX(LMH_PTS,MATCH(AB356,LMH_KEY,0)),0)</f>
        <v>1</v>
      </c>
      <c r="BQ356" s="38">
        <f>IFERROR(INDEX(LMH_PTS,MATCH(AC356,LMH_KEY,0)),0)</f>
        <v>3</v>
      </c>
      <c r="BR356" s="38">
        <f>IFERROR(INDEX(LMH_PTS,MATCH(AD356,LMH_KEY,0)),0)</f>
        <v>1</v>
      </c>
      <c r="BS356" s="38">
        <f>IFERROR(INDEX(LMH_PTS,MATCH(AE356,LMH_KEY,0)),0)</f>
        <v>1</v>
      </c>
      <c r="BT356" s="38">
        <f>IFERROR(INDEX(LMH_STEP,MATCH(AF356,LMH_KEY,0)),0)</f>
        <v>0</v>
      </c>
      <c r="BU356" s="38">
        <f>IFERROR(INDEX(LMH_STEP,MATCH(AG356,LMH_KEY,0)),0)</f>
        <v>0</v>
      </c>
      <c r="BV356" s="38">
        <f>IFERROR(INDEX(LMH_STEP,MATCH(AH356,LMH_KEY,0)),0)</f>
        <v>0</v>
      </c>
      <c r="BW356" s="38">
        <f>IFERROR(INDEX(LMH_STEP,MATCH(AI356,LMH_KEY,0)),0)</f>
        <v>0</v>
      </c>
      <c r="BX356" s="38">
        <f>IFERROR(INDEX(LMH_STEP,MATCH(AJ356,LMH_KEY,0)),0)</f>
        <v>0</v>
      </c>
      <c r="BY356" s="38">
        <f>IFERROR(INDEX(LMH_STEP,MATCH(AK356,LMH_KEY,0)),0)</f>
        <v>0</v>
      </c>
      <c r="BZ356" s="38">
        <f>IFERROR(INDEX(LMH_STEP,MATCH(AL356,LMH_KEY,0)),0)</f>
        <v>0</v>
      </c>
      <c r="CA356" s="38" t="inlineStr">
        <is>
          <t>iFile|Support|Senior Support Executive|A3|A</t>
        </is>
      </c>
    </row>
    <row r="357" ht="110" customHeight="1">
      <c r="A357" s="28" t="inlineStr">
        <is>
          <t>iFile</t>
        </is>
      </c>
      <c r="B357" s="29" t="inlineStr">
        <is>
          <t>Support</t>
        </is>
      </c>
      <c r="C357" s="29" t="n">
        <v>5</v>
      </c>
      <c r="D357" s="29" t="inlineStr">
        <is>
          <t>IRISC348</t>
        </is>
      </c>
      <c r="E357" s="29" t="inlineStr">
        <is>
          <t>Uzma Shaikh</t>
        </is>
      </c>
      <c r="F357" s="29" t="inlineStr">
        <is>
          <t>Consultant</t>
        </is>
      </c>
      <c r="G357" s="29" t="inlineStr">
        <is>
          <t>Support Executive</t>
        </is>
      </c>
      <c r="H357" s="29" t="inlineStr">
        <is>
          <t>Customer Success &amp; Support</t>
        </is>
      </c>
      <c r="I357" s="29" t="inlineStr">
        <is>
          <t>Application &amp; Product Support</t>
        </is>
      </c>
      <c r="J357" s="29" t="inlineStr">
        <is>
          <t>IC</t>
        </is>
      </c>
      <c r="K357" s="29" t="inlineStr">
        <is>
          <t>RC-030</t>
        </is>
      </c>
      <c r="L357" s="29" t="inlineStr">
        <is>
          <t>Shruti Patil</t>
        </is>
      </c>
      <c r="M357" s="29" t="inlineStr">
        <is>
          <t>IRIS2289</t>
        </is>
      </c>
      <c r="N357" s="29" t="n">
        <v>0.3</v>
      </c>
      <c r="O357" s="29" t="n">
        <v>0.3</v>
      </c>
      <c r="P357" s="29" t="inlineStr">
        <is>
          <t>B.Tech</t>
        </is>
      </c>
      <c r="Q357" s="29" t="inlineStr">
        <is>
          <t>Not in current mapping files</t>
        </is>
      </c>
      <c r="R357" s="29" t="inlineStr">
        <is>
          <t>A2</t>
        </is>
      </c>
      <c r="S357" s="30" t="inlineStr">
        <is>
          <t>20 of 20</t>
        </is>
      </c>
      <c r="T357" s="31"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t>
        </is>
      </c>
      <c r="U357" s="32" t="inlineStr">
        <is>
          <t>KRAs not received · manager to supply</t>
        </is>
      </c>
      <c r="V357" s="31" t="inlineStr">
        <is>
          <t>Latest rating: Not rated · manager · 9-box: Not placed · manager · Readiness: No rating data</t>
        </is>
      </c>
      <c r="W357" s="31" t="inlineStr">
        <is>
          <t>C M · Au M · Ac M · L M · BI M · Exp M · 0.3 yrs vs 0–2 yrs · Edu M · B.Tech</t>
        </is>
      </c>
      <c r="X357" s="33" t="inlineStr">
        <is>
          <t>Open ▸</t>
        </is>
      </c>
      <c r="Y357" s="34" t="str">
        <f>IFERROR(INDEX(DL_C,MATCH($CA357,DL_KEY,0)),"M")</f>
        <v>H</v>
      </c>
      <c r="Z357" s="35" t="str">
        <f>IFERROR(INDEX(DL_Au,MATCH($CA357,DL_KEY,0)),"M")</f>
        <v>M</v>
      </c>
      <c r="AA357" s="35" t="str">
        <f>IFERROR(INDEX(DL_Ac,MATCH($CA357,DL_KEY,0)),"M")</f>
        <v>M</v>
      </c>
      <c r="AB357" s="35" t="str">
        <f>IFERROR(INDEX(DL_L,MATCH($CA357,DL_KEY,0)),"M")</f>
        <v>L</v>
      </c>
      <c r="AC357" s="35" t="str">
        <f>IFERROR(INDEX(DL_BI,MATCH($CA357,DL_KEY,0)),"M")</f>
        <v>M</v>
      </c>
      <c r="AD357" s="35" t="str">
        <f>IFERROR(INDEX(DL_Exp,MATCH($CA357,DL_KEY,0)),"M")</f>
        <v>L</v>
      </c>
      <c r="AE357" s="35" t="str">
        <f>IFERROR(INDEX(DL_Edu,MATCH($CA357,DL_KEY,0)),"M")</f>
        <v>L</v>
      </c>
      <c r="AF357" s="34" t="inlineStr">
        <is>
          <t>M</t>
        </is>
      </c>
      <c r="AG357" s="35" t="inlineStr">
        <is>
          <t>M</t>
        </is>
      </c>
      <c r="AH357" s="35" t="inlineStr">
        <is>
          <t>M</t>
        </is>
      </c>
      <c r="AI357" s="35" t="inlineStr">
        <is>
          <t>M</t>
        </is>
      </c>
      <c r="AJ357" s="35" t="inlineStr">
        <is>
          <t>M</t>
        </is>
      </c>
      <c r="AK357" s="35" t="inlineStr">
        <is>
          <t>M</t>
        </is>
      </c>
      <c r="AL357" s="35" t="inlineStr">
        <is>
          <t>M</t>
        </is>
      </c>
      <c r="AM357" s="36" t="n">
        <v>0.583</v>
      </c>
      <c r="AN357" s="37" t="n">
        <v>0.16</v>
      </c>
      <c r="AO357" s="37" t="n">
        <v>0.09</v>
      </c>
      <c r="AP357" s="37" t="n">
        <v>0</v>
      </c>
      <c r="AQ357" s="37" t="n">
        <v>0.063</v>
      </c>
      <c r="AR357" s="37" t="n">
        <v>0.06</v>
      </c>
      <c r="AS357" s="37" t="n">
        <v>0.04</v>
      </c>
      <c r="AT357" s="38" t="inlineStr">
        <is>
          <t>0–3</t>
        </is>
      </c>
      <c r="AU357" s="38" t="inlineStr">
        <is>
          <t>Graduate · or diploma with experience</t>
        </is>
      </c>
      <c r="AV357" s="38" t="inlineStr">
        <is>
          <t>No direct reports</t>
        </is>
      </c>
      <c r="AW357" s="38" t="inlineStr">
        <is>
          <t>P1–P2 · SFIA 2 Assist</t>
        </is>
      </c>
      <c r="AX3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7" s="39" t="inlineStr">
        <is>
          <t>A2</t>
        </is>
      </c>
      <c r="AZ357" s="40" t="inlineStr">
        <is>
          <t>Band A · Practitioner · Associate</t>
        </is>
      </c>
      <c r="BA357" s="40" t="inlineStr">
        <is>
          <t>Model A2 from the six ratings, the market-derived weights and rules R1–R13 · then No change · already below the manager</t>
        </is>
      </c>
      <c r="BB357" s="41" t="inlineStr">
        <is>
          <t>A2</t>
        </is>
      </c>
      <c r="BC357" s="40" t="inlineStr">
        <is>
          <t>The six ratings on the market-average weights of Band A · all tracks score 1.95 → A2 · Hay, Mercer IPE and public plans · experience 0.3 yrs vs the A2 market range 0–3</t>
        </is>
      </c>
      <c r="BD357" s="42">
        <f>IF(SUM(BM357,BN357,BO357,BP357,BQ357,BR357,BS357)=0,0,(BM357*BT357+BN357*BU357+BO357*BV357+BP357*BW357+BQ357*BX357+BR357*BY357+BS357*BZ357)/SUM(BM357,BN357,BO357,BP357,BQ357,BR357,BS357))</f>
        <v>0</v>
      </c>
      <c r="BE357" s="41" t="str">
        <f>IF(LEFT(AY357,1)="X",AY357,IF(OR(AY357="B+",AY357="C+"),INDEX(LAD_PC,MAX(1,MIN(14,MATCH(AY357,LAD_PC,0)+IF(BD357&gt;=0.5,1,IF(BD357&lt;=-0.5,-1,0))))),INDEX(LAD_STD,MAX(1,MIN(12,MATCH(AY357,LAD_STD,0)+IF(BD357&gt;=0.5,1,IF(BD357&lt;=-0.5,-1,0)))))))</f>
        <v>A2</v>
      </c>
      <c r="BF357" s="43" t="n"/>
      <c r="BG357" s="41" t="str">
        <f>IF(BF357&lt;&gt;"",BF357,BE357)</f>
        <v>A2</v>
      </c>
      <c r="BH357" s="40" t="str">
        <f>IFERROR(CHOOSE(INDEX(B_RANK,MATCH(BG357,B_LVL,0)),"Band A","Band B","B+ · Player-Coach","Band C","C+ · Player-Coach","Band D","Band E"),"Band X · Consultant")</f>
        <v>Band A</v>
      </c>
      <c r="BI357" s="40" t="str">
        <f>IF(BG357=AY357,"• Same",IF(INDEX(B_VAL,MATCH(BG357,B_LVL,0))&gt;INDEX(B_VAL,MATCH(AY357,B_LVL,0)),"▲ Up","▼ Down"))</f>
        <v>• Same</v>
      </c>
      <c r="BJ357" s="40" t="str">
        <f>IF(OR($M357="",$M357="—",$M357="Not in this file"),"",IFERROR(INDEX($BG$7:$BG$592,MATCH($M357,$D$7:$D$592,0)),""))</f>
        <v>B1</v>
      </c>
      <c r="BK357" s="40" t="str">
        <f>IFERROR(IF(BJ357="","—",IF(OR(LEFT(BG357,1)="X",LEFT(BJ357,1)="X"),"—",IF(AND(LEFT(BG357,1)="E",LEFT(BJ357,1)="E"),"Exception · Band E",IF(AND(INDEX(B_VAL,MATCH(BJ357,B_LVL,0))&gt;=7,INDEX(B_RANK,MATCH(BG357,B_LVL,0))&gt;=INDEX(B_RANK,MATCH(BJ357,B_LVL,0))),"⚠ Same band as a head manager",IF(INDEX(B_VAL,MATCH(BG357,B_LVL,0))&gt;=INDEX(B_VAL,MATCH(BJ357,B_LVL,0)),"⚠ At or above the manager's level","OK"))))),"—")</f>
        <v>OK</v>
      </c>
      <c r="BL357" s="43" t="n"/>
      <c r="BM357" s="44">
        <f>IFERROR(INDEX(LMH_PTS,MATCH(Y357,LMH_KEY,0)),0)</f>
        <v>9</v>
      </c>
      <c r="BN357" s="38">
        <f>IFERROR(INDEX(LMH_PTS,MATCH(Z357,LMH_KEY,0)),0)</f>
        <v>3</v>
      </c>
      <c r="BO357" s="38">
        <f>IFERROR(INDEX(LMH_PTS,MATCH(AA357,LMH_KEY,0)),0)</f>
        <v>3</v>
      </c>
      <c r="BP357" s="38">
        <f>IFERROR(INDEX(LMH_PTS,MATCH(AB357,LMH_KEY,0)),0)</f>
        <v>1</v>
      </c>
      <c r="BQ357" s="38">
        <f>IFERROR(INDEX(LMH_PTS,MATCH(AC357,LMH_KEY,0)),0)</f>
        <v>3</v>
      </c>
      <c r="BR357" s="38">
        <f>IFERROR(INDEX(LMH_PTS,MATCH(AD357,LMH_KEY,0)),0)</f>
        <v>1</v>
      </c>
      <c r="BS357" s="38">
        <f>IFERROR(INDEX(LMH_PTS,MATCH(AE357,LMH_KEY,0)),0)</f>
        <v>1</v>
      </c>
      <c r="BT357" s="38">
        <f>IFERROR(INDEX(LMH_STEP,MATCH(AF357,LMH_KEY,0)),0)</f>
        <v>0</v>
      </c>
      <c r="BU357" s="38">
        <f>IFERROR(INDEX(LMH_STEP,MATCH(AG357,LMH_KEY,0)),0)</f>
        <v>0</v>
      </c>
      <c r="BV357" s="38">
        <f>IFERROR(INDEX(LMH_STEP,MATCH(AH357,LMH_KEY,0)),0)</f>
        <v>0</v>
      </c>
      <c r="BW357" s="38">
        <f>IFERROR(INDEX(LMH_STEP,MATCH(AI357,LMH_KEY,0)),0)</f>
        <v>0</v>
      </c>
      <c r="BX357" s="38">
        <f>IFERROR(INDEX(LMH_STEP,MATCH(AJ357,LMH_KEY,0)),0)</f>
        <v>0</v>
      </c>
      <c r="BY357" s="38">
        <f>IFERROR(INDEX(LMH_STEP,MATCH(AK357,LMH_KEY,0)),0)</f>
        <v>0</v>
      </c>
      <c r="BZ357" s="38">
        <f>IFERROR(INDEX(LMH_STEP,MATCH(AL357,LMH_KEY,0)),0)</f>
        <v>0</v>
      </c>
      <c r="CA357" s="38" t="inlineStr">
        <is>
          <t>iFile|Support|Support Executive|A2|A</t>
        </is>
      </c>
    </row>
    <row r="358" ht="110" customHeight="1">
      <c r="A358" s="28" t="inlineStr">
        <is>
          <t>iFile</t>
        </is>
      </c>
      <c r="B358" s="29" t="inlineStr">
        <is>
          <t>Technology</t>
        </is>
      </c>
      <c r="C358" s="29" t="n">
        <v>5</v>
      </c>
      <c r="D358" s="29" t="inlineStr">
        <is>
          <t>INTN0305</t>
        </is>
      </c>
      <c r="E358" s="29" t="inlineStr">
        <is>
          <t>Samiksha Sawant</t>
        </is>
      </c>
      <c r="F358" s="29" t="inlineStr">
        <is>
          <t>Intern</t>
        </is>
      </c>
      <c r="G358" s="29" t="inlineStr">
        <is>
          <t>Intern – Software Development</t>
        </is>
      </c>
      <c r="H358" s="29" t="inlineStr">
        <is>
          <t>Engineering &amp; Development</t>
        </is>
      </c>
      <c r="I358" s="29" t="inlineStr">
        <is>
          <t>Backend Development</t>
        </is>
      </c>
      <c r="J358" s="29" t="inlineStr">
        <is>
          <t>IC</t>
        </is>
      </c>
      <c r="K358" s="29" t="inlineStr">
        <is>
          <t>RC-065</t>
        </is>
      </c>
      <c r="L358" s="29" t="inlineStr">
        <is>
          <t>Shruti Patil</t>
        </is>
      </c>
      <c r="M358" s="29" t="inlineStr">
        <is>
          <t>IRIS2289</t>
        </is>
      </c>
      <c r="N358" s="29" t="n">
        <v>0.2</v>
      </c>
      <c r="O358" s="29" t="n">
        <v>0.2</v>
      </c>
      <c r="P358" s="29" t="inlineStr">
        <is>
          <t>B.E</t>
        </is>
      </c>
      <c r="Q358" s="29" t="inlineStr">
        <is>
          <t>Not in current mapping files</t>
        </is>
      </c>
      <c r="R358" s="29" t="inlineStr">
        <is>
          <t>A1</t>
        </is>
      </c>
      <c r="S358" s="30" t="inlineStr">
        <is>
          <t>20 of 20</t>
        </is>
      </c>
      <c r="T358" s="32" t="inlineStr">
        <is>
          <t>Full survey answers not in the files received · How We Grow export needed · HR</t>
        </is>
      </c>
      <c r="U358" s="32" t="inlineStr">
        <is>
          <t>KRAs not received · manager to supply</t>
        </is>
      </c>
      <c r="V358" s="31" t="inlineStr">
        <is>
          <t>Latest rating: Not rated · manager · 9-box: Not placed · manager · Readiness: No rating data</t>
        </is>
      </c>
      <c r="W358" s="31" t="inlineStr">
        <is>
          <t>C — · Au — · Ac — · L — · BI — · Exp H · 0.2 yrs vs 0 yrs · fresher / intern · Edu M · B.E</t>
        </is>
      </c>
      <c r="X358" s="33" t="inlineStr">
        <is>
          <t>Open ▸</t>
        </is>
      </c>
      <c r="Y358" s="34" t="str">
        <f>IFERROR(INDEX(DL_C,MATCH($CA358,DL_KEY,0)),"M")</f>
        <v>H</v>
      </c>
      <c r="Z358" s="35" t="str">
        <f>IFERROR(INDEX(DL_Au,MATCH($CA358,DL_KEY,0)),"M")</f>
        <v>M</v>
      </c>
      <c r="AA358" s="35" t="str">
        <f>IFERROR(INDEX(DL_Ac,MATCH($CA358,DL_KEY,0)),"M")</f>
        <v>L</v>
      </c>
      <c r="AB358" s="35" t="str">
        <f>IFERROR(INDEX(DL_L,MATCH($CA358,DL_KEY,0)),"M")</f>
        <v>L</v>
      </c>
      <c r="AC358" s="35" t="str">
        <f>IFERROR(INDEX(DL_BI,MATCH($CA358,DL_KEY,0)),"M")</f>
        <v>L</v>
      </c>
      <c r="AD358" s="35" t="str">
        <f>IFERROR(INDEX(DL_Exp,MATCH($CA358,DL_KEY,0)),"M")</f>
        <v>L</v>
      </c>
      <c r="AE358" s="35" t="str">
        <f>IFERROR(INDEX(DL_Edu,MATCH($CA358,DL_KEY,0)),"M")</f>
        <v>L</v>
      </c>
      <c r="AF358" s="34" t="inlineStr">
        <is>
          <t>M</t>
        </is>
      </c>
      <c r="AG358" s="35" t="inlineStr">
        <is>
          <t>M</t>
        </is>
      </c>
      <c r="AH358" s="35" t="inlineStr">
        <is>
          <t>M</t>
        </is>
      </c>
      <c r="AI358" s="35" t="inlineStr">
        <is>
          <t>M</t>
        </is>
      </c>
      <c r="AJ358" s="35" t="inlineStr">
        <is>
          <t>M</t>
        </is>
      </c>
      <c r="AK358" s="35" t="inlineStr">
        <is>
          <t>M</t>
        </is>
      </c>
      <c r="AL358" s="35" t="inlineStr">
        <is>
          <t>M</t>
        </is>
      </c>
      <c r="AM358" s="36" t="n">
        <v>0.583</v>
      </c>
      <c r="AN358" s="37" t="n">
        <v>0.16</v>
      </c>
      <c r="AO358" s="37" t="n">
        <v>0.09</v>
      </c>
      <c r="AP358" s="37" t="n">
        <v>0</v>
      </c>
      <c r="AQ358" s="37" t="n">
        <v>0.063</v>
      </c>
      <c r="AR358" s="37" t="n">
        <v>0.06</v>
      </c>
      <c r="AS358" s="37" t="n">
        <v>0.04</v>
      </c>
      <c r="AT358" s="38" t="inlineStr">
        <is>
          <t>0 yrs · fresher / intern</t>
        </is>
      </c>
      <c r="AU358" s="38" t="inlineStr">
        <is>
          <t>Pursuing or completed graduation / diploma</t>
        </is>
      </c>
      <c r="AV358" s="38" t="inlineStr">
        <is>
          <t>No direct reports</t>
        </is>
      </c>
      <c r="AW358" s="38" t="inlineStr">
        <is>
          <t>Entry / P1 · intern · SFIA 1 Follow</t>
        </is>
      </c>
      <c r="AX3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8" s="39" t="inlineStr">
        <is>
          <t>A1</t>
        </is>
      </c>
      <c r="AZ358" s="40" t="inlineStr">
        <is>
          <t>Band A · Practitioner · Intern / Trainee</t>
        </is>
      </c>
      <c r="BA358" s="40" t="inlineStr">
        <is>
          <t>Model A1 from the six ratings, the market-derived weights and rules R1–R13 · then No change · already below the manager</t>
        </is>
      </c>
      <c r="BB358" s="41" t="inlineStr">
        <is>
          <t>A1</t>
        </is>
      </c>
      <c r="BC358" s="40" t="inlineStr">
        <is>
          <t>Placed by a category rule — no full set of ratings · benchmark follows the HR proposed level</t>
        </is>
      </c>
      <c r="BD358" s="42">
        <f>IF(SUM(BM358,BN358,BO358,BP358,BQ358,BR358,BS358)=0,0,(BM358*BT358+BN358*BU358+BO358*BV358+BP358*BW358+BQ358*BX358+BR358*BY358+BS358*BZ358)/SUM(BM358,BN358,BO358,BP358,BQ358,BR358,BS358))</f>
        <v>0</v>
      </c>
      <c r="BE358" s="41" t="str">
        <f>IF(LEFT(AY358,1)="X",AY358,IF(OR(AY358="B+",AY358="C+"),INDEX(LAD_PC,MAX(1,MIN(14,MATCH(AY358,LAD_PC,0)+IF(BD358&gt;=0.5,1,IF(BD358&lt;=-0.5,-1,0))))),INDEX(LAD_STD,MAX(1,MIN(12,MATCH(AY358,LAD_STD,0)+IF(BD358&gt;=0.5,1,IF(BD358&lt;=-0.5,-1,0)))))))</f>
        <v>A1</v>
      </c>
      <c r="BF358" s="43" t="n"/>
      <c r="BG358" s="41" t="str">
        <f>IF(BF358&lt;&gt;"",BF358,BE358)</f>
        <v>A1</v>
      </c>
      <c r="BH358" s="40" t="str">
        <f>IFERROR(CHOOSE(INDEX(B_RANK,MATCH(BG358,B_LVL,0)),"Band A","Band B","B+ · Player-Coach","Band C","C+ · Player-Coach","Band D","Band E"),"Band X · Consultant")</f>
        <v>Band A</v>
      </c>
      <c r="BI358" s="40" t="str">
        <f>IF(BG358=AY358,"• Same",IF(INDEX(B_VAL,MATCH(BG358,B_LVL,0))&gt;INDEX(B_VAL,MATCH(AY358,B_LVL,0)),"▲ Up","▼ Down"))</f>
        <v>• Same</v>
      </c>
      <c r="BJ358" s="40" t="str">
        <f>IF(OR($M358="",$M358="—",$M358="Not in this file"),"",IFERROR(INDEX($BG$7:$BG$592,MATCH($M358,$D$7:$D$592,0)),""))</f>
        <v>B1</v>
      </c>
      <c r="BK358" s="40" t="str">
        <f>IFERROR(IF(BJ358="","—",IF(OR(LEFT(BG358,1)="X",LEFT(BJ358,1)="X"),"—",IF(AND(LEFT(BG358,1)="E",LEFT(BJ358,1)="E"),"Exception · Band E",IF(AND(INDEX(B_VAL,MATCH(BJ358,B_LVL,0))&gt;=7,INDEX(B_RANK,MATCH(BG358,B_LVL,0))&gt;=INDEX(B_RANK,MATCH(BJ358,B_LVL,0))),"⚠ Same band as a head manager",IF(INDEX(B_VAL,MATCH(BG358,B_LVL,0))&gt;=INDEX(B_VAL,MATCH(BJ358,B_LVL,0)),"⚠ At or above the manager's level","OK"))))),"—")</f>
        <v>OK</v>
      </c>
      <c r="BL358" s="43" t="n"/>
      <c r="BM358" s="44">
        <f>IFERROR(INDEX(LMH_PTS,MATCH(Y358,LMH_KEY,0)),0)</f>
        <v>9</v>
      </c>
      <c r="BN358" s="38">
        <f>IFERROR(INDEX(LMH_PTS,MATCH(Z358,LMH_KEY,0)),0)</f>
        <v>3</v>
      </c>
      <c r="BO358" s="38">
        <f>IFERROR(INDEX(LMH_PTS,MATCH(AA358,LMH_KEY,0)),0)</f>
        <v>1</v>
      </c>
      <c r="BP358" s="38">
        <f>IFERROR(INDEX(LMH_PTS,MATCH(AB358,LMH_KEY,0)),0)</f>
        <v>1</v>
      </c>
      <c r="BQ358" s="38">
        <f>IFERROR(INDEX(LMH_PTS,MATCH(AC358,LMH_KEY,0)),0)</f>
        <v>1</v>
      </c>
      <c r="BR358" s="38">
        <f>IFERROR(INDEX(LMH_PTS,MATCH(AD358,LMH_KEY,0)),0)</f>
        <v>1</v>
      </c>
      <c r="BS358" s="38">
        <f>IFERROR(INDEX(LMH_PTS,MATCH(AE358,LMH_KEY,0)),0)</f>
        <v>1</v>
      </c>
      <c r="BT358" s="38">
        <f>IFERROR(INDEX(LMH_STEP,MATCH(AF358,LMH_KEY,0)),0)</f>
        <v>0</v>
      </c>
      <c r="BU358" s="38">
        <f>IFERROR(INDEX(LMH_STEP,MATCH(AG358,LMH_KEY,0)),0)</f>
        <v>0</v>
      </c>
      <c r="BV358" s="38">
        <f>IFERROR(INDEX(LMH_STEP,MATCH(AH358,LMH_KEY,0)),0)</f>
        <v>0</v>
      </c>
      <c r="BW358" s="38">
        <f>IFERROR(INDEX(LMH_STEP,MATCH(AI358,LMH_KEY,0)),0)</f>
        <v>0</v>
      </c>
      <c r="BX358" s="38">
        <f>IFERROR(INDEX(LMH_STEP,MATCH(AJ358,LMH_KEY,0)),0)</f>
        <v>0</v>
      </c>
      <c r="BY358" s="38">
        <f>IFERROR(INDEX(LMH_STEP,MATCH(AK358,LMH_KEY,0)),0)</f>
        <v>0</v>
      </c>
      <c r="BZ358" s="38">
        <f>IFERROR(INDEX(LMH_STEP,MATCH(AL358,LMH_KEY,0)),0)</f>
        <v>0</v>
      </c>
      <c r="CA358" s="38" t="inlineStr">
        <is>
          <t>iFile|Technology|Intern – Software Development|A1|A</t>
        </is>
      </c>
    </row>
    <row r="359" ht="110" customHeight="1">
      <c r="A359" s="28" t="inlineStr">
        <is>
          <t>iFile</t>
        </is>
      </c>
      <c r="B359" s="29" t="inlineStr">
        <is>
          <t>Technology</t>
        </is>
      </c>
      <c r="C359" s="29" t="n">
        <v>4</v>
      </c>
      <c r="D359" s="29" t="inlineStr">
        <is>
          <t>IRIS2076</t>
        </is>
      </c>
      <c r="E359" s="29" t="inlineStr">
        <is>
          <t>Tumpa Deb</t>
        </is>
      </c>
      <c r="F359" s="29" t="inlineStr">
        <is>
          <t>Senior Business Analyst</t>
        </is>
      </c>
      <c r="G359" s="29" t="inlineStr">
        <is>
          <t>Business Analysis Specialist</t>
        </is>
      </c>
      <c r="H359" s="29" t="inlineStr">
        <is>
          <t>Business Analysis</t>
        </is>
      </c>
      <c r="I359" s="29" t="inlineStr">
        <is>
          <t>Business Analysis</t>
        </is>
      </c>
      <c r="J359" s="29" t="inlineStr">
        <is>
          <t>IC</t>
        </is>
      </c>
      <c r="K359" s="29" t="inlineStr">
        <is>
          <t>RC-010</t>
        </is>
      </c>
      <c r="L359" s="29" t="inlineStr">
        <is>
          <t>Jailesh Bhadra</t>
        </is>
      </c>
      <c r="M359" s="29" t="inlineStr">
        <is>
          <t>IRIS2366</t>
        </is>
      </c>
      <c r="N359" s="29" t="n">
        <v>7.8</v>
      </c>
      <c r="O359" s="29" t="n">
        <v>3.9</v>
      </c>
      <c r="P359" s="29" t="inlineStr">
        <is>
          <t>MBA</t>
        </is>
      </c>
      <c r="Q359" s="29" t="inlineStr">
        <is>
          <t>L4 – Senior</t>
        </is>
      </c>
      <c r="R359" s="29" t="inlineStr">
        <is>
          <t>B1</t>
        </is>
      </c>
      <c r="S359" s="30" t="inlineStr">
        <is>
          <t>19 of 20</t>
        </is>
      </c>
      <c r="T359" s="31"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t>
        </is>
      </c>
      <c r="U359" s="31" t="inlineStr">
        <is>
          <t>Received · manager annual, quarterly, self · 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t>
        </is>
      </c>
      <c r="V359" s="31" t="inlineStr">
        <is>
          <t>Latest rating: 3 · Potential: Medium · 9-box: Reliable Specialist · Readiness: Develop in role</t>
        </is>
      </c>
      <c r="W359" s="31" t="inlineStr">
        <is>
          <t>C M · Au M · Ac M · L L · BI M · Exp H · 7.8 yrs vs 4–7 yrs · Edu H · MBA</t>
        </is>
      </c>
      <c r="X359" s="33" t="inlineStr">
        <is>
          <t>Open ▸</t>
        </is>
      </c>
      <c r="Y359" s="34" t="str">
        <f>IFERROR(INDEX(DL_C,MATCH($CA359,DL_KEY,0)),"M")</f>
        <v>H</v>
      </c>
      <c r="Z359" s="35" t="str">
        <f>IFERROR(INDEX(DL_Au,MATCH($CA359,DL_KEY,0)),"M")</f>
        <v>M</v>
      </c>
      <c r="AA359" s="35" t="str">
        <f>IFERROR(INDEX(DL_Ac,MATCH($CA359,DL_KEY,0)),"M")</f>
        <v>L</v>
      </c>
      <c r="AB359" s="35" t="str">
        <f>IFERROR(INDEX(DL_L,MATCH($CA359,DL_KEY,0)),"M")</f>
        <v>L</v>
      </c>
      <c r="AC359" s="35" t="str">
        <f>IFERROR(INDEX(DL_BI,MATCH($CA359,DL_KEY,0)),"M")</f>
        <v>L</v>
      </c>
      <c r="AD359" s="35" t="str">
        <f>IFERROR(INDEX(DL_Exp,MATCH($CA359,DL_KEY,0)),"M")</f>
        <v>L</v>
      </c>
      <c r="AE359" s="35" t="str">
        <f>IFERROR(INDEX(DL_Edu,MATCH($CA359,DL_KEY,0)),"M")</f>
        <v>L</v>
      </c>
      <c r="AF359" s="34" t="inlineStr">
        <is>
          <t>M</t>
        </is>
      </c>
      <c r="AG359" s="35" t="inlineStr">
        <is>
          <t>M</t>
        </is>
      </c>
      <c r="AH359" s="35" t="inlineStr">
        <is>
          <t>M</t>
        </is>
      </c>
      <c r="AI359" s="35" t="inlineStr">
        <is>
          <t>M</t>
        </is>
      </c>
      <c r="AJ359" s="35" t="inlineStr">
        <is>
          <t>M</t>
        </is>
      </c>
      <c r="AK359" s="35" t="inlineStr">
        <is>
          <t>M</t>
        </is>
      </c>
      <c r="AL359" s="35" t="inlineStr">
        <is>
          <t>M</t>
        </is>
      </c>
      <c r="AM359" s="36" t="n">
        <v>0.513</v>
      </c>
      <c r="AN359" s="37" t="n">
        <v>0.173</v>
      </c>
      <c r="AO359" s="37" t="n">
        <v>0.09699999999999999</v>
      </c>
      <c r="AP359" s="37" t="n">
        <v>0.05</v>
      </c>
      <c r="AQ359" s="37" t="n">
        <v>0.07000000000000001</v>
      </c>
      <c r="AR359" s="37" t="n">
        <v>0.06</v>
      </c>
      <c r="AS359" s="37" t="n">
        <v>0.04</v>
      </c>
      <c r="AT359" s="38" t="inlineStr">
        <is>
          <t>4–8</t>
        </is>
      </c>
      <c r="AU359" s="38" t="inlineStr">
        <is>
          <t>Graduate + relevant qualification or certification preferred</t>
        </is>
      </c>
      <c r="AV359" s="38" t="inlineStr">
        <is>
          <t>IC: none · Team Lead: 3–5</t>
        </is>
      </c>
      <c r="AW359" s="38" t="inlineStr">
        <is>
          <t>P3 / M2 · SFIA 4 Enable</t>
        </is>
      </c>
      <c r="AX3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9" s="39" t="inlineStr">
        <is>
          <t>B1</t>
        </is>
      </c>
      <c r="AZ359" s="40" t="inlineStr">
        <is>
          <t>Band B · Specialist / Manager · Specialist</t>
        </is>
      </c>
      <c r="BA359" s="40" t="inlineStr">
        <is>
          <t>Model B1 from the six ratings, the market-derived weights and rules R1–R13 · then No change · already below the manager</t>
        </is>
      </c>
      <c r="BB359" s="41" t="inlineStr">
        <is>
          <t>B1</t>
        </is>
      </c>
      <c r="BC359" s="40" t="inlineStr">
        <is>
          <t>The six ratings on the market-average weights of Band B · Specialist / POD Lead score 3.60 → B1 · Hay, Mercer IPE and public plans · experience 7.8 yrs vs the B1 market range 4–8</t>
        </is>
      </c>
      <c r="BD359" s="42">
        <f>IF(SUM(BM359,BN359,BO359,BP359,BQ359,BR359,BS359)=0,0,(BM359*BT359+BN359*BU359+BO359*BV359+BP359*BW359+BQ359*BX359+BR359*BY359+BS359*BZ359)/SUM(BM359,BN359,BO359,BP359,BQ359,BR359,BS359))</f>
        <v>0</v>
      </c>
      <c r="BE359" s="41" t="str">
        <f>IF(LEFT(AY359,1)="X",AY359,IF(OR(AY359="B+",AY359="C+"),INDEX(LAD_PC,MAX(1,MIN(14,MATCH(AY359,LAD_PC,0)+IF(BD359&gt;=0.5,1,IF(BD359&lt;=-0.5,-1,0))))),INDEX(LAD_STD,MAX(1,MIN(12,MATCH(AY359,LAD_STD,0)+IF(BD359&gt;=0.5,1,IF(BD359&lt;=-0.5,-1,0)))))))</f>
        <v>B1</v>
      </c>
      <c r="BF359" s="43" t="n"/>
      <c r="BG359" s="41" t="str">
        <f>IF(BF359&lt;&gt;"",BF359,BE359)</f>
        <v>B1</v>
      </c>
      <c r="BH359" s="40" t="str">
        <f>IFERROR(CHOOSE(INDEX(B_RANK,MATCH(BG359,B_LVL,0)),"Band A","Band B","B+ · Player-Coach","Band C","C+ · Player-Coach","Band D","Band E"),"Band X · Consultant")</f>
        <v>Band B</v>
      </c>
      <c r="BI359" s="40" t="str">
        <f>IF(BG359=AY359,"• Same",IF(INDEX(B_VAL,MATCH(BG359,B_LVL,0))&gt;INDEX(B_VAL,MATCH(AY359,B_LVL,0)),"▲ Up","▼ Down"))</f>
        <v>• Same</v>
      </c>
      <c r="BJ359" s="40" t="str">
        <f>IF(OR($M359="",$M359="—",$M359="Not in this file"),"",IFERROR(INDEX($BG$7:$BG$592,MATCH($M359,$D$7:$D$592,0)),""))</f>
        <v>B2</v>
      </c>
      <c r="BK359" s="40" t="str">
        <f>IFERROR(IF(BJ359="","—",IF(OR(LEFT(BG359,1)="X",LEFT(BJ359,1)="X"),"—",IF(AND(LEFT(BG359,1)="E",LEFT(BJ359,1)="E"),"Exception · Band E",IF(AND(INDEX(B_VAL,MATCH(BJ359,B_LVL,0))&gt;=7,INDEX(B_RANK,MATCH(BG359,B_LVL,0))&gt;=INDEX(B_RANK,MATCH(BJ359,B_LVL,0))),"⚠ Same band as a head manager",IF(INDEX(B_VAL,MATCH(BG359,B_LVL,0))&gt;=INDEX(B_VAL,MATCH(BJ359,B_LVL,0)),"⚠ At or above the manager's level","OK"))))),"—")</f>
        <v>OK</v>
      </c>
      <c r="BL359" s="43" t="n"/>
      <c r="BM359" s="44">
        <f>IFERROR(INDEX(LMH_PTS,MATCH(Y359,LMH_KEY,0)),0)</f>
        <v>9</v>
      </c>
      <c r="BN359" s="38">
        <f>IFERROR(INDEX(LMH_PTS,MATCH(Z359,LMH_KEY,0)),0)</f>
        <v>3</v>
      </c>
      <c r="BO359" s="38">
        <f>IFERROR(INDEX(LMH_PTS,MATCH(AA359,LMH_KEY,0)),0)</f>
        <v>1</v>
      </c>
      <c r="BP359" s="38">
        <f>IFERROR(INDEX(LMH_PTS,MATCH(AB359,LMH_KEY,0)),0)</f>
        <v>1</v>
      </c>
      <c r="BQ359" s="38">
        <f>IFERROR(INDEX(LMH_PTS,MATCH(AC359,LMH_KEY,0)),0)</f>
        <v>1</v>
      </c>
      <c r="BR359" s="38">
        <f>IFERROR(INDEX(LMH_PTS,MATCH(AD359,LMH_KEY,0)),0)</f>
        <v>1</v>
      </c>
      <c r="BS359" s="38">
        <f>IFERROR(INDEX(LMH_PTS,MATCH(AE359,LMH_KEY,0)),0)</f>
        <v>1</v>
      </c>
      <c r="BT359" s="38">
        <f>IFERROR(INDEX(LMH_STEP,MATCH(AF359,LMH_KEY,0)),0)</f>
        <v>0</v>
      </c>
      <c r="BU359" s="38">
        <f>IFERROR(INDEX(LMH_STEP,MATCH(AG359,LMH_KEY,0)),0)</f>
        <v>0</v>
      </c>
      <c r="BV359" s="38">
        <f>IFERROR(INDEX(LMH_STEP,MATCH(AH359,LMH_KEY,0)),0)</f>
        <v>0</v>
      </c>
      <c r="BW359" s="38">
        <f>IFERROR(INDEX(LMH_STEP,MATCH(AI359,LMH_KEY,0)),0)</f>
        <v>0</v>
      </c>
      <c r="BX359" s="38">
        <f>IFERROR(INDEX(LMH_STEP,MATCH(AJ359,LMH_KEY,0)),0)</f>
        <v>0</v>
      </c>
      <c r="BY359" s="38">
        <f>IFERROR(INDEX(LMH_STEP,MATCH(AK359,LMH_KEY,0)),0)</f>
        <v>0</v>
      </c>
      <c r="BZ359" s="38">
        <f>IFERROR(INDEX(LMH_STEP,MATCH(AL359,LMH_KEY,0)),0)</f>
        <v>0</v>
      </c>
      <c r="CA359" s="38" t="inlineStr">
        <is>
          <t>iFile|Technology|Business Analysis Specialist|B1|B-IC</t>
        </is>
      </c>
    </row>
    <row r="360" ht="110" customHeight="1">
      <c r="A360" s="28" t="inlineStr">
        <is>
          <t>iFile</t>
        </is>
      </c>
      <c r="B360" s="29" t="inlineStr">
        <is>
          <t>Technology</t>
        </is>
      </c>
      <c r="C360" s="29" t="n">
        <v>4</v>
      </c>
      <c r="D360" s="29" t="inlineStr">
        <is>
          <t>IRIS2506</t>
        </is>
      </c>
      <c r="E360" s="29" t="inlineStr">
        <is>
          <t>Neha Singh</t>
        </is>
      </c>
      <c r="F360" s="29" t="inlineStr">
        <is>
          <t>Business Analyst</t>
        </is>
      </c>
      <c r="G360" s="29" t="inlineStr">
        <is>
          <t>Senior Business Analyst</t>
        </is>
      </c>
      <c r="H360" s="29" t="inlineStr">
        <is>
          <t>Business Analysis</t>
        </is>
      </c>
      <c r="I360" s="29" t="inlineStr">
        <is>
          <t>Business Analysis</t>
        </is>
      </c>
      <c r="J360" s="29" t="inlineStr">
        <is>
          <t>IC</t>
        </is>
      </c>
      <c r="K360" s="29" t="inlineStr">
        <is>
          <t>RC-009</t>
        </is>
      </c>
      <c r="L360" s="29" t="inlineStr">
        <is>
          <t>Jailesh Bhadra</t>
        </is>
      </c>
      <c r="M360" s="29" t="inlineStr">
        <is>
          <t>IRIS2366</t>
        </is>
      </c>
      <c r="N360" s="29" t="n">
        <v>3.6</v>
      </c>
      <c r="O360" s="29" t="n">
        <v>0.5</v>
      </c>
      <c r="P360" s="29" t="inlineStr">
        <is>
          <t>MBA</t>
        </is>
      </c>
      <c r="Q360" s="29" t="inlineStr">
        <is>
          <t>L3 – Professional / Associate</t>
        </is>
      </c>
      <c r="R360" s="29" t="inlineStr">
        <is>
          <t>A3</t>
        </is>
      </c>
      <c r="S360" s="30" t="inlineStr">
        <is>
          <t>20 of 20</t>
        </is>
      </c>
      <c r="T360" s="31" t="inlineStr">
        <is>
          <t>Business Impact: No move: the survey / manager mapping does not mark it business-critical or unique.</t>
        </is>
      </c>
      <c r="U360" s="31" t="inlineStr">
        <is>
          <t>Received · manager annual, quarterly, self ·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t>
        </is>
      </c>
      <c r="V360" s="31" t="inlineStr">
        <is>
          <t>Latest rating: 3 · Potential: Medium · 9-box: Core Contributor · Readiness: Develop in role</t>
        </is>
      </c>
      <c r="W360" s="31" t="inlineStr">
        <is>
          <t>C M · Au M · Ac M · L L · BI M · Exp M · 3.6 yrs vs 2–4 yrs · Edu H · MBA</t>
        </is>
      </c>
      <c r="X360" s="33" t="inlineStr">
        <is>
          <t>Open ▸</t>
        </is>
      </c>
      <c r="Y360" s="34" t="str">
        <f>IFERROR(INDEX(DL_C,MATCH($CA360,DL_KEY,0)),"M")</f>
        <v>H</v>
      </c>
      <c r="Z360" s="35" t="str">
        <f>IFERROR(INDEX(DL_Au,MATCH($CA360,DL_KEY,0)),"M")</f>
        <v>M</v>
      </c>
      <c r="AA360" s="35" t="str">
        <f>IFERROR(INDEX(DL_Ac,MATCH($CA360,DL_KEY,0)),"M")</f>
        <v>L</v>
      </c>
      <c r="AB360" s="35" t="str">
        <f>IFERROR(INDEX(DL_L,MATCH($CA360,DL_KEY,0)),"M")</f>
        <v>L</v>
      </c>
      <c r="AC360" s="35" t="str">
        <f>IFERROR(INDEX(DL_BI,MATCH($CA360,DL_KEY,0)),"M")</f>
        <v>L</v>
      </c>
      <c r="AD360" s="35" t="str">
        <f>IFERROR(INDEX(DL_Exp,MATCH($CA360,DL_KEY,0)),"M")</f>
        <v>L</v>
      </c>
      <c r="AE360" s="35" t="str">
        <f>IFERROR(INDEX(DL_Edu,MATCH($CA360,DL_KEY,0)),"M")</f>
        <v>L</v>
      </c>
      <c r="AF360" s="34" t="inlineStr">
        <is>
          <t>M</t>
        </is>
      </c>
      <c r="AG360" s="35" t="inlineStr">
        <is>
          <t>M</t>
        </is>
      </c>
      <c r="AH360" s="35" t="inlineStr">
        <is>
          <t>M</t>
        </is>
      </c>
      <c r="AI360" s="35" t="inlineStr">
        <is>
          <t>M</t>
        </is>
      </c>
      <c r="AJ360" s="35" t="inlineStr">
        <is>
          <t>M</t>
        </is>
      </c>
      <c r="AK360" s="35" t="inlineStr">
        <is>
          <t>M</t>
        </is>
      </c>
      <c r="AL360" s="35" t="inlineStr">
        <is>
          <t>M</t>
        </is>
      </c>
      <c r="AM360" s="36" t="n">
        <v>0.583</v>
      </c>
      <c r="AN360" s="37" t="n">
        <v>0.16</v>
      </c>
      <c r="AO360" s="37" t="n">
        <v>0.09</v>
      </c>
      <c r="AP360" s="37" t="n">
        <v>0</v>
      </c>
      <c r="AQ360" s="37" t="n">
        <v>0.063</v>
      </c>
      <c r="AR360" s="37" t="n">
        <v>0.06</v>
      </c>
      <c r="AS360" s="37" t="n">
        <v>0.04</v>
      </c>
      <c r="AT360" s="38" t="inlineStr">
        <is>
          <t>2–5</t>
        </is>
      </c>
      <c r="AU360" s="38" t="inlineStr">
        <is>
          <t>Graduate; relevant certification preferred</t>
        </is>
      </c>
      <c r="AV360" s="38" t="inlineStr">
        <is>
          <t>None · guides 1–3 juniors informally</t>
        </is>
      </c>
      <c r="AW360" s="38" t="inlineStr">
        <is>
          <t>P2 · SFIA 3 Apply</t>
        </is>
      </c>
      <c r="AX3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0" s="39" t="inlineStr">
        <is>
          <t>A3</t>
        </is>
      </c>
      <c r="AZ360" s="40" t="inlineStr">
        <is>
          <t>Band A · Practitioner · Senior Associate</t>
        </is>
      </c>
      <c r="BA360" s="40" t="inlineStr">
        <is>
          <t>Model A3 from the six ratings, the market-derived weights and rules R1–R13 · then No change · already below the manager</t>
        </is>
      </c>
      <c r="BB360" s="41" t="inlineStr">
        <is>
          <t>A3</t>
        </is>
      </c>
      <c r="BC360" s="40" t="inlineStr">
        <is>
          <t>The six ratings on the market-average weights of Band A · all tracks score 3.00 → A3 · Hay, Mercer IPE and public plans · experience 3.6 yrs vs the A3 market range 2–5</t>
        </is>
      </c>
      <c r="BD360" s="42">
        <f>IF(SUM(BM360,BN360,BO360,BP360,BQ360,BR360,BS360)=0,0,(BM360*BT360+BN360*BU360+BO360*BV360+BP360*BW360+BQ360*BX360+BR360*BY360+BS360*BZ360)/SUM(BM360,BN360,BO360,BP360,BQ360,BR360,BS360))</f>
        <v>0</v>
      </c>
      <c r="BE360" s="41" t="str">
        <f>IF(LEFT(AY360,1)="X",AY360,IF(OR(AY360="B+",AY360="C+"),INDEX(LAD_PC,MAX(1,MIN(14,MATCH(AY360,LAD_PC,0)+IF(BD360&gt;=0.5,1,IF(BD360&lt;=-0.5,-1,0))))),INDEX(LAD_STD,MAX(1,MIN(12,MATCH(AY360,LAD_STD,0)+IF(BD360&gt;=0.5,1,IF(BD360&lt;=-0.5,-1,0)))))))</f>
        <v>A3</v>
      </c>
      <c r="BF360" s="43" t="n"/>
      <c r="BG360" s="41" t="str">
        <f>IF(BF360&lt;&gt;"",BF360,BE360)</f>
        <v>A3</v>
      </c>
      <c r="BH360" s="40" t="str">
        <f>IFERROR(CHOOSE(INDEX(B_RANK,MATCH(BG360,B_LVL,0)),"Band A","Band B","B+ · Player-Coach","Band C","C+ · Player-Coach","Band D","Band E"),"Band X · Consultant")</f>
        <v>Band A</v>
      </c>
      <c r="BI360" s="40" t="str">
        <f>IF(BG360=AY360,"• Same",IF(INDEX(B_VAL,MATCH(BG360,B_LVL,0))&gt;INDEX(B_VAL,MATCH(AY360,B_LVL,0)),"▲ Up","▼ Down"))</f>
        <v>• Same</v>
      </c>
      <c r="BJ360" s="40" t="str">
        <f>IF(OR($M360="",$M360="—",$M360="Not in this file"),"",IFERROR(INDEX($BG$7:$BG$592,MATCH($M360,$D$7:$D$592,0)),""))</f>
        <v>B2</v>
      </c>
      <c r="BK360" s="40" t="str">
        <f>IFERROR(IF(BJ360="","—",IF(OR(LEFT(BG360,1)="X",LEFT(BJ360,1)="X"),"—",IF(AND(LEFT(BG360,1)="E",LEFT(BJ360,1)="E"),"Exception · Band E",IF(AND(INDEX(B_VAL,MATCH(BJ360,B_LVL,0))&gt;=7,INDEX(B_RANK,MATCH(BG360,B_LVL,0))&gt;=INDEX(B_RANK,MATCH(BJ360,B_LVL,0))),"⚠ Same band as a head manager",IF(INDEX(B_VAL,MATCH(BG360,B_LVL,0))&gt;=INDEX(B_VAL,MATCH(BJ360,B_LVL,0)),"⚠ At or above the manager's level","OK"))))),"—")</f>
        <v>OK</v>
      </c>
      <c r="BL360" s="43" t="n"/>
      <c r="BM360" s="44">
        <f>IFERROR(INDEX(LMH_PTS,MATCH(Y360,LMH_KEY,0)),0)</f>
        <v>9</v>
      </c>
      <c r="BN360" s="38">
        <f>IFERROR(INDEX(LMH_PTS,MATCH(Z360,LMH_KEY,0)),0)</f>
        <v>3</v>
      </c>
      <c r="BO360" s="38">
        <f>IFERROR(INDEX(LMH_PTS,MATCH(AA360,LMH_KEY,0)),0)</f>
        <v>1</v>
      </c>
      <c r="BP360" s="38">
        <f>IFERROR(INDEX(LMH_PTS,MATCH(AB360,LMH_KEY,0)),0)</f>
        <v>1</v>
      </c>
      <c r="BQ360" s="38">
        <f>IFERROR(INDEX(LMH_PTS,MATCH(AC360,LMH_KEY,0)),0)</f>
        <v>1</v>
      </c>
      <c r="BR360" s="38">
        <f>IFERROR(INDEX(LMH_PTS,MATCH(AD360,LMH_KEY,0)),0)</f>
        <v>1</v>
      </c>
      <c r="BS360" s="38">
        <f>IFERROR(INDEX(LMH_PTS,MATCH(AE360,LMH_KEY,0)),0)</f>
        <v>1</v>
      </c>
      <c r="BT360" s="38">
        <f>IFERROR(INDEX(LMH_STEP,MATCH(AF360,LMH_KEY,0)),0)</f>
        <v>0</v>
      </c>
      <c r="BU360" s="38">
        <f>IFERROR(INDEX(LMH_STEP,MATCH(AG360,LMH_KEY,0)),0)</f>
        <v>0</v>
      </c>
      <c r="BV360" s="38">
        <f>IFERROR(INDEX(LMH_STEP,MATCH(AH360,LMH_KEY,0)),0)</f>
        <v>0</v>
      </c>
      <c r="BW360" s="38">
        <f>IFERROR(INDEX(LMH_STEP,MATCH(AI360,LMH_KEY,0)),0)</f>
        <v>0</v>
      </c>
      <c r="BX360" s="38">
        <f>IFERROR(INDEX(LMH_STEP,MATCH(AJ360,LMH_KEY,0)),0)</f>
        <v>0</v>
      </c>
      <c r="BY360" s="38">
        <f>IFERROR(INDEX(LMH_STEP,MATCH(AK360,LMH_KEY,0)),0)</f>
        <v>0</v>
      </c>
      <c r="BZ360" s="38">
        <f>IFERROR(INDEX(LMH_STEP,MATCH(AL360,LMH_KEY,0)),0)</f>
        <v>0</v>
      </c>
      <c r="CA360" s="38" t="inlineStr">
        <is>
          <t>iFile|Technology|Senior Business Analyst|A3|A</t>
        </is>
      </c>
    </row>
    <row r="361" ht="110" customHeight="1">
      <c r="A361" s="28" t="inlineStr">
        <is>
          <t>iFile</t>
        </is>
      </c>
      <c r="B361" s="29" t="inlineStr">
        <is>
          <t>Technology</t>
        </is>
      </c>
      <c r="C361" s="29" t="n">
        <v>4</v>
      </c>
      <c r="D361" s="29" t="inlineStr">
        <is>
          <t>IRIS1852</t>
        </is>
      </c>
      <c r="E361" s="29" t="inlineStr">
        <is>
          <t>Prajakta Chavan</t>
        </is>
      </c>
      <c r="F361" s="29" t="inlineStr">
        <is>
          <t>Business Analyst</t>
        </is>
      </c>
      <c r="G361" s="29" t="inlineStr">
        <is>
          <t>Senior Business Analyst</t>
        </is>
      </c>
      <c r="H361" s="29" t="inlineStr">
        <is>
          <t>Business Analysis</t>
        </is>
      </c>
      <c r="I361" s="29" t="inlineStr">
        <is>
          <t>Business Analysis</t>
        </is>
      </c>
      <c r="J361" s="29" t="inlineStr">
        <is>
          <t>IC</t>
        </is>
      </c>
      <c r="K361" s="29" t="inlineStr">
        <is>
          <t>RC-009</t>
        </is>
      </c>
      <c r="L361" s="29" t="inlineStr">
        <is>
          <t>Jailesh Bhadra</t>
        </is>
      </c>
      <c r="M361" s="29" t="inlineStr">
        <is>
          <t>IRIS2366</t>
        </is>
      </c>
      <c r="N361" s="29" t="n">
        <v>6.9</v>
      </c>
      <c r="O361" s="29" t="n">
        <v>6.4</v>
      </c>
      <c r="P361" s="29" t="inlineStr">
        <is>
          <t>B.E</t>
        </is>
      </c>
      <c r="Q361" s="29" t="inlineStr">
        <is>
          <t>L3 – Professional / Associate</t>
        </is>
      </c>
      <c r="R361" s="29" t="inlineStr">
        <is>
          <t>A3</t>
        </is>
      </c>
      <c r="S361" s="30" t="inlineStr">
        <is>
          <t>19 of 20</t>
        </is>
      </c>
      <c r="T361" s="31"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
        </is>
      </c>
      <c r="U361" s="31" t="inlineStr">
        <is>
          <t>Received · manager annual, quarterly, self ·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t>
        </is>
      </c>
      <c r="V361" s="31" t="inlineStr">
        <is>
          <t>Latest rating: 3 · Potential: High · 9-box: Reliable Specialist · Readiness: Ready in 6–12 months</t>
        </is>
      </c>
      <c r="W361" s="31" t="inlineStr">
        <is>
          <t>C M · Au M · Ac M · L M · BI M · Exp H · 6.9 yrs vs 2–4 yrs · Edu M · B.E</t>
        </is>
      </c>
      <c r="X361" s="33" t="inlineStr">
        <is>
          <t>Open ▸</t>
        </is>
      </c>
      <c r="Y361" s="34" t="str">
        <f>IFERROR(INDEX(DL_C,MATCH($CA361,DL_KEY,0)),"M")</f>
        <v>H</v>
      </c>
      <c r="Z361" s="35" t="str">
        <f>IFERROR(INDEX(DL_Au,MATCH($CA361,DL_KEY,0)),"M")</f>
        <v>M</v>
      </c>
      <c r="AA361" s="35" t="str">
        <f>IFERROR(INDEX(DL_Ac,MATCH($CA361,DL_KEY,0)),"M")</f>
        <v>L</v>
      </c>
      <c r="AB361" s="35" t="str">
        <f>IFERROR(INDEX(DL_L,MATCH($CA361,DL_KEY,0)),"M")</f>
        <v>L</v>
      </c>
      <c r="AC361" s="35" t="str">
        <f>IFERROR(INDEX(DL_BI,MATCH($CA361,DL_KEY,0)),"M")</f>
        <v>L</v>
      </c>
      <c r="AD361" s="35" t="str">
        <f>IFERROR(INDEX(DL_Exp,MATCH($CA361,DL_KEY,0)),"M")</f>
        <v>L</v>
      </c>
      <c r="AE361" s="35" t="str">
        <f>IFERROR(INDEX(DL_Edu,MATCH($CA361,DL_KEY,0)),"M")</f>
        <v>L</v>
      </c>
      <c r="AF361" s="34" t="inlineStr">
        <is>
          <t>M</t>
        </is>
      </c>
      <c r="AG361" s="35" t="inlineStr">
        <is>
          <t>M</t>
        </is>
      </c>
      <c r="AH361" s="35" t="inlineStr">
        <is>
          <t>M</t>
        </is>
      </c>
      <c r="AI361" s="35" t="inlineStr">
        <is>
          <t>M</t>
        </is>
      </c>
      <c r="AJ361" s="35" t="inlineStr">
        <is>
          <t>M</t>
        </is>
      </c>
      <c r="AK361" s="35" t="inlineStr">
        <is>
          <t>M</t>
        </is>
      </c>
      <c r="AL361" s="35" t="inlineStr">
        <is>
          <t>M</t>
        </is>
      </c>
      <c r="AM361" s="36" t="n">
        <v>0.583</v>
      </c>
      <c r="AN361" s="37" t="n">
        <v>0.16</v>
      </c>
      <c r="AO361" s="37" t="n">
        <v>0.09</v>
      </c>
      <c r="AP361" s="37" t="n">
        <v>0</v>
      </c>
      <c r="AQ361" s="37" t="n">
        <v>0.063</v>
      </c>
      <c r="AR361" s="37" t="n">
        <v>0.06</v>
      </c>
      <c r="AS361" s="37" t="n">
        <v>0.04</v>
      </c>
      <c r="AT361" s="38" t="inlineStr">
        <is>
          <t>2–5</t>
        </is>
      </c>
      <c r="AU361" s="38" t="inlineStr">
        <is>
          <t>Graduate; relevant certification preferred</t>
        </is>
      </c>
      <c r="AV361" s="38" t="inlineStr">
        <is>
          <t>None · guides 1–3 juniors informally</t>
        </is>
      </c>
      <c r="AW361" s="38" t="inlineStr">
        <is>
          <t>P2 · SFIA 3 Apply</t>
        </is>
      </c>
      <c r="AX3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1" s="39" t="inlineStr">
        <is>
          <t>A3</t>
        </is>
      </c>
      <c r="AZ361" s="40" t="inlineStr">
        <is>
          <t>Band A · Practitioner · Senior Associate</t>
        </is>
      </c>
      <c r="BA361" s="40" t="inlineStr">
        <is>
          <t>Model A3 from the six ratings, the market-derived weights and rules R1–R13 · then No change · already below the manager</t>
        </is>
      </c>
      <c r="BB361" s="41" t="inlineStr">
        <is>
          <t>A3</t>
        </is>
      </c>
      <c r="BC361" s="40" t="inlineStr">
        <is>
          <t>The six ratings on the market-average weights of Band A · all tracks score 3.26 → A3 · Hay, Mercer IPE and public plans · experience 6.9 yrs vs the A3 market range 2–5</t>
        </is>
      </c>
      <c r="BD361" s="42">
        <f>IF(SUM(BM361,BN361,BO361,BP361,BQ361,BR361,BS361)=0,0,(BM361*BT361+BN361*BU361+BO361*BV361+BP361*BW361+BQ361*BX361+BR361*BY361+BS361*BZ361)/SUM(BM361,BN361,BO361,BP361,BQ361,BR361,BS361))</f>
        <v>0</v>
      </c>
      <c r="BE361" s="41" t="str">
        <f>IF(LEFT(AY361,1)="X",AY361,IF(OR(AY361="B+",AY361="C+"),INDEX(LAD_PC,MAX(1,MIN(14,MATCH(AY361,LAD_PC,0)+IF(BD361&gt;=0.5,1,IF(BD361&lt;=-0.5,-1,0))))),INDEX(LAD_STD,MAX(1,MIN(12,MATCH(AY361,LAD_STD,0)+IF(BD361&gt;=0.5,1,IF(BD361&lt;=-0.5,-1,0)))))))</f>
        <v>A3</v>
      </c>
      <c r="BF361" s="43" t="n"/>
      <c r="BG361" s="41" t="str">
        <f>IF(BF361&lt;&gt;"",BF361,BE361)</f>
        <v>A3</v>
      </c>
      <c r="BH361" s="40" t="str">
        <f>IFERROR(CHOOSE(INDEX(B_RANK,MATCH(BG361,B_LVL,0)),"Band A","Band B","B+ · Player-Coach","Band C","C+ · Player-Coach","Band D","Band E"),"Band X · Consultant")</f>
        <v>Band A</v>
      </c>
      <c r="BI361" s="40" t="str">
        <f>IF(BG361=AY361,"• Same",IF(INDEX(B_VAL,MATCH(BG361,B_LVL,0))&gt;INDEX(B_VAL,MATCH(AY361,B_LVL,0)),"▲ Up","▼ Down"))</f>
        <v>• Same</v>
      </c>
      <c r="BJ361" s="40" t="str">
        <f>IF(OR($M361="",$M361="—",$M361="Not in this file"),"",IFERROR(INDEX($BG$7:$BG$592,MATCH($M361,$D$7:$D$592,0)),""))</f>
        <v>B2</v>
      </c>
      <c r="BK361" s="40" t="str">
        <f>IFERROR(IF(BJ361="","—",IF(OR(LEFT(BG361,1)="X",LEFT(BJ361,1)="X"),"—",IF(AND(LEFT(BG361,1)="E",LEFT(BJ361,1)="E"),"Exception · Band E",IF(AND(INDEX(B_VAL,MATCH(BJ361,B_LVL,0))&gt;=7,INDEX(B_RANK,MATCH(BG361,B_LVL,0))&gt;=INDEX(B_RANK,MATCH(BJ361,B_LVL,0))),"⚠ Same band as a head manager",IF(INDEX(B_VAL,MATCH(BG361,B_LVL,0))&gt;=INDEX(B_VAL,MATCH(BJ361,B_LVL,0)),"⚠ At or above the manager's level","OK"))))),"—")</f>
        <v>OK</v>
      </c>
      <c r="BL361" s="43" t="n"/>
      <c r="BM361" s="44">
        <f>IFERROR(INDEX(LMH_PTS,MATCH(Y361,LMH_KEY,0)),0)</f>
        <v>9</v>
      </c>
      <c r="BN361" s="38">
        <f>IFERROR(INDEX(LMH_PTS,MATCH(Z361,LMH_KEY,0)),0)</f>
        <v>3</v>
      </c>
      <c r="BO361" s="38">
        <f>IFERROR(INDEX(LMH_PTS,MATCH(AA361,LMH_KEY,0)),0)</f>
        <v>1</v>
      </c>
      <c r="BP361" s="38">
        <f>IFERROR(INDEX(LMH_PTS,MATCH(AB361,LMH_KEY,0)),0)</f>
        <v>1</v>
      </c>
      <c r="BQ361" s="38">
        <f>IFERROR(INDEX(LMH_PTS,MATCH(AC361,LMH_KEY,0)),0)</f>
        <v>1</v>
      </c>
      <c r="BR361" s="38">
        <f>IFERROR(INDEX(LMH_PTS,MATCH(AD361,LMH_KEY,0)),0)</f>
        <v>1</v>
      </c>
      <c r="BS361" s="38">
        <f>IFERROR(INDEX(LMH_PTS,MATCH(AE361,LMH_KEY,0)),0)</f>
        <v>1</v>
      </c>
      <c r="BT361" s="38">
        <f>IFERROR(INDEX(LMH_STEP,MATCH(AF361,LMH_KEY,0)),0)</f>
        <v>0</v>
      </c>
      <c r="BU361" s="38">
        <f>IFERROR(INDEX(LMH_STEP,MATCH(AG361,LMH_KEY,0)),0)</f>
        <v>0</v>
      </c>
      <c r="BV361" s="38">
        <f>IFERROR(INDEX(LMH_STEP,MATCH(AH361,LMH_KEY,0)),0)</f>
        <v>0</v>
      </c>
      <c r="BW361" s="38">
        <f>IFERROR(INDEX(LMH_STEP,MATCH(AI361,LMH_KEY,0)),0)</f>
        <v>0</v>
      </c>
      <c r="BX361" s="38">
        <f>IFERROR(INDEX(LMH_STEP,MATCH(AJ361,LMH_KEY,0)),0)</f>
        <v>0</v>
      </c>
      <c r="BY361" s="38">
        <f>IFERROR(INDEX(LMH_STEP,MATCH(AK361,LMH_KEY,0)),0)</f>
        <v>0</v>
      </c>
      <c r="BZ361" s="38">
        <f>IFERROR(INDEX(LMH_STEP,MATCH(AL361,LMH_KEY,0)),0)</f>
        <v>0</v>
      </c>
      <c r="CA361" s="38" t="inlineStr">
        <is>
          <t>iFile|Technology|Senior Business Analyst|A3|A</t>
        </is>
      </c>
    </row>
    <row r="362" ht="110" customHeight="1">
      <c r="A362" s="28" t="inlineStr">
        <is>
          <t>iFile</t>
        </is>
      </c>
      <c r="B362" s="29" t="inlineStr">
        <is>
          <t>Technology</t>
        </is>
      </c>
      <c r="C362" s="29" t="n">
        <v>4</v>
      </c>
      <c r="D362" s="29" t="inlineStr">
        <is>
          <t>IRIS2507</t>
        </is>
      </c>
      <c r="E362" s="29" t="inlineStr">
        <is>
          <t>Tanishq Gupta</t>
        </is>
      </c>
      <c r="F362" s="29" t="inlineStr">
        <is>
          <t>Business Analyst</t>
        </is>
      </c>
      <c r="G362" s="29" t="inlineStr">
        <is>
          <t>Business Analyst</t>
        </is>
      </c>
      <c r="H362" s="29" t="inlineStr">
        <is>
          <t>Business Analysis</t>
        </is>
      </c>
      <c r="I362" s="29" t="inlineStr">
        <is>
          <t>Business Analysis</t>
        </is>
      </c>
      <c r="J362" s="29" t="inlineStr">
        <is>
          <t>IC</t>
        </is>
      </c>
      <c r="K362" s="29" t="inlineStr">
        <is>
          <t>RC-008</t>
        </is>
      </c>
      <c r="L362" s="29" t="inlineStr">
        <is>
          <t>Jailesh Bhadra</t>
        </is>
      </c>
      <c r="M362" s="29" t="inlineStr">
        <is>
          <t>IRIS2366</t>
        </is>
      </c>
      <c r="N362" s="29" t="n">
        <v>0.5</v>
      </c>
      <c r="O362" s="29" t="n">
        <v>0.5</v>
      </c>
      <c r="P362" s="29" t="inlineStr">
        <is>
          <t>MBA</t>
        </is>
      </c>
      <c r="Q362" s="29" t="inlineStr">
        <is>
          <t>L3 – Professional / Associate</t>
        </is>
      </c>
      <c r="R362" s="29" t="inlineStr">
        <is>
          <t>A2</t>
        </is>
      </c>
      <c r="S362" s="30" t="inlineStr">
        <is>
          <t>20 of 20</t>
        </is>
      </c>
      <c r="T362" s="31"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t>
        </is>
      </c>
      <c r="U362" s="31" t="inlineStr">
        <is>
          <t>Received · manager annual, quarterly, self ·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t>
        </is>
      </c>
      <c r="V362" s="31" t="inlineStr">
        <is>
          <t>Latest rating: 3 · Potential: Medium · 9-box: Core Contributor · Readiness: Develop in role</t>
        </is>
      </c>
      <c r="W362" s="31" t="inlineStr">
        <is>
          <t>C H · Au H · Ac M · L M · BI M · Exp M · 0.5 yrs vs 0–2 yrs · Edu H · MBA</t>
        </is>
      </c>
      <c r="X362" s="33" t="inlineStr">
        <is>
          <t>Open ▸</t>
        </is>
      </c>
      <c r="Y362" s="34" t="str">
        <f>IFERROR(INDEX(DL_C,MATCH($CA362,DL_KEY,0)),"M")</f>
        <v>H</v>
      </c>
      <c r="Z362" s="35" t="str">
        <f>IFERROR(INDEX(DL_Au,MATCH($CA362,DL_KEY,0)),"M")</f>
        <v>M</v>
      </c>
      <c r="AA362" s="35" t="str">
        <f>IFERROR(INDEX(DL_Ac,MATCH($CA362,DL_KEY,0)),"M")</f>
        <v>L</v>
      </c>
      <c r="AB362" s="35" t="str">
        <f>IFERROR(INDEX(DL_L,MATCH($CA362,DL_KEY,0)),"M")</f>
        <v>L</v>
      </c>
      <c r="AC362" s="35" t="str">
        <f>IFERROR(INDEX(DL_BI,MATCH($CA362,DL_KEY,0)),"M")</f>
        <v>L</v>
      </c>
      <c r="AD362" s="35" t="str">
        <f>IFERROR(INDEX(DL_Exp,MATCH($CA362,DL_KEY,0)),"M")</f>
        <v>L</v>
      </c>
      <c r="AE362" s="35" t="str">
        <f>IFERROR(INDEX(DL_Edu,MATCH($CA362,DL_KEY,0)),"M")</f>
        <v>L</v>
      </c>
      <c r="AF362" s="34" t="inlineStr">
        <is>
          <t>M</t>
        </is>
      </c>
      <c r="AG362" s="35" t="inlineStr">
        <is>
          <t>M</t>
        </is>
      </c>
      <c r="AH362" s="35" t="inlineStr">
        <is>
          <t>M</t>
        </is>
      </c>
      <c r="AI362" s="35" t="inlineStr">
        <is>
          <t>M</t>
        </is>
      </c>
      <c r="AJ362" s="35" t="inlineStr">
        <is>
          <t>M</t>
        </is>
      </c>
      <c r="AK362" s="35" t="inlineStr">
        <is>
          <t>M</t>
        </is>
      </c>
      <c r="AL362" s="35" t="inlineStr">
        <is>
          <t>M</t>
        </is>
      </c>
      <c r="AM362" s="36" t="n">
        <v>0.583</v>
      </c>
      <c r="AN362" s="37" t="n">
        <v>0.16</v>
      </c>
      <c r="AO362" s="37" t="n">
        <v>0.09</v>
      </c>
      <c r="AP362" s="37" t="n">
        <v>0</v>
      </c>
      <c r="AQ362" s="37" t="n">
        <v>0.063</v>
      </c>
      <c r="AR362" s="37" t="n">
        <v>0.06</v>
      </c>
      <c r="AS362" s="37" t="n">
        <v>0.04</v>
      </c>
      <c r="AT362" s="38" t="inlineStr">
        <is>
          <t>0–3</t>
        </is>
      </c>
      <c r="AU362" s="38" t="inlineStr">
        <is>
          <t>Graduate · or diploma with experience</t>
        </is>
      </c>
      <c r="AV362" s="38" t="inlineStr">
        <is>
          <t>No direct reports</t>
        </is>
      </c>
      <c r="AW362" s="38" t="inlineStr">
        <is>
          <t>P1–P2 · SFIA 2 Assist</t>
        </is>
      </c>
      <c r="AX3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2" s="39" t="inlineStr">
        <is>
          <t>A2</t>
        </is>
      </c>
      <c r="AZ362" s="40" t="inlineStr">
        <is>
          <t>Band A · Practitioner · Associate</t>
        </is>
      </c>
      <c r="BA362" s="40" t="inlineStr">
        <is>
          <t>Model A2 from the six ratings, the market-derived weights and rules R1–R13 · then No change · already below the manager</t>
        </is>
      </c>
      <c r="BB362" s="41" t="inlineStr">
        <is>
          <t>A3</t>
        </is>
      </c>
      <c r="BC362" s="40" t="inlineStr">
        <is>
          <t>The six ratings on the market-average weights of Band A · all tracks score 2.77 → A3 · Hay, Mercer IPE and public plans · experience 0.5 yrs vs the A3 market range 2–5</t>
        </is>
      </c>
      <c r="BD362" s="42">
        <f>IF(SUM(BM362,BN362,BO362,BP362,BQ362,BR362,BS362)=0,0,(BM362*BT362+BN362*BU362+BO362*BV362+BP362*BW362+BQ362*BX362+BR362*BY362+BS362*BZ362)/SUM(BM362,BN362,BO362,BP362,BQ362,BR362,BS362))</f>
        <v>0</v>
      </c>
      <c r="BE362" s="41" t="str">
        <f>IF(LEFT(AY362,1)="X",AY362,IF(OR(AY362="B+",AY362="C+"),INDEX(LAD_PC,MAX(1,MIN(14,MATCH(AY362,LAD_PC,0)+IF(BD362&gt;=0.5,1,IF(BD362&lt;=-0.5,-1,0))))),INDEX(LAD_STD,MAX(1,MIN(12,MATCH(AY362,LAD_STD,0)+IF(BD362&gt;=0.5,1,IF(BD362&lt;=-0.5,-1,0)))))))</f>
        <v>A2</v>
      </c>
      <c r="BF362" s="43" t="n"/>
      <c r="BG362" s="41" t="str">
        <f>IF(BF362&lt;&gt;"",BF362,BE362)</f>
        <v>A2</v>
      </c>
      <c r="BH362" s="40" t="str">
        <f>IFERROR(CHOOSE(INDEX(B_RANK,MATCH(BG362,B_LVL,0)),"Band A","Band B","B+ · Player-Coach","Band C","C+ · Player-Coach","Band D","Band E"),"Band X · Consultant")</f>
        <v>Band A</v>
      </c>
      <c r="BI362" s="40" t="str">
        <f>IF(BG362=AY362,"• Same",IF(INDEX(B_VAL,MATCH(BG362,B_LVL,0))&gt;INDEX(B_VAL,MATCH(AY362,B_LVL,0)),"▲ Up","▼ Down"))</f>
        <v>• Same</v>
      </c>
      <c r="BJ362" s="40" t="str">
        <f>IF(OR($M362="",$M362="—",$M362="Not in this file"),"",IFERROR(INDEX($BG$7:$BG$592,MATCH($M362,$D$7:$D$592,0)),""))</f>
        <v>B2</v>
      </c>
      <c r="BK362" s="40" t="str">
        <f>IFERROR(IF(BJ362="","—",IF(OR(LEFT(BG362,1)="X",LEFT(BJ362,1)="X"),"—",IF(AND(LEFT(BG362,1)="E",LEFT(BJ362,1)="E"),"Exception · Band E",IF(AND(INDEX(B_VAL,MATCH(BJ362,B_LVL,0))&gt;=7,INDEX(B_RANK,MATCH(BG362,B_LVL,0))&gt;=INDEX(B_RANK,MATCH(BJ362,B_LVL,0))),"⚠ Same band as a head manager",IF(INDEX(B_VAL,MATCH(BG362,B_LVL,0))&gt;=INDEX(B_VAL,MATCH(BJ362,B_LVL,0)),"⚠ At or above the manager's level","OK"))))),"—")</f>
        <v>OK</v>
      </c>
      <c r="BL362" s="43" t="n"/>
      <c r="BM362" s="44">
        <f>IFERROR(INDEX(LMH_PTS,MATCH(Y362,LMH_KEY,0)),0)</f>
        <v>9</v>
      </c>
      <c r="BN362" s="38">
        <f>IFERROR(INDEX(LMH_PTS,MATCH(Z362,LMH_KEY,0)),0)</f>
        <v>3</v>
      </c>
      <c r="BO362" s="38">
        <f>IFERROR(INDEX(LMH_PTS,MATCH(AA362,LMH_KEY,0)),0)</f>
        <v>1</v>
      </c>
      <c r="BP362" s="38">
        <f>IFERROR(INDEX(LMH_PTS,MATCH(AB362,LMH_KEY,0)),0)</f>
        <v>1</v>
      </c>
      <c r="BQ362" s="38">
        <f>IFERROR(INDEX(LMH_PTS,MATCH(AC362,LMH_KEY,0)),0)</f>
        <v>1</v>
      </c>
      <c r="BR362" s="38">
        <f>IFERROR(INDEX(LMH_PTS,MATCH(AD362,LMH_KEY,0)),0)</f>
        <v>1</v>
      </c>
      <c r="BS362" s="38">
        <f>IFERROR(INDEX(LMH_PTS,MATCH(AE362,LMH_KEY,0)),0)</f>
        <v>1</v>
      </c>
      <c r="BT362" s="38">
        <f>IFERROR(INDEX(LMH_STEP,MATCH(AF362,LMH_KEY,0)),0)</f>
        <v>0</v>
      </c>
      <c r="BU362" s="38">
        <f>IFERROR(INDEX(LMH_STEP,MATCH(AG362,LMH_KEY,0)),0)</f>
        <v>0</v>
      </c>
      <c r="BV362" s="38">
        <f>IFERROR(INDEX(LMH_STEP,MATCH(AH362,LMH_KEY,0)),0)</f>
        <v>0</v>
      </c>
      <c r="BW362" s="38">
        <f>IFERROR(INDEX(LMH_STEP,MATCH(AI362,LMH_KEY,0)),0)</f>
        <v>0</v>
      </c>
      <c r="BX362" s="38">
        <f>IFERROR(INDEX(LMH_STEP,MATCH(AJ362,LMH_KEY,0)),0)</f>
        <v>0</v>
      </c>
      <c r="BY362" s="38">
        <f>IFERROR(INDEX(LMH_STEP,MATCH(AK362,LMH_KEY,0)),0)</f>
        <v>0</v>
      </c>
      <c r="BZ362" s="38">
        <f>IFERROR(INDEX(LMH_STEP,MATCH(AL362,LMH_KEY,0)),0)</f>
        <v>0</v>
      </c>
      <c r="CA362" s="38" t="inlineStr">
        <is>
          <t>iFile|Technology|Business Analyst|A2|A</t>
        </is>
      </c>
    </row>
    <row r="363" ht="110" customHeight="1">
      <c r="A363" s="28" t="inlineStr">
        <is>
          <t>iFile</t>
        </is>
      </c>
      <c r="B363" s="29" t="inlineStr">
        <is>
          <t>Technology</t>
        </is>
      </c>
      <c r="C363" s="29" t="n">
        <v>3</v>
      </c>
      <c r="D363" s="29" t="inlineStr">
        <is>
          <t>IRIS0846</t>
        </is>
      </c>
      <c r="E363" s="29" t="inlineStr">
        <is>
          <t>Nikhil Nalawade</t>
        </is>
      </c>
      <c r="F363" s="29" t="inlineStr">
        <is>
          <t>Project Manager</t>
        </is>
      </c>
      <c r="G363" s="29" t="inlineStr">
        <is>
          <t>Delivery Manager</t>
        </is>
      </c>
      <c r="H363" s="29" t="inlineStr">
        <is>
          <t>Project &amp; Program Management</t>
        </is>
      </c>
      <c r="I363" s="29" t="inlineStr">
        <is>
          <t>Project &amp; Program Delivery</t>
        </is>
      </c>
      <c r="J363" s="29" t="inlineStr">
        <is>
          <t>People Manager</t>
        </is>
      </c>
      <c r="K363" s="29" t="inlineStr">
        <is>
          <t>RC-136</t>
        </is>
      </c>
      <c r="L363" s="29" t="inlineStr">
        <is>
          <t>Pradip Dey</t>
        </is>
      </c>
      <c r="M363" s="29" t="inlineStr">
        <is>
          <t>IRISC223</t>
        </is>
      </c>
      <c r="N363" s="29" t="n">
        <v>15.1</v>
      </c>
      <c r="O363" s="29" t="n">
        <v>15.1</v>
      </c>
      <c r="P363" s="29" t="inlineStr">
        <is>
          <t>B.E</t>
        </is>
      </c>
      <c r="Q363" s="29" t="inlineStr">
        <is>
          <t>L5 – Manager</t>
        </is>
      </c>
      <c r="R363" s="29" t="inlineStr">
        <is>
          <t>B2</t>
        </is>
      </c>
      <c r="S363" s="30" t="inlineStr">
        <is>
          <t>20 of 20</t>
        </is>
      </c>
      <c r="T363" s="31"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t>
        </is>
      </c>
      <c r="U363" s="31" t="inlineStr">
        <is>
          <t>Received · manager annual, quarterly · 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t>
        </is>
      </c>
      <c r="V363" s="31" t="inlineStr">
        <is>
          <t>Latest rating: 5 · Potential: High · 9-box: Future Leader · Readiness: Ready now</t>
        </is>
      </c>
      <c r="W363" s="31" t="inlineStr">
        <is>
          <t>C M · Au M · Ac M · L M · BI M · Exp H · 15.1 yrs vs 6–9 yrs · Edu M · B.E</t>
        </is>
      </c>
      <c r="X363" s="33" t="inlineStr">
        <is>
          <t>Open ▸</t>
        </is>
      </c>
      <c r="Y363" s="34" t="str">
        <f>IFERROR(INDEX(DL_C,MATCH($CA363,DL_KEY,0)),"M")</f>
        <v>H</v>
      </c>
      <c r="Z363" s="35" t="str">
        <f>IFERROR(INDEX(DL_Au,MATCH($CA363,DL_KEY,0)),"M")</f>
        <v>M</v>
      </c>
      <c r="AA363" s="35" t="str">
        <f>IFERROR(INDEX(DL_Ac,MATCH($CA363,DL_KEY,0)),"M")</f>
        <v>L</v>
      </c>
      <c r="AB363" s="35" t="str">
        <f>IFERROR(INDEX(DL_L,MATCH($CA363,DL_KEY,0)),"M")</f>
        <v>M</v>
      </c>
      <c r="AC363" s="35" t="str">
        <f>IFERROR(INDEX(DL_BI,MATCH($CA363,DL_KEY,0)),"M")</f>
        <v>L</v>
      </c>
      <c r="AD363" s="35" t="str">
        <f>IFERROR(INDEX(DL_Exp,MATCH($CA363,DL_KEY,0)),"M")</f>
        <v>L</v>
      </c>
      <c r="AE363" s="35" t="str">
        <f>IFERROR(INDEX(DL_Edu,MATCH($CA363,DL_KEY,0)),"M")</f>
        <v>L</v>
      </c>
      <c r="AF363" s="34" t="inlineStr">
        <is>
          <t>M</t>
        </is>
      </c>
      <c r="AG363" s="35" t="inlineStr">
        <is>
          <t>M</t>
        </is>
      </c>
      <c r="AH363" s="35" t="inlineStr">
        <is>
          <t>M</t>
        </is>
      </c>
      <c r="AI363" s="35" t="inlineStr">
        <is>
          <t>M</t>
        </is>
      </c>
      <c r="AJ363" s="35" t="inlineStr">
        <is>
          <t>M</t>
        </is>
      </c>
      <c r="AK363" s="35" t="inlineStr">
        <is>
          <t>M</t>
        </is>
      </c>
      <c r="AL363" s="35" t="inlineStr">
        <is>
          <t>M</t>
        </is>
      </c>
      <c r="AM363" s="36" t="n">
        <v>0.37</v>
      </c>
      <c r="AN363" s="37" t="n">
        <v>0.183</v>
      </c>
      <c r="AO363" s="37" t="n">
        <v>0.113</v>
      </c>
      <c r="AP363" s="37" t="n">
        <v>0.15</v>
      </c>
      <c r="AQ363" s="37" t="n">
        <v>0.08699999999999999</v>
      </c>
      <c r="AR363" s="37" t="n">
        <v>0.06</v>
      </c>
      <c r="AS363" s="37" t="n">
        <v>0.04</v>
      </c>
      <c r="AT363" s="38" t="inlineStr">
        <is>
          <t>6–10</t>
        </is>
      </c>
      <c r="AU363" s="38" t="inlineStr">
        <is>
          <t>Graduate or postgraduate; professional qualification preferred</t>
        </is>
      </c>
      <c r="AV363" s="38" t="inlineStr">
        <is>
          <t>IC: none · People: 6–8 knowledge work, 8–12 standardised delivery</t>
        </is>
      </c>
      <c r="AW363" s="38" t="inlineStr">
        <is>
          <t>P4 / M3 · SFIA 4–5</t>
        </is>
      </c>
      <c r="AX3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3" s="39" t="inlineStr">
        <is>
          <t>B2</t>
        </is>
      </c>
      <c r="AZ363" s="40" t="inlineStr">
        <is>
          <t>Band B · Specialist / Manager · Manager</t>
        </is>
      </c>
      <c r="BA363" s="40" t="inlineStr">
        <is>
          <t>Model B2 from the six ratings, the market-derived weights and rules R1–R13 · then No change · already below the manager</t>
        </is>
      </c>
      <c r="BB363" s="41" t="inlineStr">
        <is>
          <t>B2</t>
        </is>
      </c>
      <c r="BC363" s="40" t="inlineStr">
        <is>
          <t>The six ratings on the market-average weights of Band B · People Manager score 5.34 → B2 · Hay, Mercer IPE and public plans · experience 15.1 yrs vs the B2 market range 6–10</t>
        </is>
      </c>
      <c r="BD363" s="42">
        <f>IF(SUM(BM363,BN363,BO363,BP363,BQ363,BR363,BS363)=0,0,(BM363*BT363+BN363*BU363+BO363*BV363+BP363*BW363+BQ363*BX363+BR363*BY363+BS363*BZ363)/SUM(BM363,BN363,BO363,BP363,BQ363,BR363,BS363))</f>
        <v>0</v>
      </c>
      <c r="BE363" s="41" t="str">
        <f>IF(LEFT(AY363,1)="X",AY363,IF(OR(AY363="B+",AY363="C+"),INDEX(LAD_PC,MAX(1,MIN(14,MATCH(AY363,LAD_PC,0)+IF(BD363&gt;=0.5,1,IF(BD363&lt;=-0.5,-1,0))))),INDEX(LAD_STD,MAX(1,MIN(12,MATCH(AY363,LAD_STD,0)+IF(BD363&gt;=0.5,1,IF(BD363&lt;=-0.5,-1,0)))))))</f>
        <v>B2</v>
      </c>
      <c r="BF363" s="43" t="n"/>
      <c r="BG363" s="41" t="str">
        <f>IF(BF363&lt;&gt;"",BF363,BE363)</f>
        <v>B2</v>
      </c>
      <c r="BH363" s="40" t="str">
        <f>IFERROR(CHOOSE(INDEX(B_RANK,MATCH(BG363,B_LVL,0)),"Band A","Band B","B+ · Player-Coach","Band C","C+ · Player-Coach","Band D","Band E"),"Band X · Consultant")</f>
        <v>Band B</v>
      </c>
      <c r="BI363" s="40" t="str">
        <f>IF(BG363=AY363,"• Same",IF(INDEX(B_VAL,MATCH(BG363,B_LVL,0))&gt;INDEX(B_VAL,MATCH(AY363,B_LVL,0)),"▲ Up","▼ Down"))</f>
        <v>• Same</v>
      </c>
      <c r="BJ363" s="40" t="str">
        <f>IF(OR($M363="",$M363="—",$M363="Not in this file"),"",IFERROR(INDEX($BG$7:$BG$592,MATCH($M363,$D$7:$D$592,0)),""))</f>
        <v>C2</v>
      </c>
      <c r="BK363" s="40" t="str">
        <f>IFERROR(IF(BJ363="","—",IF(OR(LEFT(BG363,1)="X",LEFT(BJ363,1)="X"),"—",IF(AND(LEFT(BG363,1)="E",LEFT(BJ363,1)="E"),"Exception · Band E",IF(AND(INDEX(B_VAL,MATCH(BJ363,B_LVL,0))&gt;=7,INDEX(B_RANK,MATCH(BG363,B_LVL,0))&gt;=INDEX(B_RANK,MATCH(BJ363,B_LVL,0))),"⚠ Same band as a head manager",IF(INDEX(B_VAL,MATCH(BG363,B_LVL,0))&gt;=INDEX(B_VAL,MATCH(BJ363,B_LVL,0)),"⚠ At or above the manager's level","OK"))))),"—")</f>
        <v>OK</v>
      </c>
      <c r="BL363" s="43" t="n"/>
      <c r="BM363" s="44">
        <f>IFERROR(INDEX(LMH_PTS,MATCH(Y363,LMH_KEY,0)),0)</f>
        <v>9</v>
      </c>
      <c r="BN363" s="38">
        <f>IFERROR(INDEX(LMH_PTS,MATCH(Z363,LMH_KEY,0)),0)</f>
        <v>3</v>
      </c>
      <c r="BO363" s="38">
        <f>IFERROR(INDEX(LMH_PTS,MATCH(AA363,LMH_KEY,0)),0)</f>
        <v>1</v>
      </c>
      <c r="BP363" s="38">
        <f>IFERROR(INDEX(LMH_PTS,MATCH(AB363,LMH_KEY,0)),0)</f>
        <v>3</v>
      </c>
      <c r="BQ363" s="38">
        <f>IFERROR(INDEX(LMH_PTS,MATCH(AC363,LMH_KEY,0)),0)</f>
        <v>1</v>
      </c>
      <c r="BR363" s="38">
        <f>IFERROR(INDEX(LMH_PTS,MATCH(AD363,LMH_KEY,0)),0)</f>
        <v>1</v>
      </c>
      <c r="BS363" s="38">
        <f>IFERROR(INDEX(LMH_PTS,MATCH(AE363,LMH_KEY,0)),0)</f>
        <v>1</v>
      </c>
      <c r="BT363" s="38">
        <f>IFERROR(INDEX(LMH_STEP,MATCH(AF363,LMH_KEY,0)),0)</f>
        <v>0</v>
      </c>
      <c r="BU363" s="38">
        <f>IFERROR(INDEX(LMH_STEP,MATCH(AG363,LMH_KEY,0)),0)</f>
        <v>0</v>
      </c>
      <c r="BV363" s="38">
        <f>IFERROR(INDEX(LMH_STEP,MATCH(AH363,LMH_KEY,0)),0)</f>
        <v>0</v>
      </c>
      <c r="BW363" s="38">
        <f>IFERROR(INDEX(LMH_STEP,MATCH(AI363,LMH_KEY,0)),0)</f>
        <v>0</v>
      </c>
      <c r="BX363" s="38">
        <f>IFERROR(INDEX(LMH_STEP,MATCH(AJ363,LMH_KEY,0)),0)</f>
        <v>0</v>
      </c>
      <c r="BY363" s="38">
        <f>IFERROR(INDEX(LMH_STEP,MATCH(AK363,LMH_KEY,0)),0)</f>
        <v>0</v>
      </c>
      <c r="BZ363" s="38">
        <f>IFERROR(INDEX(LMH_STEP,MATCH(AL363,LMH_KEY,0)),0)</f>
        <v>0</v>
      </c>
      <c r="CA363" s="38" t="inlineStr">
        <is>
          <t>iFile|Technology|Delivery Manager|B2|B-M</t>
        </is>
      </c>
    </row>
    <row r="364" ht="110" customHeight="1">
      <c r="A364" s="28" t="inlineStr">
        <is>
          <t>iFile</t>
        </is>
      </c>
      <c r="B364" s="29" t="inlineStr">
        <is>
          <t>Technology</t>
        </is>
      </c>
      <c r="C364" s="29" t="n">
        <v>4</v>
      </c>
      <c r="D364" s="29" t="inlineStr">
        <is>
          <t>IRIS2318</t>
        </is>
      </c>
      <c r="E364" s="29" t="inlineStr">
        <is>
          <t>Prathmesh Ramdas Sutar</t>
        </is>
      </c>
      <c r="F364" s="29" t="inlineStr">
        <is>
          <t>Lead Software Engineer</t>
        </is>
      </c>
      <c r="G364" s="29" t="inlineStr">
        <is>
          <t>Lead Software Engineer</t>
        </is>
      </c>
      <c r="H364" s="29" t="inlineStr">
        <is>
          <t>Engineering &amp; Development</t>
        </is>
      </c>
      <c r="I364" s="29" t="inlineStr">
        <is>
          <t>Backend Development</t>
        </is>
      </c>
      <c r="J364" s="29" t="inlineStr">
        <is>
          <t>IC</t>
        </is>
      </c>
      <c r="K364" s="29" t="inlineStr">
        <is>
          <t>RC-071</t>
        </is>
      </c>
      <c r="L364" s="29" t="inlineStr">
        <is>
          <t>Nikhil Nalawade</t>
        </is>
      </c>
      <c r="M364" s="29" t="inlineStr">
        <is>
          <t>IRIS0846</t>
        </is>
      </c>
      <c r="N364" s="29" t="n">
        <v>13.2</v>
      </c>
      <c r="O364" s="29" t="n">
        <v>1.9</v>
      </c>
      <c r="P364" s="29" t="inlineStr">
        <is>
          <t>B.E</t>
        </is>
      </c>
      <c r="Q364" s="29" t="inlineStr">
        <is>
          <t>L5 – Lead · IC</t>
        </is>
      </c>
      <c r="R364" s="29" t="inlineStr">
        <is>
          <t>B3</t>
        </is>
      </c>
      <c r="S364" s="30" t="inlineStr">
        <is>
          <t>18 of 20</t>
        </is>
      </c>
      <c r="T364" s="31"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t>
        </is>
      </c>
      <c r="U36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4" s="31" t="inlineStr">
        <is>
          <t>Latest rating: 4 · Potential: Medium · 9-box: Trusted Professional · Readiness: Ready in 6–12 months</t>
        </is>
      </c>
      <c r="W364" s="31" t="inlineStr">
        <is>
          <t>C H · Au H · Ac H · L M · BI H · Exp H · 13.2 yrs vs 4–7 yrs · Edu M · B.E</t>
        </is>
      </c>
      <c r="X364" s="33" t="inlineStr">
        <is>
          <t>Open ▸</t>
        </is>
      </c>
      <c r="Y364" s="34" t="str">
        <f>IFERROR(INDEX(DL_C,MATCH($CA364,DL_KEY,0)),"M")</f>
        <v>H</v>
      </c>
      <c r="Z364" s="35" t="str">
        <f>IFERROR(INDEX(DL_Au,MATCH($CA364,DL_KEY,0)),"M")</f>
        <v>M</v>
      </c>
      <c r="AA364" s="35" t="str">
        <f>IFERROR(INDEX(DL_Ac,MATCH($CA364,DL_KEY,0)),"M")</f>
        <v>L</v>
      </c>
      <c r="AB364" s="35" t="str">
        <f>IFERROR(INDEX(DL_L,MATCH($CA364,DL_KEY,0)),"M")</f>
        <v>L</v>
      </c>
      <c r="AC364" s="35" t="str">
        <f>IFERROR(INDEX(DL_BI,MATCH($CA364,DL_KEY,0)),"M")</f>
        <v>L</v>
      </c>
      <c r="AD364" s="35" t="str">
        <f>IFERROR(INDEX(DL_Exp,MATCH($CA364,DL_KEY,0)),"M")</f>
        <v>L</v>
      </c>
      <c r="AE364" s="35" t="str">
        <f>IFERROR(INDEX(DL_Edu,MATCH($CA364,DL_KEY,0)),"M")</f>
        <v>L</v>
      </c>
      <c r="AF364" s="34" t="inlineStr">
        <is>
          <t>M</t>
        </is>
      </c>
      <c r="AG364" s="35" t="inlineStr">
        <is>
          <t>M</t>
        </is>
      </c>
      <c r="AH364" s="35" t="inlineStr">
        <is>
          <t>M</t>
        </is>
      </c>
      <c r="AI364" s="35" t="inlineStr">
        <is>
          <t>M</t>
        </is>
      </c>
      <c r="AJ364" s="35" t="inlineStr">
        <is>
          <t>M</t>
        </is>
      </c>
      <c r="AK364" s="35" t="inlineStr">
        <is>
          <t>M</t>
        </is>
      </c>
      <c r="AL364" s="35" t="inlineStr">
        <is>
          <t>M</t>
        </is>
      </c>
      <c r="AM364" s="36" t="n">
        <v>0.513</v>
      </c>
      <c r="AN364" s="37" t="n">
        <v>0.173</v>
      </c>
      <c r="AO364" s="37" t="n">
        <v>0.09699999999999999</v>
      </c>
      <c r="AP364" s="37" t="n">
        <v>0.05</v>
      </c>
      <c r="AQ364" s="37" t="n">
        <v>0.07000000000000001</v>
      </c>
      <c r="AR364" s="37" t="n">
        <v>0.06</v>
      </c>
      <c r="AS364" s="37" t="n">
        <v>0.04</v>
      </c>
      <c r="AT364" s="38" t="inlineStr">
        <is>
          <t>4–8</t>
        </is>
      </c>
      <c r="AU364" s="38" t="inlineStr">
        <is>
          <t>Graduate + relevant qualification or certification preferred</t>
        </is>
      </c>
      <c r="AV364" s="38" t="inlineStr">
        <is>
          <t>IC: none · Team Lead: 3–5</t>
        </is>
      </c>
      <c r="AW364" s="38" t="inlineStr">
        <is>
          <t>P3 / M2 · SFIA 4 Enable</t>
        </is>
      </c>
      <c r="AX3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4" s="39" t="inlineStr">
        <is>
          <t>B1</t>
        </is>
      </c>
      <c r="AZ364" s="40" t="inlineStr">
        <is>
          <t>Band B · Specialist / Manager · Specialist</t>
        </is>
      </c>
      <c r="BA364" s="40" t="inlineStr">
        <is>
          <t>Model B3 from the six ratings, the market-derived weights and rules R1–R13 · then Level rule: manager B2; a reportee sits at least one level below · B3 → B1 · move down · pay and title protected for one cycle</t>
        </is>
      </c>
      <c r="BB364" s="41" t="inlineStr">
        <is>
          <t>B3</t>
        </is>
      </c>
      <c r="BC364" s="40" t="inlineStr">
        <is>
          <t>The six ratings on the market-average weights of Band B · Specialist / POD Lead score 5.72 → B3 · Hay, Mercer IPE and public plans · experience 13.2 yrs vs the B3 market range 8–13</t>
        </is>
      </c>
      <c r="BD364" s="42">
        <f>IF(SUM(BM364,BN364,BO364,BP364,BQ364,BR364,BS364)=0,0,(BM364*BT364+BN364*BU364+BO364*BV364+BP364*BW364+BQ364*BX364+BR364*BY364+BS364*BZ364)/SUM(BM364,BN364,BO364,BP364,BQ364,BR364,BS364))</f>
        <v>0</v>
      </c>
      <c r="BE364" s="41" t="str">
        <f>IF(LEFT(AY364,1)="X",AY364,IF(OR(AY364="B+",AY364="C+"),INDEX(LAD_PC,MAX(1,MIN(14,MATCH(AY364,LAD_PC,0)+IF(BD364&gt;=0.5,1,IF(BD364&lt;=-0.5,-1,0))))),INDEX(LAD_STD,MAX(1,MIN(12,MATCH(AY364,LAD_STD,0)+IF(BD364&gt;=0.5,1,IF(BD364&lt;=-0.5,-1,0)))))))</f>
        <v>B1</v>
      </c>
      <c r="BF364" s="43" t="n"/>
      <c r="BG364" s="41" t="str">
        <f>IF(BF364&lt;&gt;"",BF364,BE364)</f>
        <v>B1</v>
      </c>
      <c r="BH364" s="40" t="str">
        <f>IFERROR(CHOOSE(INDEX(B_RANK,MATCH(BG364,B_LVL,0)),"Band A","Band B","B+ · Player-Coach","Band C","C+ · Player-Coach","Band D","Band E"),"Band X · Consultant")</f>
        <v>Band B</v>
      </c>
      <c r="BI364" s="40" t="str">
        <f>IF(BG364=AY364,"• Same",IF(INDEX(B_VAL,MATCH(BG364,B_LVL,0))&gt;INDEX(B_VAL,MATCH(AY364,B_LVL,0)),"▲ Up","▼ Down"))</f>
        <v>• Same</v>
      </c>
      <c r="BJ364" s="40" t="str">
        <f>IF(OR($M364="",$M364="—",$M364="Not in this file"),"",IFERROR(INDEX($BG$7:$BG$592,MATCH($M364,$D$7:$D$592,0)),""))</f>
        <v>B2</v>
      </c>
      <c r="BK364" s="40" t="str">
        <f>IFERROR(IF(BJ364="","—",IF(OR(LEFT(BG364,1)="X",LEFT(BJ364,1)="X"),"—",IF(AND(LEFT(BG364,1)="E",LEFT(BJ364,1)="E"),"Exception · Band E",IF(AND(INDEX(B_VAL,MATCH(BJ364,B_LVL,0))&gt;=7,INDEX(B_RANK,MATCH(BG364,B_LVL,0))&gt;=INDEX(B_RANK,MATCH(BJ364,B_LVL,0))),"⚠ Same band as a head manager",IF(INDEX(B_VAL,MATCH(BG364,B_LVL,0))&gt;=INDEX(B_VAL,MATCH(BJ364,B_LVL,0)),"⚠ At or above the manager's level","OK"))))),"—")</f>
        <v>OK</v>
      </c>
      <c r="BL364" s="43" t="n"/>
      <c r="BM364" s="44">
        <f>IFERROR(INDEX(LMH_PTS,MATCH(Y364,LMH_KEY,0)),0)</f>
        <v>9</v>
      </c>
      <c r="BN364" s="38">
        <f>IFERROR(INDEX(LMH_PTS,MATCH(Z364,LMH_KEY,0)),0)</f>
        <v>3</v>
      </c>
      <c r="BO364" s="38">
        <f>IFERROR(INDEX(LMH_PTS,MATCH(AA364,LMH_KEY,0)),0)</f>
        <v>1</v>
      </c>
      <c r="BP364" s="38">
        <f>IFERROR(INDEX(LMH_PTS,MATCH(AB364,LMH_KEY,0)),0)</f>
        <v>1</v>
      </c>
      <c r="BQ364" s="38">
        <f>IFERROR(INDEX(LMH_PTS,MATCH(AC364,LMH_KEY,0)),0)</f>
        <v>1</v>
      </c>
      <c r="BR364" s="38">
        <f>IFERROR(INDEX(LMH_PTS,MATCH(AD364,LMH_KEY,0)),0)</f>
        <v>1</v>
      </c>
      <c r="BS364" s="38">
        <f>IFERROR(INDEX(LMH_PTS,MATCH(AE364,LMH_KEY,0)),0)</f>
        <v>1</v>
      </c>
      <c r="BT364" s="38">
        <f>IFERROR(INDEX(LMH_STEP,MATCH(AF364,LMH_KEY,0)),0)</f>
        <v>0</v>
      </c>
      <c r="BU364" s="38">
        <f>IFERROR(INDEX(LMH_STEP,MATCH(AG364,LMH_KEY,0)),0)</f>
        <v>0</v>
      </c>
      <c r="BV364" s="38">
        <f>IFERROR(INDEX(LMH_STEP,MATCH(AH364,LMH_KEY,0)),0)</f>
        <v>0</v>
      </c>
      <c r="BW364" s="38">
        <f>IFERROR(INDEX(LMH_STEP,MATCH(AI364,LMH_KEY,0)),0)</f>
        <v>0</v>
      </c>
      <c r="BX364" s="38">
        <f>IFERROR(INDEX(LMH_STEP,MATCH(AJ364,LMH_KEY,0)),0)</f>
        <v>0</v>
      </c>
      <c r="BY364" s="38">
        <f>IFERROR(INDEX(LMH_STEP,MATCH(AK364,LMH_KEY,0)),0)</f>
        <v>0</v>
      </c>
      <c r="BZ364" s="38">
        <f>IFERROR(INDEX(LMH_STEP,MATCH(AL364,LMH_KEY,0)),0)</f>
        <v>0</v>
      </c>
      <c r="CA364" s="38" t="inlineStr">
        <is>
          <t>iFile|Technology|Lead Software Engineer|B1|B-IC</t>
        </is>
      </c>
    </row>
    <row r="365" ht="110" customHeight="1">
      <c r="A365" s="28" t="inlineStr">
        <is>
          <t>iFile</t>
        </is>
      </c>
      <c r="B365" s="29" t="inlineStr">
        <is>
          <t>Technology</t>
        </is>
      </c>
      <c r="C365" s="29" t="n">
        <v>4</v>
      </c>
      <c r="D365" s="29" t="inlineStr">
        <is>
          <t>IRIS2140</t>
        </is>
      </c>
      <c r="E365" s="29" t="inlineStr">
        <is>
          <t>Aaqib Ahmad</t>
        </is>
      </c>
      <c r="F365" s="29" t="inlineStr">
        <is>
          <t>Software Engineer</t>
        </is>
      </c>
      <c r="G365" s="29" t="inlineStr">
        <is>
          <t>Senior Software Engineer</t>
        </is>
      </c>
      <c r="H365" s="29" t="inlineStr">
        <is>
          <t>Engineering &amp; Development</t>
        </is>
      </c>
      <c r="I365" s="29" t="inlineStr">
        <is>
          <t>Backend Development</t>
        </is>
      </c>
      <c r="J365" s="29" t="inlineStr">
        <is>
          <t>IC</t>
        </is>
      </c>
      <c r="K365" s="29" t="inlineStr">
        <is>
          <t>RC-067</t>
        </is>
      </c>
      <c r="L365" s="29" t="inlineStr">
        <is>
          <t>Nikhil Nalawade</t>
        </is>
      </c>
      <c r="M365" s="29" t="inlineStr">
        <is>
          <t>IRIS0846</t>
        </is>
      </c>
      <c r="N365" s="29" t="n">
        <v>10.3</v>
      </c>
      <c r="O365" s="29" t="n">
        <v>3.3</v>
      </c>
      <c r="P365" s="29" t="inlineStr">
        <is>
          <t>MSc</t>
        </is>
      </c>
      <c r="Q365" s="29" t="inlineStr">
        <is>
          <t>L3 – Professional / Associate</t>
        </is>
      </c>
      <c r="R365" s="29" t="inlineStr">
        <is>
          <t>A3</t>
        </is>
      </c>
      <c r="S365" s="30" t="inlineStr">
        <is>
          <t>20 of 20</t>
        </is>
      </c>
      <c r="T365" s="31"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t>
        </is>
      </c>
      <c r="U36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5" s="31" t="inlineStr">
        <is>
          <t>Latest rating: 4 · Potential: Medium · 9-box: Emerging Talent · Readiness: Ready now</t>
        </is>
      </c>
      <c r="W365" s="31" t="inlineStr">
        <is>
          <t>C M · Au M · Ac M · L L · BI M · Exp H · 10.3 yrs vs 2–4 yrs · Edu H · MSc</t>
        </is>
      </c>
      <c r="X365" s="33" t="inlineStr">
        <is>
          <t>Open ▸</t>
        </is>
      </c>
      <c r="Y365" s="34" t="str">
        <f>IFERROR(INDEX(DL_C,MATCH($CA365,DL_KEY,0)),"M")</f>
        <v>H</v>
      </c>
      <c r="Z365" s="35" t="str">
        <f>IFERROR(INDEX(DL_Au,MATCH($CA365,DL_KEY,0)),"M")</f>
        <v>M</v>
      </c>
      <c r="AA365" s="35" t="str">
        <f>IFERROR(INDEX(DL_Ac,MATCH($CA365,DL_KEY,0)),"M")</f>
        <v>L</v>
      </c>
      <c r="AB365" s="35" t="str">
        <f>IFERROR(INDEX(DL_L,MATCH($CA365,DL_KEY,0)),"M")</f>
        <v>L</v>
      </c>
      <c r="AC365" s="35" t="str">
        <f>IFERROR(INDEX(DL_BI,MATCH($CA365,DL_KEY,0)),"M")</f>
        <v>L</v>
      </c>
      <c r="AD365" s="35" t="str">
        <f>IFERROR(INDEX(DL_Exp,MATCH($CA365,DL_KEY,0)),"M")</f>
        <v>L</v>
      </c>
      <c r="AE365" s="35" t="str">
        <f>IFERROR(INDEX(DL_Edu,MATCH($CA365,DL_KEY,0)),"M")</f>
        <v>L</v>
      </c>
      <c r="AF365" s="34" t="inlineStr">
        <is>
          <t>M</t>
        </is>
      </c>
      <c r="AG365" s="35" t="inlineStr">
        <is>
          <t>M</t>
        </is>
      </c>
      <c r="AH365" s="35" t="inlineStr">
        <is>
          <t>M</t>
        </is>
      </c>
      <c r="AI365" s="35" t="inlineStr">
        <is>
          <t>M</t>
        </is>
      </c>
      <c r="AJ365" s="35" t="inlineStr">
        <is>
          <t>M</t>
        </is>
      </c>
      <c r="AK365" s="35" t="inlineStr">
        <is>
          <t>M</t>
        </is>
      </c>
      <c r="AL365" s="35" t="inlineStr">
        <is>
          <t>M</t>
        </is>
      </c>
      <c r="AM365" s="36" t="n">
        <v>0.583</v>
      </c>
      <c r="AN365" s="37" t="n">
        <v>0.16</v>
      </c>
      <c r="AO365" s="37" t="n">
        <v>0.09</v>
      </c>
      <c r="AP365" s="37" t="n">
        <v>0</v>
      </c>
      <c r="AQ365" s="37" t="n">
        <v>0.063</v>
      </c>
      <c r="AR365" s="37" t="n">
        <v>0.06</v>
      </c>
      <c r="AS365" s="37" t="n">
        <v>0.04</v>
      </c>
      <c r="AT365" s="38" t="inlineStr">
        <is>
          <t>2–5</t>
        </is>
      </c>
      <c r="AU365" s="38" t="inlineStr">
        <is>
          <t>Graduate; relevant certification preferred</t>
        </is>
      </c>
      <c r="AV365" s="38" t="inlineStr">
        <is>
          <t>None · guides 1–3 juniors informally</t>
        </is>
      </c>
      <c r="AW365" s="38" t="inlineStr">
        <is>
          <t>P2 · SFIA 3 Apply</t>
        </is>
      </c>
      <c r="AX3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5" s="39" t="inlineStr">
        <is>
          <t>A3</t>
        </is>
      </c>
      <c r="AZ365" s="40" t="inlineStr">
        <is>
          <t>Band A · Practitioner · Senior Associate</t>
        </is>
      </c>
      <c r="BA365" s="40" t="inlineStr">
        <is>
          <t>Model A3 from the six ratings, the market-derived weights and rules R1–R13 · then No change · already below the manager</t>
        </is>
      </c>
      <c r="BB365" s="41" t="inlineStr">
        <is>
          <t>A3</t>
        </is>
      </c>
      <c r="BC365" s="40" t="inlineStr">
        <is>
          <t>The six ratings on the market-average weights of Band A · all tracks score 2.93 → A3 · Hay, Mercer IPE and public plans · experience 10.3 yrs vs the A3 market range 2–5</t>
        </is>
      </c>
      <c r="BD365" s="42">
        <f>IF(SUM(BM365,BN365,BO365,BP365,BQ365,BR365,BS365)=0,0,(BM365*BT365+BN365*BU365+BO365*BV365+BP365*BW365+BQ365*BX365+BR365*BY365+BS365*BZ365)/SUM(BM365,BN365,BO365,BP365,BQ365,BR365,BS365))</f>
        <v>0</v>
      </c>
      <c r="BE365" s="41" t="str">
        <f>IF(LEFT(AY365,1)="X",AY365,IF(OR(AY365="B+",AY365="C+"),INDEX(LAD_PC,MAX(1,MIN(14,MATCH(AY365,LAD_PC,0)+IF(BD365&gt;=0.5,1,IF(BD365&lt;=-0.5,-1,0))))),INDEX(LAD_STD,MAX(1,MIN(12,MATCH(AY365,LAD_STD,0)+IF(BD365&gt;=0.5,1,IF(BD365&lt;=-0.5,-1,0)))))))</f>
        <v>A3</v>
      </c>
      <c r="BF365" s="43" t="n"/>
      <c r="BG365" s="41" t="str">
        <f>IF(BF365&lt;&gt;"",BF365,BE365)</f>
        <v>A3</v>
      </c>
      <c r="BH365" s="40" t="str">
        <f>IFERROR(CHOOSE(INDEX(B_RANK,MATCH(BG365,B_LVL,0)),"Band A","Band B","B+ · Player-Coach","Band C","C+ · Player-Coach","Band D","Band E"),"Band X · Consultant")</f>
        <v>Band A</v>
      </c>
      <c r="BI365" s="40" t="str">
        <f>IF(BG365=AY365,"• Same",IF(INDEX(B_VAL,MATCH(BG365,B_LVL,0))&gt;INDEX(B_VAL,MATCH(AY365,B_LVL,0)),"▲ Up","▼ Down"))</f>
        <v>• Same</v>
      </c>
      <c r="BJ365" s="40" t="str">
        <f>IF(OR($M365="",$M365="—",$M365="Not in this file"),"",IFERROR(INDEX($BG$7:$BG$592,MATCH($M365,$D$7:$D$592,0)),""))</f>
        <v>B2</v>
      </c>
      <c r="BK365" s="40" t="str">
        <f>IFERROR(IF(BJ365="","—",IF(OR(LEFT(BG365,1)="X",LEFT(BJ365,1)="X"),"—",IF(AND(LEFT(BG365,1)="E",LEFT(BJ365,1)="E"),"Exception · Band E",IF(AND(INDEX(B_VAL,MATCH(BJ365,B_LVL,0))&gt;=7,INDEX(B_RANK,MATCH(BG365,B_LVL,0))&gt;=INDEX(B_RANK,MATCH(BJ365,B_LVL,0))),"⚠ Same band as a head manager",IF(INDEX(B_VAL,MATCH(BG365,B_LVL,0))&gt;=INDEX(B_VAL,MATCH(BJ365,B_LVL,0)),"⚠ At or above the manager's level","OK"))))),"—")</f>
        <v>OK</v>
      </c>
      <c r="BL365" s="43" t="n"/>
      <c r="BM365" s="44">
        <f>IFERROR(INDEX(LMH_PTS,MATCH(Y365,LMH_KEY,0)),0)</f>
        <v>9</v>
      </c>
      <c r="BN365" s="38">
        <f>IFERROR(INDEX(LMH_PTS,MATCH(Z365,LMH_KEY,0)),0)</f>
        <v>3</v>
      </c>
      <c r="BO365" s="38">
        <f>IFERROR(INDEX(LMH_PTS,MATCH(AA365,LMH_KEY,0)),0)</f>
        <v>1</v>
      </c>
      <c r="BP365" s="38">
        <f>IFERROR(INDEX(LMH_PTS,MATCH(AB365,LMH_KEY,0)),0)</f>
        <v>1</v>
      </c>
      <c r="BQ365" s="38">
        <f>IFERROR(INDEX(LMH_PTS,MATCH(AC365,LMH_KEY,0)),0)</f>
        <v>1</v>
      </c>
      <c r="BR365" s="38">
        <f>IFERROR(INDEX(LMH_PTS,MATCH(AD365,LMH_KEY,0)),0)</f>
        <v>1</v>
      </c>
      <c r="BS365" s="38">
        <f>IFERROR(INDEX(LMH_PTS,MATCH(AE365,LMH_KEY,0)),0)</f>
        <v>1</v>
      </c>
      <c r="BT365" s="38">
        <f>IFERROR(INDEX(LMH_STEP,MATCH(AF365,LMH_KEY,0)),0)</f>
        <v>0</v>
      </c>
      <c r="BU365" s="38">
        <f>IFERROR(INDEX(LMH_STEP,MATCH(AG365,LMH_KEY,0)),0)</f>
        <v>0</v>
      </c>
      <c r="BV365" s="38">
        <f>IFERROR(INDEX(LMH_STEP,MATCH(AH365,LMH_KEY,0)),0)</f>
        <v>0</v>
      </c>
      <c r="BW365" s="38">
        <f>IFERROR(INDEX(LMH_STEP,MATCH(AI365,LMH_KEY,0)),0)</f>
        <v>0</v>
      </c>
      <c r="BX365" s="38">
        <f>IFERROR(INDEX(LMH_STEP,MATCH(AJ365,LMH_KEY,0)),0)</f>
        <v>0</v>
      </c>
      <c r="BY365" s="38">
        <f>IFERROR(INDEX(LMH_STEP,MATCH(AK365,LMH_KEY,0)),0)</f>
        <v>0</v>
      </c>
      <c r="BZ365" s="38">
        <f>IFERROR(INDEX(LMH_STEP,MATCH(AL365,LMH_KEY,0)),0)</f>
        <v>0</v>
      </c>
      <c r="CA365" s="38" t="inlineStr">
        <is>
          <t>iFile|Technology|Senior Software Engineer|A3|A</t>
        </is>
      </c>
    </row>
    <row r="366" ht="110" customHeight="1">
      <c r="A366" s="28" t="inlineStr">
        <is>
          <t>iFile</t>
        </is>
      </c>
      <c r="B366" s="29" t="inlineStr">
        <is>
          <t>Technology</t>
        </is>
      </c>
      <c r="C366" s="29" t="n">
        <v>4</v>
      </c>
      <c r="D366" s="29" t="inlineStr">
        <is>
          <t>IRIS2488</t>
        </is>
      </c>
      <c r="E366" s="29" t="inlineStr">
        <is>
          <t>Ajay Chauhan</t>
        </is>
      </c>
      <c r="F366" s="29" t="inlineStr">
        <is>
          <t>Software Engineer</t>
        </is>
      </c>
      <c r="G366" s="29" t="inlineStr">
        <is>
          <t>Senior Software Engineer</t>
        </is>
      </c>
      <c r="H366" s="29" t="inlineStr">
        <is>
          <t>Engineering &amp; Development</t>
        </is>
      </c>
      <c r="I366" s="29" t="inlineStr">
        <is>
          <t>Backend Development</t>
        </is>
      </c>
      <c r="J366" s="29" t="inlineStr">
        <is>
          <t>IC</t>
        </is>
      </c>
      <c r="K366" s="29" t="inlineStr">
        <is>
          <t>RC-067</t>
        </is>
      </c>
      <c r="L366" s="29" t="inlineStr">
        <is>
          <t>Nikhil Nalawade</t>
        </is>
      </c>
      <c r="M366" s="29" t="inlineStr">
        <is>
          <t>IRIS0846</t>
        </is>
      </c>
      <c r="N366" s="29" t="n">
        <v>4.7</v>
      </c>
      <c r="O366" s="29" t="n">
        <v>0.6</v>
      </c>
      <c r="P366" s="29" t="inlineStr">
        <is>
          <t>Post Graduation/ B.E</t>
        </is>
      </c>
      <c r="Q366" s="29" t="inlineStr">
        <is>
          <t>L3 – Professional / Associate</t>
        </is>
      </c>
      <c r="R366" s="29" t="inlineStr">
        <is>
          <t>A3</t>
        </is>
      </c>
      <c r="S366" s="30" t="inlineStr">
        <is>
          <t>20 of 20</t>
        </is>
      </c>
      <c r="T366" s="31"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t>
        </is>
      </c>
      <c r="U36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6" s="31" t="inlineStr">
        <is>
          <t>Latest rating: 2 · Potential: Low · 9-box: Reliable Specialist · Readiness: Performance first</t>
        </is>
      </c>
      <c r="W366" s="31" t="inlineStr">
        <is>
          <t>C L · Au L · Ac L · L L · BI L · Exp H · 4.7 yrs vs 2–4 yrs · Edu H · Post Graduation/ B.E</t>
        </is>
      </c>
      <c r="X366" s="33" t="inlineStr">
        <is>
          <t>Open ▸</t>
        </is>
      </c>
      <c r="Y366" s="34" t="str">
        <f>IFERROR(INDEX(DL_C,MATCH($CA366,DL_KEY,0)),"M")</f>
        <v>H</v>
      </c>
      <c r="Z366" s="35" t="str">
        <f>IFERROR(INDEX(DL_Au,MATCH($CA366,DL_KEY,0)),"M")</f>
        <v>M</v>
      </c>
      <c r="AA366" s="35" t="str">
        <f>IFERROR(INDEX(DL_Ac,MATCH($CA366,DL_KEY,0)),"M")</f>
        <v>L</v>
      </c>
      <c r="AB366" s="35" t="str">
        <f>IFERROR(INDEX(DL_L,MATCH($CA366,DL_KEY,0)),"M")</f>
        <v>L</v>
      </c>
      <c r="AC366" s="35" t="str">
        <f>IFERROR(INDEX(DL_BI,MATCH($CA366,DL_KEY,0)),"M")</f>
        <v>L</v>
      </c>
      <c r="AD366" s="35" t="str">
        <f>IFERROR(INDEX(DL_Exp,MATCH($CA366,DL_KEY,0)),"M")</f>
        <v>L</v>
      </c>
      <c r="AE366" s="35" t="str">
        <f>IFERROR(INDEX(DL_Edu,MATCH($CA366,DL_KEY,0)),"M")</f>
        <v>L</v>
      </c>
      <c r="AF366" s="34" t="inlineStr">
        <is>
          <t>M</t>
        </is>
      </c>
      <c r="AG366" s="35" t="inlineStr">
        <is>
          <t>M</t>
        </is>
      </c>
      <c r="AH366" s="35" t="inlineStr">
        <is>
          <t>M</t>
        </is>
      </c>
      <c r="AI366" s="35" t="inlineStr">
        <is>
          <t>M</t>
        </is>
      </c>
      <c r="AJ366" s="35" t="inlineStr">
        <is>
          <t>M</t>
        </is>
      </c>
      <c r="AK366" s="35" t="inlineStr">
        <is>
          <t>M</t>
        </is>
      </c>
      <c r="AL366" s="35" t="inlineStr">
        <is>
          <t>M</t>
        </is>
      </c>
      <c r="AM366" s="36" t="n">
        <v>0.583</v>
      </c>
      <c r="AN366" s="37" t="n">
        <v>0.16</v>
      </c>
      <c r="AO366" s="37" t="n">
        <v>0.09</v>
      </c>
      <c r="AP366" s="37" t="n">
        <v>0</v>
      </c>
      <c r="AQ366" s="37" t="n">
        <v>0.063</v>
      </c>
      <c r="AR366" s="37" t="n">
        <v>0.06</v>
      </c>
      <c r="AS366" s="37" t="n">
        <v>0.04</v>
      </c>
      <c r="AT366" s="38" t="inlineStr">
        <is>
          <t>2–5</t>
        </is>
      </c>
      <c r="AU366" s="38" t="inlineStr">
        <is>
          <t>Graduate; relevant certification preferred</t>
        </is>
      </c>
      <c r="AV366" s="38" t="inlineStr">
        <is>
          <t>None · guides 1–3 juniors informally</t>
        </is>
      </c>
      <c r="AW366" s="38" t="inlineStr">
        <is>
          <t>P2 · SFIA 3 Apply</t>
        </is>
      </c>
      <c r="AX3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6" s="39" t="inlineStr">
        <is>
          <t>A3</t>
        </is>
      </c>
      <c r="AZ366" s="40" t="inlineStr">
        <is>
          <t>Band A · Practitioner · Senior Associate</t>
        </is>
      </c>
      <c r="BA366" s="40" t="inlineStr">
        <is>
          <t>Model A3 from the six ratings, the market-derived weights and rules R1–R13 · then No change · already below the manager</t>
        </is>
      </c>
      <c r="BB366" s="41" t="inlineStr">
        <is>
          <t>A2</t>
        </is>
      </c>
      <c r="BC366" s="40" t="inlineStr">
        <is>
          <t>The six ratings on the market-average weights of Band A · all tracks score 2.20 → A2 · Hay, Mercer IPE and public plans · experience 4.7 yrs vs the A2 market range 0–3</t>
        </is>
      </c>
      <c r="BD366" s="42">
        <f>IF(SUM(BM366,BN366,BO366,BP366,BQ366,BR366,BS366)=0,0,(BM366*BT366+BN366*BU366+BO366*BV366+BP366*BW366+BQ366*BX366+BR366*BY366+BS366*BZ366)/SUM(BM366,BN366,BO366,BP366,BQ366,BR366,BS366))</f>
        <v>0</v>
      </c>
      <c r="BE366" s="41" t="str">
        <f>IF(LEFT(AY366,1)="X",AY366,IF(OR(AY366="B+",AY366="C+"),INDEX(LAD_PC,MAX(1,MIN(14,MATCH(AY366,LAD_PC,0)+IF(BD366&gt;=0.5,1,IF(BD366&lt;=-0.5,-1,0))))),INDEX(LAD_STD,MAX(1,MIN(12,MATCH(AY366,LAD_STD,0)+IF(BD366&gt;=0.5,1,IF(BD366&lt;=-0.5,-1,0)))))))</f>
        <v>A3</v>
      </c>
      <c r="BF366" s="43" t="n"/>
      <c r="BG366" s="41" t="str">
        <f>IF(BF366&lt;&gt;"",BF366,BE366)</f>
        <v>A3</v>
      </c>
      <c r="BH366" s="40" t="str">
        <f>IFERROR(CHOOSE(INDEX(B_RANK,MATCH(BG366,B_LVL,0)),"Band A","Band B","B+ · Player-Coach","Band C","C+ · Player-Coach","Band D","Band E"),"Band X · Consultant")</f>
        <v>Band A</v>
      </c>
      <c r="BI366" s="40" t="str">
        <f>IF(BG366=AY366,"• Same",IF(INDEX(B_VAL,MATCH(BG366,B_LVL,0))&gt;INDEX(B_VAL,MATCH(AY366,B_LVL,0)),"▲ Up","▼ Down"))</f>
        <v>• Same</v>
      </c>
      <c r="BJ366" s="40" t="str">
        <f>IF(OR($M366="",$M366="—",$M366="Not in this file"),"",IFERROR(INDEX($BG$7:$BG$592,MATCH($M366,$D$7:$D$592,0)),""))</f>
        <v>B2</v>
      </c>
      <c r="BK366" s="40" t="str">
        <f>IFERROR(IF(BJ366="","—",IF(OR(LEFT(BG366,1)="X",LEFT(BJ366,1)="X"),"—",IF(AND(LEFT(BG366,1)="E",LEFT(BJ366,1)="E"),"Exception · Band E",IF(AND(INDEX(B_VAL,MATCH(BJ366,B_LVL,0))&gt;=7,INDEX(B_RANK,MATCH(BG366,B_LVL,0))&gt;=INDEX(B_RANK,MATCH(BJ366,B_LVL,0))),"⚠ Same band as a head manager",IF(INDEX(B_VAL,MATCH(BG366,B_LVL,0))&gt;=INDEX(B_VAL,MATCH(BJ366,B_LVL,0)),"⚠ At or above the manager's level","OK"))))),"—")</f>
        <v>OK</v>
      </c>
      <c r="BL366" s="43" t="n"/>
      <c r="BM366" s="44">
        <f>IFERROR(INDEX(LMH_PTS,MATCH(Y366,LMH_KEY,0)),0)</f>
        <v>9</v>
      </c>
      <c r="BN366" s="38">
        <f>IFERROR(INDEX(LMH_PTS,MATCH(Z366,LMH_KEY,0)),0)</f>
        <v>3</v>
      </c>
      <c r="BO366" s="38">
        <f>IFERROR(INDEX(LMH_PTS,MATCH(AA366,LMH_KEY,0)),0)</f>
        <v>1</v>
      </c>
      <c r="BP366" s="38">
        <f>IFERROR(INDEX(LMH_PTS,MATCH(AB366,LMH_KEY,0)),0)</f>
        <v>1</v>
      </c>
      <c r="BQ366" s="38">
        <f>IFERROR(INDEX(LMH_PTS,MATCH(AC366,LMH_KEY,0)),0)</f>
        <v>1</v>
      </c>
      <c r="BR366" s="38">
        <f>IFERROR(INDEX(LMH_PTS,MATCH(AD366,LMH_KEY,0)),0)</f>
        <v>1</v>
      </c>
      <c r="BS366" s="38">
        <f>IFERROR(INDEX(LMH_PTS,MATCH(AE366,LMH_KEY,0)),0)</f>
        <v>1</v>
      </c>
      <c r="BT366" s="38">
        <f>IFERROR(INDEX(LMH_STEP,MATCH(AF366,LMH_KEY,0)),0)</f>
        <v>0</v>
      </c>
      <c r="BU366" s="38">
        <f>IFERROR(INDEX(LMH_STEP,MATCH(AG366,LMH_KEY,0)),0)</f>
        <v>0</v>
      </c>
      <c r="BV366" s="38">
        <f>IFERROR(INDEX(LMH_STEP,MATCH(AH366,LMH_KEY,0)),0)</f>
        <v>0</v>
      </c>
      <c r="BW366" s="38">
        <f>IFERROR(INDEX(LMH_STEP,MATCH(AI366,LMH_KEY,0)),0)</f>
        <v>0</v>
      </c>
      <c r="BX366" s="38">
        <f>IFERROR(INDEX(LMH_STEP,MATCH(AJ366,LMH_KEY,0)),0)</f>
        <v>0</v>
      </c>
      <c r="BY366" s="38">
        <f>IFERROR(INDEX(LMH_STEP,MATCH(AK366,LMH_KEY,0)),0)</f>
        <v>0</v>
      </c>
      <c r="BZ366" s="38">
        <f>IFERROR(INDEX(LMH_STEP,MATCH(AL366,LMH_KEY,0)),0)</f>
        <v>0</v>
      </c>
      <c r="CA366" s="38" t="inlineStr">
        <is>
          <t>iFile|Technology|Senior Software Engineer|A3|A</t>
        </is>
      </c>
    </row>
    <row r="367" ht="110" customHeight="1">
      <c r="A367" s="28" t="inlineStr">
        <is>
          <t>iFile</t>
        </is>
      </c>
      <c r="B367" s="29" t="inlineStr">
        <is>
          <t>Technology</t>
        </is>
      </c>
      <c r="C367" s="29" t="n">
        <v>4</v>
      </c>
      <c r="D367" s="29" t="inlineStr">
        <is>
          <t>IRIS2469</t>
        </is>
      </c>
      <c r="E367" s="29" t="inlineStr">
        <is>
          <t>Amiz Azad</t>
        </is>
      </c>
      <c r="F367" s="29" t="inlineStr">
        <is>
          <t>Senior Software Engineer</t>
        </is>
      </c>
      <c r="G367" s="29" t="inlineStr">
        <is>
          <t>Senior Software Engineer</t>
        </is>
      </c>
      <c r="H367" s="29" t="inlineStr">
        <is>
          <t>Engineering &amp; Development</t>
        </is>
      </c>
      <c r="I367" s="29" t="inlineStr">
        <is>
          <t>Backend Development</t>
        </is>
      </c>
      <c r="J367" s="29" t="inlineStr">
        <is>
          <t>IC</t>
        </is>
      </c>
      <c r="K367" s="29" t="inlineStr">
        <is>
          <t>RC-067</t>
        </is>
      </c>
      <c r="L367" s="29" t="inlineStr">
        <is>
          <t>Nikhil Nalawade</t>
        </is>
      </c>
      <c r="M367" s="29" t="inlineStr">
        <is>
          <t>IRIS0846</t>
        </is>
      </c>
      <c r="N367" s="29" t="n">
        <v>6.6</v>
      </c>
      <c r="O367" s="29" t="n">
        <v>0.6</v>
      </c>
      <c r="P367" s="29" t="inlineStr">
        <is>
          <t>B.E</t>
        </is>
      </c>
      <c r="Q367" s="29" t="inlineStr">
        <is>
          <t>L4 – Senior</t>
        </is>
      </c>
      <c r="R367" s="29" t="inlineStr">
        <is>
          <t>A3</t>
        </is>
      </c>
      <c r="S367" s="30" t="inlineStr">
        <is>
          <t>20 of 20</t>
        </is>
      </c>
      <c r="T367" s="31"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t>
        </is>
      </c>
      <c r="U36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7" s="31" t="inlineStr">
        <is>
          <t>Latest rating: 4 · Potential: High · 9-box: Future Leader · Readiness: Ready now</t>
        </is>
      </c>
      <c r="W367" s="31" t="inlineStr">
        <is>
          <t>C M · Au M · Ac M · L M · BI M · Exp H · 6.6 yrs vs 2–4 yrs · Edu M · B.E</t>
        </is>
      </c>
      <c r="X367" s="33" t="inlineStr">
        <is>
          <t>Open ▸</t>
        </is>
      </c>
      <c r="Y367" s="34" t="str">
        <f>IFERROR(INDEX(DL_C,MATCH($CA367,DL_KEY,0)),"M")</f>
        <v>H</v>
      </c>
      <c r="Z367" s="35" t="str">
        <f>IFERROR(INDEX(DL_Au,MATCH($CA367,DL_KEY,0)),"M")</f>
        <v>M</v>
      </c>
      <c r="AA367" s="35" t="str">
        <f>IFERROR(INDEX(DL_Ac,MATCH($CA367,DL_KEY,0)),"M")</f>
        <v>L</v>
      </c>
      <c r="AB367" s="35" t="str">
        <f>IFERROR(INDEX(DL_L,MATCH($CA367,DL_KEY,0)),"M")</f>
        <v>L</v>
      </c>
      <c r="AC367" s="35" t="str">
        <f>IFERROR(INDEX(DL_BI,MATCH($CA367,DL_KEY,0)),"M")</f>
        <v>L</v>
      </c>
      <c r="AD367" s="35" t="str">
        <f>IFERROR(INDEX(DL_Exp,MATCH($CA367,DL_KEY,0)),"M")</f>
        <v>L</v>
      </c>
      <c r="AE367" s="35" t="str">
        <f>IFERROR(INDEX(DL_Edu,MATCH($CA367,DL_KEY,0)),"M")</f>
        <v>L</v>
      </c>
      <c r="AF367" s="34" t="inlineStr">
        <is>
          <t>M</t>
        </is>
      </c>
      <c r="AG367" s="35" t="inlineStr">
        <is>
          <t>M</t>
        </is>
      </c>
      <c r="AH367" s="35" t="inlineStr">
        <is>
          <t>M</t>
        </is>
      </c>
      <c r="AI367" s="35" t="inlineStr">
        <is>
          <t>M</t>
        </is>
      </c>
      <c r="AJ367" s="35" t="inlineStr">
        <is>
          <t>M</t>
        </is>
      </c>
      <c r="AK367" s="35" t="inlineStr">
        <is>
          <t>M</t>
        </is>
      </c>
      <c r="AL367" s="35" t="inlineStr">
        <is>
          <t>M</t>
        </is>
      </c>
      <c r="AM367" s="36" t="n">
        <v>0.583</v>
      </c>
      <c r="AN367" s="37" t="n">
        <v>0.16</v>
      </c>
      <c r="AO367" s="37" t="n">
        <v>0.09</v>
      </c>
      <c r="AP367" s="37" t="n">
        <v>0</v>
      </c>
      <c r="AQ367" s="37" t="n">
        <v>0.063</v>
      </c>
      <c r="AR367" s="37" t="n">
        <v>0.06</v>
      </c>
      <c r="AS367" s="37" t="n">
        <v>0.04</v>
      </c>
      <c r="AT367" s="38" t="inlineStr">
        <is>
          <t>2–5</t>
        </is>
      </c>
      <c r="AU367" s="38" t="inlineStr">
        <is>
          <t>Graduate; relevant certification preferred</t>
        </is>
      </c>
      <c r="AV367" s="38" t="inlineStr">
        <is>
          <t>None · guides 1–3 juniors informally</t>
        </is>
      </c>
      <c r="AW367" s="38" t="inlineStr">
        <is>
          <t>P2 · SFIA 3 Apply</t>
        </is>
      </c>
      <c r="AX3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7" s="39" t="inlineStr">
        <is>
          <t>A3</t>
        </is>
      </c>
      <c r="AZ367" s="40" t="inlineStr">
        <is>
          <t>Band A · Practitioner · Senior Associate</t>
        </is>
      </c>
      <c r="BA367" s="40" t="inlineStr">
        <is>
          <t>Model A3 from the six ratings, the market-derived weights and rules R1–R13 · then No change · already below the manager</t>
        </is>
      </c>
      <c r="BB367" s="41" t="inlineStr">
        <is>
          <t>A3</t>
        </is>
      </c>
      <c r="BC367" s="40" t="inlineStr">
        <is>
          <t>The six ratings on the market-average weights of Band A · all tracks score 3.47 → A3 · Hay, Mercer IPE and public plans · experience 6.6 yrs vs the A3 market range 2–5</t>
        </is>
      </c>
      <c r="BD367" s="42">
        <f>IF(SUM(BM367,BN367,BO367,BP367,BQ367,BR367,BS367)=0,0,(BM367*BT367+BN367*BU367+BO367*BV367+BP367*BW367+BQ367*BX367+BR367*BY367+BS367*BZ367)/SUM(BM367,BN367,BO367,BP367,BQ367,BR367,BS367))</f>
        <v>0</v>
      </c>
      <c r="BE367" s="41" t="str">
        <f>IF(LEFT(AY367,1)="X",AY367,IF(OR(AY367="B+",AY367="C+"),INDEX(LAD_PC,MAX(1,MIN(14,MATCH(AY367,LAD_PC,0)+IF(BD367&gt;=0.5,1,IF(BD367&lt;=-0.5,-1,0))))),INDEX(LAD_STD,MAX(1,MIN(12,MATCH(AY367,LAD_STD,0)+IF(BD367&gt;=0.5,1,IF(BD367&lt;=-0.5,-1,0)))))))</f>
        <v>A3</v>
      </c>
      <c r="BF367" s="43" t="n"/>
      <c r="BG367" s="41" t="str">
        <f>IF(BF367&lt;&gt;"",BF367,BE367)</f>
        <v>A3</v>
      </c>
      <c r="BH367" s="40" t="str">
        <f>IFERROR(CHOOSE(INDEX(B_RANK,MATCH(BG367,B_LVL,0)),"Band A","Band B","B+ · Player-Coach","Band C","C+ · Player-Coach","Band D","Band E"),"Band X · Consultant")</f>
        <v>Band A</v>
      </c>
      <c r="BI367" s="40" t="str">
        <f>IF(BG367=AY367,"• Same",IF(INDEX(B_VAL,MATCH(BG367,B_LVL,0))&gt;INDEX(B_VAL,MATCH(AY367,B_LVL,0)),"▲ Up","▼ Down"))</f>
        <v>• Same</v>
      </c>
      <c r="BJ367" s="40" t="str">
        <f>IF(OR($M367="",$M367="—",$M367="Not in this file"),"",IFERROR(INDEX($BG$7:$BG$592,MATCH($M367,$D$7:$D$592,0)),""))</f>
        <v>B2</v>
      </c>
      <c r="BK367" s="40" t="str">
        <f>IFERROR(IF(BJ367="","—",IF(OR(LEFT(BG367,1)="X",LEFT(BJ367,1)="X"),"—",IF(AND(LEFT(BG367,1)="E",LEFT(BJ367,1)="E"),"Exception · Band E",IF(AND(INDEX(B_VAL,MATCH(BJ367,B_LVL,0))&gt;=7,INDEX(B_RANK,MATCH(BG367,B_LVL,0))&gt;=INDEX(B_RANK,MATCH(BJ367,B_LVL,0))),"⚠ Same band as a head manager",IF(INDEX(B_VAL,MATCH(BG367,B_LVL,0))&gt;=INDEX(B_VAL,MATCH(BJ367,B_LVL,0)),"⚠ At or above the manager's level","OK"))))),"—")</f>
        <v>OK</v>
      </c>
      <c r="BL367" s="43" t="n"/>
      <c r="BM367" s="44">
        <f>IFERROR(INDEX(LMH_PTS,MATCH(Y367,LMH_KEY,0)),0)</f>
        <v>9</v>
      </c>
      <c r="BN367" s="38">
        <f>IFERROR(INDEX(LMH_PTS,MATCH(Z367,LMH_KEY,0)),0)</f>
        <v>3</v>
      </c>
      <c r="BO367" s="38">
        <f>IFERROR(INDEX(LMH_PTS,MATCH(AA367,LMH_KEY,0)),0)</f>
        <v>1</v>
      </c>
      <c r="BP367" s="38">
        <f>IFERROR(INDEX(LMH_PTS,MATCH(AB367,LMH_KEY,0)),0)</f>
        <v>1</v>
      </c>
      <c r="BQ367" s="38">
        <f>IFERROR(INDEX(LMH_PTS,MATCH(AC367,LMH_KEY,0)),0)</f>
        <v>1</v>
      </c>
      <c r="BR367" s="38">
        <f>IFERROR(INDEX(LMH_PTS,MATCH(AD367,LMH_KEY,0)),0)</f>
        <v>1</v>
      </c>
      <c r="BS367" s="38">
        <f>IFERROR(INDEX(LMH_PTS,MATCH(AE367,LMH_KEY,0)),0)</f>
        <v>1</v>
      </c>
      <c r="BT367" s="38">
        <f>IFERROR(INDEX(LMH_STEP,MATCH(AF367,LMH_KEY,0)),0)</f>
        <v>0</v>
      </c>
      <c r="BU367" s="38">
        <f>IFERROR(INDEX(LMH_STEP,MATCH(AG367,LMH_KEY,0)),0)</f>
        <v>0</v>
      </c>
      <c r="BV367" s="38">
        <f>IFERROR(INDEX(LMH_STEP,MATCH(AH367,LMH_KEY,0)),0)</f>
        <v>0</v>
      </c>
      <c r="BW367" s="38">
        <f>IFERROR(INDEX(LMH_STEP,MATCH(AI367,LMH_KEY,0)),0)</f>
        <v>0</v>
      </c>
      <c r="BX367" s="38">
        <f>IFERROR(INDEX(LMH_STEP,MATCH(AJ367,LMH_KEY,0)),0)</f>
        <v>0</v>
      </c>
      <c r="BY367" s="38">
        <f>IFERROR(INDEX(LMH_STEP,MATCH(AK367,LMH_KEY,0)),0)</f>
        <v>0</v>
      </c>
      <c r="BZ367" s="38">
        <f>IFERROR(INDEX(LMH_STEP,MATCH(AL367,LMH_KEY,0)),0)</f>
        <v>0</v>
      </c>
      <c r="CA367" s="38" t="inlineStr">
        <is>
          <t>iFile|Technology|Senior Software Engineer|A3|A</t>
        </is>
      </c>
    </row>
    <row r="368" ht="110" customHeight="1">
      <c r="A368" s="28" t="inlineStr">
        <is>
          <t>iFile</t>
        </is>
      </c>
      <c r="B368" s="29" t="inlineStr">
        <is>
          <t>Technology</t>
        </is>
      </c>
      <c r="C368" s="29" t="n">
        <v>4</v>
      </c>
      <c r="D368" s="29" t="inlineStr">
        <is>
          <t>IRIS1787</t>
        </is>
      </c>
      <c r="E368" s="29" t="inlineStr">
        <is>
          <t>Ateef Ansari</t>
        </is>
      </c>
      <c r="F368" s="29" t="inlineStr">
        <is>
          <t>Senior Software Engineer</t>
        </is>
      </c>
      <c r="G368" s="29" t="inlineStr">
        <is>
          <t>Technical Specialist</t>
        </is>
      </c>
      <c r="H368" s="29" t="inlineStr">
        <is>
          <t>Engineering &amp; Development</t>
        </is>
      </c>
      <c r="I368" s="29" t="inlineStr">
        <is>
          <t>Full-Stack Development</t>
        </is>
      </c>
      <c r="J368" s="29" t="inlineStr">
        <is>
          <t>IC</t>
        </is>
      </c>
      <c r="K368" s="29" t="inlineStr">
        <is>
          <t>RC-085</t>
        </is>
      </c>
      <c r="L368" s="29" t="inlineStr">
        <is>
          <t>Nikhil Nalawade</t>
        </is>
      </c>
      <c r="M368" s="29" t="inlineStr">
        <is>
          <t>IRIS0846</t>
        </is>
      </c>
      <c r="N368" s="29" t="n">
        <v>7.3</v>
      </c>
      <c r="O368" s="29" t="n">
        <v>7.3</v>
      </c>
      <c r="P368" s="29" t="inlineStr">
        <is>
          <t>B.E</t>
        </is>
      </c>
      <c r="Q368" s="29" t="inlineStr">
        <is>
          <t>L4 – Senior</t>
        </is>
      </c>
      <c r="R368" s="29" t="inlineStr">
        <is>
          <t>A3</t>
        </is>
      </c>
      <c r="S368" s="30" t="inlineStr">
        <is>
          <t>20 of 20</t>
        </is>
      </c>
      <c r="T368" s="31"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t>
        </is>
      </c>
      <c r="U36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8" s="31" t="inlineStr">
        <is>
          <t>Latest rating: 4 · Potential: High · 9-box: Trusted Professional · Readiness: Ready now</t>
        </is>
      </c>
      <c r="W368" s="31" t="inlineStr">
        <is>
          <t>C M · Au M · Ac M · L M · BI M · Exp H · 7.3 yrs vs 2–4 yrs · Edu M · B.E</t>
        </is>
      </c>
      <c r="X368" s="33" t="inlineStr">
        <is>
          <t>Open ▸</t>
        </is>
      </c>
      <c r="Y368" s="34" t="str">
        <f>IFERROR(INDEX(DL_C,MATCH($CA368,DL_KEY,0)),"M")</f>
        <v>H</v>
      </c>
      <c r="Z368" s="35" t="str">
        <f>IFERROR(INDEX(DL_Au,MATCH($CA368,DL_KEY,0)),"M")</f>
        <v>M</v>
      </c>
      <c r="AA368" s="35" t="str">
        <f>IFERROR(INDEX(DL_Ac,MATCH($CA368,DL_KEY,0)),"M")</f>
        <v>L</v>
      </c>
      <c r="AB368" s="35" t="str">
        <f>IFERROR(INDEX(DL_L,MATCH($CA368,DL_KEY,0)),"M")</f>
        <v>L</v>
      </c>
      <c r="AC368" s="35" t="str">
        <f>IFERROR(INDEX(DL_BI,MATCH($CA368,DL_KEY,0)),"M")</f>
        <v>L</v>
      </c>
      <c r="AD368" s="35" t="str">
        <f>IFERROR(INDEX(DL_Exp,MATCH($CA368,DL_KEY,0)),"M")</f>
        <v>L</v>
      </c>
      <c r="AE368" s="35" t="str">
        <f>IFERROR(INDEX(DL_Edu,MATCH($CA368,DL_KEY,0)),"M")</f>
        <v>L</v>
      </c>
      <c r="AF368" s="34" t="inlineStr">
        <is>
          <t>M</t>
        </is>
      </c>
      <c r="AG368" s="35" t="inlineStr">
        <is>
          <t>M</t>
        </is>
      </c>
      <c r="AH368" s="35" t="inlineStr">
        <is>
          <t>M</t>
        </is>
      </c>
      <c r="AI368" s="35" t="inlineStr">
        <is>
          <t>M</t>
        </is>
      </c>
      <c r="AJ368" s="35" t="inlineStr">
        <is>
          <t>M</t>
        </is>
      </c>
      <c r="AK368" s="35" t="inlineStr">
        <is>
          <t>M</t>
        </is>
      </c>
      <c r="AL368" s="35" t="inlineStr">
        <is>
          <t>M</t>
        </is>
      </c>
      <c r="AM368" s="36" t="n">
        <v>0.583</v>
      </c>
      <c r="AN368" s="37" t="n">
        <v>0.16</v>
      </c>
      <c r="AO368" s="37" t="n">
        <v>0.09</v>
      </c>
      <c r="AP368" s="37" t="n">
        <v>0</v>
      </c>
      <c r="AQ368" s="37" t="n">
        <v>0.063</v>
      </c>
      <c r="AR368" s="37" t="n">
        <v>0.06</v>
      </c>
      <c r="AS368" s="37" t="n">
        <v>0.04</v>
      </c>
      <c r="AT368" s="38" t="inlineStr">
        <is>
          <t>2–5</t>
        </is>
      </c>
      <c r="AU368" s="38" t="inlineStr">
        <is>
          <t>Graduate; relevant certification preferred</t>
        </is>
      </c>
      <c r="AV368" s="38" t="inlineStr">
        <is>
          <t>None · guides 1–3 juniors informally</t>
        </is>
      </c>
      <c r="AW368" s="38" t="inlineStr">
        <is>
          <t>P2 · SFIA 3 Apply</t>
        </is>
      </c>
      <c r="AX3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8" s="39" t="inlineStr">
        <is>
          <t>A3</t>
        </is>
      </c>
      <c r="AZ368" s="40" t="inlineStr">
        <is>
          <t>Band A · Practitioner · Senior Associate</t>
        </is>
      </c>
      <c r="BA368" s="40" t="inlineStr">
        <is>
          <t>Model A3 from the six ratings, the market-derived weights and rules R1–R13 · then No change · already below the manager</t>
        </is>
      </c>
      <c r="BB368" s="41" t="inlineStr">
        <is>
          <t>B1</t>
        </is>
      </c>
      <c r="BC368" s="40" t="inlineStr">
        <is>
          <t>The six ratings on the market-average weights of Band A · all tracks score 3.53 → B1 · Hay, Mercer IPE and public plans · experience 7.3 yrs vs the B1 market range 4–8</t>
        </is>
      </c>
      <c r="BD368" s="42">
        <f>IF(SUM(BM368,BN368,BO368,BP368,BQ368,BR368,BS368)=0,0,(BM368*BT368+BN368*BU368+BO368*BV368+BP368*BW368+BQ368*BX368+BR368*BY368+BS368*BZ368)/SUM(BM368,BN368,BO368,BP368,BQ368,BR368,BS368))</f>
        <v>0</v>
      </c>
      <c r="BE368" s="41" t="str">
        <f>IF(LEFT(AY368,1)="X",AY368,IF(OR(AY368="B+",AY368="C+"),INDEX(LAD_PC,MAX(1,MIN(14,MATCH(AY368,LAD_PC,0)+IF(BD368&gt;=0.5,1,IF(BD368&lt;=-0.5,-1,0))))),INDEX(LAD_STD,MAX(1,MIN(12,MATCH(AY368,LAD_STD,0)+IF(BD368&gt;=0.5,1,IF(BD368&lt;=-0.5,-1,0)))))))</f>
        <v>A3</v>
      </c>
      <c r="BF368" s="43" t="n"/>
      <c r="BG368" s="41" t="str">
        <f>IF(BF368&lt;&gt;"",BF368,BE368)</f>
        <v>A3</v>
      </c>
      <c r="BH368" s="40" t="str">
        <f>IFERROR(CHOOSE(INDEX(B_RANK,MATCH(BG368,B_LVL,0)),"Band A","Band B","B+ · Player-Coach","Band C","C+ · Player-Coach","Band D","Band E"),"Band X · Consultant")</f>
        <v>Band A</v>
      </c>
      <c r="BI368" s="40" t="str">
        <f>IF(BG368=AY368,"• Same",IF(INDEX(B_VAL,MATCH(BG368,B_LVL,0))&gt;INDEX(B_VAL,MATCH(AY368,B_LVL,0)),"▲ Up","▼ Down"))</f>
        <v>• Same</v>
      </c>
      <c r="BJ368" s="40" t="str">
        <f>IF(OR($M368="",$M368="—",$M368="Not in this file"),"",IFERROR(INDEX($BG$7:$BG$592,MATCH($M368,$D$7:$D$592,0)),""))</f>
        <v>B2</v>
      </c>
      <c r="BK368" s="40" t="str">
        <f>IFERROR(IF(BJ368="","—",IF(OR(LEFT(BG368,1)="X",LEFT(BJ368,1)="X"),"—",IF(AND(LEFT(BG368,1)="E",LEFT(BJ368,1)="E"),"Exception · Band E",IF(AND(INDEX(B_VAL,MATCH(BJ368,B_LVL,0))&gt;=7,INDEX(B_RANK,MATCH(BG368,B_LVL,0))&gt;=INDEX(B_RANK,MATCH(BJ368,B_LVL,0))),"⚠ Same band as a head manager",IF(INDEX(B_VAL,MATCH(BG368,B_LVL,0))&gt;=INDEX(B_VAL,MATCH(BJ368,B_LVL,0)),"⚠ At or above the manager's level","OK"))))),"—")</f>
        <v>OK</v>
      </c>
      <c r="BL368" s="43" t="n"/>
      <c r="BM368" s="44">
        <f>IFERROR(INDEX(LMH_PTS,MATCH(Y368,LMH_KEY,0)),0)</f>
        <v>9</v>
      </c>
      <c r="BN368" s="38">
        <f>IFERROR(INDEX(LMH_PTS,MATCH(Z368,LMH_KEY,0)),0)</f>
        <v>3</v>
      </c>
      <c r="BO368" s="38">
        <f>IFERROR(INDEX(LMH_PTS,MATCH(AA368,LMH_KEY,0)),0)</f>
        <v>1</v>
      </c>
      <c r="BP368" s="38">
        <f>IFERROR(INDEX(LMH_PTS,MATCH(AB368,LMH_KEY,0)),0)</f>
        <v>1</v>
      </c>
      <c r="BQ368" s="38">
        <f>IFERROR(INDEX(LMH_PTS,MATCH(AC368,LMH_KEY,0)),0)</f>
        <v>1</v>
      </c>
      <c r="BR368" s="38">
        <f>IFERROR(INDEX(LMH_PTS,MATCH(AD368,LMH_KEY,0)),0)</f>
        <v>1</v>
      </c>
      <c r="BS368" s="38">
        <f>IFERROR(INDEX(LMH_PTS,MATCH(AE368,LMH_KEY,0)),0)</f>
        <v>1</v>
      </c>
      <c r="BT368" s="38">
        <f>IFERROR(INDEX(LMH_STEP,MATCH(AF368,LMH_KEY,0)),0)</f>
        <v>0</v>
      </c>
      <c r="BU368" s="38">
        <f>IFERROR(INDEX(LMH_STEP,MATCH(AG368,LMH_KEY,0)),0)</f>
        <v>0</v>
      </c>
      <c r="BV368" s="38">
        <f>IFERROR(INDEX(LMH_STEP,MATCH(AH368,LMH_KEY,0)),0)</f>
        <v>0</v>
      </c>
      <c r="BW368" s="38">
        <f>IFERROR(INDEX(LMH_STEP,MATCH(AI368,LMH_KEY,0)),0)</f>
        <v>0</v>
      </c>
      <c r="BX368" s="38">
        <f>IFERROR(INDEX(LMH_STEP,MATCH(AJ368,LMH_KEY,0)),0)</f>
        <v>0</v>
      </c>
      <c r="BY368" s="38">
        <f>IFERROR(INDEX(LMH_STEP,MATCH(AK368,LMH_KEY,0)),0)</f>
        <v>0</v>
      </c>
      <c r="BZ368" s="38">
        <f>IFERROR(INDEX(LMH_STEP,MATCH(AL368,LMH_KEY,0)),0)</f>
        <v>0</v>
      </c>
      <c r="CA368" s="38" t="inlineStr">
        <is>
          <t>iFile|Technology|Technical Specialist|A3|A</t>
        </is>
      </c>
    </row>
    <row r="369" ht="110" customHeight="1">
      <c r="A369" s="28" t="inlineStr">
        <is>
          <t>iFile</t>
        </is>
      </c>
      <c r="B369" s="29" t="inlineStr">
        <is>
          <t>Technology</t>
        </is>
      </c>
      <c r="C369" s="29" t="n">
        <v>4</v>
      </c>
      <c r="D369" s="29" t="inlineStr">
        <is>
          <t>IRIS2436</t>
        </is>
      </c>
      <c r="E369" s="29" t="inlineStr">
        <is>
          <t>Balram Mahato</t>
        </is>
      </c>
      <c r="F369" s="29" t="inlineStr">
        <is>
          <t>Software Engineer</t>
        </is>
      </c>
      <c r="G369" s="29" t="inlineStr">
        <is>
          <t>Senior Software Engineer</t>
        </is>
      </c>
      <c r="H369" s="29" t="inlineStr">
        <is>
          <t>Engineering &amp; Development</t>
        </is>
      </c>
      <c r="I369" s="29" t="inlineStr">
        <is>
          <t>Backend Development</t>
        </is>
      </c>
      <c r="J369" s="29" t="inlineStr">
        <is>
          <t>IC</t>
        </is>
      </c>
      <c r="K369" s="29" t="inlineStr">
        <is>
          <t>RC-067</t>
        </is>
      </c>
      <c r="L369" s="29" t="inlineStr">
        <is>
          <t>Nikhil Nalawade</t>
        </is>
      </c>
      <c r="M369" s="29" t="inlineStr">
        <is>
          <t>IRIS0846</t>
        </is>
      </c>
      <c r="N369" s="29" t="n">
        <v>4.3</v>
      </c>
      <c r="O369" s="29" t="n">
        <v>1</v>
      </c>
      <c r="P369" s="29" t="inlineStr">
        <is>
          <t>B.E</t>
        </is>
      </c>
      <c r="Q369" s="29" t="inlineStr">
        <is>
          <t>L3 – Professional / Associate</t>
        </is>
      </c>
      <c r="R369" s="29" t="inlineStr">
        <is>
          <t>A3</t>
        </is>
      </c>
      <c r="S369" s="30" t="inlineStr">
        <is>
          <t>20 of 20</t>
        </is>
      </c>
      <c r="T369" s="31"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t>
        </is>
      </c>
      <c r="U36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9" s="31" t="inlineStr">
        <is>
          <t>Latest rating: 4 · Potential: High · 9-box: Trusted Professional · Readiness: Ready now</t>
        </is>
      </c>
      <c r="W369" s="31" t="inlineStr">
        <is>
          <t>C L · Au L · Ac L · L L · BI L · Exp H · 4.3 yrs vs 2–4 yrs · Edu M · B.E</t>
        </is>
      </c>
      <c r="X369" s="33" t="inlineStr">
        <is>
          <t>Open ▸</t>
        </is>
      </c>
      <c r="Y369" s="34" t="str">
        <f>IFERROR(INDEX(DL_C,MATCH($CA369,DL_KEY,0)),"M")</f>
        <v>H</v>
      </c>
      <c r="Z369" s="35" t="str">
        <f>IFERROR(INDEX(DL_Au,MATCH($CA369,DL_KEY,0)),"M")</f>
        <v>M</v>
      </c>
      <c r="AA369" s="35" t="str">
        <f>IFERROR(INDEX(DL_Ac,MATCH($CA369,DL_KEY,0)),"M")</f>
        <v>L</v>
      </c>
      <c r="AB369" s="35" t="str">
        <f>IFERROR(INDEX(DL_L,MATCH($CA369,DL_KEY,0)),"M")</f>
        <v>L</v>
      </c>
      <c r="AC369" s="35" t="str">
        <f>IFERROR(INDEX(DL_BI,MATCH($CA369,DL_KEY,0)),"M")</f>
        <v>L</v>
      </c>
      <c r="AD369" s="35" t="str">
        <f>IFERROR(INDEX(DL_Exp,MATCH($CA369,DL_KEY,0)),"M")</f>
        <v>L</v>
      </c>
      <c r="AE369" s="35" t="str">
        <f>IFERROR(INDEX(DL_Edu,MATCH($CA369,DL_KEY,0)),"M")</f>
        <v>L</v>
      </c>
      <c r="AF369" s="34" t="inlineStr">
        <is>
          <t>M</t>
        </is>
      </c>
      <c r="AG369" s="35" t="inlineStr">
        <is>
          <t>M</t>
        </is>
      </c>
      <c r="AH369" s="35" t="inlineStr">
        <is>
          <t>M</t>
        </is>
      </c>
      <c r="AI369" s="35" t="inlineStr">
        <is>
          <t>M</t>
        </is>
      </c>
      <c r="AJ369" s="35" t="inlineStr">
        <is>
          <t>M</t>
        </is>
      </c>
      <c r="AK369" s="35" t="inlineStr">
        <is>
          <t>M</t>
        </is>
      </c>
      <c r="AL369" s="35" t="inlineStr">
        <is>
          <t>M</t>
        </is>
      </c>
      <c r="AM369" s="36" t="n">
        <v>0.583</v>
      </c>
      <c r="AN369" s="37" t="n">
        <v>0.16</v>
      </c>
      <c r="AO369" s="37" t="n">
        <v>0.09</v>
      </c>
      <c r="AP369" s="37" t="n">
        <v>0</v>
      </c>
      <c r="AQ369" s="37" t="n">
        <v>0.063</v>
      </c>
      <c r="AR369" s="37" t="n">
        <v>0.06</v>
      </c>
      <c r="AS369" s="37" t="n">
        <v>0.04</v>
      </c>
      <c r="AT369" s="38" t="inlineStr">
        <is>
          <t>2–5</t>
        </is>
      </c>
      <c r="AU369" s="38" t="inlineStr">
        <is>
          <t>Graduate; relevant certification preferred</t>
        </is>
      </c>
      <c r="AV369" s="38" t="inlineStr">
        <is>
          <t>None · guides 1–3 juniors informally</t>
        </is>
      </c>
      <c r="AW369" s="38" t="inlineStr">
        <is>
          <t>P2 · SFIA 3 Apply</t>
        </is>
      </c>
      <c r="AX3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9" s="39" t="inlineStr">
        <is>
          <t>A3</t>
        </is>
      </c>
      <c r="AZ369" s="40" t="inlineStr">
        <is>
          <t>Band A · Practitioner · Senior Associate</t>
        </is>
      </c>
      <c r="BA369" s="40" t="inlineStr">
        <is>
          <t>Model A3 from the six ratings, the market-derived weights and rules R1–R13 · then No change · already below the manager</t>
        </is>
      </c>
      <c r="BB369" s="41" t="inlineStr">
        <is>
          <t>A2</t>
        </is>
      </c>
      <c r="BC369" s="40" t="inlineStr">
        <is>
          <t>The six ratings on the market-average weights of Band A · all tracks score 2.15 → A2 · Hay, Mercer IPE and public plans · experience 4.3 yrs vs the A2 market range 0–3</t>
        </is>
      </c>
      <c r="BD369" s="42">
        <f>IF(SUM(BM369,BN369,BO369,BP369,BQ369,BR369,BS369)=0,0,(BM369*BT369+BN369*BU369+BO369*BV369+BP369*BW369+BQ369*BX369+BR369*BY369+BS369*BZ369)/SUM(BM369,BN369,BO369,BP369,BQ369,BR369,BS369))</f>
        <v>0</v>
      </c>
      <c r="BE369" s="41" t="str">
        <f>IF(LEFT(AY369,1)="X",AY369,IF(OR(AY369="B+",AY369="C+"),INDEX(LAD_PC,MAX(1,MIN(14,MATCH(AY369,LAD_PC,0)+IF(BD369&gt;=0.5,1,IF(BD369&lt;=-0.5,-1,0))))),INDEX(LAD_STD,MAX(1,MIN(12,MATCH(AY369,LAD_STD,0)+IF(BD369&gt;=0.5,1,IF(BD369&lt;=-0.5,-1,0)))))))</f>
        <v>A3</v>
      </c>
      <c r="BF369" s="43" t="n"/>
      <c r="BG369" s="41" t="str">
        <f>IF(BF369&lt;&gt;"",BF369,BE369)</f>
        <v>A3</v>
      </c>
      <c r="BH369" s="40" t="str">
        <f>IFERROR(CHOOSE(INDEX(B_RANK,MATCH(BG369,B_LVL,0)),"Band A","Band B","B+ · Player-Coach","Band C","C+ · Player-Coach","Band D","Band E"),"Band X · Consultant")</f>
        <v>Band A</v>
      </c>
      <c r="BI369" s="40" t="str">
        <f>IF(BG369=AY369,"• Same",IF(INDEX(B_VAL,MATCH(BG369,B_LVL,0))&gt;INDEX(B_VAL,MATCH(AY369,B_LVL,0)),"▲ Up","▼ Down"))</f>
        <v>• Same</v>
      </c>
      <c r="BJ369" s="40" t="str">
        <f>IF(OR($M369="",$M369="—",$M369="Not in this file"),"",IFERROR(INDEX($BG$7:$BG$592,MATCH($M369,$D$7:$D$592,0)),""))</f>
        <v>B2</v>
      </c>
      <c r="BK369" s="40" t="str">
        <f>IFERROR(IF(BJ369="","—",IF(OR(LEFT(BG369,1)="X",LEFT(BJ369,1)="X"),"—",IF(AND(LEFT(BG369,1)="E",LEFT(BJ369,1)="E"),"Exception · Band E",IF(AND(INDEX(B_VAL,MATCH(BJ369,B_LVL,0))&gt;=7,INDEX(B_RANK,MATCH(BG369,B_LVL,0))&gt;=INDEX(B_RANK,MATCH(BJ369,B_LVL,0))),"⚠ Same band as a head manager",IF(INDEX(B_VAL,MATCH(BG369,B_LVL,0))&gt;=INDEX(B_VAL,MATCH(BJ369,B_LVL,0)),"⚠ At or above the manager's level","OK"))))),"—")</f>
        <v>OK</v>
      </c>
      <c r="BL369" s="43" t="n"/>
      <c r="BM369" s="44">
        <f>IFERROR(INDEX(LMH_PTS,MATCH(Y369,LMH_KEY,0)),0)</f>
        <v>9</v>
      </c>
      <c r="BN369" s="38">
        <f>IFERROR(INDEX(LMH_PTS,MATCH(Z369,LMH_KEY,0)),0)</f>
        <v>3</v>
      </c>
      <c r="BO369" s="38">
        <f>IFERROR(INDEX(LMH_PTS,MATCH(AA369,LMH_KEY,0)),0)</f>
        <v>1</v>
      </c>
      <c r="BP369" s="38">
        <f>IFERROR(INDEX(LMH_PTS,MATCH(AB369,LMH_KEY,0)),0)</f>
        <v>1</v>
      </c>
      <c r="BQ369" s="38">
        <f>IFERROR(INDEX(LMH_PTS,MATCH(AC369,LMH_KEY,0)),0)</f>
        <v>1</v>
      </c>
      <c r="BR369" s="38">
        <f>IFERROR(INDEX(LMH_PTS,MATCH(AD369,LMH_KEY,0)),0)</f>
        <v>1</v>
      </c>
      <c r="BS369" s="38">
        <f>IFERROR(INDEX(LMH_PTS,MATCH(AE369,LMH_KEY,0)),0)</f>
        <v>1</v>
      </c>
      <c r="BT369" s="38">
        <f>IFERROR(INDEX(LMH_STEP,MATCH(AF369,LMH_KEY,0)),0)</f>
        <v>0</v>
      </c>
      <c r="BU369" s="38">
        <f>IFERROR(INDEX(LMH_STEP,MATCH(AG369,LMH_KEY,0)),0)</f>
        <v>0</v>
      </c>
      <c r="BV369" s="38">
        <f>IFERROR(INDEX(LMH_STEP,MATCH(AH369,LMH_KEY,0)),0)</f>
        <v>0</v>
      </c>
      <c r="BW369" s="38">
        <f>IFERROR(INDEX(LMH_STEP,MATCH(AI369,LMH_KEY,0)),0)</f>
        <v>0</v>
      </c>
      <c r="BX369" s="38">
        <f>IFERROR(INDEX(LMH_STEP,MATCH(AJ369,LMH_KEY,0)),0)</f>
        <v>0</v>
      </c>
      <c r="BY369" s="38">
        <f>IFERROR(INDEX(LMH_STEP,MATCH(AK369,LMH_KEY,0)),0)</f>
        <v>0</v>
      </c>
      <c r="BZ369" s="38">
        <f>IFERROR(INDEX(LMH_STEP,MATCH(AL369,LMH_KEY,0)),0)</f>
        <v>0</v>
      </c>
      <c r="CA369" s="38" t="inlineStr">
        <is>
          <t>iFile|Technology|Senior Software Engineer|A3|A</t>
        </is>
      </c>
    </row>
    <row r="370" ht="110" customHeight="1">
      <c r="A370" s="28" t="inlineStr">
        <is>
          <t>iFile</t>
        </is>
      </c>
      <c r="B370" s="29" t="inlineStr">
        <is>
          <t>Technology</t>
        </is>
      </c>
      <c r="C370" s="29" t="n">
        <v>4</v>
      </c>
      <c r="D370" s="29" t="inlineStr">
        <is>
          <t>IRIS1906</t>
        </is>
      </c>
      <c r="E370" s="29" t="inlineStr">
        <is>
          <t>Gaurav Ghare</t>
        </is>
      </c>
      <c r="F370" s="29" t="inlineStr">
        <is>
          <t>Senior Software Engineer</t>
        </is>
      </c>
      <c r="G370" s="29" t="inlineStr">
        <is>
          <t>Senior Software Engineer</t>
        </is>
      </c>
      <c r="H370" s="29" t="inlineStr">
        <is>
          <t>Engineering &amp; Development</t>
        </is>
      </c>
      <c r="I370" s="29" t="inlineStr">
        <is>
          <t>Backend Development</t>
        </is>
      </c>
      <c r="J370" s="29" t="inlineStr">
        <is>
          <t>IC</t>
        </is>
      </c>
      <c r="K370" s="29" t="inlineStr">
        <is>
          <t>RC-067</t>
        </is>
      </c>
      <c r="L370" s="29" t="inlineStr">
        <is>
          <t>Nikhil Nalawade</t>
        </is>
      </c>
      <c r="M370" s="29" t="inlineStr">
        <is>
          <t>IRIS0846</t>
        </is>
      </c>
      <c r="N370" s="29" t="n">
        <v>9.4</v>
      </c>
      <c r="O370" s="29" t="n">
        <v>5.4</v>
      </c>
      <c r="P370" s="29" t="inlineStr">
        <is>
          <t>B.E</t>
        </is>
      </c>
      <c r="Q370" s="29" t="inlineStr">
        <is>
          <t>L4 – Senior</t>
        </is>
      </c>
      <c r="R370" s="29" t="inlineStr">
        <is>
          <t>A3</t>
        </is>
      </c>
      <c r="S370" s="30" t="inlineStr">
        <is>
          <t>19 of 20</t>
        </is>
      </c>
      <c r="T370" s="31"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
        </is>
      </c>
      <c r="U370"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0" s="31" t="inlineStr">
        <is>
          <t>Latest rating: 3 · Potential: Medium · 9-box: Emerging Talent · Readiness: Develop in role</t>
        </is>
      </c>
      <c r="W370" s="31" t="inlineStr">
        <is>
          <t>C M · Au M · Ac M · L L · BI M · Exp H · 9.4 yrs vs 2–4 yrs · Edu M · B.E</t>
        </is>
      </c>
      <c r="X370" s="33" t="inlineStr">
        <is>
          <t>Open ▸</t>
        </is>
      </c>
      <c r="Y370" s="34" t="str">
        <f>IFERROR(INDEX(DL_C,MATCH($CA370,DL_KEY,0)),"M")</f>
        <v>H</v>
      </c>
      <c r="Z370" s="35" t="str">
        <f>IFERROR(INDEX(DL_Au,MATCH($CA370,DL_KEY,0)),"M")</f>
        <v>M</v>
      </c>
      <c r="AA370" s="35" t="str">
        <f>IFERROR(INDEX(DL_Ac,MATCH($CA370,DL_KEY,0)),"M")</f>
        <v>L</v>
      </c>
      <c r="AB370" s="35" t="str">
        <f>IFERROR(INDEX(DL_L,MATCH($CA370,DL_KEY,0)),"M")</f>
        <v>L</v>
      </c>
      <c r="AC370" s="35" t="str">
        <f>IFERROR(INDEX(DL_BI,MATCH($CA370,DL_KEY,0)),"M")</f>
        <v>L</v>
      </c>
      <c r="AD370" s="35" t="str">
        <f>IFERROR(INDEX(DL_Exp,MATCH($CA370,DL_KEY,0)),"M")</f>
        <v>L</v>
      </c>
      <c r="AE370" s="35" t="str">
        <f>IFERROR(INDEX(DL_Edu,MATCH($CA370,DL_KEY,0)),"M")</f>
        <v>L</v>
      </c>
      <c r="AF370" s="34" t="inlineStr">
        <is>
          <t>M</t>
        </is>
      </c>
      <c r="AG370" s="35" t="inlineStr">
        <is>
          <t>M</t>
        </is>
      </c>
      <c r="AH370" s="35" t="inlineStr">
        <is>
          <t>M</t>
        </is>
      </c>
      <c r="AI370" s="35" t="inlineStr">
        <is>
          <t>M</t>
        </is>
      </c>
      <c r="AJ370" s="35" t="inlineStr">
        <is>
          <t>M</t>
        </is>
      </c>
      <c r="AK370" s="35" t="inlineStr">
        <is>
          <t>M</t>
        </is>
      </c>
      <c r="AL370" s="35" t="inlineStr">
        <is>
          <t>M</t>
        </is>
      </c>
      <c r="AM370" s="36" t="n">
        <v>0.583</v>
      </c>
      <c r="AN370" s="37" t="n">
        <v>0.16</v>
      </c>
      <c r="AO370" s="37" t="n">
        <v>0.09</v>
      </c>
      <c r="AP370" s="37" t="n">
        <v>0</v>
      </c>
      <c r="AQ370" s="37" t="n">
        <v>0.063</v>
      </c>
      <c r="AR370" s="37" t="n">
        <v>0.06</v>
      </c>
      <c r="AS370" s="37" t="n">
        <v>0.04</v>
      </c>
      <c r="AT370" s="38" t="inlineStr">
        <is>
          <t>2–5</t>
        </is>
      </c>
      <c r="AU370" s="38" t="inlineStr">
        <is>
          <t>Graduate; relevant certification preferred</t>
        </is>
      </c>
      <c r="AV370" s="38" t="inlineStr">
        <is>
          <t>None · guides 1–3 juniors informally</t>
        </is>
      </c>
      <c r="AW370" s="38" t="inlineStr">
        <is>
          <t>P2 · SFIA 3 Apply</t>
        </is>
      </c>
      <c r="AX3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0" s="39" t="inlineStr">
        <is>
          <t>A3</t>
        </is>
      </c>
      <c r="AZ370" s="40" t="inlineStr">
        <is>
          <t>Band A · Practitioner · Senior Associate</t>
        </is>
      </c>
      <c r="BA370" s="40" t="inlineStr">
        <is>
          <t>Model A3 from the six ratings, the market-derived weights and rules R1–R13 · then No change · already below the manager</t>
        </is>
      </c>
      <c r="BB370" s="41" t="inlineStr">
        <is>
          <t>A3</t>
        </is>
      </c>
      <c r="BC370" s="40" t="inlineStr">
        <is>
          <t>The six ratings on the market-average weights of Band A · all tracks score 2.93 → A3 · Hay, Mercer IPE and public plans · experience 9.4 yrs vs the A3 market range 2–5</t>
        </is>
      </c>
      <c r="BD370" s="42">
        <f>IF(SUM(BM370,BN370,BO370,BP370,BQ370,BR370,BS370)=0,0,(BM370*BT370+BN370*BU370+BO370*BV370+BP370*BW370+BQ370*BX370+BR370*BY370+BS370*BZ370)/SUM(BM370,BN370,BO370,BP370,BQ370,BR370,BS370))</f>
        <v>0</v>
      </c>
      <c r="BE370" s="41" t="str">
        <f>IF(LEFT(AY370,1)="X",AY370,IF(OR(AY370="B+",AY370="C+"),INDEX(LAD_PC,MAX(1,MIN(14,MATCH(AY370,LAD_PC,0)+IF(BD370&gt;=0.5,1,IF(BD370&lt;=-0.5,-1,0))))),INDEX(LAD_STD,MAX(1,MIN(12,MATCH(AY370,LAD_STD,0)+IF(BD370&gt;=0.5,1,IF(BD370&lt;=-0.5,-1,0)))))))</f>
        <v>A3</v>
      </c>
      <c r="BF370" s="43" t="n"/>
      <c r="BG370" s="41" t="str">
        <f>IF(BF370&lt;&gt;"",BF370,BE370)</f>
        <v>A3</v>
      </c>
      <c r="BH370" s="40" t="str">
        <f>IFERROR(CHOOSE(INDEX(B_RANK,MATCH(BG370,B_LVL,0)),"Band A","Band B","B+ · Player-Coach","Band C","C+ · Player-Coach","Band D","Band E"),"Band X · Consultant")</f>
        <v>Band A</v>
      </c>
      <c r="BI370" s="40" t="str">
        <f>IF(BG370=AY370,"• Same",IF(INDEX(B_VAL,MATCH(BG370,B_LVL,0))&gt;INDEX(B_VAL,MATCH(AY370,B_LVL,0)),"▲ Up","▼ Down"))</f>
        <v>• Same</v>
      </c>
      <c r="BJ370" s="40" t="str">
        <f>IF(OR($M370="",$M370="—",$M370="Not in this file"),"",IFERROR(INDEX($BG$7:$BG$592,MATCH($M370,$D$7:$D$592,0)),""))</f>
        <v>B2</v>
      </c>
      <c r="BK370" s="40" t="str">
        <f>IFERROR(IF(BJ370="","—",IF(OR(LEFT(BG370,1)="X",LEFT(BJ370,1)="X"),"—",IF(AND(LEFT(BG370,1)="E",LEFT(BJ370,1)="E"),"Exception · Band E",IF(AND(INDEX(B_VAL,MATCH(BJ370,B_LVL,0))&gt;=7,INDEX(B_RANK,MATCH(BG370,B_LVL,0))&gt;=INDEX(B_RANK,MATCH(BJ370,B_LVL,0))),"⚠ Same band as a head manager",IF(INDEX(B_VAL,MATCH(BG370,B_LVL,0))&gt;=INDEX(B_VAL,MATCH(BJ370,B_LVL,0)),"⚠ At or above the manager's level","OK"))))),"—")</f>
        <v>OK</v>
      </c>
      <c r="BL370" s="43" t="n"/>
      <c r="BM370" s="44">
        <f>IFERROR(INDEX(LMH_PTS,MATCH(Y370,LMH_KEY,0)),0)</f>
        <v>9</v>
      </c>
      <c r="BN370" s="38">
        <f>IFERROR(INDEX(LMH_PTS,MATCH(Z370,LMH_KEY,0)),0)</f>
        <v>3</v>
      </c>
      <c r="BO370" s="38">
        <f>IFERROR(INDEX(LMH_PTS,MATCH(AA370,LMH_KEY,0)),0)</f>
        <v>1</v>
      </c>
      <c r="BP370" s="38">
        <f>IFERROR(INDEX(LMH_PTS,MATCH(AB370,LMH_KEY,0)),0)</f>
        <v>1</v>
      </c>
      <c r="BQ370" s="38">
        <f>IFERROR(INDEX(LMH_PTS,MATCH(AC370,LMH_KEY,0)),0)</f>
        <v>1</v>
      </c>
      <c r="BR370" s="38">
        <f>IFERROR(INDEX(LMH_PTS,MATCH(AD370,LMH_KEY,0)),0)</f>
        <v>1</v>
      </c>
      <c r="BS370" s="38">
        <f>IFERROR(INDEX(LMH_PTS,MATCH(AE370,LMH_KEY,0)),0)</f>
        <v>1</v>
      </c>
      <c r="BT370" s="38">
        <f>IFERROR(INDEX(LMH_STEP,MATCH(AF370,LMH_KEY,0)),0)</f>
        <v>0</v>
      </c>
      <c r="BU370" s="38">
        <f>IFERROR(INDEX(LMH_STEP,MATCH(AG370,LMH_KEY,0)),0)</f>
        <v>0</v>
      </c>
      <c r="BV370" s="38">
        <f>IFERROR(INDEX(LMH_STEP,MATCH(AH370,LMH_KEY,0)),0)</f>
        <v>0</v>
      </c>
      <c r="BW370" s="38">
        <f>IFERROR(INDEX(LMH_STEP,MATCH(AI370,LMH_KEY,0)),0)</f>
        <v>0</v>
      </c>
      <c r="BX370" s="38">
        <f>IFERROR(INDEX(LMH_STEP,MATCH(AJ370,LMH_KEY,0)),0)</f>
        <v>0</v>
      </c>
      <c r="BY370" s="38">
        <f>IFERROR(INDEX(LMH_STEP,MATCH(AK370,LMH_KEY,0)),0)</f>
        <v>0</v>
      </c>
      <c r="BZ370" s="38">
        <f>IFERROR(INDEX(LMH_STEP,MATCH(AL370,LMH_KEY,0)),0)</f>
        <v>0</v>
      </c>
      <c r="CA370" s="38" t="inlineStr">
        <is>
          <t>iFile|Technology|Senior Software Engineer|A3|A</t>
        </is>
      </c>
    </row>
    <row r="371" ht="110" customHeight="1">
      <c r="A371" s="28" t="inlineStr">
        <is>
          <t>iFile</t>
        </is>
      </c>
      <c r="B371" s="29" t="inlineStr">
        <is>
          <t>Technology</t>
        </is>
      </c>
      <c r="C371" s="29" t="n">
        <v>4</v>
      </c>
      <c r="D371" s="29" t="inlineStr">
        <is>
          <t>IRIS2470</t>
        </is>
      </c>
      <c r="E371" s="29" t="inlineStr">
        <is>
          <t>Khelendra Pratap Singh</t>
        </is>
      </c>
      <c r="F371" s="29" t="inlineStr">
        <is>
          <t>Senior Software Engineer</t>
        </is>
      </c>
      <c r="G371" s="29" t="inlineStr">
        <is>
          <t>Senior Software Engineer</t>
        </is>
      </c>
      <c r="H371" s="29" t="inlineStr">
        <is>
          <t>Engineering &amp; Development</t>
        </is>
      </c>
      <c r="I371" s="29" t="inlineStr">
        <is>
          <t>Backend Development</t>
        </is>
      </c>
      <c r="J371" s="29" t="inlineStr">
        <is>
          <t>IC</t>
        </is>
      </c>
      <c r="K371" s="29" t="inlineStr">
        <is>
          <t>RC-067</t>
        </is>
      </c>
      <c r="L371" s="29" t="inlineStr">
        <is>
          <t>Nikhil Nalawade</t>
        </is>
      </c>
      <c r="M371" s="29" t="inlineStr">
        <is>
          <t>IRIS0846</t>
        </is>
      </c>
      <c r="N371" s="29" t="n">
        <v>6.6</v>
      </c>
      <c r="O371" s="29" t="n">
        <v>0.6</v>
      </c>
      <c r="P371" s="29" t="inlineStr">
        <is>
          <t>B.E</t>
        </is>
      </c>
      <c r="Q371" s="29" t="inlineStr">
        <is>
          <t>L4 – Senior</t>
        </is>
      </c>
      <c r="R371" s="29" t="inlineStr">
        <is>
          <t>A3</t>
        </is>
      </c>
      <c r="S371" s="30" t="inlineStr">
        <is>
          <t>20 of 20</t>
        </is>
      </c>
      <c r="T371" s="31"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t>
        </is>
      </c>
      <c r="U37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1" s="31" t="inlineStr">
        <is>
          <t>Latest rating: 3 · Potential: Medium · 9-box: Emerging Talent · Readiness: Develop in role</t>
        </is>
      </c>
      <c r="W371" s="31" t="inlineStr">
        <is>
          <t>C M · Au M · Ac M · L L · BI M · Exp H · 6.6 yrs vs 2–4 yrs · Edu M · B.E</t>
        </is>
      </c>
      <c r="X371" s="33" t="inlineStr">
        <is>
          <t>Open ▸</t>
        </is>
      </c>
      <c r="Y371" s="34" t="str">
        <f>IFERROR(INDEX(DL_C,MATCH($CA371,DL_KEY,0)),"M")</f>
        <v>H</v>
      </c>
      <c r="Z371" s="35" t="str">
        <f>IFERROR(INDEX(DL_Au,MATCH($CA371,DL_KEY,0)),"M")</f>
        <v>M</v>
      </c>
      <c r="AA371" s="35" t="str">
        <f>IFERROR(INDEX(DL_Ac,MATCH($CA371,DL_KEY,0)),"M")</f>
        <v>L</v>
      </c>
      <c r="AB371" s="35" t="str">
        <f>IFERROR(INDEX(DL_L,MATCH($CA371,DL_KEY,0)),"M")</f>
        <v>L</v>
      </c>
      <c r="AC371" s="35" t="str">
        <f>IFERROR(INDEX(DL_BI,MATCH($CA371,DL_KEY,0)),"M")</f>
        <v>L</v>
      </c>
      <c r="AD371" s="35" t="str">
        <f>IFERROR(INDEX(DL_Exp,MATCH($CA371,DL_KEY,0)),"M")</f>
        <v>L</v>
      </c>
      <c r="AE371" s="35" t="str">
        <f>IFERROR(INDEX(DL_Edu,MATCH($CA371,DL_KEY,0)),"M")</f>
        <v>L</v>
      </c>
      <c r="AF371" s="34" t="inlineStr">
        <is>
          <t>M</t>
        </is>
      </c>
      <c r="AG371" s="35" t="inlineStr">
        <is>
          <t>M</t>
        </is>
      </c>
      <c r="AH371" s="35" t="inlineStr">
        <is>
          <t>M</t>
        </is>
      </c>
      <c r="AI371" s="35" t="inlineStr">
        <is>
          <t>M</t>
        </is>
      </c>
      <c r="AJ371" s="35" t="inlineStr">
        <is>
          <t>M</t>
        </is>
      </c>
      <c r="AK371" s="35" t="inlineStr">
        <is>
          <t>M</t>
        </is>
      </c>
      <c r="AL371" s="35" t="inlineStr">
        <is>
          <t>M</t>
        </is>
      </c>
      <c r="AM371" s="36" t="n">
        <v>0.583</v>
      </c>
      <c r="AN371" s="37" t="n">
        <v>0.16</v>
      </c>
      <c r="AO371" s="37" t="n">
        <v>0.09</v>
      </c>
      <c r="AP371" s="37" t="n">
        <v>0</v>
      </c>
      <c r="AQ371" s="37" t="n">
        <v>0.063</v>
      </c>
      <c r="AR371" s="37" t="n">
        <v>0.06</v>
      </c>
      <c r="AS371" s="37" t="n">
        <v>0.04</v>
      </c>
      <c r="AT371" s="38" t="inlineStr">
        <is>
          <t>2–5</t>
        </is>
      </c>
      <c r="AU371" s="38" t="inlineStr">
        <is>
          <t>Graduate; relevant certification preferred</t>
        </is>
      </c>
      <c r="AV371" s="38" t="inlineStr">
        <is>
          <t>None · guides 1–3 juniors informally</t>
        </is>
      </c>
      <c r="AW371" s="38" t="inlineStr">
        <is>
          <t>P2 · SFIA 3 Apply</t>
        </is>
      </c>
      <c r="AX3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1" s="39" t="inlineStr">
        <is>
          <t>A3</t>
        </is>
      </c>
      <c r="AZ371" s="40" t="inlineStr">
        <is>
          <t>Band A · Practitioner · Senior Associate</t>
        </is>
      </c>
      <c r="BA371" s="40" t="inlineStr">
        <is>
          <t>Model A3 from the six ratings, the market-derived weights and rules R1–R13 · then No change · already below the manager</t>
        </is>
      </c>
      <c r="BB371" s="41" t="inlineStr">
        <is>
          <t>A3</t>
        </is>
      </c>
      <c r="BC371" s="40" t="inlineStr">
        <is>
          <t>The six ratings on the market-average weights of Band A · all tracks score 3.37 → A3 · Hay, Mercer IPE and public plans · experience 6.6 yrs vs the A3 market range 2–5</t>
        </is>
      </c>
      <c r="BD371" s="42">
        <f>IF(SUM(BM371,BN371,BO371,BP371,BQ371,BR371,BS371)=0,0,(BM371*BT371+BN371*BU371+BO371*BV371+BP371*BW371+BQ371*BX371+BR371*BY371+BS371*BZ371)/SUM(BM371,BN371,BO371,BP371,BQ371,BR371,BS371))</f>
        <v>0</v>
      </c>
      <c r="BE371" s="41" t="str">
        <f>IF(LEFT(AY371,1)="X",AY371,IF(OR(AY371="B+",AY371="C+"),INDEX(LAD_PC,MAX(1,MIN(14,MATCH(AY371,LAD_PC,0)+IF(BD371&gt;=0.5,1,IF(BD371&lt;=-0.5,-1,0))))),INDEX(LAD_STD,MAX(1,MIN(12,MATCH(AY371,LAD_STD,0)+IF(BD371&gt;=0.5,1,IF(BD371&lt;=-0.5,-1,0)))))))</f>
        <v>A3</v>
      </c>
      <c r="BF371" s="43" t="n"/>
      <c r="BG371" s="41" t="str">
        <f>IF(BF371&lt;&gt;"",BF371,BE371)</f>
        <v>A3</v>
      </c>
      <c r="BH371" s="40" t="str">
        <f>IFERROR(CHOOSE(INDEX(B_RANK,MATCH(BG371,B_LVL,0)),"Band A","Band B","B+ · Player-Coach","Band C","C+ · Player-Coach","Band D","Band E"),"Band X · Consultant")</f>
        <v>Band A</v>
      </c>
      <c r="BI371" s="40" t="str">
        <f>IF(BG371=AY371,"• Same",IF(INDEX(B_VAL,MATCH(BG371,B_LVL,0))&gt;INDEX(B_VAL,MATCH(AY371,B_LVL,0)),"▲ Up","▼ Down"))</f>
        <v>• Same</v>
      </c>
      <c r="BJ371" s="40" t="str">
        <f>IF(OR($M371="",$M371="—",$M371="Not in this file"),"",IFERROR(INDEX($BG$7:$BG$592,MATCH($M371,$D$7:$D$592,0)),""))</f>
        <v>B2</v>
      </c>
      <c r="BK371" s="40" t="str">
        <f>IFERROR(IF(BJ371="","—",IF(OR(LEFT(BG371,1)="X",LEFT(BJ371,1)="X"),"—",IF(AND(LEFT(BG371,1)="E",LEFT(BJ371,1)="E"),"Exception · Band E",IF(AND(INDEX(B_VAL,MATCH(BJ371,B_LVL,0))&gt;=7,INDEX(B_RANK,MATCH(BG371,B_LVL,0))&gt;=INDEX(B_RANK,MATCH(BJ371,B_LVL,0))),"⚠ Same band as a head manager",IF(INDEX(B_VAL,MATCH(BG371,B_LVL,0))&gt;=INDEX(B_VAL,MATCH(BJ371,B_LVL,0)),"⚠ At or above the manager's level","OK"))))),"—")</f>
        <v>OK</v>
      </c>
      <c r="BL371" s="43" t="n"/>
      <c r="BM371" s="44">
        <f>IFERROR(INDEX(LMH_PTS,MATCH(Y371,LMH_KEY,0)),0)</f>
        <v>9</v>
      </c>
      <c r="BN371" s="38">
        <f>IFERROR(INDEX(LMH_PTS,MATCH(Z371,LMH_KEY,0)),0)</f>
        <v>3</v>
      </c>
      <c r="BO371" s="38">
        <f>IFERROR(INDEX(LMH_PTS,MATCH(AA371,LMH_KEY,0)),0)</f>
        <v>1</v>
      </c>
      <c r="BP371" s="38">
        <f>IFERROR(INDEX(LMH_PTS,MATCH(AB371,LMH_KEY,0)),0)</f>
        <v>1</v>
      </c>
      <c r="BQ371" s="38">
        <f>IFERROR(INDEX(LMH_PTS,MATCH(AC371,LMH_KEY,0)),0)</f>
        <v>1</v>
      </c>
      <c r="BR371" s="38">
        <f>IFERROR(INDEX(LMH_PTS,MATCH(AD371,LMH_KEY,0)),0)</f>
        <v>1</v>
      </c>
      <c r="BS371" s="38">
        <f>IFERROR(INDEX(LMH_PTS,MATCH(AE371,LMH_KEY,0)),0)</f>
        <v>1</v>
      </c>
      <c r="BT371" s="38">
        <f>IFERROR(INDEX(LMH_STEP,MATCH(AF371,LMH_KEY,0)),0)</f>
        <v>0</v>
      </c>
      <c r="BU371" s="38">
        <f>IFERROR(INDEX(LMH_STEP,MATCH(AG371,LMH_KEY,0)),0)</f>
        <v>0</v>
      </c>
      <c r="BV371" s="38">
        <f>IFERROR(INDEX(LMH_STEP,MATCH(AH371,LMH_KEY,0)),0)</f>
        <v>0</v>
      </c>
      <c r="BW371" s="38">
        <f>IFERROR(INDEX(LMH_STEP,MATCH(AI371,LMH_KEY,0)),0)</f>
        <v>0</v>
      </c>
      <c r="BX371" s="38">
        <f>IFERROR(INDEX(LMH_STEP,MATCH(AJ371,LMH_KEY,0)),0)</f>
        <v>0</v>
      </c>
      <c r="BY371" s="38">
        <f>IFERROR(INDEX(LMH_STEP,MATCH(AK371,LMH_KEY,0)),0)</f>
        <v>0</v>
      </c>
      <c r="BZ371" s="38">
        <f>IFERROR(INDEX(LMH_STEP,MATCH(AL371,LMH_KEY,0)),0)</f>
        <v>0</v>
      </c>
      <c r="CA371" s="38" t="inlineStr">
        <is>
          <t>iFile|Technology|Senior Software Engineer|A3|A</t>
        </is>
      </c>
    </row>
    <row r="372" ht="110" customHeight="1">
      <c r="A372" s="28" t="inlineStr">
        <is>
          <t>iFile</t>
        </is>
      </c>
      <c r="B372" s="29" t="inlineStr">
        <is>
          <t>Technology</t>
        </is>
      </c>
      <c r="C372" s="29" t="n">
        <v>4</v>
      </c>
      <c r="D372" s="29" t="inlineStr">
        <is>
          <t>IRIS2422</t>
        </is>
      </c>
      <c r="E372" s="29" t="inlineStr">
        <is>
          <t>Mahtab Shah</t>
        </is>
      </c>
      <c r="F372" s="29" t="inlineStr">
        <is>
          <t>Software Engineer</t>
        </is>
      </c>
      <c r="G372" s="29" t="inlineStr">
        <is>
          <t>Senior Software Engineer</t>
        </is>
      </c>
      <c r="H372" s="29" t="inlineStr">
        <is>
          <t>Engineering &amp; Development</t>
        </is>
      </c>
      <c r="I372" s="29" t="inlineStr">
        <is>
          <t>Full-Stack Development</t>
        </is>
      </c>
      <c r="J372" s="29" t="inlineStr">
        <is>
          <t>IC</t>
        </is>
      </c>
      <c r="K372" s="29" t="inlineStr">
        <is>
          <t>RC-085</t>
        </is>
      </c>
      <c r="L372" s="29" t="inlineStr">
        <is>
          <t>Nikhil Nalawade</t>
        </is>
      </c>
      <c r="M372" s="29" t="inlineStr">
        <is>
          <t>IRIS0846</t>
        </is>
      </c>
      <c r="N372" s="29" t="n">
        <v>2.7</v>
      </c>
      <c r="O372" s="29" t="n">
        <v>1.1</v>
      </c>
      <c r="P372" s="29" t="inlineStr">
        <is>
          <t>B.E</t>
        </is>
      </c>
      <c r="Q372" s="29" t="inlineStr">
        <is>
          <t>L3 – Professional / Associate</t>
        </is>
      </c>
      <c r="R372" s="29" t="inlineStr">
        <is>
          <t>A3</t>
        </is>
      </c>
      <c r="S372" s="30" t="inlineStr">
        <is>
          <t>20 of 20</t>
        </is>
      </c>
      <c r="T372" s="31"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t>
        </is>
      </c>
      <c r="U37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2" s="31" t="inlineStr">
        <is>
          <t>Latest rating: 3 · Potential: Medium · 9-box: Emerging Talent · Readiness: Develop in role</t>
        </is>
      </c>
      <c r="W372" s="31" t="inlineStr">
        <is>
          <t>C L · Au L · Ac L · L L · BI L · Exp M · 2.7 yrs vs 2–4 yrs · Edu M · B.E</t>
        </is>
      </c>
      <c r="X372" s="33" t="inlineStr">
        <is>
          <t>Open ▸</t>
        </is>
      </c>
      <c r="Y372" s="34" t="str">
        <f>IFERROR(INDEX(DL_C,MATCH($CA372,DL_KEY,0)),"M")</f>
        <v>H</v>
      </c>
      <c r="Z372" s="35" t="str">
        <f>IFERROR(INDEX(DL_Au,MATCH($CA372,DL_KEY,0)),"M")</f>
        <v>M</v>
      </c>
      <c r="AA372" s="35" t="str">
        <f>IFERROR(INDEX(DL_Ac,MATCH($CA372,DL_KEY,0)),"M")</f>
        <v>L</v>
      </c>
      <c r="AB372" s="35" t="str">
        <f>IFERROR(INDEX(DL_L,MATCH($CA372,DL_KEY,0)),"M")</f>
        <v>L</v>
      </c>
      <c r="AC372" s="35" t="str">
        <f>IFERROR(INDEX(DL_BI,MATCH($CA372,DL_KEY,0)),"M")</f>
        <v>L</v>
      </c>
      <c r="AD372" s="35" t="str">
        <f>IFERROR(INDEX(DL_Exp,MATCH($CA372,DL_KEY,0)),"M")</f>
        <v>L</v>
      </c>
      <c r="AE372" s="35" t="str">
        <f>IFERROR(INDEX(DL_Edu,MATCH($CA372,DL_KEY,0)),"M")</f>
        <v>L</v>
      </c>
      <c r="AF372" s="34" t="inlineStr">
        <is>
          <t>M</t>
        </is>
      </c>
      <c r="AG372" s="35" t="inlineStr">
        <is>
          <t>M</t>
        </is>
      </c>
      <c r="AH372" s="35" t="inlineStr">
        <is>
          <t>M</t>
        </is>
      </c>
      <c r="AI372" s="35" t="inlineStr">
        <is>
          <t>M</t>
        </is>
      </c>
      <c r="AJ372" s="35" t="inlineStr">
        <is>
          <t>M</t>
        </is>
      </c>
      <c r="AK372" s="35" t="inlineStr">
        <is>
          <t>M</t>
        </is>
      </c>
      <c r="AL372" s="35" t="inlineStr">
        <is>
          <t>M</t>
        </is>
      </c>
      <c r="AM372" s="36" t="n">
        <v>0.583</v>
      </c>
      <c r="AN372" s="37" t="n">
        <v>0.16</v>
      </c>
      <c r="AO372" s="37" t="n">
        <v>0.09</v>
      </c>
      <c r="AP372" s="37" t="n">
        <v>0</v>
      </c>
      <c r="AQ372" s="37" t="n">
        <v>0.063</v>
      </c>
      <c r="AR372" s="37" t="n">
        <v>0.06</v>
      </c>
      <c r="AS372" s="37" t="n">
        <v>0.04</v>
      </c>
      <c r="AT372" s="38" t="inlineStr">
        <is>
          <t>2–5</t>
        </is>
      </c>
      <c r="AU372" s="38" t="inlineStr">
        <is>
          <t>Graduate; relevant certification preferred</t>
        </is>
      </c>
      <c r="AV372" s="38" t="inlineStr">
        <is>
          <t>None · guides 1–3 juniors informally</t>
        </is>
      </c>
      <c r="AW372" s="38" t="inlineStr">
        <is>
          <t>P2 · SFIA 3 Apply</t>
        </is>
      </c>
      <c r="AX3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2" s="39" t="inlineStr">
        <is>
          <t>A3</t>
        </is>
      </c>
      <c r="AZ372" s="40" t="inlineStr">
        <is>
          <t>Band A · Practitioner · Senior Associate</t>
        </is>
      </c>
      <c r="BA372" s="40" t="inlineStr">
        <is>
          <t>Model A3 from the six ratings, the market-derived weights and rules R1–R13 · then No change · already below the manager</t>
        </is>
      </c>
      <c r="BB372" s="41" t="inlineStr">
        <is>
          <t>A2</t>
        </is>
      </c>
      <c r="BC372" s="40" t="inlineStr">
        <is>
          <t>The six ratings on the market-average weights of Band A · all tracks score 2.10 → A2 · Hay, Mercer IPE and public plans · experience 2.7 yrs vs the A2 market range 0–3</t>
        </is>
      </c>
      <c r="BD372" s="42">
        <f>IF(SUM(BM372,BN372,BO372,BP372,BQ372,BR372,BS372)=0,0,(BM372*BT372+BN372*BU372+BO372*BV372+BP372*BW372+BQ372*BX372+BR372*BY372+BS372*BZ372)/SUM(BM372,BN372,BO372,BP372,BQ372,BR372,BS372))</f>
        <v>0</v>
      </c>
      <c r="BE372" s="41" t="str">
        <f>IF(LEFT(AY372,1)="X",AY372,IF(OR(AY372="B+",AY372="C+"),INDEX(LAD_PC,MAX(1,MIN(14,MATCH(AY372,LAD_PC,0)+IF(BD372&gt;=0.5,1,IF(BD372&lt;=-0.5,-1,0))))),INDEX(LAD_STD,MAX(1,MIN(12,MATCH(AY372,LAD_STD,0)+IF(BD372&gt;=0.5,1,IF(BD372&lt;=-0.5,-1,0)))))))</f>
        <v>A3</v>
      </c>
      <c r="BF372" s="43" t="n"/>
      <c r="BG372" s="41" t="str">
        <f>IF(BF372&lt;&gt;"",BF372,BE372)</f>
        <v>A3</v>
      </c>
      <c r="BH372" s="40" t="str">
        <f>IFERROR(CHOOSE(INDEX(B_RANK,MATCH(BG372,B_LVL,0)),"Band A","Band B","B+ · Player-Coach","Band C","C+ · Player-Coach","Band D","Band E"),"Band X · Consultant")</f>
        <v>Band A</v>
      </c>
      <c r="BI372" s="40" t="str">
        <f>IF(BG372=AY372,"• Same",IF(INDEX(B_VAL,MATCH(BG372,B_LVL,0))&gt;INDEX(B_VAL,MATCH(AY372,B_LVL,0)),"▲ Up","▼ Down"))</f>
        <v>• Same</v>
      </c>
      <c r="BJ372" s="40" t="str">
        <f>IF(OR($M372="",$M372="—",$M372="Not in this file"),"",IFERROR(INDEX($BG$7:$BG$592,MATCH($M372,$D$7:$D$592,0)),""))</f>
        <v>B2</v>
      </c>
      <c r="BK372" s="40" t="str">
        <f>IFERROR(IF(BJ372="","—",IF(OR(LEFT(BG372,1)="X",LEFT(BJ372,1)="X"),"—",IF(AND(LEFT(BG372,1)="E",LEFT(BJ372,1)="E"),"Exception · Band E",IF(AND(INDEX(B_VAL,MATCH(BJ372,B_LVL,0))&gt;=7,INDEX(B_RANK,MATCH(BG372,B_LVL,0))&gt;=INDEX(B_RANK,MATCH(BJ372,B_LVL,0))),"⚠ Same band as a head manager",IF(INDEX(B_VAL,MATCH(BG372,B_LVL,0))&gt;=INDEX(B_VAL,MATCH(BJ372,B_LVL,0)),"⚠ At or above the manager's level","OK"))))),"—")</f>
        <v>OK</v>
      </c>
      <c r="BL372" s="43" t="n"/>
      <c r="BM372" s="44">
        <f>IFERROR(INDEX(LMH_PTS,MATCH(Y372,LMH_KEY,0)),0)</f>
        <v>9</v>
      </c>
      <c r="BN372" s="38">
        <f>IFERROR(INDEX(LMH_PTS,MATCH(Z372,LMH_KEY,0)),0)</f>
        <v>3</v>
      </c>
      <c r="BO372" s="38">
        <f>IFERROR(INDEX(LMH_PTS,MATCH(AA372,LMH_KEY,0)),0)</f>
        <v>1</v>
      </c>
      <c r="BP372" s="38">
        <f>IFERROR(INDEX(LMH_PTS,MATCH(AB372,LMH_KEY,0)),0)</f>
        <v>1</v>
      </c>
      <c r="BQ372" s="38">
        <f>IFERROR(INDEX(LMH_PTS,MATCH(AC372,LMH_KEY,0)),0)</f>
        <v>1</v>
      </c>
      <c r="BR372" s="38">
        <f>IFERROR(INDEX(LMH_PTS,MATCH(AD372,LMH_KEY,0)),0)</f>
        <v>1</v>
      </c>
      <c r="BS372" s="38">
        <f>IFERROR(INDEX(LMH_PTS,MATCH(AE372,LMH_KEY,0)),0)</f>
        <v>1</v>
      </c>
      <c r="BT372" s="38">
        <f>IFERROR(INDEX(LMH_STEP,MATCH(AF372,LMH_KEY,0)),0)</f>
        <v>0</v>
      </c>
      <c r="BU372" s="38">
        <f>IFERROR(INDEX(LMH_STEP,MATCH(AG372,LMH_KEY,0)),0)</f>
        <v>0</v>
      </c>
      <c r="BV372" s="38">
        <f>IFERROR(INDEX(LMH_STEP,MATCH(AH372,LMH_KEY,0)),0)</f>
        <v>0</v>
      </c>
      <c r="BW372" s="38">
        <f>IFERROR(INDEX(LMH_STEP,MATCH(AI372,LMH_KEY,0)),0)</f>
        <v>0</v>
      </c>
      <c r="BX372" s="38">
        <f>IFERROR(INDEX(LMH_STEP,MATCH(AJ372,LMH_KEY,0)),0)</f>
        <v>0</v>
      </c>
      <c r="BY372" s="38">
        <f>IFERROR(INDEX(LMH_STEP,MATCH(AK372,LMH_KEY,0)),0)</f>
        <v>0</v>
      </c>
      <c r="BZ372" s="38">
        <f>IFERROR(INDEX(LMH_STEP,MATCH(AL372,LMH_KEY,0)),0)</f>
        <v>0</v>
      </c>
      <c r="CA372" s="38" t="inlineStr">
        <is>
          <t>iFile|Technology|Senior Software Engineer|A3|A</t>
        </is>
      </c>
    </row>
    <row r="373" ht="110" customHeight="1">
      <c r="A373" s="28" t="inlineStr">
        <is>
          <t>iFile</t>
        </is>
      </c>
      <c r="B373" s="29" t="inlineStr">
        <is>
          <t>Technology</t>
        </is>
      </c>
      <c r="C373" s="29" t="n">
        <v>4</v>
      </c>
      <c r="D373" s="29" t="inlineStr">
        <is>
          <t>IRIS2474</t>
        </is>
      </c>
      <c r="E373" s="29" t="inlineStr">
        <is>
          <t>Pankaj Sharma</t>
        </is>
      </c>
      <c r="F373" s="29" t="inlineStr">
        <is>
          <t>Software Engineer</t>
        </is>
      </c>
      <c r="G373" s="29" t="inlineStr">
        <is>
          <t>Senior Software Engineer</t>
        </is>
      </c>
      <c r="H373" s="29" t="inlineStr">
        <is>
          <t>Engineering &amp; Development</t>
        </is>
      </c>
      <c r="I373" s="29" t="inlineStr">
        <is>
          <t>Backend Development</t>
        </is>
      </c>
      <c r="J373" s="29" t="inlineStr">
        <is>
          <t>IC</t>
        </is>
      </c>
      <c r="K373" s="29" t="inlineStr">
        <is>
          <t>RC-067</t>
        </is>
      </c>
      <c r="L373" s="29" t="inlineStr">
        <is>
          <t>Nikhil Nalawade</t>
        </is>
      </c>
      <c r="M373" s="29" t="inlineStr">
        <is>
          <t>IRIS0846</t>
        </is>
      </c>
      <c r="N373" s="29" t="n">
        <v>4.7</v>
      </c>
      <c r="O373" s="29" t="n">
        <v>0.6</v>
      </c>
      <c r="P373" s="29" t="inlineStr">
        <is>
          <t>MCA</t>
        </is>
      </c>
      <c r="Q373" s="29" t="inlineStr">
        <is>
          <t>L3 – Professional / Associate</t>
        </is>
      </c>
      <c r="R373" s="29" t="inlineStr">
        <is>
          <t>A3</t>
        </is>
      </c>
      <c r="S373" s="30" t="inlineStr">
        <is>
          <t>20 of 20</t>
        </is>
      </c>
      <c r="T373" s="31"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t>
        </is>
      </c>
      <c r="U373"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3" s="31" t="inlineStr">
        <is>
          <t>Latest rating: 3 · Potential: Medium · 9-box: Emerging Talent · Readiness: Develop in role</t>
        </is>
      </c>
      <c r="W373" s="31" t="inlineStr">
        <is>
          <t>C M · Au M · Ac M · L L · BI M · Exp H · 4.7 yrs vs 2–4 yrs · Edu H · MCA</t>
        </is>
      </c>
      <c r="X373" s="33" t="inlineStr">
        <is>
          <t>Open ▸</t>
        </is>
      </c>
      <c r="Y373" s="34" t="str">
        <f>IFERROR(INDEX(DL_C,MATCH($CA373,DL_KEY,0)),"M")</f>
        <v>H</v>
      </c>
      <c r="Z373" s="35" t="str">
        <f>IFERROR(INDEX(DL_Au,MATCH($CA373,DL_KEY,0)),"M")</f>
        <v>M</v>
      </c>
      <c r="AA373" s="35" t="str">
        <f>IFERROR(INDEX(DL_Ac,MATCH($CA373,DL_KEY,0)),"M")</f>
        <v>L</v>
      </c>
      <c r="AB373" s="35" t="str">
        <f>IFERROR(INDEX(DL_L,MATCH($CA373,DL_KEY,0)),"M")</f>
        <v>L</v>
      </c>
      <c r="AC373" s="35" t="str">
        <f>IFERROR(INDEX(DL_BI,MATCH($CA373,DL_KEY,0)),"M")</f>
        <v>L</v>
      </c>
      <c r="AD373" s="35" t="str">
        <f>IFERROR(INDEX(DL_Exp,MATCH($CA373,DL_KEY,0)),"M")</f>
        <v>L</v>
      </c>
      <c r="AE373" s="35" t="str">
        <f>IFERROR(INDEX(DL_Edu,MATCH($CA373,DL_KEY,0)),"M")</f>
        <v>L</v>
      </c>
      <c r="AF373" s="34" t="inlineStr">
        <is>
          <t>M</t>
        </is>
      </c>
      <c r="AG373" s="35" t="inlineStr">
        <is>
          <t>M</t>
        </is>
      </c>
      <c r="AH373" s="35" t="inlineStr">
        <is>
          <t>M</t>
        </is>
      </c>
      <c r="AI373" s="35" t="inlineStr">
        <is>
          <t>M</t>
        </is>
      </c>
      <c r="AJ373" s="35" t="inlineStr">
        <is>
          <t>M</t>
        </is>
      </c>
      <c r="AK373" s="35" t="inlineStr">
        <is>
          <t>M</t>
        </is>
      </c>
      <c r="AL373" s="35" t="inlineStr">
        <is>
          <t>M</t>
        </is>
      </c>
      <c r="AM373" s="36" t="n">
        <v>0.583</v>
      </c>
      <c r="AN373" s="37" t="n">
        <v>0.16</v>
      </c>
      <c r="AO373" s="37" t="n">
        <v>0.09</v>
      </c>
      <c r="AP373" s="37" t="n">
        <v>0</v>
      </c>
      <c r="AQ373" s="37" t="n">
        <v>0.063</v>
      </c>
      <c r="AR373" s="37" t="n">
        <v>0.06</v>
      </c>
      <c r="AS373" s="37" t="n">
        <v>0.04</v>
      </c>
      <c r="AT373" s="38" t="inlineStr">
        <is>
          <t>2–5</t>
        </is>
      </c>
      <c r="AU373" s="38" t="inlineStr">
        <is>
          <t>Graduate; relevant certification preferred</t>
        </is>
      </c>
      <c r="AV373" s="38" t="inlineStr">
        <is>
          <t>None · guides 1–3 juniors informally</t>
        </is>
      </c>
      <c r="AW373" s="38" t="inlineStr">
        <is>
          <t>P2 · SFIA 3 Apply</t>
        </is>
      </c>
      <c r="AX3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3" s="39" t="inlineStr">
        <is>
          <t>A3</t>
        </is>
      </c>
      <c r="AZ373" s="40" t="inlineStr">
        <is>
          <t>Band A · Practitioner · Senior Associate</t>
        </is>
      </c>
      <c r="BA373" s="40" t="inlineStr">
        <is>
          <t>Model A3 from the six ratings, the market-derived weights and rules R1–R13 · then No change · already below the manager</t>
        </is>
      </c>
      <c r="BB373" s="41" t="inlineStr">
        <is>
          <t>A3</t>
        </is>
      </c>
      <c r="BC373" s="40" t="inlineStr">
        <is>
          <t>The six ratings on the market-average weights of Band A · all tracks score 2.65 → A3 · Hay, Mercer IPE and public plans · experience 4.7 yrs vs the A3 market range 2–5</t>
        </is>
      </c>
      <c r="BD373" s="42">
        <f>IF(SUM(BM373,BN373,BO373,BP373,BQ373,BR373,BS373)=0,0,(BM373*BT373+BN373*BU373+BO373*BV373+BP373*BW373+BQ373*BX373+BR373*BY373+BS373*BZ373)/SUM(BM373,BN373,BO373,BP373,BQ373,BR373,BS373))</f>
        <v>0</v>
      </c>
      <c r="BE373" s="41" t="str">
        <f>IF(LEFT(AY373,1)="X",AY373,IF(OR(AY373="B+",AY373="C+"),INDEX(LAD_PC,MAX(1,MIN(14,MATCH(AY373,LAD_PC,0)+IF(BD373&gt;=0.5,1,IF(BD373&lt;=-0.5,-1,0))))),INDEX(LAD_STD,MAX(1,MIN(12,MATCH(AY373,LAD_STD,0)+IF(BD373&gt;=0.5,1,IF(BD373&lt;=-0.5,-1,0)))))))</f>
        <v>A3</v>
      </c>
      <c r="BF373" s="43" t="n"/>
      <c r="BG373" s="41" t="str">
        <f>IF(BF373&lt;&gt;"",BF373,BE373)</f>
        <v>A3</v>
      </c>
      <c r="BH373" s="40" t="str">
        <f>IFERROR(CHOOSE(INDEX(B_RANK,MATCH(BG373,B_LVL,0)),"Band A","Band B","B+ · Player-Coach","Band C","C+ · Player-Coach","Band D","Band E"),"Band X · Consultant")</f>
        <v>Band A</v>
      </c>
      <c r="BI373" s="40" t="str">
        <f>IF(BG373=AY373,"• Same",IF(INDEX(B_VAL,MATCH(BG373,B_LVL,0))&gt;INDEX(B_VAL,MATCH(AY373,B_LVL,0)),"▲ Up","▼ Down"))</f>
        <v>• Same</v>
      </c>
      <c r="BJ373" s="40" t="str">
        <f>IF(OR($M373="",$M373="—",$M373="Not in this file"),"",IFERROR(INDEX($BG$7:$BG$592,MATCH($M373,$D$7:$D$592,0)),""))</f>
        <v>B2</v>
      </c>
      <c r="BK373" s="40" t="str">
        <f>IFERROR(IF(BJ373="","—",IF(OR(LEFT(BG373,1)="X",LEFT(BJ373,1)="X"),"—",IF(AND(LEFT(BG373,1)="E",LEFT(BJ373,1)="E"),"Exception · Band E",IF(AND(INDEX(B_VAL,MATCH(BJ373,B_LVL,0))&gt;=7,INDEX(B_RANK,MATCH(BG373,B_LVL,0))&gt;=INDEX(B_RANK,MATCH(BJ373,B_LVL,0))),"⚠ Same band as a head manager",IF(INDEX(B_VAL,MATCH(BG373,B_LVL,0))&gt;=INDEX(B_VAL,MATCH(BJ373,B_LVL,0)),"⚠ At or above the manager's level","OK"))))),"—")</f>
        <v>OK</v>
      </c>
      <c r="BL373" s="43" t="n"/>
      <c r="BM373" s="44">
        <f>IFERROR(INDEX(LMH_PTS,MATCH(Y373,LMH_KEY,0)),0)</f>
        <v>9</v>
      </c>
      <c r="BN373" s="38">
        <f>IFERROR(INDEX(LMH_PTS,MATCH(Z373,LMH_KEY,0)),0)</f>
        <v>3</v>
      </c>
      <c r="BO373" s="38">
        <f>IFERROR(INDEX(LMH_PTS,MATCH(AA373,LMH_KEY,0)),0)</f>
        <v>1</v>
      </c>
      <c r="BP373" s="38">
        <f>IFERROR(INDEX(LMH_PTS,MATCH(AB373,LMH_KEY,0)),0)</f>
        <v>1</v>
      </c>
      <c r="BQ373" s="38">
        <f>IFERROR(INDEX(LMH_PTS,MATCH(AC373,LMH_KEY,0)),0)</f>
        <v>1</v>
      </c>
      <c r="BR373" s="38">
        <f>IFERROR(INDEX(LMH_PTS,MATCH(AD373,LMH_KEY,0)),0)</f>
        <v>1</v>
      </c>
      <c r="BS373" s="38">
        <f>IFERROR(INDEX(LMH_PTS,MATCH(AE373,LMH_KEY,0)),0)</f>
        <v>1</v>
      </c>
      <c r="BT373" s="38">
        <f>IFERROR(INDEX(LMH_STEP,MATCH(AF373,LMH_KEY,0)),0)</f>
        <v>0</v>
      </c>
      <c r="BU373" s="38">
        <f>IFERROR(INDEX(LMH_STEP,MATCH(AG373,LMH_KEY,0)),0)</f>
        <v>0</v>
      </c>
      <c r="BV373" s="38">
        <f>IFERROR(INDEX(LMH_STEP,MATCH(AH373,LMH_KEY,0)),0)</f>
        <v>0</v>
      </c>
      <c r="BW373" s="38">
        <f>IFERROR(INDEX(LMH_STEP,MATCH(AI373,LMH_KEY,0)),0)</f>
        <v>0</v>
      </c>
      <c r="BX373" s="38">
        <f>IFERROR(INDEX(LMH_STEP,MATCH(AJ373,LMH_KEY,0)),0)</f>
        <v>0</v>
      </c>
      <c r="BY373" s="38">
        <f>IFERROR(INDEX(LMH_STEP,MATCH(AK373,LMH_KEY,0)),0)</f>
        <v>0</v>
      </c>
      <c r="BZ373" s="38">
        <f>IFERROR(INDEX(LMH_STEP,MATCH(AL373,LMH_KEY,0)),0)</f>
        <v>0</v>
      </c>
      <c r="CA373" s="38" t="inlineStr">
        <is>
          <t>iFile|Technology|Senior Software Engineer|A3|A</t>
        </is>
      </c>
    </row>
    <row r="374" ht="110" customHeight="1">
      <c r="A374" s="28" t="inlineStr">
        <is>
          <t>iFile</t>
        </is>
      </c>
      <c r="B374" s="29" t="inlineStr">
        <is>
          <t>Technology</t>
        </is>
      </c>
      <c r="C374" s="29" t="n">
        <v>4</v>
      </c>
      <c r="D374" s="29" t="inlineStr">
        <is>
          <t>IRIS2267</t>
        </is>
      </c>
      <c r="E374" s="29" t="inlineStr">
        <is>
          <t>Saurabh Jaykumar Wanjari</t>
        </is>
      </c>
      <c r="F374" s="29" t="inlineStr">
        <is>
          <t>Software Engineer</t>
        </is>
      </c>
      <c r="G374" s="29" t="inlineStr">
        <is>
          <t>Senior Software Engineer</t>
        </is>
      </c>
      <c r="H374" s="29" t="inlineStr">
        <is>
          <t>Engineering &amp; Development</t>
        </is>
      </c>
      <c r="I374" s="29" t="inlineStr">
        <is>
          <t>Backend Development</t>
        </is>
      </c>
      <c r="J374" s="29" t="inlineStr">
        <is>
          <t>IC</t>
        </is>
      </c>
      <c r="K374" s="29" t="inlineStr">
        <is>
          <t>RC-067</t>
        </is>
      </c>
      <c r="L374" s="29" t="inlineStr">
        <is>
          <t>Nikhil Nalawade</t>
        </is>
      </c>
      <c r="M374" s="29" t="inlineStr">
        <is>
          <t>IRIS0846</t>
        </is>
      </c>
      <c r="N374" s="29" t="n">
        <v>2.3</v>
      </c>
      <c r="O374" s="29" t="n">
        <v>2.3</v>
      </c>
      <c r="P374" s="29" t="inlineStr">
        <is>
          <t>B.Tech</t>
        </is>
      </c>
      <c r="Q374" s="29" t="inlineStr">
        <is>
          <t>L2 – Trainee</t>
        </is>
      </c>
      <c r="R374" s="29" t="inlineStr">
        <is>
          <t>A3</t>
        </is>
      </c>
      <c r="S374" s="30" t="inlineStr">
        <is>
          <t>20 of 20</t>
        </is>
      </c>
      <c r="T374" s="31"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t>
        </is>
      </c>
      <c r="U37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4" s="31" t="inlineStr">
        <is>
          <t>Latest rating: 4 · Potential: High · 9-box: Future Leader · Readiness: Ready now</t>
        </is>
      </c>
      <c r="W374" s="31" t="inlineStr">
        <is>
          <t>C M · Au M · Ac M · L L · BI M · Exp M · 2.3 yrs vs 2–4 yrs · Edu M · B.Tech</t>
        </is>
      </c>
      <c r="X374" s="33" t="inlineStr">
        <is>
          <t>Open ▸</t>
        </is>
      </c>
      <c r="Y374" s="34" t="str">
        <f>IFERROR(INDEX(DL_C,MATCH($CA374,DL_KEY,0)),"M")</f>
        <v>H</v>
      </c>
      <c r="Z374" s="35" t="str">
        <f>IFERROR(INDEX(DL_Au,MATCH($CA374,DL_KEY,0)),"M")</f>
        <v>M</v>
      </c>
      <c r="AA374" s="35" t="str">
        <f>IFERROR(INDEX(DL_Ac,MATCH($CA374,DL_KEY,0)),"M")</f>
        <v>L</v>
      </c>
      <c r="AB374" s="35" t="str">
        <f>IFERROR(INDEX(DL_L,MATCH($CA374,DL_KEY,0)),"M")</f>
        <v>L</v>
      </c>
      <c r="AC374" s="35" t="str">
        <f>IFERROR(INDEX(DL_BI,MATCH($CA374,DL_KEY,0)),"M")</f>
        <v>L</v>
      </c>
      <c r="AD374" s="35" t="str">
        <f>IFERROR(INDEX(DL_Exp,MATCH($CA374,DL_KEY,0)),"M")</f>
        <v>L</v>
      </c>
      <c r="AE374" s="35" t="str">
        <f>IFERROR(INDEX(DL_Edu,MATCH($CA374,DL_KEY,0)),"M")</f>
        <v>L</v>
      </c>
      <c r="AF374" s="34" t="inlineStr">
        <is>
          <t>M</t>
        </is>
      </c>
      <c r="AG374" s="35" t="inlineStr">
        <is>
          <t>M</t>
        </is>
      </c>
      <c r="AH374" s="35" t="inlineStr">
        <is>
          <t>M</t>
        </is>
      </c>
      <c r="AI374" s="35" t="inlineStr">
        <is>
          <t>M</t>
        </is>
      </c>
      <c r="AJ374" s="35" t="inlineStr">
        <is>
          <t>M</t>
        </is>
      </c>
      <c r="AK374" s="35" t="inlineStr">
        <is>
          <t>M</t>
        </is>
      </c>
      <c r="AL374" s="35" t="inlineStr">
        <is>
          <t>M</t>
        </is>
      </c>
      <c r="AM374" s="36" t="n">
        <v>0.583</v>
      </c>
      <c r="AN374" s="37" t="n">
        <v>0.16</v>
      </c>
      <c r="AO374" s="37" t="n">
        <v>0.09</v>
      </c>
      <c r="AP374" s="37" t="n">
        <v>0</v>
      </c>
      <c r="AQ374" s="37" t="n">
        <v>0.063</v>
      </c>
      <c r="AR374" s="37" t="n">
        <v>0.06</v>
      </c>
      <c r="AS374" s="37" t="n">
        <v>0.04</v>
      </c>
      <c r="AT374" s="38" t="inlineStr">
        <is>
          <t>2–5</t>
        </is>
      </c>
      <c r="AU374" s="38" t="inlineStr">
        <is>
          <t>Graduate; relevant certification preferred</t>
        </is>
      </c>
      <c r="AV374" s="38" t="inlineStr">
        <is>
          <t>None · guides 1–3 juniors informally</t>
        </is>
      </c>
      <c r="AW374" s="38" t="inlineStr">
        <is>
          <t>P2 · SFIA 3 Apply</t>
        </is>
      </c>
      <c r="AX3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4" s="39" t="inlineStr">
        <is>
          <t>A3</t>
        </is>
      </c>
      <c r="AZ374" s="40" t="inlineStr">
        <is>
          <t>Band A · Practitioner · Senior Associate</t>
        </is>
      </c>
      <c r="BA374" s="40" t="inlineStr">
        <is>
          <t>Model A3 from the six ratings, the market-derived weights and rules R1–R13 · then No change · already below the manager</t>
        </is>
      </c>
      <c r="BB374" s="41" t="inlineStr">
        <is>
          <t>A3</t>
        </is>
      </c>
      <c r="BC374" s="40" t="inlineStr">
        <is>
          <t>The six ratings on the market-average weights of Band A · all tracks score 2.53 → A3 · Hay, Mercer IPE and public plans · experience 2.3 yrs vs the A3 market range 2–5</t>
        </is>
      </c>
      <c r="BD374" s="42">
        <f>IF(SUM(BM374,BN374,BO374,BP374,BQ374,BR374,BS374)=0,0,(BM374*BT374+BN374*BU374+BO374*BV374+BP374*BW374+BQ374*BX374+BR374*BY374+BS374*BZ374)/SUM(BM374,BN374,BO374,BP374,BQ374,BR374,BS374))</f>
        <v>0</v>
      </c>
      <c r="BE374" s="41" t="str">
        <f>IF(LEFT(AY374,1)="X",AY374,IF(OR(AY374="B+",AY374="C+"),INDEX(LAD_PC,MAX(1,MIN(14,MATCH(AY374,LAD_PC,0)+IF(BD374&gt;=0.5,1,IF(BD374&lt;=-0.5,-1,0))))),INDEX(LAD_STD,MAX(1,MIN(12,MATCH(AY374,LAD_STD,0)+IF(BD374&gt;=0.5,1,IF(BD374&lt;=-0.5,-1,0)))))))</f>
        <v>A3</v>
      </c>
      <c r="BF374" s="43" t="n"/>
      <c r="BG374" s="41" t="str">
        <f>IF(BF374&lt;&gt;"",BF374,BE374)</f>
        <v>A3</v>
      </c>
      <c r="BH374" s="40" t="str">
        <f>IFERROR(CHOOSE(INDEX(B_RANK,MATCH(BG374,B_LVL,0)),"Band A","Band B","B+ · Player-Coach","Band C","C+ · Player-Coach","Band D","Band E"),"Band X · Consultant")</f>
        <v>Band A</v>
      </c>
      <c r="BI374" s="40" t="str">
        <f>IF(BG374=AY374,"• Same",IF(INDEX(B_VAL,MATCH(BG374,B_LVL,0))&gt;INDEX(B_VAL,MATCH(AY374,B_LVL,0)),"▲ Up","▼ Down"))</f>
        <v>• Same</v>
      </c>
      <c r="BJ374" s="40" t="str">
        <f>IF(OR($M374="",$M374="—",$M374="Not in this file"),"",IFERROR(INDEX($BG$7:$BG$592,MATCH($M374,$D$7:$D$592,0)),""))</f>
        <v>B2</v>
      </c>
      <c r="BK374" s="40" t="str">
        <f>IFERROR(IF(BJ374="","—",IF(OR(LEFT(BG374,1)="X",LEFT(BJ374,1)="X"),"—",IF(AND(LEFT(BG374,1)="E",LEFT(BJ374,1)="E"),"Exception · Band E",IF(AND(INDEX(B_VAL,MATCH(BJ374,B_LVL,0))&gt;=7,INDEX(B_RANK,MATCH(BG374,B_LVL,0))&gt;=INDEX(B_RANK,MATCH(BJ374,B_LVL,0))),"⚠ Same band as a head manager",IF(INDEX(B_VAL,MATCH(BG374,B_LVL,0))&gt;=INDEX(B_VAL,MATCH(BJ374,B_LVL,0)),"⚠ At or above the manager's level","OK"))))),"—")</f>
        <v>OK</v>
      </c>
      <c r="BL374" s="43" t="n"/>
      <c r="BM374" s="44">
        <f>IFERROR(INDEX(LMH_PTS,MATCH(Y374,LMH_KEY,0)),0)</f>
        <v>9</v>
      </c>
      <c r="BN374" s="38">
        <f>IFERROR(INDEX(LMH_PTS,MATCH(Z374,LMH_KEY,0)),0)</f>
        <v>3</v>
      </c>
      <c r="BO374" s="38">
        <f>IFERROR(INDEX(LMH_PTS,MATCH(AA374,LMH_KEY,0)),0)</f>
        <v>1</v>
      </c>
      <c r="BP374" s="38">
        <f>IFERROR(INDEX(LMH_PTS,MATCH(AB374,LMH_KEY,0)),0)</f>
        <v>1</v>
      </c>
      <c r="BQ374" s="38">
        <f>IFERROR(INDEX(LMH_PTS,MATCH(AC374,LMH_KEY,0)),0)</f>
        <v>1</v>
      </c>
      <c r="BR374" s="38">
        <f>IFERROR(INDEX(LMH_PTS,MATCH(AD374,LMH_KEY,0)),0)</f>
        <v>1</v>
      </c>
      <c r="BS374" s="38">
        <f>IFERROR(INDEX(LMH_PTS,MATCH(AE374,LMH_KEY,0)),0)</f>
        <v>1</v>
      </c>
      <c r="BT374" s="38">
        <f>IFERROR(INDEX(LMH_STEP,MATCH(AF374,LMH_KEY,0)),0)</f>
        <v>0</v>
      </c>
      <c r="BU374" s="38">
        <f>IFERROR(INDEX(LMH_STEP,MATCH(AG374,LMH_KEY,0)),0)</f>
        <v>0</v>
      </c>
      <c r="BV374" s="38">
        <f>IFERROR(INDEX(LMH_STEP,MATCH(AH374,LMH_KEY,0)),0)</f>
        <v>0</v>
      </c>
      <c r="BW374" s="38">
        <f>IFERROR(INDEX(LMH_STEP,MATCH(AI374,LMH_KEY,0)),0)</f>
        <v>0</v>
      </c>
      <c r="BX374" s="38">
        <f>IFERROR(INDEX(LMH_STEP,MATCH(AJ374,LMH_KEY,0)),0)</f>
        <v>0</v>
      </c>
      <c r="BY374" s="38">
        <f>IFERROR(INDEX(LMH_STEP,MATCH(AK374,LMH_KEY,0)),0)</f>
        <v>0</v>
      </c>
      <c r="BZ374" s="38">
        <f>IFERROR(INDEX(LMH_STEP,MATCH(AL374,LMH_KEY,0)),0)</f>
        <v>0</v>
      </c>
      <c r="CA374" s="38" t="inlineStr">
        <is>
          <t>iFile|Technology|Senior Software Engineer|A3|A</t>
        </is>
      </c>
    </row>
    <row r="375" ht="110" customHeight="1">
      <c r="A375" s="28" t="inlineStr">
        <is>
          <t>iFile</t>
        </is>
      </c>
      <c r="B375" s="29" t="inlineStr">
        <is>
          <t>Technology</t>
        </is>
      </c>
      <c r="C375" s="29" t="n">
        <v>4</v>
      </c>
      <c r="D375" s="29" t="inlineStr">
        <is>
          <t>IRIS2298</t>
        </is>
      </c>
      <c r="E375" s="29" t="inlineStr">
        <is>
          <t>Shubham Shrikhande</t>
        </is>
      </c>
      <c r="F375" s="29" t="inlineStr">
        <is>
          <t>Software Engineer</t>
        </is>
      </c>
      <c r="G375" s="29" t="inlineStr">
        <is>
          <t>Senior Software Engineer</t>
        </is>
      </c>
      <c r="H375" s="29" t="inlineStr">
        <is>
          <t>Engineering &amp; Development</t>
        </is>
      </c>
      <c r="I375" s="29" t="inlineStr">
        <is>
          <t>Backend Development</t>
        </is>
      </c>
      <c r="J375" s="29" t="inlineStr">
        <is>
          <t>IC</t>
        </is>
      </c>
      <c r="K375" s="29" t="inlineStr">
        <is>
          <t>RC-067</t>
        </is>
      </c>
      <c r="L375" s="29" t="inlineStr">
        <is>
          <t>Nikhil Nalawade</t>
        </is>
      </c>
      <c r="M375" s="29" t="inlineStr">
        <is>
          <t>IRIS0846</t>
        </is>
      </c>
      <c r="N375" s="29" t="n">
        <v>3.1</v>
      </c>
      <c r="O375" s="29" t="n">
        <v>2.1</v>
      </c>
      <c r="P375" s="29" t="inlineStr">
        <is>
          <t>B.E</t>
        </is>
      </c>
      <c r="Q375" s="29" t="inlineStr">
        <is>
          <t>L3 – Professional / Associate</t>
        </is>
      </c>
      <c r="R375" s="29" t="inlineStr">
        <is>
          <t>A3</t>
        </is>
      </c>
      <c r="S375" s="30" t="inlineStr">
        <is>
          <t>20 of 20</t>
        </is>
      </c>
      <c r="T375" s="31"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t>
        </is>
      </c>
      <c r="U37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5" s="31" t="inlineStr">
        <is>
          <t>Latest rating: 4 · Potential: High · 9-box: High Impact / Growth Talent · Readiness: Ready now</t>
        </is>
      </c>
      <c r="W375" s="31" t="inlineStr">
        <is>
          <t>C L · Au L · Ac L · L L · BI M · Exp M · 3.1 yrs vs 2–4 yrs · Edu M · B.E</t>
        </is>
      </c>
      <c r="X375" s="33" t="inlineStr">
        <is>
          <t>Open ▸</t>
        </is>
      </c>
      <c r="Y375" s="34" t="str">
        <f>IFERROR(INDEX(DL_C,MATCH($CA375,DL_KEY,0)),"M")</f>
        <v>H</v>
      </c>
      <c r="Z375" s="35" t="str">
        <f>IFERROR(INDEX(DL_Au,MATCH($CA375,DL_KEY,0)),"M")</f>
        <v>M</v>
      </c>
      <c r="AA375" s="35" t="str">
        <f>IFERROR(INDEX(DL_Ac,MATCH($CA375,DL_KEY,0)),"M")</f>
        <v>L</v>
      </c>
      <c r="AB375" s="35" t="str">
        <f>IFERROR(INDEX(DL_L,MATCH($CA375,DL_KEY,0)),"M")</f>
        <v>L</v>
      </c>
      <c r="AC375" s="35" t="str">
        <f>IFERROR(INDEX(DL_BI,MATCH($CA375,DL_KEY,0)),"M")</f>
        <v>L</v>
      </c>
      <c r="AD375" s="35" t="str">
        <f>IFERROR(INDEX(DL_Exp,MATCH($CA375,DL_KEY,0)),"M")</f>
        <v>L</v>
      </c>
      <c r="AE375" s="35" t="str">
        <f>IFERROR(INDEX(DL_Edu,MATCH($CA375,DL_KEY,0)),"M")</f>
        <v>L</v>
      </c>
      <c r="AF375" s="34" t="inlineStr">
        <is>
          <t>M</t>
        </is>
      </c>
      <c r="AG375" s="35" t="inlineStr">
        <is>
          <t>M</t>
        </is>
      </c>
      <c r="AH375" s="35" t="inlineStr">
        <is>
          <t>M</t>
        </is>
      </c>
      <c r="AI375" s="35" t="inlineStr">
        <is>
          <t>M</t>
        </is>
      </c>
      <c r="AJ375" s="35" t="inlineStr">
        <is>
          <t>M</t>
        </is>
      </c>
      <c r="AK375" s="35" t="inlineStr">
        <is>
          <t>M</t>
        </is>
      </c>
      <c r="AL375" s="35" t="inlineStr">
        <is>
          <t>M</t>
        </is>
      </c>
      <c r="AM375" s="36" t="n">
        <v>0.583</v>
      </c>
      <c r="AN375" s="37" t="n">
        <v>0.16</v>
      </c>
      <c r="AO375" s="37" t="n">
        <v>0.09</v>
      </c>
      <c r="AP375" s="37" t="n">
        <v>0</v>
      </c>
      <c r="AQ375" s="37" t="n">
        <v>0.063</v>
      </c>
      <c r="AR375" s="37" t="n">
        <v>0.06</v>
      </c>
      <c r="AS375" s="37" t="n">
        <v>0.04</v>
      </c>
      <c r="AT375" s="38" t="inlineStr">
        <is>
          <t>2–5</t>
        </is>
      </c>
      <c r="AU375" s="38" t="inlineStr">
        <is>
          <t>Graduate; relevant certification preferred</t>
        </is>
      </c>
      <c r="AV375" s="38" t="inlineStr">
        <is>
          <t>None · guides 1–3 juniors informally</t>
        </is>
      </c>
      <c r="AW375" s="38" t="inlineStr">
        <is>
          <t>P2 · SFIA 3 Apply</t>
        </is>
      </c>
      <c r="AX3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5" s="39" t="inlineStr">
        <is>
          <t>A3</t>
        </is>
      </c>
      <c r="AZ375" s="40" t="inlineStr">
        <is>
          <t>Band A · Practitioner · Senior Associate</t>
        </is>
      </c>
      <c r="BA375" s="40" t="inlineStr">
        <is>
          <t>Model A3 from the six ratings, the market-derived weights and rules R1–R13 · then No change · already below the manager</t>
        </is>
      </c>
      <c r="BB375" s="41" t="inlineStr">
        <is>
          <t>A2</t>
        </is>
      </c>
      <c r="BC375" s="40" t="inlineStr">
        <is>
          <t>The six ratings on the market-average weights of Band A · all tracks score 2.13 → A2 · Hay, Mercer IPE and public plans · experience 3.1 yrs vs the A2 market range 0–3</t>
        </is>
      </c>
      <c r="BD375" s="42">
        <f>IF(SUM(BM375,BN375,BO375,BP375,BQ375,BR375,BS375)=0,0,(BM375*BT375+BN375*BU375+BO375*BV375+BP375*BW375+BQ375*BX375+BR375*BY375+BS375*BZ375)/SUM(BM375,BN375,BO375,BP375,BQ375,BR375,BS375))</f>
        <v>0</v>
      </c>
      <c r="BE375" s="41" t="str">
        <f>IF(LEFT(AY375,1)="X",AY375,IF(OR(AY375="B+",AY375="C+"),INDEX(LAD_PC,MAX(1,MIN(14,MATCH(AY375,LAD_PC,0)+IF(BD375&gt;=0.5,1,IF(BD375&lt;=-0.5,-1,0))))),INDEX(LAD_STD,MAX(1,MIN(12,MATCH(AY375,LAD_STD,0)+IF(BD375&gt;=0.5,1,IF(BD375&lt;=-0.5,-1,0)))))))</f>
        <v>A3</v>
      </c>
      <c r="BF375" s="43" t="n"/>
      <c r="BG375" s="41" t="str">
        <f>IF(BF375&lt;&gt;"",BF375,BE375)</f>
        <v>A3</v>
      </c>
      <c r="BH375" s="40" t="str">
        <f>IFERROR(CHOOSE(INDEX(B_RANK,MATCH(BG375,B_LVL,0)),"Band A","Band B","B+ · Player-Coach","Band C","C+ · Player-Coach","Band D","Band E"),"Band X · Consultant")</f>
        <v>Band A</v>
      </c>
      <c r="BI375" s="40" t="str">
        <f>IF(BG375=AY375,"• Same",IF(INDEX(B_VAL,MATCH(BG375,B_LVL,0))&gt;INDEX(B_VAL,MATCH(AY375,B_LVL,0)),"▲ Up","▼ Down"))</f>
        <v>• Same</v>
      </c>
      <c r="BJ375" s="40" t="str">
        <f>IF(OR($M375="",$M375="—",$M375="Not in this file"),"",IFERROR(INDEX($BG$7:$BG$592,MATCH($M375,$D$7:$D$592,0)),""))</f>
        <v>B2</v>
      </c>
      <c r="BK375" s="40" t="str">
        <f>IFERROR(IF(BJ375="","—",IF(OR(LEFT(BG375,1)="X",LEFT(BJ375,1)="X"),"—",IF(AND(LEFT(BG375,1)="E",LEFT(BJ375,1)="E"),"Exception · Band E",IF(AND(INDEX(B_VAL,MATCH(BJ375,B_LVL,0))&gt;=7,INDEX(B_RANK,MATCH(BG375,B_LVL,0))&gt;=INDEX(B_RANK,MATCH(BJ375,B_LVL,0))),"⚠ Same band as a head manager",IF(INDEX(B_VAL,MATCH(BG375,B_LVL,0))&gt;=INDEX(B_VAL,MATCH(BJ375,B_LVL,0)),"⚠ At or above the manager's level","OK"))))),"—")</f>
        <v>OK</v>
      </c>
      <c r="BL375" s="43" t="n"/>
      <c r="BM375" s="44">
        <f>IFERROR(INDEX(LMH_PTS,MATCH(Y375,LMH_KEY,0)),0)</f>
        <v>9</v>
      </c>
      <c r="BN375" s="38">
        <f>IFERROR(INDEX(LMH_PTS,MATCH(Z375,LMH_KEY,0)),0)</f>
        <v>3</v>
      </c>
      <c r="BO375" s="38">
        <f>IFERROR(INDEX(LMH_PTS,MATCH(AA375,LMH_KEY,0)),0)</f>
        <v>1</v>
      </c>
      <c r="BP375" s="38">
        <f>IFERROR(INDEX(LMH_PTS,MATCH(AB375,LMH_KEY,0)),0)</f>
        <v>1</v>
      </c>
      <c r="BQ375" s="38">
        <f>IFERROR(INDEX(LMH_PTS,MATCH(AC375,LMH_KEY,0)),0)</f>
        <v>1</v>
      </c>
      <c r="BR375" s="38">
        <f>IFERROR(INDEX(LMH_PTS,MATCH(AD375,LMH_KEY,0)),0)</f>
        <v>1</v>
      </c>
      <c r="BS375" s="38">
        <f>IFERROR(INDEX(LMH_PTS,MATCH(AE375,LMH_KEY,0)),0)</f>
        <v>1</v>
      </c>
      <c r="BT375" s="38">
        <f>IFERROR(INDEX(LMH_STEP,MATCH(AF375,LMH_KEY,0)),0)</f>
        <v>0</v>
      </c>
      <c r="BU375" s="38">
        <f>IFERROR(INDEX(LMH_STEP,MATCH(AG375,LMH_KEY,0)),0)</f>
        <v>0</v>
      </c>
      <c r="BV375" s="38">
        <f>IFERROR(INDEX(LMH_STEP,MATCH(AH375,LMH_KEY,0)),0)</f>
        <v>0</v>
      </c>
      <c r="BW375" s="38">
        <f>IFERROR(INDEX(LMH_STEP,MATCH(AI375,LMH_KEY,0)),0)</f>
        <v>0</v>
      </c>
      <c r="BX375" s="38">
        <f>IFERROR(INDEX(LMH_STEP,MATCH(AJ375,LMH_KEY,0)),0)</f>
        <v>0</v>
      </c>
      <c r="BY375" s="38">
        <f>IFERROR(INDEX(LMH_STEP,MATCH(AK375,LMH_KEY,0)),0)</f>
        <v>0</v>
      </c>
      <c r="BZ375" s="38">
        <f>IFERROR(INDEX(LMH_STEP,MATCH(AL375,LMH_KEY,0)),0)</f>
        <v>0</v>
      </c>
      <c r="CA375" s="38" t="inlineStr">
        <is>
          <t>iFile|Technology|Senior Software Engineer|A3|A</t>
        </is>
      </c>
    </row>
    <row r="376" ht="110" customHeight="1">
      <c r="A376" s="28" t="inlineStr">
        <is>
          <t>iFile</t>
        </is>
      </c>
      <c r="B376" s="29" t="inlineStr">
        <is>
          <t>Technology</t>
        </is>
      </c>
      <c r="C376" s="29" t="n">
        <v>4</v>
      </c>
      <c r="D376" s="29" t="inlineStr">
        <is>
          <t>IRIS2291</t>
        </is>
      </c>
      <c r="E376" s="29" t="inlineStr">
        <is>
          <t>Shubham Yadav</t>
        </is>
      </c>
      <c r="F376" s="29" t="inlineStr">
        <is>
          <t>Software Engineer</t>
        </is>
      </c>
      <c r="G376" s="29" t="inlineStr">
        <is>
          <t>Senior UI Developer</t>
        </is>
      </c>
      <c r="H376" s="29" t="inlineStr">
        <is>
          <t>Engineering &amp; Development</t>
        </is>
      </c>
      <c r="I376" s="29" t="inlineStr">
        <is>
          <t>Front-End / UI Development</t>
        </is>
      </c>
      <c r="J376" s="29" t="inlineStr">
        <is>
          <t>IC</t>
        </is>
      </c>
      <c r="K376" s="29" t="inlineStr">
        <is>
          <t>RC-081</t>
        </is>
      </c>
      <c r="L376" s="29" t="inlineStr">
        <is>
          <t>Nikhil Nalawade</t>
        </is>
      </c>
      <c r="M376" s="29" t="inlineStr">
        <is>
          <t>IRIS0846</t>
        </is>
      </c>
      <c r="N376" s="29" t="n">
        <v>5.4</v>
      </c>
      <c r="O376" s="29" t="n">
        <v>2.2</v>
      </c>
      <c r="P376" s="29" t="inlineStr">
        <is>
          <t>B.E</t>
        </is>
      </c>
      <c r="Q376" s="29" t="inlineStr">
        <is>
          <t>L3 – Professional / Associate</t>
        </is>
      </c>
      <c r="R376" s="29" t="inlineStr">
        <is>
          <t>A3</t>
        </is>
      </c>
      <c r="S376" s="30" t="inlineStr">
        <is>
          <t>0 of 20</t>
        </is>
      </c>
      <c r="T376" s="31"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t>
        </is>
      </c>
      <c r="U376"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76" s="31" t="inlineStr">
        <is>
          <t>Latest rating: Not rated · manager · 9-box: Not placed · manager · Readiness: No rating data</t>
        </is>
      </c>
      <c r="W376" s="31" t="inlineStr">
        <is>
          <t>C L · Au M · Ac H · L M · BI H · Exp H · 5.4 yrs vs 2–4 yrs · Edu M · B.E</t>
        </is>
      </c>
      <c r="X376" s="33" t="inlineStr">
        <is>
          <t>Open ▸</t>
        </is>
      </c>
      <c r="Y376" s="34" t="str">
        <f>IFERROR(INDEX(DL_C,MATCH($CA376,DL_KEY,0)),"M")</f>
        <v>H</v>
      </c>
      <c r="Z376" s="35" t="str">
        <f>IFERROR(INDEX(DL_Au,MATCH($CA376,DL_KEY,0)),"M")</f>
        <v>M</v>
      </c>
      <c r="AA376" s="35" t="str">
        <f>IFERROR(INDEX(DL_Ac,MATCH($CA376,DL_KEY,0)),"M")</f>
        <v>L</v>
      </c>
      <c r="AB376" s="35" t="str">
        <f>IFERROR(INDEX(DL_L,MATCH($CA376,DL_KEY,0)),"M")</f>
        <v>L</v>
      </c>
      <c r="AC376" s="35" t="str">
        <f>IFERROR(INDEX(DL_BI,MATCH($CA376,DL_KEY,0)),"M")</f>
        <v>L</v>
      </c>
      <c r="AD376" s="35" t="str">
        <f>IFERROR(INDEX(DL_Exp,MATCH($CA376,DL_KEY,0)),"M")</f>
        <v>L</v>
      </c>
      <c r="AE376" s="35" t="str">
        <f>IFERROR(INDEX(DL_Edu,MATCH($CA376,DL_KEY,0)),"M")</f>
        <v>L</v>
      </c>
      <c r="AF376" s="34" t="inlineStr">
        <is>
          <t>M</t>
        </is>
      </c>
      <c r="AG376" s="35" t="inlineStr">
        <is>
          <t>M</t>
        </is>
      </c>
      <c r="AH376" s="35" t="inlineStr">
        <is>
          <t>M</t>
        </is>
      </c>
      <c r="AI376" s="35" t="inlineStr">
        <is>
          <t>M</t>
        </is>
      </c>
      <c r="AJ376" s="35" t="inlineStr">
        <is>
          <t>M</t>
        </is>
      </c>
      <c r="AK376" s="35" t="inlineStr">
        <is>
          <t>M</t>
        </is>
      </c>
      <c r="AL376" s="35" t="inlineStr">
        <is>
          <t>M</t>
        </is>
      </c>
      <c r="AM376" s="36" t="n">
        <v>0.583</v>
      </c>
      <c r="AN376" s="37" t="n">
        <v>0.16</v>
      </c>
      <c r="AO376" s="37" t="n">
        <v>0.09</v>
      </c>
      <c r="AP376" s="37" t="n">
        <v>0</v>
      </c>
      <c r="AQ376" s="37" t="n">
        <v>0.063</v>
      </c>
      <c r="AR376" s="37" t="n">
        <v>0.06</v>
      </c>
      <c r="AS376" s="37" t="n">
        <v>0.04</v>
      </c>
      <c r="AT376" s="38" t="inlineStr">
        <is>
          <t>2–5</t>
        </is>
      </c>
      <c r="AU376" s="38" t="inlineStr">
        <is>
          <t>Graduate; relevant certification preferred</t>
        </is>
      </c>
      <c r="AV376" s="38" t="inlineStr">
        <is>
          <t>None · guides 1–3 juniors informally</t>
        </is>
      </c>
      <c r="AW376" s="38" t="inlineStr">
        <is>
          <t>P2 · SFIA 3 Apply</t>
        </is>
      </c>
      <c r="AX3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6" s="39" t="inlineStr">
        <is>
          <t>A3</t>
        </is>
      </c>
      <c r="AZ376" s="40" t="inlineStr">
        <is>
          <t>Band A · Practitioner · Senior Associate</t>
        </is>
      </c>
      <c r="BA376" s="40" t="inlineStr">
        <is>
          <t>Model A3 from the six ratings, the market-derived weights and rules R1–R13 · then No change · already below the manager</t>
        </is>
      </c>
      <c r="BB376" s="41" t="inlineStr">
        <is>
          <t>A3</t>
        </is>
      </c>
      <c r="BC376" s="40" t="inlineStr">
        <is>
          <t>The six ratings on the market-average weights of Band A · all tracks score 2.59 → A3 · Hay, Mercer IPE and public plans · experience 5.4 yrs vs the A3 market range 2–5</t>
        </is>
      </c>
      <c r="BD376" s="42">
        <f>IF(SUM(BM376,BN376,BO376,BP376,BQ376,BR376,BS376)=0,0,(BM376*BT376+BN376*BU376+BO376*BV376+BP376*BW376+BQ376*BX376+BR376*BY376+BS376*BZ376)/SUM(BM376,BN376,BO376,BP376,BQ376,BR376,BS376))</f>
        <v>0</v>
      </c>
      <c r="BE376" s="41" t="str">
        <f>IF(LEFT(AY376,1)="X",AY376,IF(OR(AY376="B+",AY376="C+"),INDEX(LAD_PC,MAX(1,MIN(14,MATCH(AY376,LAD_PC,0)+IF(BD376&gt;=0.5,1,IF(BD376&lt;=-0.5,-1,0))))),INDEX(LAD_STD,MAX(1,MIN(12,MATCH(AY376,LAD_STD,0)+IF(BD376&gt;=0.5,1,IF(BD376&lt;=-0.5,-1,0)))))))</f>
        <v>A3</v>
      </c>
      <c r="BF376" s="43" t="n"/>
      <c r="BG376" s="41" t="str">
        <f>IF(BF376&lt;&gt;"",BF376,BE376)</f>
        <v>A3</v>
      </c>
      <c r="BH376" s="40" t="str">
        <f>IFERROR(CHOOSE(INDEX(B_RANK,MATCH(BG376,B_LVL,0)),"Band A","Band B","B+ · Player-Coach","Band C","C+ · Player-Coach","Band D","Band E"),"Band X · Consultant")</f>
        <v>Band A</v>
      </c>
      <c r="BI376" s="40" t="str">
        <f>IF(BG376=AY376,"• Same",IF(INDEX(B_VAL,MATCH(BG376,B_LVL,0))&gt;INDEX(B_VAL,MATCH(AY376,B_LVL,0)),"▲ Up","▼ Down"))</f>
        <v>• Same</v>
      </c>
      <c r="BJ376" s="40" t="str">
        <f>IF(OR($M376="",$M376="—",$M376="Not in this file"),"",IFERROR(INDEX($BG$7:$BG$592,MATCH($M376,$D$7:$D$592,0)),""))</f>
        <v>B2</v>
      </c>
      <c r="BK376" s="40" t="str">
        <f>IFERROR(IF(BJ376="","—",IF(OR(LEFT(BG376,1)="X",LEFT(BJ376,1)="X"),"—",IF(AND(LEFT(BG376,1)="E",LEFT(BJ376,1)="E"),"Exception · Band E",IF(AND(INDEX(B_VAL,MATCH(BJ376,B_LVL,0))&gt;=7,INDEX(B_RANK,MATCH(BG376,B_LVL,0))&gt;=INDEX(B_RANK,MATCH(BJ376,B_LVL,0))),"⚠ Same band as a head manager",IF(INDEX(B_VAL,MATCH(BG376,B_LVL,0))&gt;=INDEX(B_VAL,MATCH(BJ376,B_LVL,0)),"⚠ At or above the manager's level","OK"))))),"—")</f>
        <v>OK</v>
      </c>
      <c r="BL376" s="43" t="n"/>
      <c r="BM376" s="44">
        <f>IFERROR(INDEX(LMH_PTS,MATCH(Y376,LMH_KEY,0)),0)</f>
        <v>9</v>
      </c>
      <c r="BN376" s="38">
        <f>IFERROR(INDEX(LMH_PTS,MATCH(Z376,LMH_KEY,0)),0)</f>
        <v>3</v>
      </c>
      <c r="BO376" s="38">
        <f>IFERROR(INDEX(LMH_PTS,MATCH(AA376,LMH_KEY,0)),0)</f>
        <v>1</v>
      </c>
      <c r="BP376" s="38">
        <f>IFERROR(INDEX(LMH_PTS,MATCH(AB376,LMH_KEY,0)),0)</f>
        <v>1</v>
      </c>
      <c r="BQ376" s="38">
        <f>IFERROR(INDEX(LMH_PTS,MATCH(AC376,LMH_KEY,0)),0)</f>
        <v>1</v>
      </c>
      <c r="BR376" s="38">
        <f>IFERROR(INDEX(LMH_PTS,MATCH(AD376,LMH_KEY,0)),0)</f>
        <v>1</v>
      </c>
      <c r="BS376" s="38">
        <f>IFERROR(INDEX(LMH_PTS,MATCH(AE376,LMH_KEY,0)),0)</f>
        <v>1</v>
      </c>
      <c r="BT376" s="38">
        <f>IFERROR(INDEX(LMH_STEP,MATCH(AF376,LMH_KEY,0)),0)</f>
        <v>0</v>
      </c>
      <c r="BU376" s="38">
        <f>IFERROR(INDEX(LMH_STEP,MATCH(AG376,LMH_KEY,0)),0)</f>
        <v>0</v>
      </c>
      <c r="BV376" s="38">
        <f>IFERROR(INDEX(LMH_STEP,MATCH(AH376,LMH_KEY,0)),0)</f>
        <v>0</v>
      </c>
      <c r="BW376" s="38">
        <f>IFERROR(INDEX(LMH_STEP,MATCH(AI376,LMH_KEY,0)),0)</f>
        <v>0</v>
      </c>
      <c r="BX376" s="38">
        <f>IFERROR(INDEX(LMH_STEP,MATCH(AJ376,LMH_KEY,0)),0)</f>
        <v>0</v>
      </c>
      <c r="BY376" s="38">
        <f>IFERROR(INDEX(LMH_STEP,MATCH(AK376,LMH_KEY,0)),0)</f>
        <v>0</v>
      </c>
      <c r="BZ376" s="38">
        <f>IFERROR(INDEX(LMH_STEP,MATCH(AL376,LMH_KEY,0)),0)</f>
        <v>0</v>
      </c>
      <c r="CA376" s="38" t="inlineStr">
        <is>
          <t>iFile|Technology|Senior UI Developer|A3|A</t>
        </is>
      </c>
    </row>
    <row r="377" ht="110" customHeight="1">
      <c r="A377" s="28" t="inlineStr">
        <is>
          <t>iFile</t>
        </is>
      </c>
      <c r="B377" s="29" t="inlineStr">
        <is>
          <t>Technology</t>
        </is>
      </c>
      <c r="C377" s="29" t="n">
        <v>5</v>
      </c>
      <c r="D377" s="29" t="inlineStr">
        <is>
          <t>IRIS2559</t>
        </is>
      </c>
      <c r="E377" s="29" t="inlineStr">
        <is>
          <t>Amaan Ullah</t>
        </is>
      </c>
      <c r="F377" s="29" t="inlineStr">
        <is>
          <t>Trainee Software Engineer</t>
        </is>
      </c>
      <c r="G377" s="29" t="inlineStr">
        <is>
          <t>Trainee Software Engineer</t>
        </is>
      </c>
      <c r="H377" s="29" t="inlineStr">
        <is>
          <t>Engineering &amp; Development</t>
        </is>
      </c>
      <c r="I377" s="29" t="inlineStr">
        <is>
          <t>Full-Stack Development</t>
        </is>
      </c>
      <c r="J377" s="29" t="inlineStr">
        <is>
          <t>IC</t>
        </is>
      </c>
      <c r="K377" s="29" t="inlineStr">
        <is>
          <t>RC-083</t>
        </is>
      </c>
      <c r="L377" s="29" t="inlineStr">
        <is>
          <t>Shubham Yadav</t>
        </is>
      </c>
      <c r="M377" s="29" t="inlineStr">
        <is>
          <t>IRIS2291</t>
        </is>
      </c>
      <c r="N377" s="29" t="n">
        <v>0.4</v>
      </c>
      <c r="O377" s="29" t="n">
        <v>0.1</v>
      </c>
      <c r="P377" s="29" t="inlineStr">
        <is>
          <t>B.Tech</t>
        </is>
      </c>
      <c r="Q377" s="29" t="inlineStr">
        <is>
          <t>L1 – Intern</t>
        </is>
      </c>
      <c r="R377" s="29" t="inlineStr">
        <is>
          <t>A1</t>
        </is>
      </c>
      <c r="S377" s="30" t="inlineStr">
        <is>
          <t>20 of 20</t>
        </is>
      </c>
      <c r="T377" s="32" t="inlineStr">
        <is>
          <t>Full survey answers not in the files received · How We Grow export needed · HR</t>
        </is>
      </c>
      <c r="U37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7" s="31" t="inlineStr">
        <is>
          <t>Latest rating: 3 · Potential: Medium · 9-box: Emerging Talent · Readiness: Develop in role</t>
        </is>
      </c>
      <c r="W377" s="31" t="inlineStr">
        <is>
          <t>C — · Au — · Ac — · L — · BI — · Exp H · 0.4 yrs vs 0 yrs · fresher / intern · Edu M · B.Tech</t>
        </is>
      </c>
      <c r="X377" s="33" t="inlineStr">
        <is>
          <t>Open ▸</t>
        </is>
      </c>
      <c r="Y377" s="34" t="str">
        <f>IFERROR(INDEX(DL_C,MATCH($CA377,DL_KEY,0)),"M")</f>
        <v>H</v>
      </c>
      <c r="Z377" s="35" t="str">
        <f>IFERROR(INDEX(DL_Au,MATCH($CA377,DL_KEY,0)),"M")</f>
        <v>M</v>
      </c>
      <c r="AA377" s="35" t="str">
        <f>IFERROR(INDEX(DL_Ac,MATCH($CA377,DL_KEY,0)),"M")</f>
        <v>L</v>
      </c>
      <c r="AB377" s="35" t="str">
        <f>IFERROR(INDEX(DL_L,MATCH($CA377,DL_KEY,0)),"M")</f>
        <v>L</v>
      </c>
      <c r="AC377" s="35" t="str">
        <f>IFERROR(INDEX(DL_BI,MATCH($CA377,DL_KEY,0)),"M")</f>
        <v>L</v>
      </c>
      <c r="AD377" s="35" t="str">
        <f>IFERROR(INDEX(DL_Exp,MATCH($CA377,DL_KEY,0)),"M")</f>
        <v>L</v>
      </c>
      <c r="AE377" s="35" t="str">
        <f>IFERROR(INDEX(DL_Edu,MATCH($CA377,DL_KEY,0)),"M")</f>
        <v>L</v>
      </c>
      <c r="AF377" s="34" t="inlineStr">
        <is>
          <t>M</t>
        </is>
      </c>
      <c r="AG377" s="35" t="inlineStr">
        <is>
          <t>M</t>
        </is>
      </c>
      <c r="AH377" s="35" t="inlineStr">
        <is>
          <t>M</t>
        </is>
      </c>
      <c r="AI377" s="35" t="inlineStr">
        <is>
          <t>M</t>
        </is>
      </c>
      <c r="AJ377" s="35" t="inlineStr">
        <is>
          <t>M</t>
        </is>
      </c>
      <c r="AK377" s="35" t="inlineStr">
        <is>
          <t>M</t>
        </is>
      </c>
      <c r="AL377" s="35" t="inlineStr">
        <is>
          <t>M</t>
        </is>
      </c>
      <c r="AM377" s="36" t="n">
        <v>0.583</v>
      </c>
      <c r="AN377" s="37" t="n">
        <v>0.16</v>
      </c>
      <c r="AO377" s="37" t="n">
        <v>0.09</v>
      </c>
      <c r="AP377" s="37" t="n">
        <v>0</v>
      </c>
      <c r="AQ377" s="37" t="n">
        <v>0.063</v>
      </c>
      <c r="AR377" s="37" t="n">
        <v>0.06</v>
      </c>
      <c r="AS377" s="37" t="n">
        <v>0.04</v>
      </c>
      <c r="AT377" s="38" t="inlineStr">
        <is>
          <t>0 yrs · fresher / intern</t>
        </is>
      </c>
      <c r="AU377" s="38" t="inlineStr">
        <is>
          <t>Pursuing or completed graduation / diploma</t>
        </is>
      </c>
      <c r="AV377" s="38" t="inlineStr">
        <is>
          <t>No direct reports</t>
        </is>
      </c>
      <c r="AW377" s="38" t="inlineStr">
        <is>
          <t>Entry / P1 · intern · SFIA 1 Follow</t>
        </is>
      </c>
      <c r="AX3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7" s="39" t="inlineStr">
        <is>
          <t>A1</t>
        </is>
      </c>
      <c r="AZ377" s="40" t="inlineStr">
        <is>
          <t>Band A · Practitioner · Intern / Trainee</t>
        </is>
      </c>
      <c r="BA377" s="40" t="inlineStr">
        <is>
          <t>Model A1 from the six ratings, the market-derived weights and rules R1–R13 · then No change · already below the manager</t>
        </is>
      </c>
      <c r="BB377" s="41" t="inlineStr">
        <is>
          <t>A1</t>
        </is>
      </c>
      <c r="BC377" s="40" t="inlineStr">
        <is>
          <t>Placed by a category rule — no full set of ratings · benchmark follows the HR proposed level</t>
        </is>
      </c>
      <c r="BD377" s="42">
        <f>IF(SUM(BM377,BN377,BO377,BP377,BQ377,BR377,BS377)=0,0,(BM377*BT377+BN377*BU377+BO377*BV377+BP377*BW377+BQ377*BX377+BR377*BY377+BS377*BZ377)/SUM(BM377,BN377,BO377,BP377,BQ377,BR377,BS377))</f>
        <v>0</v>
      </c>
      <c r="BE377" s="41" t="str">
        <f>IF(LEFT(AY377,1)="X",AY377,IF(OR(AY377="B+",AY377="C+"),INDEX(LAD_PC,MAX(1,MIN(14,MATCH(AY377,LAD_PC,0)+IF(BD377&gt;=0.5,1,IF(BD377&lt;=-0.5,-1,0))))),INDEX(LAD_STD,MAX(1,MIN(12,MATCH(AY377,LAD_STD,0)+IF(BD377&gt;=0.5,1,IF(BD377&lt;=-0.5,-1,0)))))))</f>
        <v>A1</v>
      </c>
      <c r="BF377" s="43" t="n"/>
      <c r="BG377" s="41" t="str">
        <f>IF(BF377&lt;&gt;"",BF377,BE377)</f>
        <v>A1</v>
      </c>
      <c r="BH377" s="40" t="str">
        <f>IFERROR(CHOOSE(INDEX(B_RANK,MATCH(BG377,B_LVL,0)),"Band A","Band B","B+ · Player-Coach","Band C","C+ · Player-Coach","Band D","Band E"),"Band X · Consultant")</f>
        <v>Band A</v>
      </c>
      <c r="BI377" s="40" t="str">
        <f>IF(BG377=AY377,"• Same",IF(INDEX(B_VAL,MATCH(BG377,B_LVL,0))&gt;INDEX(B_VAL,MATCH(AY377,B_LVL,0)),"▲ Up","▼ Down"))</f>
        <v>• Same</v>
      </c>
      <c r="BJ377" s="40" t="str">
        <f>IF(OR($M377="",$M377="—",$M377="Not in this file"),"",IFERROR(INDEX($BG$7:$BG$592,MATCH($M377,$D$7:$D$592,0)),""))</f>
        <v>A3</v>
      </c>
      <c r="BK377" s="40" t="str">
        <f>IFERROR(IF(BJ377="","—",IF(OR(LEFT(BG377,1)="X",LEFT(BJ377,1)="X"),"—",IF(AND(LEFT(BG377,1)="E",LEFT(BJ377,1)="E"),"Exception · Band E",IF(AND(INDEX(B_VAL,MATCH(BJ377,B_LVL,0))&gt;=7,INDEX(B_RANK,MATCH(BG377,B_LVL,0))&gt;=INDEX(B_RANK,MATCH(BJ377,B_LVL,0))),"⚠ Same band as a head manager",IF(INDEX(B_VAL,MATCH(BG377,B_LVL,0))&gt;=INDEX(B_VAL,MATCH(BJ377,B_LVL,0)),"⚠ At or above the manager's level","OK"))))),"—")</f>
        <v>OK</v>
      </c>
      <c r="BL377" s="43" t="n"/>
      <c r="BM377" s="44">
        <f>IFERROR(INDEX(LMH_PTS,MATCH(Y377,LMH_KEY,0)),0)</f>
        <v>9</v>
      </c>
      <c r="BN377" s="38">
        <f>IFERROR(INDEX(LMH_PTS,MATCH(Z377,LMH_KEY,0)),0)</f>
        <v>3</v>
      </c>
      <c r="BO377" s="38">
        <f>IFERROR(INDEX(LMH_PTS,MATCH(AA377,LMH_KEY,0)),0)</f>
        <v>1</v>
      </c>
      <c r="BP377" s="38">
        <f>IFERROR(INDEX(LMH_PTS,MATCH(AB377,LMH_KEY,0)),0)</f>
        <v>1</v>
      </c>
      <c r="BQ377" s="38">
        <f>IFERROR(INDEX(LMH_PTS,MATCH(AC377,LMH_KEY,0)),0)</f>
        <v>1</v>
      </c>
      <c r="BR377" s="38">
        <f>IFERROR(INDEX(LMH_PTS,MATCH(AD377,LMH_KEY,0)),0)</f>
        <v>1</v>
      </c>
      <c r="BS377" s="38">
        <f>IFERROR(INDEX(LMH_PTS,MATCH(AE377,LMH_KEY,0)),0)</f>
        <v>1</v>
      </c>
      <c r="BT377" s="38">
        <f>IFERROR(INDEX(LMH_STEP,MATCH(AF377,LMH_KEY,0)),0)</f>
        <v>0</v>
      </c>
      <c r="BU377" s="38">
        <f>IFERROR(INDEX(LMH_STEP,MATCH(AG377,LMH_KEY,0)),0)</f>
        <v>0</v>
      </c>
      <c r="BV377" s="38">
        <f>IFERROR(INDEX(LMH_STEP,MATCH(AH377,LMH_KEY,0)),0)</f>
        <v>0</v>
      </c>
      <c r="BW377" s="38">
        <f>IFERROR(INDEX(LMH_STEP,MATCH(AI377,LMH_KEY,0)),0)</f>
        <v>0</v>
      </c>
      <c r="BX377" s="38">
        <f>IFERROR(INDEX(LMH_STEP,MATCH(AJ377,LMH_KEY,0)),0)</f>
        <v>0</v>
      </c>
      <c r="BY377" s="38">
        <f>IFERROR(INDEX(LMH_STEP,MATCH(AK377,LMH_KEY,0)),0)</f>
        <v>0</v>
      </c>
      <c r="BZ377" s="38">
        <f>IFERROR(INDEX(LMH_STEP,MATCH(AL377,LMH_KEY,0)),0)</f>
        <v>0</v>
      </c>
      <c r="CA377" s="38" t="inlineStr">
        <is>
          <t>iFile|Technology|Trainee Software Engineer|A1|A</t>
        </is>
      </c>
    </row>
    <row r="378" ht="110" customHeight="1">
      <c r="A378" s="28" t="inlineStr">
        <is>
          <t>iFile</t>
        </is>
      </c>
      <c r="B378" s="29" t="inlineStr">
        <is>
          <t>Technology</t>
        </is>
      </c>
      <c r="C378" s="29" t="n">
        <v>4</v>
      </c>
      <c r="D378" s="29" t="inlineStr">
        <is>
          <t>IRIS2459</t>
        </is>
      </c>
      <c r="E378" s="29" t="inlineStr">
        <is>
          <t>Viranchi Suresh Bhure</t>
        </is>
      </c>
      <c r="F378" s="29" t="inlineStr">
        <is>
          <t>Software Engineer</t>
        </is>
      </c>
      <c r="G378" s="29" t="inlineStr">
        <is>
          <t>Senior Software Engineer</t>
        </is>
      </c>
      <c r="H378" s="29" t="inlineStr">
        <is>
          <t>Engineering &amp; Development</t>
        </is>
      </c>
      <c r="I378" s="29" t="inlineStr">
        <is>
          <t>Backend Development</t>
        </is>
      </c>
      <c r="J378" s="29" t="inlineStr">
        <is>
          <t>IC</t>
        </is>
      </c>
      <c r="K378" s="29" t="inlineStr">
        <is>
          <t>RC-067</t>
        </is>
      </c>
      <c r="L378" s="29" t="inlineStr">
        <is>
          <t>Nikhil Nalawade</t>
        </is>
      </c>
      <c r="M378" s="29" t="inlineStr">
        <is>
          <t>IRIS0846</t>
        </is>
      </c>
      <c r="N378" s="29" t="n">
        <v>3.5</v>
      </c>
      <c r="O378" s="29" t="n">
        <v>0.7</v>
      </c>
      <c r="P378" s="29" t="inlineStr">
        <is>
          <t>B.E</t>
        </is>
      </c>
      <c r="Q378" s="29" t="inlineStr">
        <is>
          <t>L3 – Professional / Associate</t>
        </is>
      </c>
      <c r="R378" s="29" t="inlineStr">
        <is>
          <t>A3</t>
        </is>
      </c>
      <c r="S378" s="30" t="inlineStr">
        <is>
          <t>20 of 20</t>
        </is>
      </c>
      <c r="T378" s="31" t="inlineStr">
        <is>
          <t>Business Impact: No survey or manager-mapping signal on criticality: kept at the start point.</t>
        </is>
      </c>
      <c r="U37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8" s="31" t="inlineStr">
        <is>
          <t>Latest rating: 3 · Potential: Medium · 9-box: Emerging Talent · Readiness: Develop in role</t>
        </is>
      </c>
      <c r="W378" s="31" t="inlineStr">
        <is>
          <t>C M · Au L · Ac M · L L · BI M · Exp M · 3.5 yrs vs 2–4 yrs · Edu M · B.E</t>
        </is>
      </c>
      <c r="X378" s="33" t="inlineStr">
        <is>
          <t>Open ▸</t>
        </is>
      </c>
      <c r="Y378" s="34" t="str">
        <f>IFERROR(INDEX(DL_C,MATCH($CA378,DL_KEY,0)),"M")</f>
        <v>H</v>
      </c>
      <c r="Z378" s="35" t="str">
        <f>IFERROR(INDEX(DL_Au,MATCH($CA378,DL_KEY,0)),"M")</f>
        <v>M</v>
      </c>
      <c r="AA378" s="35" t="str">
        <f>IFERROR(INDEX(DL_Ac,MATCH($CA378,DL_KEY,0)),"M")</f>
        <v>L</v>
      </c>
      <c r="AB378" s="35" t="str">
        <f>IFERROR(INDEX(DL_L,MATCH($CA378,DL_KEY,0)),"M")</f>
        <v>L</v>
      </c>
      <c r="AC378" s="35" t="str">
        <f>IFERROR(INDEX(DL_BI,MATCH($CA378,DL_KEY,0)),"M")</f>
        <v>L</v>
      </c>
      <c r="AD378" s="35" t="str">
        <f>IFERROR(INDEX(DL_Exp,MATCH($CA378,DL_KEY,0)),"M")</f>
        <v>L</v>
      </c>
      <c r="AE378" s="35" t="str">
        <f>IFERROR(INDEX(DL_Edu,MATCH($CA378,DL_KEY,0)),"M")</f>
        <v>L</v>
      </c>
      <c r="AF378" s="34" t="inlineStr">
        <is>
          <t>M</t>
        </is>
      </c>
      <c r="AG378" s="35" t="inlineStr">
        <is>
          <t>M</t>
        </is>
      </c>
      <c r="AH378" s="35" t="inlineStr">
        <is>
          <t>M</t>
        </is>
      </c>
      <c r="AI378" s="35" t="inlineStr">
        <is>
          <t>M</t>
        </is>
      </c>
      <c r="AJ378" s="35" t="inlineStr">
        <is>
          <t>M</t>
        </is>
      </c>
      <c r="AK378" s="35" t="inlineStr">
        <is>
          <t>M</t>
        </is>
      </c>
      <c r="AL378" s="35" t="inlineStr">
        <is>
          <t>M</t>
        </is>
      </c>
      <c r="AM378" s="36" t="n">
        <v>0.583</v>
      </c>
      <c r="AN378" s="37" t="n">
        <v>0.16</v>
      </c>
      <c r="AO378" s="37" t="n">
        <v>0.09</v>
      </c>
      <c r="AP378" s="37" t="n">
        <v>0</v>
      </c>
      <c r="AQ378" s="37" t="n">
        <v>0.063</v>
      </c>
      <c r="AR378" s="37" t="n">
        <v>0.06</v>
      </c>
      <c r="AS378" s="37" t="n">
        <v>0.04</v>
      </c>
      <c r="AT378" s="38" t="inlineStr">
        <is>
          <t>2–5</t>
        </is>
      </c>
      <c r="AU378" s="38" t="inlineStr">
        <is>
          <t>Graduate; relevant certification preferred</t>
        </is>
      </c>
      <c r="AV378" s="38" t="inlineStr">
        <is>
          <t>None · guides 1–3 juniors informally</t>
        </is>
      </c>
      <c r="AW378" s="38" t="inlineStr">
        <is>
          <t>P2 · SFIA 3 Apply</t>
        </is>
      </c>
      <c r="AX3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8" s="39" t="inlineStr">
        <is>
          <t>A3</t>
        </is>
      </c>
      <c r="AZ378" s="40" t="inlineStr">
        <is>
          <t>Band A · Practitioner · Senior Associate</t>
        </is>
      </c>
      <c r="BA378" s="40" t="inlineStr">
        <is>
          <t>Model A3 from the six ratings, the market-derived weights and rules R1–R13 · then No change · already below the manager</t>
        </is>
      </c>
      <c r="BB378" s="41" t="inlineStr">
        <is>
          <t>A2</t>
        </is>
      </c>
      <c r="BC378" s="40" t="inlineStr">
        <is>
          <t>The six ratings on the market-average weights of Band A · all tracks score 2.47 → A2 · Hay, Mercer IPE and public plans · experience 3.5 yrs vs the A2 market range 0–3</t>
        </is>
      </c>
      <c r="BD378" s="42">
        <f>IF(SUM(BM378,BN378,BO378,BP378,BQ378,BR378,BS378)=0,0,(BM378*BT378+BN378*BU378+BO378*BV378+BP378*BW378+BQ378*BX378+BR378*BY378+BS378*BZ378)/SUM(BM378,BN378,BO378,BP378,BQ378,BR378,BS378))</f>
        <v>0</v>
      </c>
      <c r="BE378" s="41" t="str">
        <f>IF(LEFT(AY378,1)="X",AY378,IF(OR(AY378="B+",AY378="C+"),INDEX(LAD_PC,MAX(1,MIN(14,MATCH(AY378,LAD_PC,0)+IF(BD378&gt;=0.5,1,IF(BD378&lt;=-0.5,-1,0))))),INDEX(LAD_STD,MAX(1,MIN(12,MATCH(AY378,LAD_STD,0)+IF(BD378&gt;=0.5,1,IF(BD378&lt;=-0.5,-1,0)))))))</f>
        <v>A3</v>
      </c>
      <c r="BF378" s="43" t="n"/>
      <c r="BG378" s="41" t="str">
        <f>IF(BF378&lt;&gt;"",BF378,BE378)</f>
        <v>A3</v>
      </c>
      <c r="BH378" s="40" t="str">
        <f>IFERROR(CHOOSE(INDEX(B_RANK,MATCH(BG378,B_LVL,0)),"Band A","Band B","B+ · Player-Coach","Band C","C+ · Player-Coach","Band D","Band E"),"Band X · Consultant")</f>
        <v>Band A</v>
      </c>
      <c r="BI378" s="40" t="str">
        <f>IF(BG378=AY378,"• Same",IF(INDEX(B_VAL,MATCH(BG378,B_LVL,0))&gt;INDEX(B_VAL,MATCH(AY378,B_LVL,0)),"▲ Up","▼ Down"))</f>
        <v>• Same</v>
      </c>
      <c r="BJ378" s="40" t="str">
        <f>IF(OR($M378="",$M378="—",$M378="Not in this file"),"",IFERROR(INDEX($BG$7:$BG$592,MATCH($M378,$D$7:$D$592,0)),""))</f>
        <v>B2</v>
      </c>
      <c r="BK378" s="40" t="str">
        <f>IFERROR(IF(BJ378="","—",IF(OR(LEFT(BG378,1)="X",LEFT(BJ378,1)="X"),"—",IF(AND(LEFT(BG378,1)="E",LEFT(BJ378,1)="E"),"Exception · Band E",IF(AND(INDEX(B_VAL,MATCH(BJ378,B_LVL,0))&gt;=7,INDEX(B_RANK,MATCH(BG378,B_LVL,0))&gt;=INDEX(B_RANK,MATCH(BJ378,B_LVL,0))),"⚠ Same band as a head manager",IF(INDEX(B_VAL,MATCH(BG378,B_LVL,0))&gt;=INDEX(B_VAL,MATCH(BJ378,B_LVL,0)),"⚠ At or above the manager's level","OK"))))),"—")</f>
        <v>OK</v>
      </c>
      <c r="BL378" s="43" t="n"/>
      <c r="BM378" s="44">
        <f>IFERROR(INDEX(LMH_PTS,MATCH(Y378,LMH_KEY,0)),0)</f>
        <v>9</v>
      </c>
      <c r="BN378" s="38">
        <f>IFERROR(INDEX(LMH_PTS,MATCH(Z378,LMH_KEY,0)),0)</f>
        <v>3</v>
      </c>
      <c r="BO378" s="38">
        <f>IFERROR(INDEX(LMH_PTS,MATCH(AA378,LMH_KEY,0)),0)</f>
        <v>1</v>
      </c>
      <c r="BP378" s="38">
        <f>IFERROR(INDEX(LMH_PTS,MATCH(AB378,LMH_KEY,0)),0)</f>
        <v>1</v>
      </c>
      <c r="BQ378" s="38">
        <f>IFERROR(INDEX(LMH_PTS,MATCH(AC378,LMH_KEY,0)),0)</f>
        <v>1</v>
      </c>
      <c r="BR378" s="38">
        <f>IFERROR(INDEX(LMH_PTS,MATCH(AD378,LMH_KEY,0)),0)</f>
        <v>1</v>
      </c>
      <c r="BS378" s="38">
        <f>IFERROR(INDEX(LMH_PTS,MATCH(AE378,LMH_KEY,0)),0)</f>
        <v>1</v>
      </c>
      <c r="BT378" s="38">
        <f>IFERROR(INDEX(LMH_STEP,MATCH(AF378,LMH_KEY,0)),0)</f>
        <v>0</v>
      </c>
      <c r="BU378" s="38">
        <f>IFERROR(INDEX(LMH_STEP,MATCH(AG378,LMH_KEY,0)),0)</f>
        <v>0</v>
      </c>
      <c r="BV378" s="38">
        <f>IFERROR(INDEX(LMH_STEP,MATCH(AH378,LMH_KEY,0)),0)</f>
        <v>0</v>
      </c>
      <c r="BW378" s="38">
        <f>IFERROR(INDEX(LMH_STEP,MATCH(AI378,LMH_KEY,0)),0)</f>
        <v>0</v>
      </c>
      <c r="BX378" s="38">
        <f>IFERROR(INDEX(LMH_STEP,MATCH(AJ378,LMH_KEY,0)),0)</f>
        <v>0</v>
      </c>
      <c r="BY378" s="38">
        <f>IFERROR(INDEX(LMH_STEP,MATCH(AK378,LMH_KEY,0)),0)</f>
        <v>0</v>
      </c>
      <c r="BZ378" s="38">
        <f>IFERROR(INDEX(LMH_STEP,MATCH(AL378,LMH_KEY,0)),0)</f>
        <v>0</v>
      </c>
      <c r="CA378" s="38" t="inlineStr">
        <is>
          <t>iFile|Technology|Senior Software Engineer|A3|A</t>
        </is>
      </c>
    </row>
    <row r="379" ht="110" customHeight="1">
      <c r="A379" s="28" t="inlineStr">
        <is>
          <t>iFile</t>
        </is>
      </c>
      <c r="B379" s="29" t="inlineStr">
        <is>
          <t>Technology</t>
        </is>
      </c>
      <c r="C379" s="29" t="n">
        <v>4</v>
      </c>
      <c r="D379" s="29" t="inlineStr">
        <is>
          <t>IRIS2385</t>
        </is>
      </c>
      <c r="E379" s="29" t="inlineStr">
        <is>
          <t>Hemant Sakunde</t>
        </is>
      </c>
      <c r="F379" s="29" t="inlineStr">
        <is>
          <t>Trainee Software Engineer</t>
        </is>
      </c>
      <c r="G379" s="29" t="inlineStr">
        <is>
          <t>Software Engineer</t>
        </is>
      </c>
      <c r="H379" s="29" t="inlineStr">
        <is>
          <t>Engineering &amp; Development</t>
        </is>
      </c>
      <c r="I379" s="29" t="inlineStr">
        <is>
          <t>Full-Stack Development</t>
        </is>
      </c>
      <c r="J379" s="29" t="inlineStr">
        <is>
          <t>IC</t>
        </is>
      </c>
      <c r="K379" s="29" t="inlineStr">
        <is>
          <t>RC-084</t>
        </is>
      </c>
      <c r="L379" s="29" t="inlineStr">
        <is>
          <t>Nikhil Nalawade</t>
        </is>
      </c>
      <c r="M379" s="29" t="inlineStr">
        <is>
          <t>IRIS0846</t>
        </is>
      </c>
      <c r="N379" s="29" t="n">
        <v>1.3</v>
      </c>
      <c r="O379" s="29" t="n">
        <v>1.3</v>
      </c>
      <c r="P379" s="29" t="inlineStr">
        <is>
          <t>B.E</t>
        </is>
      </c>
      <c r="Q379" s="29" t="inlineStr">
        <is>
          <t>L2 – Trainee</t>
        </is>
      </c>
      <c r="R379" s="29" t="inlineStr">
        <is>
          <t>A2</t>
        </is>
      </c>
      <c r="S379" s="30" t="inlineStr">
        <is>
          <t>20 of 20</t>
        </is>
      </c>
      <c r="T379" s="31"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t>
        </is>
      </c>
      <c r="U37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9" s="31" t="inlineStr">
        <is>
          <t>Latest rating: 4 · Potential: High · 9-box: Trusted Professional · Readiness: Ready now</t>
        </is>
      </c>
      <c r="W379" s="31" t="inlineStr">
        <is>
          <t>C M · Au M · Ac M · L L · BI M · Exp M · 1.3 yrs vs 0–2 yrs · Edu M · B.E</t>
        </is>
      </c>
      <c r="X379" s="33" t="inlineStr">
        <is>
          <t>Open ▸</t>
        </is>
      </c>
      <c r="Y379" s="34" t="str">
        <f>IFERROR(INDEX(DL_C,MATCH($CA379,DL_KEY,0)),"M")</f>
        <v>H</v>
      </c>
      <c r="Z379" s="35" t="str">
        <f>IFERROR(INDEX(DL_Au,MATCH($CA379,DL_KEY,0)),"M")</f>
        <v>M</v>
      </c>
      <c r="AA379" s="35" t="str">
        <f>IFERROR(INDEX(DL_Ac,MATCH($CA379,DL_KEY,0)),"M")</f>
        <v>L</v>
      </c>
      <c r="AB379" s="35" t="str">
        <f>IFERROR(INDEX(DL_L,MATCH($CA379,DL_KEY,0)),"M")</f>
        <v>L</v>
      </c>
      <c r="AC379" s="35" t="str">
        <f>IFERROR(INDEX(DL_BI,MATCH($CA379,DL_KEY,0)),"M")</f>
        <v>L</v>
      </c>
      <c r="AD379" s="35" t="str">
        <f>IFERROR(INDEX(DL_Exp,MATCH($CA379,DL_KEY,0)),"M")</f>
        <v>L</v>
      </c>
      <c r="AE379" s="35" t="str">
        <f>IFERROR(INDEX(DL_Edu,MATCH($CA379,DL_KEY,0)),"M")</f>
        <v>L</v>
      </c>
      <c r="AF379" s="34" t="inlineStr">
        <is>
          <t>M</t>
        </is>
      </c>
      <c r="AG379" s="35" t="inlineStr">
        <is>
          <t>M</t>
        </is>
      </c>
      <c r="AH379" s="35" t="inlineStr">
        <is>
          <t>M</t>
        </is>
      </c>
      <c r="AI379" s="35" t="inlineStr">
        <is>
          <t>M</t>
        </is>
      </c>
      <c r="AJ379" s="35" t="inlineStr">
        <is>
          <t>M</t>
        </is>
      </c>
      <c r="AK379" s="35" t="inlineStr">
        <is>
          <t>M</t>
        </is>
      </c>
      <c r="AL379" s="35" t="inlineStr">
        <is>
          <t>M</t>
        </is>
      </c>
      <c r="AM379" s="36" t="n">
        <v>0.583</v>
      </c>
      <c r="AN379" s="37" t="n">
        <v>0.16</v>
      </c>
      <c r="AO379" s="37" t="n">
        <v>0.09</v>
      </c>
      <c r="AP379" s="37" t="n">
        <v>0</v>
      </c>
      <c r="AQ379" s="37" t="n">
        <v>0.063</v>
      </c>
      <c r="AR379" s="37" t="n">
        <v>0.06</v>
      </c>
      <c r="AS379" s="37" t="n">
        <v>0.04</v>
      </c>
      <c r="AT379" s="38" t="inlineStr">
        <is>
          <t>0–3</t>
        </is>
      </c>
      <c r="AU379" s="38" t="inlineStr">
        <is>
          <t>Graduate · or diploma with experience</t>
        </is>
      </c>
      <c r="AV379" s="38" t="inlineStr">
        <is>
          <t>No direct reports</t>
        </is>
      </c>
      <c r="AW379" s="38" t="inlineStr">
        <is>
          <t>P1–P2 · SFIA 2 Assist</t>
        </is>
      </c>
      <c r="AX3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9" s="39" t="inlineStr">
        <is>
          <t>A2</t>
        </is>
      </c>
      <c r="AZ379" s="40" t="inlineStr">
        <is>
          <t>Band A · Practitioner · Associate</t>
        </is>
      </c>
      <c r="BA379" s="40" t="inlineStr">
        <is>
          <t>Model A2 from the six ratings, the market-derived weights and rules R1–R13 · then No change · already below the manager</t>
        </is>
      </c>
      <c r="BB379" s="41" t="inlineStr">
        <is>
          <t>A2</t>
        </is>
      </c>
      <c r="BC379" s="40" t="inlineStr">
        <is>
          <t>The six ratings on the market-average weights of Band A · all tracks score 1.84 → A2 · Hay, Mercer IPE and public plans · experience 1.3 yrs vs the A2 market range 0–3</t>
        </is>
      </c>
      <c r="BD379" s="42">
        <f>IF(SUM(BM379,BN379,BO379,BP379,BQ379,BR379,BS379)=0,0,(BM379*BT379+BN379*BU379+BO379*BV379+BP379*BW379+BQ379*BX379+BR379*BY379+BS379*BZ379)/SUM(BM379,BN379,BO379,BP379,BQ379,BR379,BS379))</f>
        <v>0</v>
      </c>
      <c r="BE379" s="41" t="str">
        <f>IF(LEFT(AY379,1)="X",AY379,IF(OR(AY379="B+",AY379="C+"),INDEX(LAD_PC,MAX(1,MIN(14,MATCH(AY379,LAD_PC,0)+IF(BD379&gt;=0.5,1,IF(BD379&lt;=-0.5,-1,0))))),INDEX(LAD_STD,MAX(1,MIN(12,MATCH(AY379,LAD_STD,0)+IF(BD379&gt;=0.5,1,IF(BD379&lt;=-0.5,-1,0)))))))</f>
        <v>A2</v>
      </c>
      <c r="BF379" s="43" t="n"/>
      <c r="BG379" s="41" t="str">
        <f>IF(BF379&lt;&gt;"",BF379,BE379)</f>
        <v>A2</v>
      </c>
      <c r="BH379" s="40" t="str">
        <f>IFERROR(CHOOSE(INDEX(B_RANK,MATCH(BG379,B_LVL,0)),"Band A","Band B","B+ · Player-Coach","Band C","C+ · Player-Coach","Band D","Band E"),"Band X · Consultant")</f>
        <v>Band A</v>
      </c>
      <c r="BI379" s="40" t="str">
        <f>IF(BG379=AY379,"• Same",IF(INDEX(B_VAL,MATCH(BG379,B_LVL,0))&gt;INDEX(B_VAL,MATCH(AY379,B_LVL,0)),"▲ Up","▼ Down"))</f>
        <v>• Same</v>
      </c>
      <c r="BJ379" s="40" t="str">
        <f>IF(OR($M379="",$M379="—",$M379="Not in this file"),"",IFERROR(INDEX($BG$7:$BG$592,MATCH($M379,$D$7:$D$592,0)),""))</f>
        <v>B2</v>
      </c>
      <c r="BK379" s="40" t="str">
        <f>IFERROR(IF(BJ379="","—",IF(OR(LEFT(BG379,1)="X",LEFT(BJ379,1)="X"),"—",IF(AND(LEFT(BG379,1)="E",LEFT(BJ379,1)="E"),"Exception · Band E",IF(AND(INDEX(B_VAL,MATCH(BJ379,B_LVL,0))&gt;=7,INDEX(B_RANK,MATCH(BG379,B_LVL,0))&gt;=INDEX(B_RANK,MATCH(BJ379,B_LVL,0))),"⚠ Same band as a head manager",IF(INDEX(B_VAL,MATCH(BG379,B_LVL,0))&gt;=INDEX(B_VAL,MATCH(BJ379,B_LVL,0)),"⚠ At or above the manager's level","OK"))))),"—")</f>
        <v>OK</v>
      </c>
      <c r="BL379" s="43" t="n"/>
      <c r="BM379" s="44">
        <f>IFERROR(INDEX(LMH_PTS,MATCH(Y379,LMH_KEY,0)),0)</f>
        <v>9</v>
      </c>
      <c r="BN379" s="38">
        <f>IFERROR(INDEX(LMH_PTS,MATCH(Z379,LMH_KEY,0)),0)</f>
        <v>3</v>
      </c>
      <c r="BO379" s="38">
        <f>IFERROR(INDEX(LMH_PTS,MATCH(AA379,LMH_KEY,0)),0)</f>
        <v>1</v>
      </c>
      <c r="BP379" s="38">
        <f>IFERROR(INDEX(LMH_PTS,MATCH(AB379,LMH_KEY,0)),0)</f>
        <v>1</v>
      </c>
      <c r="BQ379" s="38">
        <f>IFERROR(INDEX(LMH_PTS,MATCH(AC379,LMH_KEY,0)),0)</f>
        <v>1</v>
      </c>
      <c r="BR379" s="38">
        <f>IFERROR(INDEX(LMH_PTS,MATCH(AD379,LMH_KEY,0)),0)</f>
        <v>1</v>
      </c>
      <c r="BS379" s="38">
        <f>IFERROR(INDEX(LMH_PTS,MATCH(AE379,LMH_KEY,0)),0)</f>
        <v>1</v>
      </c>
      <c r="BT379" s="38">
        <f>IFERROR(INDEX(LMH_STEP,MATCH(AF379,LMH_KEY,0)),0)</f>
        <v>0</v>
      </c>
      <c r="BU379" s="38">
        <f>IFERROR(INDEX(LMH_STEP,MATCH(AG379,LMH_KEY,0)),0)</f>
        <v>0</v>
      </c>
      <c r="BV379" s="38">
        <f>IFERROR(INDEX(LMH_STEP,MATCH(AH379,LMH_KEY,0)),0)</f>
        <v>0</v>
      </c>
      <c r="BW379" s="38">
        <f>IFERROR(INDEX(LMH_STEP,MATCH(AI379,LMH_KEY,0)),0)</f>
        <v>0</v>
      </c>
      <c r="BX379" s="38">
        <f>IFERROR(INDEX(LMH_STEP,MATCH(AJ379,LMH_KEY,0)),0)</f>
        <v>0</v>
      </c>
      <c r="BY379" s="38">
        <f>IFERROR(INDEX(LMH_STEP,MATCH(AK379,LMH_KEY,0)),0)</f>
        <v>0</v>
      </c>
      <c r="BZ379" s="38">
        <f>IFERROR(INDEX(LMH_STEP,MATCH(AL379,LMH_KEY,0)),0)</f>
        <v>0</v>
      </c>
      <c r="CA379" s="38" t="inlineStr">
        <is>
          <t>iFile|Technology|Software Engineer|A2|A</t>
        </is>
      </c>
    </row>
    <row r="380" ht="110" customHeight="1">
      <c r="A380" s="28" t="inlineStr">
        <is>
          <t>iFile</t>
        </is>
      </c>
      <c r="B380" s="29" t="inlineStr">
        <is>
          <t>Technology</t>
        </is>
      </c>
      <c r="C380" s="29" t="n">
        <v>3</v>
      </c>
      <c r="D380" s="29" t="inlineStr">
        <is>
          <t>IRIS0929</t>
        </is>
      </c>
      <c r="E380" s="29" t="inlineStr">
        <is>
          <t>Sandeep Dwivedi</t>
        </is>
      </c>
      <c r="F380" s="29" t="inlineStr">
        <is>
          <t>Project Manager</t>
        </is>
      </c>
      <c r="G380" s="29" t="inlineStr">
        <is>
          <t>Delivery Manager</t>
        </is>
      </c>
      <c r="H380" s="29" t="inlineStr">
        <is>
          <t>Project &amp; Program Management</t>
        </is>
      </c>
      <c r="I380" s="29" t="inlineStr">
        <is>
          <t>Project &amp; Program Delivery</t>
        </is>
      </c>
      <c r="J380" s="29" t="inlineStr">
        <is>
          <t>People Manager</t>
        </is>
      </c>
      <c r="K380" s="29" t="inlineStr">
        <is>
          <t>RC-136</t>
        </is>
      </c>
      <c r="L380" s="29" t="inlineStr">
        <is>
          <t>Pradip Dey</t>
        </is>
      </c>
      <c r="M380" s="29" t="inlineStr">
        <is>
          <t>IRISC223</t>
        </is>
      </c>
      <c r="N380" s="29" t="n">
        <v>15</v>
      </c>
      <c r="O380" s="29" t="n">
        <v>15</v>
      </c>
      <c r="P380" s="29" t="inlineStr">
        <is>
          <t>MMS</t>
        </is>
      </c>
      <c r="Q380" s="29" t="inlineStr">
        <is>
          <t>L5 – Manager</t>
        </is>
      </c>
      <c r="R380" s="29" t="inlineStr">
        <is>
          <t>B2</t>
        </is>
      </c>
      <c r="S380" s="30" t="inlineStr">
        <is>
          <t>20 of 20</t>
        </is>
      </c>
      <c r="T380" s="31"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t>
        </is>
      </c>
      <c r="U380" s="31" t="inlineStr">
        <is>
          <t>Received · manager annual, quarterly · 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t>
        </is>
      </c>
      <c r="V380" s="31" t="inlineStr">
        <is>
          <t>Latest rating: 3 · Potential: Medium · 9-box: Core Contributor · Readiness: Develop in role</t>
        </is>
      </c>
      <c r="W380" s="31" t="inlineStr">
        <is>
          <t>C M · Au M · Ac M · L M · BI H · Exp H · 15 yrs vs 6–9 yrs · Edu H · MMS</t>
        </is>
      </c>
      <c r="X380" s="33" t="inlineStr">
        <is>
          <t>Open ▸</t>
        </is>
      </c>
      <c r="Y380" s="34" t="str">
        <f>IFERROR(INDEX(DL_C,MATCH($CA380,DL_KEY,0)),"M")</f>
        <v>H</v>
      </c>
      <c r="Z380" s="35" t="str">
        <f>IFERROR(INDEX(DL_Au,MATCH($CA380,DL_KEY,0)),"M")</f>
        <v>M</v>
      </c>
      <c r="AA380" s="35" t="str">
        <f>IFERROR(INDEX(DL_Ac,MATCH($CA380,DL_KEY,0)),"M")</f>
        <v>L</v>
      </c>
      <c r="AB380" s="35" t="str">
        <f>IFERROR(INDEX(DL_L,MATCH($CA380,DL_KEY,0)),"M")</f>
        <v>M</v>
      </c>
      <c r="AC380" s="35" t="str">
        <f>IFERROR(INDEX(DL_BI,MATCH($CA380,DL_KEY,0)),"M")</f>
        <v>L</v>
      </c>
      <c r="AD380" s="35" t="str">
        <f>IFERROR(INDEX(DL_Exp,MATCH($CA380,DL_KEY,0)),"M")</f>
        <v>L</v>
      </c>
      <c r="AE380" s="35" t="str">
        <f>IFERROR(INDEX(DL_Edu,MATCH($CA380,DL_KEY,0)),"M")</f>
        <v>L</v>
      </c>
      <c r="AF380" s="34" t="inlineStr">
        <is>
          <t>M</t>
        </is>
      </c>
      <c r="AG380" s="35" t="inlineStr">
        <is>
          <t>M</t>
        </is>
      </c>
      <c r="AH380" s="35" t="inlineStr">
        <is>
          <t>M</t>
        </is>
      </c>
      <c r="AI380" s="35" t="inlineStr">
        <is>
          <t>M</t>
        </is>
      </c>
      <c r="AJ380" s="35" t="inlineStr">
        <is>
          <t>M</t>
        </is>
      </c>
      <c r="AK380" s="35" t="inlineStr">
        <is>
          <t>M</t>
        </is>
      </c>
      <c r="AL380" s="35" t="inlineStr">
        <is>
          <t>M</t>
        </is>
      </c>
      <c r="AM380" s="36" t="n">
        <v>0.37</v>
      </c>
      <c r="AN380" s="37" t="n">
        <v>0.183</v>
      </c>
      <c r="AO380" s="37" t="n">
        <v>0.113</v>
      </c>
      <c r="AP380" s="37" t="n">
        <v>0.15</v>
      </c>
      <c r="AQ380" s="37" t="n">
        <v>0.08699999999999999</v>
      </c>
      <c r="AR380" s="37" t="n">
        <v>0.06</v>
      </c>
      <c r="AS380" s="37" t="n">
        <v>0.04</v>
      </c>
      <c r="AT380" s="38" t="inlineStr">
        <is>
          <t>6–10</t>
        </is>
      </c>
      <c r="AU380" s="38" t="inlineStr">
        <is>
          <t>Graduate or postgraduate; professional qualification preferred</t>
        </is>
      </c>
      <c r="AV380" s="38" t="inlineStr">
        <is>
          <t>IC: none · People: 6–8 knowledge work, 8–12 standardised delivery</t>
        </is>
      </c>
      <c r="AW380" s="38" t="inlineStr">
        <is>
          <t>P4 / M3 · SFIA 4–5</t>
        </is>
      </c>
      <c r="AX3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0" s="39" t="inlineStr">
        <is>
          <t>B2</t>
        </is>
      </c>
      <c r="AZ380" s="40" t="inlineStr">
        <is>
          <t>Band B · Specialist / Manager · Manager</t>
        </is>
      </c>
      <c r="BA380" s="40" t="inlineStr">
        <is>
          <t>Model B2 from the six ratings, the market-derived weights and rules R1–R13 · then No change · already below the manager</t>
        </is>
      </c>
      <c r="BB380" s="41" t="inlineStr">
        <is>
          <t>B2</t>
        </is>
      </c>
      <c r="BC380" s="40" t="inlineStr">
        <is>
          <t>The six ratings on the market-average weights of Band B · People Manager score 5.24 → B2 · Hay, Mercer IPE and public plans · experience 15 yrs vs the B2 market range 6–10</t>
        </is>
      </c>
      <c r="BD380" s="42">
        <f>IF(SUM(BM380,BN380,BO380,BP380,BQ380,BR380,BS380)=0,0,(BM380*BT380+BN380*BU380+BO380*BV380+BP380*BW380+BQ380*BX380+BR380*BY380+BS380*BZ380)/SUM(BM380,BN380,BO380,BP380,BQ380,BR380,BS380))</f>
        <v>0</v>
      </c>
      <c r="BE380" s="41" t="str">
        <f>IF(LEFT(AY380,1)="X",AY380,IF(OR(AY380="B+",AY380="C+"),INDEX(LAD_PC,MAX(1,MIN(14,MATCH(AY380,LAD_PC,0)+IF(BD380&gt;=0.5,1,IF(BD380&lt;=-0.5,-1,0))))),INDEX(LAD_STD,MAX(1,MIN(12,MATCH(AY380,LAD_STD,0)+IF(BD380&gt;=0.5,1,IF(BD380&lt;=-0.5,-1,0)))))))</f>
        <v>B2</v>
      </c>
      <c r="BF380" s="43" t="n"/>
      <c r="BG380" s="41" t="str">
        <f>IF(BF380&lt;&gt;"",BF380,BE380)</f>
        <v>B2</v>
      </c>
      <c r="BH380" s="40" t="str">
        <f>IFERROR(CHOOSE(INDEX(B_RANK,MATCH(BG380,B_LVL,0)),"Band A","Band B","B+ · Player-Coach","Band C","C+ · Player-Coach","Band D","Band E"),"Band X · Consultant")</f>
        <v>Band B</v>
      </c>
      <c r="BI380" s="40" t="str">
        <f>IF(BG380=AY380,"• Same",IF(INDEX(B_VAL,MATCH(BG380,B_LVL,0))&gt;INDEX(B_VAL,MATCH(AY380,B_LVL,0)),"▲ Up","▼ Down"))</f>
        <v>• Same</v>
      </c>
      <c r="BJ380" s="40" t="str">
        <f>IF(OR($M380="",$M380="—",$M380="Not in this file"),"",IFERROR(INDEX($BG$7:$BG$592,MATCH($M380,$D$7:$D$592,0)),""))</f>
        <v>C2</v>
      </c>
      <c r="BK380" s="40" t="str">
        <f>IFERROR(IF(BJ380="","—",IF(OR(LEFT(BG380,1)="X",LEFT(BJ380,1)="X"),"—",IF(AND(LEFT(BG380,1)="E",LEFT(BJ380,1)="E"),"Exception · Band E",IF(AND(INDEX(B_VAL,MATCH(BJ380,B_LVL,0))&gt;=7,INDEX(B_RANK,MATCH(BG380,B_LVL,0))&gt;=INDEX(B_RANK,MATCH(BJ380,B_LVL,0))),"⚠ Same band as a head manager",IF(INDEX(B_VAL,MATCH(BG380,B_LVL,0))&gt;=INDEX(B_VAL,MATCH(BJ380,B_LVL,0)),"⚠ At or above the manager's level","OK"))))),"—")</f>
        <v>OK</v>
      </c>
      <c r="BL380" s="43" t="n"/>
      <c r="BM380" s="44">
        <f>IFERROR(INDEX(LMH_PTS,MATCH(Y380,LMH_KEY,0)),0)</f>
        <v>9</v>
      </c>
      <c r="BN380" s="38">
        <f>IFERROR(INDEX(LMH_PTS,MATCH(Z380,LMH_KEY,0)),0)</f>
        <v>3</v>
      </c>
      <c r="BO380" s="38">
        <f>IFERROR(INDEX(LMH_PTS,MATCH(AA380,LMH_KEY,0)),0)</f>
        <v>1</v>
      </c>
      <c r="BP380" s="38">
        <f>IFERROR(INDEX(LMH_PTS,MATCH(AB380,LMH_KEY,0)),0)</f>
        <v>3</v>
      </c>
      <c r="BQ380" s="38">
        <f>IFERROR(INDEX(LMH_PTS,MATCH(AC380,LMH_KEY,0)),0)</f>
        <v>1</v>
      </c>
      <c r="BR380" s="38">
        <f>IFERROR(INDEX(LMH_PTS,MATCH(AD380,LMH_KEY,0)),0)</f>
        <v>1</v>
      </c>
      <c r="BS380" s="38">
        <f>IFERROR(INDEX(LMH_PTS,MATCH(AE380,LMH_KEY,0)),0)</f>
        <v>1</v>
      </c>
      <c r="BT380" s="38">
        <f>IFERROR(INDEX(LMH_STEP,MATCH(AF380,LMH_KEY,0)),0)</f>
        <v>0</v>
      </c>
      <c r="BU380" s="38">
        <f>IFERROR(INDEX(LMH_STEP,MATCH(AG380,LMH_KEY,0)),0)</f>
        <v>0</v>
      </c>
      <c r="BV380" s="38">
        <f>IFERROR(INDEX(LMH_STEP,MATCH(AH380,LMH_KEY,0)),0)</f>
        <v>0</v>
      </c>
      <c r="BW380" s="38">
        <f>IFERROR(INDEX(LMH_STEP,MATCH(AI380,LMH_KEY,0)),0)</f>
        <v>0</v>
      </c>
      <c r="BX380" s="38">
        <f>IFERROR(INDEX(LMH_STEP,MATCH(AJ380,LMH_KEY,0)),0)</f>
        <v>0</v>
      </c>
      <c r="BY380" s="38">
        <f>IFERROR(INDEX(LMH_STEP,MATCH(AK380,LMH_KEY,0)),0)</f>
        <v>0</v>
      </c>
      <c r="BZ380" s="38">
        <f>IFERROR(INDEX(LMH_STEP,MATCH(AL380,LMH_KEY,0)),0)</f>
        <v>0</v>
      </c>
      <c r="CA380" s="38" t="inlineStr">
        <is>
          <t>iFile|Technology|Delivery Manager|B2|B-M</t>
        </is>
      </c>
    </row>
    <row r="381" ht="110" customHeight="1">
      <c r="A381" s="28" t="inlineStr">
        <is>
          <t>iFile</t>
        </is>
      </c>
      <c r="B381" s="29" t="inlineStr">
        <is>
          <t>Technology</t>
        </is>
      </c>
      <c r="C381" s="29" t="n">
        <v>4</v>
      </c>
      <c r="D381" s="29" t="inlineStr">
        <is>
          <t>IRIS0320</t>
        </is>
      </c>
      <c r="E381" s="29" t="inlineStr">
        <is>
          <t>Ravikant Karmoju</t>
        </is>
      </c>
      <c r="F381" s="29" t="inlineStr">
        <is>
          <t>Lead Software Engineer</t>
        </is>
      </c>
      <c r="G381" s="29" t="inlineStr">
        <is>
          <t>Lead Software Engineer – POD Lead</t>
        </is>
      </c>
      <c r="H381" s="29" t="inlineStr">
        <is>
          <t>Engineering &amp; Development</t>
        </is>
      </c>
      <c r="I381" s="29" t="inlineStr">
        <is>
          <t>Backend Development</t>
        </is>
      </c>
      <c r="J381" s="29" t="inlineStr">
        <is>
          <t>POD Lead</t>
        </is>
      </c>
      <c r="K381" s="29" t="inlineStr">
        <is>
          <t>RC-071</t>
        </is>
      </c>
      <c r="L381" s="29" t="inlineStr">
        <is>
          <t>Sandeep Dwivedi</t>
        </is>
      </c>
      <c r="M381" s="29" t="inlineStr">
        <is>
          <t>IRIS0929</t>
        </is>
      </c>
      <c r="N381" s="29" t="n">
        <v>18.6</v>
      </c>
      <c r="O381" s="29" t="n">
        <v>16.4</v>
      </c>
      <c r="P381" s="29" t="inlineStr">
        <is>
          <t>BCA</t>
        </is>
      </c>
      <c r="Q381" s="29" t="inlineStr">
        <is>
          <t>L5 – Lead · IC</t>
        </is>
      </c>
      <c r="R381" s="29" t="inlineStr">
        <is>
          <t>B3</t>
        </is>
      </c>
      <c r="S381" s="30" t="inlineStr">
        <is>
          <t>19 of 20</t>
        </is>
      </c>
      <c r="T381" s="31"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t>
        </is>
      </c>
      <c r="U381" s="31" t="inlineStr">
        <is>
          <t>Received · manager annual, quarterly, self ·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t>
        </is>
      </c>
      <c r="V381" s="31" t="inlineStr">
        <is>
          <t>Latest rating: 3 · Potential: High · 9-box: Trusted Professional · Readiness: Ready in 6–12 months</t>
        </is>
      </c>
      <c r="W381" s="31" t="inlineStr">
        <is>
          <t>C H · Au H · Ac M · L M · BI H · Exp H · 18.6 yrs vs 4–7 yrs · Edu M · BCA</t>
        </is>
      </c>
      <c r="X381" s="33" t="inlineStr">
        <is>
          <t>Open ▸</t>
        </is>
      </c>
      <c r="Y381" s="34" t="str">
        <f>IFERROR(INDEX(DL_C,MATCH($CA381,DL_KEY,0)),"M")</f>
        <v>H</v>
      </c>
      <c r="Z381" s="35" t="str">
        <f>IFERROR(INDEX(DL_Au,MATCH($CA381,DL_KEY,0)),"M")</f>
        <v>M</v>
      </c>
      <c r="AA381" s="35" t="str">
        <f>IFERROR(INDEX(DL_Ac,MATCH($CA381,DL_KEY,0)),"M")</f>
        <v>L</v>
      </c>
      <c r="AB381" s="35" t="str">
        <f>IFERROR(INDEX(DL_L,MATCH($CA381,DL_KEY,0)),"M")</f>
        <v>L</v>
      </c>
      <c r="AC381" s="35" t="str">
        <f>IFERROR(INDEX(DL_BI,MATCH($CA381,DL_KEY,0)),"M")</f>
        <v>L</v>
      </c>
      <c r="AD381" s="35" t="str">
        <f>IFERROR(INDEX(DL_Exp,MATCH($CA381,DL_KEY,0)),"M")</f>
        <v>L</v>
      </c>
      <c r="AE381" s="35" t="str">
        <f>IFERROR(INDEX(DL_Edu,MATCH($CA381,DL_KEY,0)),"M")</f>
        <v>L</v>
      </c>
      <c r="AF381" s="34" t="inlineStr">
        <is>
          <t>M</t>
        </is>
      </c>
      <c r="AG381" s="35" t="inlineStr">
        <is>
          <t>M</t>
        </is>
      </c>
      <c r="AH381" s="35" t="inlineStr">
        <is>
          <t>M</t>
        </is>
      </c>
      <c r="AI381" s="35" t="inlineStr">
        <is>
          <t>M</t>
        </is>
      </c>
      <c r="AJ381" s="35" t="inlineStr">
        <is>
          <t>M</t>
        </is>
      </c>
      <c r="AK381" s="35" t="inlineStr">
        <is>
          <t>M</t>
        </is>
      </c>
      <c r="AL381" s="35" t="inlineStr">
        <is>
          <t>M</t>
        </is>
      </c>
      <c r="AM381" s="36" t="n">
        <v>0.513</v>
      </c>
      <c r="AN381" s="37" t="n">
        <v>0.173</v>
      </c>
      <c r="AO381" s="37" t="n">
        <v>0.09699999999999999</v>
      </c>
      <c r="AP381" s="37" t="n">
        <v>0.05</v>
      </c>
      <c r="AQ381" s="37" t="n">
        <v>0.07000000000000001</v>
      </c>
      <c r="AR381" s="37" t="n">
        <v>0.06</v>
      </c>
      <c r="AS381" s="37" t="n">
        <v>0.04</v>
      </c>
      <c r="AT381" s="38" t="inlineStr">
        <is>
          <t>4–8</t>
        </is>
      </c>
      <c r="AU381" s="38" t="inlineStr">
        <is>
          <t>Graduate + relevant qualification or certification preferred</t>
        </is>
      </c>
      <c r="AV381" s="38" t="inlineStr">
        <is>
          <t>IC: none · Team Lead: 3–5</t>
        </is>
      </c>
      <c r="AW381" s="38" t="inlineStr">
        <is>
          <t>P3 / M2 · SFIA 4 Enable</t>
        </is>
      </c>
      <c r="AX3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1" s="39" t="inlineStr">
        <is>
          <t>B1</t>
        </is>
      </c>
      <c r="AZ381" s="40" t="inlineStr">
        <is>
          <t>Band B · Specialist / Manager · Team Lead / Asst Manager</t>
        </is>
      </c>
      <c r="BA381" s="40" t="inlineStr">
        <is>
          <t>Model B3 from the six ratings, the market-derived weights and rules R1–R13 · then Level rule: manager B2; a reportee sits at least one level below · B3 → B1 · move down · pay and title protected for one cycle</t>
        </is>
      </c>
      <c r="BB381" s="41" t="inlineStr">
        <is>
          <t>B3</t>
        </is>
      </c>
      <c r="BC381" s="40" t="inlineStr">
        <is>
          <t>The six ratings on the market-average weights of Band B · Specialist / POD Lead score 5.72 → B3 · Hay, Mercer IPE and public plans · experience 18.6 yrs vs the B3 market range 8–13</t>
        </is>
      </c>
      <c r="BD381" s="42">
        <f>IF(SUM(BM381,BN381,BO381,BP381,BQ381,BR381,BS381)=0,0,(BM381*BT381+BN381*BU381+BO381*BV381+BP381*BW381+BQ381*BX381+BR381*BY381+BS381*BZ381)/SUM(BM381,BN381,BO381,BP381,BQ381,BR381,BS381))</f>
        <v>0</v>
      </c>
      <c r="BE381" s="41" t="str">
        <f>IF(LEFT(AY381,1)="X",AY381,IF(OR(AY381="B+",AY381="C+"),INDEX(LAD_PC,MAX(1,MIN(14,MATCH(AY381,LAD_PC,0)+IF(BD381&gt;=0.5,1,IF(BD381&lt;=-0.5,-1,0))))),INDEX(LAD_STD,MAX(1,MIN(12,MATCH(AY381,LAD_STD,0)+IF(BD381&gt;=0.5,1,IF(BD381&lt;=-0.5,-1,0)))))))</f>
        <v>B1</v>
      </c>
      <c r="BF381" s="43" t="n"/>
      <c r="BG381" s="41" t="str">
        <f>IF(BF381&lt;&gt;"",BF381,BE381)</f>
        <v>B1</v>
      </c>
      <c r="BH381" s="40" t="str">
        <f>IFERROR(CHOOSE(INDEX(B_RANK,MATCH(BG381,B_LVL,0)),"Band A","Band B","B+ · Player-Coach","Band C","C+ · Player-Coach","Band D","Band E"),"Band X · Consultant")</f>
        <v>Band B</v>
      </c>
      <c r="BI381" s="40" t="str">
        <f>IF(BG381=AY381,"• Same",IF(INDEX(B_VAL,MATCH(BG381,B_LVL,0))&gt;INDEX(B_VAL,MATCH(AY381,B_LVL,0)),"▲ Up","▼ Down"))</f>
        <v>• Same</v>
      </c>
      <c r="BJ381" s="40" t="str">
        <f>IF(OR($M381="",$M381="—",$M381="Not in this file"),"",IFERROR(INDEX($BG$7:$BG$592,MATCH($M381,$D$7:$D$592,0)),""))</f>
        <v>B2</v>
      </c>
      <c r="BK381" s="40" t="str">
        <f>IFERROR(IF(BJ381="","—",IF(OR(LEFT(BG381,1)="X",LEFT(BJ381,1)="X"),"—",IF(AND(LEFT(BG381,1)="E",LEFT(BJ381,1)="E"),"Exception · Band E",IF(AND(INDEX(B_VAL,MATCH(BJ381,B_LVL,0))&gt;=7,INDEX(B_RANK,MATCH(BG381,B_LVL,0))&gt;=INDEX(B_RANK,MATCH(BJ381,B_LVL,0))),"⚠ Same band as a head manager",IF(INDEX(B_VAL,MATCH(BG381,B_LVL,0))&gt;=INDEX(B_VAL,MATCH(BJ381,B_LVL,0)),"⚠ At or above the manager's level","OK"))))),"—")</f>
        <v>OK</v>
      </c>
      <c r="BL381" s="43" t="n"/>
      <c r="BM381" s="44">
        <f>IFERROR(INDEX(LMH_PTS,MATCH(Y381,LMH_KEY,0)),0)</f>
        <v>9</v>
      </c>
      <c r="BN381" s="38">
        <f>IFERROR(INDEX(LMH_PTS,MATCH(Z381,LMH_KEY,0)),0)</f>
        <v>3</v>
      </c>
      <c r="BO381" s="38">
        <f>IFERROR(INDEX(LMH_PTS,MATCH(AA381,LMH_KEY,0)),0)</f>
        <v>1</v>
      </c>
      <c r="BP381" s="38">
        <f>IFERROR(INDEX(LMH_PTS,MATCH(AB381,LMH_KEY,0)),0)</f>
        <v>1</v>
      </c>
      <c r="BQ381" s="38">
        <f>IFERROR(INDEX(LMH_PTS,MATCH(AC381,LMH_KEY,0)),0)</f>
        <v>1</v>
      </c>
      <c r="BR381" s="38">
        <f>IFERROR(INDEX(LMH_PTS,MATCH(AD381,LMH_KEY,0)),0)</f>
        <v>1</v>
      </c>
      <c r="BS381" s="38">
        <f>IFERROR(INDEX(LMH_PTS,MATCH(AE381,LMH_KEY,0)),0)</f>
        <v>1</v>
      </c>
      <c r="BT381" s="38">
        <f>IFERROR(INDEX(LMH_STEP,MATCH(AF381,LMH_KEY,0)),0)</f>
        <v>0</v>
      </c>
      <c r="BU381" s="38">
        <f>IFERROR(INDEX(LMH_STEP,MATCH(AG381,LMH_KEY,0)),0)</f>
        <v>0</v>
      </c>
      <c r="BV381" s="38">
        <f>IFERROR(INDEX(LMH_STEP,MATCH(AH381,LMH_KEY,0)),0)</f>
        <v>0</v>
      </c>
      <c r="BW381" s="38">
        <f>IFERROR(INDEX(LMH_STEP,MATCH(AI381,LMH_KEY,0)),0)</f>
        <v>0</v>
      </c>
      <c r="BX381" s="38">
        <f>IFERROR(INDEX(LMH_STEP,MATCH(AJ381,LMH_KEY,0)),0)</f>
        <v>0</v>
      </c>
      <c r="BY381" s="38">
        <f>IFERROR(INDEX(LMH_STEP,MATCH(AK381,LMH_KEY,0)),0)</f>
        <v>0</v>
      </c>
      <c r="BZ381" s="38">
        <f>IFERROR(INDEX(LMH_STEP,MATCH(AL381,LMH_KEY,0)),0)</f>
        <v>0</v>
      </c>
      <c r="CA381" s="38" t="inlineStr">
        <is>
          <t>iFile|Technology|Lead Software Engineer – POD Lead|B1|B-IC</t>
        </is>
      </c>
    </row>
    <row r="382" ht="110" customHeight="1">
      <c r="A382" s="28" t="inlineStr">
        <is>
          <t>iFile</t>
        </is>
      </c>
      <c r="B382" s="29" t="inlineStr">
        <is>
          <t>Technology</t>
        </is>
      </c>
      <c r="C382" s="29" t="n">
        <v>5</v>
      </c>
      <c r="D382" s="29" t="inlineStr">
        <is>
          <t>IRIS1876</t>
        </is>
      </c>
      <c r="E382" s="29" t="inlineStr">
        <is>
          <t>Chaitanya Vadagabhaktula</t>
        </is>
      </c>
      <c r="F382" s="29" t="inlineStr">
        <is>
          <t>Senior Software Engineer</t>
        </is>
      </c>
      <c r="G382" s="29" t="inlineStr">
        <is>
          <t>Database Specialist</t>
        </is>
      </c>
      <c r="H382" s="29" t="inlineStr">
        <is>
          <t>Engineering &amp; Development</t>
        </is>
      </c>
      <c r="I382" s="29" t="inlineStr">
        <is>
          <t>Data Engineering &amp; Database Development</t>
        </is>
      </c>
      <c r="J382" s="29" t="inlineStr">
        <is>
          <t>IC</t>
        </is>
      </c>
      <c r="K382" s="29" t="inlineStr">
        <is>
          <t>RC-074</t>
        </is>
      </c>
      <c r="L382" s="29" t="inlineStr">
        <is>
          <t>Ravikant Karmoju</t>
        </is>
      </c>
      <c r="M382" s="29" t="inlineStr">
        <is>
          <t>IRIS0320</t>
        </is>
      </c>
      <c r="N382" s="29" t="n">
        <v>8.9</v>
      </c>
      <c r="O382" s="29" t="n">
        <v>5.9</v>
      </c>
      <c r="P382" s="29" t="inlineStr">
        <is>
          <t>B.Tech</t>
        </is>
      </c>
      <c r="Q382" s="29" t="inlineStr">
        <is>
          <t>L4 – Senior</t>
        </is>
      </c>
      <c r="R382" s="29" t="inlineStr">
        <is>
          <t>A3</t>
        </is>
      </c>
      <c r="S382" s="30" t="inlineStr">
        <is>
          <t>20 of 20</t>
        </is>
      </c>
      <c r="T382" s="31"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t>
        </is>
      </c>
      <c r="U382" s="31" t="inlineStr">
        <is>
          <t>Received · manager annual, quarterly, self ·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t>
        </is>
      </c>
      <c r="V382" s="31" t="inlineStr">
        <is>
          <t>Latest rating: 3 · Potential: Medium · 9-box: Core Contributor · Readiness: Develop in role</t>
        </is>
      </c>
      <c r="W382" s="31" t="inlineStr">
        <is>
          <t>C M · Au M · Ac M · L L · BI M · Exp H · 8.9 yrs vs 2–4 yrs · Edu M · B.Tech</t>
        </is>
      </c>
      <c r="X382" s="33" t="inlineStr">
        <is>
          <t>Open ▸</t>
        </is>
      </c>
      <c r="Y382" s="34" t="str">
        <f>IFERROR(INDEX(DL_C,MATCH($CA382,DL_KEY,0)),"M")</f>
        <v>H</v>
      </c>
      <c r="Z382" s="35" t="str">
        <f>IFERROR(INDEX(DL_Au,MATCH($CA382,DL_KEY,0)),"M")</f>
        <v>M</v>
      </c>
      <c r="AA382" s="35" t="str">
        <f>IFERROR(INDEX(DL_Ac,MATCH($CA382,DL_KEY,0)),"M")</f>
        <v>L</v>
      </c>
      <c r="AB382" s="35" t="str">
        <f>IFERROR(INDEX(DL_L,MATCH($CA382,DL_KEY,0)),"M")</f>
        <v>L</v>
      </c>
      <c r="AC382" s="35" t="str">
        <f>IFERROR(INDEX(DL_BI,MATCH($CA382,DL_KEY,0)),"M")</f>
        <v>L</v>
      </c>
      <c r="AD382" s="35" t="str">
        <f>IFERROR(INDEX(DL_Exp,MATCH($CA382,DL_KEY,0)),"M")</f>
        <v>L</v>
      </c>
      <c r="AE382" s="35" t="str">
        <f>IFERROR(INDEX(DL_Edu,MATCH($CA382,DL_KEY,0)),"M")</f>
        <v>L</v>
      </c>
      <c r="AF382" s="34" t="inlineStr">
        <is>
          <t>M</t>
        </is>
      </c>
      <c r="AG382" s="35" t="inlineStr">
        <is>
          <t>M</t>
        </is>
      </c>
      <c r="AH382" s="35" t="inlineStr">
        <is>
          <t>M</t>
        </is>
      </c>
      <c r="AI382" s="35" t="inlineStr">
        <is>
          <t>M</t>
        </is>
      </c>
      <c r="AJ382" s="35" t="inlineStr">
        <is>
          <t>M</t>
        </is>
      </c>
      <c r="AK382" s="35" t="inlineStr">
        <is>
          <t>M</t>
        </is>
      </c>
      <c r="AL382" s="35" t="inlineStr">
        <is>
          <t>M</t>
        </is>
      </c>
      <c r="AM382" s="36" t="n">
        <v>0.583</v>
      </c>
      <c r="AN382" s="37" t="n">
        <v>0.16</v>
      </c>
      <c r="AO382" s="37" t="n">
        <v>0.09</v>
      </c>
      <c r="AP382" s="37" t="n">
        <v>0</v>
      </c>
      <c r="AQ382" s="37" t="n">
        <v>0.063</v>
      </c>
      <c r="AR382" s="37" t="n">
        <v>0.06</v>
      </c>
      <c r="AS382" s="37" t="n">
        <v>0.04</v>
      </c>
      <c r="AT382" s="38" t="inlineStr">
        <is>
          <t>2–5</t>
        </is>
      </c>
      <c r="AU382" s="38" t="inlineStr">
        <is>
          <t>Graduate; relevant certification preferred</t>
        </is>
      </c>
      <c r="AV382" s="38" t="inlineStr">
        <is>
          <t>None · guides 1–3 juniors informally</t>
        </is>
      </c>
      <c r="AW382" s="38" t="inlineStr">
        <is>
          <t>P2 · SFIA 3 Apply</t>
        </is>
      </c>
      <c r="AX3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2" s="39" t="inlineStr">
        <is>
          <t>A3</t>
        </is>
      </c>
      <c r="AZ382" s="40" t="inlineStr">
        <is>
          <t>Band A · Practitioner · Senior Associate</t>
        </is>
      </c>
      <c r="BA382" s="40" t="inlineStr">
        <is>
          <t>Model A3 from the six ratings, the market-derived weights and rules R1–R13 · then No change · already below the manager</t>
        </is>
      </c>
      <c r="BB382" s="41" t="inlineStr">
        <is>
          <t>B1</t>
        </is>
      </c>
      <c r="BC382" s="40" t="inlineStr">
        <is>
          <t>The six ratings on the market-average weights of Band A · all tracks score 3.54 → B1 · Hay, Mercer IPE and public plans · experience 8.9 yrs vs the B1 market range 4–8</t>
        </is>
      </c>
      <c r="BD382" s="42">
        <f>IF(SUM(BM382,BN382,BO382,BP382,BQ382,BR382,BS382)=0,0,(BM382*BT382+BN382*BU382+BO382*BV382+BP382*BW382+BQ382*BX382+BR382*BY382+BS382*BZ382)/SUM(BM382,BN382,BO382,BP382,BQ382,BR382,BS382))</f>
        <v>0</v>
      </c>
      <c r="BE382" s="41" t="str">
        <f>IF(LEFT(AY382,1)="X",AY382,IF(OR(AY382="B+",AY382="C+"),INDEX(LAD_PC,MAX(1,MIN(14,MATCH(AY382,LAD_PC,0)+IF(BD382&gt;=0.5,1,IF(BD382&lt;=-0.5,-1,0))))),INDEX(LAD_STD,MAX(1,MIN(12,MATCH(AY382,LAD_STD,0)+IF(BD382&gt;=0.5,1,IF(BD382&lt;=-0.5,-1,0)))))))</f>
        <v>A3</v>
      </c>
      <c r="BF382" s="43" t="n"/>
      <c r="BG382" s="41" t="str">
        <f>IF(BF382&lt;&gt;"",BF382,BE382)</f>
        <v>A3</v>
      </c>
      <c r="BH382" s="40" t="str">
        <f>IFERROR(CHOOSE(INDEX(B_RANK,MATCH(BG382,B_LVL,0)),"Band A","Band B","B+ · Player-Coach","Band C","C+ · Player-Coach","Band D","Band E"),"Band X · Consultant")</f>
        <v>Band A</v>
      </c>
      <c r="BI382" s="40" t="str">
        <f>IF(BG382=AY382,"• Same",IF(INDEX(B_VAL,MATCH(BG382,B_LVL,0))&gt;INDEX(B_VAL,MATCH(AY382,B_LVL,0)),"▲ Up","▼ Down"))</f>
        <v>• Same</v>
      </c>
      <c r="BJ382" s="40" t="str">
        <f>IF(OR($M382="",$M382="—",$M382="Not in this file"),"",IFERROR(INDEX($BG$7:$BG$592,MATCH($M382,$D$7:$D$592,0)),""))</f>
        <v>B1</v>
      </c>
      <c r="BK382" s="40" t="str">
        <f>IFERROR(IF(BJ382="","—",IF(OR(LEFT(BG382,1)="X",LEFT(BJ382,1)="X"),"—",IF(AND(LEFT(BG382,1)="E",LEFT(BJ382,1)="E"),"Exception · Band E",IF(AND(INDEX(B_VAL,MATCH(BJ382,B_LVL,0))&gt;=7,INDEX(B_RANK,MATCH(BG382,B_LVL,0))&gt;=INDEX(B_RANK,MATCH(BJ382,B_LVL,0))),"⚠ Same band as a head manager",IF(INDEX(B_VAL,MATCH(BG382,B_LVL,0))&gt;=INDEX(B_VAL,MATCH(BJ382,B_LVL,0)),"⚠ At or above the manager's level","OK"))))),"—")</f>
        <v>OK</v>
      </c>
      <c r="BL382" s="43" t="n"/>
      <c r="BM382" s="44">
        <f>IFERROR(INDEX(LMH_PTS,MATCH(Y382,LMH_KEY,0)),0)</f>
        <v>9</v>
      </c>
      <c r="BN382" s="38">
        <f>IFERROR(INDEX(LMH_PTS,MATCH(Z382,LMH_KEY,0)),0)</f>
        <v>3</v>
      </c>
      <c r="BO382" s="38">
        <f>IFERROR(INDEX(LMH_PTS,MATCH(AA382,LMH_KEY,0)),0)</f>
        <v>1</v>
      </c>
      <c r="BP382" s="38">
        <f>IFERROR(INDEX(LMH_PTS,MATCH(AB382,LMH_KEY,0)),0)</f>
        <v>1</v>
      </c>
      <c r="BQ382" s="38">
        <f>IFERROR(INDEX(LMH_PTS,MATCH(AC382,LMH_KEY,0)),0)</f>
        <v>1</v>
      </c>
      <c r="BR382" s="38">
        <f>IFERROR(INDEX(LMH_PTS,MATCH(AD382,LMH_KEY,0)),0)</f>
        <v>1</v>
      </c>
      <c r="BS382" s="38">
        <f>IFERROR(INDEX(LMH_PTS,MATCH(AE382,LMH_KEY,0)),0)</f>
        <v>1</v>
      </c>
      <c r="BT382" s="38">
        <f>IFERROR(INDEX(LMH_STEP,MATCH(AF382,LMH_KEY,0)),0)</f>
        <v>0</v>
      </c>
      <c r="BU382" s="38">
        <f>IFERROR(INDEX(LMH_STEP,MATCH(AG382,LMH_KEY,0)),0)</f>
        <v>0</v>
      </c>
      <c r="BV382" s="38">
        <f>IFERROR(INDEX(LMH_STEP,MATCH(AH382,LMH_KEY,0)),0)</f>
        <v>0</v>
      </c>
      <c r="BW382" s="38">
        <f>IFERROR(INDEX(LMH_STEP,MATCH(AI382,LMH_KEY,0)),0)</f>
        <v>0</v>
      </c>
      <c r="BX382" s="38">
        <f>IFERROR(INDEX(LMH_STEP,MATCH(AJ382,LMH_KEY,0)),0)</f>
        <v>0</v>
      </c>
      <c r="BY382" s="38">
        <f>IFERROR(INDEX(LMH_STEP,MATCH(AK382,LMH_KEY,0)),0)</f>
        <v>0</v>
      </c>
      <c r="BZ382" s="38">
        <f>IFERROR(INDEX(LMH_STEP,MATCH(AL382,LMH_KEY,0)),0)</f>
        <v>0</v>
      </c>
      <c r="CA382" s="38" t="inlineStr">
        <is>
          <t>iFile|Technology|Database Specialist|A3|A</t>
        </is>
      </c>
    </row>
    <row r="383" ht="110" customHeight="1">
      <c r="A383" s="28" t="inlineStr">
        <is>
          <t>iFile</t>
        </is>
      </c>
      <c r="B383" s="29" t="inlineStr">
        <is>
          <t>Technology</t>
        </is>
      </c>
      <c r="C383" s="29" t="n">
        <v>4</v>
      </c>
      <c r="D383" s="29" t="inlineStr">
        <is>
          <t>IRIS2215</t>
        </is>
      </c>
      <c r="E383" s="29" t="inlineStr">
        <is>
          <t>Shiveshdhar Dubey</t>
        </is>
      </c>
      <c r="F383" s="29" t="inlineStr">
        <is>
          <t>Principal Software Engineer</t>
        </is>
      </c>
      <c r="G383" s="29" t="inlineStr">
        <is>
          <t>Associate Technical Architect – POD Lead</t>
        </is>
      </c>
      <c r="H383" s="29" t="inlineStr">
        <is>
          <t>Engineering &amp; Architecture</t>
        </is>
      </c>
      <c r="I383" s="29" t="inlineStr">
        <is>
          <t>Solution &amp; Technical Architecture</t>
        </is>
      </c>
      <c r="J383" s="29" t="inlineStr">
        <is>
          <t>POD Lead</t>
        </is>
      </c>
      <c r="K383" s="29" t="inlineStr">
        <is>
          <t>RC-055</t>
        </is>
      </c>
      <c r="L383" s="29" t="inlineStr">
        <is>
          <t>Sandeep Dwivedi</t>
        </is>
      </c>
      <c r="M383" s="29" t="inlineStr">
        <is>
          <t>IRIS0929</t>
        </is>
      </c>
      <c r="N383" s="29" t="n">
        <v>10.8</v>
      </c>
      <c r="O383" s="29" t="n">
        <v>2.8</v>
      </c>
      <c r="P383" s="29" t="inlineStr">
        <is>
          <t>B.E</t>
        </is>
      </c>
      <c r="Q383" s="29" t="inlineStr">
        <is>
          <t>L6 – Principal · IC</t>
        </is>
      </c>
      <c r="R383" s="29" t="inlineStr">
        <is>
          <t>B3</t>
        </is>
      </c>
      <c r="S383" s="30" t="inlineStr">
        <is>
          <t>20 of 20</t>
        </is>
      </c>
      <c r="T383" s="31"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t>
        </is>
      </c>
      <c r="U383" s="31" t="inlineStr">
        <is>
          <t>Received · manager annual, quarterly, self · 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t>
        </is>
      </c>
      <c r="V383" s="31" t="inlineStr">
        <is>
          <t>Latest rating: 3 · Potential: Medium · 9-box: Reliable Specialist · Readiness: Develop in role</t>
        </is>
      </c>
      <c r="W383" s="31" t="inlineStr">
        <is>
          <t>C H · Au H · Ac H · L H · BI H · Exp H · 10.8 yrs vs 4–7 yrs · Edu M · B.E</t>
        </is>
      </c>
      <c r="X383" s="33" t="inlineStr">
        <is>
          <t>Open ▸</t>
        </is>
      </c>
      <c r="Y383" s="34" t="str">
        <f>IFERROR(INDEX(DL_C,MATCH($CA383,DL_KEY,0)),"M")</f>
        <v>H</v>
      </c>
      <c r="Z383" s="35" t="str">
        <f>IFERROR(INDEX(DL_Au,MATCH($CA383,DL_KEY,0)),"M")</f>
        <v>M</v>
      </c>
      <c r="AA383" s="35" t="str">
        <f>IFERROR(INDEX(DL_Ac,MATCH($CA383,DL_KEY,0)),"M")</f>
        <v>L</v>
      </c>
      <c r="AB383" s="35" t="str">
        <f>IFERROR(INDEX(DL_L,MATCH($CA383,DL_KEY,0)),"M")</f>
        <v>L</v>
      </c>
      <c r="AC383" s="35" t="str">
        <f>IFERROR(INDEX(DL_BI,MATCH($CA383,DL_KEY,0)),"M")</f>
        <v>L</v>
      </c>
      <c r="AD383" s="35" t="str">
        <f>IFERROR(INDEX(DL_Exp,MATCH($CA383,DL_KEY,0)),"M")</f>
        <v>L</v>
      </c>
      <c r="AE383" s="35" t="str">
        <f>IFERROR(INDEX(DL_Edu,MATCH($CA383,DL_KEY,0)),"M")</f>
        <v>L</v>
      </c>
      <c r="AF383" s="34" t="inlineStr">
        <is>
          <t>M</t>
        </is>
      </c>
      <c r="AG383" s="35" t="inlineStr">
        <is>
          <t>M</t>
        </is>
      </c>
      <c r="AH383" s="35" t="inlineStr">
        <is>
          <t>M</t>
        </is>
      </c>
      <c r="AI383" s="35" t="inlineStr">
        <is>
          <t>M</t>
        </is>
      </c>
      <c r="AJ383" s="35" t="inlineStr">
        <is>
          <t>M</t>
        </is>
      </c>
      <c r="AK383" s="35" t="inlineStr">
        <is>
          <t>M</t>
        </is>
      </c>
      <c r="AL383" s="35" t="inlineStr">
        <is>
          <t>M</t>
        </is>
      </c>
      <c r="AM383" s="36" t="n">
        <v>0.513</v>
      </c>
      <c r="AN383" s="37" t="n">
        <v>0.173</v>
      </c>
      <c r="AO383" s="37" t="n">
        <v>0.09699999999999999</v>
      </c>
      <c r="AP383" s="37" t="n">
        <v>0.05</v>
      </c>
      <c r="AQ383" s="37" t="n">
        <v>0.07000000000000001</v>
      </c>
      <c r="AR383" s="37" t="n">
        <v>0.06</v>
      </c>
      <c r="AS383" s="37" t="n">
        <v>0.04</v>
      </c>
      <c r="AT383" s="38" t="inlineStr">
        <is>
          <t>4–8</t>
        </is>
      </c>
      <c r="AU383" s="38" t="inlineStr">
        <is>
          <t>Graduate + relevant qualification or certification preferred</t>
        </is>
      </c>
      <c r="AV383" s="38" t="inlineStr">
        <is>
          <t>IC: none · Team Lead: 3–5</t>
        </is>
      </c>
      <c r="AW383" s="38" t="inlineStr">
        <is>
          <t>P3 / M2 · SFIA 4 Enable</t>
        </is>
      </c>
      <c r="AX3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3" s="39" t="inlineStr">
        <is>
          <t>B1</t>
        </is>
      </c>
      <c r="AZ383" s="40" t="inlineStr">
        <is>
          <t>Band B · Specialist / Manager · Team Lead / Asst Manager</t>
        </is>
      </c>
      <c r="BA383" s="40" t="inlineStr">
        <is>
          <t>Model B3 from the six ratings, the market-derived weights and rules R1–R13 · then Level rule: manager B2; a reportee sits at least one level below · B3 → B1 · move down · pay and title protected for one cycle</t>
        </is>
      </c>
      <c r="BB383" s="41" t="inlineStr">
        <is>
          <t>B3</t>
        </is>
      </c>
      <c r="BC383" s="40" t="inlineStr">
        <is>
          <t>The six ratings on the market-average weights of Band B · Specialist / POD Lead score 5.83 → B3 · Hay, Mercer IPE and public plans · experience 10.8 yrs vs the B3 market range 8–13</t>
        </is>
      </c>
      <c r="BD383" s="42">
        <f>IF(SUM(BM383,BN383,BO383,BP383,BQ383,BR383,BS383)=0,0,(BM383*BT383+BN383*BU383+BO383*BV383+BP383*BW383+BQ383*BX383+BR383*BY383+BS383*BZ383)/SUM(BM383,BN383,BO383,BP383,BQ383,BR383,BS383))</f>
        <v>0</v>
      </c>
      <c r="BE383" s="41" t="str">
        <f>IF(LEFT(AY383,1)="X",AY383,IF(OR(AY383="B+",AY383="C+"),INDEX(LAD_PC,MAX(1,MIN(14,MATCH(AY383,LAD_PC,0)+IF(BD383&gt;=0.5,1,IF(BD383&lt;=-0.5,-1,0))))),INDEX(LAD_STD,MAX(1,MIN(12,MATCH(AY383,LAD_STD,0)+IF(BD383&gt;=0.5,1,IF(BD383&lt;=-0.5,-1,0)))))))</f>
        <v>B1</v>
      </c>
      <c r="BF383" s="43" t="n"/>
      <c r="BG383" s="41" t="str">
        <f>IF(BF383&lt;&gt;"",BF383,BE383)</f>
        <v>B1</v>
      </c>
      <c r="BH383" s="40" t="str">
        <f>IFERROR(CHOOSE(INDEX(B_RANK,MATCH(BG383,B_LVL,0)),"Band A","Band B","B+ · Player-Coach","Band C","C+ · Player-Coach","Band D","Band E"),"Band X · Consultant")</f>
        <v>Band B</v>
      </c>
      <c r="BI383" s="40" t="str">
        <f>IF(BG383=AY383,"• Same",IF(INDEX(B_VAL,MATCH(BG383,B_LVL,0))&gt;INDEX(B_VAL,MATCH(AY383,B_LVL,0)),"▲ Up","▼ Down"))</f>
        <v>• Same</v>
      </c>
      <c r="BJ383" s="40" t="str">
        <f>IF(OR($M383="",$M383="—",$M383="Not in this file"),"",IFERROR(INDEX($BG$7:$BG$592,MATCH($M383,$D$7:$D$592,0)),""))</f>
        <v>B2</v>
      </c>
      <c r="BK383" s="40" t="str">
        <f>IFERROR(IF(BJ383="","—",IF(OR(LEFT(BG383,1)="X",LEFT(BJ383,1)="X"),"—",IF(AND(LEFT(BG383,1)="E",LEFT(BJ383,1)="E"),"Exception · Band E",IF(AND(INDEX(B_VAL,MATCH(BJ383,B_LVL,0))&gt;=7,INDEX(B_RANK,MATCH(BG383,B_LVL,0))&gt;=INDEX(B_RANK,MATCH(BJ383,B_LVL,0))),"⚠ Same band as a head manager",IF(INDEX(B_VAL,MATCH(BG383,B_LVL,0))&gt;=INDEX(B_VAL,MATCH(BJ383,B_LVL,0)),"⚠ At or above the manager's level","OK"))))),"—")</f>
        <v>OK</v>
      </c>
      <c r="BL383" s="43" t="n"/>
      <c r="BM383" s="44">
        <f>IFERROR(INDEX(LMH_PTS,MATCH(Y383,LMH_KEY,0)),0)</f>
        <v>9</v>
      </c>
      <c r="BN383" s="38">
        <f>IFERROR(INDEX(LMH_PTS,MATCH(Z383,LMH_KEY,0)),0)</f>
        <v>3</v>
      </c>
      <c r="BO383" s="38">
        <f>IFERROR(INDEX(LMH_PTS,MATCH(AA383,LMH_KEY,0)),0)</f>
        <v>1</v>
      </c>
      <c r="BP383" s="38">
        <f>IFERROR(INDEX(LMH_PTS,MATCH(AB383,LMH_KEY,0)),0)</f>
        <v>1</v>
      </c>
      <c r="BQ383" s="38">
        <f>IFERROR(INDEX(LMH_PTS,MATCH(AC383,LMH_KEY,0)),0)</f>
        <v>1</v>
      </c>
      <c r="BR383" s="38">
        <f>IFERROR(INDEX(LMH_PTS,MATCH(AD383,LMH_KEY,0)),0)</f>
        <v>1</v>
      </c>
      <c r="BS383" s="38">
        <f>IFERROR(INDEX(LMH_PTS,MATCH(AE383,LMH_KEY,0)),0)</f>
        <v>1</v>
      </c>
      <c r="BT383" s="38">
        <f>IFERROR(INDEX(LMH_STEP,MATCH(AF383,LMH_KEY,0)),0)</f>
        <v>0</v>
      </c>
      <c r="BU383" s="38">
        <f>IFERROR(INDEX(LMH_STEP,MATCH(AG383,LMH_KEY,0)),0)</f>
        <v>0</v>
      </c>
      <c r="BV383" s="38">
        <f>IFERROR(INDEX(LMH_STEP,MATCH(AH383,LMH_KEY,0)),0)</f>
        <v>0</v>
      </c>
      <c r="BW383" s="38">
        <f>IFERROR(INDEX(LMH_STEP,MATCH(AI383,LMH_KEY,0)),0)</f>
        <v>0</v>
      </c>
      <c r="BX383" s="38">
        <f>IFERROR(INDEX(LMH_STEP,MATCH(AJ383,LMH_KEY,0)),0)</f>
        <v>0</v>
      </c>
      <c r="BY383" s="38">
        <f>IFERROR(INDEX(LMH_STEP,MATCH(AK383,LMH_KEY,0)),0)</f>
        <v>0</v>
      </c>
      <c r="BZ383" s="38">
        <f>IFERROR(INDEX(LMH_STEP,MATCH(AL383,LMH_KEY,0)),0)</f>
        <v>0</v>
      </c>
      <c r="CA383" s="38" t="inlineStr">
        <is>
          <t>iFile|Technology|Associate Technical Architect – POD Lead|B1|B-IC</t>
        </is>
      </c>
    </row>
    <row r="384" ht="110" customHeight="1">
      <c r="A384" s="28" t="inlineStr">
        <is>
          <t>iFile</t>
        </is>
      </c>
      <c r="B384" s="29" t="inlineStr">
        <is>
          <t>Technology</t>
        </is>
      </c>
      <c r="C384" s="29" t="n">
        <v>5</v>
      </c>
      <c r="D384" s="29" t="inlineStr">
        <is>
          <t>IRIS2083</t>
        </is>
      </c>
      <c r="E384" s="29" t="inlineStr">
        <is>
          <t>Anilkumar Aarumughan</t>
        </is>
      </c>
      <c r="F384" s="29" t="inlineStr">
        <is>
          <t>Senior Software Engineer</t>
        </is>
      </c>
      <c r="G384" s="29" t="inlineStr">
        <is>
          <t>Technical Specialist</t>
        </is>
      </c>
      <c r="H384" s="29" t="inlineStr">
        <is>
          <t>Engineering &amp; Development</t>
        </is>
      </c>
      <c r="I384" s="29" t="inlineStr">
        <is>
          <t>Full-Stack Development</t>
        </is>
      </c>
      <c r="J384" s="29" t="inlineStr">
        <is>
          <t>IC</t>
        </is>
      </c>
      <c r="K384" s="29" t="inlineStr">
        <is>
          <t>RC-086</t>
        </is>
      </c>
      <c r="L384" s="29" t="inlineStr">
        <is>
          <t>Shiveshdhar Dubey</t>
        </is>
      </c>
      <c r="M384" s="29" t="inlineStr">
        <is>
          <t>IRIS2215</t>
        </is>
      </c>
      <c r="N384" s="29" t="n">
        <v>13.9</v>
      </c>
      <c r="O384" s="29" t="n">
        <v>3.8</v>
      </c>
      <c r="P384" s="29" t="inlineStr">
        <is>
          <t>MSC</t>
        </is>
      </c>
      <c r="Q384" s="29" t="inlineStr">
        <is>
          <t>L4 – Senior</t>
        </is>
      </c>
      <c r="R384" s="29" t="inlineStr">
        <is>
          <t>B1</t>
        </is>
      </c>
      <c r="S384" s="30" t="inlineStr">
        <is>
          <t>20 of 20</t>
        </is>
      </c>
      <c r="T384" s="31" t="inlineStr">
        <is>
          <t>Business Impact: No survey or manager-mapping signal on criticality: kept at the start point.</t>
        </is>
      </c>
      <c r="U384" s="31" t="inlineStr">
        <is>
          <t>Received · manager annual, quarterly, self · 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t>
        </is>
      </c>
      <c r="V384" s="31" t="inlineStr">
        <is>
          <t>Latest rating: 3 · Potential: Medium · 9-box: Reliable Specialist · Readiness: Develop in role</t>
        </is>
      </c>
      <c r="W384" s="31" t="inlineStr">
        <is>
          <t>C M · Au M · Ac M · L L · BI M · Exp H · 13.9 yrs vs 2–4 yrs · Edu H · MSC</t>
        </is>
      </c>
      <c r="X384" s="33" t="inlineStr">
        <is>
          <t>Open ▸</t>
        </is>
      </c>
      <c r="Y384" s="34" t="str">
        <f>IFERROR(INDEX(DL_C,MATCH($CA384,DL_KEY,0)),"M")</f>
        <v>H</v>
      </c>
      <c r="Z384" s="35" t="str">
        <f>IFERROR(INDEX(DL_Au,MATCH($CA384,DL_KEY,0)),"M")</f>
        <v>M</v>
      </c>
      <c r="AA384" s="35" t="str">
        <f>IFERROR(INDEX(DL_Ac,MATCH($CA384,DL_KEY,0)),"M")</f>
        <v>L</v>
      </c>
      <c r="AB384" s="35" t="str">
        <f>IFERROR(INDEX(DL_L,MATCH($CA384,DL_KEY,0)),"M")</f>
        <v>L</v>
      </c>
      <c r="AC384" s="35" t="str">
        <f>IFERROR(INDEX(DL_BI,MATCH($CA384,DL_KEY,0)),"M")</f>
        <v>L</v>
      </c>
      <c r="AD384" s="35" t="str">
        <f>IFERROR(INDEX(DL_Exp,MATCH($CA384,DL_KEY,0)),"M")</f>
        <v>L</v>
      </c>
      <c r="AE384" s="35" t="str">
        <f>IFERROR(INDEX(DL_Edu,MATCH($CA384,DL_KEY,0)),"M")</f>
        <v>L</v>
      </c>
      <c r="AF384" s="34" t="inlineStr">
        <is>
          <t>M</t>
        </is>
      </c>
      <c r="AG384" s="35" t="inlineStr">
        <is>
          <t>M</t>
        </is>
      </c>
      <c r="AH384" s="35" t="inlineStr">
        <is>
          <t>M</t>
        </is>
      </c>
      <c r="AI384" s="35" t="inlineStr">
        <is>
          <t>M</t>
        </is>
      </c>
      <c r="AJ384" s="35" t="inlineStr">
        <is>
          <t>M</t>
        </is>
      </c>
      <c r="AK384" s="35" t="inlineStr">
        <is>
          <t>M</t>
        </is>
      </c>
      <c r="AL384" s="35" t="inlineStr">
        <is>
          <t>M</t>
        </is>
      </c>
      <c r="AM384" s="36" t="n">
        <v>0.583</v>
      </c>
      <c r="AN384" s="37" t="n">
        <v>0.16</v>
      </c>
      <c r="AO384" s="37" t="n">
        <v>0.09</v>
      </c>
      <c r="AP384" s="37" t="n">
        <v>0</v>
      </c>
      <c r="AQ384" s="37" t="n">
        <v>0.063</v>
      </c>
      <c r="AR384" s="37" t="n">
        <v>0.06</v>
      </c>
      <c r="AS384" s="37" t="n">
        <v>0.04</v>
      </c>
      <c r="AT384" s="38" t="inlineStr">
        <is>
          <t>2–5</t>
        </is>
      </c>
      <c r="AU384" s="38" t="inlineStr">
        <is>
          <t>Graduate; relevant certification preferred</t>
        </is>
      </c>
      <c r="AV384" s="38" t="inlineStr">
        <is>
          <t>None · guides 1–3 juniors informally</t>
        </is>
      </c>
      <c r="AW384" s="38" t="inlineStr">
        <is>
          <t>P2 · SFIA 3 Apply</t>
        </is>
      </c>
      <c r="AX3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4" s="39" t="inlineStr">
        <is>
          <t>A3</t>
        </is>
      </c>
      <c r="AZ384" s="40" t="inlineStr">
        <is>
          <t>Band A · Practitioner · Senior Associate</t>
        </is>
      </c>
      <c r="BA384" s="40" t="inlineStr">
        <is>
          <t>Model B1 from the six ratings, the market-derived weights and rules R1–R13 · then Level rule: manager B1; a reportee sits at least one level below · B1 → A3 · move down · pay and title protected for one cycle</t>
        </is>
      </c>
      <c r="BB384" s="41" t="inlineStr">
        <is>
          <t>B1</t>
        </is>
      </c>
      <c r="BC384" s="40" t="inlineStr">
        <is>
          <t>The six ratings on the market-average weights of Band A · all tracks score 3.55 → B1 · Hay, Mercer IPE and public plans · experience 13.9 yrs vs the B1 market range 4–8</t>
        </is>
      </c>
      <c r="BD384" s="42">
        <f>IF(SUM(BM384,BN384,BO384,BP384,BQ384,BR384,BS384)=0,0,(BM384*BT384+BN384*BU384+BO384*BV384+BP384*BW384+BQ384*BX384+BR384*BY384+BS384*BZ384)/SUM(BM384,BN384,BO384,BP384,BQ384,BR384,BS384))</f>
        <v>0</v>
      </c>
      <c r="BE384" s="41" t="str">
        <f>IF(LEFT(AY384,1)="X",AY384,IF(OR(AY384="B+",AY384="C+"),INDEX(LAD_PC,MAX(1,MIN(14,MATCH(AY384,LAD_PC,0)+IF(BD384&gt;=0.5,1,IF(BD384&lt;=-0.5,-1,0))))),INDEX(LAD_STD,MAX(1,MIN(12,MATCH(AY384,LAD_STD,0)+IF(BD384&gt;=0.5,1,IF(BD384&lt;=-0.5,-1,0)))))))</f>
        <v>A3</v>
      </c>
      <c r="BF384" s="43" t="n"/>
      <c r="BG384" s="41" t="str">
        <f>IF(BF384&lt;&gt;"",BF384,BE384)</f>
        <v>A3</v>
      </c>
      <c r="BH384" s="40" t="str">
        <f>IFERROR(CHOOSE(INDEX(B_RANK,MATCH(BG384,B_LVL,0)),"Band A","Band B","B+ · Player-Coach","Band C","C+ · Player-Coach","Band D","Band E"),"Band X · Consultant")</f>
        <v>Band A</v>
      </c>
      <c r="BI384" s="40" t="str">
        <f>IF(BG384=AY384,"• Same",IF(INDEX(B_VAL,MATCH(BG384,B_LVL,0))&gt;INDEX(B_VAL,MATCH(AY384,B_LVL,0)),"▲ Up","▼ Down"))</f>
        <v>• Same</v>
      </c>
      <c r="BJ384" s="40" t="str">
        <f>IF(OR($M384="",$M384="—",$M384="Not in this file"),"",IFERROR(INDEX($BG$7:$BG$592,MATCH($M384,$D$7:$D$592,0)),""))</f>
        <v>B1</v>
      </c>
      <c r="BK384" s="40" t="str">
        <f>IFERROR(IF(BJ384="","—",IF(OR(LEFT(BG384,1)="X",LEFT(BJ384,1)="X"),"—",IF(AND(LEFT(BG384,1)="E",LEFT(BJ384,1)="E"),"Exception · Band E",IF(AND(INDEX(B_VAL,MATCH(BJ384,B_LVL,0))&gt;=7,INDEX(B_RANK,MATCH(BG384,B_LVL,0))&gt;=INDEX(B_RANK,MATCH(BJ384,B_LVL,0))),"⚠ Same band as a head manager",IF(INDEX(B_VAL,MATCH(BG384,B_LVL,0))&gt;=INDEX(B_VAL,MATCH(BJ384,B_LVL,0)),"⚠ At or above the manager's level","OK"))))),"—")</f>
        <v>OK</v>
      </c>
      <c r="BL384" s="43" t="n"/>
      <c r="BM384" s="44">
        <f>IFERROR(INDEX(LMH_PTS,MATCH(Y384,LMH_KEY,0)),0)</f>
        <v>9</v>
      </c>
      <c r="BN384" s="38">
        <f>IFERROR(INDEX(LMH_PTS,MATCH(Z384,LMH_KEY,0)),0)</f>
        <v>3</v>
      </c>
      <c r="BO384" s="38">
        <f>IFERROR(INDEX(LMH_PTS,MATCH(AA384,LMH_KEY,0)),0)</f>
        <v>1</v>
      </c>
      <c r="BP384" s="38">
        <f>IFERROR(INDEX(LMH_PTS,MATCH(AB384,LMH_KEY,0)),0)</f>
        <v>1</v>
      </c>
      <c r="BQ384" s="38">
        <f>IFERROR(INDEX(LMH_PTS,MATCH(AC384,LMH_KEY,0)),0)</f>
        <v>1</v>
      </c>
      <c r="BR384" s="38">
        <f>IFERROR(INDEX(LMH_PTS,MATCH(AD384,LMH_KEY,0)),0)</f>
        <v>1</v>
      </c>
      <c r="BS384" s="38">
        <f>IFERROR(INDEX(LMH_PTS,MATCH(AE384,LMH_KEY,0)),0)</f>
        <v>1</v>
      </c>
      <c r="BT384" s="38">
        <f>IFERROR(INDEX(LMH_STEP,MATCH(AF384,LMH_KEY,0)),0)</f>
        <v>0</v>
      </c>
      <c r="BU384" s="38">
        <f>IFERROR(INDEX(LMH_STEP,MATCH(AG384,LMH_KEY,0)),0)</f>
        <v>0</v>
      </c>
      <c r="BV384" s="38">
        <f>IFERROR(INDEX(LMH_STEP,MATCH(AH384,LMH_KEY,0)),0)</f>
        <v>0</v>
      </c>
      <c r="BW384" s="38">
        <f>IFERROR(INDEX(LMH_STEP,MATCH(AI384,LMH_KEY,0)),0)</f>
        <v>0</v>
      </c>
      <c r="BX384" s="38">
        <f>IFERROR(INDEX(LMH_STEP,MATCH(AJ384,LMH_KEY,0)),0)</f>
        <v>0</v>
      </c>
      <c r="BY384" s="38">
        <f>IFERROR(INDEX(LMH_STEP,MATCH(AK384,LMH_KEY,0)),0)</f>
        <v>0</v>
      </c>
      <c r="BZ384" s="38">
        <f>IFERROR(INDEX(LMH_STEP,MATCH(AL384,LMH_KEY,0)),0)</f>
        <v>0</v>
      </c>
      <c r="CA384" s="38" t="inlineStr">
        <is>
          <t>iFile|Technology|Technical Specialist|A3|A</t>
        </is>
      </c>
    </row>
    <row r="385" ht="110" customHeight="1">
      <c r="A385" s="28" t="inlineStr">
        <is>
          <t>iFile</t>
        </is>
      </c>
      <c r="B385" s="29" t="inlineStr">
        <is>
          <t>Technology</t>
        </is>
      </c>
      <c r="C385" s="29" t="n">
        <v>5</v>
      </c>
      <c r="D385" s="29" t="inlineStr">
        <is>
          <t>IRIS2033</t>
        </is>
      </c>
      <c r="E385" s="29" t="inlineStr">
        <is>
          <t>Amol Pawar</t>
        </is>
      </c>
      <c r="F385" s="29" t="inlineStr">
        <is>
          <t>Software Engineer</t>
        </is>
      </c>
      <c r="G385" s="29" t="inlineStr">
        <is>
          <t>Senior Software Engineer</t>
        </is>
      </c>
      <c r="H385" s="29" t="inlineStr">
        <is>
          <t>Engineering &amp; Development</t>
        </is>
      </c>
      <c r="I385" s="29" t="inlineStr">
        <is>
          <t>Full-Stack Development</t>
        </is>
      </c>
      <c r="J385" s="29" t="inlineStr">
        <is>
          <t>IC</t>
        </is>
      </c>
      <c r="K385" s="29" t="inlineStr">
        <is>
          <t>RC-085</t>
        </is>
      </c>
      <c r="L385" s="29" t="inlineStr">
        <is>
          <t>Shiveshdhar Dubey</t>
        </is>
      </c>
      <c r="M385" s="29" t="inlineStr">
        <is>
          <t>IRIS2215</t>
        </is>
      </c>
      <c r="N385" s="29" t="n">
        <v>4.2</v>
      </c>
      <c r="O385" s="29" t="n">
        <v>4.2</v>
      </c>
      <c r="P385" s="29" t="inlineStr">
        <is>
          <t>B.E</t>
        </is>
      </c>
      <c r="Q385" s="29" t="inlineStr">
        <is>
          <t>L3 – Professional / Associate</t>
        </is>
      </c>
      <c r="R385" s="29" t="inlineStr">
        <is>
          <t>A3</t>
        </is>
      </c>
      <c r="S385" s="30" t="inlineStr">
        <is>
          <t>20 of 20</t>
        </is>
      </c>
      <c r="T385" s="31"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t>
        </is>
      </c>
      <c r="U385" s="31" t="inlineStr">
        <is>
          <t>Received · manager annual, quarterly, self · 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t>
        </is>
      </c>
      <c r="V385" s="31" t="inlineStr">
        <is>
          <t>Latest rating: 4 · Potential: High · 9-box: Trusted Professional · Readiness: Ready now</t>
        </is>
      </c>
      <c r="W385" s="31" t="inlineStr">
        <is>
          <t>C M · Au M · Ac M · L L · BI M · Exp H · 4.2 yrs vs 2–4 yrs · Edu M · B.E</t>
        </is>
      </c>
      <c r="X385" s="33" t="inlineStr">
        <is>
          <t>Open ▸</t>
        </is>
      </c>
      <c r="Y385" s="34" t="str">
        <f>IFERROR(INDEX(DL_C,MATCH($CA385,DL_KEY,0)),"M")</f>
        <v>H</v>
      </c>
      <c r="Z385" s="35" t="str">
        <f>IFERROR(INDEX(DL_Au,MATCH($CA385,DL_KEY,0)),"M")</f>
        <v>M</v>
      </c>
      <c r="AA385" s="35" t="str">
        <f>IFERROR(INDEX(DL_Ac,MATCH($CA385,DL_KEY,0)),"M")</f>
        <v>L</v>
      </c>
      <c r="AB385" s="35" t="str">
        <f>IFERROR(INDEX(DL_L,MATCH($CA385,DL_KEY,0)),"M")</f>
        <v>L</v>
      </c>
      <c r="AC385" s="35" t="str">
        <f>IFERROR(INDEX(DL_BI,MATCH($CA385,DL_KEY,0)),"M")</f>
        <v>L</v>
      </c>
      <c r="AD385" s="35" t="str">
        <f>IFERROR(INDEX(DL_Exp,MATCH($CA385,DL_KEY,0)),"M")</f>
        <v>L</v>
      </c>
      <c r="AE385" s="35" t="str">
        <f>IFERROR(INDEX(DL_Edu,MATCH($CA385,DL_KEY,0)),"M")</f>
        <v>L</v>
      </c>
      <c r="AF385" s="34" t="inlineStr">
        <is>
          <t>M</t>
        </is>
      </c>
      <c r="AG385" s="35" t="inlineStr">
        <is>
          <t>M</t>
        </is>
      </c>
      <c r="AH385" s="35" t="inlineStr">
        <is>
          <t>M</t>
        </is>
      </c>
      <c r="AI385" s="35" t="inlineStr">
        <is>
          <t>M</t>
        </is>
      </c>
      <c r="AJ385" s="35" t="inlineStr">
        <is>
          <t>M</t>
        </is>
      </c>
      <c r="AK385" s="35" t="inlineStr">
        <is>
          <t>M</t>
        </is>
      </c>
      <c r="AL385" s="35" t="inlineStr">
        <is>
          <t>M</t>
        </is>
      </c>
      <c r="AM385" s="36" t="n">
        <v>0.583</v>
      </c>
      <c r="AN385" s="37" t="n">
        <v>0.16</v>
      </c>
      <c r="AO385" s="37" t="n">
        <v>0.09</v>
      </c>
      <c r="AP385" s="37" t="n">
        <v>0</v>
      </c>
      <c r="AQ385" s="37" t="n">
        <v>0.063</v>
      </c>
      <c r="AR385" s="37" t="n">
        <v>0.06</v>
      </c>
      <c r="AS385" s="37" t="n">
        <v>0.04</v>
      </c>
      <c r="AT385" s="38" t="inlineStr">
        <is>
          <t>2–5</t>
        </is>
      </c>
      <c r="AU385" s="38" t="inlineStr">
        <is>
          <t>Graduate; relevant certification preferred</t>
        </is>
      </c>
      <c r="AV385" s="38" t="inlineStr">
        <is>
          <t>None · guides 1–3 juniors informally</t>
        </is>
      </c>
      <c r="AW385" s="38" t="inlineStr">
        <is>
          <t>P2 · SFIA 3 Apply</t>
        </is>
      </c>
      <c r="AX3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5" s="39" t="inlineStr">
        <is>
          <t>A3</t>
        </is>
      </c>
      <c r="AZ385" s="40" t="inlineStr">
        <is>
          <t>Band A · Practitioner · Senior Associate</t>
        </is>
      </c>
      <c r="BA385" s="40" t="inlineStr">
        <is>
          <t>Model A3 from the six ratings, the market-derived weights and rules R1–R13 · then No change · already below the manager</t>
        </is>
      </c>
      <c r="BB385" s="41" t="inlineStr">
        <is>
          <t>A3</t>
        </is>
      </c>
      <c r="BC385" s="40" t="inlineStr">
        <is>
          <t>The six ratings on the market-average weights of Band A · all tracks score 2.60 → A3 · Hay, Mercer IPE and public plans · experience 4.2 yrs vs the A3 market range 2–5</t>
        </is>
      </c>
      <c r="BD385" s="42">
        <f>IF(SUM(BM385,BN385,BO385,BP385,BQ385,BR385,BS385)=0,0,(BM385*BT385+BN385*BU385+BO385*BV385+BP385*BW385+BQ385*BX385+BR385*BY385+BS385*BZ385)/SUM(BM385,BN385,BO385,BP385,BQ385,BR385,BS385))</f>
        <v>0</v>
      </c>
      <c r="BE385" s="41" t="str">
        <f>IF(LEFT(AY385,1)="X",AY385,IF(OR(AY385="B+",AY385="C+"),INDEX(LAD_PC,MAX(1,MIN(14,MATCH(AY385,LAD_PC,0)+IF(BD385&gt;=0.5,1,IF(BD385&lt;=-0.5,-1,0))))),INDEX(LAD_STD,MAX(1,MIN(12,MATCH(AY385,LAD_STD,0)+IF(BD385&gt;=0.5,1,IF(BD385&lt;=-0.5,-1,0)))))))</f>
        <v>A3</v>
      </c>
      <c r="BF385" s="43" t="n"/>
      <c r="BG385" s="41" t="str">
        <f>IF(BF385&lt;&gt;"",BF385,BE385)</f>
        <v>A3</v>
      </c>
      <c r="BH385" s="40" t="str">
        <f>IFERROR(CHOOSE(INDEX(B_RANK,MATCH(BG385,B_LVL,0)),"Band A","Band B","B+ · Player-Coach","Band C","C+ · Player-Coach","Band D","Band E"),"Band X · Consultant")</f>
        <v>Band A</v>
      </c>
      <c r="BI385" s="40" t="str">
        <f>IF(BG385=AY385,"• Same",IF(INDEX(B_VAL,MATCH(BG385,B_LVL,0))&gt;INDEX(B_VAL,MATCH(AY385,B_LVL,0)),"▲ Up","▼ Down"))</f>
        <v>• Same</v>
      </c>
      <c r="BJ385" s="40" t="str">
        <f>IF(OR($M385="",$M385="—",$M385="Not in this file"),"",IFERROR(INDEX($BG$7:$BG$592,MATCH($M385,$D$7:$D$592,0)),""))</f>
        <v>B1</v>
      </c>
      <c r="BK385" s="40" t="str">
        <f>IFERROR(IF(BJ385="","—",IF(OR(LEFT(BG385,1)="X",LEFT(BJ385,1)="X"),"—",IF(AND(LEFT(BG385,1)="E",LEFT(BJ385,1)="E"),"Exception · Band E",IF(AND(INDEX(B_VAL,MATCH(BJ385,B_LVL,0))&gt;=7,INDEX(B_RANK,MATCH(BG385,B_LVL,0))&gt;=INDEX(B_RANK,MATCH(BJ385,B_LVL,0))),"⚠ Same band as a head manager",IF(INDEX(B_VAL,MATCH(BG385,B_LVL,0))&gt;=INDEX(B_VAL,MATCH(BJ385,B_LVL,0)),"⚠ At or above the manager's level","OK"))))),"—")</f>
        <v>OK</v>
      </c>
      <c r="BL385" s="43" t="n"/>
      <c r="BM385" s="44">
        <f>IFERROR(INDEX(LMH_PTS,MATCH(Y385,LMH_KEY,0)),0)</f>
        <v>9</v>
      </c>
      <c r="BN385" s="38">
        <f>IFERROR(INDEX(LMH_PTS,MATCH(Z385,LMH_KEY,0)),0)</f>
        <v>3</v>
      </c>
      <c r="BO385" s="38">
        <f>IFERROR(INDEX(LMH_PTS,MATCH(AA385,LMH_KEY,0)),0)</f>
        <v>1</v>
      </c>
      <c r="BP385" s="38">
        <f>IFERROR(INDEX(LMH_PTS,MATCH(AB385,LMH_KEY,0)),0)</f>
        <v>1</v>
      </c>
      <c r="BQ385" s="38">
        <f>IFERROR(INDEX(LMH_PTS,MATCH(AC385,LMH_KEY,0)),0)</f>
        <v>1</v>
      </c>
      <c r="BR385" s="38">
        <f>IFERROR(INDEX(LMH_PTS,MATCH(AD385,LMH_KEY,0)),0)</f>
        <v>1</v>
      </c>
      <c r="BS385" s="38">
        <f>IFERROR(INDEX(LMH_PTS,MATCH(AE385,LMH_KEY,0)),0)</f>
        <v>1</v>
      </c>
      <c r="BT385" s="38">
        <f>IFERROR(INDEX(LMH_STEP,MATCH(AF385,LMH_KEY,0)),0)</f>
        <v>0</v>
      </c>
      <c r="BU385" s="38">
        <f>IFERROR(INDEX(LMH_STEP,MATCH(AG385,LMH_KEY,0)),0)</f>
        <v>0</v>
      </c>
      <c r="BV385" s="38">
        <f>IFERROR(INDEX(LMH_STEP,MATCH(AH385,LMH_KEY,0)),0)</f>
        <v>0</v>
      </c>
      <c r="BW385" s="38">
        <f>IFERROR(INDEX(LMH_STEP,MATCH(AI385,LMH_KEY,0)),0)</f>
        <v>0</v>
      </c>
      <c r="BX385" s="38">
        <f>IFERROR(INDEX(LMH_STEP,MATCH(AJ385,LMH_KEY,0)),0)</f>
        <v>0</v>
      </c>
      <c r="BY385" s="38">
        <f>IFERROR(INDEX(LMH_STEP,MATCH(AK385,LMH_KEY,0)),0)</f>
        <v>0</v>
      </c>
      <c r="BZ385" s="38">
        <f>IFERROR(INDEX(LMH_STEP,MATCH(AL385,LMH_KEY,0)),0)</f>
        <v>0</v>
      </c>
      <c r="CA385" s="38" t="inlineStr">
        <is>
          <t>iFile|Technology|Senior Software Engineer|A3|A</t>
        </is>
      </c>
    </row>
    <row r="386" ht="110" customHeight="1">
      <c r="A386" s="28" t="inlineStr">
        <is>
          <t>iFile</t>
        </is>
      </c>
      <c r="B386" s="29" t="inlineStr">
        <is>
          <t>Technology</t>
        </is>
      </c>
      <c r="C386" s="29" t="n">
        <v>5</v>
      </c>
      <c r="D386" s="29" t="inlineStr">
        <is>
          <t>IRIS2253</t>
        </is>
      </c>
      <c r="E386" s="29" t="inlineStr">
        <is>
          <t>Harshal Wadode</t>
        </is>
      </c>
      <c r="F386" s="29" t="inlineStr">
        <is>
          <t>Software Engineer</t>
        </is>
      </c>
      <c r="G386" s="29" t="inlineStr">
        <is>
          <t>Senior Software Engineer</t>
        </is>
      </c>
      <c r="H386" s="29" t="inlineStr">
        <is>
          <t>Engineering &amp; Development</t>
        </is>
      </c>
      <c r="I386" s="29" t="inlineStr">
        <is>
          <t>Backend Development</t>
        </is>
      </c>
      <c r="J386" s="29" t="inlineStr">
        <is>
          <t>IC</t>
        </is>
      </c>
      <c r="K386" s="29" t="inlineStr">
        <is>
          <t>RC-067</t>
        </is>
      </c>
      <c r="L386" s="29" t="inlineStr">
        <is>
          <t>Shiveshdhar Dubey</t>
        </is>
      </c>
      <c r="M386" s="29" t="inlineStr">
        <is>
          <t>IRIS2215</t>
        </is>
      </c>
      <c r="N386" s="29" t="n">
        <v>2.3</v>
      </c>
      <c r="O386" s="29" t="n">
        <v>2.3</v>
      </c>
      <c r="P386" s="29" t="inlineStr">
        <is>
          <t>B.E</t>
        </is>
      </c>
      <c r="Q386" s="29" t="inlineStr">
        <is>
          <t>L3 – Professional / Associate</t>
        </is>
      </c>
      <c r="R386" s="29" t="inlineStr">
        <is>
          <t>A3</t>
        </is>
      </c>
      <c r="S386" s="30" t="inlineStr">
        <is>
          <t>20 of 20</t>
        </is>
      </c>
      <c r="T386" s="31" t="inlineStr">
        <is>
          <t>Business Impact: No survey or manager-mapping signal on criticality: kept at the start point.</t>
        </is>
      </c>
      <c r="U386" s="31" t="inlineStr">
        <is>
          <t>Received · manager annual, quarterly, self · 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t>
        </is>
      </c>
      <c r="V386" s="31" t="inlineStr">
        <is>
          <t>Latest rating: 3 · Potential: Medium · 9-box: Emerging Talent · Readiness: Develop in role</t>
        </is>
      </c>
      <c r="W386" s="31" t="inlineStr">
        <is>
          <t>C M · Au L · Ac M · L L · BI M · Exp M · 2.3 yrs vs 2–4 yrs · Edu M · B.E</t>
        </is>
      </c>
      <c r="X386" s="33" t="inlineStr">
        <is>
          <t>Open ▸</t>
        </is>
      </c>
      <c r="Y386" s="34" t="str">
        <f>IFERROR(INDEX(DL_C,MATCH($CA386,DL_KEY,0)),"M")</f>
        <v>H</v>
      </c>
      <c r="Z386" s="35" t="str">
        <f>IFERROR(INDEX(DL_Au,MATCH($CA386,DL_KEY,0)),"M")</f>
        <v>M</v>
      </c>
      <c r="AA386" s="35" t="str">
        <f>IFERROR(INDEX(DL_Ac,MATCH($CA386,DL_KEY,0)),"M")</f>
        <v>L</v>
      </c>
      <c r="AB386" s="35" t="str">
        <f>IFERROR(INDEX(DL_L,MATCH($CA386,DL_KEY,0)),"M")</f>
        <v>L</v>
      </c>
      <c r="AC386" s="35" t="str">
        <f>IFERROR(INDEX(DL_BI,MATCH($CA386,DL_KEY,0)),"M")</f>
        <v>L</v>
      </c>
      <c r="AD386" s="35" t="str">
        <f>IFERROR(INDEX(DL_Exp,MATCH($CA386,DL_KEY,0)),"M")</f>
        <v>L</v>
      </c>
      <c r="AE386" s="35" t="str">
        <f>IFERROR(INDEX(DL_Edu,MATCH($CA386,DL_KEY,0)),"M")</f>
        <v>L</v>
      </c>
      <c r="AF386" s="34" t="inlineStr">
        <is>
          <t>M</t>
        </is>
      </c>
      <c r="AG386" s="35" t="inlineStr">
        <is>
          <t>M</t>
        </is>
      </c>
      <c r="AH386" s="35" t="inlineStr">
        <is>
          <t>M</t>
        </is>
      </c>
      <c r="AI386" s="35" t="inlineStr">
        <is>
          <t>M</t>
        </is>
      </c>
      <c r="AJ386" s="35" t="inlineStr">
        <is>
          <t>M</t>
        </is>
      </c>
      <c r="AK386" s="35" t="inlineStr">
        <is>
          <t>M</t>
        </is>
      </c>
      <c r="AL386" s="35" t="inlineStr">
        <is>
          <t>M</t>
        </is>
      </c>
      <c r="AM386" s="36" t="n">
        <v>0.583</v>
      </c>
      <c r="AN386" s="37" t="n">
        <v>0.16</v>
      </c>
      <c r="AO386" s="37" t="n">
        <v>0.09</v>
      </c>
      <c r="AP386" s="37" t="n">
        <v>0</v>
      </c>
      <c r="AQ386" s="37" t="n">
        <v>0.063</v>
      </c>
      <c r="AR386" s="37" t="n">
        <v>0.06</v>
      </c>
      <c r="AS386" s="37" t="n">
        <v>0.04</v>
      </c>
      <c r="AT386" s="38" t="inlineStr">
        <is>
          <t>2–5</t>
        </is>
      </c>
      <c r="AU386" s="38" t="inlineStr">
        <is>
          <t>Graduate; relevant certification preferred</t>
        </is>
      </c>
      <c r="AV386" s="38" t="inlineStr">
        <is>
          <t>None · guides 1–3 juniors informally</t>
        </is>
      </c>
      <c r="AW386" s="38" t="inlineStr">
        <is>
          <t>P2 · SFIA 3 Apply</t>
        </is>
      </c>
      <c r="AX3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6" s="39" t="inlineStr">
        <is>
          <t>A3</t>
        </is>
      </c>
      <c r="AZ386" s="40" t="inlineStr">
        <is>
          <t>Band A · Practitioner · Senior Associate</t>
        </is>
      </c>
      <c r="BA386" s="40" t="inlineStr">
        <is>
          <t>Model A3 from the six ratings, the market-derived weights and rules R1–R13 · then No change · already below the manager</t>
        </is>
      </c>
      <c r="BB386" s="41" t="inlineStr">
        <is>
          <t>A2</t>
        </is>
      </c>
      <c r="BC386" s="40" t="inlineStr">
        <is>
          <t>The six ratings on the market-average weights of Band A · all tracks score 2.42 → A2 · Hay, Mercer IPE and public plans · experience 2.3 yrs vs the A2 market range 0–3</t>
        </is>
      </c>
      <c r="BD386" s="42">
        <f>IF(SUM(BM386,BN386,BO386,BP386,BQ386,BR386,BS386)=0,0,(BM386*BT386+BN386*BU386+BO386*BV386+BP386*BW386+BQ386*BX386+BR386*BY386+BS386*BZ386)/SUM(BM386,BN386,BO386,BP386,BQ386,BR386,BS386))</f>
        <v>0</v>
      </c>
      <c r="BE386" s="41" t="str">
        <f>IF(LEFT(AY386,1)="X",AY386,IF(OR(AY386="B+",AY386="C+"),INDEX(LAD_PC,MAX(1,MIN(14,MATCH(AY386,LAD_PC,0)+IF(BD386&gt;=0.5,1,IF(BD386&lt;=-0.5,-1,0))))),INDEX(LAD_STD,MAX(1,MIN(12,MATCH(AY386,LAD_STD,0)+IF(BD386&gt;=0.5,1,IF(BD386&lt;=-0.5,-1,0)))))))</f>
        <v>A3</v>
      </c>
      <c r="BF386" s="43" t="n"/>
      <c r="BG386" s="41" t="str">
        <f>IF(BF386&lt;&gt;"",BF386,BE386)</f>
        <v>A3</v>
      </c>
      <c r="BH386" s="40" t="str">
        <f>IFERROR(CHOOSE(INDEX(B_RANK,MATCH(BG386,B_LVL,0)),"Band A","Band B","B+ · Player-Coach","Band C","C+ · Player-Coach","Band D","Band E"),"Band X · Consultant")</f>
        <v>Band A</v>
      </c>
      <c r="BI386" s="40" t="str">
        <f>IF(BG386=AY386,"• Same",IF(INDEX(B_VAL,MATCH(BG386,B_LVL,0))&gt;INDEX(B_VAL,MATCH(AY386,B_LVL,0)),"▲ Up","▼ Down"))</f>
        <v>• Same</v>
      </c>
      <c r="BJ386" s="40" t="str">
        <f>IF(OR($M386="",$M386="—",$M386="Not in this file"),"",IFERROR(INDEX($BG$7:$BG$592,MATCH($M386,$D$7:$D$592,0)),""))</f>
        <v>B1</v>
      </c>
      <c r="BK386" s="40" t="str">
        <f>IFERROR(IF(BJ386="","—",IF(OR(LEFT(BG386,1)="X",LEFT(BJ386,1)="X"),"—",IF(AND(LEFT(BG386,1)="E",LEFT(BJ386,1)="E"),"Exception · Band E",IF(AND(INDEX(B_VAL,MATCH(BJ386,B_LVL,0))&gt;=7,INDEX(B_RANK,MATCH(BG386,B_LVL,0))&gt;=INDEX(B_RANK,MATCH(BJ386,B_LVL,0))),"⚠ Same band as a head manager",IF(INDEX(B_VAL,MATCH(BG386,B_LVL,0))&gt;=INDEX(B_VAL,MATCH(BJ386,B_LVL,0)),"⚠ At or above the manager's level","OK"))))),"—")</f>
        <v>OK</v>
      </c>
      <c r="BL386" s="43" t="n"/>
      <c r="BM386" s="44">
        <f>IFERROR(INDEX(LMH_PTS,MATCH(Y386,LMH_KEY,0)),0)</f>
        <v>9</v>
      </c>
      <c r="BN386" s="38">
        <f>IFERROR(INDEX(LMH_PTS,MATCH(Z386,LMH_KEY,0)),0)</f>
        <v>3</v>
      </c>
      <c r="BO386" s="38">
        <f>IFERROR(INDEX(LMH_PTS,MATCH(AA386,LMH_KEY,0)),0)</f>
        <v>1</v>
      </c>
      <c r="BP386" s="38">
        <f>IFERROR(INDEX(LMH_PTS,MATCH(AB386,LMH_KEY,0)),0)</f>
        <v>1</v>
      </c>
      <c r="BQ386" s="38">
        <f>IFERROR(INDEX(LMH_PTS,MATCH(AC386,LMH_KEY,0)),0)</f>
        <v>1</v>
      </c>
      <c r="BR386" s="38">
        <f>IFERROR(INDEX(LMH_PTS,MATCH(AD386,LMH_KEY,0)),0)</f>
        <v>1</v>
      </c>
      <c r="BS386" s="38">
        <f>IFERROR(INDEX(LMH_PTS,MATCH(AE386,LMH_KEY,0)),0)</f>
        <v>1</v>
      </c>
      <c r="BT386" s="38">
        <f>IFERROR(INDEX(LMH_STEP,MATCH(AF386,LMH_KEY,0)),0)</f>
        <v>0</v>
      </c>
      <c r="BU386" s="38">
        <f>IFERROR(INDEX(LMH_STEP,MATCH(AG386,LMH_KEY,0)),0)</f>
        <v>0</v>
      </c>
      <c r="BV386" s="38">
        <f>IFERROR(INDEX(LMH_STEP,MATCH(AH386,LMH_KEY,0)),0)</f>
        <v>0</v>
      </c>
      <c r="BW386" s="38">
        <f>IFERROR(INDEX(LMH_STEP,MATCH(AI386,LMH_KEY,0)),0)</f>
        <v>0</v>
      </c>
      <c r="BX386" s="38">
        <f>IFERROR(INDEX(LMH_STEP,MATCH(AJ386,LMH_KEY,0)),0)</f>
        <v>0</v>
      </c>
      <c r="BY386" s="38">
        <f>IFERROR(INDEX(LMH_STEP,MATCH(AK386,LMH_KEY,0)),0)</f>
        <v>0</v>
      </c>
      <c r="BZ386" s="38">
        <f>IFERROR(INDEX(LMH_STEP,MATCH(AL386,LMH_KEY,0)),0)</f>
        <v>0</v>
      </c>
      <c r="CA386" s="38" t="inlineStr">
        <is>
          <t>iFile|Technology|Senior Software Engineer|A3|A</t>
        </is>
      </c>
    </row>
    <row r="387" ht="110" customHeight="1">
      <c r="A387" s="28" t="inlineStr">
        <is>
          <t>iFile</t>
        </is>
      </c>
      <c r="B387" s="29" t="inlineStr">
        <is>
          <t>Technology</t>
        </is>
      </c>
      <c r="C387" s="29" t="n">
        <v>4</v>
      </c>
      <c r="D387" s="29" t="inlineStr">
        <is>
          <t>IRIS2097</t>
        </is>
      </c>
      <c r="E387" s="29" t="inlineStr">
        <is>
          <t>Angitha A</t>
        </is>
      </c>
      <c r="F387" s="29" t="inlineStr">
        <is>
          <t>Business Analyst</t>
        </is>
      </c>
      <c r="G387" s="29" t="inlineStr">
        <is>
          <t>Senior Business Analyst</t>
        </is>
      </c>
      <c r="H387" s="29" t="inlineStr">
        <is>
          <t>Business Analysis</t>
        </is>
      </c>
      <c r="I387" s="29" t="inlineStr">
        <is>
          <t>Business Analysis</t>
        </is>
      </c>
      <c r="J387" s="29" t="inlineStr">
        <is>
          <t>IC</t>
        </is>
      </c>
      <c r="K387" s="29" t="inlineStr">
        <is>
          <t>RC-009</t>
        </is>
      </c>
      <c r="L387" s="29" t="inlineStr">
        <is>
          <t>Sandeep Dwivedi</t>
        </is>
      </c>
      <c r="M387" s="29" t="inlineStr">
        <is>
          <t>IRIS0929</t>
        </is>
      </c>
      <c r="N387" s="29" t="n">
        <v>8.1</v>
      </c>
      <c r="O387" s="29" t="n">
        <v>3.6</v>
      </c>
      <c r="P387" s="29" t="inlineStr">
        <is>
          <t>MBA</t>
        </is>
      </c>
      <c r="Q387" s="29" t="inlineStr">
        <is>
          <t>L3 – Professional / Associate</t>
        </is>
      </c>
      <c r="R387" s="29" t="inlineStr">
        <is>
          <t>A3</t>
        </is>
      </c>
      <c r="S387" s="30" t="inlineStr">
        <is>
          <t>20 of 20</t>
        </is>
      </c>
      <c r="T387" s="31" t="inlineStr">
        <is>
          <t>Business Impact: No survey or manager-mapping signal on criticality: kept at the start point.</t>
        </is>
      </c>
      <c r="U387" s="31" t="inlineStr">
        <is>
          <t>Received · manager annual, quarterly, self · 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t>
        </is>
      </c>
      <c r="V387" s="31" t="inlineStr">
        <is>
          <t>Latest rating: 4 · Potential: High · 9-box: Trusted Professional · Readiness: Ready now</t>
        </is>
      </c>
      <c r="W387" s="31" t="inlineStr">
        <is>
          <t>C M · Au M · Ac M · L L · BI M · Exp H · 8.1 yrs vs 2–4 yrs · Edu H · MBA</t>
        </is>
      </c>
      <c r="X387" s="33" t="inlineStr">
        <is>
          <t>Open ▸</t>
        </is>
      </c>
      <c r="Y387" s="34" t="str">
        <f>IFERROR(INDEX(DL_C,MATCH($CA387,DL_KEY,0)),"M")</f>
        <v>H</v>
      </c>
      <c r="Z387" s="35" t="str">
        <f>IFERROR(INDEX(DL_Au,MATCH($CA387,DL_KEY,0)),"M")</f>
        <v>M</v>
      </c>
      <c r="AA387" s="35" t="str">
        <f>IFERROR(INDEX(DL_Ac,MATCH($CA387,DL_KEY,0)),"M")</f>
        <v>L</v>
      </c>
      <c r="AB387" s="35" t="str">
        <f>IFERROR(INDEX(DL_L,MATCH($CA387,DL_KEY,0)),"M")</f>
        <v>L</v>
      </c>
      <c r="AC387" s="35" t="str">
        <f>IFERROR(INDEX(DL_BI,MATCH($CA387,DL_KEY,0)),"M")</f>
        <v>L</v>
      </c>
      <c r="AD387" s="35" t="str">
        <f>IFERROR(INDEX(DL_Exp,MATCH($CA387,DL_KEY,0)),"M")</f>
        <v>L</v>
      </c>
      <c r="AE387" s="35" t="str">
        <f>IFERROR(INDEX(DL_Edu,MATCH($CA387,DL_KEY,0)),"M")</f>
        <v>L</v>
      </c>
      <c r="AF387" s="34" t="inlineStr">
        <is>
          <t>M</t>
        </is>
      </c>
      <c r="AG387" s="35" t="inlineStr">
        <is>
          <t>M</t>
        </is>
      </c>
      <c r="AH387" s="35" t="inlineStr">
        <is>
          <t>M</t>
        </is>
      </c>
      <c r="AI387" s="35" t="inlineStr">
        <is>
          <t>M</t>
        </is>
      </c>
      <c r="AJ387" s="35" t="inlineStr">
        <is>
          <t>M</t>
        </is>
      </c>
      <c r="AK387" s="35" t="inlineStr">
        <is>
          <t>M</t>
        </is>
      </c>
      <c r="AL387" s="35" t="inlineStr">
        <is>
          <t>M</t>
        </is>
      </c>
      <c r="AM387" s="36" t="n">
        <v>0.583</v>
      </c>
      <c r="AN387" s="37" t="n">
        <v>0.16</v>
      </c>
      <c r="AO387" s="37" t="n">
        <v>0.09</v>
      </c>
      <c r="AP387" s="37" t="n">
        <v>0</v>
      </c>
      <c r="AQ387" s="37" t="n">
        <v>0.063</v>
      </c>
      <c r="AR387" s="37" t="n">
        <v>0.06</v>
      </c>
      <c r="AS387" s="37" t="n">
        <v>0.04</v>
      </c>
      <c r="AT387" s="38" t="inlineStr">
        <is>
          <t>2–5</t>
        </is>
      </c>
      <c r="AU387" s="38" t="inlineStr">
        <is>
          <t>Graduate; relevant certification preferred</t>
        </is>
      </c>
      <c r="AV387" s="38" t="inlineStr">
        <is>
          <t>None · guides 1–3 juniors informally</t>
        </is>
      </c>
      <c r="AW387" s="38" t="inlineStr">
        <is>
          <t>P2 · SFIA 3 Apply</t>
        </is>
      </c>
      <c r="AX3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7" s="39" t="inlineStr">
        <is>
          <t>A3</t>
        </is>
      </c>
      <c r="AZ387" s="40" t="inlineStr">
        <is>
          <t>Band A · Practitioner · Senior Associate</t>
        </is>
      </c>
      <c r="BA387" s="40" t="inlineStr">
        <is>
          <t>Model A3 from the six ratings, the market-derived weights and rules R1–R13 · then No change · already below the manager</t>
        </is>
      </c>
      <c r="BB387" s="41" t="inlineStr">
        <is>
          <t>A3</t>
        </is>
      </c>
      <c r="BC387" s="40" t="inlineStr">
        <is>
          <t>The six ratings on the market-average weights of Band A · all tracks score 3.20 → A3 · Hay, Mercer IPE and public plans · experience 8.1 yrs vs the A3 market range 2–5</t>
        </is>
      </c>
      <c r="BD387" s="42">
        <f>IF(SUM(BM387,BN387,BO387,BP387,BQ387,BR387,BS387)=0,0,(BM387*BT387+BN387*BU387+BO387*BV387+BP387*BW387+BQ387*BX387+BR387*BY387+BS387*BZ387)/SUM(BM387,BN387,BO387,BP387,BQ387,BR387,BS387))</f>
        <v>0</v>
      </c>
      <c r="BE387" s="41" t="str">
        <f>IF(LEFT(AY387,1)="X",AY387,IF(OR(AY387="B+",AY387="C+"),INDEX(LAD_PC,MAX(1,MIN(14,MATCH(AY387,LAD_PC,0)+IF(BD387&gt;=0.5,1,IF(BD387&lt;=-0.5,-1,0))))),INDEX(LAD_STD,MAX(1,MIN(12,MATCH(AY387,LAD_STD,0)+IF(BD387&gt;=0.5,1,IF(BD387&lt;=-0.5,-1,0)))))))</f>
        <v>A3</v>
      </c>
      <c r="BF387" s="43" t="n"/>
      <c r="BG387" s="41" t="str">
        <f>IF(BF387&lt;&gt;"",BF387,BE387)</f>
        <v>A3</v>
      </c>
      <c r="BH387" s="40" t="str">
        <f>IFERROR(CHOOSE(INDEX(B_RANK,MATCH(BG387,B_LVL,0)),"Band A","Band B","B+ · Player-Coach","Band C","C+ · Player-Coach","Band D","Band E"),"Band X · Consultant")</f>
        <v>Band A</v>
      </c>
      <c r="BI387" s="40" t="str">
        <f>IF(BG387=AY387,"• Same",IF(INDEX(B_VAL,MATCH(BG387,B_LVL,0))&gt;INDEX(B_VAL,MATCH(AY387,B_LVL,0)),"▲ Up","▼ Down"))</f>
        <v>• Same</v>
      </c>
      <c r="BJ387" s="40" t="str">
        <f>IF(OR($M387="",$M387="—",$M387="Not in this file"),"",IFERROR(INDEX($BG$7:$BG$592,MATCH($M387,$D$7:$D$592,0)),""))</f>
        <v>B2</v>
      </c>
      <c r="BK387" s="40" t="str">
        <f>IFERROR(IF(BJ387="","—",IF(OR(LEFT(BG387,1)="X",LEFT(BJ387,1)="X"),"—",IF(AND(LEFT(BG387,1)="E",LEFT(BJ387,1)="E"),"Exception · Band E",IF(AND(INDEX(B_VAL,MATCH(BJ387,B_LVL,0))&gt;=7,INDEX(B_RANK,MATCH(BG387,B_LVL,0))&gt;=INDEX(B_RANK,MATCH(BJ387,B_LVL,0))),"⚠ Same band as a head manager",IF(INDEX(B_VAL,MATCH(BG387,B_LVL,0))&gt;=INDEX(B_VAL,MATCH(BJ387,B_LVL,0)),"⚠ At or above the manager's level","OK"))))),"—")</f>
        <v>OK</v>
      </c>
      <c r="BL387" s="43" t="n"/>
      <c r="BM387" s="44">
        <f>IFERROR(INDEX(LMH_PTS,MATCH(Y387,LMH_KEY,0)),0)</f>
        <v>9</v>
      </c>
      <c r="BN387" s="38">
        <f>IFERROR(INDEX(LMH_PTS,MATCH(Z387,LMH_KEY,0)),0)</f>
        <v>3</v>
      </c>
      <c r="BO387" s="38">
        <f>IFERROR(INDEX(LMH_PTS,MATCH(AA387,LMH_KEY,0)),0)</f>
        <v>1</v>
      </c>
      <c r="BP387" s="38">
        <f>IFERROR(INDEX(LMH_PTS,MATCH(AB387,LMH_KEY,0)),0)</f>
        <v>1</v>
      </c>
      <c r="BQ387" s="38">
        <f>IFERROR(INDEX(LMH_PTS,MATCH(AC387,LMH_KEY,0)),0)</f>
        <v>1</v>
      </c>
      <c r="BR387" s="38">
        <f>IFERROR(INDEX(LMH_PTS,MATCH(AD387,LMH_KEY,0)),0)</f>
        <v>1</v>
      </c>
      <c r="BS387" s="38">
        <f>IFERROR(INDEX(LMH_PTS,MATCH(AE387,LMH_KEY,0)),0)</f>
        <v>1</v>
      </c>
      <c r="BT387" s="38">
        <f>IFERROR(INDEX(LMH_STEP,MATCH(AF387,LMH_KEY,0)),0)</f>
        <v>0</v>
      </c>
      <c r="BU387" s="38">
        <f>IFERROR(INDEX(LMH_STEP,MATCH(AG387,LMH_KEY,0)),0)</f>
        <v>0</v>
      </c>
      <c r="BV387" s="38">
        <f>IFERROR(INDEX(LMH_STEP,MATCH(AH387,LMH_KEY,0)),0)</f>
        <v>0</v>
      </c>
      <c r="BW387" s="38">
        <f>IFERROR(INDEX(LMH_STEP,MATCH(AI387,LMH_KEY,0)),0)</f>
        <v>0</v>
      </c>
      <c r="BX387" s="38">
        <f>IFERROR(INDEX(LMH_STEP,MATCH(AJ387,LMH_KEY,0)),0)</f>
        <v>0</v>
      </c>
      <c r="BY387" s="38">
        <f>IFERROR(INDEX(LMH_STEP,MATCH(AK387,LMH_KEY,0)),0)</f>
        <v>0</v>
      </c>
      <c r="BZ387" s="38">
        <f>IFERROR(INDEX(LMH_STEP,MATCH(AL387,LMH_KEY,0)),0)</f>
        <v>0</v>
      </c>
      <c r="CA387" s="38" t="inlineStr">
        <is>
          <t>iFile|Technology|Senior Business Analyst|A3|A</t>
        </is>
      </c>
    </row>
    <row r="388" ht="110" customHeight="1">
      <c r="A388" s="28" t="inlineStr">
        <is>
          <t>iFile</t>
        </is>
      </c>
      <c r="B388" s="29" t="inlineStr">
        <is>
          <t>Technology</t>
        </is>
      </c>
      <c r="C388" s="29" t="n">
        <v>4</v>
      </c>
      <c r="D388" s="29" t="inlineStr">
        <is>
          <t>IRIS1929</t>
        </is>
      </c>
      <c r="E388" s="29" t="inlineStr">
        <is>
          <t>Ankita Karale</t>
        </is>
      </c>
      <c r="F388" s="29" t="inlineStr">
        <is>
          <t>Business Analyst</t>
        </is>
      </c>
      <c r="G388" s="29" t="inlineStr">
        <is>
          <t>Senior Business Analyst</t>
        </is>
      </c>
      <c r="H388" s="29" t="inlineStr">
        <is>
          <t>Business Analysis</t>
        </is>
      </c>
      <c r="I388" s="29" t="inlineStr">
        <is>
          <t>Business Analysis</t>
        </is>
      </c>
      <c r="J388" s="29" t="inlineStr">
        <is>
          <t>IC</t>
        </is>
      </c>
      <c r="K388" s="29" t="inlineStr">
        <is>
          <t>RC-009</t>
        </is>
      </c>
      <c r="L388" s="29" t="inlineStr">
        <is>
          <t>Sandeep Dwivedi</t>
        </is>
      </c>
      <c r="M388" s="29" t="inlineStr">
        <is>
          <t>IRIS0929</t>
        </is>
      </c>
      <c r="N388" s="29" t="n">
        <v>7.2</v>
      </c>
      <c r="O388" s="29" t="n">
        <v>5.2</v>
      </c>
      <c r="P388" s="29" t="inlineStr">
        <is>
          <t>B.E</t>
        </is>
      </c>
      <c r="Q388" s="29" t="inlineStr">
        <is>
          <t>L3 – Professional / Associate</t>
        </is>
      </c>
      <c r="R388" s="29" t="inlineStr">
        <is>
          <t>A3</t>
        </is>
      </c>
      <c r="S388" s="30" t="inlineStr">
        <is>
          <t>20 of 20</t>
        </is>
      </c>
      <c r="T388" s="31"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t>
        </is>
      </c>
      <c r="U388" s="31" t="inlineStr">
        <is>
          <t>Received · manager annual, quarterly, self ·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t>
        </is>
      </c>
      <c r="V388" s="31" t="inlineStr">
        <is>
          <t>Latest rating: 1 · Potential: Low · 9-box: Reliable Specialist · Readiness: Performance first</t>
        </is>
      </c>
      <c r="W388" s="31" t="inlineStr">
        <is>
          <t>C M · Au M · Ac M · L L · BI M · Exp H · 7.2 yrs vs 2–4 yrs · Edu M · B.E</t>
        </is>
      </c>
      <c r="X388" s="33" t="inlineStr">
        <is>
          <t>Open ▸</t>
        </is>
      </c>
      <c r="Y388" s="34" t="str">
        <f>IFERROR(INDEX(DL_C,MATCH($CA388,DL_KEY,0)),"M")</f>
        <v>H</v>
      </c>
      <c r="Z388" s="35" t="str">
        <f>IFERROR(INDEX(DL_Au,MATCH($CA388,DL_KEY,0)),"M")</f>
        <v>M</v>
      </c>
      <c r="AA388" s="35" t="str">
        <f>IFERROR(INDEX(DL_Ac,MATCH($CA388,DL_KEY,0)),"M")</f>
        <v>L</v>
      </c>
      <c r="AB388" s="35" t="str">
        <f>IFERROR(INDEX(DL_L,MATCH($CA388,DL_KEY,0)),"M")</f>
        <v>L</v>
      </c>
      <c r="AC388" s="35" t="str">
        <f>IFERROR(INDEX(DL_BI,MATCH($CA388,DL_KEY,0)),"M")</f>
        <v>L</v>
      </c>
      <c r="AD388" s="35" t="str">
        <f>IFERROR(INDEX(DL_Exp,MATCH($CA388,DL_KEY,0)),"M")</f>
        <v>L</v>
      </c>
      <c r="AE388" s="35" t="str">
        <f>IFERROR(INDEX(DL_Edu,MATCH($CA388,DL_KEY,0)),"M")</f>
        <v>L</v>
      </c>
      <c r="AF388" s="34" t="inlineStr">
        <is>
          <t>M</t>
        </is>
      </c>
      <c r="AG388" s="35" t="inlineStr">
        <is>
          <t>M</t>
        </is>
      </c>
      <c r="AH388" s="35" t="inlineStr">
        <is>
          <t>M</t>
        </is>
      </c>
      <c r="AI388" s="35" t="inlineStr">
        <is>
          <t>M</t>
        </is>
      </c>
      <c r="AJ388" s="35" t="inlineStr">
        <is>
          <t>M</t>
        </is>
      </c>
      <c r="AK388" s="35" t="inlineStr">
        <is>
          <t>M</t>
        </is>
      </c>
      <c r="AL388" s="35" t="inlineStr">
        <is>
          <t>M</t>
        </is>
      </c>
      <c r="AM388" s="36" t="n">
        <v>0.583</v>
      </c>
      <c r="AN388" s="37" t="n">
        <v>0.16</v>
      </c>
      <c r="AO388" s="37" t="n">
        <v>0.09</v>
      </c>
      <c r="AP388" s="37" t="n">
        <v>0</v>
      </c>
      <c r="AQ388" s="37" t="n">
        <v>0.063</v>
      </c>
      <c r="AR388" s="37" t="n">
        <v>0.06</v>
      </c>
      <c r="AS388" s="37" t="n">
        <v>0.04</v>
      </c>
      <c r="AT388" s="38" t="inlineStr">
        <is>
          <t>2–5</t>
        </is>
      </c>
      <c r="AU388" s="38" t="inlineStr">
        <is>
          <t>Graduate; relevant certification preferred</t>
        </is>
      </c>
      <c r="AV388" s="38" t="inlineStr">
        <is>
          <t>None · guides 1–3 juniors informally</t>
        </is>
      </c>
      <c r="AW388" s="38" t="inlineStr">
        <is>
          <t>P2 · SFIA 3 Apply</t>
        </is>
      </c>
      <c r="AX3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8" s="39" t="inlineStr">
        <is>
          <t>A3</t>
        </is>
      </c>
      <c r="AZ388" s="40" t="inlineStr">
        <is>
          <t>Band A · Practitioner · Senior Associate</t>
        </is>
      </c>
      <c r="BA388" s="40" t="inlineStr">
        <is>
          <t>Model A3 from the six ratings, the market-derived weights and rules R1–R13 · then No change · already below the manager</t>
        </is>
      </c>
      <c r="BB388" s="41" t="inlineStr">
        <is>
          <t>A3</t>
        </is>
      </c>
      <c r="BC388" s="40" t="inlineStr">
        <is>
          <t>The six ratings on the market-average weights of Band A · all tracks score 2.75 → A3 · Hay, Mercer IPE and public plans · experience 7.2 yrs vs the A3 market range 2–5</t>
        </is>
      </c>
      <c r="BD388" s="42">
        <f>IF(SUM(BM388,BN388,BO388,BP388,BQ388,BR388,BS388)=0,0,(BM388*BT388+BN388*BU388+BO388*BV388+BP388*BW388+BQ388*BX388+BR388*BY388+BS388*BZ388)/SUM(BM388,BN388,BO388,BP388,BQ388,BR388,BS388))</f>
        <v>0</v>
      </c>
      <c r="BE388" s="41" t="str">
        <f>IF(LEFT(AY388,1)="X",AY388,IF(OR(AY388="B+",AY388="C+"),INDEX(LAD_PC,MAX(1,MIN(14,MATCH(AY388,LAD_PC,0)+IF(BD388&gt;=0.5,1,IF(BD388&lt;=-0.5,-1,0))))),INDEX(LAD_STD,MAX(1,MIN(12,MATCH(AY388,LAD_STD,0)+IF(BD388&gt;=0.5,1,IF(BD388&lt;=-0.5,-1,0)))))))</f>
        <v>A3</v>
      </c>
      <c r="BF388" s="43" t="n"/>
      <c r="BG388" s="41" t="str">
        <f>IF(BF388&lt;&gt;"",BF388,BE388)</f>
        <v>A3</v>
      </c>
      <c r="BH388" s="40" t="str">
        <f>IFERROR(CHOOSE(INDEX(B_RANK,MATCH(BG388,B_LVL,0)),"Band A","Band B","B+ · Player-Coach","Band C","C+ · Player-Coach","Band D","Band E"),"Band X · Consultant")</f>
        <v>Band A</v>
      </c>
      <c r="BI388" s="40" t="str">
        <f>IF(BG388=AY388,"• Same",IF(INDEX(B_VAL,MATCH(BG388,B_LVL,0))&gt;INDEX(B_VAL,MATCH(AY388,B_LVL,0)),"▲ Up","▼ Down"))</f>
        <v>• Same</v>
      </c>
      <c r="BJ388" s="40" t="str">
        <f>IF(OR($M388="",$M388="—",$M388="Not in this file"),"",IFERROR(INDEX($BG$7:$BG$592,MATCH($M388,$D$7:$D$592,0)),""))</f>
        <v>B2</v>
      </c>
      <c r="BK388" s="40" t="str">
        <f>IFERROR(IF(BJ388="","—",IF(OR(LEFT(BG388,1)="X",LEFT(BJ388,1)="X"),"—",IF(AND(LEFT(BG388,1)="E",LEFT(BJ388,1)="E"),"Exception · Band E",IF(AND(INDEX(B_VAL,MATCH(BJ388,B_LVL,0))&gt;=7,INDEX(B_RANK,MATCH(BG388,B_LVL,0))&gt;=INDEX(B_RANK,MATCH(BJ388,B_LVL,0))),"⚠ Same band as a head manager",IF(INDEX(B_VAL,MATCH(BG388,B_LVL,0))&gt;=INDEX(B_VAL,MATCH(BJ388,B_LVL,0)),"⚠ At or above the manager's level","OK"))))),"—")</f>
        <v>OK</v>
      </c>
      <c r="BL388" s="43" t="n"/>
      <c r="BM388" s="44">
        <f>IFERROR(INDEX(LMH_PTS,MATCH(Y388,LMH_KEY,0)),0)</f>
        <v>9</v>
      </c>
      <c r="BN388" s="38">
        <f>IFERROR(INDEX(LMH_PTS,MATCH(Z388,LMH_KEY,0)),0)</f>
        <v>3</v>
      </c>
      <c r="BO388" s="38">
        <f>IFERROR(INDEX(LMH_PTS,MATCH(AA388,LMH_KEY,0)),0)</f>
        <v>1</v>
      </c>
      <c r="BP388" s="38">
        <f>IFERROR(INDEX(LMH_PTS,MATCH(AB388,LMH_KEY,0)),0)</f>
        <v>1</v>
      </c>
      <c r="BQ388" s="38">
        <f>IFERROR(INDEX(LMH_PTS,MATCH(AC388,LMH_KEY,0)),0)</f>
        <v>1</v>
      </c>
      <c r="BR388" s="38">
        <f>IFERROR(INDEX(LMH_PTS,MATCH(AD388,LMH_KEY,0)),0)</f>
        <v>1</v>
      </c>
      <c r="BS388" s="38">
        <f>IFERROR(INDEX(LMH_PTS,MATCH(AE388,LMH_KEY,0)),0)</f>
        <v>1</v>
      </c>
      <c r="BT388" s="38">
        <f>IFERROR(INDEX(LMH_STEP,MATCH(AF388,LMH_KEY,0)),0)</f>
        <v>0</v>
      </c>
      <c r="BU388" s="38">
        <f>IFERROR(INDEX(LMH_STEP,MATCH(AG388,LMH_KEY,0)),0)</f>
        <v>0</v>
      </c>
      <c r="BV388" s="38">
        <f>IFERROR(INDEX(LMH_STEP,MATCH(AH388,LMH_KEY,0)),0)</f>
        <v>0</v>
      </c>
      <c r="BW388" s="38">
        <f>IFERROR(INDEX(LMH_STEP,MATCH(AI388,LMH_KEY,0)),0)</f>
        <v>0</v>
      </c>
      <c r="BX388" s="38">
        <f>IFERROR(INDEX(LMH_STEP,MATCH(AJ388,LMH_KEY,0)),0)</f>
        <v>0</v>
      </c>
      <c r="BY388" s="38">
        <f>IFERROR(INDEX(LMH_STEP,MATCH(AK388,LMH_KEY,0)),0)</f>
        <v>0</v>
      </c>
      <c r="BZ388" s="38">
        <f>IFERROR(INDEX(LMH_STEP,MATCH(AL388,LMH_KEY,0)),0)</f>
        <v>0</v>
      </c>
      <c r="CA388" s="38" t="inlineStr">
        <is>
          <t>iFile|Technology|Senior Business Analyst|A3|A</t>
        </is>
      </c>
    </row>
    <row r="389" ht="110" customHeight="1">
      <c r="A389" s="28" t="inlineStr">
        <is>
          <t>iFile</t>
        </is>
      </c>
      <c r="B389" s="29" t="inlineStr">
        <is>
          <t>Technology</t>
        </is>
      </c>
      <c r="C389" s="29" t="n">
        <v>3</v>
      </c>
      <c r="D389" s="29" t="inlineStr">
        <is>
          <t>IRIS2176</t>
        </is>
      </c>
      <c r="E389" s="29" t="inlineStr">
        <is>
          <t>Saurabh Kadam</t>
        </is>
      </c>
      <c r="F389" s="29" t="inlineStr">
        <is>
          <t>Program Manager</t>
        </is>
      </c>
      <c r="G389" s="29" t="inlineStr">
        <is>
          <t>Project Manager</t>
        </is>
      </c>
      <c r="H389" s="29" t="inlineStr">
        <is>
          <t>Project &amp; Program Management</t>
        </is>
      </c>
      <c r="I389" s="29" t="inlineStr">
        <is>
          <t>Project &amp; Program Delivery</t>
        </is>
      </c>
      <c r="J389" s="29" t="inlineStr">
        <is>
          <t>People Manager</t>
        </is>
      </c>
      <c r="K389" s="29" t="inlineStr">
        <is>
          <t>RC-136</t>
        </is>
      </c>
      <c r="L389" s="29" t="inlineStr">
        <is>
          <t>Pradip Dey</t>
        </is>
      </c>
      <c r="M389" s="29" t="inlineStr">
        <is>
          <t>IRISC223</t>
        </is>
      </c>
      <c r="N389" s="29" t="n">
        <v>16.6</v>
      </c>
      <c r="O389" s="29" t="n">
        <v>3.1</v>
      </c>
      <c r="P389" s="29" t="inlineStr">
        <is>
          <t>MMS</t>
        </is>
      </c>
      <c r="Q389" s="29" t="inlineStr">
        <is>
          <t>L5 – Manager</t>
        </is>
      </c>
      <c r="R389" s="29" t="inlineStr">
        <is>
          <t>B2</t>
        </is>
      </c>
      <c r="S389" s="30" t="inlineStr">
        <is>
          <t>20 of 20</t>
        </is>
      </c>
      <c r="T389" s="31"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t>
        </is>
      </c>
      <c r="U389" s="31" t="inlineStr">
        <is>
          <t>Received · manager annual, quarterly · 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t>
        </is>
      </c>
      <c r="V389" s="31" t="inlineStr">
        <is>
          <t>Latest rating: 4 · Potential: High · 9-box: Trusted Professional · Readiness: Ready now</t>
        </is>
      </c>
      <c r="W389" s="31" t="inlineStr">
        <is>
          <t>C M · Au M · Ac M · L M · BI M · Exp H · 16.6 yrs vs 6–9 yrs · Edu H · MMS</t>
        </is>
      </c>
      <c r="X389" s="33" t="inlineStr">
        <is>
          <t>Open ▸</t>
        </is>
      </c>
      <c r="Y389" s="34" t="str">
        <f>IFERROR(INDEX(DL_C,MATCH($CA389,DL_KEY,0)),"M")</f>
        <v>H</v>
      </c>
      <c r="Z389" s="35" t="str">
        <f>IFERROR(INDEX(DL_Au,MATCH($CA389,DL_KEY,0)),"M")</f>
        <v>M</v>
      </c>
      <c r="AA389" s="35" t="str">
        <f>IFERROR(INDEX(DL_Ac,MATCH($CA389,DL_KEY,0)),"M")</f>
        <v>L</v>
      </c>
      <c r="AB389" s="35" t="str">
        <f>IFERROR(INDEX(DL_L,MATCH($CA389,DL_KEY,0)),"M")</f>
        <v>M</v>
      </c>
      <c r="AC389" s="35" t="str">
        <f>IFERROR(INDEX(DL_BI,MATCH($CA389,DL_KEY,0)),"M")</f>
        <v>L</v>
      </c>
      <c r="AD389" s="35" t="str">
        <f>IFERROR(INDEX(DL_Exp,MATCH($CA389,DL_KEY,0)),"M")</f>
        <v>L</v>
      </c>
      <c r="AE389" s="35" t="str">
        <f>IFERROR(INDEX(DL_Edu,MATCH($CA389,DL_KEY,0)),"M")</f>
        <v>L</v>
      </c>
      <c r="AF389" s="34" t="inlineStr">
        <is>
          <t>M</t>
        </is>
      </c>
      <c r="AG389" s="35" t="inlineStr">
        <is>
          <t>M</t>
        </is>
      </c>
      <c r="AH389" s="35" t="inlineStr">
        <is>
          <t>M</t>
        </is>
      </c>
      <c r="AI389" s="35" t="inlineStr">
        <is>
          <t>M</t>
        </is>
      </c>
      <c r="AJ389" s="35" t="inlineStr">
        <is>
          <t>M</t>
        </is>
      </c>
      <c r="AK389" s="35" t="inlineStr">
        <is>
          <t>M</t>
        </is>
      </c>
      <c r="AL389" s="35" t="inlineStr">
        <is>
          <t>M</t>
        </is>
      </c>
      <c r="AM389" s="36" t="n">
        <v>0.37</v>
      </c>
      <c r="AN389" s="37" t="n">
        <v>0.183</v>
      </c>
      <c r="AO389" s="37" t="n">
        <v>0.113</v>
      </c>
      <c r="AP389" s="37" t="n">
        <v>0.15</v>
      </c>
      <c r="AQ389" s="37" t="n">
        <v>0.08699999999999999</v>
      </c>
      <c r="AR389" s="37" t="n">
        <v>0.06</v>
      </c>
      <c r="AS389" s="37" t="n">
        <v>0.04</v>
      </c>
      <c r="AT389" s="38" t="inlineStr">
        <is>
          <t>6–10</t>
        </is>
      </c>
      <c r="AU389" s="38" t="inlineStr">
        <is>
          <t>Graduate or postgraduate; professional qualification preferred</t>
        </is>
      </c>
      <c r="AV389" s="38" t="inlineStr">
        <is>
          <t>IC: none · People: 6–8 knowledge work, 8–12 standardised delivery</t>
        </is>
      </c>
      <c r="AW389" s="38" t="inlineStr">
        <is>
          <t>P4 / M3 · SFIA 4–5</t>
        </is>
      </c>
      <c r="AX3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9" s="39" t="inlineStr">
        <is>
          <t>B2</t>
        </is>
      </c>
      <c r="AZ389" s="40" t="inlineStr">
        <is>
          <t>Band B · Specialist / Manager · Manager</t>
        </is>
      </c>
      <c r="BA389" s="40" t="inlineStr">
        <is>
          <t>Model B2 from the six ratings, the market-derived weights and rules R1–R13 · then No change · already below the manager</t>
        </is>
      </c>
      <c r="BB389" s="41" t="inlineStr">
        <is>
          <t>B3</t>
        </is>
      </c>
      <c r="BC389" s="40" t="inlineStr">
        <is>
          <t>The six ratings on the market-average weights of Band B · People Manager score 5.59 → B3 · Hay, Mercer IPE and public plans · experience 16.6 yrs vs the B3 market range 8–13</t>
        </is>
      </c>
      <c r="BD389" s="42">
        <f>IF(SUM(BM389,BN389,BO389,BP389,BQ389,BR389,BS389)=0,0,(BM389*BT389+BN389*BU389+BO389*BV389+BP389*BW389+BQ389*BX389+BR389*BY389+BS389*BZ389)/SUM(BM389,BN389,BO389,BP389,BQ389,BR389,BS389))</f>
        <v>0</v>
      </c>
      <c r="BE389" s="41" t="str">
        <f>IF(LEFT(AY389,1)="X",AY389,IF(OR(AY389="B+",AY389="C+"),INDEX(LAD_PC,MAX(1,MIN(14,MATCH(AY389,LAD_PC,0)+IF(BD389&gt;=0.5,1,IF(BD389&lt;=-0.5,-1,0))))),INDEX(LAD_STD,MAX(1,MIN(12,MATCH(AY389,LAD_STD,0)+IF(BD389&gt;=0.5,1,IF(BD389&lt;=-0.5,-1,0)))))))</f>
        <v>B2</v>
      </c>
      <c r="BF389" s="43" t="n"/>
      <c r="BG389" s="41" t="str">
        <f>IF(BF389&lt;&gt;"",BF389,BE389)</f>
        <v>B2</v>
      </c>
      <c r="BH389" s="40" t="str">
        <f>IFERROR(CHOOSE(INDEX(B_RANK,MATCH(BG389,B_LVL,0)),"Band A","Band B","B+ · Player-Coach","Band C","C+ · Player-Coach","Band D","Band E"),"Band X · Consultant")</f>
        <v>Band B</v>
      </c>
      <c r="BI389" s="40" t="str">
        <f>IF(BG389=AY389,"• Same",IF(INDEX(B_VAL,MATCH(BG389,B_LVL,0))&gt;INDEX(B_VAL,MATCH(AY389,B_LVL,0)),"▲ Up","▼ Down"))</f>
        <v>• Same</v>
      </c>
      <c r="BJ389" s="40" t="str">
        <f>IF(OR($M389="",$M389="—",$M389="Not in this file"),"",IFERROR(INDEX($BG$7:$BG$592,MATCH($M389,$D$7:$D$592,0)),""))</f>
        <v>C2</v>
      </c>
      <c r="BK389" s="40" t="str">
        <f>IFERROR(IF(BJ389="","—",IF(OR(LEFT(BG389,1)="X",LEFT(BJ389,1)="X"),"—",IF(AND(LEFT(BG389,1)="E",LEFT(BJ389,1)="E"),"Exception · Band E",IF(AND(INDEX(B_VAL,MATCH(BJ389,B_LVL,0))&gt;=7,INDEX(B_RANK,MATCH(BG389,B_LVL,0))&gt;=INDEX(B_RANK,MATCH(BJ389,B_LVL,0))),"⚠ Same band as a head manager",IF(INDEX(B_VAL,MATCH(BG389,B_LVL,0))&gt;=INDEX(B_VAL,MATCH(BJ389,B_LVL,0)),"⚠ At or above the manager's level","OK"))))),"—")</f>
        <v>OK</v>
      </c>
      <c r="BL389" s="43" t="n"/>
      <c r="BM389" s="44">
        <f>IFERROR(INDEX(LMH_PTS,MATCH(Y389,LMH_KEY,0)),0)</f>
        <v>9</v>
      </c>
      <c r="BN389" s="38">
        <f>IFERROR(INDEX(LMH_PTS,MATCH(Z389,LMH_KEY,0)),0)</f>
        <v>3</v>
      </c>
      <c r="BO389" s="38">
        <f>IFERROR(INDEX(LMH_PTS,MATCH(AA389,LMH_KEY,0)),0)</f>
        <v>1</v>
      </c>
      <c r="BP389" s="38">
        <f>IFERROR(INDEX(LMH_PTS,MATCH(AB389,LMH_KEY,0)),0)</f>
        <v>3</v>
      </c>
      <c r="BQ389" s="38">
        <f>IFERROR(INDEX(LMH_PTS,MATCH(AC389,LMH_KEY,0)),0)</f>
        <v>1</v>
      </c>
      <c r="BR389" s="38">
        <f>IFERROR(INDEX(LMH_PTS,MATCH(AD389,LMH_KEY,0)),0)</f>
        <v>1</v>
      </c>
      <c r="BS389" s="38">
        <f>IFERROR(INDEX(LMH_PTS,MATCH(AE389,LMH_KEY,0)),0)</f>
        <v>1</v>
      </c>
      <c r="BT389" s="38">
        <f>IFERROR(INDEX(LMH_STEP,MATCH(AF389,LMH_KEY,0)),0)</f>
        <v>0</v>
      </c>
      <c r="BU389" s="38">
        <f>IFERROR(INDEX(LMH_STEP,MATCH(AG389,LMH_KEY,0)),0)</f>
        <v>0</v>
      </c>
      <c r="BV389" s="38">
        <f>IFERROR(INDEX(LMH_STEP,MATCH(AH389,LMH_KEY,0)),0)</f>
        <v>0</v>
      </c>
      <c r="BW389" s="38">
        <f>IFERROR(INDEX(LMH_STEP,MATCH(AI389,LMH_KEY,0)),0)</f>
        <v>0</v>
      </c>
      <c r="BX389" s="38">
        <f>IFERROR(INDEX(LMH_STEP,MATCH(AJ389,LMH_KEY,0)),0)</f>
        <v>0</v>
      </c>
      <c r="BY389" s="38">
        <f>IFERROR(INDEX(LMH_STEP,MATCH(AK389,LMH_KEY,0)),0)</f>
        <v>0</v>
      </c>
      <c r="BZ389" s="38">
        <f>IFERROR(INDEX(LMH_STEP,MATCH(AL389,LMH_KEY,0)),0)</f>
        <v>0</v>
      </c>
      <c r="CA389" s="38" t="inlineStr">
        <is>
          <t>iFile|Technology|Project Manager|B2|B-M</t>
        </is>
      </c>
    </row>
    <row r="390" ht="110" customHeight="1">
      <c r="A390" s="28" t="inlineStr">
        <is>
          <t>Consume</t>
        </is>
      </c>
      <c r="B390" s="29" t="inlineStr">
        <is>
          <t>Technology</t>
        </is>
      </c>
      <c r="C390" s="29" t="n">
        <v>3</v>
      </c>
      <c r="D390" s="29" t="inlineStr">
        <is>
          <t>IRIS1952</t>
        </is>
      </c>
      <c r="E390" s="29" t="inlineStr">
        <is>
          <t>Zakiruddin Shaikh</t>
        </is>
      </c>
      <c r="F390" s="29" t="inlineStr">
        <is>
          <t>Project Manager</t>
        </is>
      </c>
      <c r="G390" s="29" t="inlineStr">
        <is>
          <t>Project Manager</t>
        </is>
      </c>
      <c r="H390" s="29" t="inlineStr">
        <is>
          <t>Project &amp; Program Management</t>
        </is>
      </c>
      <c r="I390" s="29" t="inlineStr">
        <is>
          <t>Project &amp; Program Delivery</t>
        </is>
      </c>
      <c r="J390" s="29" t="inlineStr">
        <is>
          <t>People Manager</t>
        </is>
      </c>
      <c r="K390" s="29" t="inlineStr">
        <is>
          <t>RC-136</t>
        </is>
      </c>
      <c r="L390" s="29" t="inlineStr">
        <is>
          <t>Pradip Dey</t>
        </is>
      </c>
      <c r="M390" s="29" t="inlineStr">
        <is>
          <t>IRISC223</t>
        </is>
      </c>
      <c r="N390" s="29" t="n">
        <v>11.1</v>
      </c>
      <c r="O390" s="29" t="n">
        <v>5</v>
      </c>
      <c r="P390" s="29" t="inlineStr">
        <is>
          <t>MMS</t>
        </is>
      </c>
      <c r="Q390" s="29" t="inlineStr">
        <is>
          <t>L5 – Manager</t>
        </is>
      </c>
      <c r="R390" s="29" t="inlineStr">
        <is>
          <t>B2</t>
        </is>
      </c>
      <c r="S390" s="30" t="inlineStr">
        <is>
          <t>20 of 20</t>
        </is>
      </c>
      <c r="T390" s="31"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t>
        </is>
      </c>
      <c r="U390"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90" s="31" t="inlineStr">
        <is>
          <t>Latest rating: 5 · Potential: High · 9-box: Future Leader · Readiness: Ready now</t>
        </is>
      </c>
      <c r="W390" s="31" t="inlineStr">
        <is>
          <t>C M · Au M · Ac M · L L · BI M · Exp H · 11.1 yrs vs 6–9 yrs · Edu H · MMS</t>
        </is>
      </c>
      <c r="X390" s="33" t="inlineStr">
        <is>
          <t>Open ▸</t>
        </is>
      </c>
      <c r="Y390" s="34" t="str">
        <f>IFERROR(INDEX(DL_C,MATCH($CA390,DL_KEY,0)),"M")</f>
        <v>H</v>
      </c>
      <c r="Z390" s="35" t="str">
        <f>IFERROR(INDEX(DL_Au,MATCH($CA390,DL_KEY,0)),"M")</f>
        <v>M</v>
      </c>
      <c r="AA390" s="35" t="str">
        <f>IFERROR(INDEX(DL_Ac,MATCH($CA390,DL_KEY,0)),"M")</f>
        <v>L</v>
      </c>
      <c r="AB390" s="35" t="str">
        <f>IFERROR(INDEX(DL_L,MATCH($CA390,DL_KEY,0)),"M")</f>
        <v>M</v>
      </c>
      <c r="AC390" s="35" t="str">
        <f>IFERROR(INDEX(DL_BI,MATCH($CA390,DL_KEY,0)),"M")</f>
        <v>L</v>
      </c>
      <c r="AD390" s="35" t="str">
        <f>IFERROR(INDEX(DL_Exp,MATCH($CA390,DL_KEY,0)),"M")</f>
        <v>L</v>
      </c>
      <c r="AE390" s="35" t="str">
        <f>IFERROR(INDEX(DL_Edu,MATCH($CA390,DL_KEY,0)),"M")</f>
        <v>L</v>
      </c>
      <c r="AF390" s="34" t="inlineStr">
        <is>
          <t>M</t>
        </is>
      </c>
      <c r="AG390" s="35" t="inlineStr">
        <is>
          <t>M</t>
        </is>
      </c>
      <c r="AH390" s="35" t="inlineStr">
        <is>
          <t>M</t>
        </is>
      </c>
      <c r="AI390" s="35" t="inlineStr">
        <is>
          <t>M</t>
        </is>
      </c>
      <c r="AJ390" s="35" t="inlineStr">
        <is>
          <t>M</t>
        </is>
      </c>
      <c r="AK390" s="35" t="inlineStr">
        <is>
          <t>M</t>
        </is>
      </c>
      <c r="AL390" s="35" t="inlineStr">
        <is>
          <t>M</t>
        </is>
      </c>
      <c r="AM390" s="36" t="n">
        <v>0.37</v>
      </c>
      <c r="AN390" s="37" t="n">
        <v>0.183</v>
      </c>
      <c r="AO390" s="37" t="n">
        <v>0.113</v>
      </c>
      <c r="AP390" s="37" t="n">
        <v>0.15</v>
      </c>
      <c r="AQ390" s="37" t="n">
        <v>0.08699999999999999</v>
      </c>
      <c r="AR390" s="37" t="n">
        <v>0.06</v>
      </c>
      <c r="AS390" s="37" t="n">
        <v>0.04</v>
      </c>
      <c r="AT390" s="38" t="inlineStr">
        <is>
          <t>6–10</t>
        </is>
      </c>
      <c r="AU390" s="38" t="inlineStr">
        <is>
          <t>Graduate or postgraduate; professional qualification preferred</t>
        </is>
      </c>
      <c r="AV390" s="38" t="inlineStr">
        <is>
          <t>IC: none · People: 6–8 knowledge work, 8–12 standardised delivery</t>
        </is>
      </c>
      <c r="AW390" s="38" t="inlineStr">
        <is>
          <t>P4 / M3 · SFIA 4–5</t>
        </is>
      </c>
      <c r="AX3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0" s="39" t="inlineStr">
        <is>
          <t>B2</t>
        </is>
      </c>
      <c r="AZ390" s="40" t="inlineStr">
        <is>
          <t>Band B · Specialist / Manager · Manager</t>
        </is>
      </c>
      <c r="BA390" s="40" t="inlineStr">
        <is>
          <t>Model B2 from the six ratings, the market-derived weights and rules R1–R13 · then No change · already below the manager</t>
        </is>
      </c>
      <c r="BB390" s="41" t="inlineStr">
        <is>
          <t>B2</t>
        </is>
      </c>
      <c r="BC390" s="40" t="inlineStr">
        <is>
          <t>The six ratings on the market-average weights of Band B · People Manager score 4.86 → B2 · Hay, Mercer IPE and public plans · experience 11.1 yrs vs the B2 market range 6–10</t>
        </is>
      </c>
      <c r="BD390" s="42">
        <f>IF(SUM(BM390,BN390,BO390,BP390,BQ390,BR390,BS390)=0,0,(BM390*BT390+BN390*BU390+BO390*BV390+BP390*BW390+BQ390*BX390+BR390*BY390+BS390*BZ390)/SUM(BM390,BN390,BO390,BP390,BQ390,BR390,BS390))</f>
        <v>0</v>
      </c>
      <c r="BE390" s="41" t="str">
        <f>IF(LEFT(AY390,1)="X",AY390,IF(OR(AY390="B+",AY390="C+"),INDEX(LAD_PC,MAX(1,MIN(14,MATCH(AY390,LAD_PC,0)+IF(BD390&gt;=0.5,1,IF(BD390&lt;=-0.5,-1,0))))),INDEX(LAD_STD,MAX(1,MIN(12,MATCH(AY390,LAD_STD,0)+IF(BD390&gt;=0.5,1,IF(BD390&lt;=-0.5,-1,0)))))))</f>
        <v>B2</v>
      </c>
      <c r="BF390" s="43" t="n"/>
      <c r="BG390" s="41" t="str">
        <f>IF(BF390&lt;&gt;"",BF390,BE390)</f>
        <v>B2</v>
      </c>
      <c r="BH390" s="40" t="str">
        <f>IFERROR(CHOOSE(INDEX(B_RANK,MATCH(BG390,B_LVL,0)),"Band A","Band B","B+ · Player-Coach","Band C","C+ · Player-Coach","Band D","Band E"),"Band X · Consultant")</f>
        <v>Band B</v>
      </c>
      <c r="BI390" s="40" t="str">
        <f>IF(BG390=AY390,"• Same",IF(INDEX(B_VAL,MATCH(BG390,B_LVL,0))&gt;INDEX(B_VAL,MATCH(AY390,B_LVL,0)),"▲ Up","▼ Down"))</f>
        <v>• Same</v>
      </c>
      <c r="BJ390" s="40" t="str">
        <f>IF(OR($M390="",$M390="—",$M390="Not in this file"),"",IFERROR(INDEX($BG$7:$BG$592,MATCH($M390,$D$7:$D$592,0)),""))</f>
        <v>C2</v>
      </c>
      <c r="BK390" s="40" t="str">
        <f>IFERROR(IF(BJ390="","—",IF(OR(LEFT(BG390,1)="X",LEFT(BJ390,1)="X"),"—",IF(AND(LEFT(BG390,1)="E",LEFT(BJ390,1)="E"),"Exception · Band E",IF(AND(INDEX(B_VAL,MATCH(BJ390,B_LVL,0))&gt;=7,INDEX(B_RANK,MATCH(BG390,B_LVL,0))&gt;=INDEX(B_RANK,MATCH(BJ390,B_LVL,0))),"⚠ Same band as a head manager",IF(INDEX(B_VAL,MATCH(BG390,B_LVL,0))&gt;=INDEX(B_VAL,MATCH(BJ390,B_LVL,0)),"⚠ At or above the manager's level","OK"))))),"—")</f>
        <v>OK</v>
      </c>
      <c r="BL390" s="43" t="n"/>
      <c r="BM390" s="44">
        <f>IFERROR(INDEX(LMH_PTS,MATCH(Y390,LMH_KEY,0)),0)</f>
        <v>9</v>
      </c>
      <c r="BN390" s="38">
        <f>IFERROR(INDEX(LMH_PTS,MATCH(Z390,LMH_KEY,0)),0)</f>
        <v>3</v>
      </c>
      <c r="BO390" s="38">
        <f>IFERROR(INDEX(LMH_PTS,MATCH(AA390,LMH_KEY,0)),0)</f>
        <v>1</v>
      </c>
      <c r="BP390" s="38">
        <f>IFERROR(INDEX(LMH_PTS,MATCH(AB390,LMH_KEY,0)),0)</f>
        <v>3</v>
      </c>
      <c r="BQ390" s="38">
        <f>IFERROR(INDEX(LMH_PTS,MATCH(AC390,LMH_KEY,0)),0)</f>
        <v>1</v>
      </c>
      <c r="BR390" s="38">
        <f>IFERROR(INDEX(LMH_PTS,MATCH(AD390,LMH_KEY,0)),0)</f>
        <v>1</v>
      </c>
      <c r="BS390" s="38">
        <f>IFERROR(INDEX(LMH_PTS,MATCH(AE390,LMH_KEY,0)),0)</f>
        <v>1</v>
      </c>
      <c r="BT390" s="38">
        <f>IFERROR(INDEX(LMH_STEP,MATCH(AF390,LMH_KEY,0)),0)</f>
        <v>0</v>
      </c>
      <c r="BU390" s="38">
        <f>IFERROR(INDEX(LMH_STEP,MATCH(AG390,LMH_KEY,0)),0)</f>
        <v>0</v>
      </c>
      <c r="BV390" s="38">
        <f>IFERROR(INDEX(LMH_STEP,MATCH(AH390,LMH_KEY,0)),0)</f>
        <v>0</v>
      </c>
      <c r="BW390" s="38">
        <f>IFERROR(INDEX(LMH_STEP,MATCH(AI390,LMH_KEY,0)),0)</f>
        <v>0</v>
      </c>
      <c r="BX390" s="38">
        <f>IFERROR(INDEX(LMH_STEP,MATCH(AJ390,LMH_KEY,0)),0)</f>
        <v>0</v>
      </c>
      <c r="BY390" s="38">
        <f>IFERROR(INDEX(LMH_STEP,MATCH(AK390,LMH_KEY,0)),0)</f>
        <v>0</v>
      </c>
      <c r="BZ390" s="38">
        <f>IFERROR(INDEX(LMH_STEP,MATCH(AL390,LMH_KEY,0)),0)</f>
        <v>0</v>
      </c>
      <c r="CA390" s="38" t="inlineStr">
        <is>
          <t>Consume|Technology|Project Manager|B2|B-M</t>
        </is>
      </c>
    </row>
    <row r="391" ht="110" customHeight="1">
      <c r="A391" s="28" t="inlineStr">
        <is>
          <t>Consume</t>
        </is>
      </c>
      <c r="B391" s="29" t="inlineStr">
        <is>
          <t>Technology</t>
        </is>
      </c>
      <c r="C391" s="29" t="n">
        <v>4</v>
      </c>
      <c r="D391" s="29" t="inlineStr">
        <is>
          <t>IRIS0724</t>
        </is>
      </c>
      <c r="E391" s="29" t="inlineStr">
        <is>
          <t>Nishant Kohakade</t>
        </is>
      </c>
      <c r="F391" s="29" t="inlineStr">
        <is>
          <t>Lead Software Engineer</t>
        </is>
      </c>
      <c r="G391" s="29" t="inlineStr">
        <is>
          <t>Lead Software Engineer</t>
        </is>
      </c>
      <c r="H391" s="29" t="inlineStr">
        <is>
          <t>Engineering &amp; Development</t>
        </is>
      </c>
      <c r="I391" s="29" t="inlineStr">
        <is>
          <t>Application Maintenance &amp; Production Support</t>
        </is>
      </c>
      <c r="J391" s="29" t="inlineStr">
        <is>
          <t>IC</t>
        </is>
      </c>
      <c r="K391" s="29" t="inlineStr">
        <is>
          <t>RC-064</t>
        </is>
      </c>
      <c r="L391" s="29" t="inlineStr">
        <is>
          <t>Zakiruddin Shaikh</t>
        </is>
      </c>
      <c r="M391" s="29" t="inlineStr">
        <is>
          <t>IRIS1952</t>
        </is>
      </c>
      <c r="N391" s="29" t="n">
        <v>19.5</v>
      </c>
      <c r="O391" s="29" t="n">
        <v>16.5</v>
      </c>
      <c r="P391" s="29" t="inlineStr">
        <is>
          <t>B.E</t>
        </is>
      </c>
      <c r="Q391" s="29" t="inlineStr">
        <is>
          <t>L5 – Lead · IC</t>
        </is>
      </c>
      <c r="R391" s="29" t="inlineStr">
        <is>
          <t>B3</t>
        </is>
      </c>
      <c r="S391" s="30" t="inlineStr">
        <is>
          <t>19 of 20</t>
        </is>
      </c>
      <c r="T391" s="31"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t>
        </is>
      </c>
      <c r="U39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1" s="31" t="inlineStr">
        <is>
          <t>Latest rating: 5 · Potential: High · 9-box: Future Leader · Readiness: Ready now</t>
        </is>
      </c>
      <c r="W391" s="31" t="inlineStr">
        <is>
          <t>C H · Au H · Ac H · L M · BI H · Exp H · 19.5 yrs vs 4–7 yrs · Edu M · B.E</t>
        </is>
      </c>
      <c r="X391" s="33" t="inlineStr">
        <is>
          <t>Open ▸</t>
        </is>
      </c>
      <c r="Y391" s="34" t="str">
        <f>IFERROR(INDEX(DL_C,MATCH($CA391,DL_KEY,0)),"M")</f>
        <v>H</v>
      </c>
      <c r="Z391" s="35" t="str">
        <f>IFERROR(INDEX(DL_Au,MATCH($CA391,DL_KEY,0)),"M")</f>
        <v>M</v>
      </c>
      <c r="AA391" s="35" t="str">
        <f>IFERROR(INDEX(DL_Ac,MATCH($CA391,DL_KEY,0)),"M")</f>
        <v>L</v>
      </c>
      <c r="AB391" s="35" t="str">
        <f>IFERROR(INDEX(DL_L,MATCH($CA391,DL_KEY,0)),"M")</f>
        <v>L</v>
      </c>
      <c r="AC391" s="35" t="str">
        <f>IFERROR(INDEX(DL_BI,MATCH($CA391,DL_KEY,0)),"M")</f>
        <v>L</v>
      </c>
      <c r="AD391" s="35" t="str">
        <f>IFERROR(INDEX(DL_Exp,MATCH($CA391,DL_KEY,0)),"M")</f>
        <v>L</v>
      </c>
      <c r="AE391" s="35" t="str">
        <f>IFERROR(INDEX(DL_Edu,MATCH($CA391,DL_KEY,0)),"M")</f>
        <v>L</v>
      </c>
      <c r="AF391" s="34" t="inlineStr">
        <is>
          <t>M</t>
        </is>
      </c>
      <c r="AG391" s="35" t="inlineStr">
        <is>
          <t>M</t>
        </is>
      </c>
      <c r="AH391" s="35" t="inlineStr">
        <is>
          <t>M</t>
        </is>
      </c>
      <c r="AI391" s="35" t="inlineStr">
        <is>
          <t>M</t>
        </is>
      </c>
      <c r="AJ391" s="35" t="inlineStr">
        <is>
          <t>M</t>
        </is>
      </c>
      <c r="AK391" s="35" t="inlineStr">
        <is>
          <t>M</t>
        </is>
      </c>
      <c r="AL391" s="35" t="inlineStr">
        <is>
          <t>M</t>
        </is>
      </c>
      <c r="AM391" s="36" t="n">
        <v>0.513</v>
      </c>
      <c r="AN391" s="37" t="n">
        <v>0.173</v>
      </c>
      <c r="AO391" s="37" t="n">
        <v>0.09699999999999999</v>
      </c>
      <c r="AP391" s="37" t="n">
        <v>0.05</v>
      </c>
      <c r="AQ391" s="37" t="n">
        <v>0.07000000000000001</v>
      </c>
      <c r="AR391" s="37" t="n">
        <v>0.06</v>
      </c>
      <c r="AS391" s="37" t="n">
        <v>0.04</v>
      </c>
      <c r="AT391" s="38" t="inlineStr">
        <is>
          <t>4–8</t>
        </is>
      </c>
      <c r="AU391" s="38" t="inlineStr">
        <is>
          <t>Graduate + relevant qualification or certification preferred</t>
        </is>
      </c>
      <c r="AV391" s="38" t="inlineStr">
        <is>
          <t>IC: none · Team Lead: 3–5</t>
        </is>
      </c>
      <c r="AW391" s="38" t="inlineStr">
        <is>
          <t>P3 / M2 · SFIA 4 Enable</t>
        </is>
      </c>
      <c r="AX3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1" s="39" t="inlineStr">
        <is>
          <t>B1</t>
        </is>
      </c>
      <c r="AZ391" s="40" t="inlineStr">
        <is>
          <t>Band B · Specialist / Manager · Specialist</t>
        </is>
      </c>
      <c r="BA391" s="40" t="inlineStr">
        <is>
          <t>Model B3 from the six ratings, the market-derived weights and rules R1–R13 · then Level rule: manager B2; a reportee sits at least one level below · B3 → B1 · move down · pay and title protected for one cycle</t>
        </is>
      </c>
      <c r="BB391" s="41" t="inlineStr">
        <is>
          <t>B3</t>
        </is>
      </c>
      <c r="BC391" s="40" t="inlineStr">
        <is>
          <t>The six ratings on the market-average weights of Band B · Specialist / POD Lead score 5.88 → B3 · Hay, Mercer IPE and public plans · experience 19.5 yrs vs the B3 market range 8–13</t>
        </is>
      </c>
      <c r="BD391" s="42">
        <f>IF(SUM(BM391,BN391,BO391,BP391,BQ391,BR391,BS391)=0,0,(BM391*BT391+BN391*BU391+BO391*BV391+BP391*BW391+BQ391*BX391+BR391*BY391+BS391*BZ391)/SUM(BM391,BN391,BO391,BP391,BQ391,BR391,BS391))</f>
        <v>0</v>
      </c>
      <c r="BE391" s="41" t="str">
        <f>IF(LEFT(AY391,1)="X",AY391,IF(OR(AY391="B+",AY391="C+"),INDEX(LAD_PC,MAX(1,MIN(14,MATCH(AY391,LAD_PC,0)+IF(BD391&gt;=0.5,1,IF(BD391&lt;=-0.5,-1,0))))),INDEX(LAD_STD,MAX(1,MIN(12,MATCH(AY391,LAD_STD,0)+IF(BD391&gt;=0.5,1,IF(BD391&lt;=-0.5,-1,0)))))))</f>
        <v>B1</v>
      </c>
      <c r="BF391" s="43" t="n"/>
      <c r="BG391" s="41" t="str">
        <f>IF(BF391&lt;&gt;"",BF391,BE391)</f>
        <v>B1</v>
      </c>
      <c r="BH391" s="40" t="str">
        <f>IFERROR(CHOOSE(INDEX(B_RANK,MATCH(BG391,B_LVL,0)),"Band A","Band B","B+ · Player-Coach","Band C","C+ · Player-Coach","Band D","Band E"),"Band X · Consultant")</f>
        <v>Band B</v>
      </c>
      <c r="BI391" s="40" t="str">
        <f>IF(BG391=AY391,"• Same",IF(INDEX(B_VAL,MATCH(BG391,B_LVL,0))&gt;INDEX(B_VAL,MATCH(AY391,B_LVL,0)),"▲ Up","▼ Down"))</f>
        <v>• Same</v>
      </c>
      <c r="BJ391" s="40" t="str">
        <f>IF(OR($M391="",$M391="—",$M391="Not in this file"),"",IFERROR(INDEX($BG$7:$BG$592,MATCH($M391,$D$7:$D$592,0)),""))</f>
        <v>B2</v>
      </c>
      <c r="BK391" s="40" t="str">
        <f>IFERROR(IF(BJ391="","—",IF(OR(LEFT(BG391,1)="X",LEFT(BJ391,1)="X"),"—",IF(AND(LEFT(BG391,1)="E",LEFT(BJ391,1)="E"),"Exception · Band E",IF(AND(INDEX(B_VAL,MATCH(BJ391,B_LVL,0))&gt;=7,INDEX(B_RANK,MATCH(BG391,B_LVL,0))&gt;=INDEX(B_RANK,MATCH(BJ391,B_LVL,0))),"⚠ Same band as a head manager",IF(INDEX(B_VAL,MATCH(BG391,B_LVL,0))&gt;=INDEX(B_VAL,MATCH(BJ391,B_LVL,0)),"⚠ At or above the manager's level","OK"))))),"—")</f>
        <v>OK</v>
      </c>
      <c r="BL391" s="43" t="n"/>
      <c r="BM391" s="44">
        <f>IFERROR(INDEX(LMH_PTS,MATCH(Y391,LMH_KEY,0)),0)</f>
        <v>9</v>
      </c>
      <c r="BN391" s="38">
        <f>IFERROR(INDEX(LMH_PTS,MATCH(Z391,LMH_KEY,0)),0)</f>
        <v>3</v>
      </c>
      <c r="BO391" s="38">
        <f>IFERROR(INDEX(LMH_PTS,MATCH(AA391,LMH_KEY,0)),0)</f>
        <v>1</v>
      </c>
      <c r="BP391" s="38">
        <f>IFERROR(INDEX(LMH_PTS,MATCH(AB391,LMH_KEY,0)),0)</f>
        <v>1</v>
      </c>
      <c r="BQ391" s="38">
        <f>IFERROR(INDEX(LMH_PTS,MATCH(AC391,LMH_KEY,0)),0)</f>
        <v>1</v>
      </c>
      <c r="BR391" s="38">
        <f>IFERROR(INDEX(LMH_PTS,MATCH(AD391,LMH_KEY,0)),0)</f>
        <v>1</v>
      </c>
      <c r="BS391" s="38">
        <f>IFERROR(INDEX(LMH_PTS,MATCH(AE391,LMH_KEY,0)),0)</f>
        <v>1</v>
      </c>
      <c r="BT391" s="38">
        <f>IFERROR(INDEX(LMH_STEP,MATCH(AF391,LMH_KEY,0)),0)</f>
        <v>0</v>
      </c>
      <c r="BU391" s="38">
        <f>IFERROR(INDEX(LMH_STEP,MATCH(AG391,LMH_KEY,0)),0)</f>
        <v>0</v>
      </c>
      <c r="BV391" s="38">
        <f>IFERROR(INDEX(LMH_STEP,MATCH(AH391,LMH_KEY,0)),0)</f>
        <v>0</v>
      </c>
      <c r="BW391" s="38">
        <f>IFERROR(INDEX(LMH_STEP,MATCH(AI391,LMH_KEY,0)),0)</f>
        <v>0</v>
      </c>
      <c r="BX391" s="38">
        <f>IFERROR(INDEX(LMH_STEP,MATCH(AJ391,LMH_KEY,0)),0)</f>
        <v>0</v>
      </c>
      <c r="BY391" s="38">
        <f>IFERROR(INDEX(LMH_STEP,MATCH(AK391,LMH_KEY,0)),0)</f>
        <v>0</v>
      </c>
      <c r="BZ391" s="38">
        <f>IFERROR(INDEX(LMH_STEP,MATCH(AL391,LMH_KEY,0)),0)</f>
        <v>0</v>
      </c>
      <c r="CA391" s="38" t="inlineStr">
        <is>
          <t>Consume|Technology|Lead Software Engineer|B1|B-IC</t>
        </is>
      </c>
    </row>
    <row r="392" ht="110" customHeight="1">
      <c r="A392" s="28" t="inlineStr">
        <is>
          <t>Consume</t>
        </is>
      </c>
      <c r="B392" s="29" t="inlineStr">
        <is>
          <t>Technology</t>
        </is>
      </c>
      <c r="C392" s="29" t="n">
        <v>4</v>
      </c>
      <c r="D392" s="29" t="inlineStr">
        <is>
          <t>IRIS0538</t>
        </is>
      </c>
      <c r="E392" s="29" t="inlineStr">
        <is>
          <t>Waqar Tarique</t>
        </is>
      </c>
      <c r="F392" s="29" t="inlineStr">
        <is>
          <t>Senior Software Engineer</t>
        </is>
      </c>
      <c r="G392" s="29" t="inlineStr">
        <is>
          <t>Technical Specialist</t>
        </is>
      </c>
      <c r="H392" s="29" t="inlineStr">
        <is>
          <t>Engineering &amp; Development</t>
        </is>
      </c>
      <c r="I392" s="29" t="inlineStr">
        <is>
          <t>Application Maintenance &amp; Production Support</t>
        </is>
      </c>
      <c r="J392" s="29" t="inlineStr">
        <is>
          <t>IC</t>
        </is>
      </c>
      <c r="K392" s="29" t="inlineStr">
        <is>
          <t>RC-063</t>
        </is>
      </c>
      <c r="L392" s="29" t="inlineStr">
        <is>
          <t>Zakiruddin Shaikh</t>
        </is>
      </c>
      <c r="M392" s="29" t="inlineStr">
        <is>
          <t>IRIS1952</t>
        </is>
      </c>
      <c r="N392" s="29" t="n">
        <v>16.4</v>
      </c>
      <c r="O392" s="29" t="n">
        <v>15.6</v>
      </c>
      <c r="P392" s="29" t="inlineStr">
        <is>
          <t>MSc</t>
        </is>
      </c>
      <c r="Q392" s="29" t="inlineStr">
        <is>
          <t>L4 – Senior</t>
        </is>
      </c>
      <c r="R392" s="29" t="inlineStr">
        <is>
          <t>B1</t>
        </is>
      </c>
      <c r="S392" s="30" t="inlineStr">
        <is>
          <t>18 of 20</t>
        </is>
      </c>
      <c r="T392" s="31"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t>
        </is>
      </c>
      <c r="U392"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2" s="31" t="inlineStr">
        <is>
          <t>Latest rating: 4 · Potential: High · 9-box: Core Contributor · Readiness: Ready now</t>
        </is>
      </c>
      <c r="W392" s="31" t="inlineStr">
        <is>
          <t>C L · Au L · Ac L · L L · BI M · Exp H · 16.4 yrs vs 4–7 yrs · Edu H · MSc</t>
        </is>
      </c>
      <c r="X392" s="33" t="inlineStr">
        <is>
          <t>Open ▸</t>
        </is>
      </c>
      <c r="Y392" s="34" t="str">
        <f>IFERROR(INDEX(DL_C,MATCH($CA392,DL_KEY,0)),"M")</f>
        <v>H</v>
      </c>
      <c r="Z392" s="35" t="str">
        <f>IFERROR(INDEX(DL_Au,MATCH($CA392,DL_KEY,0)),"M")</f>
        <v>M</v>
      </c>
      <c r="AA392" s="35" t="str">
        <f>IFERROR(INDEX(DL_Ac,MATCH($CA392,DL_KEY,0)),"M")</f>
        <v>L</v>
      </c>
      <c r="AB392" s="35" t="str">
        <f>IFERROR(INDEX(DL_L,MATCH($CA392,DL_KEY,0)),"M")</f>
        <v>L</v>
      </c>
      <c r="AC392" s="35" t="str">
        <f>IFERROR(INDEX(DL_BI,MATCH($CA392,DL_KEY,0)),"M")</f>
        <v>L</v>
      </c>
      <c r="AD392" s="35" t="str">
        <f>IFERROR(INDEX(DL_Exp,MATCH($CA392,DL_KEY,0)),"M")</f>
        <v>L</v>
      </c>
      <c r="AE392" s="35" t="str">
        <f>IFERROR(INDEX(DL_Edu,MATCH($CA392,DL_KEY,0)),"M")</f>
        <v>L</v>
      </c>
      <c r="AF392" s="34" t="inlineStr">
        <is>
          <t>M</t>
        </is>
      </c>
      <c r="AG392" s="35" t="inlineStr">
        <is>
          <t>M</t>
        </is>
      </c>
      <c r="AH392" s="35" t="inlineStr">
        <is>
          <t>M</t>
        </is>
      </c>
      <c r="AI392" s="35" t="inlineStr">
        <is>
          <t>M</t>
        </is>
      </c>
      <c r="AJ392" s="35" t="inlineStr">
        <is>
          <t>M</t>
        </is>
      </c>
      <c r="AK392" s="35" t="inlineStr">
        <is>
          <t>M</t>
        </is>
      </c>
      <c r="AL392" s="35" t="inlineStr">
        <is>
          <t>M</t>
        </is>
      </c>
      <c r="AM392" s="36" t="n">
        <v>0.513</v>
      </c>
      <c r="AN392" s="37" t="n">
        <v>0.173</v>
      </c>
      <c r="AO392" s="37" t="n">
        <v>0.09699999999999999</v>
      </c>
      <c r="AP392" s="37" t="n">
        <v>0.05</v>
      </c>
      <c r="AQ392" s="37" t="n">
        <v>0.07000000000000001</v>
      </c>
      <c r="AR392" s="37" t="n">
        <v>0.06</v>
      </c>
      <c r="AS392" s="37" t="n">
        <v>0.04</v>
      </c>
      <c r="AT392" s="38" t="inlineStr">
        <is>
          <t>4–8</t>
        </is>
      </c>
      <c r="AU392" s="38" t="inlineStr">
        <is>
          <t>Graduate + relevant qualification or certification preferred</t>
        </is>
      </c>
      <c r="AV392" s="38" t="inlineStr">
        <is>
          <t>IC: none · Team Lead: 3–5</t>
        </is>
      </c>
      <c r="AW392" s="38" t="inlineStr">
        <is>
          <t>P3 / M2 · SFIA 4 Enable</t>
        </is>
      </c>
      <c r="AX3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2" s="39" t="inlineStr">
        <is>
          <t>B1</t>
        </is>
      </c>
      <c r="AZ392" s="40" t="inlineStr">
        <is>
          <t>Band B · Specialist / Manager · Specialist</t>
        </is>
      </c>
      <c r="BA392" s="40" t="inlineStr">
        <is>
          <t>Model B1 from the six ratings, the market-derived weights and rules R1–R13 · then No change · already below the manager</t>
        </is>
      </c>
      <c r="BB392" s="41" t="inlineStr">
        <is>
          <t>B1</t>
        </is>
      </c>
      <c r="BC392" s="40" t="inlineStr">
        <is>
          <t>The six ratings on the market-average weights of Band B · Specialist / POD Lead score 3.52 → B1 · Hay, Mercer IPE and public plans · experience 16.4 yrs vs the B1 market range 4–8</t>
        </is>
      </c>
      <c r="BD392" s="42">
        <f>IF(SUM(BM392,BN392,BO392,BP392,BQ392,BR392,BS392)=0,0,(BM392*BT392+BN392*BU392+BO392*BV392+BP392*BW392+BQ392*BX392+BR392*BY392+BS392*BZ392)/SUM(BM392,BN392,BO392,BP392,BQ392,BR392,BS392))</f>
        <v>0</v>
      </c>
      <c r="BE392" s="41" t="str">
        <f>IF(LEFT(AY392,1)="X",AY392,IF(OR(AY392="B+",AY392="C+"),INDEX(LAD_PC,MAX(1,MIN(14,MATCH(AY392,LAD_PC,0)+IF(BD392&gt;=0.5,1,IF(BD392&lt;=-0.5,-1,0))))),INDEX(LAD_STD,MAX(1,MIN(12,MATCH(AY392,LAD_STD,0)+IF(BD392&gt;=0.5,1,IF(BD392&lt;=-0.5,-1,0)))))))</f>
        <v>B1</v>
      </c>
      <c r="BF392" s="43" t="n"/>
      <c r="BG392" s="41" t="str">
        <f>IF(BF392&lt;&gt;"",BF392,BE392)</f>
        <v>B1</v>
      </c>
      <c r="BH392" s="40" t="str">
        <f>IFERROR(CHOOSE(INDEX(B_RANK,MATCH(BG392,B_LVL,0)),"Band A","Band B","B+ · Player-Coach","Band C","C+ · Player-Coach","Band D","Band E"),"Band X · Consultant")</f>
        <v>Band B</v>
      </c>
      <c r="BI392" s="40" t="str">
        <f>IF(BG392=AY392,"• Same",IF(INDEX(B_VAL,MATCH(BG392,B_LVL,0))&gt;INDEX(B_VAL,MATCH(AY392,B_LVL,0)),"▲ Up","▼ Down"))</f>
        <v>• Same</v>
      </c>
      <c r="BJ392" s="40" t="str">
        <f>IF(OR($M392="",$M392="—",$M392="Not in this file"),"",IFERROR(INDEX($BG$7:$BG$592,MATCH($M392,$D$7:$D$592,0)),""))</f>
        <v>B2</v>
      </c>
      <c r="BK392" s="40" t="str">
        <f>IFERROR(IF(BJ392="","—",IF(OR(LEFT(BG392,1)="X",LEFT(BJ392,1)="X"),"—",IF(AND(LEFT(BG392,1)="E",LEFT(BJ392,1)="E"),"Exception · Band E",IF(AND(INDEX(B_VAL,MATCH(BJ392,B_LVL,0))&gt;=7,INDEX(B_RANK,MATCH(BG392,B_LVL,0))&gt;=INDEX(B_RANK,MATCH(BJ392,B_LVL,0))),"⚠ Same band as a head manager",IF(INDEX(B_VAL,MATCH(BG392,B_LVL,0))&gt;=INDEX(B_VAL,MATCH(BJ392,B_LVL,0)),"⚠ At or above the manager's level","OK"))))),"—")</f>
        <v>OK</v>
      </c>
      <c r="BL392" s="43" t="n"/>
      <c r="BM392" s="44">
        <f>IFERROR(INDEX(LMH_PTS,MATCH(Y392,LMH_KEY,0)),0)</f>
        <v>9</v>
      </c>
      <c r="BN392" s="38">
        <f>IFERROR(INDEX(LMH_PTS,MATCH(Z392,LMH_KEY,0)),0)</f>
        <v>3</v>
      </c>
      <c r="BO392" s="38">
        <f>IFERROR(INDEX(LMH_PTS,MATCH(AA392,LMH_KEY,0)),0)</f>
        <v>1</v>
      </c>
      <c r="BP392" s="38">
        <f>IFERROR(INDEX(LMH_PTS,MATCH(AB392,LMH_KEY,0)),0)</f>
        <v>1</v>
      </c>
      <c r="BQ392" s="38">
        <f>IFERROR(INDEX(LMH_PTS,MATCH(AC392,LMH_KEY,0)),0)</f>
        <v>1</v>
      </c>
      <c r="BR392" s="38">
        <f>IFERROR(INDEX(LMH_PTS,MATCH(AD392,LMH_KEY,0)),0)</f>
        <v>1</v>
      </c>
      <c r="BS392" s="38">
        <f>IFERROR(INDEX(LMH_PTS,MATCH(AE392,LMH_KEY,0)),0)</f>
        <v>1</v>
      </c>
      <c r="BT392" s="38">
        <f>IFERROR(INDEX(LMH_STEP,MATCH(AF392,LMH_KEY,0)),0)</f>
        <v>0</v>
      </c>
      <c r="BU392" s="38">
        <f>IFERROR(INDEX(LMH_STEP,MATCH(AG392,LMH_KEY,0)),0)</f>
        <v>0</v>
      </c>
      <c r="BV392" s="38">
        <f>IFERROR(INDEX(LMH_STEP,MATCH(AH392,LMH_KEY,0)),0)</f>
        <v>0</v>
      </c>
      <c r="BW392" s="38">
        <f>IFERROR(INDEX(LMH_STEP,MATCH(AI392,LMH_KEY,0)),0)</f>
        <v>0</v>
      </c>
      <c r="BX392" s="38">
        <f>IFERROR(INDEX(LMH_STEP,MATCH(AJ392,LMH_KEY,0)),0)</f>
        <v>0</v>
      </c>
      <c r="BY392" s="38">
        <f>IFERROR(INDEX(LMH_STEP,MATCH(AK392,LMH_KEY,0)),0)</f>
        <v>0</v>
      </c>
      <c r="BZ392" s="38">
        <f>IFERROR(INDEX(LMH_STEP,MATCH(AL392,LMH_KEY,0)),0)</f>
        <v>0</v>
      </c>
      <c r="CA392" s="38" t="inlineStr">
        <is>
          <t>Consume|Technology|Technical Specialist|B1|B-IC</t>
        </is>
      </c>
    </row>
    <row r="393" ht="110" customHeight="1">
      <c r="A393" s="28" t="inlineStr">
        <is>
          <t>Consume</t>
        </is>
      </c>
      <c r="B393" s="29" t="inlineStr">
        <is>
          <t>Technology</t>
        </is>
      </c>
      <c r="C393" s="29" t="n">
        <v>4</v>
      </c>
      <c r="D393" s="29" t="inlineStr">
        <is>
          <t>IRIS2485</t>
        </is>
      </c>
      <c r="E393" s="29" t="inlineStr">
        <is>
          <t>Safal Gupta</t>
        </is>
      </c>
      <c r="F393" s="29" t="inlineStr">
        <is>
          <t>Senior Software Engineer</t>
        </is>
      </c>
      <c r="G393" s="29" t="inlineStr">
        <is>
          <t>Senior Software Engineer</t>
        </is>
      </c>
      <c r="H393" s="29" t="inlineStr">
        <is>
          <t>Engineering &amp; Development</t>
        </is>
      </c>
      <c r="I393" s="29" t="inlineStr">
        <is>
          <t>Application Maintenance &amp; Production Support</t>
        </is>
      </c>
      <c r="J393" s="29" t="inlineStr">
        <is>
          <t>IC</t>
        </is>
      </c>
      <c r="K393" s="29" t="inlineStr">
        <is>
          <t>RC-062</t>
        </is>
      </c>
      <c r="L393" s="29" t="inlineStr">
        <is>
          <t>Zakiruddin Shaikh</t>
        </is>
      </c>
      <c r="M393" s="29" t="inlineStr">
        <is>
          <t>IRIS1952</t>
        </is>
      </c>
      <c r="N393" s="29" t="n">
        <v>5.8</v>
      </c>
      <c r="O393" s="29" t="n">
        <v>0.6</v>
      </c>
      <c r="P393" s="29" t="inlineStr">
        <is>
          <t>B.E</t>
        </is>
      </c>
      <c r="Q393" s="29" t="inlineStr">
        <is>
          <t>L4 – Senior</t>
        </is>
      </c>
      <c r="R393" s="29" t="inlineStr">
        <is>
          <t>A3</t>
        </is>
      </c>
      <c r="S393" s="30" t="inlineStr">
        <is>
          <t>20 of 20</t>
        </is>
      </c>
      <c r="T393" s="31"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t>
        </is>
      </c>
      <c r="U39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3" s="31" t="inlineStr">
        <is>
          <t>Latest rating: 4 · 9-box: Emerging Talent · Readiness: Ready now</t>
        </is>
      </c>
      <c r="W393" s="31" t="inlineStr">
        <is>
          <t>C M · Au M · Ac M · L L · BI M · Exp H · 5.8 yrs vs 2–4 yrs · Edu M · B.E</t>
        </is>
      </c>
      <c r="X393" s="33" t="inlineStr">
        <is>
          <t>Open ▸</t>
        </is>
      </c>
      <c r="Y393" s="34" t="str">
        <f>IFERROR(INDEX(DL_C,MATCH($CA393,DL_KEY,0)),"M")</f>
        <v>H</v>
      </c>
      <c r="Z393" s="35" t="str">
        <f>IFERROR(INDEX(DL_Au,MATCH($CA393,DL_KEY,0)),"M")</f>
        <v>M</v>
      </c>
      <c r="AA393" s="35" t="str">
        <f>IFERROR(INDEX(DL_Ac,MATCH($CA393,DL_KEY,0)),"M")</f>
        <v>L</v>
      </c>
      <c r="AB393" s="35" t="str">
        <f>IFERROR(INDEX(DL_L,MATCH($CA393,DL_KEY,0)),"M")</f>
        <v>L</v>
      </c>
      <c r="AC393" s="35" t="str">
        <f>IFERROR(INDEX(DL_BI,MATCH($CA393,DL_KEY,0)),"M")</f>
        <v>L</v>
      </c>
      <c r="AD393" s="35" t="str">
        <f>IFERROR(INDEX(DL_Exp,MATCH($CA393,DL_KEY,0)),"M")</f>
        <v>L</v>
      </c>
      <c r="AE393" s="35" t="str">
        <f>IFERROR(INDEX(DL_Edu,MATCH($CA393,DL_KEY,0)),"M")</f>
        <v>L</v>
      </c>
      <c r="AF393" s="34" t="inlineStr">
        <is>
          <t>M</t>
        </is>
      </c>
      <c r="AG393" s="35" t="inlineStr">
        <is>
          <t>M</t>
        </is>
      </c>
      <c r="AH393" s="35" t="inlineStr">
        <is>
          <t>M</t>
        </is>
      </c>
      <c r="AI393" s="35" t="inlineStr">
        <is>
          <t>M</t>
        </is>
      </c>
      <c r="AJ393" s="35" t="inlineStr">
        <is>
          <t>M</t>
        </is>
      </c>
      <c r="AK393" s="35" t="inlineStr">
        <is>
          <t>M</t>
        </is>
      </c>
      <c r="AL393" s="35" t="inlineStr">
        <is>
          <t>M</t>
        </is>
      </c>
      <c r="AM393" s="36" t="n">
        <v>0.583</v>
      </c>
      <c r="AN393" s="37" t="n">
        <v>0.16</v>
      </c>
      <c r="AO393" s="37" t="n">
        <v>0.09</v>
      </c>
      <c r="AP393" s="37" t="n">
        <v>0</v>
      </c>
      <c r="AQ393" s="37" t="n">
        <v>0.063</v>
      </c>
      <c r="AR393" s="37" t="n">
        <v>0.06</v>
      </c>
      <c r="AS393" s="37" t="n">
        <v>0.04</v>
      </c>
      <c r="AT393" s="38" t="inlineStr">
        <is>
          <t>2–5</t>
        </is>
      </c>
      <c r="AU393" s="38" t="inlineStr">
        <is>
          <t>Graduate; relevant certification preferred</t>
        </is>
      </c>
      <c r="AV393" s="38" t="inlineStr">
        <is>
          <t>None · guides 1–3 juniors informally</t>
        </is>
      </c>
      <c r="AW393" s="38" t="inlineStr">
        <is>
          <t>P2 · SFIA 3 Apply</t>
        </is>
      </c>
      <c r="AX3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3" s="39" t="inlineStr">
        <is>
          <t>A3</t>
        </is>
      </c>
      <c r="AZ393" s="40" t="inlineStr">
        <is>
          <t>Band A · Practitioner · Senior Associate</t>
        </is>
      </c>
      <c r="BA393" s="40" t="inlineStr">
        <is>
          <t>Model A3 from the six ratings, the market-derived weights and rules R1–R13 · then No change · already below the manager</t>
        </is>
      </c>
      <c r="BB393" s="41" t="inlineStr">
        <is>
          <t>A3</t>
        </is>
      </c>
      <c r="BC393" s="40" t="inlineStr">
        <is>
          <t>The six ratings on the market-average weights of Band A · all tracks score 3.13 → A3 · Hay, Mercer IPE and public plans · experience 5.8 yrs vs the A3 market range 2–5</t>
        </is>
      </c>
      <c r="BD393" s="42">
        <f>IF(SUM(BM393,BN393,BO393,BP393,BQ393,BR393,BS393)=0,0,(BM393*BT393+BN393*BU393+BO393*BV393+BP393*BW393+BQ393*BX393+BR393*BY393+BS393*BZ393)/SUM(BM393,BN393,BO393,BP393,BQ393,BR393,BS393))</f>
        <v>0</v>
      </c>
      <c r="BE393" s="41" t="str">
        <f>IF(LEFT(AY393,1)="X",AY393,IF(OR(AY393="B+",AY393="C+"),INDEX(LAD_PC,MAX(1,MIN(14,MATCH(AY393,LAD_PC,0)+IF(BD393&gt;=0.5,1,IF(BD393&lt;=-0.5,-1,0))))),INDEX(LAD_STD,MAX(1,MIN(12,MATCH(AY393,LAD_STD,0)+IF(BD393&gt;=0.5,1,IF(BD393&lt;=-0.5,-1,0)))))))</f>
        <v>A3</v>
      </c>
      <c r="BF393" s="43" t="n"/>
      <c r="BG393" s="41" t="str">
        <f>IF(BF393&lt;&gt;"",BF393,BE393)</f>
        <v>A3</v>
      </c>
      <c r="BH393" s="40" t="str">
        <f>IFERROR(CHOOSE(INDEX(B_RANK,MATCH(BG393,B_LVL,0)),"Band A","Band B","B+ · Player-Coach","Band C","C+ · Player-Coach","Band D","Band E"),"Band X · Consultant")</f>
        <v>Band A</v>
      </c>
      <c r="BI393" s="40" t="str">
        <f>IF(BG393=AY393,"• Same",IF(INDEX(B_VAL,MATCH(BG393,B_LVL,0))&gt;INDEX(B_VAL,MATCH(AY393,B_LVL,0)),"▲ Up","▼ Down"))</f>
        <v>• Same</v>
      </c>
      <c r="BJ393" s="40" t="str">
        <f>IF(OR($M393="",$M393="—",$M393="Not in this file"),"",IFERROR(INDEX($BG$7:$BG$592,MATCH($M393,$D$7:$D$592,0)),""))</f>
        <v>B2</v>
      </c>
      <c r="BK393" s="40" t="str">
        <f>IFERROR(IF(BJ393="","—",IF(OR(LEFT(BG393,1)="X",LEFT(BJ393,1)="X"),"—",IF(AND(LEFT(BG393,1)="E",LEFT(BJ393,1)="E"),"Exception · Band E",IF(AND(INDEX(B_VAL,MATCH(BJ393,B_LVL,0))&gt;=7,INDEX(B_RANK,MATCH(BG393,B_LVL,0))&gt;=INDEX(B_RANK,MATCH(BJ393,B_LVL,0))),"⚠ Same band as a head manager",IF(INDEX(B_VAL,MATCH(BG393,B_LVL,0))&gt;=INDEX(B_VAL,MATCH(BJ393,B_LVL,0)),"⚠ At or above the manager's level","OK"))))),"—")</f>
        <v>OK</v>
      </c>
      <c r="BL393" s="43" t="n"/>
      <c r="BM393" s="44">
        <f>IFERROR(INDEX(LMH_PTS,MATCH(Y393,LMH_KEY,0)),0)</f>
        <v>9</v>
      </c>
      <c r="BN393" s="38">
        <f>IFERROR(INDEX(LMH_PTS,MATCH(Z393,LMH_KEY,0)),0)</f>
        <v>3</v>
      </c>
      <c r="BO393" s="38">
        <f>IFERROR(INDEX(LMH_PTS,MATCH(AA393,LMH_KEY,0)),0)</f>
        <v>1</v>
      </c>
      <c r="BP393" s="38">
        <f>IFERROR(INDEX(LMH_PTS,MATCH(AB393,LMH_KEY,0)),0)</f>
        <v>1</v>
      </c>
      <c r="BQ393" s="38">
        <f>IFERROR(INDEX(LMH_PTS,MATCH(AC393,LMH_KEY,0)),0)</f>
        <v>1</v>
      </c>
      <c r="BR393" s="38">
        <f>IFERROR(INDEX(LMH_PTS,MATCH(AD393,LMH_KEY,0)),0)</f>
        <v>1</v>
      </c>
      <c r="BS393" s="38">
        <f>IFERROR(INDEX(LMH_PTS,MATCH(AE393,LMH_KEY,0)),0)</f>
        <v>1</v>
      </c>
      <c r="BT393" s="38">
        <f>IFERROR(INDEX(LMH_STEP,MATCH(AF393,LMH_KEY,0)),0)</f>
        <v>0</v>
      </c>
      <c r="BU393" s="38">
        <f>IFERROR(INDEX(LMH_STEP,MATCH(AG393,LMH_KEY,0)),0)</f>
        <v>0</v>
      </c>
      <c r="BV393" s="38">
        <f>IFERROR(INDEX(LMH_STEP,MATCH(AH393,LMH_KEY,0)),0)</f>
        <v>0</v>
      </c>
      <c r="BW393" s="38">
        <f>IFERROR(INDEX(LMH_STEP,MATCH(AI393,LMH_KEY,0)),0)</f>
        <v>0</v>
      </c>
      <c r="BX393" s="38">
        <f>IFERROR(INDEX(LMH_STEP,MATCH(AJ393,LMH_KEY,0)),0)</f>
        <v>0</v>
      </c>
      <c r="BY393" s="38">
        <f>IFERROR(INDEX(LMH_STEP,MATCH(AK393,LMH_KEY,0)),0)</f>
        <v>0</v>
      </c>
      <c r="BZ393" s="38">
        <f>IFERROR(INDEX(LMH_STEP,MATCH(AL393,LMH_KEY,0)),0)</f>
        <v>0</v>
      </c>
      <c r="CA393" s="38" t="inlineStr">
        <is>
          <t>Consume|Technology|Senior Software Engineer|A3|A</t>
        </is>
      </c>
    </row>
    <row r="394" ht="110" customHeight="1">
      <c r="A394" s="28" t="inlineStr">
        <is>
          <t>Consume</t>
        </is>
      </c>
      <c r="B394" s="29" t="inlineStr">
        <is>
          <t>Technology</t>
        </is>
      </c>
      <c r="C394" s="29" t="n">
        <v>4</v>
      </c>
      <c r="D394" s="29" t="inlineStr">
        <is>
          <t>IRIS1901</t>
        </is>
      </c>
      <c r="E394" s="29" t="inlineStr">
        <is>
          <t>Sharad Mane</t>
        </is>
      </c>
      <c r="F394" s="29" t="inlineStr">
        <is>
          <t>Senior Software Engineer</t>
        </is>
      </c>
      <c r="G394" s="29" t="inlineStr">
        <is>
          <t>Technical Specialist</t>
        </is>
      </c>
      <c r="H394" s="29" t="inlineStr">
        <is>
          <t>Engineering &amp; Development</t>
        </is>
      </c>
      <c r="I394" s="29" t="inlineStr">
        <is>
          <t>Application Maintenance &amp; Production Support</t>
        </is>
      </c>
      <c r="J394" s="29" t="inlineStr">
        <is>
          <t>IC</t>
        </is>
      </c>
      <c r="K394" s="29" t="inlineStr">
        <is>
          <t>RC-062</t>
        </is>
      </c>
      <c r="L394" s="29" t="inlineStr">
        <is>
          <t>Zakiruddin Shaikh</t>
        </is>
      </c>
      <c r="M394" s="29" t="inlineStr">
        <is>
          <t>IRIS1952</t>
        </is>
      </c>
      <c r="N394" s="29" t="n">
        <v>11.4</v>
      </c>
      <c r="O394" s="29" t="n">
        <v>5.6</v>
      </c>
      <c r="P394" s="29" t="inlineStr">
        <is>
          <t>B.E</t>
        </is>
      </c>
      <c r="Q394" s="29" t="inlineStr">
        <is>
          <t>L4 – Senior</t>
        </is>
      </c>
      <c r="R394" s="29" t="inlineStr">
        <is>
          <t>A3</t>
        </is>
      </c>
      <c r="S394" s="30" t="inlineStr">
        <is>
          <t>20 of 20</t>
        </is>
      </c>
      <c r="T394" s="31"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t>
        </is>
      </c>
      <c r="U394"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4" s="31" t="inlineStr">
        <is>
          <t>Latest rating: 4 · Potential: High · 9-box: Core Contributor · Readiness: Ready now</t>
        </is>
      </c>
      <c r="W394" s="31" t="inlineStr">
        <is>
          <t>C M · Au M · Ac M · L L · BI M · Exp H · 11.4 yrs vs 2–4 yrs · Edu M · B.E</t>
        </is>
      </c>
      <c r="X394" s="33" t="inlineStr">
        <is>
          <t>Open ▸</t>
        </is>
      </c>
      <c r="Y394" s="34" t="str">
        <f>IFERROR(INDEX(DL_C,MATCH($CA394,DL_KEY,0)),"M")</f>
        <v>H</v>
      </c>
      <c r="Z394" s="35" t="str">
        <f>IFERROR(INDEX(DL_Au,MATCH($CA394,DL_KEY,0)),"M")</f>
        <v>M</v>
      </c>
      <c r="AA394" s="35" t="str">
        <f>IFERROR(INDEX(DL_Ac,MATCH($CA394,DL_KEY,0)),"M")</f>
        <v>L</v>
      </c>
      <c r="AB394" s="35" t="str">
        <f>IFERROR(INDEX(DL_L,MATCH($CA394,DL_KEY,0)),"M")</f>
        <v>L</v>
      </c>
      <c r="AC394" s="35" t="str">
        <f>IFERROR(INDEX(DL_BI,MATCH($CA394,DL_KEY,0)),"M")</f>
        <v>L</v>
      </c>
      <c r="AD394" s="35" t="str">
        <f>IFERROR(INDEX(DL_Exp,MATCH($CA394,DL_KEY,0)),"M")</f>
        <v>L</v>
      </c>
      <c r="AE394" s="35" t="str">
        <f>IFERROR(INDEX(DL_Edu,MATCH($CA394,DL_KEY,0)),"M")</f>
        <v>L</v>
      </c>
      <c r="AF394" s="34" t="inlineStr">
        <is>
          <t>M</t>
        </is>
      </c>
      <c r="AG394" s="35" t="inlineStr">
        <is>
          <t>M</t>
        </is>
      </c>
      <c r="AH394" s="35" t="inlineStr">
        <is>
          <t>M</t>
        </is>
      </c>
      <c r="AI394" s="35" t="inlineStr">
        <is>
          <t>M</t>
        </is>
      </c>
      <c r="AJ394" s="35" t="inlineStr">
        <is>
          <t>M</t>
        </is>
      </c>
      <c r="AK394" s="35" t="inlineStr">
        <is>
          <t>M</t>
        </is>
      </c>
      <c r="AL394" s="35" t="inlineStr">
        <is>
          <t>M</t>
        </is>
      </c>
      <c r="AM394" s="36" t="n">
        <v>0.583</v>
      </c>
      <c r="AN394" s="37" t="n">
        <v>0.16</v>
      </c>
      <c r="AO394" s="37" t="n">
        <v>0.09</v>
      </c>
      <c r="AP394" s="37" t="n">
        <v>0</v>
      </c>
      <c r="AQ394" s="37" t="n">
        <v>0.063</v>
      </c>
      <c r="AR394" s="37" t="n">
        <v>0.06</v>
      </c>
      <c r="AS394" s="37" t="n">
        <v>0.04</v>
      </c>
      <c r="AT394" s="38" t="inlineStr">
        <is>
          <t>2–5</t>
        </is>
      </c>
      <c r="AU394" s="38" t="inlineStr">
        <is>
          <t>Graduate; relevant certification preferred</t>
        </is>
      </c>
      <c r="AV394" s="38" t="inlineStr">
        <is>
          <t>None · guides 1–3 juniors informally</t>
        </is>
      </c>
      <c r="AW394" s="38" t="inlineStr">
        <is>
          <t>P2 · SFIA 3 Apply</t>
        </is>
      </c>
      <c r="AX3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4" s="39" t="inlineStr">
        <is>
          <t>A3</t>
        </is>
      </c>
      <c r="AZ394" s="40" t="inlineStr">
        <is>
          <t>Band A · Practitioner · Senior Associate</t>
        </is>
      </c>
      <c r="BA394" s="40" t="inlineStr">
        <is>
          <t>Model A3 from the six ratings, the market-derived weights and rules R1–R13 · then No change · already below the manager</t>
        </is>
      </c>
      <c r="BB394" s="41" t="inlineStr">
        <is>
          <t>A3</t>
        </is>
      </c>
      <c r="BC394" s="40" t="inlineStr">
        <is>
          <t>The six ratings on the market-average weights of Band A · all tracks score 3.35 → A3 · Hay, Mercer IPE and public plans · experience 11.4 yrs vs the A3 market range 2–5</t>
        </is>
      </c>
      <c r="BD394" s="42">
        <f>IF(SUM(BM394,BN394,BO394,BP394,BQ394,BR394,BS394)=0,0,(BM394*BT394+BN394*BU394+BO394*BV394+BP394*BW394+BQ394*BX394+BR394*BY394+BS394*BZ394)/SUM(BM394,BN394,BO394,BP394,BQ394,BR394,BS394))</f>
        <v>0</v>
      </c>
      <c r="BE394" s="41" t="str">
        <f>IF(LEFT(AY394,1)="X",AY394,IF(OR(AY394="B+",AY394="C+"),INDEX(LAD_PC,MAX(1,MIN(14,MATCH(AY394,LAD_PC,0)+IF(BD394&gt;=0.5,1,IF(BD394&lt;=-0.5,-1,0))))),INDEX(LAD_STD,MAX(1,MIN(12,MATCH(AY394,LAD_STD,0)+IF(BD394&gt;=0.5,1,IF(BD394&lt;=-0.5,-1,0)))))))</f>
        <v>A3</v>
      </c>
      <c r="BF394" s="43" t="n"/>
      <c r="BG394" s="41" t="str">
        <f>IF(BF394&lt;&gt;"",BF394,BE394)</f>
        <v>A3</v>
      </c>
      <c r="BH394" s="40" t="str">
        <f>IFERROR(CHOOSE(INDEX(B_RANK,MATCH(BG394,B_LVL,0)),"Band A","Band B","B+ · Player-Coach","Band C","C+ · Player-Coach","Band D","Band E"),"Band X · Consultant")</f>
        <v>Band A</v>
      </c>
      <c r="BI394" s="40" t="str">
        <f>IF(BG394=AY394,"• Same",IF(INDEX(B_VAL,MATCH(BG394,B_LVL,0))&gt;INDEX(B_VAL,MATCH(AY394,B_LVL,0)),"▲ Up","▼ Down"))</f>
        <v>• Same</v>
      </c>
      <c r="BJ394" s="40" t="str">
        <f>IF(OR($M394="",$M394="—",$M394="Not in this file"),"",IFERROR(INDEX($BG$7:$BG$592,MATCH($M394,$D$7:$D$592,0)),""))</f>
        <v>B2</v>
      </c>
      <c r="BK394" s="40" t="str">
        <f>IFERROR(IF(BJ394="","—",IF(OR(LEFT(BG394,1)="X",LEFT(BJ394,1)="X"),"—",IF(AND(LEFT(BG394,1)="E",LEFT(BJ394,1)="E"),"Exception · Band E",IF(AND(INDEX(B_VAL,MATCH(BJ394,B_LVL,0))&gt;=7,INDEX(B_RANK,MATCH(BG394,B_LVL,0))&gt;=INDEX(B_RANK,MATCH(BJ394,B_LVL,0))),"⚠ Same band as a head manager",IF(INDEX(B_VAL,MATCH(BG394,B_LVL,0))&gt;=INDEX(B_VAL,MATCH(BJ394,B_LVL,0)),"⚠ At or above the manager's level","OK"))))),"—")</f>
        <v>OK</v>
      </c>
      <c r="BL394" s="43" t="n"/>
      <c r="BM394" s="44">
        <f>IFERROR(INDEX(LMH_PTS,MATCH(Y394,LMH_KEY,0)),0)</f>
        <v>9</v>
      </c>
      <c r="BN394" s="38">
        <f>IFERROR(INDEX(LMH_PTS,MATCH(Z394,LMH_KEY,0)),0)</f>
        <v>3</v>
      </c>
      <c r="BO394" s="38">
        <f>IFERROR(INDEX(LMH_PTS,MATCH(AA394,LMH_KEY,0)),0)</f>
        <v>1</v>
      </c>
      <c r="BP394" s="38">
        <f>IFERROR(INDEX(LMH_PTS,MATCH(AB394,LMH_KEY,0)),0)</f>
        <v>1</v>
      </c>
      <c r="BQ394" s="38">
        <f>IFERROR(INDEX(LMH_PTS,MATCH(AC394,LMH_KEY,0)),0)</f>
        <v>1</v>
      </c>
      <c r="BR394" s="38">
        <f>IFERROR(INDEX(LMH_PTS,MATCH(AD394,LMH_KEY,0)),0)</f>
        <v>1</v>
      </c>
      <c r="BS394" s="38">
        <f>IFERROR(INDEX(LMH_PTS,MATCH(AE394,LMH_KEY,0)),0)</f>
        <v>1</v>
      </c>
      <c r="BT394" s="38">
        <f>IFERROR(INDEX(LMH_STEP,MATCH(AF394,LMH_KEY,0)),0)</f>
        <v>0</v>
      </c>
      <c r="BU394" s="38">
        <f>IFERROR(INDEX(LMH_STEP,MATCH(AG394,LMH_KEY,0)),0)</f>
        <v>0</v>
      </c>
      <c r="BV394" s="38">
        <f>IFERROR(INDEX(LMH_STEP,MATCH(AH394,LMH_KEY,0)),0)</f>
        <v>0</v>
      </c>
      <c r="BW394" s="38">
        <f>IFERROR(INDEX(LMH_STEP,MATCH(AI394,LMH_KEY,0)),0)</f>
        <v>0</v>
      </c>
      <c r="BX394" s="38">
        <f>IFERROR(INDEX(LMH_STEP,MATCH(AJ394,LMH_KEY,0)),0)</f>
        <v>0</v>
      </c>
      <c r="BY394" s="38">
        <f>IFERROR(INDEX(LMH_STEP,MATCH(AK394,LMH_KEY,0)),0)</f>
        <v>0</v>
      </c>
      <c r="BZ394" s="38">
        <f>IFERROR(INDEX(LMH_STEP,MATCH(AL394,LMH_KEY,0)),0)</f>
        <v>0</v>
      </c>
      <c r="CA394" s="38" t="inlineStr">
        <is>
          <t>Consume|Technology|Technical Specialist|A3|A</t>
        </is>
      </c>
    </row>
    <row r="395" ht="110" customHeight="1">
      <c r="A395" s="28" t="inlineStr">
        <is>
          <t>iFile</t>
        </is>
      </c>
      <c r="B395" s="29" t="inlineStr">
        <is>
          <t>Technology</t>
        </is>
      </c>
      <c r="C395" s="29" t="n">
        <v>3</v>
      </c>
      <c r="D395" s="29" t="inlineStr">
        <is>
          <t>IRIS1590</t>
        </is>
      </c>
      <c r="E395" s="29" t="inlineStr">
        <is>
          <t>Nivedita Wagh</t>
        </is>
      </c>
      <c r="F395" s="29" t="inlineStr">
        <is>
          <t>Project Lead</t>
        </is>
      </c>
      <c r="G395" s="29" t="inlineStr">
        <is>
          <t>Project Manager – POD Lead</t>
        </is>
      </c>
      <c r="H395" s="29" t="inlineStr">
        <is>
          <t>Project &amp; Program Management</t>
        </is>
      </c>
      <c r="I395" s="29" t="inlineStr">
        <is>
          <t>Project &amp; Program Delivery</t>
        </is>
      </c>
      <c r="J395" s="29" t="inlineStr">
        <is>
          <t>POD Lead</t>
        </is>
      </c>
      <c r="K395" s="29" t="inlineStr">
        <is>
          <t>RC-134</t>
        </is>
      </c>
      <c r="L395" s="29" t="inlineStr">
        <is>
          <t>Pradip Dey</t>
        </is>
      </c>
      <c r="M395" s="29" t="inlineStr">
        <is>
          <t>IRISC223</t>
        </is>
      </c>
      <c r="N395" s="29" t="n">
        <v>12.1</v>
      </c>
      <c r="O395" s="29" t="n">
        <v>10.1</v>
      </c>
      <c r="P395" s="29" t="inlineStr">
        <is>
          <t>B.E</t>
        </is>
      </c>
      <c r="Q395" s="29" t="inlineStr">
        <is>
          <t>L5 – Lead · IC</t>
        </is>
      </c>
      <c r="R395" s="29" t="inlineStr">
        <is>
          <t>B1</t>
        </is>
      </c>
      <c r="S395" s="30" t="inlineStr">
        <is>
          <t>20 of 20</t>
        </is>
      </c>
      <c r="T395" s="31"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
        </is>
      </c>
      <c r="U395" s="31" t="inlineStr">
        <is>
          <t>Received · manager annual, quarterly · 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t>
        </is>
      </c>
      <c r="V395" s="31" t="inlineStr">
        <is>
          <t>Latest rating: 3 · Potential: Medium · 9-box: Reliable Specialist · Readiness: Develop in role</t>
        </is>
      </c>
      <c r="W395" s="31" t="inlineStr">
        <is>
          <t>C M · Au M · Ac M · L M · BI M · Exp H · 12.1 yrs vs 4–7 yrs · Edu M · B.E</t>
        </is>
      </c>
      <c r="X395" s="33" t="inlineStr">
        <is>
          <t>Open ▸</t>
        </is>
      </c>
      <c r="Y395" s="34" t="str">
        <f>IFERROR(INDEX(DL_C,MATCH($CA395,DL_KEY,0)),"M")</f>
        <v>H</v>
      </c>
      <c r="Z395" s="35" t="str">
        <f>IFERROR(INDEX(DL_Au,MATCH($CA395,DL_KEY,0)),"M")</f>
        <v>M</v>
      </c>
      <c r="AA395" s="35" t="str">
        <f>IFERROR(INDEX(DL_Ac,MATCH($CA395,DL_KEY,0)),"M")</f>
        <v>L</v>
      </c>
      <c r="AB395" s="35" t="str">
        <f>IFERROR(INDEX(DL_L,MATCH($CA395,DL_KEY,0)),"M")</f>
        <v>L</v>
      </c>
      <c r="AC395" s="35" t="str">
        <f>IFERROR(INDEX(DL_BI,MATCH($CA395,DL_KEY,0)),"M")</f>
        <v>L</v>
      </c>
      <c r="AD395" s="35" t="str">
        <f>IFERROR(INDEX(DL_Exp,MATCH($CA395,DL_KEY,0)),"M")</f>
        <v>L</v>
      </c>
      <c r="AE395" s="35" t="str">
        <f>IFERROR(INDEX(DL_Edu,MATCH($CA395,DL_KEY,0)),"M")</f>
        <v>L</v>
      </c>
      <c r="AF395" s="34" t="inlineStr">
        <is>
          <t>M</t>
        </is>
      </c>
      <c r="AG395" s="35" t="inlineStr">
        <is>
          <t>M</t>
        </is>
      </c>
      <c r="AH395" s="35" t="inlineStr">
        <is>
          <t>M</t>
        </is>
      </c>
      <c r="AI395" s="35" t="inlineStr">
        <is>
          <t>M</t>
        </is>
      </c>
      <c r="AJ395" s="35" t="inlineStr">
        <is>
          <t>M</t>
        </is>
      </c>
      <c r="AK395" s="35" t="inlineStr">
        <is>
          <t>M</t>
        </is>
      </c>
      <c r="AL395" s="35" t="inlineStr">
        <is>
          <t>M</t>
        </is>
      </c>
      <c r="AM395" s="36" t="n">
        <v>0.513</v>
      </c>
      <c r="AN395" s="37" t="n">
        <v>0.173</v>
      </c>
      <c r="AO395" s="37" t="n">
        <v>0.09699999999999999</v>
      </c>
      <c r="AP395" s="37" t="n">
        <v>0.05</v>
      </c>
      <c r="AQ395" s="37" t="n">
        <v>0.07000000000000001</v>
      </c>
      <c r="AR395" s="37" t="n">
        <v>0.06</v>
      </c>
      <c r="AS395" s="37" t="n">
        <v>0.04</v>
      </c>
      <c r="AT395" s="38" t="inlineStr">
        <is>
          <t>4–8</t>
        </is>
      </c>
      <c r="AU395" s="38" t="inlineStr">
        <is>
          <t>Graduate + relevant qualification or certification preferred</t>
        </is>
      </c>
      <c r="AV395" s="38" t="inlineStr">
        <is>
          <t>IC: none · Team Lead: 3–5</t>
        </is>
      </c>
      <c r="AW395" s="38" t="inlineStr">
        <is>
          <t>P3 / M2 · SFIA 4 Enable</t>
        </is>
      </c>
      <c r="AX3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5" s="39" t="inlineStr">
        <is>
          <t>B1</t>
        </is>
      </c>
      <c r="AZ395" s="40" t="inlineStr">
        <is>
          <t>Band B · Specialist / Manager · Team Lead / Asst Manager</t>
        </is>
      </c>
      <c r="BA395" s="40" t="inlineStr">
        <is>
          <t>Model B1 from the six ratings, the market-derived weights and rules R1–R13 · then No change · already below the manager</t>
        </is>
      </c>
      <c r="BB395" s="41" t="inlineStr">
        <is>
          <t>B1</t>
        </is>
      </c>
      <c r="BC395" s="40" t="inlineStr">
        <is>
          <t>The six ratings on the market-average weights of Band B · Specialist / POD Lead score 4.47 → B1 · Hay, Mercer IPE and public plans · experience 12.1 yrs vs the B1 market range 4–8</t>
        </is>
      </c>
      <c r="BD395" s="42">
        <f>IF(SUM(BM395,BN395,BO395,BP395,BQ395,BR395,BS395)=0,0,(BM395*BT395+BN395*BU395+BO395*BV395+BP395*BW395+BQ395*BX395+BR395*BY395+BS395*BZ395)/SUM(BM395,BN395,BO395,BP395,BQ395,BR395,BS395))</f>
        <v>0</v>
      </c>
      <c r="BE395" s="41" t="str">
        <f>IF(LEFT(AY395,1)="X",AY395,IF(OR(AY395="B+",AY395="C+"),INDEX(LAD_PC,MAX(1,MIN(14,MATCH(AY395,LAD_PC,0)+IF(BD395&gt;=0.5,1,IF(BD395&lt;=-0.5,-1,0))))),INDEX(LAD_STD,MAX(1,MIN(12,MATCH(AY395,LAD_STD,0)+IF(BD395&gt;=0.5,1,IF(BD395&lt;=-0.5,-1,0)))))))</f>
        <v>B1</v>
      </c>
      <c r="BF395" s="43" t="n"/>
      <c r="BG395" s="41" t="str">
        <f>IF(BF395&lt;&gt;"",BF395,BE395)</f>
        <v>B1</v>
      </c>
      <c r="BH395" s="40" t="str">
        <f>IFERROR(CHOOSE(INDEX(B_RANK,MATCH(BG395,B_LVL,0)),"Band A","Band B","B+ · Player-Coach","Band C","C+ · Player-Coach","Band D","Band E"),"Band X · Consultant")</f>
        <v>Band B</v>
      </c>
      <c r="BI395" s="40" t="str">
        <f>IF(BG395=AY395,"• Same",IF(INDEX(B_VAL,MATCH(BG395,B_LVL,0))&gt;INDEX(B_VAL,MATCH(AY395,B_LVL,0)),"▲ Up","▼ Down"))</f>
        <v>• Same</v>
      </c>
      <c r="BJ395" s="40" t="str">
        <f>IF(OR($M395="",$M395="—",$M395="Not in this file"),"",IFERROR(INDEX($BG$7:$BG$592,MATCH($M395,$D$7:$D$592,0)),""))</f>
        <v>C2</v>
      </c>
      <c r="BK395" s="40" t="str">
        <f>IFERROR(IF(BJ395="","—",IF(OR(LEFT(BG395,1)="X",LEFT(BJ395,1)="X"),"—",IF(AND(LEFT(BG395,1)="E",LEFT(BJ395,1)="E"),"Exception · Band E",IF(AND(INDEX(B_VAL,MATCH(BJ395,B_LVL,0))&gt;=7,INDEX(B_RANK,MATCH(BG395,B_LVL,0))&gt;=INDEX(B_RANK,MATCH(BJ395,B_LVL,0))),"⚠ Same band as a head manager",IF(INDEX(B_VAL,MATCH(BG395,B_LVL,0))&gt;=INDEX(B_VAL,MATCH(BJ395,B_LVL,0)),"⚠ At or above the manager's level","OK"))))),"—")</f>
        <v>OK</v>
      </c>
      <c r="BL395" s="43" t="n"/>
      <c r="BM395" s="44">
        <f>IFERROR(INDEX(LMH_PTS,MATCH(Y395,LMH_KEY,0)),0)</f>
        <v>9</v>
      </c>
      <c r="BN395" s="38">
        <f>IFERROR(INDEX(LMH_PTS,MATCH(Z395,LMH_KEY,0)),0)</f>
        <v>3</v>
      </c>
      <c r="BO395" s="38">
        <f>IFERROR(INDEX(LMH_PTS,MATCH(AA395,LMH_KEY,0)),0)</f>
        <v>1</v>
      </c>
      <c r="BP395" s="38">
        <f>IFERROR(INDEX(LMH_PTS,MATCH(AB395,LMH_KEY,0)),0)</f>
        <v>1</v>
      </c>
      <c r="BQ395" s="38">
        <f>IFERROR(INDEX(LMH_PTS,MATCH(AC395,LMH_KEY,0)),0)</f>
        <v>1</v>
      </c>
      <c r="BR395" s="38">
        <f>IFERROR(INDEX(LMH_PTS,MATCH(AD395,LMH_KEY,0)),0)</f>
        <v>1</v>
      </c>
      <c r="BS395" s="38">
        <f>IFERROR(INDEX(LMH_PTS,MATCH(AE395,LMH_KEY,0)),0)</f>
        <v>1</v>
      </c>
      <c r="BT395" s="38">
        <f>IFERROR(INDEX(LMH_STEP,MATCH(AF395,LMH_KEY,0)),0)</f>
        <v>0</v>
      </c>
      <c r="BU395" s="38">
        <f>IFERROR(INDEX(LMH_STEP,MATCH(AG395,LMH_KEY,0)),0)</f>
        <v>0</v>
      </c>
      <c r="BV395" s="38">
        <f>IFERROR(INDEX(LMH_STEP,MATCH(AH395,LMH_KEY,0)),0)</f>
        <v>0</v>
      </c>
      <c r="BW395" s="38">
        <f>IFERROR(INDEX(LMH_STEP,MATCH(AI395,LMH_KEY,0)),0)</f>
        <v>0</v>
      </c>
      <c r="BX395" s="38">
        <f>IFERROR(INDEX(LMH_STEP,MATCH(AJ395,LMH_KEY,0)),0)</f>
        <v>0</v>
      </c>
      <c r="BY395" s="38">
        <f>IFERROR(INDEX(LMH_STEP,MATCH(AK395,LMH_KEY,0)),0)</f>
        <v>0</v>
      </c>
      <c r="BZ395" s="38">
        <f>IFERROR(INDEX(LMH_STEP,MATCH(AL395,LMH_KEY,0)),0)</f>
        <v>0</v>
      </c>
      <c r="CA395" s="38" t="inlineStr">
        <is>
          <t>iFile|Technology|Project Manager – POD Lead|B1|B-IC</t>
        </is>
      </c>
    </row>
    <row r="396" ht="110" customHeight="1">
      <c r="A396" s="28" t="inlineStr">
        <is>
          <t>iFile</t>
        </is>
      </c>
      <c r="B396" s="29" t="inlineStr">
        <is>
          <t>Support</t>
        </is>
      </c>
      <c r="C396" s="29" t="n">
        <v>4</v>
      </c>
      <c r="D396" s="29" t="inlineStr">
        <is>
          <t>IRIS1873</t>
        </is>
      </c>
      <c r="E396" s="29" t="inlineStr">
        <is>
          <t>Sayed Ibrahim</t>
        </is>
      </c>
      <c r="F396" s="29" t="inlineStr">
        <is>
          <t>Analyst</t>
        </is>
      </c>
      <c r="G396" s="29" t="inlineStr">
        <is>
          <t>Senior Support Executive</t>
        </is>
      </c>
      <c r="H396" s="29" t="inlineStr">
        <is>
          <t>Customer Success &amp; Support</t>
        </is>
      </c>
      <c r="I396" s="29" t="inlineStr">
        <is>
          <t>Application &amp; Product Support</t>
        </is>
      </c>
      <c r="J396" s="29" t="inlineStr">
        <is>
          <t>IC</t>
        </is>
      </c>
      <c r="K396" s="29" t="inlineStr">
        <is>
          <t>RC-031</t>
        </is>
      </c>
      <c r="L396" s="29" t="inlineStr">
        <is>
          <t>Nivedita Wagh</t>
        </is>
      </c>
      <c r="M396" s="29" t="inlineStr">
        <is>
          <t>IRIS1590</t>
        </is>
      </c>
      <c r="N396" s="29" t="n">
        <v>10.9</v>
      </c>
      <c r="O396" s="29" t="n">
        <v>6</v>
      </c>
      <c r="P396" s="29" t="inlineStr">
        <is>
          <t>MBA</t>
        </is>
      </c>
      <c r="Q396" s="29" t="inlineStr">
        <is>
          <t>L3 – Professional / Associate</t>
        </is>
      </c>
      <c r="R396" s="29" t="inlineStr">
        <is>
          <t>A3</t>
        </is>
      </c>
      <c r="S396" s="30" t="inlineStr">
        <is>
          <t>20 of 20</t>
        </is>
      </c>
      <c r="T396" s="31"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t>
        </is>
      </c>
      <c r="U396"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96" s="31" t="inlineStr">
        <is>
          <t>Latest rating: 3 · Potential: Medium · 9-box: Core Contributor · Readiness: Develop in role</t>
        </is>
      </c>
      <c r="W396" s="31" t="inlineStr">
        <is>
          <t>C L · Au L · Ac L · L L · BI L · Exp H · 10.9 yrs vs 2–4 yrs · Edu H · MBA</t>
        </is>
      </c>
      <c r="X396" s="33" t="inlineStr">
        <is>
          <t>Open ▸</t>
        </is>
      </c>
      <c r="Y396" s="34" t="str">
        <f>IFERROR(INDEX(DL_C,MATCH($CA396,DL_KEY,0)),"M")</f>
        <v>H</v>
      </c>
      <c r="Z396" s="35" t="str">
        <f>IFERROR(INDEX(DL_Au,MATCH($CA396,DL_KEY,0)),"M")</f>
        <v>M</v>
      </c>
      <c r="AA396" s="35" t="str">
        <f>IFERROR(INDEX(DL_Ac,MATCH($CA396,DL_KEY,0)),"M")</f>
        <v>M</v>
      </c>
      <c r="AB396" s="35" t="str">
        <f>IFERROR(INDEX(DL_L,MATCH($CA396,DL_KEY,0)),"M")</f>
        <v>L</v>
      </c>
      <c r="AC396" s="35" t="str">
        <f>IFERROR(INDEX(DL_BI,MATCH($CA396,DL_KEY,0)),"M")</f>
        <v>M</v>
      </c>
      <c r="AD396" s="35" t="str">
        <f>IFERROR(INDEX(DL_Exp,MATCH($CA396,DL_KEY,0)),"M")</f>
        <v>L</v>
      </c>
      <c r="AE396" s="35" t="str">
        <f>IFERROR(INDEX(DL_Edu,MATCH($CA396,DL_KEY,0)),"M")</f>
        <v>L</v>
      </c>
      <c r="AF396" s="34" t="inlineStr">
        <is>
          <t>M</t>
        </is>
      </c>
      <c r="AG396" s="35" t="inlineStr">
        <is>
          <t>M</t>
        </is>
      </c>
      <c r="AH396" s="35" t="inlineStr">
        <is>
          <t>M</t>
        </is>
      </c>
      <c r="AI396" s="35" t="inlineStr">
        <is>
          <t>M</t>
        </is>
      </c>
      <c r="AJ396" s="35" t="inlineStr">
        <is>
          <t>M</t>
        </is>
      </c>
      <c r="AK396" s="35" t="inlineStr">
        <is>
          <t>M</t>
        </is>
      </c>
      <c r="AL396" s="35" t="inlineStr">
        <is>
          <t>M</t>
        </is>
      </c>
      <c r="AM396" s="36" t="n">
        <v>0.583</v>
      </c>
      <c r="AN396" s="37" t="n">
        <v>0.16</v>
      </c>
      <c r="AO396" s="37" t="n">
        <v>0.09</v>
      </c>
      <c r="AP396" s="37" t="n">
        <v>0</v>
      </c>
      <c r="AQ396" s="37" t="n">
        <v>0.063</v>
      </c>
      <c r="AR396" s="37" t="n">
        <v>0.06</v>
      </c>
      <c r="AS396" s="37" t="n">
        <v>0.04</v>
      </c>
      <c r="AT396" s="38" t="inlineStr">
        <is>
          <t>2–5</t>
        </is>
      </c>
      <c r="AU396" s="38" t="inlineStr">
        <is>
          <t>Graduate; relevant certification preferred</t>
        </is>
      </c>
      <c r="AV396" s="38" t="inlineStr">
        <is>
          <t>None · guides 1–3 juniors informally</t>
        </is>
      </c>
      <c r="AW396" s="38" t="inlineStr">
        <is>
          <t>P2 · SFIA 3 Apply</t>
        </is>
      </c>
      <c r="AX3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6" s="39" t="inlineStr">
        <is>
          <t>A3</t>
        </is>
      </c>
      <c r="AZ396" s="40" t="inlineStr">
        <is>
          <t>Band A · Practitioner · Senior Associate</t>
        </is>
      </c>
      <c r="BA396" s="40" t="inlineStr">
        <is>
          <t>Model A3 from the six ratings, the market-derived weights and rules R1–R13 · then No change · already below the manager</t>
        </is>
      </c>
      <c r="BB396" s="41" t="inlineStr">
        <is>
          <t>A3</t>
        </is>
      </c>
      <c r="BC396" s="40" t="inlineStr">
        <is>
          <t>The six ratings on the market-average weights of Band A · all tracks score 2.50 → A3 · Hay, Mercer IPE and public plans · experience 10.9 yrs vs the A3 market range 2–5</t>
        </is>
      </c>
      <c r="BD396" s="42">
        <f>IF(SUM(BM396,BN396,BO396,BP396,BQ396,BR396,BS396)=0,0,(BM396*BT396+BN396*BU396+BO396*BV396+BP396*BW396+BQ396*BX396+BR396*BY396+BS396*BZ396)/SUM(BM396,BN396,BO396,BP396,BQ396,BR396,BS396))</f>
        <v>0</v>
      </c>
      <c r="BE396" s="41" t="str">
        <f>IF(LEFT(AY396,1)="X",AY396,IF(OR(AY396="B+",AY396="C+"),INDEX(LAD_PC,MAX(1,MIN(14,MATCH(AY396,LAD_PC,0)+IF(BD396&gt;=0.5,1,IF(BD396&lt;=-0.5,-1,0))))),INDEX(LAD_STD,MAX(1,MIN(12,MATCH(AY396,LAD_STD,0)+IF(BD396&gt;=0.5,1,IF(BD396&lt;=-0.5,-1,0)))))))</f>
        <v>A3</v>
      </c>
      <c r="BF396" s="43" t="n"/>
      <c r="BG396" s="41" t="str">
        <f>IF(BF396&lt;&gt;"",BF396,BE396)</f>
        <v>A3</v>
      </c>
      <c r="BH396" s="40" t="str">
        <f>IFERROR(CHOOSE(INDEX(B_RANK,MATCH(BG396,B_LVL,0)),"Band A","Band B","B+ · Player-Coach","Band C","C+ · Player-Coach","Band D","Band E"),"Band X · Consultant")</f>
        <v>Band A</v>
      </c>
      <c r="BI396" s="40" t="str">
        <f>IF(BG396=AY396,"• Same",IF(INDEX(B_VAL,MATCH(BG396,B_LVL,0))&gt;INDEX(B_VAL,MATCH(AY396,B_LVL,0)),"▲ Up","▼ Down"))</f>
        <v>• Same</v>
      </c>
      <c r="BJ396" s="40" t="str">
        <f>IF(OR($M396="",$M396="—",$M396="Not in this file"),"",IFERROR(INDEX($BG$7:$BG$592,MATCH($M396,$D$7:$D$592,0)),""))</f>
        <v>B1</v>
      </c>
      <c r="BK396" s="40" t="str">
        <f>IFERROR(IF(BJ396="","—",IF(OR(LEFT(BG396,1)="X",LEFT(BJ396,1)="X"),"—",IF(AND(LEFT(BG396,1)="E",LEFT(BJ396,1)="E"),"Exception · Band E",IF(AND(INDEX(B_VAL,MATCH(BJ396,B_LVL,0))&gt;=7,INDEX(B_RANK,MATCH(BG396,B_LVL,0))&gt;=INDEX(B_RANK,MATCH(BJ396,B_LVL,0))),"⚠ Same band as a head manager",IF(INDEX(B_VAL,MATCH(BG396,B_LVL,0))&gt;=INDEX(B_VAL,MATCH(BJ396,B_LVL,0)),"⚠ At or above the manager's level","OK"))))),"—")</f>
        <v>OK</v>
      </c>
      <c r="BL396" s="43" t="n"/>
      <c r="BM396" s="44">
        <f>IFERROR(INDEX(LMH_PTS,MATCH(Y396,LMH_KEY,0)),0)</f>
        <v>9</v>
      </c>
      <c r="BN396" s="38">
        <f>IFERROR(INDEX(LMH_PTS,MATCH(Z396,LMH_KEY,0)),0)</f>
        <v>3</v>
      </c>
      <c r="BO396" s="38">
        <f>IFERROR(INDEX(LMH_PTS,MATCH(AA396,LMH_KEY,0)),0)</f>
        <v>3</v>
      </c>
      <c r="BP396" s="38">
        <f>IFERROR(INDEX(LMH_PTS,MATCH(AB396,LMH_KEY,0)),0)</f>
        <v>1</v>
      </c>
      <c r="BQ396" s="38">
        <f>IFERROR(INDEX(LMH_PTS,MATCH(AC396,LMH_KEY,0)),0)</f>
        <v>3</v>
      </c>
      <c r="BR396" s="38">
        <f>IFERROR(INDEX(LMH_PTS,MATCH(AD396,LMH_KEY,0)),0)</f>
        <v>1</v>
      </c>
      <c r="BS396" s="38">
        <f>IFERROR(INDEX(LMH_PTS,MATCH(AE396,LMH_KEY,0)),0)</f>
        <v>1</v>
      </c>
      <c r="BT396" s="38">
        <f>IFERROR(INDEX(LMH_STEP,MATCH(AF396,LMH_KEY,0)),0)</f>
        <v>0</v>
      </c>
      <c r="BU396" s="38">
        <f>IFERROR(INDEX(LMH_STEP,MATCH(AG396,LMH_KEY,0)),0)</f>
        <v>0</v>
      </c>
      <c r="BV396" s="38">
        <f>IFERROR(INDEX(LMH_STEP,MATCH(AH396,LMH_KEY,0)),0)</f>
        <v>0</v>
      </c>
      <c r="BW396" s="38">
        <f>IFERROR(INDEX(LMH_STEP,MATCH(AI396,LMH_KEY,0)),0)</f>
        <v>0</v>
      </c>
      <c r="BX396" s="38">
        <f>IFERROR(INDEX(LMH_STEP,MATCH(AJ396,LMH_KEY,0)),0)</f>
        <v>0</v>
      </c>
      <c r="BY396" s="38">
        <f>IFERROR(INDEX(LMH_STEP,MATCH(AK396,LMH_KEY,0)),0)</f>
        <v>0</v>
      </c>
      <c r="BZ396" s="38">
        <f>IFERROR(INDEX(LMH_STEP,MATCH(AL396,LMH_KEY,0)),0)</f>
        <v>0</v>
      </c>
      <c r="CA396" s="38" t="inlineStr">
        <is>
          <t>iFile|Support|Senior Support Executive|A3|A</t>
        </is>
      </c>
    </row>
    <row r="397" ht="110" customHeight="1">
      <c r="A397" s="28" t="inlineStr">
        <is>
          <t>iFile</t>
        </is>
      </c>
      <c r="B397" s="29" t="inlineStr">
        <is>
          <t>Technology</t>
        </is>
      </c>
      <c r="C397" s="29" t="n">
        <v>4</v>
      </c>
      <c r="D397" s="29" t="inlineStr">
        <is>
          <t>IRIS2482</t>
        </is>
      </c>
      <c r="E397" s="29" t="inlineStr">
        <is>
          <t>Aquib Shah</t>
        </is>
      </c>
      <c r="F397" s="29" t="inlineStr">
        <is>
          <t>Trainee Software Engineer</t>
        </is>
      </c>
      <c r="G397" s="29" t="inlineStr">
        <is>
          <t>Software Engineer</t>
        </is>
      </c>
      <c r="H397" s="29" t="inlineStr">
        <is>
          <t>Engineering &amp; Development</t>
        </is>
      </c>
      <c r="I397" s="29" t="inlineStr">
        <is>
          <t>Backend Development</t>
        </is>
      </c>
      <c r="J397" s="29" t="inlineStr">
        <is>
          <t>IC</t>
        </is>
      </c>
      <c r="K397" s="29" t="inlineStr">
        <is>
          <t>RC-066</t>
        </is>
      </c>
      <c r="L397" s="29" t="inlineStr">
        <is>
          <t>Nivedita Wagh</t>
        </is>
      </c>
      <c r="M397" s="29" t="inlineStr">
        <is>
          <t>IRIS1590</t>
        </is>
      </c>
      <c r="N397" s="29" t="n">
        <v>2.4</v>
      </c>
      <c r="O397" s="29" t="n">
        <v>0.6</v>
      </c>
      <c r="P397" s="29" t="inlineStr">
        <is>
          <t>B.E</t>
        </is>
      </c>
      <c r="Q397" s="29" t="inlineStr">
        <is>
          <t>L2 – Trainee</t>
        </is>
      </c>
      <c r="R397" s="29" t="inlineStr">
        <is>
          <t>A2</t>
        </is>
      </c>
      <c r="S397" s="30" t="inlineStr">
        <is>
          <t>20 of 20</t>
        </is>
      </c>
      <c r="T397" s="31" t="inlineStr">
        <is>
          <t>Business Impact: No survey or manager-mapping signal on criticality: kept at the start point.</t>
        </is>
      </c>
      <c r="U39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7" s="31" t="inlineStr">
        <is>
          <t>Latest rating: 2 · Potential: Medium · 9-box: High Impact / Growth Talent · Readiness: Performance first</t>
        </is>
      </c>
      <c r="W397" s="31" t="inlineStr">
        <is>
          <t>C M · Au M · Ac M · L L · BI M · Exp H · 2.4 yrs vs 0–2 yrs · Edu M · B.E</t>
        </is>
      </c>
      <c r="X397" s="33" t="inlineStr">
        <is>
          <t>Open ▸</t>
        </is>
      </c>
      <c r="Y397" s="34" t="str">
        <f>IFERROR(INDEX(DL_C,MATCH($CA397,DL_KEY,0)),"M")</f>
        <v>H</v>
      </c>
      <c r="Z397" s="35" t="str">
        <f>IFERROR(INDEX(DL_Au,MATCH($CA397,DL_KEY,0)),"M")</f>
        <v>M</v>
      </c>
      <c r="AA397" s="35" t="str">
        <f>IFERROR(INDEX(DL_Ac,MATCH($CA397,DL_KEY,0)),"M")</f>
        <v>L</v>
      </c>
      <c r="AB397" s="35" t="str">
        <f>IFERROR(INDEX(DL_L,MATCH($CA397,DL_KEY,0)),"M")</f>
        <v>L</v>
      </c>
      <c r="AC397" s="35" t="str">
        <f>IFERROR(INDEX(DL_BI,MATCH($CA397,DL_KEY,0)),"M")</f>
        <v>L</v>
      </c>
      <c r="AD397" s="35" t="str">
        <f>IFERROR(INDEX(DL_Exp,MATCH($CA397,DL_KEY,0)),"M")</f>
        <v>L</v>
      </c>
      <c r="AE397" s="35" t="str">
        <f>IFERROR(INDEX(DL_Edu,MATCH($CA397,DL_KEY,0)),"M")</f>
        <v>L</v>
      </c>
      <c r="AF397" s="34" t="inlineStr">
        <is>
          <t>M</t>
        </is>
      </c>
      <c r="AG397" s="35" t="inlineStr">
        <is>
          <t>M</t>
        </is>
      </c>
      <c r="AH397" s="35" t="inlineStr">
        <is>
          <t>M</t>
        </is>
      </c>
      <c r="AI397" s="35" t="inlineStr">
        <is>
          <t>M</t>
        </is>
      </c>
      <c r="AJ397" s="35" t="inlineStr">
        <is>
          <t>M</t>
        </is>
      </c>
      <c r="AK397" s="35" t="inlineStr">
        <is>
          <t>M</t>
        </is>
      </c>
      <c r="AL397" s="35" t="inlineStr">
        <is>
          <t>M</t>
        </is>
      </c>
      <c r="AM397" s="36" t="n">
        <v>0.583</v>
      </c>
      <c r="AN397" s="37" t="n">
        <v>0.16</v>
      </c>
      <c r="AO397" s="37" t="n">
        <v>0.09</v>
      </c>
      <c r="AP397" s="37" t="n">
        <v>0</v>
      </c>
      <c r="AQ397" s="37" t="n">
        <v>0.063</v>
      </c>
      <c r="AR397" s="37" t="n">
        <v>0.06</v>
      </c>
      <c r="AS397" s="37" t="n">
        <v>0.04</v>
      </c>
      <c r="AT397" s="38" t="inlineStr">
        <is>
          <t>0–3</t>
        </is>
      </c>
      <c r="AU397" s="38" t="inlineStr">
        <is>
          <t>Graduate · or diploma with experience</t>
        </is>
      </c>
      <c r="AV397" s="38" t="inlineStr">
        <is>
          <t>No direct reports</t>
        </is>
      </c>
      <c r="AW397" s="38" t="inlineStr">
        <is>
          <t>P1–P2 · SFIA 2 Assist</t>
        </is>
      </c>
      <c r="AX3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7" s="39" t="inlineStr">
        <is>
          <t>A2</t>
        </is>
      </c>
      <c r="AZ397" s="40" t="inlineStr">
        <is>
          <t>Band A · Practitioner · Associate</t>
        </is>
      </c>
      <c r="BA397" s="40" t="inlineStr">
        <is>
          <t>Model A2 from the six ratings, the market-derived weights and rules R1–R13 · then No change · already below the manager</t>
        </is>
      </c>
      <c r="BB397" s="41" t="inlineStr">
        <is>
          <t>A2</t>
        </is>
      </c>
      <c r="BC397" s="40" t="inlineStr">
        <is>
          <t>The six ratings on the market-average weights of Band A · all tracks score 1.89 → A2 · Hay, Mercer IPE and public plans · experience 2.4 yrs vs the A2 market range 0–3</t>
        </is>
      </c>
      <c r="BD397" s="42">
        <f>IF(SUM(BM397,BN397,BO397,BP397,BQ397,BR397,BS397)=0,0,(BM397*BT397+BN397*BU397+BO397*BV397+BP397*BW397+BQ397*BX397+BR397*BY397+BS397*BZ397)/SUM(BM397,BN397,BO397,BP397,BQ397,BR397,BS397))</f>
        <v>0</v>
      </c>
      <c r="BE397" s="41" t="str">
        <f>IF(LEFT(AY397,1)="X",AY397,IF(OR(AY397="B+",AY397="C+"),INDEX(LAD_PC,MAX(1,MIN(14,MATCH(AY397,LAD_PC,0)+IF(BD397&gt;=0.5,1,IF(BD397&lt;=-0.5,-1,0))))),INDEX(LAD_STD,MAX(1,MIN(12,MATCH(AY397,LAD_STD,0)+IF(BD397&gt;=0.5,1,IF(BD397&lt;=-0.5,-1,0)))))))</f>
        <v>A2</v>
      </c>
      <c r="BF397" s="43" t="n"/>
      <c r="BG397" s="41" t="str">
        <f>IF(BF397&lt;&gt;"",BF397,BE397)</f>
        <v>A2</v>
      </c>
      <c r="BH397" s="40" t="str">
        <f>IFERROR(CHOOSE(INDEX(B_RANK,MATCH(BG397,B_LVL,0)),"Band A","Band B","B+ · Player-Coach","Band C","C+ · Player-Coach","Band D","Band E"),"Band X · Consultant")</f>
        <v>Band A</v>
      </c>
      <c r="BI397" s="40" t="str">
        <f>IF(BG397=AY397,"• Same",IF(INDEX(B_VAL,MATCH(BG397,B_LVL,0))&gt;INDEX(B_VAL,MATCH(AY397,B_LVL,0)),"▲ Up","▼ Down"))</f>
        <v>• Same</v>
      </c>
      <c r="BJ397" s="40" t="str">
        <f>IF(OR($M397="",$M397="—",$M397="Not in this file"),"",IFERROR(INDEX($BG$7:$BG$592,MATCH($M397,$D$7:$D$592,0)),""))</f>
        <v>B1</v>
      </c>
      <c r="BK397" s="40" t="str">
        <f>IFERROR(IF(BJ397="","—",IF(OR(LEFT(BG397,1)="X",LEFT(BJ397,1)="X"),"—",IF(AND(LEFT(BG397,1)="E",LEFT(BJ397,1)="E"),"Exception · Band E",IF(AND(INDEX(B_VAL,MATCH(BJ397,B_LVL,0))&gt;=7,INDEX(B_RANK,MATCH(BG397,B_LVL,0))&gt;=INDEX(B_RANK,MATCH(BJ397,B_LVL,0))),"⚠ Same band as a head manager",IF(INDEX(B_VAL,MATCH(BG397,B_LVL,0))&gt;=INDEX(B_VAL,MATCH(BJ397,B_LVL,0)),"⚠ At or above the manager's level","OK"))))),"—")</f>
        <v>OK</v>
      </c>
      <c r="BL397" s="43" t="n"/>
      <c r="BM397" s="44">
        <f>IFERROR(INDEX(LMH_PTS,MATCH(Y397,LMH_KEY,0)),0)</f>
        <v>9</v>
      </c>
      <c r="BN397" s="38">
        <f>IFERROR(INDEX(LMH_PTS,MATCH(Z397,LMH_KEY,0)),0)</f>
        <v>3</v>
      </c>
      <c r="BO397" s="38">
        <f>IFERROR(INDEX(LMH_PTS,MATCH(AA397,LMH_KEY,0)),0)</f>
        <v>1</v>
      </c>
      <c r="BP397" s="38">
        <f>IFERROR(INDEX(LMH_PTS,MATCH(AB397,LMH_KEY,0)),0)</f>
        <v>1</v>
      </c>
      <c r="BQ397" s="38">
        <f>IFERROR(INDEX(LMH_PTS,MATCH(AC397,LMH_KEY,0)),0)</f>
        <v>1</v>
      </c>
      <c r="BR397" s="38">
        <f>IFERROR(INDEX(LMH_PTS,MATCH(AD397,LMH_KEY,0)),0)</f>
        <v>1</v>
      </c>
      <c r="BS397" s="38">
        <f>IFERROR(INDEX(LMH_PTS,MATCH(AE397,LMH_KEY,0)),0)</f>
        <v>1</v>
      </c>
      <c r="BT397" s="38">
        <f>IFERROR(INDEX(LMH_STEP,MATCH(AF397,LMH_KEY,0)),0)</f>
        <v>0</v>
      </c>
      <c r="BU397" s="38">
        <f>IFERROR(INDEX(LMH_STEP,MATCH(AG397,LMH_KEY,0)),0)</f>
        <v>0</v>
      </c>
      <c r="BV397" s="38">
        <f>IFERROR(INDEX(LMH_STEP,MATCH(AH397,LMH_KEY,0)),0)</f>
        <v>0</v>
      </c>
      <c r="BW397" s="38">
        <f>IFERROR(INDEX(LMH_STEP,MATCH(AI397,LMH_KEY,0)),0)</f>
        <v>0</v>
      </c>
      <c r="BX397" s="38">
        <f>IFERROR(INDEX(LMH_STEP,MATCH(AJ397,LMH_KEY,0)),0)</f>
        <v>0</v>
      </c>
      <c r="BY397" s="38">
        <f>IFERROR(INDEX(LMH_STEP,MATCH(AK397,LMH_KEY,0)),0)</f>
        <v>0</v>
      </c>
      <c r="BZ397" s="38">
        <f>IFERROR(INDEX(LMH_STEP,MATCH(AL397,LMH_KEY,0)),0)</f>
        <v>0</v>
      </c>
      <c r="CA397" s="38" t="inlineStr">
        <is>
          <t>iFile|Technology|Software Engineer|A2|A</t>
        </is>
      </c>
    </row>
    <row r="398" ht="110" customHeight="1">
      <c r="A398" s="28" t="inlineStr">
        <is>
          <t>iFile</t>
        </is>
      </c>
      <c r="B398" s="29" t="inlineStr">
        <is>
          <t>Technology</t>
        </is>
      </c>
      <c r="C398" s="29" t="n">
        <v>3</v>
      </c>
      <c r="D398" s="29" t="inlineStr">
        <is>
          <t>IRIS2409</t>
        </is>
      </c>
      <c r="E398" s="29" t="inlineStr">
        <is>
          <t>Prabhakar Mhadse</t>
        </is>
      </c>
      <c r="F398" s="29" t="inlineStr">
        <is>
          <t>Senior Software Engineer</t>
        </is>
      </c>
      <c r="G398" s="29" t="inlineStr">
        <is>
          <t>AI/ML Specialist – POD Lead</t>
        </is>
      </c>
      <c r="H398" s="29" t="inlineStr">
        <is>
          <t>Engineering &amp; Development</t>
        </is>
      </c>
      <c r="I398" s="29" t="inlineStr">
        <is>
          <t>AI / ML &amp; GenAI Engineering</t>
        </is>
      </c>
      <c r="J398" s="29" t="inlineStr">
        <is>
          <t>POD Lead</t>
        </is>
      </c>
      <c r="K398" s="29" t="inlineStr">
        <is>
          <t>RC-061</t>
        </is>
      </c>
      <c r="L398" s="29" t="inlineStr">
        <is>
          <t>Pradip Dey</t>
        </is>
      </c>
      <c r="M398" s="29" t="inlineStr">
        <is>
          <t>IRISC223</t>
        </is>
      </c>
      <c r="N398" s="29" t="n">
        <v>8.199999999999999</v>
      </c>
      <c r="O398" s="29" t="n">
        <v>1.2</v>
      </c>
      <c r="P398" s="29" t="inlineStr">
        <is>
          <t>ME</t>
        </is>
      </c>
      <c r="Q398" s="29" t="inlineStr">
        <is>
          <t>L4 – Senior</t>
        </is>
      </c>
      <c r="R398" s="29" t="inlineStr">
        <is>
          <t>B1</t>
        </is>
      </c>
      <c r="S398" s="30" t="inlineStr">
        <is>
          <t>20 of 20</t>
        </is>
      </c>
      <c r="T398" s="31"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t>
        </is>
      </c>
      <c r="U398" s="32" t="inlineStr">
        <is>
          <t>KRAs not received · manager to supply</t>
        </is>
      </c>
      <c r="V398" s="31" t="inlineStr">
        <is>
          <t>Latest rating: Not rated · manager · 9-box: Not placed · manager · Readiness: No rating data</t>
        </is>
      </c>
      <c r="W398" s="31" t="inlineStr">
        <is>
          <t>C L · Au L · Ac L · L L · BI L · Exp H · 8.2 yrs vs 4–7 yrs · Edu H · ME</t>
        </is>
      </c>
      <c r="X398" s="33" t="inlineStr">
        <is>
          <t>Open ▸</t>
        </is>
      </c>
      <c r="Y398" s="34" t="str">
        <f>IFERROR(INDEX(DL_C,MATCH($CA398,DL_KEY,0)),"M")</f>
        <v>H</v>
      </c>
      <c r="Z398" s="35" t="str">
        <f>IFERROR(INDEX(DL_Au,MATCH($CA398,DL_KEY,0)),"M")</f>
        <v>M</v>
      </c>
      <c r="AA398" s="35" t="str">
        <f>IFERROR(INDEX(DL_Ac,MATCH($CA398,DL_KEY,0)),"M")</f>
        <v>L</v>
      </c>
      <c r="AB398" s="35" t="str">
        <f>IFERROR(INDEX(DL_L,MATCH($CA398,DL_KEY,0)),"M")</f>
        <v>L</v>
      </c>
      <c r="AC398" s="35" t="str">
        <f>IFERROR(INDEX(DL_BI,MATCH($CA398,DL_KEY,0)),"M")</f>
        <v>L</v>
      </c>
      <c r="AD398" s="35" t="str">
        <f>IFERROR(INDEX(DL_Exp,MATCH($CA398,DL_KEY,0)),"M")</f>
        <v>L</v>
      </c>
      <c r="AE398" s="35" t="str">
        <f>IFERROR(INDEX(DL_Edu,MATCH($CA398,DL_KEY,0)),"M")</f>
        <v>L</v>
      </c>
      <c r="AF398" s="34" t="inlineStr">
        <is>
          <t>M</t>
        </is>
      </c>
      <c r="AG398" s="35" t="inlineStr">
        <is>
          <t>M</t>
        </is>
      </c>
      <c r="AH398" s="35" t="inlineStr">
        <is>
          <t>M</t>
        </is>
      </c>
      <c r="AI398" s="35" t="inlineStr">
        <is>
          <t>M</t>
        </is>
      </c>
      <c r="AJ398" s="35" t="inlineStr">
        <is>
          <t>M</t>
        </is>
      </c>
      <c r="AK398" s="35" t="inlineStr">
        <is>
          <t>M</t>
        </is>
      </c>
      <c r="AL398" s="35" t="inlineStr">
        <is>
          <t>M</t>
        </is>
      </c>
      <c r="AM398" s="36" t="n">
        <v>0.513</v>
      </c>
      <c r="AN398" s="37" t="n">
        <v>0.173</v>
      </c>
      <c r="AO398" s="37" t="n">
        <v>0.09699999999999999</v>
      </c>
      <c r="AP398" s="37" t="n">
        <v>0.05</v>
      </c>
      <c r="AQ398" s="37" t="n">
        <v>0.07000000000000001</v>
      </c>
      <c r="AR398" s="37" t="n">
        <v>0.06</v>
      </c>
      <c r="AS398" s="37" t="n">
        <v>0.04</v>
      </c>
      <c r="AT398" s="38" t="inlineStr">
        <is>
          <t>4–8</t>
        </is>
      </c>
      <c r="AU398" s="38" t="inlineStr">
        <is>
          <t>Graduate + relevant qualification or certification preferred</t>
        </is>
      </c>
      <c r="AV398" s="38" t="inlineStr">
        <is>
          <t>IC: none · Team Lead: 3–5</t>
        </is>
      </c>
      <c r="AW398" s="38" t="inlineStr">
        <is>
          <t>P3 / M2 · SFIA 4 Enable</t>
        </is>
      </c>
      <c r="AX3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8" s="39" t="inlineStr">
        <is>
          <t>B1</t>
        </is>
      </c>
      <c r="AZ398" s="40" t="inlineStr">
        <is>
          <t>Band B · Specialist / Manager · Team Lead / Asst Manager</t>
        </is>
      </c>
      <c r="BA398" s="40" t="inlineStr">
        <is>
          <t>Model B1 from the six ratings, the market-derived weights and rules R1–R13 · then No change · already below the manager</t>
        </is>
      </c>
      <c r="BB398" s="41" t="inlineStr">
        <is>
          <t>A3</t>
        </is>
      </c>
      <c r="BC398" s="40" t="inlineStr">
        <is>
          <t>The six ratings on the market-average weights of Band B · Specialist / POD Lead score 3.21 → A3 · Hay, Mercer IPE and public plans · experience 8.2 yrs vs the A3 market range 2–5</t>
        </is>
      </c>
      <c r="BD398" s="42">
        <f>IF(SUM(BM398,BN398,BO398,BP398,BQ398,BR398,BS398)=0,0,(BM398*BT398+BN398*BU398+BO398*BV398+BP398*BW398+BQ398*BX398+BR398*BY398+BS398*BZ398)/SUM(BM398,BN398,BO398,BP398,BQ398,BR398,BS398))</f>
        <v>0</v>
      </c>
      <c r="BE398" s="41" t="str">
        <f>IF(LEFT(AY398,1)="X",AY398,IF(OR(AY398="B+",AY398="C+"),INDEX(LAD_PC,MAX(1,MIN(14,MATCH(AY398,LAD_PC,0)+IF(BD398&gt;=0.5,1,IF(BD398&lt;=-0.5,-1,0))))),INDEX(LAD_STD,MAX(1,MIN(12,MATCH(AY398,LAD_STD,0)+IF(BD398&gt;=0.5,1,IF(BD398&lt;=-0.5,-1,0)))))))</f>
        <v>B1</v>
      </c>
      <c r="BF398" s="43" t="n"/>
      <c r="BG398" s="41" t="str">
        <f>IF(BF398&lt;&gt;"",BF398,BE398)</f>
        <v>B1</v>
      </c>
      <c r="BH398" s="40" t="str">
        <f>IFERROR(CHOOSE(INDEX(B_RANK,MATCH(BG398,B_LVL,0)),"Band A","Band B","B+ · Player-Coach","Band C","C+ · Player-Coach","Band D","Band E"),"Band X · Consultant")</f>
        <v>Band B</v>
      </c>
      <c r="BI398" s="40" t="str">
        <f>IF(BG398=AY398,"• Same",IF(INDEX(B_VAL,MATCH(BG398,B_LVL,0))&gt;INDEX(B_VAL,MATCH(AY398,B_LVL,0)),"▲ Up","▼ Down"))</f>
        <v>• Same</v>
      </c>
      <c r="BJ398" s="40" t="str">
        <f>IF(OR($M398="",$M398="—",$M398="Not in this file"),"",IFERROR(INDEX($BG$7:$BG$592,MATCH($M398,$D$7:$D$592,0)),""))</f>
        <v>C2</v>
      </c>
      <c r="BK398" s="40" t="str">
        <f>IFERROR(IF(BJ398="","—",IF(OR(LEFT(BG398,1)="X",LEFT(BJ398,1)="X"),"—",IF(AND(LEFT(BG398,1)="E",LEFT(BJ398,1)="E"),"Exception · Band E",IF(AND(INDEX(B_VAL,MATCH(BJ398,B_LVL,0))&gt;=7,INDEX(B_RANK,MATCH(BG398,B_LVL,0))&gt;=INDEX(B_RANK,MATCH(BJ398,B_LVL,0))),"⚠ Same band as a head manager",IF(INDEX(B_VAL,MATCH(BG398,B_LVL,0))&gt;=INDEX(B_VAL,MATCH(BJ398,B_LVL,0)),"⚠ At or above the manager's level","OK"))))),"—")</f>
        <v>OK</v>
      </c>
      <c r="BL398" s="43" t="n"/>
      <c r="BM398" s="44">
        <f>IFERROR(INDEX(LMH_PTS,MATCH(Y398,LMH_KEY,0)),0)</f>
        <v>9</v>
      </c>
      <c r="BN398" s="38">
        <f>IFERROR(INDEX(LMH_PTS,MATCH(Z398,LMH_KEY,0)),0)</f>
        <v>3</v>
      </c>
      <c r="BO398" s="38">
        <f>IFERROR(INDEX(LMH_PTS,MATCH(AA398,LMH_KEY,0)),0)</f>
        <v>1</v>
      </c>
      <c r="BP398" s="38">
        <f>IFERROR(INDEX(LMH_PTS,MATCH(AB398,LMH_KEY,0)),0)</f>
        <v>1</v>
      </c>
      <c r="BQ398" s="38">
        <f>IFERROR(INDEX(LMH_PTS,MATCH(AC398,LMH_KEY,0)),0)</f>
        <v>1</v>
      </c>
      <c r="BR398" s="38">
        <f>IFERROR(INDEX(LMH_PTS,MATCH(AD398,LMH_KEY,0)),0)</f>
        <v>1</v>
      </c>
      <c r="BS398" s="38">
        <f>IFERROR(INDEX(LMH_PTS,MATCH(AE398,LMH_KEY,0)),0)</f>
        <v>1</v>
      </c>
      <c r="BT398" s="38">
        <f>IFERROR(INDEX(LMH_STEP,MATCH(AF398,LMH_KEY,0)),0)</f>
        <v>0</v>
      </c>
      <c r="BU398" s="38">
        <f>IFERROR(INDEX(LMH_STEP,MATCH(AG398,LMH_KEY,0)),0)</f>
        <v>0</v>
      </c>
      <c r="BV398" s="38">
        <f>IFERROR(INDEX(LMH_STEP,MATCH(AH398,LMH_KEY,0)),0)</f>
        <v>0</v>
      </c>
      <c r="BW398" s="38">
        <f>IFERROR(INDEX(LMH_STEP,MATCH(AI398,LMH_KEY,0)),0)</f>
        <v>0</v>
      </c>
      <c r="BX398" s="38">
        <f>IFERROR(INDEX(LMH_STEP,MATCH(AJ398,LMH_KEY,0)),0)</f>
        <v>0</v>
      </c>
      <c r="BY398" s="38">
        <f>IFERROR(INDEX(LMH_STEP,MATCH(AK398,LMH_KEY,0)),0)</f>
        <v>0</v>
      </c>
      <c r="BZ398" s="38">
        <f>IFERROR(INDEX(LMH_STEP,MATCH(AL398,LMH_KEY,0)),0)</f>
        <v>0</v>
      </c>
      <c r="CA398" s="38" t="inlineStr">
        <is>
          <t>iFile|Technology|AI/ML Specialist – POD Lead|B1|B-IC</t>
        </is>
      </c>
    </row>
    <row r="399" ht="110" customHeight="1">
      <c r="A399" s="28" t="inlineStr">
        <is>
          <t>iFile</t>
        </is>
      </c>
      <c r="B399" s="29" t="inlineStr">
        <is>
          <t>Technology</t>
        </is>
      </c>
      <c r="C399" s="29" t="n">
        <v>4</v>
      </c>
      <c r="D399" s="29" t="inlineStr">
        <is>
          <t>IRIS2483</t>
        </is>
      </c>
      <c r="E399" s="29" t="inlineStr">
        <is>
          <t>Soham Narsinge</t>
        </is>
      </c>
      <c r="F399" s="29" t="inlineStr">
        <is>
          <t>Trainee Software Engineer</t>
        </is>
      </c>
      <c r="G399" s="29" t="inlineStr">
        <is>
          <t>AI/ML Engineer</t>
        </is>
      </c>
      <c r="H399" s="29" t="inlineStr">
        <is>
          <t>Engineering &amp; Development</t>
        </is>
      </c>
      <c r="I399" s="29" t="inlineStr">
        <is>
          <t>AI / ML &amp; GenAI Engineering</t>
        </is>
      </c>
      <c r="J399" s="29" t="inlineStr">
        <is>
          <t>IC</t>
        </is>
      </c>
      <c r="K399" s="29" t="inlineStr">
        <is>
          <t>RC-059</t>
        </is>
      </c>
      <c r="L399" s="29" t="inlineStr">
        <is>
          <t>Prabhakar Mhadse</t>
        </is>
      </c>
      <c r="M399" s="29" t="inlineStr">
        <is>
          <t>IRIS2409</t>
        </is>
      </c>
      <c r="N399" s="29" t="n">
        <v>1.3</v>
      </c>
      <c r="O399" s="29" t="n">
        <v>0.6</v>
      </c>
      <c r="P399" s="29" t="inlineStr">
        <is>
          <t>B.E</t>
        </is>
      </c>
      <c r="Q399" s="29" t="inlineStr">
        <is>
          <t>Not in current mapping files</t>
        </is>
      </c>
      <c r="R399" s="29" t="inlineStr">
        <is>
          <t>A2</t>
        </is>
      </c>
      <c r="S399" s="30" t="inlineStr">
        <is>
          <t>20 of 20</t>
        </is>
      </c>
      <c r="T399" s="31"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t>
        </is>
      </c>
      <c r="U399" s="32" t="inlineStr">
        <is>
          <t>KRAs not received · manager to supply</t>
        </is>
      </c>
      <c r="V399" s="31" t="inlineStr">
        <is>
          <t>Latest rating: Not rated · manager · 9-box: Not placed · manager · Readiness: No rating data</t>
        </is>
      </c>
      <c r="W399" s="31" t="inlineStr">
        <is>
          <t>C M · Au M · Ac M · L L · BI M · Exp M · 1.3 yrs vs 0–2 yrs · Edu M · B.E</t>
        </is>
      </c>
      <c r="X399" s="33" t="inlineStr">
        <is>
          <t>Open ▸</t>
        </is>
      </c>
      <c r="Y399" s="34" t="str">
        <f>IFERROR(INDEX(DL_C,MATCH($CA399,DL_KEY,0)),"M")</f>
        <v>H</v>
      </c>
      <c r="Z399" s="35" t="str">
        <f>IFERROR(INDEX(DL_Au,MATCH($CA399,DL_KEY,0)),"M")</f>
        <v>M</v>
      </c>
      <c r="AA399" s="35" t="str">
        <f>IFERROR(INDEX(DL_Ac,MATCH($CA399,DL_KEY,0)),"M")</f>
        <v>L</v>
      </c>
      <c r="AB399" s="35" t="str">
        <f>IFERROR(INDEX(DL_L,MATCH($CA399,DL_KEY,0)),"M")</f>
        <v>L</v>
      </c>
      <c r="AC399" s="35" t="str">
        <f>IFERROR(INDEX(DL_BI,MATCH($CA399,DL_KEY,0)),"M")</f>
        <v>L</v>
      </c>
      <c r="AD399" s="35" t="str">
        <f>IFERROR(INDEX(DL_Exp,MATCH($CA399,DL_KEY,0)),"M")</f>
        <v>L</v>
      </c>
      <c r="AE399" s="35" t="str">
        <f>IFERROR(INDEX(DL_Edu,MATCH($CA399,DL_KEY,0)),"M")</f>
        <v>L</v>
      </c>
      <c r="AF399" s="34" t="inlineStr">
        <is>
          <t>M</t>
        </is>
      </c>
      <c r="AG399" s="35" t="inlineStr">
        <is>
          <t>M</t>
        </is>
      </c>
      <c r="AH399" s="35" t="inlineStr">
        <is>
          <t>M</t>
        </is>
      </c>
      <c r="AI399" s="35" t="inlineStr">
        <is>
          <t>M</t>
        </is>
      </c>
      <c r="AJ399" s="35" t="inlineStr">
        <is>
          <t>M</t>
        </is>
      </c>
      <c r="AK399" s="35" t="inlineStr">
        <is>
          <t>M</t>
        </is>
      </c>
      <c r="AL399" s="35" t="inlineStr">
        <is>
          <t>M</t>
        </is>
      </c>
      <c r="AM399" s="36" t="n">
        <v>0.583</v>
      </c>
      <c r="AN399" s="37" t="n">
        <v>0.16</v>
      </c>
      <c r="AO399" s="37" t="n">
        <v>0.09</v>
      </c>
      <c r="AP399" s="37" t="n">
        <v>0</v>
      </c>
      <c r="AQ399" s="37" t="n">
        <v>0.063</v>
      </c>
      <c r="AR399" s="37" t="n">
        <v>0.06</v>
      </c>
      <c r="AS399" s="37" t="n">
        <v>0.04</v>
      </c>
      <c r="AT399" s="38" t="inlineStr">
        <is>
          <t>0–3</t>
        </is>
      </c>
      <c r="AU399" s="38" t="inlineStr">
        <is>
          <t>Graduate · or diploma with experience</t>
        </is>
      </c>
      <c r="AV399" s="38" t="inlineStr">
        <is>
          <t>No direct reports</t>
        </is>
      </c>
      <c r="AW399" s="38" t="inlineStr">
        <is>
          <t>P1–P2 · SFIA 2 Assist</t>
        </is>
      </c>
      <c r="AX3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9" s="39" t="inlineStr">
        <is>
          <t>A2</t>
        </is>
      </c>
      <c r="AZ399" s="40" t="inlineStr">
        <is>
          <t>Band A · Practitioner · Associate</t>
        </is>
      </c>
      <c r="BA399" s="40" t="inlineStr">
        <is>
          <t>Model A2 from the six ratings, the market-derived weights and rules R1–R13 · then No change · already below the manager</t>
        </is>
      </c>
      <c r="BB399" s="41" t="inlineStr">
        <is>
          <t>A2</t>
        </is>
      </c>
      <c r="BC399" s="40" t="inlineStr">
        <is>
          <t>The six ratings on the market-average weights of Band A · all tracks score 1.84 → A2 · Hay, Mercer IPE and public plans · experience 1.3 yrs vs the A2 market range 0–3</t>
        </is>
      </c>
      <c r="BD399" s="42">
        <f>IF(SUM(BM399,BN399,BO399,BP399,BQ399,BR399,BS399)=0,0,(BM399*BT399+BN399*BU399+BO399*BV399+BP399*BW399+BQ399*BX399+BR399*BY399+BS399*BZ399)/SUM(BM399,BN399,BO399,BP399,BQ399,BR399,BS399))</f>
        <v>0</v>
      </c>
      <c r="BE399" s="41" t="str">
        <f>IF(LEFT(AY399,1)="X",AY399,IF(OR(AY399="B+",AY399="C+"),INDEX(LAD_PC,MAX(1,MIN(14,MATCH(AY399,LAD_PC,0)+IF(BD399&gt;=0.5,1,IF(BD399&lt;=-0.5,-1,0))))),INDEX(LAD_STD,MAX(1,MIN(12,MATCH(AY399,LAD_STD,0)+IF(BD399&gt;=0.5,1,IF(BD399&lt;=-0.5,-1,0)))))))</f>
        <v>A2</v>
      </c>
      <c r="BF399" s="43" t="n"/>
      <c r="BG399" s="41" t="str">
        <f>IF(BF399&lt;&gt;"",BF399,BE399)</f>
        <v>A2</v>
      </c>
      <c r="BH399" s="40" t="str">
        <f>IFERROR(CHOOSE(INDEX(B_RANK,MATCH(BG399,B_LVL,0)),"Band A","Band B","B+ · Player-Coach","Band C","C+ · Player-Coach","Band D","Band E"),"Band X · Consultant")</f>
        <v>Band A</v>
      </c>
      <c r="BI399" s="40" t="str">
        <f>IF(BG399=AY399,"• Same",IF(INDEX(B_VAL,MATCH(BG399,B_LVL,0))&gt;INDEX(B_VAL,MATCH(AY399,B_LVL,0)),"▲ Up","▼ Down"))</f>
        <v>• Same</v>
      </c>
      <c r="BJ399" s="40" t="str">
        <f>IF(OR($M399="",$M399="—",$M399="Not in this file"),"",IFERROR(INDEX($BG$7:$BG$592,MATCH($M399,$D$7:$D$592,0)),""))</f>
        <v>B1</v>
      </c>
      <c r="BK399" s="40" t="str">
        <f>IFERROR(IF(BJ399="","—",IF(OR(LEFT(BG399,1)="X",LEFT(BJ399,1)="X"),"—",IF(AND(LEFT(BG399,1)="E",LEFT(BJ399,1)="E"),"Exception · Band E",IF(AND(INDEX(B_VAL,MATCH(BJ399,B_LVL,0))&gt;=7,INDEX(B_RANK,MATCH(BG399,B_LVL,0))&gt;=INDEX(B_RANK,MATCH(BJ399,B_LVL,0))),"⚠ Same band as a head manager",IF(INDEX(B_VAL,MATCH(BG399,B_LVL,0))&gt;=INDEX(B_VAL,MATCH(BJ399,B_LVL,0)),"⚠ At or above the manager's level","OK"))))),"—")</f>
        <v>OK</v>
      </c>
      <c r="BL399" s="43" t="n"/>
      <c r="BM399" s="44">
        <f>IFERROR(INDEX(LMH_PTS,MATCH(Y399,LMH_KEY,0)),0)</f>
        <v>9</v>
      </c>
      <c r="BN399" s="38">
        <f>IFERROR(INDEX(LMH_PTS,MATCH(Z399,LMH_KEY,0)),0)</f>
        <v>3</v>
      </c>
      <c r="BO399" s="38">
        <f>IFERROR(INDEX(LMH_PTS,MATCH(AA399,LMH_KEY,0)),0)</f>
        <v>1</v>
      </c>
      <c r="BP399" s="38">
        <f>IFERROR(INDEX(LMH_PTS,MATCH(AB399,LMH_KEY,0)),0)</f>
        <v>1</v>
      </c>
      <c r="BQ399" s="38">
        <f>IFERROR(INDEX(LMH_PTS,MATCH(AC399,LMH_KEY,0)),0)</f>
        <v>1</v>
      </c>
      <c r="BR399" s="38">
        <f>IFERROR(INDEX(LMH_PTS,MATCH(AD399,LMH_KEY,0)),0)</f>
        <v>1</v>
      </c>
      <c r="BS399" s="38">
        <f>IFERROR(INDEX(LMH_PTS,MATCH(AE399,LMH_KEY,0)),0)</f>
        <v>1</v>
      </c>
      <c r="BT399" s="38">
        <f>IFERROR(INDEX(LMH_STEP,MATCH(AF399,LMH_KEY,0)),0)</f>
        <v>0</v>
      </c>
      <c r="BU399" s="38">
        <f>IFERROR(INDEX(LMH_STEP,MATCH(AG399,LMH_KEY,0)),0)</f>
        <v>0</v>
      </c>
      <c r="BV399" s="38">
        <f>IFERROR(INDEX(LMH_STEP,MATCH(AH399,LMH_KEY,0)),0)</f>
        <v>0</v>
      </c>
      <c r="BW399" s="38">
        <f>IFERROR(INDEX(LMH_STEP,MATCH(AI399,LMH_KEY,0)),0)</f>
        <v>0</v>
      </c>
      <c r="BX399" s="38">
        <f>IFERROR(INDEX(LMH_STEP,MATCH(AJ399,LMH_KEY,0)),0)</f>
        <v>0</v>
      </c>
      <c r="BY399" s="38">
        <f>IFERROR(INDEX(LMH_STEP,MATCH(AK399,LMH_KEY,0)),0)</f>
        <v>0</v>
      </c>
      <c r="BZ399" s="38">
        <f>IFERROR(INDEX(LMH_STEP,MATCH(AL399,LMH_KEY,0)),0)</f>
        <v>0</v>
      </c>
      <c r="CA399" s="38" t="inlineStr">
        <is>
          <t>iFile|Technology|AI/ML Engineer|A2|A</t>
        </is>
      </c>
    </row>
    <row r="400" ht="110" customHeight="1">
      <c r="A400" s="28" t="inlineStr">
        <is>
          <t>iFile</t>
        </is>
      </c>
      <c r="B400" s="29" t="inlineStr">
        <is>
          <t>Design</t>
        </is>
      </c>
      <c r="C400" s="29" t="n">
        <v>3</v>
      </c>
      <c r="D400" s="29" t="inlineStr">
        <is>
          <t>IRIS1593</t>
        </is>
      </c>
      <c r="E400" s="29" t="inlineStr">
        <is>
          <t>Rajeev Kumar</t>
        </is>
      </c>
      <c r="F400" s="29" t="inlineStr">
        <is>
          <t>Senior UI Developer</t>
        </is>
      </c>
      <c r="G400" s="29" t="inlineStr">
        <is>
          <t>UI Specialist – POD Lead</t>
        </is>
      </c>
      <c r="H400" s="29" t="inlineStr">
        <is>
          <t>Engineering &amp; Development</t>
        </is>
      </c>
      <c r="I400" s="29" t="inlineStr">
        <is>
          <t>Front-End / UI Development</t>
        </is>
      </c>
      <c r="J400" s="29" t="inlineStr">
        <is>
          <t>POD Lead</t>
        </is>
      </c>
      <c r="K400" s="29" t="inlineStr">
        <is>
          <t>RC-082</t>
        </is>
      </c>
      <c r="L400" s="29" t="inlineStr">
        <is>
          <t>Pradip Dey</t>
        </is>
      </c>
      <c r="M400" s="29" t="inlineStr">
        <is>
          <t>IRISC223</t>
        </is>
      </c>
      <c r="N400" s="29" t="n">
        <v>15.6</v>
      </c>
      <c r="O400" s="29" t="n">
        <v>10.1</v>
      </c>
      <c r="P400" s="29" t="inlineStr">
        <is>
          <t>MCA</t>
        </is>
      </c>
      <c r="Q400" s="29" t="inlineStr">
        <is>
          <t>L4 – Senior</t>
        </is>
      </c>
      <c r="R400" s="29" t="inlineStr">
        <is>
          <t>B1</t>
        </is>
      </c>
      <c r="S400" s="30" t="inlineStr">
        <is>
          <t>20 of 20</t>
        </is>
      </c>
      <c r="T400" s="31"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t>
        </is>
      </c>
      <c r="U400" s="31" t="inlineStr">
        <is>
          <t>Received · manager annual, quarterly · 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t>
        </is>
      </c>
      <c r="V400" s="31" t="inlineStr">
        <is>
          <t>Latest rating: 3 · Potential: Medium · 9-box: Core Contributor · Readiness: Develop in role</t>
        </is>
      </c>
      <c r="W400" s="31" t="inlineStr">
        <is>
          <t>C L · Au L · Ac L · L L · BI M · Exp H · 15.6 yrs vs 4–7 yrs · Edu H · MCA</t>
        </is>
      </c>
      <c r="X400" s="33" t="inlineStr">
        <is>
          <t>Open ▸</t>
        </is>
      </c>
      <c r="Y400" s="34" t="str">
        <f>IFERROR(INDEX(DL_C,MATCH($CA400,DL_KEY,0)),"M")</f>
        <v>H</v>
      </c>
      <c r="Z400" s="35" t="str">
        <f>IFERROR(INDEX(DL_Au,MATCH($CA400,DL_KEY,0)),"M")</f>
        <v>M</v>
      </c>
      <c r="AA400" s="35" t="str">
        <f>IFERROR(INDEX(DL_Ac,MATCH($CA400,DL_KEY,0)),"M")</f>
        <v>L</v>
      </c>
      <c r="AB400" s="35" t="str">
        <f>IFERROR(INDEX(DL_L,MATCH($CA400,DL_KEY,0)),"M")</f>
        <v>L</v>
      </c>
      <c r="AC400" s="35" t="str">
        <f>IFERROR(INDEX(DL_BI,MATCH($CA400,DL_KEY,0)),"M")</f>
        <v>L</v>
      </c>
      <c r="AD400" s="35" t="str">
        <f>IFERROR(INDEX(DL_Exp,MATCH($CA400,DL_KEY,0)),"M")</f>
        <v>L</v>
      </c>
      <c r="AE400" s="35" t="str">
        <f>IFERROR(INDEX(DL_Edu,MATCH($CA400,DL_KEY,0)),"M")</f>
        <v>L</v>
      </c>
      <c r="AF400" s="34" t="inlineStr">
        <is>
          <t>M</t>
        </is>
      </c>
      <c r="AG400" s="35" t="inlineStr">
        <is>
          <t>M</t>
        </is>
      </c>
      <c r="AH400" s="35" t="inlineStr">
        <is>
          <t>M</t>
        </is>
      </c>
      <c r="AI400" s="35" t="inlineStr">
        <is>
          <t>M</t>
        </is>
      </c>
      <c r="AJ400" s="35" t="inlineStr">
        <is>
          <t>M</t>
        </is>
      </c>
      <c r="AK400" s="35" t="inlineStr">
        <is>
          <t>M</t>
        </is>
      </c>
      <c r="AL400" s="35" t="inlineStr">
        <is>
          <t>M</t>
        </is>
      </c>
      <c r="AM400" s="36" t="n">
        <v>0.513</v>
      </c>
      <c r="AN400" s="37" t="n">
        <v>0.173</v>
      </c>
      <c r="AO400" s="37" t="n">
        <v>0.09699999999999999</v>
      </c>
      <c r="AP400" s="37" t="n">
        <v>0.05</v>
      </c>
      <c r="AQ400" s="37" t="n">
        <v>0.07000000000000001</v>
      </c>
      <c r="AR400" s="37" t="n">
        <v>0.06</v>
      </c>
      <c r="AS400" s="37" t="n">
        <v>0.04</v>
      </c>
      <c r="AT400" s="38" t="inlineStr">
        <is>
          <t>4–8</t>
        </is>
      </c>
      <c r="AU400" s="38" t="inlineStr">
        <is>
          <t>Graduate + relevant qualification or certification preferred</t>
        </is>
      </c>
      <c r="AV400" s="38" t="inlineStr">
        <is>
          <t>IC: none · Team Lead: 3–5</t>
        </is>
      </c>
      <c r="AW400" s="38" t="inlineStr">
        <is>
          <t>P3 / M2 · SFIA 4 Enable</t>
        </is>
      </c>
      <c r="AX4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0" s="39" t="inlineStr">
        <is>
          <t>B1</t>
        </is>
      </c>
      <c r="AZ400" s="40" t="inlineStr">
        <is>
          <t>Band B · Specialist / Manager · Team Lead / Asst Manager</t>
        </is>
      </c>
      <c r="BA400" s="40" t="inlineStr">
        <is>
          <t>Model B1 from the six ratings, the market-derived weights and rules R1–R13 · then No change · already below the manager</t>
        </is>
      </c>
      <c r="BB400" s="41" t="inlineStr">
        <is>
          <t>B1</t>
        </is>
      </c>
      <c r="BC400" s="40" t="inlineStr">
        <is>
          <t>The six ratings on the market-average weights of Band B · Specialist / POD Lead score 3.55 → B1 · Hay, Mercer IPE and public plans · experience 15.6 yrs vs the B1 market range 4–8</t>
        </is>
      </c>
      <c r="BD400" s="42">
        <f>IF(SUM(BM400,BN400,BO400,BP400,BQ400,BR400,BS400)=0,0,(BM400*BT400+BN400*BU400+BO400*BV400+BP400*BW400+BQ400*BX400+BR400*BY400+BS400*BZ400)/SUM(BM400,BN400,BO400,BP400,BQ400,BR400,BS400))</f>
        <v>0</v>
      </c>
      <c r="BE400" s="41" t="str">
        <f>IF(LEFT(AY400,1)="X",AY400,IF(OR(AY400="B+",AY400="C+"),INDEX(LAD_PC,MAX(1,MIN(14,MATCH(AY400,LAD_PC,0)+IF(BD400&gt;=0.5,1,IF(BD400&lt;=-0.5,-1,0))))),INDEX(LAD_STD,MAX(1,MIN(12,MATCH(AY400,LAD_STD,0)+IF(BD400&gt;=0.5,1,IF(BD400&lt;=-0.5,-1,0)))))))</f>
        <v>B1</v>
      </c>
      <c r="BF400" s="43" t="n"/>
      <c r="BG400" s="41" t="str">
        <f>IF(BF400&lt;&gt;"",BF400,BE400)</f>
        <v>B1</v>
      </c>
      <c r="BH400" s="40" t="str">
        <f>IFERROR(CHOOSE(INDEX(B_RANK,MATCH(BG400,B_LVL,0)),"Band A","Band B","B+ · Player-Coach","Band C","C+ · Player-Coach","Band D","Band E"),"Band X · Consultant")</f>
        <v>Band B</v>
      </c>
      <c r="BI400" s="40" t="str">
        <f>IF(BG400=AY400,"• Same",IF(INDEX(B_VAL,MATCH(BG400,B_LVL,0))&gt;INDEX(B_VAL,MATCH(AY400,B_LVL,0)),"▲ Up","▼ Down"))</f>
        <v>• Same</v>
      </c>
      <c r="BJ400" s="40" t="str">
        <f>IF(OR($M400="",$M400="—",$M400="Not in this file"),"",IFERROR(INDEX($BG$7:$BG$592,MATCH($M400,$D$7:$D$592,0)),""))</f>
        <v>C2</v>
      </c>
      <c r="BK400" s="40" t="str">
        <f>IFERROR(IF(BJ400="","—",IF(OR(LEFT(BG400,1)="X",LEFT(BJ400,1)="X"),"—",IF(AND(LEFT(BG400,1)="E",LEFT(BJ400,1)="E"),"Exception · Band E",IF(AND(INDEX(B_VAL,MATCH(BJ400,B_LVL,0))&gt;=7,INDEX(B_RANK,MATCH(BG400,B_LVL,0))&gt;=INDEX(B_RANK,MATCH(BJ400,B_LVL,0))),"⚠ Same band as a head manager",IF(INDEX(B_VAL,MATCH(BG400,B_LVL,0))&gt;=INDEX(B_VAL,MATCH(BJ400,B_LVL,0)),"⚠ At or above the manager's level","OK"))))),"—")</f>
        <v>OK</v>
      </c>
      <c r="BL400" s="43" t="n"/>
      <c r="BM400" s="44">
        <f>IFERROR(INDEX(LMH_PTS,MATCH(Y400,LMH_KEY,0)),0)</f>
        <v>9</v>
      </c>
      <c r="BN400" s="38">
        <f>IFERROR(INDEX(LMH_PTS,MATCH(Z400,LMH_KEY,0)),0)</f>
        <v>3</v>
      </c>
      <c r="BO400" s="38">
        <f>IFERROR(INDEX(LMH_PTS,MATCH(AA400,LMH_KEY,0)),0)</f>
        <v>1</v>
      </c>
      <c r="BP400" s="38">
        <f>IFERROR(INDEX(LMH_PTS,MATCH(AB400,LMH_KEY,0)),0)</f>
        <v>1</v>
      </c>
      <c r="BQ400" s="38">
        <f>IFERROR(INDEX(LMH_PTS,MATCH(AC400,LMH_KEY,0)),0)</f>
        <v>1</v>
      </c>
      <c r="BR400" s="38">
        <f>IFERROR(INDEX(LMH_PTS,MATCH(AD400,LMH_KEY,0)),0)</f>
        <v>1</v>
      </c>
      <c r="BS400" s="38">
        <f>IFERROR(INDEX(LMH_PTS,MATCH(AE400,LMH_KEY,0)),0)</f>
        <v>1</v>
      </c>
      <c r="BT400" s="38">
        <f>IFERROR(INDEX(LMH_STEP,MATCH(AF400,LMH_KEY,0)),0)</f>
        <v>0</v>
      </c>
      <c r="BU400" s="38">
        <f>IFERROR(INDEX(LMH_STEP,MATCH(AG400,LMH_KEY,0)),0)</f>
        <v>0</v>
      </c>
      <c r="BV400" s="38">
        <f>IFERROR(INDEX(LMH_STEP,MATCH(AH400,LMH_KEY,0)),0)</f>
        <v>0</v>
      </c>
      <c r="BW400" s="38">
        <f>IFERROR(INDEX(LMH_STEP,MATCH(AI400,LMH_KEY,0)),0)</f>
        <v>0</v>
      </c>
      <c r="BX400" s="38">
        <f>IFERROR(INDEX(LMH_STEP,MATCH(AJ400,LMH_KEY,0)),0)</f>
        <v>0</v>
      </c>
      <c r="BY400" s="38">
        <f>IFERROR(INDEX(LMH_STEP,MATCH(AK400,LMH_KEY,0)),0)</f>
        <v>0</v>
      </c>
      <c r="BZ400" s="38">
        <f>IFERROR(INDEX(LMH_STEP,MATCH(AL400,LMH_KEY,0)),0)</f>
        <v>0</v>
      </c>
      <c r="CA400" s="38" t="inlineStr">
        <is>
          <t>iFile|Design|UI Specialist – POD Lead|B1|B-IC</t>
        </is>
      </c>
    </row>
    <row r="401" ht="110" customHeight="1">
      <c r="A401" s="28" t="inlineStr">
        <is>
          <t>iFile</t>
        </is>
      </c>
      <c r="B401" s="29" t="inlineStr">
        <is>
          <t>Design</t>
        </is>
      </c>
      <c r="C401" s="29" t="n">
        <v>4</v>
      </c>
      <c r="D401" s="29" t="inlineStr">
        <is>
          <t>IRIS2300</t>
        </is>
      </c>
      <c r="E401" s="29" t="inlineStr">
        <is>
          <t>Kishori Rajigare</t>
        </is>
      </c>
      <c r="F401" s="29" t="inlineStr">
        <is>
          <t>UI Developer</t>
        </is>
      </c>
      <c r="G401" s="29" t="inlineStr">
        <is>
          <t>Senior UI Developer</t>
        </is>
      </c>
      <c r="H401" s="29" t="inlineStr">
        <is>
          <t>Engineering &amp; Development</t>
        </is>
      </c>
      <c r="I401" s="29" t="inlineStr">
        <is>
          <t>Front-End / UI Development</t>
        </is>
      </c>
      <c r="J401" s="29" t="inlineStr">
        <is>
          <t>IC</t>
        </is>
      </c>
      <c r="K401" s="29" t="inlineStr">
        <is>
          <t>RC-081</t>
        </is>
      </c>
      <c r="L401" s="29" t="inlineStr">
        <is>
          <t>Rajeev Kumar</t>
        </is>
      </c>
      <c r="M401" s="29" t="inlineStr">
        <is>
          <t>IRIS1593</t>
        </is>
      </c>
      <c r="N401" s="29" t="n">
        <v>6.7</v>
      </c>
      <c r="O401" s="29" t="n">
        <v>2.1</v>
      </c>
      <c r="P401" s="29" t="inlineStr">
        <is>
          <t>B.SC</t>
        </is>
      </c>
      <c r="Q401" s="29" t="inlineStr">
        <is>
          <t>L3 – Professional / Associate</t>
        </is>
      </c>
      <c r="R401" s="29" t="inlineStr">
        <is>
          <t>A3</t>
        </is>
      </c>
      <c r="S401" s="30" t="inlineStr">
        <is>
          <t>20 of 20</t>
        </is>
      </c>
      <c r="T401" s="31"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t>
        </is>
      </c>
      <c r="U401" s="31" t="inlineStr">
        <is>
          <t>Received · manager annual, quarterly, self · 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t>
        </is>
      </c>
      <c r="V401" s="31" t="inlineStr">
        <is>
          <t>Latest rating: 4 · Potential: High · 9-box: Future Leader · High Performance / High Potential · Readiness: Ready now</t>
        </is>
      </c>
      <c r="W401" s="31" t="inlineStr">
        <is>
          <t>C L · Au L · Ac L · L L · BI M · Exp H · 6.7 yrs vs 2–4 yrs · Edu M · B.SC</t>
        </is>
      </c>
      <c r="X401" s="33" t="inlineStr">
        <is>
          <t>Open ▸</t>
        </is>
      </c>
      <c r="Y401" s="34" t="str">
        <f>IFERROR(INDEX(DL_C,MATCH($CA401,DL_KEY,0)),"M")</f>
        <v>H</v>
      </c>
      <c r="Z401" s="35" t="str">
        <f>IFERROR(INDEX(DL_Au,MATCH($CA401,DL_KEY,0)),"M")</f>
        <v>M</v>
      </c>
      <c r="AA401" s="35" t="str">
        <f>IFERROR(INDEX(DL_Ac,MATCH($CA401,DL_KEY,0)),"M")</f>
        <v>L</v>
      </c>
      <c r="AB401" s="35" t="str">
        <f>IFERROR(INDEX(DL_L,MATCH($CA401,DL_KEY,0)),"M")</f>
        <v>L</v>
      </c>
      <c r="AC401" s="35" t="str">
        <f>IFERROR(INDEX(DL_BI,MATCH($CA401,DL_KEY,0)),"M")</f>
        <v>L</v>
      </c>
      <c r="AD401" s="35" t="str">
        <f>IFERROR(INDEX(DL_Exp,MATCH($CA401,DL_KEY,0)),"M")</f>
        <v>L</v>
      </c>
      <c r="AE401" s="35" t="str">
        <f>IFERROR(INDEX(DL_Edu,MATCH($CA401,DL_KEY,0)),"M")</f>
        <v>L</v>
      </c>
      <c r="AF401" s="34" t="inlineStr">
        <is>
          <t>M</t>
        </is>
      </c>
      <c r="AG401" s="35" t="inlineStr">
        <is>
          <t>M</t>
        </is>
      </c>
      <c r="AH401" s="35" t="inlineStr">
        <is>
          <t>M</t>
        </is>
      </c>
      <c r="AI401" s="35" t="inlineStr">
        <is>
          <t>M</t>
        </is>
      </c>
      <c r="AJ401" s="35" t="inlineStr">
        <is>
          <t>M</t>
        </is>
      </c>
      <c r="AK401" s="35" t="inlineStr">
        <is>
          <t>M</t>
        </is>
      </c>
      <c r="AL401" s="35" t="inlineStr">
        <is>
          <t>M</t>
        </is>
      </c>
      <c r="AM401" s="36" t="n">
        <v>0.583</v>
      </c>
      <c r="AN401" s="37" t="n">
        <v>0.16</v>
      </c>
      <c r="AO401" s="37" t="n">
        <v>0.09</v>
      </c>
      <c r="AP401" s="37" t="n">
        <v>0</v>
      </c>
      <c r="AQ401" s="37" t="n">
        <v>0.063</v>
      </c>
      <c r="AR401" s="37" t="n">
        <v>0.06</v>
      </c>
      <c r="AS401" s="37" t="n">
        <v>0.04</v>
      </c>
      <c r="AT401" s="38" t="inlineStr">
        <is>
          <t>2–5</t>
        </is>
      </c>
      <c r="AU401" s="38" t="inlineStr">
        <is>
          <t>Graduate; relevant certification preferred</t>
        </is>
      </c>
      <c r="AV401" s="38" t="inlineStr">
        <is>
          <t>None · guides 1–3 juniors informally</t>
        </is>
      </c>
      <c r="AW401" s="38" t="inlineStr">
        <is>
          <t>P2 · SFIA 3 Apply</t>
        </is>
      </c>
      <c r="AX4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1" s="39" t="inlineStr">
        <is>
          <t>A3</t>
        </is>
      </c>
      <c r="AZ401" s="40" t="inlineStr">
        <is>
          <t>Band A · Practitioner · Senior Associate</t>
        </is>
      </c>
      <c r="BA401" s="40" t="inlineStr">
        <is>
          <t>Model A3 from the six ratings, the market-derived weights and rules R1–R13 · then No change · already below the manager</t>
        </is>
      </c>
      <c r="BB401" s="41" t="inlineStr">
        <is>
          <t>A2</t>
        </is>
      </c>
      <c r="BC401" s="40" t="inlineStr">
        <is>
          <t>The six ratings on the market-average weights of Band A · all tracks score 2.28 → A2 · Hay, Mercer IPE and public plans · experience 6.7 yrs vs the A2 market range 0–3</t>
        </is>
      </c>
      <c r="BD401" s="42">
        <f>IF(SUM(BM401,BN401,BO401,BP401,BQ401,BR401,BS401)=0,0,(BM401*BT401+BN401*BU401+BO401*BV401+BP401*BW401+BQ401*BX401+BR401*BY401+BS401*BZ401)/SUM(BM401,BN401,BO401,BP401,BQ401,BR401,BS401))</f>
        <v>0</v>
      </c>
      <c r="BE401" s="41" t="str">
        <f>IF(LEFT(AY401,1)="X",AY401,IF(OR(AY401="B+",AY401="C+"),INDEX(LAD_PC,MAX(1,MIN(14,MATCH(AY401,LAD_PC,0)+IF(BD401&gt;=0.5,1,IF(BD401&lt;=-0.5,-1,0))))),INDEX(LAD_STD,MAX(1,MIN(12,MATCH(AY401,LAD_STD,0)+IF(BD401&gt;=0.5,1,IF(BD401&lt;=-0.5,-1,0)))))))</f>
        <v>A3</v>
      </c>
      <c r="BF401" s="43" t="n"/>
      <c r="BG401" s="41" t="str">
        <f>IF(BF401&lt;&gt;"",BF401,BE401)</f>
        <v>A3</v>
      </c>
      <c r="BH401" s="40" t="str">
        <f>IFERROR(CHOOSE(INDEX(B_RANK,MATCH(BG401,B_LVL,0)),"Band A","Band B","B+ · Player-Coach","Band C","C+ · Player-Coach","Band D","Band E"),"Band X · Consultant")</f>
        <v>Band A</v>
      </c>
      <c r="BI401" s="40" t="str">
        <f>IF(BG401=AY401,"• Same",IF(INDEX(B_VAL,MATCH(BG401,B_LVL,0))&gt;INDEX(B_VAL,MATCH(AY401,B_LVL,0)),"▲ Up","▼ Down"))</f>
        <v>• Same</v>
      </c>
      <c r="BJ401" s="40" t="str">
        <f>IF(OR($M401="",$M401="—",$M401="Not in this file"),"",IFERROR(INDEX($BG$7:$BG$592,MATCH($M401,$D$7:$D$592,0)),""))</f>
        <v>B1</v>
      </c>
      <c r="BK401" s="40" t="str">
        <f>IFERROR(IF(BJ401="","—",IF(OR(LEFT(BG401,1)="X",LEFT(BJ401,1)="X"),"—",IF(AND(LEFT(BG401,1)="E",LEFT(BJ401,1)="E"),"Exception · Band E",IF(AND(INDEX(B_VAL,MATCH(BJ401,B_LVL,0))&gt;=7,INDEX(B_RANK,MATCH(BG401,B_LVL,0))&gt;=INDEX(B_RANK,MATCH(BJ401,B_LVL,0))),"⚠ Same band as a head manager",IF(INDEX(B_VAL,MATCH(BG401,B_LVL,0))&gt;=INDEX(B_VAL,MATCH(BJ401,B_LVL,0)),"⚠ At or above the manager's level","OK"))))),"—")</f>
        <v>OK</v>
      </c>
      <c r="BL401" s="43" t="n"/>
      <c r="BM401" s="44">
        <f>IFERROR(INDEX(LMH_PTS,MATCH(Y401,LMH_KEY,0)),0)</f>
        <v>9</v>
      </c>
      <c r="BN401" s="38">
        <f>IFERROR(INDEX(LMH_PTS,MATCH(Z401,LMH_KEY,0)),0)</f>
        <v>3</v>
      </c>
      <c r="BO401" s="38">
        <f>IFERROR(INDEX(LMH_PTS,MATCH(AA401,LMH_KEY,0)),0)</f>
        <v>1</v>
      </c>
      <c r="BP401" s="38">
        <f>IFERROR(INDEX(LMH_PTS,MATCH(AB401,LMH_KEY,0)),0)</f>
        <v>1</v>
      </c>
      <c r="BQ401" s="38">
        <f>IFERROR(INDEX(LMH_PTS,MATCH(AC401,LMH_KEY,0)),0)</f>
        <v>1</v>
      </c>
      <c r="BR401" s="38">
        <f>IFERROR(INDEX(LMH_PTS,MATCH(AD401,LMH_KEY,0)),0)</f>
        <v>1</v>
      </c>
      <c r="BS401" s="38">
        <f>IFERROR(INDEX(LMH_PTS,MATCH(AE401,LMH_KEY,0)),0)</f>
        <v>1</v>
      </c>
      <c r="BT401" s="38">
        <f>IFERROR(INDEX(LMH_STEP,MATCH(AF401,LMH_KEY,0)),0)</f>
        <v>0</v>
      </c>
      <c r="BU401" s="38">
        <f>IFERROR(INDEX(LMH_STEP,MATCH(AG401,LMH_KEY,0)),0)</f>
        <v>0</v>
      </c>
      <c r="BV401" s="38">
        <f>IFERROR(INDEX(LMH_STEP,MATCH(AH401,LMH_KEY,0)),0)</f>
        <v>0</v>
      </c>
      <c r="BW401" s="38">
        <f>IFERROR(INDEX(LMH_STEP,MATCH(AI401,LMH_KEY,0)),0)</f>
        <v>0</v>
      </c>
      <c r="BX401" s="38">
        <f>IFERROR(INDEX(LMH_STEP,MATCH(AJ401,LMH_KEY,0)),0)</f>
        <v>0</v>
      </c>
      <c r="BY401" s="38">
        <f>IFERROR(INDEX(LMH_STEP,MATCH(AK401,LMH_KEY,0)),0)</f>
        <v>0</v>
      </c>
      <c r="BZ401" s="38">
        <f>IFERROR(INDEX(LMH_STEP,MATCH(AL401,LMH_KEY,0)),0)</f>
        <v>0</v>
      </c>
      <c r="CA401" s="38" t="inlineStr">
        <is>
          <t>iFile|Design|Senior UI Developer|A3|A</t>
        </is>
      </c>
    </row>
    <row r="402" ht="110" customHeight="1">
      <c r="A402" s="28" t="inlineStr">
        <is>
          <t>iFile</t>
        </is>
      </c>
      <c r="B402" s="29" t="inlineStr">
        <is>
          <t>Technology</t>
        </is>
      </c>
      <c r="C402" s="29" t="n">
        <v>3</v>
      </c>
      <c r="D402" s="29" t="inlineStr">
        <is>
          <t>IRIS1955</t>
        </is>
      </c>
      <c r="E402" s="29" t="inlineStr">
        <is>
          <t>Akbar Basha</t>
        </is>
      </c>
      <c r="F402" s="29" t="inlineStr">
        <is>
          <t>Senior Software Engineer</t>
        </is>
      </c>
      <c r="G402" s="29" t="inlineStr">
        <is>
          <t>Senior Database Engineer</t>
        </is>
      </c>
      <c r="H402" s="29" t="inlineStr">
        <is>
          <t>Engineering &amp; Development</t>
        </is>
      </c>
      <c r="I402" s="29" t="inlineStr">
        <is>
          <t>Data Engineering &amp; Database Development</t>
        </is>
      </c>
      <c r="J402" s="29" t="inlineStr">
        <is>
          <t>IC</t>
        </is>
      </c>
      <c r="K402" s="29" t="inlineStr">
        <is>
          <t>RC-074</t>
        </is>
      </c>
      <c r="L402" s="29" t="inlineStr">
        <is>
          <t>Pradip Dey</t>
        </is>
      </c>
      <c r="M402" s="29" t="inlineStr">
        <is>
          <t>IRISC223</t>
        </is>
      </c>
      <c r="N402" s="29" t="n">
        <v>8</v>
      </c>
      <c r="O402" s="29" t="n">
        <v>5</v>
      </c>
      <c r="P402" s="29" t="inlineStr">
        <is>
          <t>B.SC</t>
        </is>
      </c>
      <c r="Q402" s="29" t="inlineStr">
        <is>
          <t>L4 – Senior</t>
        </is>
      </c>
      <c r="R402" s="29" t="inlineStr">
        <is>
          <t>A3</t>
        </is>
      </c>
      <c r="S402" s="30" t="inlineStr">
        <is>
          <t>20 of 20</t>
        </is>
      </c>
      <c r="T402" s="31"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t>
        </is>
      </c>
      <c r="U402" s="32" t="inlineStr">
        <is>
          <t>KRAs not received · manager to supply</t>
        </is>
      </c>
      <c r="V402" s="31" t="inlineStr">
        <is>
          <t>Latest rating: Not rated · manager · 9-box: Not placed · manager · Readiness: No rating data</t>
        </is>
      </c>
      <c r="W402" s="31" t="inlineStr">
        <is>
          <t>C M · Au M · Ac M · L M · BI M · Exp H · 8 yrs vs 2–4 yrs · Edu M · B.SC</t>
        </is>
      </c>
      <c r="X402" s="33" t="inlineStr">
        <is>
          <t>Open ▸</t>
        </is>
      </c>
      <c r="Y402" s="34" t="str">
        <f>IFERROR(INDEX(DL_C,MATCH($CA402,DL_KEY,0)),"M")</f>
        <v>H</v>
      </c>
      <c r="Z402" s="35" t="str">
        <f>IFERROR(INDEX(DL_Au,MATCH($CA402,DL_KEY,0)),"M")</f>
        <v>M</v>
      </c>
      <c r="AA402" s="35" t="str">
        <f>IFERROR(INDEX(DL_Ac,MATCH($CA402,DL_KEY,0)),"M")</f>
        <v>L</v>
      </c>
      <c r="AB402" s="35" t="str">
        <f>IFERROR(INDEX(DL_L,MATCH($CA402,DL_KEY,0)),"M")</f>
        <v>L</v>
      </c>
      <c r="AC402" s="35" t="str">
        <f>IFERROR(INDEX(DL_BI,MATCH($CA402,DL_KEY,0)),"M")</f>
        <v>L</v>
      </c>
      <c r="AD402" s="35" t="str">
        <f>IFERROR(INDEX(DL_Exp,MATCH($CA402,DL_KEY,0)),"M")</f>
        <v>L</v>
      </c>
      <c r="AE402" s="35" t="str">
        <f>IFERROR(INDEX(DL_Edu,MATCH($CA402,DL_KEY,0)),"M")</f>
        <v>L</v>
      </c>
      <c r="AF402" s="34" t="inlineStr">
        <is>
          <t>M</t>
        </is>
      </c>
      <c r="AG402" s="35" t="inlineStr">
        <is>
          <t>M</t>
        </is>
      </c>
      <c r="AH402" s="35" t="inlineStr">
        <is>
          <t>M</t>
        </is>
      </c>
      <c r="AI402" s="35" t="inlineStr">
        <is>
          <t>M</t>
        </is>
      </c>
      <c r="AJ402" s="35" t="inlineStr">
        <is>
          <t>M</t>
        </is>
      </c>
      <c r="AK402" s="35" t="inlineStr">
        <is>
          <t>M</t>
        </is>
      </c>
      <c r="AL402" s="35" t="inlineStr">
        <is>
          <t>M</t>
        </is>
      </c>
      <c r="AM402" s="36" t="n">
        <v>0.583</v>
      </c>
      <c r="AN402" s="37" t="n">
        <v>0.16</v>
      </c>
      <c r="AO402" s="37" t="n">
        <v>0.09</v>
      </c>
      <c r="AP402" s="37" t="n">
        <v>0</v>
      </c>
      <c r="AQ402" s="37" t="n">
        <v>0.063</v>
      </c>
      <c r="AR402" s="37" t="n">
        <v>0.06</v>
      </c>
      <c r="AS402" s="37" t="n">
        <v>0.04</v>
      </c>
      <c r="AT402" s="38" t="inlineStr">
        <is>
          <t>2–5</t>
        </is>
      </c>
      <c r="AU402" s="38" t="inlineStr">
        <is>
          <t>Graduate; relevant certification preferred</t>
        </is>
      </c>
      <c r="AV402" s="38" t="inlineStr">
        <is>
          <t>None · guides 1–3 juniors informally</t>
        </is>
      </c>
      <c r="AW402" s="38" t="inlineStr">
        <is>
          <t>P2 · SFIA 3 Apply</t>
        </is>
      </c>
      <c r="AX4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2" s="39" t="inlineStr">
        <is>
          <t>A3</t>
        </is>
      </c>
      <c r="AZ402" s="40" t="inlineStr">
        <is>
          <t>Band A · Practitioner · Senior Associate</t>
        </is>
      </c>
      <c r="BA402" s="40" t="inlineStr">
        <is>
          <t>Model A3 from the six ratings, the market-derived weights and rules R1–R13 · then No change · already below the manager</t>
        </is>
      </c>
      <c r="BB402" s="41" t="inlineStr">
        <is>
          <t>A3</t>
        </is>
      </c>
      <c r="BC402" s="40" t="inlineStr">
        <is>
          <t>The six ratings on the market-average weights of Band A · all tracks score 3.20 → A3 · Hay, Mercer IPE and public plans · experience 8 yrs vs the A3 market range 2–5</t>
        </is>
      </c>
      <c r="BD402" s="42">
        <f>IF(SUM(BM402,BN402,BO402,BP402,BQ402,BR402,BS402)=0,0,(BM402*BT402+BN402*BU402+BO402*BV402+BP402*BW402+BQ402*BX402+BR402*BY402+BS402*BZ402)/SUM(BM402,BN402,BO402,BP402,BQ402,BR402,BS402))</f>
        <v>0</v>
      </c>
      <c r="BE402" s="41" t="str">
        <f>IF(LEFT(AY402,1)="X",AY402,IF(OR(AY402="B+",AY402="C+"),INDEX(LAD_PC,MAX(1,MIN(14,MATCH(AY402,LAD_PC,0)+IF(BD402&gt;=0.5,1,IF(BD402&lt;=-0.5,-1,0))))),INDEX(LAD_STD,MAX(1,MIN(12,MATCH(AY402,LAD_STD,0)+IF(BD402&gt;=0.5,1,IF(BD402&lt;=-0.5,-1,0)))))))</f>
        <v>A3</v>
      </c>
      <c r="BF402" s="43" t="n"/>
      <c r="BG402" s="41" t="str">
        <f>IF(BF402&lt;&gt;"",BF402,BE402)</f>
        <v>A3</v>
      </c>
      <c r="BH402" s="40" t="str">
        <f>IFERROR(CHOOSE(INDEX(B_RANK,MATCH(BG402,B_LVL,0)),"Band A","Band B","B+ · Player-Coach","Band C","C+ · Player-Coach","Band D","Band E"),"Band X · Consultant")</f>
        <v>Band A</v>
      </c>
      <c r="BI402" s="40" t="str">
        <f>IF(BG402=AY402,"• Same",IF(INDEX(B_VAL,MATCH(BG402,B_LVL,0))&gt;INDEX(B_VAL,MATCH(AY402,B_LVL,0)),"▲ Up","▼ Down"))</f>
        <v>• Same</v>
      </c>
      <c r="BJ402" s="40" t="str">
        <f>IF(OR($M402="",$M402="—",$M402="Not in this file"),"",IFERROR(INDEX($BG$7:$BG$592,MATCH($M402,$D$7:$D$592,0)),""))</f>
        <v>C2</v>
      </c>
      <c r="BK402" s="40" t="str">
        <f>IFERROR(IF(BJ402="","—",IF(OR(LEFT(BG402,1)="X",LEFT(BJ402,1)="X"),"—",IF(AND(LEFT(BG402,1)="E",LEFT(BJ402,1)="E"),"Exception · Band E",IF(AND(INDEX(B_VAL,MATCH(BJ402,B_LVL,0))&gt;=7,INDEX(B_RANK,MATCH(BG402,B_LVL,0))&gt;=INDEX(B_RANK,MATCH(BJ402,B_LVL,0))),"⚠ Same band as a head manager",IF(INDEX(B_VAL,MATCH(BG402,B_LVL,0))&gt;=INDEX(B_VAL,MATCH(BJ402,B_LVL,0)),"⚠ At or above the manager's level","OK"))))),"—")</f>
        <v>OK</v>
      </c>
      <c r="BL402" s="43" t="n"/>
      <c r="BM402" s="44">
        <f>IFERROR(INDEX(LMH_PTS,MATCH(Y402,LMH_KEY,0)),0)</f>
        <v>9</v>
      </c>
      <c r="BN402" s="38">
        <f>IFERROR(INDEX(LMH_PTS,MATCH(Z402,LMH_KEY,0)),0)</f>
        <v>3</v>
      </c>
      <c r="BO402" s="38">
        <f>IFERROR(INDEX(LMH_PTS,MATCH(AA402,LMH_KEY,0)),0)</f>
        <v>1</v>
      </c>
      <c r="BP402" s="38">
        <f>IFERROR(INDEX(LMH_PTS,MATCH(AB402,LMH_KEY,0)),0)</f>
        <v>1</v>
      </c>
      <c r="BQ402" s="38">
        <f>IFERROR(INDEX(LMH_PTS,MATCH(AC402,LMH_KEY,0)),0)</f>
        <v>1</v>
      </c>
      <c r="BR402" s="38">
        <f>IFERROR(INDEX(LMH_PTS,MATCH(AD402,LMH_KEY,0)),0)</f>
        <v>1</v>
      </c>
      <c r="BS402" s="38">
        <f>IFERROR(INDEX(LMH_PTS,MATCH(AE402,LMH_KEY,0)),0)</f>
        <v>1</v>
      </c>
      <c r="BT402" s="38">
        <f>IFERROR(INDEX(LMH_STEP,MATCH(AF402,LMH_KEY,0)),0)</f>
        <v>0</v>
      </c>
      <c r="BU402" s="38">
        <f>IFERROR(INDEX(LMH_STEP,MATCH(AG402,LMH_KEY,0)),0)</f>
        <v>0</v>
      </c>
      <c r="BV402" s="38">
        <f>IFERROR(INDEX(LMH_STEP,MATCH(AH402,LMH_KEY,0)),0)</f>
        <v>0</v>
      </c>
      <c r="BW402" s="38">
        <f>IFERROR(INDEX(LMH_STEP,MATCH(AI402,LMH_KEY,0)),0)</f>
        <v>0</v>
      </c>
      <c r="BX402" s="38">
        <f>IFERROR(INDEX(LMH_STEP,MATCH(AJ402,LMH_KEY,0)),0)</f>
        <v>0</v>
      </c>
      <c r="BY402" s="38">
        <f>IFERROR(INDEX(LMH_STEP,MATCH(AK402,LMH_KEY,0)),0)</f>
        <v>0</v>
      </c>
      <c r="BZ402" s="38">
        <f>IFERROR(INDEX(LMH_STEP,MATCH(AL402,LMH_KEY,0)),0)</f>
        <v>0</v>
      </c>
      <c r="CA402" s="38" t="inlineStr">
        <is>
          <t>iFile|Technology|Senior Database Engineer|A3|A</t>
        </is>
      </c>
    </row>
    <row r="403" ht="110" customHeight="1">
      <c r="A403" s="28" t="inlineStr">
        <is>
          <t>iFile</t>
        </is>
      </c>
      <c r="B403" s="29" t="inlineStr">
        <is>
          <t>Technology</t>
        </is>
      </c>
      <c r="C403" s="29" t="n">
        <v>4</v>
      </c>
      <c r="D403" s="29" t="inlineStr">
        <is>
          <t>IRIS2484</t>
        </is>
      </c>
      <c r="E403" s="29" t="inlineStr">
        <is>
          <t>Vinay Gajula</t>
        </is>
      </c>
      <c r="F403" s="29" t="inlineStr">
        <is>
          <t>Trainee Software Engineer</t>
        </is>
      </c>
      <c r="G403" s="29" t="inlineStr">
        <is>
          <t>Trainee AI/ML Engineer</t>
        </is>
      </c>
      <c r="H403" s="29" t="inlineStr">
        <is>
          <t>Engineering &amp; Development</t>
        </is>
      </c>
      <c r="I403" s="29" t="inlineStr">
        <is>
          <t>AI / ML &amp; GenAI Engineering</t>
        </is>
      </c>
      <c r="J403" s="29" t="inlineStr">
        <is>
          <t>IC</t>
        </is>
      </c>
      <c r="K403" s="29" t="inlineStr">
        <is>
          <t>RC-058</t>
        </is>
      </c>
      <c r="L403" s="29" t="inlineStr">
        <is>
          <t>Akbar Basha</t>
        </is>
      </c>
      <c r="M403" s="29" t="inlineStr">
        <is>
          <t>IRIS1955</t>
        </is>
      </c>
      <c r="N403" s="29" t="n">
        <v>0.6</v>
      </c>
      <c r="O403" s="29" t="n">
        <v>0.6</v>
      </c>
      <c r="P403" s="29" t="inlineStr">
        <is>
          <t>B.E</t>
        </is>
      </c>
      <c r="Q403" s="29" t="inlineStr">
        <is>
          <t>Not in current mapping files</t>
        </is>
      </c>
      <c r="R403" s="29" t="inlineStr">
        <is>
          <t>A1</t>
        </is>
      </c>
      <c r="S403" s="30" t="inlineStr">
        <is>
          <t>20 of 20</t>
        </is>
      </c>
      <c r="T403" s="32" t="inlineStr">
        <is>
          <t>Full survey answers not in the files received · How We Grow export needed · HR</t>
        </is>
      </c>
      <c r="U403" s="32" t="inlineStr">
        <is>
          <t>KRAs not received · manager to supply</t>
        </is>
      </c>
      <c r="V403" s="31" t="inlineStr">
        <is>
          <t>Latest rating: Not rated · manager · 9-box: Not placed · manager · Readiness: No rating data</t>
        </is>
      </c>
      <c r="W403" s="31" t="inlineStr">
        <is>
          <t>C — · Au — · Ac — · L — · BI — · Exp H · 0.6 yrs vs 0 yrs · fresher / intern · Edu M · B.E</t>
        </is>
      </c>
      <c r="X403" s="33" t="inlineStr">
        <is>
          <t>Open ▸</t>
        </is>
      </c>
      <c r="Y403" s="34" t="str">
        <f>IFERROR(INDEX(DL_C,MATCH($CA403,DL_KEY,0)),"M")</f>
        <v>H</v>
      </c>
      <c r="Z403" s="35" t="str">
        <f>IFERROR(INDEX(DL_Au,MATCH($CA403,DL_KEY,0)),"M")</f>
        <v>M</v>
      </c>
      <c r="AA403" s="35" t="str">
        <f>IFERROR(INDEX(DL_Ac,MATCH($CA403,DL_KEY,0)),"M")</f>
        <v>L</v>
      </c>
      <c r="AB403" s="35" t="str">
        <f>IFERROR(INDEX(DL_L,MATCH($CA403,DL_KEY,0)),"M")</f>
        <v>L</v>
      </c>
      <c r="AC403" s="35" t="str">
        <f>IFERROR(INDEX(DL_BI,MATCH($CA403,DL_KEY,0)),"M")</f>
        <v>L</v>
      </c>
      <c r="AD403" s="35" t="str">
        <f>IFERROR(INDEX(DL_Exp,MATCH($CA403,DL_KEY,0)),"M")</f>
        <v>L</v>
      </c>
      <c r="AE403" s="35" t="str">
        <f>IFERROR(INDEX(DL_Edu,MATCH($CA403,DL_KEY,0)),"M")</f>
        <v>L</v>
      </c>
      <c r="AF403" s="34" t="inlineStr">
        <is>
          <t>M</t>
        </is>
      </c>
      <c r="AG403" s="35" t="inlineStr">
        <is>
          <t>M</t>
        </is>
      </c>
      <c r="AH403" s="35" t="inlineStr">
        <is>
          <t>M</t>
        </is>
      </c>
      <c r="AI403" s="35" t="inlineStr">
        <is>
          <t>M</t>
        </is>
      </c>
      <c r="AJ403" s="35" t="inlineStr">
        <is>
          <t>M</t>
        </is>
      </c>
      <c r="AK403" s="35" t="inlineStr">
        <is>
          <t>M</t>
        </is>
      </c>
      <c r="AL403" s="35" t="inlineStr">
        <is>
          <t>M</t>
        </is>
      </c>
      <c r="AM403" s="36" t="n">
        <v>0.583</v>
      </c>
      <c r="AN403" s="37" t="n">
        <v>0.16</v>
      </c>
      <c r="AO403" s="37" t="n">
        <v>0.09</v>
      </c>
      <c r="AP403" s="37" t="n">
        <v>0</v>
      </c>
      <c r="AQ403" s="37" t="n">
        <v>0.063</v>
      </c>
      <c r="AR403" s="37" t="n">
        <v>0.06</v>
      </c>
      <c r="AS403" s="37" t="n">
        <v>0.04</v>
      </c>
      <c r="AT403" s="38" t="inlineStr">
        <is>
          <t>0 yrs · fresher / intern</t>
        </is>
      </c>
      <c r="AU403" s="38" t="inlineStr">
        <is>
          <t>Pursuing or completed graduation / diploma</t>
        </is>
      </c>
      <c r="AV403" s="38" t="inlineStr">
        <is>
          <t>No direct reports</t>
        </is>
      </c>
      <c r="AW403" s="38" t="inlineStr">
        <is>
          <t>Entry / P1 · intern · SFIA 1 Follow</t>
        </is>
      </c>
      <c r="AX4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3" s="39" t="inlineStr">
        <is>
          <t>A1</t>
        </is>
      </c>
      <c r="AZ403" s="40" t="inlineStr">
        <is>
          <t>Band A · Practitioner · Intern / Trainee</t>
        </is>
      </c>
      <c r="BA403" s="40" t="inlineStr">
        <is>
          <t>Model A1 from the six ratings, the market-derived weights and rules R1–R13 · then No change · already below the manager</t>
        </is>
      </c>
      <c r="BB403" s="41" t="inlineStr">
        <is>
          <t>A1</t>
        </is>
      </c>
      <c r="BC403" s="40" t="inlineStr">
        <is>
          <t>Placed by a category rule — no full set of ratings · benchmark follows the HR proposed level</t>
        </is>
      </c>
      <c r="BD403" s="42">
        <f>IF(SUM(BM403,BN403,BO403,BP403,BQ403,BR403,BS403)=0,0,(BM403*BT403+BN403*BU403+BO403*BV403+BP403*BW403+BQ403*BX403+BR403*BY403+BS403*BZ403)/SUM(BM403,BN403,BO403,BP403,BQ403,BR403,BS403))</f>
        <v>0</v>
      </c>
      <c r="BE403" s="41" t="str">
        <f>IF(LEFT(AY403,1)="X",AY403,IF(OR(AY403="B+",AY403="C+"),INDEX(LAD_PC,MAX(1,MIN(14,MATCH(AY403,LAD_PC,0)+IF(BD403&gt;=0.5,1,IF(BD403&lt;=-0.5,-1,0))))),INDEX(LAD_STD,MAX(1,MIN(12,MATCH(AY403,LAD_STD,0)+IF(BD403&gt;=0.5,1,IF(BD403&lt;=-0.5,-1,0)))))))</f>
        <v>A1</v>
      </c>
      <c r="BF403" s="43" t="n"/>
      <c r="BG403" s="41" t="str">
        <f>IF(BF403&lt;&gt;"",BF403,BE403)</f>
        <v>A1</v>
      </c>
      <c r="BH403" s="40" t="str">
        <f>IFERROR(CHOOSE(INDEX(B_RANK,MATCH(BG403,B_LVL,0)),"Band A","Band B","B+ · Player-Coach","Band C","C+ · Player-Coach","Band D","Band E"),"Band X · Consultant")</f>
        <v>Band A</v>
      </c>
      <c r="BI403" s="40" t="str">
        <f>IF(BG403=AY403,"• Same",IF(INDEX(B_VAL,MATCH(BG403,B_LVL,0))&gt;INDEX(B_VAL,MATCH(AY403,B_LVL,0)),"▲ Up","▼ Down"))</f>
        <v>• Same</v>
      </c>
      <c r="BJ403" s="40" t="str">
        <f>IF(OR($M403="",$M403="—",$M403="Not in this file"),"",IFERROR(INDEX($BG$7:$BG$592,MATCH($M403,$D$7:$D$592,0)),""))</f>
        <v>A3</v>
      </c>
      <c r="BK403" s="40" t="str">
        <f>IFERROR(IF(BJ403="","—",IF(OR(LEFT(BG403,1)="X",LEFT(BJ403,1)="X"),"—",IF(AND(LEFT(BG403,1)="E",LEFT(BJ403,1)="E"),"Exception · Band E",IF(AND(INDEX(B_VAL,MATCH(BJ403,B_LVL,0))&gt;=7,INDEX(B_RANK,MATCH(BG403,B_LVL,0))&gt;=INDEX(B_RANK,MATCH(BJ403,B_LVL,0))),"⚠ Same band as a head manager",IF(INDEX(B_VAL,MATCH(BG403,B_LVL,0))&gt;=INDEX(B_VAL,MATCH(BJ403,B_LVL,0)),"⚠ At or above the manager's level","OK"))))),"—")</f>
        <v>OK</v>
      </c>
      <c r="BL403" s="43" t="n"/>
      <c r="BM403" s="44">
        <f>IFERROR(INDEX(LMH_PTS,MATCH(Y403,LMH_KEY,0)),0)</f>
        <v>9</v>
      </c>
      <c r="BN403" s="38">
        <f>IFERROR(INDEX(LMH_PTS,MATCH(Z403,LMH_KEY,0)),0)</f>
        <v>3</v>
      </c>
      <c r="BO403" s="38">
        <f>IFERROR(INDEX(LMH_PTS,MATCH(AA403,LMH_KEY,0)),0)</f>
        <v>1</v>
      </c>
      <c r="BP403" s="38">
        <f>IFERROR(INDEX(LMH_PTS,MATCH(AB403,LMH_KEY,0)),0)</f>
        <v>1</v>
      </c>
      <c r="BQ403" s="38">
        <f>IFERROR(INDEX(LMH_PTS,MATCH(AC403,LMH_KEY,0)),0)</f>
        <v>1</v>
      </c>
      <c r="BR403" s="38">
        <f>IFERROR(INDEX(LMH_PTS,MATCH(AD403,LMH_KEY,0)),0)</f>
        <v>1</v>
      </c>
      <c r="BS403" s="38">
        <f>IFERROR(INDEX(LMH_PTS,MATCH(AE403,LMH_KEY,0)),0)</f>
        <v>1</v>
      </c>
      <c r="BT403" s="38">
        <f>IFERROR(INDEX(LMH_STEP,MATCH(AF403,LMH_KEY,0)),0)</f>
        <v>0</v>
      </c>
      <c r="BU403" s="38">
        <f>IFERROR(INDEX(LMH_STEP,MATCH(AG403,LMH_KEY,0)),0)</f>
        <v>0</v>
      </c>
      <c r="BV403" s="38">
        <f>IFERROR(INDEX(LMH_STEP,MATCH(AH403,LMH_KEY,0)),0)</f>
        <v>0</v>
      </c>
      <c r="BW403" s="38">
        <f>IFERROR(INDEX(LMH_STEP,MATCH(AI403,LMH_KEY,0)),0)</f>
        <v>0</v>
      </c>
      <c r="BX403" s="38">
        <f>IFERROR(INDEX(LMH_STEP,MATCH(AJ403,LMH_KEY,0)),0)</f>
        <v>0</v>
      </c>
      <c r="BY403" s="38">
        <f>IFERROR(INDEX(LMH_STEP,MATCH(AK403,LMH_KEY,0)),0)</f>
        <v>0</v>
      </c>
      <c r="BZ403" s="38">
        <f>IFERROR(INDEX(LMH_STEP,MATCH(AL403,LMH_KEY,0)),0)</f>
        <v>0</v>
      </c>
      <c r="CA403" s="38" t="inlineStr">
        <is>
          <t>iFile|Technology|Trainee AI/ML Engineer|A1|A</t>
        </is>
      </c>
    </row>
    <row r="404" ht="110" customHeight="1">
      <c r="A404" s="28" t="inlineStr">
        <is>
          <t>iFile</t>
        </is>
      </c>
      <c r="B404" s="29" t="inlineStr">
        <is>
          <t>Sales</t>
        </is>
      </c>
      <c r="C404" s="29" t="n">
        <v>2</v>
      </c>
      <c r="D404" s="29" t="inlineStr">
        <is>
          <t>IRIS1982</t>
        </is>
      </c>
      <c r="E404" s="29" t="inlineStr">
        <is>
          <t>Apurva Kirtikar</t>
        </is>
      </c>
      <c r="F404" s="29" t="inlineStr">
        <is>
          <t>Senior Manager- Pre sales</t>
        </is>
      </c>
      <c r="G404" s="29" t="inlineStr">
        <is>
          <t>Senior Account Executive – POD Lead</t>
        </is>
      </c>
      <c r="H404" s="29" t="inlineStr">
        <is>
          <t>Sales &amp; Business Development</t>
        </is>
      </c>
      <c r="I404" s="29" t="inlineStr">
        <is>
          <t>Sales Leadership</t>
        </is>
      </c>
      <c r="J404" s="29" t="inlineStr">
        <is>
          <t>POD Lead</t>
        </is>
      </c>
      <c r="K404" s="29" t="inlineStr">
        <is>
          <t>RC-168</t>
        </is>
      </c>
      <c r="L404" s="29" t="inlineStr">
        <is>
          <t>Shailesh Gupta</t>
        </is>
      </c>
      <c r="M404" s="29" t="inlineStr">
        <is>
          <t>IRIS0012</t>
        </is>
      </c>
      <c r="N404" s="29" t="n">
        <v>12.7</v>
      </c>
      <c r="O404" s="29" t="n">
        <v>4.7</v>
      </c>
      <c r="P404" s="29" t="inlineStr">
        <is>
          <t>M.Com</t>
        </is>
      </c>
      <c r="Q404" s="29" t="inlineStr">
        <is>
          <t>L6 – Senior Manager</t>
        </is>
      </c>
      <c r="R404" s="29" t="inlineStr">
        <is>
          <t>B2</t>
        </is>
      </c>
      <c r="S404" s="30" t="inlineStr">
        <is>
          <t>20 of 20</t>
        </is>
      </c>
      <c r="T404" s="31"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t>
        </is>
      </c>
      <c r="U404" s="31" t="inlineStr">
        <is>
          <t>Received · manager annual, quarterly · 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t>
        </is>
      </c>
      <c r="V404" s="31" t="inlineStr">
        <is>
          <t>Latest rating: 4 · Potential: Medium · 9-box: High Impact / Growth Talent · Readiness: Ready in 6–12 months</t>
        </is>
      </c>
      <c r="W404" s="31" t="inlineStr">
        <is>
          <t>C M · Au M · Ac M · L L · BI M · Exp H · 12.7 yrs vs 6–9 yrs · Edu H · M.Com</t>
        </is>
      </c>
      <c r="X404" s="33" t="inlineStr">
        <is>
          <t>Open ▸</t>
        </is>
      </c>
      <c r="Y404" s="34" t="str">
        <f>IFERROR(INDEX(DL_C,MATCH($CA404,DL_KEY,0)),"M")</f>
        <v>H</v>
      </c>
      <c r="Z404" s="35" t="str">
        <f>IFERROR(INDEX(DL_Au,MATCH($CA404,DL_KEY,0)),"M")</f>
        <v>M</v>
      </c>
      <c r="AA404" s="35" t="str">
        <f>IFERROR(INDEX(DL_Ac,MATCH($CA404,DL_KEY,0)),"M")</f>
        <v>L</v>
      </c>
      <c r="AB404" s="35" t="str">
        <f>IFERROR(INDEX(DL_L,MATCH($CA404,DL_KEY,0)),"M")</f>
        <v>L</v>
      </c>
      <c r="AC404" s="35" t="str">
        <f>IFERROR(INDEX(DL_BI,MATCH($CA404,DL_KEY,0)),"M")</f>
        <v>M</v>
      </c>
      <c r="AD404" s="35" t="str">
        <f>IFERROR(INDEX(DL_Exp,MATCH($CA404,DL_KEY,0)),"M")</f>
        <v>L</v>
      </c>
      <c r="AE404" s="35" t="str">
        <f>IFERROR(INDEX(DL_Edu,MATCH($CA404,DL_KEY,0)),"M")</f>
        <v>L</v>
      </c>
      <c r="AF404" s="34" t="inlineStr">
        <is>
          <t>M</t>
        </is>
      </c>
      <c r="AG404" s="35" t="inlineStr">
        <is>
          <t>M</t>
        </is>
      </c>
      <c r="AH404" s="35" t="inlineStr">
        <is>
          <t>M</t>
        </is>
      </c>
      <c r="AI404" s="35" t="inlineStr">
        <is>
          <t>M</t>
        </is>
      </c>
      <c r="AJ404" s="35" t="inlineStr">
        <is>
          <t>M</t>
        </is>
      </c>
      <c r="AK404" s="35" t="inlineStr">
        <is>
          <t>M</t>
        </is>
      </c>
      <c r="AL404" s="35" t="inlineStr">
        <is>
          <t>M</t>
        </is>
      </c>
      <c r="AM404" s="36" t="n">
        <v>0.513</v>
      </c>
      <c r="AN404" s="37" t="n">
        <v>0.173</v>
      </c>
      <c r="AO404" s="37" t="n">
        <v>0.09699999999999999</v>
      </c>
      <c r="AP404" s="37" t="n">
        <v>0.05</v>
      </c>
      <c r="AQ404" s="37" t="n">
        <v>0.07000000000000001</v>
      </c>
      <c r="AR404" s="37" t="n">
        <v>0.06</v>
      </c>
      <c r="AS404" s="37" t="n">
        <v>0.04</v>
      </c>
      <c r="AT404" s="38" t="inlineStr">
        <is>
          <t>6–10</t>
        </is>
      </c>
      <c r="AU404" s="38" t="inlineStr">
        <is>
          <t>Graduate or postgraduate; professional qualification preferred</t>
        </is>
      </c>
      <c r="AV404" s="38" t="inlineStr">
        <is>
          <t>IC: none · People: 6–8 knowledge work, 8–12 standardised delivery</t>
        </is>
      </c>
      <c r="AW404" s="38" t="inlineStr">
        <is>
          <t>P4 / M3 · SFIA 4–5</t>
        </is>
      </c>
      <c r="AX4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4" s="39" t="inlineStr">
        <is>
          <t>B2</t>
        </is>
      </c>
      <c r="AZ404" s="40" t="inlineStr">
        <is>
          <t>Band B · Specialist / Manager · Manager</t>
        </is>
      </c>
      <c r="BA404" s="40" t="inlineStr">
        <is>
          <t>Model B2 from the six ratings, the market-derived weights and rules R1–R13 · then No change · already below the manager</t>
        </is>
      </c>
      <c r="BB404" s="41" t="inlineStr">
        <is>
          <t>B2</t>
        </is>
      </c>
      <c r="BC404" s="40" t="inlineStr">
        <is>
          <t>The six ratings on the market-average weights of Band B · Specialist / POD Lead score 5.17 → B2 · Hay, Mercer IPE and public plans · experience 12.7 yrs vs the B2 market range 6–10</t>
        </is>
      </c>
      <c r="BD404" s="42">
        <f>IF(SUM(BM404,BN404,BO404,BP404,BQ404,BR404,BS404)=0,0,(BM404*BT404+BN404*BU404+BO404*BV404+BP404*BW404+BQ404*BX404+BR404*BY404+BS404*BZ404)/SUM(BM404,BN404,BO404,BP404,BQ404,BR404,BS404))</f>
        <v>0</v>
      </c>
      <c r="BE404" s="41" t="str">
        <f>IF(LEFT(AY404,1)="X",AY404,IF(OR(AY404="B+",AY404="C+"),INDEX(LAD_PC,MAX(1,MIN(14,MATCH(AY404,LAD_PC,0)+IF(BD404&gt;=0.5,1,IF(BD404&lt;=-0.5,-1,0))))),INDEX(LAD_STD,MAX(1,MIN(12,MATCH(AY404,LAD_STD,0)+IF(BD404&gt;=0.5,1,IF(BD404&lt;=-0.5,-1,0)))))))</f>
        <v>B2</v>
      </c>
      <c r="BF404" s="43" t="n"/>
      <c r="BG404" s="41" t="str">
        <f>IF(BF404&lt;&gt;"",BF404,BE404)</f>
        <v>B2</v>
      </c>
      <c r="BH404" s="40" t="str">
        <f>IFERROR(CHOOSE(INDEX(B_RANK,MATCH(BG404,B_LVL,0)),"Band A","Band B","B+ · Player-Coach","Band C","C+ · Player-Coach","Band D","Band E"),"Band X · Consultant")</f>
        <v>Band B</v>
      </c>
      <c r="BI404" s="40" t="str">
        <f>IF(BG404=AY404,"• Same",IF(INDEX(B_VAL,MATCH(BG404,B_LVL,0))&gt;INDEX(B_VAL,MATCH(AY404,B_LVL,0)),"▲ Up","▼ Down"))</f>
        <v>• Same</v>
      </c>
      <c r="BJ404" s="40" t="str">
        <f>IF(OR($M404="",$M404="—",$M404="Not in this file"),"",IFERROR(INDEX($BG$7:$BG$592,MATCH($M404,$D$7:$D$592,0)),""))</f>
        <v>D2</v>
      </c>
      <c r="BK404" s="40" t="str">
        <f>IFERROR(IF(BJ404="","—",IF(OR(LEFT(BG404,1)="X",LEFT(BJ404,1)="X"),"—",IF(AND(LEFT(BG404,1)="E",LEFT(BJ404,1)="E"),"Exception · Band E",IF(AND(INDEX(B_VAL,MATCH(BJ404,B_LVL,0))&gt;=7,INDEX(B_RANK,MATCH(BG404,B_LVL,0))&gt;=INDEX(B_RANK,MATCH(BJ404,B_LVL,0))),"⚠ Same band as a head manager",IF(INDEX(B_VAL,MATCH(BG404,B_LVL,0))&gt;=INDEX(B_VAL,MATCH(BJ404,B_LVL,0)),"⚠ At or above the manager's level","OK"))))),"—")</f>
        <v>OK</v>
      </c>
      <c r="BL404" s="43" t="n"/>
      <c r="BM404" s="44">
        <f>IFERROR(INDEX(LMH_PTS,MATCH(Y404,LMH_KEY,0)),0)</f>
        <v>9</v>
      </c>
      <c r="BN404" s="38">
        <f>IFERROR(INDEX(LMH_PTS,MATCH(Z404,LMH_KEY,0)),0)</f>
        <v>3</v>
      </c>
      <c r="BO404" s="38">
        <f>IFERROR(INDEX(LMH_PTS,MATCH(AA404,LMH_KEY,0)),0)</f>
        <v>1</v>
      </c>
      <c r="BP404" s="38">
        <f>IFERROR(INDEX(LMH_PTS,MATCH(AB404,LMH_KEY,0)),0)</f>
        <v>1</v>
      </c>
      <c r="BQ404" s="38">
        <f>IFERROR(INDEX(LMH_PTS,MATCH(AC404,LMH_KEY,0)),0)</f>
        <v>3</v>
      </c>
      <c r="BR404" s="38">
        <f>IFERROR(INDEX(LMH_PTS,MATCH(AD404,LMH_KEY,0)),0)</f>
        <v>1</v>
      </c>
      <c r="BS404" s="38">
        <f>IFERROR(INDEX(LMH_PTS,MATCH(AE404,LMH_KEY,0)),0)</f>
        <v>1</v>
      </c>
      <c r="BT404" s="38">
        <f>IFERROR(INDEX(LMH_STEP,MATCH(AF404,LMH_KEY,0)),0)</f>
        <v>0</v>
      </c>
      <c r="BU404" s="38">
        <f>IFERROR(INDEX(LMH_STEP,MATCH(AG404,LMH_KEY,0)),0)</f>
        <v>0</v>
      </c>
      <c r="BV404" s="38">
        <f>IFERROR(INDEX(LMH_STEP,MATCH(AH404,LMH_KEY,0)),0)</f>
        <v>0</v>
      </c>
      <c r="BW404" s="38">
        <f>IFERROR(INDEX(LMH_STEP,MATCH(AI404,LMH_KEY,0)),0)</f>
        <v>0</v>
      </c>
      <c r="BX404" s="38">
        <f>IFERROR(INDEX(LMH_STEP,MATCH(AJ404,LMH_KEY,0)),0)</f>
        <v>0</v>
      </c>
      <c r="BY404" s="38">
        <f>IFERROR(INDEX(LMH_STEP,MATCH(AK404,LMH_KEY,0)),0)</f>
        <v>0</v>
      </c>
      <c r="BZ404" s="38">
        <f>IFERROR(INDEX(LMH_STEP,MATCH(AL404,LMH_KEY,0)),0)</f>
        <v>0</v>
      </c>
      <c r="CA404" s="38" t="inlineStr">
        <is>
          <t>iFile|Sales|Senior Account Executive – POD Lead|B2|B-IC</t>
        </is>
      </c>
    </row>
    <row r="405" ht="110" customHeight="1">
      <c r="A405" s="28" t="inlineStr">
        <is>
          <t>iFile</t>
        </is>
      </c>
      <c r="B405" s="29" t="inlineStr">
        <is>
          <t>Sales</t>
        </is>
      </c>
      <c r="C405" s="29" t="n">
        <v>3</v>
      </c>
      <c r="D405" s="29" t="inlineStr">
        <is>
          <t>IRIS2551</t>
        </is>
      </c>
      <c r="E405" s="29" t="inlineStr">
        <is>
          <t>Devam Khatri</t>
        </is>
      </c>
      <c r="F405" s="29" t="inlineStr">
        <is>
          <t>Manager - Pre Sales</t>
        </is>
      </c>
      <c r="G405" s="29" t="inlineStr">
        <is>
          <t>Pre-Sales Specialist</t>
        </is>
      </c>
      <c r="H405" s="29" t="inlineStr">
        <is>
          <t>Sales &amp; Business Development</t>
        </is>
      </c>
      <c r="I405" s="29" t="inlineStr">
        <is>
          <t>Pre-Sales &amp; Solution Demos</t>
        </is>
      </c>
      <c r="J405" s="29" t="inlineStr">
        <is>
          <t>IC</t>
        </is>
      </c>
      <c r="K405" s="29" t="inlineStr">
        <is>
          <t>RC-161</t>
        </is>
      </c>
      <c r="L405" s="29" t="inlineStr">
        <is>
          <t>Apurva Kirtikar</t>
        </is>
      </c>
      <c r="M405" s="29" t="inlineStr">
        <is>
          <t>IRIS1982</t>
        </is>
      </c>
      <c r="N405" s="29" t="n">
        <v>5.1</v>
      </c>
      <c r="O405" s="29" t="n">
        <v>0.1</v>
      </c>
      <c r="P405" s="29" t="inlineStr">
        <is>
          <t>MBA</t>
        </is>
      </c>
      <c r="Q405" s="29" t="inlineStr">
        <is>
          <t>Not in current mapping files</t>
        </is>
      </c>
      <c r="R405" s="29" t="inlineStr">
        <is>
          <t>B1</t>
        </is>
      </c>
      <c r="S405" s="30" t="inlineStr">
        <is>
          <t>20 of 20</t>
        </is>
      </c>
      <c r="T405" s="31"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t>
        </is>
      </c>
      <c r="U405" s="32" t="inlineStr">
        <is>
          <t>KRAs not received · manager to supply</t>
        </is>
      </c>
      <c r="V405" s="31" t="inlineStr">
        <is>
          <t>Latest rating: Not rated · manager · 9-box: Not placed · manager · Readiness: No rating data</t>
        </is>
      </c>
      <c r="W405" s="31" t="inlineStr">
        <is>
          <t>C M · Au M · Ac M · L L · BI M · Exp M · 5.1 yrs vs 4–7 yrs · Edu H · MBA</t>
        </is>
      </c>
      <c r="X405" s="33" t="inlineStr">
        <is>
          <t>Open ▸</t>
        </is>
      </c>
      <c r="Y405" s="34" t="str">
        <f>IFERROR(INDEX(DL_C,MATCH($CA405,DL_KEY,0)),"M")</f>
        <v>H</v>
      </c>
      <c r="Z405" s="35" t="str">
        <f>IFERROR(INDEX(DL_Au,MATCH($CA405,DL_KEY,0)),"M")</f>
        <v>M</v>
      </c>
      <c r="AA405" s="35" t="str">
        <f>IFERROR(INDEX(DL_Ac,MATCH($CA405,DL_KEY,0)),"M")</f>
        <v>L</v>
      </c>
      <c r="AB405" s="35" t="str">
        <f>IFERROR(INDEX(DL_L,MATCH($CA405,DL_KEY,0)),"M")</f>
        <v>L</v>
      </c>
      <c r="AC405" s="35" t="str">
        <f>IFERROR(INDEX(DL_BI,MATCH($CA405,DL_KEY,0)),"M")</f>
        <v>M</v>
      </c>
      <c r="AD405" s="35" t="str">
        <f>IFERROR(INDEX(DL_Exp,MATCH($CA405,DL_KEY,0)),"M")</f>
        <v>L</v>
      </c>
      <c r="AE405" s="35" t="str">
        <f>IFERROR(INDEX(DL_Edu,MATCH($CA405,DL_KEY,0)),"M")</f>
        <v>L</v>
      </c>
      <c r="AF405" s="34" t="inlineStr">
        <is>
          <t>M</t>
        </is>
      </c>
      <c r="AG405" s="35" t="inlineStr">
        <is>
          <t>M</t>
        </is>
      </c>
      <c r="AH405" s="35" t="inlineStr">
        <is>
          <t>M</t>
        </is>
      </c>
      <c r="AI405" s="35" t="inlineStr">
        <is>
          <t>M</t>
        </is>
      </c>
      <c r="AJ405" s="35" t="inlineStr">
        <is>
          <t>M</t>
        </is>
      </c>
      <c r="AK405" s="35" t="inlineStr">
        <is>
          <t>M</t>
        </is>
      </c>
      <c r="AL405" s="35" t="inlineStr">
        <is>
          <t>M</t>
        </is>
      </c>
      <c r="AM405" s="36" t="n">
        <v>0.513</v>
      </c>
      <c r="AN405" s="37" t="n">
        <v>0.173</v>
      </c>
      <c r="AO405" s="37" t="n">
        <v>0.09699999999999999</v>
      </c>
      <c r="AP405" s="37" t="n">
        <v>0.05</v>
      </c>
      <c r="AQ405" s="37" t="n">
        <v>0.07000000000000001</v>
      </c>
      <c r="AR405" s="37" t="n">
        <v>0.06</v>
      </c>
      <c r="AS405" s="37" t="n">
        <v>0.04</v>
      </c>
      <c r="AT405" s="38" t="inlineStr">
        <is>
          <t>4–8</t>
        </is>
      </c>
      <c r="AU405" s="38" t="inlineStr">
        <is>
          <t>Graduate + relevant qualification or certification preferred</t>
        </is>
      </c>
      <c r="AV405" s="38" t="inlineStr">
        <is>
          <t>IC: none · Team Lead: 3–5</t>
        </is>
      </c>
      <c r="AW405" s="38" t="inlineStr">
        <is>
          <t>P3 / M2 · SFIA 4 Enable</t>
        </is>
      </c>
      <c r="AX4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5" s="39" t="inlineStr">
        <is>
          <t>B1</t>
        </is>
      </c>
      <c r="AZ405" s="40" t="inlineStr">
        <is>
          <t>Band B · Specialist / Manager · Specialist</t>
        </is>
      </c>
      <c r="BA405" s="40" t="inlineStr">
        <is>
          <t>Model B1 from the six ratings, the market-derived weights and rules R1–R13 · then No change · already below the manager</t>
        </is>
      </c>
      <c r="BB405" s="41" t="inlineStr">
        <is>
          <t>B1</t>
        </is>
      </c>
      <c r="BC405" s="40" t="inlineStr">
        <is>
          <t>The six ratings on the market-average weights of Band B · Specialist / POD Lead score 4.00 → B1 · Hay, Mercer IPE and public plans · experience 5.1 yrs vs the B1 market range 4–8</t>
        </is>
      </c>
      <c r="BD405" s="42">
        <f>IF(SUM(BM405,BN405,BO405,BP405,BQ405,BR405,BS405)=0,0,(BM405*BT405+BN405*BU405+BO405*BV405+BP405*BW405+BQ405*BX405+BR405*BY405+BS405*BZ405)/SUM(BM405,BN405,BO405,BP405,BQ405,BR405,BS405))</f>
        <v>0</v>
      </c>
      <c r="BE405" s="41" t="str">
        <f>IF(LEFT(AY405,1)="X",AY405,IF(OR(AY405="B+",AY405="C+"),INDEX(LAD_PC,MAX(1,MIN(14,MATCH(AY405,LAD_PC,0)+IF(BD405&gt;=0.5,1,IF(BD405&lt;=-0.5,-1,0))))),INDEX(LAD_STD,MAX(1,MIN(12,MATCH(AY405,LAD_STD,0)+IF(BD405&gt;=0.5,1,IF(BD405&lt;=-0.5,-1,0)))))))</f>
        <v>B1</v>
      </c>
      <c r="BF405" s="43" t="n"/>
      <c r="BG405" s="41" t="str">
        <f>IF(BF405&lt;&gt;"",BF405,BE405)</f>
        <v>B1</v>
      </c>
      <c r="BH405" s="40" t="str">
        <f>IFERROR(CHOOSE(INDEX(B_RANK,MATCH(BG405,B_LVL,0)),"Band A","Band B","B+ · Player-Coach","Band C","C+ · Player-Coach","Band D","Band E"),"Band X · Consultant")</f>
        <v>Band B</v>
      </c>
      <c r="BI405" s="40" t="str">
        <f>IF(BG405=AY405,"• Same",IF(INDEX(B_VAL,MATCH(BG405,B_LVL,0))&gt;INDEX(B_VAL,MATCH(AY405,B_LVL,0)),"▲ Up","▼ Down"))</f>
        <v>• Same</v>
      </c>
      <c r="BJ405" s="40" t="str">
        <f>IF(OR($M405="",$M405="—",$M405="Not in this file"),"",IFERROR(INDEX($BG$7:$BG$592,MATCH($M405,$D$7:$D$592,0)),""))</f>
        <v>B2</v>
      </c>
      <c r="BK405" s="40" t="str">
        <f>IFERROR(IF(BJ405="","—",IF(OR(LEFT(BG405,1)="X",LEFT(BJ405,1)="X"),"—",IF(AND(LEFT(BG405,1)="E",LEFT(BJ405,1)="E"),"Exception · Band E",IF(AND(INDEX(B_VAL,MATCH(BJ405,B_LVL,0))&gt;=7,INDEX(B_RANK,MATCH(BG405,B_LVL,0))&gt;=INDEX(B_RANK,MATCH(BJ405,B_LVL,0))),"⚠ Same band as a head manager",IF(INDEX(B_VAL,MATCH(BG405,B_LVL,0))&gt;=INDEX(B_VAL,MATCH(BJ405,B_LVL,0)),"⚠ At or above the manager's level","OK"))))),"—")</f>
        <v>OK</v>
      </c>
      <c r="BL405" s="43" t="n"/>
      <c r="BM405" s="44">
        <f>IFERROR(INDEX(LMH_PTS,MATCH(Y405,LMH_KEY,0)),0)</f>
        <v>9</v>
      </c>
      <c r="BN405" s="38">
        <f>IFERROR(INDEX(LMH_PTS,MATCH(Z405,LMH_KEY,0)),0)</f>
        <v>3</v>
      </c>
      <c r="BO405" s="38">
        <f>IFERROR(INDEX(LMH_PTS,MATCH(AA405,LMH_KEY,0)),0)</f>
        <v>1</v>
      </c>
      <c r="BP405" s="38">
        <f>IFERROR(INDEX(LMH_PTS,MATCH(AB405,LMH_KEY,0)),0)</f>
        <v>1</v>
      </c>
      <c r="BQ405" s="38">
        <f>IFERROR(INDEX(LMH_PTS,MATCH(AC405,LMH_KEY,0)),0)</f>
        <v>3</v>
      </c>
      <c r="BR405" s="38">
        <f>IFERROR(INDEX(LMH_PTS,MATCH(AD405,LMH_KEY,0)),0)</f>
        <v>1</v>
      </c>
      <c r="BS405" s="38">
        <f>IFERROR(INDEX(LMH_PTS,MATCH(AE405,LMH_KEY,0)),0)</f>
        <v>1</v>
      </c>
      <c r="BT405" s="38">
        <f>IFERROR(INDEX(LMH_STEP,MATCH(AF405,LMH_KEY,0)),0)</f>
        <v>0</v>
      </c>
      <c r="BU405" s="38">
        <f>IFERROR(INDEX(LMH_STEP,MATCH(AG405,LMH_KEY,0)),0)</f>
        <v>0</v>
      </c>
      <c r="BV405" s="38">
        <f>IFERROR(INDEX(LMH_STEP,MATCH(AH405,LMH_KEY,0)),0)</f>
        <v>0</v>
      </c>
      <c r="BW405" s="38">
        <f>IFERROR(INDEX(LMH_STEP,MATCH(AI405,LMH_KEY,0)),0)</f>
        <v>0</v>
      </c>
      <c r="BX405" s="38">
        <f>IFERROR(INDEX(LMH_STEP,MATCH(AJ405,LMH_KEY,0)),0)</f>
        <v>0</v>
      </c>
      <c r="BY405" s="38">
        <f>IFERROR(INDEX(LMH_STEP,MATCH(AK405,LMH_KEY,0)),0)</f>
        <v>0</v>
      </c>
      <c r="BZ405" s="38">
        <f>IFERROR(INDEX(LMH_STEP,MATCH(AL405,LMH_KEY,0)),0)</f>
        <v>0</v>
      </c>
      <c r="CA405" s="38" t="inlineStr">
        <is>
          <t>iFile|Sales|Pre-Sales Specialist|B1|B-IC</t>
        </is>
      </c>
    </row>
    <row r="406" ht="110" customHeight="1">
      <c r="A406" s="28" t="inlineStr">
        <is>
          <t>Datatech</t>
        </is>
      </c>
      <c r="B406" s="29" t="inlineStr">
        <is>
          <t>Datatech Business Head</t>
        </is>
      </c>
      <c r="C406" s="29" t="n">
        <v>1</v>
      </c>
      <c r="D406" s="29" t="inlineStr">
        <is>
          <t>IRISDT0001</t>
        </is>
      </c>
      <c r="E406" s="29" t="inlineStr">
        <is>
          <t>Shilpa Dhobale</t>
        </is>
      </c>
      <c r="F406" s="29" t="inlineStr">
        <is>
          <t>Business Head - DataTech</t>
        </is>
      </c>
      <c r="G406" s="29" t="inlineStr">
        <is>
          <t>Business Head – DataTech</t>
        </is>
      </c>
      <c r="H406" s="29" t="inlineStr">
        <is>
          <t>Executive Leadership</t>
        </is>
      </c>
      <c r="I406" s="29" t="inlineStr">
        <is>
          <t>Business Head</t>
        </is>
      </c>
      <c r="J406" s="29" t="inlineStr">
        <is>
          <t>People Manager</t>
        </is>
      </c>
      <c r="K406" s="29" t="inlineStr">
        <is>
          <t>RC-EL-BH-D2</t>
        </is>
      </c>
      <c r="L406" s="29" t="inlineStr">
        <is>
          <t>Balachandran K</t>
        </is>
      </c>
      <c r="M406" s="29" t="inlineStr">
        <is>
          <t>IRIS0001</t>
        </is>
      </c>
      <c r="N406" s="29" t="n">
        <v>3.8</v>
      </c>
      <c r="O406" s="29" t="n">
        <v>1.8</v>
      </c>
      <c r="P406" s="29" t="inlineStr">
        <is>
          <t>CWA</t>
        </is>
      </c>
      <c r="Q406" s="29" t="inlineStr">
        <is>
          <t>L7 – Head / Sr Director</t>
        </is>
      </c>
      <c r="R406" s="29" t="inlineStr">
        <is>
          <t>D2</t>
        </is>
      </c>
      <c r="S406" s="30" t="inlineStr">
        <is>
          <t>0 of 20</t>
        </is>
      </c>
      <c r="T40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06" s="32" t="inlineStr">
        <is>
          <t>KRAs not received · manager to supply</t>
        </is>
      </c>
      <c r="V406" s="31" t="inlineStr">
        <is>
          <t>Latest rating: 3 · 9-box: Future Leader · Readiness: Develop in role</t>
        </is>
      </c>
      <c r="W406" s="31" t="inlineStr">
        <is>
          <t>C L · Au L · Ac L · L L · BI M · Exp L · 3.8 yrs vs 18–24 yrs · Edu H · CWA</t>
        </is>
      </c>
      <c r="X406" s="33" t="inlineStr">
        <is>
          <t>Open ▸</t>
        </is>
      </c>
      <c r="Y406" s="34" t="str">
        <f>IFERROR(INDEX(DL_C,MATCH($CA406,DL_KEY,0)),"M")</f>
        <v>H</v>
      </c>
      <c r="Z406" s="35" t="str">
        <f>IFERROR(INDEX(DL_Au,MATCH($CA406,DL_KEY,0)),"M")</f>
        <v>M</v>
      </c>
      <c r="AA406" s="35" t="str">
        <f>IFERROR(INDEX(DL_Ac,MATCH($CA406,DL_KEY,0)),"M")</f>
        <v>M</v>
      </c>
      <c r="AB406" s="35" t="str">
        <f>IFERROR(INDEX(DL_L,MATCH($CA406,DL_KEY,0)),"M")</f>
        <v>M</v>
      </c>
      <c r="AC406" s="35" t="str">
        <f>IFERROR(INDEX(DL_BI,MATCH($CA406,DL_KEY,0)),"M")</f>
        <v>L</v>
      </c>
      <c r="AD406" s="35" t="str">
        <f>IFERROR(INDEX(DL_Exp,MATCH($CA406,DL_KEY,0)),"M")</f>
        <v>L</v>
      </c>
      <c r="AE406" s="35" t="str">
        <f>IFERROR(INDEX(DL_Edu,MATCH($CA406,DL_KEY,0)),"M")</f>
        <v>L</v>
      </c>
      <c r="AF406" s="34" t="inlineStr">
        <is>
          <t>M</t>
        </is>
      </c>
      <c r="AG406" s="35" t="inlineStr">
        <is>
          <t>M</t>
        </is>
      </c>
      <c r="AH406" s="35" t="inlineStr">
        <is>
          <t>M</t>
        </is>
      </c>
      <c r="AI406" s="35" t="inlineStr">
        <is>
          <t>M</t>
        </is>
      </c>
      <c r="AJ406" s="35" t="inlineStr">
        <is>
          <t>M</t>
        </is>
      </c>
      <c r="AK406" s="35" t="inlineStr">
        <is>
          <t>M</t>
        </is>
      </c>
      <c r="AL406" s="35" t="inlineStr">
        <is>
          <t>M</t>
        </is>
      </c>
      <c r="AM406" s="36" t="n">
        <v>0.363</v>
      </c>
      <c r="AN406" s="37" t="n">
        <v>0.19</v>
      </c>
      <c r="AO406" s="37" t="n">
        <v>0.113</v>
      </c>
      <c r="AP406" s="37" t="n">
        <v>0.2</v>
      </c>
      <c r="AQ406" s="37" t="n">
        <v>0.08699999999999999</v>
      </c>
      <c r="AR406" s="37" t="n">
        <v>0.04</v>
      </c>
      <c r="AS406" s="37" t="n">
        <v>0.01</v>
      </c>
      <c r="AT406" s="38" t="inlineStr">
        <is>
          <t>18–24 yrs</t>
        </is>
      </c>
      <c r="AU406" s="38" t="inlineStr">
        <is>
          <t>Postgraduate / professional qualification preferred</t>
        </is>
      </c>
      <c r="AV406" s="38" t="inlineStr">
        <is>
          <t>5–8 AVPs / heads</t>
        </is>
      </c>
      <c r="AW406" s="38" t="inlineStr">
        <is>
          <t>E3–E4 · SFIA 7 Set strategy</t>
        </is>
      </c>
      <c r="AX4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6" s="39" t="inlineStr">
        <is>
          <t>D2</t>
        </is>
      </c>
      <c r="AZ406" s="40" t="inlineStr">
        <is>
          <t>Band D · Business leadership · Senior Vice President / Business Head</t>
        </is>
      </c>
      <c r="BA406" s="40" t="inlineStr">
        <is>
          <t>Model D2 from the six ratings, the market-derived weights and rules R1–R13 · then No change · already below the manager</t>
        </is>
      </c>
      <c r="BB406" s="41" t="inlineStr">
        <is>
          <t>D1</t>
        </is>
      </c>
      <c r="BC406" s="40" t="inlineStr">
        <is>
          <t>The six ratings on the market-average weights of Bands D–E · Leadership score 8.82 → D1 · Hay, Mercer IPE and public plans · experience 3.8 yrs vs the D1 market range 15–20 yrs</t>
        </is>
      </c>
      <c r="BD406" s="42">
        <f>IF(SUM(BM406,BN406,BO406,BP406,BQ406,BR406,BS406)=0,0,(BM406*BT406+BN406*BU406+BO406*BV406+BP406*BW406+BQ406*BX406+BR406*BY406+BS406*BZ406)/SUM(BM406,BN406,BO406,BP406,BQ406,BR406,BS406))</f>
        <v>0</v>
      </c>
      <c r="BE406" s="41" t="str">
        <f>IF(LEFT(AY406,1)="X",AY406,IF(OR(AY406="B+",AY406="C+"),INDEX(LAD_PC,MAX(1,MIN(14,MATCH(AY406,LAD_PC,0)+IF(BD406&gt;=0.5,1,IF(BD406&lt;=-0.5,-1,0))))),INDEX(LAD_STD,MAX(1,MIN(12,MATCH(AY406,LAD_STD,0)+IF(BD406&gt;=0.5,1,IF(BD406&lt;=-0.5,-1,0)))))))</f>
        <v>D2</v>
      </c>
      <c r="BF406" s="43" t="n"/>
      <c r="BG406" s="41" t="str">
        <f>IF(BF406&lt;&gt;"",BF406,BE406)</f>
        <v>D2</v>
      </c>
      <c r="BH406" s="40" t="str">
        <f>IFERROR(CHOOSE(INDEX(B_RANK,MATCH(BG406,B_LVL,0)),"Band A","Band B","B+ · Player-Coach","Band C","C+ · Player-Coach","Band D","Band E"),"Band X · Consultant")</f>
        <v>Band D</v>
      </c>
      <c r="BI406" s="40" t="str">
        <f>IF(BG406=AY406,"• Same",IF(INDEX(B_VAL,MATCH(BG406,B_LVL,0))&gt;INDEX(B_VAL,MATCH(AY406,B_LVL,0)),"▲ Up","▼ Down"))</f>
        <v>• Same</v>
      </c>
      <c r="BJ406" s="40" t="str">
        <f>IF(OR($M406="",$M406="—",$M406="Not in this file"),"",IFERROR(INDEX($BG$7:$BG$592,MATCH($M406,$D$7:$D$592,0)),""))</f>
        <v>E2</v>
      </c>
      <c r="BK406" s="40" t="str">
        <f>IFERROR(IF(BJ406="","—",IF(OR(LEFT(BG406,1)="X",LEFT(BJ406,1)="X"),"—",IF(AND(LEFT(BG406,1)="E",LEFT(BJ406,1)="E"),"Exception · Band E",IF(AND(INDEX(B_VAL,MATCH(BJ406,B_LVL,0))&gt;=7,INDEX(B_RANK,MATCH(BG406,B_LVL,0))&gt;=INDEX(B_RANK,MATCH(BJ406,B_LVL,0))),"⚠ Same band as a head manager",IF(INDEX(B_VAL,MATCH(BG406,B_LVL,0))&gt;=INDEX(B_VAL,MATCH(BJ406,B_LVL,0)),"⚠ At or above the manager's level","OK"))))),"—")</f>
        <v>OK</v>
      </c>
      <c r="BL406" s="43" t="n"/>
      <c r="BM406" s="44">
        <f>IFERROR(INDEX(LMH_PTS,MATCH(Y406,LMH_KEY,0)),0)</f>
        <v>9</v>
      </c>
      <c r="BN406" s="38">
        <f>IFERROR(INDEX(LMH_PTS,MATCH(Z406,LMH_KEY,0)),0)</f>
        <v>3</v>
      </c>
      <c r="BO406" s="38">
        <f>IFERROR(INDEX(LMH_PTS,MATCH(AA406,LMH_KEY,0)),0)</f>
        <v>3</v>
      </c>
      <c r="BP406" s="38">
        <f>IFERROR(INDEX(LMH_PTS,MATCH(AB406,LMH_KEY,0)),0)</f>
        <v>3</v>
      </c>
      <c r="BQ406" s="38">
        <f>IFERROR(INDEX(LMH_PTS,MATCH(AC406,LMH_KEY,0)),0)</f>
        <v>1</v>
      </c>
      <c r="BR406" s="38">
        <f>IFERROR(INDEX(LMH_PTS,MATCH(AD406,LMH_KEY,0)),0)</f>
        <v>1</v>
      </c>
      <c r="BS406" s="38">
        <f>IFERROR(INDEX(LMH_PTS,MATCH(AE406,LMH_KEY,0)),0)</f>
        <v>1</v>
      </c>
      <c r="BT406" s="38">
        <f>IFERROR(INDEX(LMH_STEP,MATCH(AF406,LMH_KEY,0)),0)</f>
        <v>0</v>
      </c>
      <c r="BU406" s="38">
        <f>IFERROR(INDEX(LMH_STEP,MATCH(AG406,LMH_KEY,0)),0)</f>
        <v>0</v>
      </c>
      <c r="BV406" s="38">
        <f>IFERROR(INDEX(LMH_STEP,MATCH(AH406,LMH_KEY,0)),0)</f>
        <v>0</v>
      </c>
      <c r="BW406" s="38">
        <f>IFERROR(INDEX(LMH_STEP,MATCH(AI406,LMH_KEY,0)),0)</f>
        <v>0</v>
      </c>
      <c r="BX406" s="38">
        <f>IFERROR(INDEX(LMH_STEP,MATCH(AJ406,LMH_KEY,0)),0)</f>
        <v>0</v>
      </c>
      <c r="BY406" s="38">
        <f>IFERROR(INDEX(LMH_STEP,MATCH(AK406,LMH_KEY,0)),0)</f>
        <v>0</v>
      </c>
      <c r="BZ406" s="38">
        <f>IFERROR(INDEX(LMH_STEP,MATCH(AL406,LMH_KEY,0)),0)</f>
        <v>0</v>
      </c>
      <c r="CA406" s="38" t="inlineStr">
        <is>
          <t>Datatech|Datatech Business Head|Business Head – DataTech|D2|DE</t>
        </is>
      </c>
    </row>
    <row r="407" ht="110" customHeight="1">
      <c r="A407" s="28" t="inlineStr">
        <is>
          <t>Datatech</t>
        </is>
      </c>
      <c r="B407" s="29" t="inlineStr">
        <is>
          <t>Sales</t>
        </is>
      </c>
      <c r="C407" s="29" t="n">
        <v>2</v>
      </c>
      <c r="D407" s="29" t="inlineStr">
        <is>
          <t>IRISDT0019</t>
        </is>
      </c>
      <c r="E407" s="29" t="inlineStr">
        <is>
          <t>Abhishek Gite</t>
        </is>
      </c>
      <c r="F407" s="29" t="inlineStr">
        <is>
          <t>Head - Sales and Alliances</t>
        </is>
      </c>
      <c r="G407" s="29" t="inlineStr">
        <is>
          <t>Principal – Sales</t>
        </is>
      </c>
      <c r="H407" s="29" t="inlineStr">
        <is>
          <t>Sales &amp; Business Development</t>
        </is>
      </c>
      <c r="I407" s="29" t="inlineStr">
        <is>
          <t>Sales Leadership</t>
        </is>
      </c>
      <c r="J407" s="29" t="inlineStr">
        <is>
          <t>IC</t>
        </is>
      </c>
      <c r="K407" s="29" t="inlineStr">
        <is>
          <t>RC-170</t>
        </is>
      </c>
      <c r="L407" s="29" t="inlineStr">
        <is>
          <t>Shilpa Dhobale</t>
        </is>
      </c>
      <c r="M407" s="29" t="inlineStr">
        <is>
          <t>IRISDT0001</t>
        </is>
      </c>
      <c r="N407" s="29" t="n">
        <v>24.3</v>
      </c>
      <c r="O407" s="29" t="n">
        <v>0.3</v>
      </c>
      <c r="P407" s="29" t="inlineStr">
        <is>
          <t>MBA</t>
        </is>
      </c>
      <c r="Q407" s="29" t="inlineStr">
        <is>
          <t>Not in current mapping files</t>
        </is>
      </c>
      <c r="R407" s="29" t="inlineStr">
        <is>
          <t>C1</t>
        </is>
      </c>
      <c r="S407" s="30" t="inlineStr">
        <is>
          <t>0 of 20</t>
        </is>
      </c>
      <c r="T40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07" s="32" t="inlineStr">
        <is>
          <t>KRAs not received · manager to supply</t>
        </is>
      </c>
      <c r="V407" s="31" t="inlineStr">
        <is>
          <t>Latest rating: 3 · 9-box: Core Contributor · Readiness: Develop in role</t>
        </is>
      </c>
      <c r="W407" s="31" t="inlineStr">
        <is>
          <t>C H · Au H · Ac H · L M · BI H · Exp H · 24.3 yrs vs 10–14 yrs · Edu M · MBA</t>
        </is>
      </c>
      <c r="X407" s="33" t="inlineStr">
        <is>
          <t>Open ▸</t>
        </is>
      </c>
      <c r="Y407" s="34" t="str">
        <f>IFERROR(INDEX(DL_C,MATCH($CA407,DL_KEY,0)),"M")</f>
        <v>H</v>
      </c>
      <c r="Z407" s="35" t="str">
        <f>IFERROR(INDEX(DL_Au,MATCH($CA407,DL_KEY,0)),"M")</f>
        <v>M</v>
      </c>
      <c r="AA407" s="35" t="str">
        <f>IFERROR(INDEX(DL_Ac,MATCH($CA407,DL_KEY,0)),"M")</f>
        <v>L</v>
      </c>
      <c r="AB407" s="35" t="str">
        <f>IFERROR(INDEX(DL_L,MATCH($CA407,DL_KEY,0)),"M")</f>
        <v>L</v>
      </c>
      <c r="AC407" s="35" t="str">
        <f>IFERROR(INDEX(DL_BI,MATCH($CA407,DL_KEY,0)),"M")</f>
        <v>M</v>
      </c>
      <c r="AD407" s="35" t="str">
        <f>IFERROR(INDEX(DL_Exp,MATCH($CA407,DL_KEY,0)),"M")</f>
        <v>L</v>
      </c>
      <c r="AE407" s="35" t="str">
        <f>IFERROR(INDEX(DL_Edu,MATCH($CA407,DL_KEY,0)),"M")</f>
        <v>L</v>
      </c>
      <c r="AF407" s="34" t="inlineStr">
        <is>
          <t>M</t>
        </is>
      </c>
      <c r="AG407" s="35" t="inlineStr">
        <is>
          <t>M</t>
        </is>
      </c>
      <c r="AH407" s="35" t="inlineStr">
        <is>
          <t>M</t>
        </is>
      </c>
      <c r="AI407" s="35" t="inlineStr">
        <is>
          <t>M</t>
        </is>
      </c>
      <c r="AJ407" s="35" t="inlineStr">
        <is>
          <t>M</t>
        </is>
      </c>
      <c r="AK407" s="35" t="inlineStr">
        <is>
          <t>M</t>
        </is>
      </c>
      <c r="AL407" s="35" t="inlineStr">
        <is>
          <t>M</t>
        </is>
      </c>
      <c r="AM407" s="36" t="n">
        <v>0.5429999999999999</v>
      </c>
      <c r="AN407" s="37" t="n">
        <v>0.177</v>
      </c>
      <c r="AO407" s="37" t="n">
        <v>0.103</v>
      </c>
      <c r="AP407" s="37" t="n">
        <v>0.05</v>
      </c>
      <c r="AQ407" s="37" t="n">
        <v>0.077</v>
      </c>
      <c r="AR407" s="37" t="n">
        <v>0.04</v>
      </c>
      <c r="AS407" s="37" t="n">
        <v>0.01</v>
      </c>
      <c r="AT407" s="38" t="inlineStr">
        <is>
          <t>12–17</t>
        </is>
      </c>
      <c r="AU407" s="38" t="inlineStr">
        <is>
          <t>Postgraduate / professional qualification preferred</t>
        </is>
      </c>
      <c r="AV407" s="38" t="inlineStr">
        <is>
          <t>5–8, mostly managers</t>
        </is>
      </c>
      <c r="AW407" s="38" t="inlineStr">
        <is>
          <t>P6 / M5 · SFIA 5–6</t>
        </is>
      </c>
      <c r="AX4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7" s="39" t="inlineStr">
        <is>
          <t>C1</t>
        </is>
      </c>
      <c r="AZ407" s="40" t="inlineStr">
        <is>
          <t>Band C · Principal / Head · Principal</t>
        </is>
      </c>
      <c r="BA407" s="40" t="inlineStr">
        <is>
          <t>Model C1 from the six ratings, the market-derived weights and rules R1–R13 · then No change · already below the manager</t>
        </is>
      </c>
      <c r="BB407" s="41" t="inlineStr">
        <is>
          <t>C2</t>
        </is>
      </c>
      <c r="BC407" s="40" t="inlineStr">
        <is>
          <t>The six ratings on the market-average weights of Band C · Principal specialist score 8.12 → C2 · Hay, Mercer IPE and public plans · experience 24.3 yrs vs the C2 market range 12–17 yrs</t>
        </is>
      </c>
      <c r="BD407" s="42">
        <f>IF(SUM(BM407,BN407,BO407,BP407,BQ407,BR407,BS407)=0,0,(BM407*BT407+BN407*BU407+BO407*BV407+BP407*BW407+BQ407*BX407+BR407*BY407+BS407*BZ407)/SUM(BM407,BN407,BO407,BP407,BQ407,BR407,BS407))</f>
        <v>0</v>
      </c>
      <c r="BE407" s="41" t="str">
        <f>IF(LEFT(AY407,1)="X",AY407,IF(OR(AY407="B+",AY407="C+"),INDEX(LAD_PC,MAX(1,MIN(14,MATCH(AY407,LAD_PC,0)+IF(BD407&gt;=0.5,1,IF(BD407&lt;=-0.5,-1,0))))),INDEX(LAD_STD,MAX(1,MIN(12,MATCH(AY407,LAD_STD,0)+IF(BD407&gt;=0.5,1,IF(BD407&lt;=-0.5,-1,0)))))))</f>
        <v>C1</v>
      </c>
      <c r="BF407" s="43" t="n"/>
      <c r="BG407" s="41" t="str">
        <f>IF(BF407&lt;&gt;"",BF407,BE407)</f>
        <v>C1</v>
      </c>
      <c r="BH407" s="40" t="str">
        <f>IFERROR(CHOOSE(INDEX(B_RANK,MATCH(BG407,B_LVL,0)),"Band A","Band B","B+ · Player-Coach","Band C","C+ · Player-Coach","Band D","Band E"),"Band X · Consultant")</f>
        <v>Band C</v>
      </c>
      <c r="BI407" s="40" t="str">
        <f>IF(BG407=AY407,"• Same",IF(INDEX(B_VAL,MATCH(BG407,B_LVL,0))&gt;INDEX(B_VAL,MATCH(AY407,B_LVL,0)),"▲ Up","▼ Down"))</f>
        <v>• Same</v>
      </c>
      <c r="BJ407" s="40" t="str">
        <f>IF(OR($M407="",$M407="—",$M407="Not in this file"),"",IFERROR(INDEX($BG$7:$BG$592,MATCH($M407,$D$7:$D$592,0)),""))</f>
        <v>D2</v>
      </c>
      <c r="BK407" s="40" t="str">
        <f>IFERROR(IF(BJ407="","—",IF(OR(LEFT(BG407,1)="X",LEFT(BJ407,1)="X"),"—",IF(AND(LEFT(BG407,1)="E",LEFT(BJ407,1)="E"),"Exception · Band E",IF(AND(INDEX(B_VAL,MATCH(BJ407,B_LVL,0))&gt;=7,INDEX(B_RANK,MATCH(BG407,B_LVL,0))&gt;=INDEX(B_RANK,MATCH(BJ407,B_LVL,0))),"⚠ Same band as a head manager",IF(INDEX(B_VAL,MATCH(BG407,B_LVL,0))&gt;=INDEX(B_VAL,MATCH(BJ407,B_LVL,0)),"⚠ At or above the manager's level","OK"))))),"—")</f>
        <v>OK</v>
      </c>
      <c r="BL407" s="43" t="n"/>
      <c r="BM407" s="44">
        <f>IFERROR(INDEX(LMH_PTS,MATCH(Y407,LMH_KEY,0)),0)</f>
        <v>9</v>
      </c>
      <c r="BN407" s="38">
        <f>IFERROR(INDEX(LMH_PTS,MATCH(Z407,LMH_KEY,0)),0)</f>
        <v>3</v>
      </c>
      <c r="BO407" s="38">
        <f>IFERROR(INDEX(LMH_PTS,MATCH(AA407,LMH_KEY,0)),0)</f>
        <v>1</v>
      </c>
      <c r="BP407" s="38">
        <f>IFERROR(INDEX(LMH_PTS,MATCH(AB407,LMH_KEY,0)),0)</f>
        <v>1</v>
      </c>
      <c r="BQ407" s="38">
        <f>IFERROR(INDEX(LMH_PTS,MATCH(AC407,LMH_KEY,0)),0)</f>
        <v>3</v>
      </c>
      <c r="BR407" s="38">
        <f>IFERROR(INDEX(LMH_PTS,MATCH(AD407,LMH_KEY,0)),0)</f>
        <v>1</v>
      </c>
      <c r="BS407" s="38">
        <f>IFERROR(INDEX(LMH_PTS,MATCH(AE407,LMH_KEY,0)),0)</f>
        <v>1</v>
      </c>
      <c r="BT407" s="38">
        <f>IFERROR(INDEX(LMH_STEP,MATCH(AF407,LMH_KEY,0)),0)</f>
        <v>0</v>
      </c>
      <c r="BU407" s="38">
        <f>IFERROR(INDEX(LMH_STEP,MATCH(AG407,LMH_KEY,0)),0)</f>
        <v>0</v>
      </c>
      <c r="BV407" s="38">
        <f>IFERROR(INDEX(LMH_STEP,MATCH(AH407,LMH_KEY,0)),0)</f>
        <v>0</v>
      </c>
      <c r="BW407" s="38">
        <f>IFERROR(INDEX(LMH_STEP,MATCH(AI407,LMH_KEY,0)),0)</f>
        <v>0</v>
      </c>
      <c r="BX407" s="38">
        <f>IFERROR(INDEX(LMH_STEP,MATCH(AJ407,LMH_KEY,0)),0)</f>
        <v>0</v>
      </c>
      <c r="BY407" s="38">
        <f>IFERROR(INDEX(LMH_STEP,MATCH(AK407,LMH_KEY,0)),0)</f>
        <v>0</v>
      </c>
      <c r="BZ407" s="38">
        <f>IFERROR(INDEX(LMH_STEP,MATCH(AL407,LMH_KEY,0)),0)</f>
        <v>0</v>
      </c>
      <c r="CA407" s="38" t="inlineStr">
        <is>
          <t>Datatech|Sales|Principal – Sales|C1|C-IC</t>
        </is>
      </c>
    </row>
    <row r="408" ht="110" customHeight="1">
      <c r="A408" s="28" t="inlineStr">
        <is>
          <t>Datatech</t>
        </is>
      </c>
      <c r="B408" s="29" t="inlineStr">
        <is>
          <t>Technology</t>
        </is>
      </c>
      <c r="C408" s="29" t="n">
        <v>2</v>
      </c>
      <c r="D408" s="29" t="inlineStr">
        <is>
          <t>IRISDT0006</t>
        </is>
      </c>
      <c r="E408" s="29" t="inlineStr">
        <is>
          <t>Sanghamitra Saxena</t>
        </is>
      </c>
      <c r="F408" s="29" t="inlineStr">
        <is>
          <t>Solution Architect</t>
        </is>
      </c>
      <c r="G408" s="29" t="inlineStr">
        <is>
          <t>Solution Architect</t>
        </is>
      </c>
      <c r="H408" s="29" t="inlineStr">
        <is>
          <t>Engineering &amp; Architecture</t>
        </is>
      </c>
      <c r="I408" s="29" t="inlineStr">
        <is>
          <t>Solution &amp; Technical Architecture</t>
        </is>
      </c>
      <c r="J408" s="29" t="inlineStr">
        <is>
          <t>IC</t>
        </is>
      </c>
      <c r="K408" s="29" t="inlineStr">
        <is>
          <t>RC-057</t>
        </is>
      </c>
      <c r="L408" s="29" t="inlineStr">
        <is>
          <t>Shilpa Dhobale</t>
        </is>
      </c>
      <c r="M408" s="29" t="inlineStr">
        <is>
          <t>IRISDT0001</t>
        </is>
      </c>
      <c r="N408" s="29" t="n">
        <v>12.5</v>
      </c>
      <c r="O408" s="29" t="n">
        <v>1.2</v>
      </c>
      <c r="P408" s="29" t="inlineStr">
        <is>
          <t>M.Tech</t>
        </is>
      </c>
      <c r="Q408" s="29" t="inlineStr">
        <is>
          <t>L3 – Professional / Associate</t>
        </is>
      </c>
      <c r="R408" s="29" t="inlineStr">
        <is>
          <t>C1</t>
        </is>
      </c>
      <c r="S408" s="30" t="inlineStr">
        <is>
          <t>0 of 20</t>
        </is>
      </c>
      <c r="T40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08" s="32" t="inlineStr">
        <is>
          <t>KRAs not received · manager to supply</t>
        </is>
      </c>
      <c r="V408" s="31" t="inlineStr">
        <is>
          <t>Latest rating: 3 · 9-box: Future Leader · Readiness: Develop in role</t>
        </is>
      </c>
      <c r="W408" s="31" t="inlineStr">
        <is>
          <t>C M · Au M · Ac M · L L · BI M · Exp M · 12.5 yrs vs 10–14 yrs · Edu M · M.Tech</t>
        </is>
      </c>
      <c r="X408" s="33" t="inlineStr">
        <is>
          <t>Open ▸</t>
        </is>
      </c>
      <c r="Y408" s="34" t="str">
        <f>IFERROR(INDEX(DL_C,MATCH($CA408,DL_KEY,0)),"M")</f>
        <v>H</v>
      </c>
      <c r="Z408" s="35" t="str">
        <f>IFERROR(INDEX(DL_Au,MATCH($CA408,DL_KEY,0)),"M")</f>
        <v>M</v>
      </c>
      <c r="AA408" s="35" t="str">
        <f>IFERROR(INDEX(DL_Ac,MATCH($CA408,DL_KEY,0)),"M")</f>
        <v>L</v>
      </c>
      <c r="AB408" s="35" t="str">
        <f>IFERROR(INDEX(DL_L,MATCH($CA408,DL_KEY,0)),"M")</f>
        <v>L</v>
      </c>
      <c r="AC408" s="35" t="str">
        <f>IFERROR(INDEX(DL_BI,MATCH($CA408,DL_KEY,0)),"M")</f>
        <v>L</v>
      </c>
      <c r="AD408" s="35" t="str">
        <f>IFERROR(INDEX(DL_Exp,MATCH($CA408,DL_KEY,0)),"M")</f>
        <v>L</v>
      </c>
      <c r="AE408" s="35" t="str">
        <f>IFERROR(INDEX(DL_Edu,MATCH($CA408,DL_KEY,0)),"M")</f>
        <v>L</v>
      </c>
      <c r="AF408" s="34" t="inlineStr">
        <is>
          <t>M</t>
        </is>
      </c>
      <c r="AG408" s="35" t="inlineStr">
        <is>
          <t>M</t>
        </is>
      </c>
      <c r="AH408" s="35" t="inlineStr">
        <is>
          <t>M</t>
        </is>
      </c>
      <c r="AI408" s="35" t="inlineStr">
        <is>
          <t>M</t>
        </is>
      </c>
      <c r="AJ408" s="35" t="inlineStr">
        <is>
          <t>M</t>
        </is>
      </c>
      <c r="AK408" s="35" t="inlineStr">
        <is>
          <t>M</t>
        </is>
      </c>
      <c r="AL408" s="35" t="inlineStr">
        <is>
          <t>M</t>
        </is>
      </c>
      <c r="AM408" s="36" t="n">
        <v>0.5429999999999999</v>
      </c>
      <c r="AN408" s="37" t="n">
        <v>0.177</v>
      </c>
      <c r="AO408" s="37" t="n">
        <v>0.103</v>
      </c>
      <c r="AP408" s="37" t="n">
        <v>0.05</v>
      </c>
      <c r="AQ408" s="37" t="n">
        <v>0.077</v>
      </c>
      <c r="AR408" s="37" t="n">
        <v>0.04</v>
      </c>
      <c r="AS408" s="37" t="n">
        <v>0.01</v>
      </c>
      <c r="AT408" s="38" t="inlineStr">
        <is>
          <t>12–17</t>
        </is>
      </c>
      <c r="AU408" s="38" t="inlineStr">
        <is>
          <t>Postgraduate / professional qualification preferred</t>
        </is>
      </c>
      <c r="AV408" s="38" t="inlineStr">
        <is>
          <t>5–8, mostly managers</t>
        </is>
      </c>
      <c r="AW408" s="38" t="inlineStr">
        <is>
          <t>P6 / M5 · SFIA 5–6</t>
        </is>
      </c>
      <c r="AX4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8" s="39" t="inlineStr">
        <is>
          <t>C1</t>
        </is>
      </c>
      <c r="AZ408" s="40" t="inlineStr">
        <is>
          <t>Band C · Principal / Head · Principal</t>
        </is>
      </c>
      <c r="BA408" s="40" t="inlineStr">
        <is>
          <t>Model C1 from the six ratings, the market-derived weights and rules R1–R13 · then No change · already below the manager</t>
        </is>
      </c>
      <c r="BB408" s="41" t="inlineStr">
        <is>
          <t>C1</t>
        </is>
      </c>
      <c r="BC408" s="40" t="inlineStr">
        <is>
          <t>The six ratings on the market-average weights of Band C · Principal specialist score 7.01 → C1 · Hay, Mercer IPE and public plans · experience 12.5 yrs vs the C1 market range 12–17</t>
        </is>
      </c>
      <c r="BD408" s="42">
        <f>IF(SUM(BM408,BN408,BO408,BP408,BQ408,BR408,BS408)=0,0,(BM408*BT408+BN408*BU408+BO408*BV408+BP408*BW408+BQ408*BX408+BR408*BY408+BS408*BZ408)/SUM(BM408,BN408,BO408,BP408,BQ408,BR408,BS408))</f>
        <v>0</v>
      </c>
      <c r="BE408" s="41" t="str">
        <f>IF(LEFT(AY408,1)="X",AY408,IF(OR(AY408="B+",AY408="C+"),INDEX(LAD_PC,MAX(1,MIN(14,MATCH(AY408,LAD_PC,0)+IF(BD408&gt;=0.5,1,IF(BD408&lt;=-0.5,-1,0))))),INDEX(LAD_STD,MAX(1,MIN(12,MATCH(AY408,LAD_STD,0)+IF(BD408&gt;=0.5,1,IF(BD408&lt;=-0.5,-1,0)))))))</f>
        <v>C1</v>
      </c>
      <c r="BF408" s="43" t="n"/>
      <c r="BG408" s="41" t="str">
        <f>IF(BF408&lt;&gt;"",BF408,BE408)</f>
        <v>C1</v>
      </c>
      <c r="BH408" s="40" t="str">
        <f>IFERROR(CHOOSE(INDEX(B_RANK,MATCH(BG408,B_LVL,0)),"Band A","Band B","B+ · Player-Coach","Band C","C+ · Player-Coach","Band D","Band E"),"Band X · Consultant")</f>
        <v>Band C</v>
      </c>
      <c r="BI408" s="40" t="str">
        <f>IF(BG408=AY408,"• Same",IF(INDEX(B_VAL,MATCH(BG408,B_LVL,0))&gt;INDEX(B_VAL,MATCH(AY408,B_LVL,0)),"▲ Up","▼ Down"))</f>
        <v>• Same</v>
      </c>
      <c r="BJ408" s="40" t="str">
        <f>IF(OR($M408="",$M408="—",$M408="Not in this file"),"",IFERROR(INDEX($BG$7:$BG$592,MATCH($M408,$D$7:$D$592,0)),""))</f>
        <v>D2</v>
      </c>
      <c r="BK408" s="40" t="str">
        <f>IFERROR(IF(BJ408="","—",IF(OR(LEFT(BG408,1)="X",LEFT(BJ408,1)="X"),"—",IF(AND(LEFT(BG408,1)="E",LEFT(BJ408,1)="E"),"Exception · Band E",IF(AND(INDEX(B_VAL,MATCH(BJ408,B_LVL,0))&gt;=7,INDEX(B_RANK,MATCH(BG408,B_LVL,0))&gt;=INDEX(B_RANK,MATCH(BJ408,B_LVL,0))),"⚠ Same band as a head manager",IF(INDEX(B_VAL,MATCH(BG408,B_LVL,0))&gt;=INDEX(B_VAL,MATCH(BJ408,B_LVL,0)),"⚠ At or above the manager's level","OK"))))),"—")</f>
        <v>OK</v>
      </c>
      <c r="BL408" s="43" t="n"/>
      <c r="BM408" s="44">
        <f>IFERROR(INDEX(LMH_PTS,MATCH(Y408,LMH_KEY,0)),0)</f>
        <v>9</v>
      </c>
      <c r="BN408" s="38">
        <f>IFERROR(INDEX(LMH_PTS,MATCH(Z408,LMH_KEY,0)),0)</f>
        <v>3</v>
      </c>
      <c r="BO408" s="38">
        <f>IFERROR(INDEX(LMH_PTS,MATCH(AA408,LMH_KEY,0)),0)</f>
        <v>1</v>
      </c>
      <c r="BP408" s="38">
        <f>IFERROR(INDEX(LMH_PTS,MATCH(AB408,LMH_KEY,0)),0)</f>
        <v>1</v>
      </c>
      <c r="BQ408" s="38">
        <f>IFERROR(INDEX(LMH_PTS,MATCH(AC408,LMH_KEY,0)),0)</f>
        <v>1</v>
      </c>
      <c r="BR408" s="38">
        <f>IFERROR(INDEX(LMH_PTS,MATCH(AD408,LMH_KEY,0)),0)</f>
        <v>1</v>
      </c>
      <c r="BS408" s="38">
        <f>IFERROR(INDEX(LMH_PTS,MATCH(AE408,LMH_KEY,0)),0)</f>
        <v>1</v>
      </c>
      <c r="BT408" s="38">
        <f>IFERROR(INDEX(LMH_STEP,MATCH(AF408,LMH_KEY,0)),0)</f>
        <v>0</v>
      </c>
      <c r="BU408" s="38">
        <f>IFERROR(INDEX(LMH_STEP,MATCH(AG408,LMH_KEY,0)),0)</f>
        <v>0</v>
      </c>
      <c r="BV408" s="38">
        <f>IFERROR(INDEX(LMH_STEP,MATCH(AH408,LMH_KEY,0)),0)</f>
        <v>0</v>
      </c>
      <c r="BW408" s="38">
        <f>IFERROR(INDEX(LMH_STEP,MATCH(AI408,LMH_KEY,0)),0)</f>
        <v>0</v>
      </c>
      <c r="BX408" s="38">
        <f>IFERROR(INDEX(LMH_STEP,MATCH(AJ408,LMH_KEY,0)),0)</f>
        <v>0</v>
      </c>
      <c r="BY408" s="38">
        <f>IFERROR(INDEX(LMH_STEP,MATCH(AK408,LMH_KEY,0)),0)</f>
        <v>0</v>
      </c>
      <c r="BZ408" s="38">
        <f>IFERROR(INDEX(LMH_STEP,MATCH(AL408,LMH_KEY,0)),0)</f>
        <v>0</v>
      </c>
      <c r="CA408" s="38" t="inlineStr">
        <is>
          <t>Datatech|Technology|Solution Architect|C1|C-IC</t>
        </is>
      </c>
    </row>
    <row r="409" ht="110" customHeight="1">
      <c r="A409" s="28" t="inlineStr">
        <is>
          <t>Datatech</t>
        </is>
      </c>
      <c r="B409" s="29" t="inlineStr">
        <is>
          <t>Technology</t>
        </is>
      </c>
      <c r="C409" s="29" t="n">
        <v>2</v>
      </c>
      <c r="D409" s="29" t="inlineStr">
        <is>
          <t>IRISDTC002</t>
        </is>
      </c>
      <c r="E409" s="29" t="inlineStr">
        <is>
          <t>Akshay Shetty</t>
        </is>
      </c>
      <c r="F409" s="29" t="inlineStr">
        <is>
          <t>Consultant -Lead Developer</t>
        </is>
      </c>
      <c r="G409" s="29" t="inlineStr">
        <is>
          <t>Senior Technical Specialist – POD Lead</t>
        </is>
      </c>
      <c r="H409" s="29" t="inlineStr">
        <is>
          <t>Engineering &amp; Development</t>
        </is>
      </c>
      <c r="I409" s="29" t="inlineStr">
        <is>
          <t>Backend Development</t>
        </is>
      </c>
      <c r="J409" s="29" t="inlineStr">
        <is>
          <t>POD Lead</t>
        </is>
      </c>
      <c r="K409" s="29" t="inlineStr">
        <is>
          <t>RC-069</t>
        </is>
      </c>
      <c r="L409" s="29" t="inlineStr">
        <is>
          <t>Shilpa Dhobale</t>
        </is>
      </c>
      <c r="M409" s="29" t="inlineStr">
        <is>
          <t>IRISDT0001</t>
        </is>
      </c>
      <c r="N409" s="29" t="n">
        <v>10.1</v>
      </c>
      <c r="O409" s="29" t="n">
        <v>0.9</v>
      </c>
      <c r="P409" s="29" t="inlineStr">
        <is>
          <t>M.Sc</t>
        </is>
      </c>
      <c r="Q409" s="29" t="inlineStr">
        <is>
          <t>L5 – Lead · IC</t>
        </is>
      </c>
      <c r="R409" s="29" t="inlineStr">
        <is>
          <t>B2</t>
        </is>
      </c>
      <c r="S409" s="30" t="inlineStr">
        <is>
          <t>0 of 20</t>
        </is>
      </c>
      <c r="T409" s="31"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t>
        </is>
      </c>
      <c r="U409" s="31" t="inlineStr">
        <is>
          <t>Received · manager annual, quarterly · 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t>
        </is>
      </c>
      <c r="V409" s="31" t="inlineStr">
        <is>
          <t>Latest rating: 2 · Potential: Low · 9-box: Performance Risk · Readiness: Performance first</t>
        </is>
      </c>
      <c r="W409" s="31" t="inlineStr">
        <is>
          <t>C M · Au M · Ac L · L L · BI L · Exp H · 10.1 yrs vs 6–9 yrs · Edu H · M.Sc</t>
        </is>
      </c>
      <c r="X409" s="33" t="inlineStr">
        <is>
          <t>Open ▸</t>
        </is>
      </c>
      <c r="Y409" s="34" t="str">
        <f>IFERROR(INDEX(DL_C,MATCH($CA409,DL_KEY,0)),"M")</f>
        <v>H</v>
      </c>
      <c r="Z409" s="35" t="str">
        <f>IFERROR(INDEX(DL_Au,MATCH($CA409,DL_KEY,0)),"M")</f>
        <v>M</v>
      </c>
      <c r="AA409" s="35" t="str">
        <f>IFERROR(INDEX(DL_Ac,MATCH($CA409,DL_KEY,0)),"M")</f>
        <v>L</v>
      </c>
      <c r="AB409" s="35" t="str">
        <f>IFERROR(INDEX(DL_L,MATCH($CA409,DL_KEY,0)),"M")</f>
        <v>L</v>
      </c>
      <c r="AC409" s="35" t="str">
        <f>IFERROR(INDEX(DL_BI,MATCH($CA409,DL_KEY,0)),"M")</f>
        <v>L</v>
      </c>
      <c r="AD409" s="35" t="str">
        <f>IFERROR(INDEX(DL_Exp,MATCH($CA409,DL_KEY,0)),"M")</f>
        <v>L</v>
      </c>
      <c r="AE409" s="35" t="str">
        <f>IFERROR(INDEX(DL_Edu,MATCH($CA409,DL_KEY,0)),"M")</f>
        <v>L</v>
      </c>
      <c r="AF409" s="34" t="inlineStr">
        <is>
          <t>M</t>
        </is>
      </c>
      <c r="AG409" s="35" t="inlineStr">
        <is>
          <t>M</t>
        </is>
      </c>
      <c r="AH409" s="35" t="inlineStr">
        <is>
          <t>M</t>
        </is>
      </c>
      <c r="AI409" s="35" t="inlineStr">
        <is>
          <t>M</t>
        </is>
      </c>
      <c r="AJ409" s="35" t="inlineStr">
        <is>
          <t>M</t>
        </is>
      </c>
      <c r="AK409" s="35" t="inlineStr">
        <is>
          <t>M</t>
        </is>
      </c>
      <c r="AL409" s="35" t="inlineStr">
        <is>
          <t>M</t>
        </is>
      </c>
      <c r="AM409" s="36" t="n">
        <v>0.513</v>
      </c>
      <c r="AN409" s="37" t="n">
        <v>0.173</v>
      </c>
      <c r="AO409" s="37" t="n">
        <v>0.09699999999999999</v>
      </c>
      <c r="AP409" s="37" t="n">
        <v>0.05</v>
      </c>
      <c r="AQ409" s="37" t="n">
        <v>0.07000000000000001</v>
      </c>
      <c r="AR409" s="37" t="n">
        <v>0.06</v>
      </c>
      <c r="AS409" s="37" t="n">
        <v>0.04</v>
      </c>
      <c r="AT409" s="38" t="inlineStr">
        <is>
          <t>6–10</t>
        </is>
      </c>
      <c r="AU409" s="38" t="inlineStr">
        <is>
          <t>Graduate or postgraduate; professional qualification preferred</t>
        </is>
      </c>
      <c r="AV409" s="38" t="inlineStr">
        <is>
          <t>IC: none · People: 6–8 knowledge work, 8–12 standardised delivery</t>
        </is>
      </c>
      <c r="AW409" s="38" t="inlineStr">
        <is>
          <t>P4 / M3 · SFIA 4–5</t>
        </is>
      </c>
      <c r="AX4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9" s="39" t="inlineStr">
        <is>
          <t>B2</t>
        </is>
      </c>
      <c r="AZ409" s="40" t="inlineStr">
        <is>
          <t>Band B · Specialist / Manager · Manager</t>
        </is>
      </c>
      <c r="BA409" s="40" t="inlineStr">
        <is>
          <t>Model B2 from the six ratings, the market-derived weights and rules R1–R13 · then No change · already below the manager</t>
        </is>
      </c>
      <c r="BB409" s="41" t="inlineStr">
        <is>
          <t>B2</t>
        </is>
      </c>
      <c r="BC409" s="40" t="inlineStr">
        <is>
          <t>The six ratings on the market-average weights of Band B · Specialist / POD Lead score 4.57 → B2 · Hay, Mercer IPE and public plans · experience 10.1 yrs vs the B2 market range 6–10</t>
        </is>
      </c>
      <c r="BD409" s="42">
        <f>IF(SUM(BM409,BN409,BO409,BP409,BQ409,BR409,BS409)=0,0,(BM409*BT409+BN409*BU409+BO409*BV409+BP409*BW409+BQ409*BX409+BR409*BY409+BS409*BZ409)/SUM(BM409,BN409,BO409,BP409,BQ409,BR409,BS409))</f>
        <v>0</v>
      </c>
      <c r="BE409" s="41" t="str">
        <f>IF(LEFT(AY409,1)="X",AY409,IF(OR(AY409="B+",AY409="C+"),INDEX(LAD_PC,MAX(1,MIN(14,MATCH(AY409,LAD_PC,0)+IF(BD409&gt;=0.5,1,IF(BD409&lt;=-0.5,-1,0))))),INDEX(LAD_STD,MAX(1,MIN(12,MATCH(AY409,LAD_STD,0)+IF(BD409&gt;=0.5,1,IF(BD409&lt;=-0.5,-1,0)))))))</f>
        <v>B2</v>
      </c>
      <c r="BF409" s="43" t="n"/>
      <c r="BG409" s="41" t="str">
        <f>IF(BF409&lt;&gt;"",BF409,BE409)</f>
        <v>B2</v>
      </c>
      <c r="BH409" s="40" t="str">
        <f>IFERROR(CHOOSE(INDEX(B_RANK,MATCH(BG409,B_LVL,0)),"Band A","Band B","B+ · Player-Coach","Band C","C+ · Player-Coach","Band D","Band E"),"Band X · Consultant")</f>
        <v>Band B</v>
      </c>
      <c r="BI409" s="40" t="str">
        <f>IF(BG409=AY409,"• Same",IF(INDEX(B_VAL,MATCH(BG409,B_LVL,0))&gt;INDEX(B_VAL,MATCH(AY409,B_LVL,0)),"▲ Up","▼ Down"))</f>
        <v>• Same</v>
      </c>
      <c r="BJ409" s="40" t="str">
        <f>IF(OR($M409="",$M409="—",$M409="Not in this file"),"",IFERROR(INDEX($BG$7:$BG$592,MATCH($M409,$D$7:$D$592,0)),""))</f>
        <v>D2</v>
      </c>
      <c r="BK409" s="40" t="str">
        <f>IFERROR(IF(BJ409="","—",IF(OR(LEFT(BG409,1)="X",LEFT(BJ409,1)="X"),"—",IF(AND(LEFT(BG409,1)="E",LEFT(BJ409,1)="E"),"Exception · Band E",IF(AND(INDEX(B_VAL,MATCH(BJ409,B_LVL,0))&gt;=7,INDEX(B_RANK,MATCH(BG409,B_LVL,0))&gt;=INDEX(B_RANK,MATCH(BJ409,B_LVL,0))),"⚠ Same band as a head manager",IF(INDEX(B_VAL,MATCH(BG409,B_LVL,0))&gt;=INDEX(B_VAL,MATCH(BJ409,B_LVL,0)),"⚠ At or above the manager's level","OK"))))),"—")</f>
        <v>OK</v>
      </c>
      <c r="BL409" s="43" t="n"/>
      <c r="BM409" s="44">
        <f>IFERROR(INDEX(LMH_PTS,MATCH(Y409,LMH_KEY,0)),0)</f>
        <v>9</v>
      </c>
      <c r="BN409" s="38">
        <f>IFERROR(INDEX(LMH_PTS,MATCH(Z409,LMH_KEY,0)),0)</f>
        <v>3</v>
      </c>
      <c r="BO409" s="38">
        <f>IFERROR(INDEX(LMH_PTS,MATCH(AA409,LMH_KEY,0)),0)</f>
        <v>1</v>
      </c>
      <c r="BP409" s="38">
        <f>IFERROR(INDEX(LMH_PTS,MATCH(AB409,LMH_KEY,0)),0)</f>
        <v>1</v>
      </c>
      <c r="BQ409" s="38">
        <f>IFERROR(INDEX(LMH_PTS,MATCH(AC409,LMH_KEY,0)),0)</f>
        <v>1</v>
      </c>
      <c r="BR409" s="38">
        <f>IFERROR(INDEX(LMH_PTS,MATCH(AD409,LMH_KEY,0)),0)</f>
        <v>1</v>
      </c>
      <c r="BS409" s="38">
        <f>IFERROR(INDEX(LMH_PTS,MATCH(AE409,LMH_KEY,0)),0)</f>
        <v>1</v>
      </c>
      <c r="BT409" s="38">
        <f>IFERROR(INDEX(LMH_STEP,MATCH(AF409,LMH_KEY,0)),0)</f>
        <v>0</v>
      </c>
      <c r="BU409" s="38">
        <f>IFERROR(INDEX(LMH_STEP,MATCH(AG409,LMH_KEY,0)),0)</f>
        <v>0</v>
      </c>
      <c r="BV409" s="38">
        <f>IFERROR(INDEX(LMH_STEP,MATCH(AH409,LMH_KEY,0)),0)</f>
        <v>0</v>
      </c>
      <c r="BW409" s="38">
        <f>IFERROR(INDEX(LMH_STEP,MATCH(AI409,LMH_KEY,0)),0)</f>
        <v>0</v>
      </c>
      <c r="BX409" s="38">
        <f>IFERROR(INDEX(LMH_STEP,MATCH(AJ409,LMH_KEY,0)),0)</f>
        <v>0</v>
      </c>
      <c r="BY409" s="38">
        <f>IFERROR(INDEX(LMH_STEP,MATCH(AK409,LMH_KEY,0)),0)</f>
        <v>0</v>
      </c>
      <c r="BZ409" s="38">
        <f>IFERROR(INDEX(LMH_STEP,MATCH(AL409,LMH_KEY,0)),0)</f>
        <v>0</v>
      </c>
      <c r="CA409" s="38" t="inlineStr">
        <is>
          <t>Datatech|Technology|Senior Technical Specialist – POD Lead|B2|B-IC</t>
        </is>
      </c>
    </row>
    <row r="410" ht="110" customHeight="1">
      <c r="A410" s="28" t="inlineStr">
        <is>
          <t>Datatech</t>
        </is>
      </c>
      <c r="B410" s="29" t="inlineStr">
        <is>
          <t>Technology</t>
        </is>
      </c>
      <c r="C410" s="29" t="n">
        <v>3</v>
      </c>
      <c r="D410" s="29" t="inlineStr">
        <is>
          <t>IRISDT0002</t>
        </is>
      </c>
      <c r="E410" s="29" t="inlineStr">
        <is>
          <t>Niraj Santosh Patil</t>
        </is>
      </c>
      <c r="F410" s="29" t="inlineStr">
        <is>
          <t>Junior Software Engineer</t>
        </is>
      </c>
      <c r="G410" s="29" t="inlineStr">
        <is>
          <t>Senior Software Engineer</t>
        </is>
      </c>
      <c r="H410" s="29" t="inlineStr">
        <is>
          <t>Engineering &amp; Development</t>
        </is>
      </c>
      <c r="I410" s="29" t="inlineStr">
        <is>
          <t>Backend Development</t>
        </is>
      </c>
      <c r="J410" s="29" t="inlineStr">
        <is>
          <t>IC</t>
        </is>
      </c>
      <c r="K410" s="29" t="inlineStr">
        <is>
          <t>RC-067</t>
        </is>
      </c>
      <c r="L410" s="29" t="inlineStr">
        <is>
          <t>Akshay Shetty</t>
        </is>
      </c>
      <c r="M410" s="29" t="inlineStr">
        <is>
          <t>IRISDTC002</t>
        </is>
      </c>
      <c r="N410" s="29" t="n">
        <v>2.3</v>
      </c>
      <c r="O410" s="29" t="n">
        <v>2.3</v>
      </c>
      <c r="P410" s="29" t="inlineStr">
        <is>
          <t>B.Tech</t>
        </is>
      </c>
      <c r="Q410" s="29" t="inlineStr">
        <is>
          <t>L2 – Trainee</t>
        </is>
      </c>
      <c r="R410" s="29" t="inlineStr">
        <is>
          <t>A3</t>
        </is>
      </c>
      <c r="S410" s="30" t="inlineStr">
        <is>
          <t>20 of 20</t>
        </is>
      </c>
      <c r="T41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10"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10" s="31" t="inlineStr">
        <is>
          <t>Latest rating: 2 · Potential: Low · 9-box: Performance Risk · Readiness: Performance first</t>
        </is>
      </c>
      <c r="W410" s="31" t="inlineStr">
        <is>
          <t>C L · Au L · Ac L · L L · BI M · Exp M · 2.3 yrs vs 2–4 yrs · Edu M · B.Tech</t>
        </is>
      </c>
      <c r="X410" s="33" t="inlineStr">
        <is>
          <t>Open ▸</t>
        </is>
      </c>
      <c r="Y410" s="34" t="str">
        <f>IFERROR(INDEX(DL_C,MATCH($CA410,DL_KEY,0)),"M")</f>
        <v>H</v>
      </c>
      <c r="Z410" s="35" t="str">
        <f>IFERROR(INDEX(DL_Au,MATCH($CA410,DL_KEY,0)),"M")</f>
        <v>M</v>
      </c>
      <c r="AA410" s="35" t="str">
        <f>IFERROR(INDEX(DL_Ac,MATCH($CA410,DL_KEY,0)),"M")</f>
        <v>L</v>
      </c>
      <c r="AB410" s="35" t="str">
        <f>IFERROR(INDEX(DL_L,MATCH($CA410,DL_KEY,0)),"M")</f>
        <v>L</v>
      </c>
      <c r="AC410" s="35" t="str">
        <f>IFERROR(INDEX(DL_BI,MATCH($CA410,DL_KEY,0)),"M")</f>
        <v>L</v>
      </c>
      <c r="AD410" s="35" t="str">
        <f>IFERROR(INDEX(DL_Exp,MATCH($CA410,DL_KEY,0)),"M")</f>
        <v>L</v>
      </c>
      <c r="AE410" s="35" t="str">
        <f>IFERROR(INDEX(DL_Edu,MATCH($CA410,DL_KEY,0)),"M")</f>
        <v>L</v>
      </c>
      <c r="AF410" s="34" t="inlineStr">
        <is>
          <t>M</t>
        </is>
      </c>
      <c r="AG410" s="35" t="inlineStr">
        <is>
          <t>M</t>
        </is>
      </c>
      <c r="AH410" s="35" t="inlineStr">
        <is>
          <t>M</t>
        </is>
      </c>
      <c r="AI410" s="35" t="inlineStr">
        <is>
          <t>M</t>
        </is>
      </c>
      <c r="AJ410" s="35" t="inlineStr">
        <is>
          <t>M</t>
        </is>
      </c>
      <c r="AK410" s="35" t="inlineStr">
        <is>
          <t>M</t>
        </is>
      </c>
      <c r="AL410" s="35" t="inlineStr">
        <is>
          <t>M</t>
        </is>
      </c>
      <c r="AM410" s="36" t="n">
        <v>0.583</v>
      </c>
      <c r="AN410" s="37" t="n">
        <v>0.16</v>
      </c>
      <c r="AO410" s="37" t="n">
        <v>0.09</v>
      </c>
      <c r="AP410" s="37" t="n">
        <v>0</v>
      </c>
      <c r="AQ410" s="37" t="n">
        <v>0.063</v>
      </c>
      <c r="AR410" s="37" t="n">
        <v>0.06</v>
      </c>
      <c r="AS410" s="37" t="n">
        <v>0.04</v>
      </c>
      <c r="AT410" s="38" t="inlineStr">
        <is>
          <t>2–5</t>
        </is>
      </c>
      <c r="AU410" s="38" t="inlineStr">
        <is>
          <t>Graduate; relevant certification preferred</t>
        </is>
      </c>
      <c r="AV410" s="38" t="inlineStr">
        <is>
          <t>None · guides 1–3 juniors informally</t>
        </is>
      </c>
      <c r="AW410" s="38" t="inlineStr">
        <is>
          <t>P2 · SFIA 3 Apply</t>
        </is>
      </c>
      <c r="AX4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0" s="39" t="inlineStr">
        <is>
          <t>A3</t>
        </is>
      </c>
      <c r="AZ410" s="40" t="inlineStr">
        <is>
          <t>Band A · Practitioner · Senior Associate</t>
        </is>
      </c>
      <c r="BA410" s="40" t="inlineStr">
        <is>
          <t>Model A3 from the six ratings, the market-derived weights and rules R1–R13 · then No change · already below the manager</t>
        </is>
      </c>
      <c r="BB410" s="41" t="inlineStr">
        <is>
          <t>A2</t>
        </is>
      </c>
      <c r="BC410" s="40" t="inlineStr">
        <is>
          <t>The six ratings on the market-average weights of Band A · all tracks score 2.08 → A2 · Hay, Mercer IPE and public plans · experience 2.3 yrs vs the A2 market range 0–3</t>
        </is>
      </c>
      <c r="BD410" s="42">
        <f>IF(SUM(BM410,BN410,BO410,BP410,BQ410,BR410,BS410)=0,0,(BM410*BT410+BN410*BU410+BO410*BV410+BP410*BW410+BQ410*BX410+BR410*BY410+BS410*BZ410)/SUM(BM410,BN410,BO410,BP410,BQ410,BR410,BS410))</f>
        <v>0</v>
      </c>
      <c r="BE410" s="41" t="str">
        <f>IF(LEFT(AY410,1)="X",AY410,IF(OR(AY410="B+",AY410="C+"),INDEX(LAD_PC,MAX(1,MIN(14,MATCH(AY410,LAD_PC,0)+IF(BD410&gt;=0.5,1,IF(BD410&lt;=-0.5,-1,0))))),INDEX(LAD_STD,MAX(1,MIN(12,MATCH(AY410,LAD_STD,0)+IF(BD410&gt;=0.5,1,IF(BD410&lt;=-0.5,-1,0)))))))</f>
        <v>A3</v>
      </c>
      <c r="BF410" s="43" t="n"/>
      <c r="BG410" s="41" t="str">
        <f>IF(BF410&lt;&gt;"",BF410,BE410)</f>
        <v>A3</v>
      </c>
      <c r="BH410" s="40" t="str">
        <f>IFERROR(CHOOSE(INDEX(B_RANK,MATCH(BG410,B_LVL,0)),"Band A","Band B","B+ · Player-Coach","Band C","C+ · Player-Coach","Band D","Band E"),"Band X · Consultant")</f>
        <v>Band A</v>
      </c>
      <c r="BI410" s="40" t="str">
        <f>IF(BG410=AY410,"• Same",IF(INDEX(B_VAL,MATCH(BG410,B_LVL,0))&gt;INDEX(B_VAL,MATCH(AY410,B_LVL,0)),"▲ Up","▼ Down"))</f>
        <v>• Same</v>
      </c>
      <c r="BJ410" s="40" t="str">
        <f>IF(OR($M410="",$M410="—",$M410="Not in this file"),"",IFERROR(INDEX($BG$7:$BG$592,MATCH($M410,$D$7:$D$592,0)),""))</f>
        <v>B2</v>
      </c>
      <c r="BK410" s="40" t="str">
        <f>IFERROR(IF(BJ410="","—",IF(OR(LEFT(BG410,1)="X",LEFT(BJ410,1)="X"),"—",IF(AND(LEFT(BG410,1)="E",LEFT(BJ410,1)="E"),"Exception · Band E",IF(AND(INDEX(B_VAL,MATCH(BJ410,B_LVL,0))&gt;=7,INDEX(B_RANK,MATCH(BG410,B_LVL,0))&gt;=INDEX(B_RANK,MATCH(BJ410,B_LVL,0))),"⚠ Same band as a head manager",IF(INDEX(B_VAL,MATCH(BG410,B_LVL,0))&gt;=INDEX(B_VAL,MATCH(BJ410,B_LVL,0)),"⚠ At or above the manager's level","OK"))))),"—")</f>
        <v>OK</v>
      </c>
      <c r="BL410" s="43" t="n"/>
      <c r="BM410" s="44">
        <f>IFERROR(INDEX(LMH_PTS,MATCH(Y410,LMH_KEY,0)),0)</f>
        <v>9</v>
      </c>
      <c r="BN410" s="38">
        <f>IFERROR(INDEX(LMH_PTS,MATCH(Z410,LMH_KEY,0)),0)</f>
        <v>3</v>
      </c>
      <c r="BO410" s="38">
        <f>IFERROR(INDEX(LMH_PTS,MATCH(AA410,LMH_KEY,0)),0)</f>
        <v>1</v>
      </c>
      <c r="BP410" s="38">
        <f>IFERROR(INDEX(LMH_PTS,MATCH(AB410,LMH_KEY,0)),0)</f>
        <v>1</v>
      </c>
      <c r="BQ410" s="38">
        <f>IFERROR(INDEX(LMH_PTS,MATCH(AC410,LMH_KEY,0)),0)</f>
        <v>1</v>
      </c>
      <c r="BR410" s="38">
        <f>IFERROR(INDEX(LMH_PTS,MATCH(AD410,LMH_KEY,0)),0)</f>
        <v>1</v>
      </c>
      <c r="BS410" s="38">
        <f>IFERROR(INDEX(LMH_PTS,MATCH(AE410,LMH_KEY,0)),0)</f>
        <v>1</v>
      </c>
      <c r="BT410" s="38">
        <f>IFERROR(INDEX(LMH_STEP,MATCH(AF410,LMH_KEY,0)),0)</f>
        <v>0</v>
      </c>
      <c r="BU410" s="38">
        <f>IFERROR(INDEX(LMH_STEP,MATCH(AG410,LMH_KEY,0)),0)</f>
        <v>0</v>
      </c>
      <c r="BV410" s="38">
        <f>IFERROR(INDEX(LMH_STEP,MATCH(AH410,LMH_KEY,0)),0)</f>
        <v>0</v>
      </c>
      <c r="BW410" s="38">
        <f>IFERROR(INDEX(LMH_STEP,MATCH(AI410,LMH_KEY,0)),0)</f>
        <v>0</v>
      </c>
      <c r="BX410" s="38">
        <f>IFERROR(INDEX(LMH_STEP,MATCH(AJ410,LMH_KEY,0)),0)</f>
        <v>0</v>
      </c>
      <c r="BY410" s="38">
        <f>IFERROR(INDEX(LMH_STEP,MATCH(AK410,LMH_KEY,0)),0)</f>
        <v>0</v>
      </c>
      <c r="BZ410" s="38">
        <f>IFERROR(INDEX(LMH_STEP,MATCH(AL410,LMH_KEY,0)),0)</f>
        <v>0</v>
      </c>
      <c r="CA410" s="38" t="inlineStr">
        <is>
          <t>Datatech|Technology|Senior Software Engineer|A3|A</t>
        </is>
      </c>
    </row>
    <row r="411" ht="110" customHeight="1">
      <c r="A411" s="28" t="inlineStr">
        <is>
          <t>Datatech</t>
        </is>
      </c>
      <c r="B411" s="29" t="inlineStr">
        <is>
          <t>Technology</t>
        </is>
      </c>
      <c r="C411" s="29" t="n">
        <v>3</v>
      </c>
      <c r="D411" s="29" t="inlineStr">
        <is>
          <t>IRISDT0004</t>
        </is>
      </c>
      <c r="E411" s="29" t="inlineStr">
        <is>
          <t>Krishnadev Arya</t>
        </is>
      </c>
      <c r="F411" s="29" t="inlineStr">
        <is>
          <t>Junior Software Engineer</t>
        </is>
      </c>
      <c r="G411" s="29" t="inlineStr">
        <is>
          <t>Software Engineer</t>
        </is>
      </c>
      <c r="H411" s="29" t="inlineStr">
        <is>
          <t>Engineering &amp; Development</t>
        </is>
      </c>
      <c r="I411" s="29" t="inlineStr">
        <is>
          <t>Backend Development</t>
        </is>
      </c>
      <c r="J411" s="29" t="inlineStr">
        <is>
          <t>IC</t>
        </is>
      </c>
      <c r="K411" s="29" t="inlineStr">
        <is>
          <t>RC-066</t>
        </is>
      </c>
      <c r="L411" s="29" t="inlineStr">
        <is>
          <t>Akshay Shetty</t>
        </is>
      </c>
      <c r="M411" s="29" t="inlineStr">
        <is>
          <t>IRISDTC002</t>
        </is>
      </c>
      <c r="N411" s="29" t="n">
        <v>1.7</v>
      </c>
      <c r="O411" s="29" t="n">
        <v>1.7</v>
      </c>
      <c r="P411" s="29" t="inlineStr">
        <is>
          <t>B.E</t>
        </is>
      </c>
      <c r="Q411" s="29" t="inlineStr">
        <is>
          <t>L3 – Professional / Associate</t>
        </is>
      </c>
      <c r="R411" s="29" t="inlineStr">
        <is>
          <t>A2</t>
        </is>
      </c>
      <c r="S411" s="30" t="inlineStr">
        <is>
          <t>20 of 20</t>
        </is>
      </c>
      <c r="T41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11"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11" s="31" t="inlineStr">
        <is>
          <t>Latest rating: 2 · Potential: Low · 9-box: Performance Risk · Readiness: Performance first</t>
        </is>
      </c>
      <c r="W411" s="31" t="inlineStr">
        <is>
          <t>C M · Au M · Ac M · L L · BI M · Exp M · 1.7 yrs vs 0–2 yrs · Edu M · B.E</t>
        </is>
      </c>
      <c r="X411" s="33" t="inlineStr">
        <is>
          <t>Open ▸</t>
        </is>
      </c>
      <c r="Y411" s="34" t="str">
        <f>IFERROR(INDEX(DL_C,MATCH($CA411,DL_KEY,0)),"M")</f>
        <v>H</v>
      </c>
      <c r="Z411" s="35" t="str">
        <f>IFERROR(INDEX(DL_Au,MATCH($CA411,DL_KEY,0)),"M")</f>
        <v>M</v>
      </c>
      <c r="AA411" s="35" t="str">
        <f>IFERROR(INDEX(DL_Ac,MATCH($CA411,DL_KEY,0)),"M")</f>
        <v>L</v>
      </c>
      <c r="AB411" s="35" t="str">
        <f>IFERROR(INDEX(DL_L,MATCH($CA411,DL_KEY,0)),"M")</f>
        <v>L</v>
      </c>
      <c r="AC411" s="35" t="str">
        <f>IFERROR(INDEX(DL_BI,MATCH($CA411,DL_KEY,0)),"M")</f>
        <v>L</v>
      </c>
      <c r="AD411" s="35" t="str">
        <f>IFERROR(INDEX(DL_Exp,MATCH($CA411,DL_KEY,0)),"M")</f>
        <v>L</v>
      </c>
      <c r="AE411" s="35" t="str">
        <f>IFERROR(INDEX(DL_Edu,MATCH($CA411,DL_KEY,0)),"M")</f>
        <v>L</v>
      </c>
      <c r="AF411" s="34" t="inlineStr">
        <is>
          <t>M</t>
        </is>
      </c>
      <c r="AG411" s="35" t="inlineStr">
        <is>
          <t>M</t>
        </is>
      </c>
      <c r="AH411" s="35" t="inlineStr">
        <is>
          <t>M</t>
        </is>
      </c>
      <c r="AI411" s="35" t="inlineStr">
        <is>
          <t>M</t>
        </is>
      </c>
      <c r="AJ411" s="35" t="inlineStr">
        <is>
          <t>M</t>
        </is>
      </c>
      <c r="AK411" s="35" t="inlineStr">
        <is>
          <t>M</t>
        </is>
      </c>
      <c r="AL411" s="35" t="inlineStr">
        <is>
          <t>M</t>
        </is>
      </c>
      <c r="AM411" s="36" t="n">
        <v>0.583</v>
      </c>
      <c r="AN411" s="37" t="n">
        <v>0.16</v>
      </c>
      <c r="AO411" s="37" t="n">
        <v>0.09</v>
      </c>
      <c r="AP411" s="37" t="n">
        <v>0</v>
      </c>
      <c r="AQ411" s="37" t="n">
        <v>0.063</v>
      </c>
      <c r="AR411" s="37" t="n">
        <v>0.06</v>
      </c>
      <c r="AS411" s="37" t="n">
        <v>0.04</v>
      </c>
      <c r="AT411" s="38" t="inlineStr">
        <is>
          <t>0–3</t>
        </is>
      </c>
      <c r="AU411" s="38" t="inlineStr">
        <is>
          <t>Graduate · or diploma with experience</t>
        </is>
      </c>
      <c r="AV411" s="38" t="inlineStr">
        <is>
          <t>No direct reports</t>
        </is>
      </c>
      <c r="AW411" s="38" t="inlineStr">
        <is>
          <t>P1–P2 · SFIA 2 Assist</t>
        </is>
      </c>
      <c r="AX4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1" s="39" t="inlineStr">
        <is>
          <t>A2</t>
        </is>
      </c>
      <c r="AZ411" s="40" t="inlineStr">
        <is>
          <t>Band A · Practitioner · Associate</t>
        </is>
      </c>
      <c r="BA411" s="40" t="inlineStr">
        <is>
          <t>Model A2 from the six ratings, the market-derived weights and rules R1–R13 · then No change · already below the manager</t>
        </is>
      </c>
      <c r="BB411" s="41" t="inlineStr">
        <is>
          <t>A2</t>
        </is>
      </c>
      <c r="BC411" s="40" t="inlineStr">
        <is>
          <t>The six ratings on the market-average weights of Band A · all tracks score 2.08 → A2 · Hay, Mercer IPE and public plans · experience 1.7 yrs vs the A2 market range 0–3</t>
        </is>
      </c>
      <c r="BD411" s="42">
        <f>IF(SUM(BM411,BN411,BO411,BP411,BQ411,BR411,BS411)=0,0,(BM411*BT411+BN411*BU411+BO411*BV411+BP411*BW411+BQ411*BX411+BR411*BY411+BS411*BZ411)/SUM(BM411,BN411,BO411,BP411,BQ411,BR411,BS411))</f>
        <v>0</v>
      </c>
      <c r="BE411" s="41" t="str">
        <f>IF(LEFT(AY411,1)="X",AY411,IF(OR(AY411="B+",AY411="C+"),INDEX(LAD_PC,MAX(1,MIN(14,MATCH(AY411,LAD_PC,0)+IF(BD411&gt;=0.5,1,IF(BD411&lt;=-0.5,-1,0))))),INDEX(LAD_STD,MAX(1,MIN(12,MATCH(AY411,LAD_STD,0)+IF(BD411&gt;=0.5,1,IF(BD411&lt;=-0.5,-1,0)))))))</f>
        <v>A2</v>
      </c>
      <c r="BF411" s="43" t="n"/>
      <c r="BG411" s="41" t="str">
        <f>IF(BF411&lt;&gt;"",BF411,BE411)</f>
        <v>A2</v>
      </c>
      <c r="BH411" s="40" t="str">
        <f>IFERROR(CHOOSE(INDEX(B_RANK,MATCH(BG411,B_LVL,0)),"Band A","Band B","B+ · Player-Coach","Band C","C+ · Player-Coach","Band D","Band E"),"Band X · Consultant")</f>
        <v>Band A</v>
      </c>
      <c r="BI411" s="40" t="str">
        <f>IF(BG411=AY411,"• Same",IF(INDEX(B_VAL,MATCH(BG411,B_LVL,0))&gt;INDEX(B_VAL,MATCH(AY411,B_LVL,0)),"▲ Up","▼ Down"))</f>
        <v>• Same</v>
      </c>
      <c r="BJ411" s="40" t="str">
        <f>IF(OR($M411="",$M411="—",$M411="Not in this file"),"",IFERROR(INDEX($BG$7:$BG$592,MATCH($M411,$D$7:$D$592,0)),""))</f>
        <v>B2</v>
      </c>
      <c r="BK411" s="40" t="str">
        <f>IFERROR(IF(BJ411="","—",IF(OR(LEFT(BG411,1)="X",LEFT(BJ411,1)="X"),"—",IF(AND(LEFT(BG411,1)="E",LEFT(BJ411,1)="E"),"Exception · Band E",IF(AND(INDEX(B_VAL,MATCH(BJ411,B_LVL,0))&gt;=7,INDEX(B_RANK,MATCH(BG411,B_LVL,0))&gt;=INDEX(B_RANK,MATCH(BJ411,B_LVL,0))),"⚠ Same band as a head manager",IF(INDEX(B_VAL,MATCH(BG411,B_LVL,0))&gt;=INDEX(B_VAL,MATCH(BJ411,B_LVL,0)),"⚠ At or above the manager's level","OK"))))),"—")</f>
        <v>OK</v>
      </c>
      <c r="BL411" s="43" t="n"/>
      <c r="BM411" s="44">
        <f>IFERROR(INDEX(LMH_PTS,MATCH(Y411,LMH_KEY,0)),0)</f>
        <v>9</v>
      </c>
      <c r="BN411" s="38">
        <f>IFERROR(INDEX(LMH_PTS,MATCH(Z411,LMH_KEY,0)),0)</f>
        <v>3</v>
      </c>
      <c r="BO411" s="38">
        <f>IFERROR(INDEX(LMH_PTS,MATCH(AA411,LMH_KEY,0)),0)</f>
        <v>1</v>
      </c>
      <c r="BP411" s="38">
        <f>IFERROR(INDEX(LMH_PTS,MATCH(AB411,LMH_KEY,0)),0)</f>
        <v>1</v>
      </c>
      <c r="BQ411" s="38">
        <f>IFERROR(INDEX(LMH_PTS,MATCH(AC411,LMH_KEY,0)),0)</f>
        <v>1</v>
      </c>
      <c r="BR411" s="38">
        <f>IFERROR(INDEX(LMH_PTS,MATCH(AD411,LMH_KEY,0)),0)</f>
        <v>1</v>
      </c>
      <c r="BS411" s="38">
        <f>IFERROR(INDEX(LMH_PTS,MATCH(AE411,LMH_KEY,0)),0)</f>
        <v>1</v>
      </c>
      <c r="BT411" s="38">
        <f>IFERROR(INDEX(LMH_STEP,MATCH(AF411,LMH_KEY,0)),0)</f>
        <v>0</v>
      </c>
      <c r="BU411" s="38">
        <f>IFERROR(INDEX(LMH_STEP,MATCH(AG411,LMH_KEY,0)),0)</f>
        <v>0</v>
      </c>
      <c r="BV411" s="38">
        <f>IFERROR(INDEX(LMH_STEP,MATCH(AH411,LMH_KEY,0)),0)</f>
        <v>0</v>
      </c>
      <c r="BW411" s="38">
        <f>IFERROR(INDEX(LMH_STEP,MATCH(AI411,LMH_KEY,0)),0)</f>
        <v>0</v>
      </c>
      <c r="BX411" s="38">
        <f>IFERROR(INDEX(LMH_STEP,MATCH(AJ411,LMH_KEY,0)),0)</f>
        <v>0</v>
      </c>
      <c r="BY411" s="38">
        <f>IFERROR(INDEX(LMH_STEP,MATCH(AK411,LMH_KEY,0)),0)</f>
        <v>0</v>
      </c>
      <c r="BZ411" s="38">
        <f>IFERROR(INDEX(LMH_STEP,MATCH(AL411,LMH_KEY,0)),0)</f>
        <v>0</v>
      </c>
      <c r="CA411" s="38" t="inlineStr">
        <is>
          <t>Datatech|Technology|Software Engineer|A2|A</t>
        </is>
      </c>
    </row>
    <row r="412" ht="110" customHeight="1">
      <c r="A412" s="28" t="inlineStr">
        <is>
          <t>Datatech</t>
        </is>
      </c>
      <c r="B412" s="29" t="inlineStr">
        <is>
          <t>Marketing</t>
        </is>
      </c>
      <c r="C412" s="29" t="n">
        <v>2</v>
      </c>
      <c r="D412" s="29" t="inlineStr">
        <is>
          <t>IRISDT0009</t>
        </is>
      </c>
      <c r="E412" s="29" t="inlineStr">
        <is>
          <t>Ankita Pathak</t>
        </is>
      </c>
      <c r="F412" s="29" t="inlineStr">
        <is>
          <t>Manager Marketing</t>
        </is>
      </c>
      <c r="G412" s="29" t="inlineStr">
        <is>
          <t>Marketing Specialist – POD Lead</t>
        </is>
      </c>
      <c r="H412" s="29" t="inlineStr">
        <is>
          <t>Marketing &amp; Communications</t>
        </is>
      </c>
      <c r="I412" s="29" t="inlineStr">
        <is>
          <t>Marketing Leadership</t>
        </is>
      </c>
      <c r="J412" s="29" t="inlineStr">
        <is>
          <t>POD Lead</t>
        </is>
      </c>
      <c r="K412" s="29" t="inlineStr">
        <is>
          <t>RC-119</t>
        </is>
      </c>
      <c r="L412" s="29" t="inlineStr">
        <is>
          <t>Shilpa Dhobale</t>
        </is>
      </c>
      <c r="M412" s="29" t="inlineStr">
        <is>
          <t>IRISDT0001</t>
        </is>
      </c>
      <c r="N412" s="29" t="n">
        <v>5.7</v>
      </c>
      <c r="O412" s="29" t="n">
        <v>1.1</v>
      </c>
      <c r="P412" s="29" t="inlineStr">
        <is>
          <t>PGDBM</t>
        </is>
      </c>
      <c r="Q412" s="29" t="inlineStr">
        <is>
          <t>L5 – Manager</t>
        </is>
      </c>
      <c r="R412" s="29" t="inlineStr">
        <is>
          <t>B2</t>
        </is>
      </c>
      <c r="S412" s="30" t="inlineStr">
        <is>
          <t>20 of 20</t>
        </is>
      </c>
      <c r="T412" s="31"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t>
        </is>
      </c>
      <c r="U412" s="32" t="inlineStr">
        <is>
          <t>KRAs not received · manager to supply</t>
        </is>
      </c>
      <c r="V412" s="31" t="inlineStr">
        <is>
          <t>Latest rating: 3 · 9-box: High Impact / Growth Talent · Readiness: Develop in role</t>
        </is>
      </c>
      <c r="W412" s="31" t="inlineStr">
        <is>
          <t>C M · Au M · Ac L · L L · BI M · Exp L · 5.7 yrs vs 6–9 yrs · Edu H · PGDBM</t>
        </is>
      </c>
      <c r="X412" s="33" t="inlineStr">
        <is>
          <t>Open ▸</t>
        </is>
      </c>
      <c r="Y412" s="34" t="str">
        <f>IFERROR(INDEX(DL_C,MATCH($CA412,DL_KEY,0)),"M")</f>
        <v>H</v>
      </c>
      <c r="Z412" s="35" t="str">
        <f>IFERROR(INDEX(DL_Au,MATCH($CA412,DL_KEY,0)),"M")</f>
        <v>M</v>
      </c>
      <c r="AA412" s="35" t="str">
        <f>IFERROR(INDEX(DL_Ac,MATCH($CA412,DL_KEY,0)),"M")</f>
        <v>L</v>
      </c>
      <c r="AB412" s="35" t="str">
        <f>IFERROR(INDEX(DL_L,MATCH($CA412,DL_KEY,0)),"M")</f>
        <v>L</v>
      </c>
      <c r="AC412" s="35" t="str">
        <f>IFERROR(INDEX(DL_BI,MATCH($CA412,DL_KEY,0)),"M")</f>
        <v>M</v>
      </c>
      <c r="AD412" s="35" t="str">
        <f>IFERROR(INDEX(DL_Exp,MATCH($CA412,DL_KEY,0)),"M")</f>
        <v>L</v>
      </c>
      <c r="AE412" s="35" t="str">
        <f>IFERROR(INDEX(DL_Edu,MATCH($CA412,DL_KEY,0)),"M")</f>
        <v>L</v>
      </c>
      <c r="AF412" s="34" t="inlineStr">
        <is>
          <t>M</t>
        </is>
      </c>
      <c r="AG412" s="35" t="inlineStr">
        <is>
          <t>M</t>
        </is>
      </c>
      <c r="AH412" s="35" t="inlineStr">
        <is>
          <t>M</t>
        </is>
      </c>
      <c r="AI412" s="35" t="inlineStr">
        <is>
          <t>M</t>
        </is>
      </c>
      <c r="AJ412" s="35" t="inlineStr">
        <is>
          <t>M</t>
        </is>
      </c>
      <c r="AK412" s="35" t="inlineStr">
        <is>
          <t>M</t>
        </is>
      </c>
      <c r="AL412" s="35" t="inlineStr">
        <is>
          <t>M</t>
        </is>
      </c>
      <c r="AM412" s="36" t="n">
        <v>0.513</v>
      </c>
      <c r="AN412" s="37" t="n">
        <v>0.173</v>
      </c>
      <c r="AO412" s="37" t="n">
        <v>0.09699999999999999</v>
      </c>
      <c r="AP412" s="37" t="n">
        <v>0.05</v>
      </c>
      <c r="AQ412" s="37" t="n">
        <v>0.07000000000000001</v>
      </c>
      <c r="AR412" s="37" t="n">
        <v>0.06</v>
      </c>
      <c r="AS412" s="37" t="n">
        <v>0.04</v>
      </c>
      <c r="AT412" s="38" t="inlineStr">
        <is>
          <t>6–10</t>
        </is>
      </c>
      <c r="AU412" s="38" t="inlineStr">
        <is>
          <t>Graduate or postgraduate; professional qualification preferred</t>
        </is>
      </c>
      <c r="AV412" s="38" t="inlineStr">
        <is>
          <t>IC: none · People: 6–8 knowledge work, 8–12 standardised delivery</t>
        </is>
      </c>
      <c r="AW412" s="38" t="inlineStr">
        <is>
          <t>P4 / M3 · SFIA 4–5</t>
        </is>
      </c>
      <c r="AX4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2" s="39" t="inlineStr">
        <is>
          <t>B2</t>
        </is>
      </c>
      <c r="AZ412" s="40" t="inlineStr">
        <is>
          <t>Band B · Specialist / Manager · Manager</t>
        </is>
      </c>
      <c r="BA412" s="40" t="inlineStr">
        <is>
          <t>Model B2 from the six ratings, the market-derived weights and rules R1–R13 · then No change · already below the manager</t>
        </is>
      </c>
      <c r="BB412" s="41" t="inlineStr">
        <is>
          <t>B2</t>
        </is>
      </c>
      <c r="BC412" s="40" t="inlineStr">
        <is>
          <t>The six ratings on the market-average weights of Band B · Specialist / POD Lead score 4.68 → B2 · Hay, Mercer IPE and public plans · experience 5.7 yrs vs the B2 market range 6–10</t>
        </is>
      </c>
      <c r="BD412" s="42">
        <f>IF(SUM(BM412,BN412,BO412,BP412,BQ412,BR412,BS412)=0,0,(BM412*BT412+BN412*BU412+BO412*BV412+BP412*BW412+BQ412*BX412+BR412*BY412+BS412*BZ412)/SUM(BM412,BN412,BO412,BP412,BQ412,BR412,BS412))</f>
        <v>0</v>
      </c>
      <c r="BE412" s="41" t="str">
        <f>IF(LEFT(AY412,1)="X",AY412,IF(OR(AY412="B+",AY412="C+"),INDEX(LAD_PC,MAX(1,MIN(14,MATCH(AY412,LAD_PC,0)+IF(BD412&gt;=0.5,1,IF(BD412&lt;=-0.5,-1,0))))),INDEX(LAD_STD,MAX(1,MIN(12,MATCH(AY412,LAD_STD,0)+IF(BD412&gt;=0.5,1,IF(BD412&lt;=-0.5,-1,0)))))))</f>
        <v>B2</v>
      </c>
      <c r="BF412" s="43" t="n"/>
      <c r="BG412" s="41" t="str">
        <f>IF(BF412&lt;&gt;"",BF412,BE412)</f>
        <v>B2</v>
      </c>
      <c r="BH412" s="40" t="str">
        <f>IFERROR(CHOOSE(INDEX(B_RANK,MATCH(BG412,B_LVL,0)),"Band A","Band B","B+ · Player-Coach","Band C","C+ · Player-Coach","Band D","Band E"),"Band X · Consultant")</f>
        <v>Band B</v>
      </c>
      <c r="BI412" s="40" t="str">
        <f>IF(BG412=AY412,"• Same",IF(INDEX(B_VAL,MATCH(BG412,B_LVL,0))&gt;INDEX(B_VAL,MATCH(AY412,B_LVL,0)),"▲ Up","▼ Down"))</f>
        <v>• Same</v>
      </c>
      <c r="BJ412" s="40" t="str">
        <f>IF(OR($M412="",$M412="—",$M412="Not in this file"),"",IFERROR(INDEX($BG$7:$BG$592,MATCH($M412,$D$7:$D$592,0)),""))</f>
        <v>D2</v>
      </c>
      <c r="BK412" s="40" t="str">
        <f>IFERROR(IF(BJ412="","—",IF(OR(LEFT(BG412,1)="X",LEFT(BJ412,1)="X"),"—",IF(AND(LEFT(BG412,1)="E",LEFT(BJ412,1)="E"),"Exception · Band E",IF(AND(INDEX(B_VAL,MATCH(BJ412,B_LVL,0))&gt;=7,INDEX(B_RANK,MATCH(BG412,B_LVL,0))&gt;=INDEX(B_RANK,MATCH(BJ412,B_LVL,0))),"⚠ Same band as a head manager",IF(INDEX(B_VAL,MATCH(BG412,B_LVL,0))&gt;=INDEX(B_VAL,MATCH(BJ412,B_LVL,0)),"⚠ At or above the manager's level","OK"))))),"—")</f>
        <v>OK</v>
      </c>
      <c r="BL412" s="43" t="n"/>
      <c r="BM412" s="44">
        <f>IFERROR(INDEX(LMH_PTS,MATCH(Y412,LMH_KEY,0)),0)</f>
        <v>9</v>
      </c>
      <c r="BN412" s="38">
        <f>IFERROR(INDEX(LMH_PTS,MATCH(Z412,LMH_KEY,0)),0)</f>
        <v>3</v>
      </c>
      <c r="BO412" s="38">
        <f>IFERROR(INDEX(LMH_PTS,MATCH(AA412,LMH_KEY,0)),0)</f>
        <v>1</v>
      </c>
      <c r="BP412" s="38">
        <f>IFERROR(INDEX(LMH_PTS,MATCH(AB412,LMH_KEY,0)),0)</f>
        <v>1</v>
      </c>
      <c r="BQ412" s="38">
        <f>IFERROR(INDEX(LMH_PTS,MATCH(AC412,LMH_KEY,0)),0)</f>
        <v>3</v>
      </c>
      <c r="BR412" s="38">
        <f>IFERROR(INDEX(LMH_PTS,MATCH(AD412,LMH_KEY,0)),0)</f>
        <v>1</v>
      </c>
      <c r="BS412" s="38">
        <f>IFERROR(INDEX(LMH_PTS,MATCH(AE412,LMH_KEY,0)),0)</f>
        <v>1</v>
      </c>
      <c r="BT412" s="38">
        <f>IFERROR(INDEX(LMH_STEP,MATCH(AF412,LMH_KEY,0)),0)</f>
        <v>0</v>
      </c>
      <c r="BU412" s="38">
        <f>IFERROR(INDEX(LMH_STEP,MATCH(AG412,LMH_KEY,0)),0)</f>
        <v>0</v>
      </c>
      <c r="BV412" s="38">
        <f>IFERROR(INDEX(LMH_STEP,MATCH(AH412,LMH_KEY,0)),0)</f>
        <v>0</v>
      </c>
      <c r="BW412" s="38">
        <f>IFERROR(INDEX(LMH_STEP,MATCH(AI412,LMH_KEY,0)),0)</f>
        <v>0</v>
      </c>
      <c r="BX412" s="38">
        <f>IFERROR(INDEX(LMH_STEP,MATCH(AJ412,LMH_KEY,0)),0)</f>
        <v>0</v>
      </c>
      <c r="BY412" s="38">
        <f>IFERROR(INDEX(LMH_STEP,MATCH(AK412,LMH_KEY,0)),0)</f>
        <v>0</v>
      </c>
      <c r="BZ412" s="38">
        <f>IFERROR(INDEX(LMH_STEP,MATCH(AL412,LMH_KEY,0)),0)</f>
        <v>0</v>
      </c>
      <c r="CA412" s="38" t="inlineStr">
        <is>
          <t>Datatech|Marketing|Marketing Specialist – POD Lead|B2|B-IC</t>
        </is>
      </c>
    </row>
    <row r="413" ht="110" customHeight="1">
      <c r="A413" s="28" t="inlineStr">
        <is>
          <t>Datatech</t>
        </is>
      </c>
      <c r="B413" s="29" t="inlineStr">
        <is>
          <t>Marketing</t>
        </is>
      </c>
      <c r="C413" s="29" t="n">
        <v>3</v>
      </c>
      <c r="D413" s="29" t="inlineStr">
        <is>
          <t>IRISDTC001</t>
        </is>
      </c>
      <c r="E413" s="29" t="inlineStr">
        <is>
          <t>Lalit Subhash Dhamale</t>
        </is>
      </c>
      <c r="F413" s="29" t="inlineStr">
        <is>
          <t>Social Media &amp; ORM Specialist</t>
        </is>
      </c>
      <c r="G413" s="29" t="inlineStr">
        <is>
          <t>Senior Digital Marketing Associate</t>
        </is>
      </c>
      <c r="H413" s="29" t="inlineStr">
        <is>
          <t>Marketing &amp; Communications</t>
        </is>
      </c>
      <c r="I413" s="29" t="inlineStr">
        <is>
          <t>Digital Marketing, Web &amp; Social</t>
        </is>
      </c>
      <c r="J413" s="29" t="inlineStr">
        <is>
          <t>IC</t>
        </is>
      </c>
      <c r="K413" s="29" t="inlineStr">
        <is>
          <t>RC-117</t>
        </is>
      </c>
      <c r="L413" s="29" t="inlineStr">
        <is>
          <t>Ankita Pathak</t>
        </is>
      </c>
      <c r="M413" s="29" t="inlineStr">
        <is>
          <t>IRISDT0009</t>
        </is>
      </c>
      <c r="N413" s="29" t="n">
        <v>2.9</v>
      </c>
      <c r="O413" s="29" t="n">
        <v>0.3</v>
      </c>
      <c r="P413" s="29" t="inlineStr">
        <is>
          <t>Diploma in Chemical Engineering</t>
        </is>
      </c>
      <c r="Q413" s="29" t="inlineStr">
        <is>
          <t>Not in current mapping files</t>
        </is>
      </c>
      <c r="R413" s="29" t="inlineStr">
        <is>
          <t>A3</t>
        </is>
      </c>
      <c r="S413" s="30" t="inlineStr">
        <is>
          <t>20 of 20</t>
        </is>
      </c>
      <c r="T413" s="31"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t>
        </is>
      </c>
      <c r="U413" s="31" t="inlineStr">
        <is>
          <t>Received · manager annual · 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t>
        </is>
      </c>
      <c r="V413" s="31" t="inlineStr">
        <is>
          <t>Latest rating: 4 · Potential: High · 9-box: Reliable Specialist · Readiness: Ready now</t>
        </is>
      </c>
      <c r="W413" s="31" t="inlineStr">
        <is>
          <t>C M · Au M · Ac M · L L · BI M · Exp M · 2.9 yrs vs 2–4 yrs · Edu M · Diploma in Chemical Engineering</t>
        </is>
      </c>
      <c r="X413" s="33" t="inlineStr">
        <is>
          <t>Open ▸</t>
        </is>
      </c>
      <c r="Y413" s="34" t="str">
        <f>IFERROR(INDEX(DL_C,MATCH($CA413,DL_KEY,0)),"M")</f>
        <v>H</v>
      </c>
      <c r="Z413" s="35" t="str">
        <f>IFERROR(INDEX(DL_Au,MATCH($CA413,DL_KEY,0)),"M")</f>
        <v>M</v>
      </c>
      <c r="AA413" s="35" t="str">
        <f>IFERROR(INDEX(DL_Ac,MATCH($CA413,DL_KEY,0)),"M")</f>
        <v>L</v>
      </c>
      <c r="AB413" s="35" t="str">
        <f>IFERROR(INDEX(DL_L,MATCH($CA413,DL_KEY,0)),"M")</f>
        <v>L</v>
      </c>
      <c r="AC413" s="35" t="str">
        <f>IFERROR(INDEX(DL_BI,MATCH($CA413,DL_KEY,0)),"M")</f>
        <v>M</v>
      </c>
      <c r="AD413" s="35" t="str">
        <f>IFERROR(INDEX(DL_Exp,MATCH($CA413,DL_KEY,0)),"M")</f>
        <v>L</v>
      </c>
      <c r="AE413" s="35" t="str">
        <f>IFERROR(INDEX(DL_Edu,MATCH($CA413,DL_KEY,0)),"M")</f>
        <v>L</v>
      </c>
      <c r="AF413" s="34" t="inlineStr">
        <is>
          <t>M</t>
        </is>
      </c>
      <c r="AG413" s="35" t="inlineStr">
        <is>
          <t>M</t>
        </is>
      </c>
      <c r="AH413" s="35" t="inlineStr">
        <is>
          <t>M</t>
        </is>
      </c>
      <c r="AI413" s="35" t="inlineStr">
        <is>
          <t>M</t>
        </is>
      </c>
      <c r="AJ413" s="35" t="inlineStr">
        <is>
          <t>M</t>
        </is>
      </c>
      <c r="AK413" s="35" t="inlineStr">
        <is>
          <t>M</t>
        </is>
      </c>
      <c r="AL413" s="35" t="inlineStr">
        <is>
          <t>M</t>
        </is>
      </c>
      <c r="AM413" s="36" t="n">
        <v>0.583</v>
      </c>
      <c r="AN413" s="37" t="n">
        <v>0.16</v>
      </c>
      <c r="AO413" s="37" t="n">
        <v>0.09</v>
      </c>
      <c r="AP413" s="37" t="n">
        <v>0</v>
      </c>
      <c r="AQ413" s="37" t="n">
        <v>0.063</v>
      </c>
      <c r="AR413" s="37" t="n">
        <v>0.06</v>
      </c>
      <c r="AS413" s="37" t="n">
        <v>0.04</v>
      </c>
      <c r="AT413" s="38" t="inlineStr">
        <is>
          <t>2–5</t>
        </is>
      </c>
      <c r="AU413" s="38" t="inlineStr">
        <is>
          <t>Graduate; relevant certification preferred</t>
        </is>
      </c>
      <c r="AV413" s="38" t="inlineStr">
        <is>
          <t>None · guides 1–3 juniors informally</t>
        </is>
      </c>
      <c r="AW413" s="38" t="inlineStr">
        <is>
          <t>P2 · SFIA 3 Apply</t>
        </is>
      </c>
      <c r="AX4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3" s="39" t="inlineStr">
        <is>
          <t>A3</t>
        </is>
      </c>
      <c r="AZ413" s="40" t="inlineStr">
        <is>
          <t>Band A · Practitioner · Senior Associate</t>
        </is>
      </c>
      <c r="BA413" s="40" t="inlineStr">
        <is>
          <t>Model A3 from the six ratings, the market-derived weights and rules R1–R13 · then No change · already below the manager</t>
        </is>
      </c>
      <c r="BB413" s="41" t="inlineStr">
        <is>
          <t>A3</t>
        </is>
      </c>
      <c r="BC413" s="40" t="inlineStr">
        <is>
          <t>The six ratings on the market-average weights of Band A · all tracks score 2.95 → A3 · Hay, Mercer IPE and public plans · experience 2.9 yrs vs the A3 market range 2–5</t>
        </is>
      </c>
      <c r="BD413" s="42">
        <f>IF(SUM(BM413,BN413,BO413,BP413,BQ413,BR413,BS413)=0,0,(BM413*BT413+BN413*BU413+BO413*BV413+BP413*BW413+BQ413*BX413+BR413*BY413+BS413*BZ413)/SUM(BM413,BN413,BO413,BP413,BQ413,BR413,BS413))</f>
        <v>0</v>
      </c>
      <c r="BE413" s="41" t="str">
        <f>IF(LEFT(AY413,1)="X",AY413,IF(OR(AY413="B+",AY413="C+"),INDEX(LAD_PC,MAX(1,MIN(14,MATCH(AY413,LAD_PC,0)+IF(BD413&gt;=0.5,1,IF(BD413&lt;=-0.5,-1,0))))),INDEX(LAD_STD,MAX(1,MIN(12,MATCH(AY413,LAD_STD,0)+IF(BD413&gt;=0.5,1,IF(BD413&lt;=-0.5,-1,0)))))))</f>
        <v>A3</v>
      </c>
      <c r="BF413" s="43" t="n"/>
      <c r="BG413" s="41" t="str">
        <f>IF(BF413&lt;&gt;"",BF413,BE413)</f>
        <v>A3</v>
      </c>
      <c r="BH413" s="40" t="str">
        <f>IFERROR(CHOOSE(INDEX(B_RANK,MATCH(BG413,B_LVL,0)),"Band A","Band B","B+ · Player-Coach","Band C","C+ · Player-Coach","Band D","Band E"),"Band X · Consultant")</f>
        <v>Band A</v>
      </c>
      <c r="BI413" s="40" t="str">
        <f>IF(BG413=AY413,"• Same",IF(INDEX(B_VAL,MATCH(BG413,B_LVL,0))&gt;INDEX(B_VAL,MATCH(AY413,B_LVL,0)),"▲ Up","▼ Down"))</f>
        <v>• Same</v>
      </c>
      <c r="BJ413" s="40" t="str">
        <f>IF(OR($M413="",$M413="—",$M413="Not in this file"),"",IFERROR(INDEX($BG$7:$BG$592,MATCH($M413,$D$7:$D$592,0)),""))</f>
        <v>B2</v>
      </c>
      <c r="BK413" s="40" t="str">
        <f>IFERROR(IF(BJ413="","—",IF(OR(LEFT(BG413,1)="X",LEFT(BJ413,1)="X"),"—",IF(AND(LEFT(BG413,1)="E",LEFT(BJ413,1)="E"),"Exception · Band E",IF(AND(INDEX(B_VAL,MATCH(BJ413,B_LVL,0))&gt;=7,INDEX(B_RANK,MATCH(BG413,B_LVL,0))&gt;=INDEX(B_RANK,MATCH(BJ413,B_LVL,0))),"⚠ Same band as a head manager",IF(INDEX(B_VAL,MATCH(BG413,B_LVL,0))&gt;=INDEX(B_VAL,MATCH(BJ413,B_LVL,0)),"⚠ At or above the manager's level","OK"))))),"—")</f>
        <v>OK</v>
      </c>
      <c r="BL413" s="43" t="n"/>
      <c r="BM413" s="44">
        <f>IFERROR(INDEX(LMH_PTS,MATCH(Y413,LMH_KEY,0)),0)</f>
        <v>9</v>
      </c>
      <c r="BN413" s="38">
        <f>IFERROR(INDEX(LMH_PTS,MATCH(Z413,LMH_KEY,0)),0)</f>
        <v>3</v>
      </c>
      <c r="BO413" s="38">
        <f>IFERROR(INDEX(LMH_PTS,MATCH(AA413,LMH_KEY,0)),0)</f>
        <v>1</v>
      </c>
      <c r="BP413" s="38">
        <f>IFERROR(INDEX(LMH_PTS,MATCH(AB413,LMH_KEY,0)),0)</f>
        <v>1</v>
      </c>
      <c r="BQ413" s="38">
        <f>IFERROR(INDEX(LMH_PTS,MATCH(AC413,LMH_KEY,0)),0)</f>
        <v>3</v>
      </c>
      <c r="BR413" s="38">
        <f>IFERROR(INDEX(LMH_PTS,MATCH(AD413,LMH_KEY,0)),0)</f>
        <v>1</v>
      </c>
      <c r="BS413" s="38">
        <f>IFERROR(INDEX(LMH_PTS,MATCH(AE413,LMH_KEY,0)),0)</f>
        <v>1</v>
      </c>
      <c r="BT413" s="38">
        <f>IFERROR(INDEX(LMH_STEP,MATCH(AF413,LMH_KEY,0)),0)</f>
        <v>0</v>
      </c>
      <c r="BU413" s="38">
        <f>IFERROR(INDEX(LMH_STEP,MATCH(AG413,LMH_KEY,0)),0)</f>
        <v>0</v>
      </c>
      <c r="BV413" s="38">
        <f>IFERROR(INDEX(LMH_STEP,MATCH(AH413,LMH_KEY,0)),0)</f>
        <v>0</v>
      </c>
      <c r="BW413" s="38">
        <f>IFERROR(INDEX(LMH_STEP,MATCH(AI413,LMH_KEY,0)),0)</f>
        <v>0</v>
      </c>
      <c r="BX413" s="38">
        <f>IFERROR(INDEX(LMH_STEP,MATCH(AJ413,LMH_KEY,0)),0)</f>
        <v>0</v>
      </c>
      <c r="BY413" s="38">
        <f>IFERROR(INDEX(LMH_STEP,MATCH(AK413,LMH_KEY,0)),0)</f>
        <v>0</v>
      </c>
      <c r="BZ413" s="38">
        <f>IFERROR(INDEX(LMH_STEP,MATCH(AL413,LMH_KEY,0)),0)</f>
        <v>0</v>
      </c>
      <c r="CA413" s="38" t="inlineStr">
        <is>
          <t>Datatech|Marketing|Senior Digital Marketing Associate|A3|A</t>
        </is>
      </c>
    </row>
    <row r="414" ht="110" customHeight="1">
      <c r="A414" s="28" t="inlineStr">
        <is>
          <t>Datatech</t>
        </is>
      </c>
      <c r="B414" s="29" t="inlineStr">
        <is>
          <t>Marketing</t>
        </is>
      </c>
      <c r="C414" s="29" t="n">
        <v>3</v>
      </c>
      <c r="D414" s="29" t="inlineStr">
        <is>
          <t>IRISDT0007</t>
        </is>
      </c>
      <c r="E414" s="29" t="inlineStr">
        <is>
          <t>Vasundhara Lella</t>
        </is>
      </c>
      <c r="F414" s="29" t="inlineStr">
        <is>
          <t>Content Marketer</t>
        </is>
      </c>
      <c r="G414" s="29" t="inlineStr">
        <is>
          <t>Senior Content Marketing Associate</t>
        </is>
      </c>
      <c r="H414" s="29" t="inlineStr">
        <is>
          <t>Marketing &amp; Communications</t>
        </is>
      </c>
      <c r="I414" s="29" t="inlineStr">
        <is>
          <t>Content Marketing</t>
        </is>
      </c>
      <c r="J414" s="29" t="inlineStr">
        <is>
          <t>IC</t>
        </is>
      </c>
      <c r="K414" s="29" t="inlineStr">
        <is>
          <t>RC-112</t>
        </is>
      </c>
      <c r="L414" s="29" t="inlineStr">
        <is>
          <t>Ankita Pathak</t>
        </is>
      </c>
      <c r="M414" s="29" t="inlineStr">
        <is>
          <t>IRISDT0009</t>
        </is>
      </c>
      <c r="N414" s="29" t="n">
        <v>4.3</v>
      </c>
      <c r="O414" s="29" t="n">
        <v>1.1</v>
      </c>
      <c r="P414" s="29" t="inlineStr">
        <is>
          <t>B.Tech</t>
        </is>
      </c>
      <c r="Q414" s="29" t="inlineStr">
        <is>
          <t>L3 – Professional / Associate</t>
        </is>
      </c>
      <c r="R414" s="29" t="inlineStr">
        <is>
          <t>A3</t>
        </is>
      </c>
      <c r="S414" s="30" t="inlineStr">
        <is>
          <t>20 of 20</t>
        </is>
      </c>
      <c r="T414" s="31"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t>
        </is>
      </c>
      <c r="U414" s="31" t="inlineStr">
        <is>
          <t>Received · manager annual · 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t>
        </is>
      </c>
      <c r="V414" s="31" t="inlineStr">
        <is>
          <t>Latest rating: 3 · Potential: Medium · 9-box: Performance Risk · Readiness: Develop in role</t>
        </is>
      </c>
      <c r="W414" s="31" t="inlineStr">
        <is>
          <t>C L · Au L · Ac L · L L · BI M · Exp H · 4.3 yrs vs 2–4 yrs · Edu M · B.Tech</t>
        </is>
      </c>
      <c r="X414" s="33" t="inlineStr">
        <is>
          <t>Open ▸</t>
        </is>
      </c>
      <c r="Y414" s="34" t="str">
        <f>IFERROR(INDEX(DL_C,MATCH($CA414,DL_KEY,0)),"M")</f>
        <v>H</v>
      </c>
      <c r="Z414" s="35" t="str">
        <f>IFERROR(INDEX(DL_Au,MATCH($CA414,DL_KEY,0)),"M")</f>
        <v>M</v>
      </c>
      <c r="AA414" s="35" t="str">
        <f>IFERROR(INDEX(DL_Ac,MATCH($CA414,DL_KEY,0)),"M")</f>
        <v>L</v>
      </c>
      <c r="AB414" s="35" t="str">
        <f>IFERROR(INDEX(DL_L,MATCH($CA414,DL_KEY,0)),"M")</f>
        <v>L</v>
      </c>
      <c r="AC414" s="35" t="str">
        <f>IFERROR(INDEX(DL_BI,MATCH($CA414,DL_KEY,0)),"M")</f>
        <v>M</v>
      </c>
      <c r="AD414" s="35" t="str">
        <f>IFERROR(INDEX(DL_Exp,MATCH($CA414,DL_KEY,0)),"M")</f>
        <v>L</v>
      </c>
      <c r="AE414" s="35" t="str">
        <f>IFERROR(INDEX(DL_Edu,MATCH($CA414,DL_KEY,0)),"M")</f>
        <v>L</v>
      </c>
      <c r="AF414" s="34" t="inlineStr">
        <is>
          <t>M</t>
        </is>
      </c>
      <c r="AG414" s="35" t="inlineStr">
        <is>
          <t>M</t>
        </is>
      </c>
      <c r="AH414" s="35" t="inlineStr">
        <is>
          <t>M</t>
        </is>
      </c>
      <c r="AI414" s="35" t="inlineStr">
        <is>
          <t>M</t>
        </is>
      </c>
      <c r="AJ414" s="35" t="inlineStr">
        <is>
          <t>M</t>
        </is>
      </c>
      <c r="AK414" s="35" t="inlineStr">
        <is>
          <t>M</t>
        </is>
      </c>
      <c r="AL414" s="35" t="inlineStr">
        <is>
          <t>M</t>
        </is>
      </c>
      <c r="AM414" s="36" t="n">
        <v>0.583</v>
      </c>
      <c r="AN414" s="37" t="n">
        <v>0.16</v>
      </c>
      <c r="AO414" s="37" t="n">
        <v>0.09</v>
      </c>
      <c r="AP414" s="37" t="n">
        <v>0</v>
      </c>
      <c r="AQ414" s="37" t="n">
        <v>0.063</v>
      </c>
      <c r="AR414" s="37" t="n">
        <v>0.06</v>
      </c>
      <c r="AS414" s="37" t="n">
        <v>0.04</v>
      </c>
      <c r="AT414" s="38" t="inlineStr">
        <is>
          <t>2–5</t>
        </is>
      </c>
      <c r="AU414" s="38" t="inlineStr">
        <is>
          <t>Graduate; relevant certification preferred</t>
        </is>
      </c>
      <c r="AV414" s="38" t="inlineStr">
        <is>
          <t>None · guides 1–3 juniors informally</t>
        </is>
      </c>
      <c r="AW414" s="38" t="inlineStr">
        <is>
          <t>P2 · SFIA 3 Apply</t>
        </is>
      </c>
      <c r="AX4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4" s="39" t="inlineStr">
        <is>
          <t>A3</t>
        </is>
      </c>
      <c r="AZ414" s="40" t="inlineStr">
        <is>
          <t>Band A · Practitioner · Senior Associate</t>
        </is>
      </c>
      <c r="BA414" s="40" t="inlineStr">
        <is>
          <t>Model A3 from the six ratings, the market-derived weights and rules R1–R13 · then No change · already below the manager</t>
        </is>
      </c>
      <c r="BB414" s="41" t="inlineStr">
        <is>
          <t>A2</t>
        </is>
      </c>
      <c r="BC414" s="40" t="inlineStr">
        <is>
          <t>The six ratings on the market-average weights of Band A · all tracks score 2.18 → A2 · Hay, Mercer IPE and public plans · experience 4.3 yrs vs the A2 market range 0–3</t>
        </is>
      </c>
      <c r="BD414" s="42">
        <f>IF(SUM(BM414,BN414,BO414,BP414,BQ414,BR414,BS414)=0,0,(BM414*BT414+BN414*BU414+BO414*BV414+BP414*BW414+BQ414*BX414+BR414*BY414+BS414*BZ414)/SUM(BM414,BN414,BO414,BP414,BQ414,BR414,BS414))</f>
        <v>0</v>
      </c>
      <c r="BE414" s="41" t="str">
        <f>IF(LEFT(AY414,1)="X",AY414,IF(OR(AY414="B+",AY414="C+"),INDEX(LAD_PC,MAX(1,MIN(14,MATCH(AY414,LAD_PC,0)+IF(BD414&gt;=0.5,1,IF(BD414&lt;=-0.5,-1,0))))),INDEX(LAD_STD,MAX(1,MIN(12,MATCH(AY414,LAD_STD,0)+IF(BD414&gt;=0.5,1,IF(BD414&lt;=-0.5,-1,0)))))))</f>
        <v>A3</v>
      </c>
      <c r="BF414" s="43" t="n"/>
      <c r="BG414" s="41" t="str">
        <f>IF(BF414&lt;&gt;"",BF414,BE414)</f>
        <v>A3</v>
      </c>
      <c r="BH414" s="40" t="str">
        <f>IFERROR(CHOOSE(INDEX(B_RANK,MATCH(BG414,B_LVL,0)),"Band A","Band B","B+ · Player-Coach","Band C","C+ · Player-Coach","Band D","Band E"),"Band X · Consultant")</f>
        <v>Band A</v>
      </c>
      <c r="BI414" s="40" t="str">
        <f>IF(BG414=AY414,"• Same",IF(INDEX(B_VAL,MATCH(BG414,B_LVL,0))&gt;INDEX(B_VAL,MATCH(AY414,B_LVL,0)),"▲ Up","▼ Down"))</f>
        <v>• Same</v>
      </c>
      <c r="BJ414" s="40" t="str">
        <f>IF(OR($M414="",$M414="—",$M414="Not in this file"),"",IFERROR(INDEX($BG$7:$BG$592,MATCH($M414,$D$7:$D$592,0)),""))</f>
        <v>B2</v>
      </c>
      <c r="BK414" s="40" t="str">
        <f>IFERROR(IF(BJ414="","—",IF(OR(LEFT(BG414,1)="X",LEFT(BJ414,1)="X"),"—",IF(AND(LEFT(BG414,1)="E",LEFT(BJ414,1)="E"),"Exception · Band E",IF(AND(INDEX(B_VAL,MATCH(BJ414,B_LVL,0))&gt;=7,INDEX(B_RANK,MATCH(BG414,B_LVL,0))&gt;=INDEX(B_RANK,MATCH(BJ414,B_LVL,0))),"⚠ Same band as a head manager",IF(INDEX(B_VAL,MATCH(BG414,B_LVL,0))&gt;=INDEX(B_VAL,MATCH(BJ414,B_LVL,0)),"⚠ At or above the manager's level","OK"))))),"—")</f>
        <v>OK</v>
      </c>
      <c r="BL414" s="43" t="n"/>
      <c r="BM414" s="44">
        <f>IFERROR(INDEX(LMH_PTS,MATCH(Y414,LMH_KEY,0)),0)</f>
        <v>9</v>
      </c>
      <c r="BN414" s="38">
        <f>IFERROR(INDEX(LMH_PTS,MATCH(Z414,LMH_KEY,0)),0)</f>
        <v>3</v>
      </c>
      <c r="BO414" s="38">
        <f>IFERROR(INDEX(LMH_PTS,MATCH(AA414,LMH_KEY,0)),0)</f>
        <v>1</v>
      </c>
      <c r="BP414" s="38">
        <f>IFERROR(INDEX(LMH_PTS,MATCH(AB414,LMH_KEY,0)),0)</f>
        <v>1</v>
      </c>
      <c r="BQ414" s="38">
        <f>IFERROR(INDEX(LMH_PTS,MATCH(AC414,LMH_KEY,0)),0)</f>
        <v>3</v>
      </c>
      <c r="BR414" s="38">
        <f>IFERROR(INDEX(LMH_PTS,MATCH(AD414,LMH_KEY,0)),0)</f>
        <v>1</v>
      </c>
      <c r="BS414" s="38">
        <f>IFERROR(INDEX(LMH_PTS,MATCH(AE414,LMH_KEY,0)),0)</f>
        <v>1</v>
      </c>
      <c r="BT414" s="38">
        <f>IFERROR(INDEX(LMH_STEP,MATCH(AF414,LMH_KEY,0)),0)</f>
        <v>0</v>
      </c>
      <c r="BU414" s="38">
        <f>IFERROR(INDEX(LMH_STEP,MATCH(AG414,LMH_KEY,0)),0)</f>
        <v>0</v>
      </c>
      <c r="BV414" s="38">
        <f>IFERROR(INDEX(LMH_STEP,MATCH(AH414,LMH_KEY,0)),0)</f>
        <v>0</v>
      </c>
      <c r="BW414" s="38">
        <f>IFERROR(INDEX(LMH_STEP,MATCH(AI414,LMH_KEY,0)),0)</f>
        <v>0</v>
      </c>
      <c r="BX414" s="38">
        <f>IFERROR(INDEX(LMH_STEP,MATCH(AJ414,LMH_KEY,0)),0)</f>
        <v>0</v>
      </c>
      <c r="BY414" s="38">
        <f>IFERROR(INDEX(LMH_STEP,MATCH(AK414,LMH_KEY,0)),0)</f>
        <v>0</v>
      </c>
      <c r="BZ414" s="38">
        <f>IFERROR(INDEX(LMH_STEP,MATCH(AL414,LMH_KEY,0)),0)</f>
        <v>0</v>
      </c>
      <c r="CA414" s="38" t="inlineStr">
        <is>
          <t>Datatech|Marketing|Senior Content Marketing Associate|A3|A</t>
        </is>
      </c>
    </row>
    <row r="415" ht="110" customHeight="1">
      <c r="A415" s="28" t="inlineStr">
        <is>
          <t>Datatech</t>
        </is>
      </c>
      <c r="B415" s="29" t="inlineStr">
        <is>
          <t>Marketing</t>
        </is>
      </c>
      <c r="C415" s="29" t="n">
        <v>3</v>
      </c>
      <c r="D415" s="29" t="inlineStr">
        <is>
          <t>IRISDTC006</t>
        </is>
      </c>
      <c r="E415" s="29" t="inlineStr">
        <is>
          <t>Vaishnavi Dhuri</t>
        </is>
      </c>
      <c r="F415" s="29" t="inlineStr">
        <is>
          <t>Graphic Designer and Video Editor</t>
        </is>
      </c>
      <c r="G415" s="29" t="inlineStr">
        <is>
          <t>Designer</t>
        </is>
      </c>
      <c r="H415" s="29" t="inlineStr">
        <is>
          <t>Design &amp; Creative</t>
        </is>
      </c>
      <c r="I415" s="29" t="inlineStr">
        <is>
          <t>Brand, Graphic &amp; Video Design</t>
        </is>
      </c>
      <c r="J415" s="29" t="inlineStr">
        <is>
          <t>IC</t>
        </is>
      </c>
      <c r="K415" s="29" t="inlineStr">
        <is>
          <t>RC-051</t>
        </is>
      </c>
      <c r="L415" s="29" t="inlineStr">
        <is>
          <t>Ankita Pathak</t>
        </is>
      </c>
      <c r="M415" s="29" t="inlineStr">
        <is>
          <t>IRISDT0009</t>
        </is>
      </c>
      <c r="N415" s="29" t="inlineStr">
        <is>
          <t>Not provided · HRIS</t>
        </is>
      </c>
      <c r="O415" s="29" t="n">
        <v>0.1</v>
      </c>
      <c r="P415" s="29" t="inlineStr">
        <is>
          <t>Bachelor of Science</t>
        </is>
      </c>
      <c r="Q415" s="29" t="inlineStr">
        <is>
          <t>Not in current mapping files</t>
        </is>
      </c>
      <c r="R415" s="29" t="inlineStr">
        <is>
          <t>A2</t>
        </is>
      </c>
      <c r="S415" s="30" t="inlineStr">
        <is>
          <t>20 of 20</t>
        </is>
      </c>
      <c r="T415" s="31"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t>
        </is>
      </c>
      <c r="U415" s="32" t="inlineStr">
        <is>
          <t>KRAs not received · manager to supply</t>
        </is>
      </c>
      <c r="V415" s="31" t="inlineStr">
        <is>
          <t>Latest rating: Not rated · manager · 9-box: Not placed · manager · Readiness: No rating data</t>
        </is>
      </c>
      <c r="W415" s="31" t="inlineStr">
        <is>
          <t>C M · Au M · Ac M · L L · BI M · Exp — · not on file · Edu M · Bachelor of Science</t>
        </is>
      </c>
      <c r="X415" s="33" t="inlineStr">
        <is>
          <t>Open ▸</t>
        </is>
      </c>
      <c r="Y415" s="34" t="str">
        <f>IFERROR(INDEX(DL_C,MATCH($CA415,DL_KEY,0)),"M")</f>
        <v>H</v>
      </c>
      <c r="Z415" s="35" t="str">
        <f>IFERROR(INDEX(DL_Au,MATCH($CA415,DL_KEY,0)),"M")</f>
        <v>M</v>
      </c>
      <c r="AA415" s="35" t="str">
        <f>IFERROR(INDEX(DL_Ac,MATCH($CA415,DL_KEY,0)),"M")</f>
        <v>L</v>
      </c>
      <c r="AB415" s="35" t="str">
        <f>IFERROR(INDEX(DL_L,MATCH($CA415,DL_KEY,0)),"M")</f>
        <v>L</v>
      </c>
      <c r="AC415" s="35" t="str">
        <f>IFERROR(INDEX(DL_BI,MATCH($CA415,DL_KEY,0)),"M")</f>
        <v>M</v>
      </c>
      <c r="AD415" s="35" t="str">
        <f>IFERROR(INDEX(DL_Exp,MATCH($CA415,DL_KEY,0)),"M")</f>
        <v>L</v>
      </c>
      <c r="AE415" s="35" t="str">
        <f>IFERROR(INDEX(DL_Edu,MATCH($CA415,DL_KEY,0)),"M")</f>
        <v>L</v>
      </c>
      <c r="AF415" s="34" t="inlineStr">
        <is>
          <t>M</t>
        </is>
      </c>
      <c r="AG415" s="35" t="inlineStr">
        <is>
          <t>M</t>
        </is>
      </c>
      <c r="AH415" s="35" t="inlineStr">
        <is>
          <t>M</t>
        </is>
      </c>
      <c r="AI415" s="35" t="inlineStr">
        <is>
          <t>M</t>
        </is>
      </c>
      <c r="AJ415" s="35" t="inlineStr">
        <is>
          <t>M</t>
        </is>
      </c>
      <c r="AK415" s="35" t="inlineStr">
        <is>
          <t>M</t>
        </is>
      </c>
      <c r="AL415" s="35" t="inlineStr">
        <is>
          <t>M</t>
        </is>
      </c>
      <c r="AM415" s="36" t="n">
        <v>0.583</v>
      </c>
      <c r="AN415" s="37" t="n">
        <v>0.16</v>
      </c>
      <c r="AO415" s="37" t="n">
        <v>0.09</v>
      </c>
      <c r="AP415" s="37" t="n">
        <v>0</v>
      </c>
      <c r="AQ415" s="37" t="n">
        <v>0.063</v>
      </c>
      <c r="AR415" s="37" t="n">
        <v>0.06</v>
      </c>
      <c r="AS415" s="37" t="n">
        <v>0.04</v>
      </c>
      <c r="AT415" s="38" t="inlineStr">
        <is>
          <t>0–3</t>
        </is>
      </c>
      <c r="AU415" s="38" t="inlineStr">
        <is>
          <t>Graduate · or diploma with experience</t>
        </is>
      </c>
      <c r="AV415" s="38" t="inlineStr">
        <is>
          <t>No direct reports</t>
        </is>
      </c>
      <c r="AW415" s="38" t="inlineStr">
        <is>
          <t>P1–P2 · SFIA 2 Assist</t>
        </is>
      </c>
      <c r="AX4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5" s="39" t="inlineStr">
        <is>
          <t>A2</t>
        </is>
      </c>
      <c r="AZ415" s="40" t="inlineStr">
        <is>
          <t>Band A · Practitioner · Associate</t>
        </is>
      </c>
      <c r="BA415" s="40" t="inlineStr">
        <is>
          <t>Model A2 from the six ratings, the market-derived weights and rules R1–R13 · then No change · already below the manager</t>
        </is>
      </c>
      <c r="BB415" s="41" t="inlineStr">
        <is>
          <t>A2</t>
        </is>
      </c>
      <c r="BC415" s="40" t="inlineStr">
        <is>
          <t>The six ratings on the market-average weights of Band A · all tracks score 1.92 → A2 · Hay, Mercer IPE and public plans · experience Not provided · HRIS yrs vs the A2 market range 0–3</t>
        </is>
      </c>
      <c r="BD415" s="42">
        <f>IF(SUM(BM415,BN415,BO415,BP415,BQ415,BR415,BS415)=0,0,(BM415*BT415+BN415*BU415+BO415*BV415+BP415*BW415+BQ415*BX415+BR415*BY415+BS415*BZ415)/SUM(BM415,BN415,BO415,BP415,BQ415,BR415,BS415))</f>
        <v>0</v>
      </c>
      <c r="BE415" s="41" t="str">
        <f>IF(LEFT(AY415,1)="X",AY415,IF(OR(AY415="B+",AY415="C+"),INDEX(LAD_PC,MAX(1,MIN(14,MATCH(AY415,LAD_PC,0)+IF(BD415&gt;=0.5,1,IF(BD415&lt;=-0.5,-1,0))))),INDEX(LAD_STD,MAX(1,MIN(12,MATCH(AY415,LAD_STD,0)+IF(BD415&gt;=0.5,1,IF(BD415&lt;=-0.5,-1,0)))))))</f>
        <v>A2</v>
      </c>
      <c r="BF415" s="43" t="n"/>
      <c r="BG415" s="41" t="str">
        <f>IF(BF415&lt;&gt;"",BF415,BE415)</f>
        <v>A2</v>
      </c>
      <c r="BH415" s="40" t="str">
        <f>IFERROR(CHOOSE(INDEX(B_RANK,MATCH(BG415,B_LVL,0)),"Band A","Band B","B+ · Player-Coach","Band C","C+ · Player-Coach","Band D","Band E"),"Band X · Consultant")</f>
        <v>Band A</v>
      </c>
      <c r="BI415" s="40" t="str">
        <f>IF(BG415=AY415,"• Same",IF(INDEX(B_VAL,MATCH(BG415,B_LVL,0))&gt;INDEX(B_VAL,MATCH(AY415,B_LVL,0)),"▲ Up","▼ Down"))</f>
        <v>• Same</v>
      </c>
      <c r="BJ415" s="40" t="str">
        <f>IF(OR($M415="",$M415="—",$M415="Not in this file"),"",IFERROR(INDEX($BG$7:$BG$592,MATCH($M415,$D$7:$D$592,0)),""))</f>
        <v>B2</v>
      </c>
      <c r="BK415" s="40" t="str">
        <f>IFERROR(IF(BJ415="","—",IF(OR(LEFT(BG415,1)="X",LEFT(BJ415,1)="X"),"—",IF(AND(LEFT(BG415,1)="E",LEFT(BJ415,1)="E"),"Exception · Band E",IF(AND(INDEX(B_VAL,MATCH(BJ415,B_LVL,0))&gt;=7,INDEX(B_RANK,MATCH(BG415,B_LVL,0))&gt;=INDEX(B_RANK,MATCH(BJ415,B_LVL,0))),"⚠ Same band as a head manager",IF(INDEX(B_VAL,MATCH(BG415,B_LVL,0))&gt;=INDEX(B_VAL,MATCH(BJ415,B_LVL,0)),"⚠ At or above the manager's level","OK"))))),"—")</f>
        <v>OK</v>
      </c>
      <c r="BL415" s="43" t="n"/>
      <c r="BM415" s="44">
        <f>IFERROR(INDEX(LMH_PTS,MATCH(Y415,LMH_KEY,0)),0)</f>
        <v>9</v>
      </c>
      <c r="BN415" s="38">
        <f>IFERROR(INDEX(LMH_PTS,MATCH(Z415,LMH_KEY,0)),0)</f>
        <v>3</v>
      </c>
      <c r="BO415" s="38">
        <f>IFERROR(INDEX(LMH_PTS,MATCH(AA415,LMH_KEY,0)),0)</f>
        <v>1</v>
      </c>
      <c r="BP415" s="38">
        <f>IFERROR(INDEX(LMH_PTS,MATCH(AB415,LMH_KEY,0)),0)</f>
        <v>1</v>
      </c>
      <c r="BQ415" s="38">
        <f>IFERROR(INDEX(LMH_PTS,MATCH(AC415,LMH_KEY,0)),0)</f>
        <v>3</v>
      </c>
      <c r="BR415" s="38">
        <f>IFERROR(INDEX(LMH_PTS,MATCH(AD415,LMH_KEY,0)),0)</f>
        <v>1</v>
      </c>
      <c r="BS415" s="38">
        <f>IFERROR(INDEX(LMH_PTS,MATCH(AE415,LMH_KEY,0)),0)</f>
        <v>1</v>
      </c>
      <c r="BT415" s="38">
        <f>IFERROR(INDEX(LMH_STEP,MATCH(AF415,LMH_KEY,0)),0)</f>
        <v>0</v>
      </c>
      <c r="BU415" s="38">
        <f>IFERROR(INDEX(LMH_STEP,MATCH(AG415,LMH_KEY,0)),0)</f>
        <v>0</v>
      </c>
      <c r="BV415" s="38">
        <f>IFERROR(INDEX(LMH_STEP,MATCH(AH415,LMH_KEY,0)),0)</f>
        <v>0</v>
      </c>
      <c r="BW415" s="38">
        <f>IFERROR(INDEX(LMH_STEP,MATCH(AI415,LMH_KEY,0)),0)</f>
        <v>0</v>
      </c>
      <c r="BX415" s="38">
        <f>IFERROR(INDEX(LMH_STEP,MATCH(AJ415,LMH_KEY,0)),0)</f>
        <v>0</v>
      </c>
      <c r="BY415" s="38">
        <f>IFERROR(INDEX(LMH_STEP,MATCH(AK415,LMH_KEY,0)),0)</f>
        <v>0</v>
      </c>
      <c r="BZ415" s="38">
        <f>IFERROR(INDEX(LMH_STEP,MATCH(AL415,LMH_KEY,0)),0)</f>
        <v>0</v>
      </c>
      <c r="CA415" s="38" t="inlineStr">
        <is>
          <t>Datatech|Marketing|Designer|A2|A</t>
        </is>
      </c>
    </row>
    <row r="416" ht="110" customHeight="1">
      <c r="A416" s="28" t="inlineStr">
        <is>
          <t>Datatech</t>
        </is>
      </c>
      <c r="B416" s="29" t="inlineStr">
        <is>
          <t>Product Management</t>
        </is>
      </c>
      <c r="C416" s="29" t="n">
        <v>2</v>
      </c>
      <c r="D416" s="29" t="inlineStr">
        <is>
          <t>IRISDT0008</t>
        </is>
      </c>
      <c r="E416" s="29" t="inlineStr">
        <is>
          <t>Nilesh Majumdar</t>
        </is>
      </c>
      <c r="F416" s="29" t="inlineStr">
        <is>
          <t>Senior Product Manager</t>
        </is>
      </c>
      <c r="G416" s="29" t="inlineStr">
        <is>
          <t>Product Manager</t>
        </is>
      </c>
      <c r="H416" s="29" t="inlineStr">
        <is>
          <t>Product Management</t>
        </is>
      </c>
      <c r="I416" s="29" t="inlineStr">
        <is>
          <t>Product Management</t>
        </is>
      </c>
      <c r="J416" s="29" t="inlineStr">
        <is>
          <t>People Manager</t>
        </is>
      </c>
      <c r="K416" s="29" t="inlineStr">
        <is>
          <t>RC-127</t>
        </is>
      </c>
      <c r="L416" s="29" t="inlineStr">
        <is>
          <t>Shilpa Dhobale</t>
        </is>
      </c>
      <c r="M416" s="29" t="inlineStr">
        <is>
          <t>IRISDT0001</t>
        </is>
      </c>
      <c r="N416" s="29" t="n">
        <v>7.1</v>
      </c>
      <c r="O416" s="29" t="n">
        <v>1.1</v>
      </c>
      <c r="P416" s="29" t="inlineStr">
        <is>
          <t>MBA</t>
        </is>
      </c>
      <c r="Q416" s="29" t="inlineStr">
        <is>
          <t>L5 – Manager</t>
        </is>
      </c>
      <c r="R416" s="29" t="inlineStr">
        <is>
          <t>B2</t>
        </is>
      </c>
      <c r="S416" s="30" t="inlineStr">
        <is>
          <t>20 of 20</t>
        </is>
      </c>
      <c r="T416" s="31"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t>
        </is>
      </c>
      <c r="U416" s="32" t="inlineStr">
        <is>
          <t>KRAs not received · manager to supply</t>
        </is>
      </c>
      <c r="V416" s="31" t="inlineStr">
        <is>
          <t>Latest rating: 3 · 9-box: Future Leader · Readiness: Develop in role</t>
        </is>
      </c>
      <c r="W416" s="31" t="inlineStr">
        <is>
          <t>C H · Au H · Ac H · L M · BI H · Exp M · 7.1 yrs vs 6–9 yrs · Edu H · MBA</t>
        </is>
      </c>
      <c r="X416" s="33" t="inlineStr">
        <is>
          <t>Open ▸</t>
        </is>
      </c>
      <c r="Y416" s="34" t="str">
        <f>IFERROR(INDEX(DL_C,MATCH($CA416,DL_KEY,0)),"M")</f>
        <v>H</v>
      </c>
      <c r="Z416" s="35" t="str">
        <f>IFERROR(INDEX(DL_Au,MATCH($CA416,DL_KEY,0)),"M")</f>
        <v>M</v>
      </c>
      <c r="AA416" s="35" t="str">
        <f>IFERROR(INDEX(DL_Ac,MATCH($CA416,DL_KEY,0)),"M")</f>
        <v>M</v>
      </c>
      <c r="AB416" s="35" t="str">
        <f>IFERROR(INDEX(DL_L,MATCH($CA416,DL_KEY,0)),"M")</f>
        <v>M</v>
      </c>
      <c r="AC416" s="35" t="str">
        <f>IFERROR(INDEX(DL_BI,MATCH($CA416,DL_KEY,0)),"M")</f>
        <v>L</v>
      </c>
      <c r="AD416" s="35" t="str">
        <f>IFERROR(INDEX(DL_Exp,MATCH($CA416,DL_KEY,0)),"M")</f>
        <v>L</v>
      </c>
      <c r="AE416" s="35" t="str">
        <f>IFERROR(INDEX(DL_Edu,MATCH($CA416,DL_KEY,0)),"M")</f>
        <v>L</v>
      </c>
      <c r="AF416" s="34" t="inlineStr">
        <is>
          <t>M</t>
        </is>
      </c>
      <c r="AG416" s="35" t="inlineStr">
        <is>
          <t>M</t>
        </is>
      </c>
      <c r="AH416" s="35" t="inlineStr">
        <is>
          <t>M</t>
        </is>
      </c>
      <c r="AI416" s="35" t="inlineStr">
        <is>
          <t>M</t>
        </is>
      </c>
      <c r="AJ416" s="35" t="inlineStr">
        <is>
          <t>M</t>
        </is>
      </c>
      <c r="AK416" s="35" t="inlineStr">
        <is>
          <t>M</t>
        </is>
      </c>
      <c r="AL416" s="35" t="inlineStr">
        <is>
          <t>M</t>
        </is>
      </c>
      <c r="AM416" s="36" t="n">
        <v>0.37</v>
      </c>
      <c r="AN416" s="37" t="n">
        <v>0.183</v>
      </c>
      <c r="AO416" s="37" t="n">
        <v>0.113</v>
      </c>
      <c r="AP416" s="37" t="n">
        <v>0.15</v>
      </c>
      <c r="AQ416" s="37" t="n">
        <v>0.08699999999999999</v>
      </c>
      <c r="AR416" s="37" t="n">
        <v>0.06</v>
      </c>
      <c r="AS416" s="37" t="n">
        <v>0.04</v>
      </c>
      <c r="AT416" s="38" t="inlineStr">
        <is>
          <t>6–10</t>
        </is>
      </c>
      <c r="AU416" s="38" t="inlineStr">
        <is>
          <t>Graduate or postgraduate; professional qualification preferred</t>
        </is>
      </c>
      <c r="AV416" s="38" t="inlineStr">
        <is>
          <t>IC: none · People: 6–8 knowledge work, 8–12 standardised delivery</t>
        </is>
      </c>
      <c r="AW416" s="38" t="inlineStr">
        <is>
          <t>P4 / M3 · SFIA 4–5</t>
        </is>
      </c>
      <c r="AX4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6" s="39" t="inlineStr">
        <is>
          <t>B2</t>
        </is>
      </c>
      <c r="AZ416" s="40" t="inlineStr">
        <is>
          <t>Band B · Specialist / Manager · Manager</t>
        </is>
      </c>
      <c r="BA416" s="40" t="inlineStr">
        <is>
          <t>Model B2 from the six ratings, the market-derived weights and rules R1–R13 · then No change · already below the manager</t>
        </is>
      </c>
      <c r="BB416" s="41" t="inlineStr">
        <is>
          <t>B3</t>
        </is>
      </c>
      <c r="BC416" s="40" t="inlineStr">
        <is>
          <t>The six ratings on the market-average weights of Band B · People Manager score 5.84 → B3 · Hay, Mercer IPE and public plans · experience 7.1 yrs vs the B3 market range 8–13</t>
        </is>
      </c>
      <c r="BD416" s="42">
        <f>IF(SUM(BM416,BN416,BO416,BP416,BQ416,BR416,BS416)=0,0,(BM416*BT416+BN416*BU416+BO416*BV416+BP416*BW416+BQ416*BX416+BR416*BY416+BS416*BZ416)/SUM(BM416,BN416,BO416,BP416,BQ416,BR416,BS416))</f>
        <v>0</v>
      </c>
      <c r="BE416" s="41" t="str">
        <f>IF(LEFT(AY416,1)="X",AY416,IF(OR(AY416="B+",AY416="C+"),INDEX(LAD_PC,MAX(1,MIN(14,MATCH(AY416,LAD_PC,0)+IF(BD416&gt;=0.5,1,IF(BD416&lt;=-0.5,-1,0))))),INDEX(LAD_STD,MAX(1,MIN(12,MATCH(AY416,LAD_STD,0)+IF(BD416&gt;=0.5,1,IF(BD416&lt;=-0.5,-1,0)))))))</f>
        <v>B2</v>
      </c>
      <c r="BF416" s="43" t="n"/>
      <c r="BG416" s="41" t="str">
        <f>IF(BF416&lt;&gt;"",BF416,BE416)</f>
        <v>B2</v>
      </c>
      <c r="BH416" s="40" t="str">
        <f>IFERROR(CHOOSE(INDEX(B_RANK,MATCH(BG416,B_LVL,0)),"Band A","Band B","B+ · Player-Coach","Band C","C+ · Player-Coach","Band D","Band E"),"Band X · Consultant")</f>
        <v>Band B</v>
      </c>
      <c r="BI416" s="40" t="str">
        <f>IF(BG416=AY416,"• Same",IF(INDEX(B_VAL,MATCH(BG416,B_LVL,0))&gt;INDEX(B_VAL,MATCH(AY416,B_LVL,0)),"▲ Up","▼ Down"))</f>
        <v>• Same</v>
      </c>
      <c r="BJ416" s="40" t="str">
        <f>IF(OR($M416="",$M416="—",$M416="Not in this file"),"",IFERROR(INDEX($BG$7:$BG$592,MATCH($M416,$D$7:$D$592,0)),""))</f>
        <v>D2</v>
      </c>
      <c r="BK416" s="40" t="str">
        <f>IFERROR(IF(BJ416="","—",IF(OR(LEFT(BG416,1)="X",LEFT(BJ416,1)="X"),"—",IF(AND(LEFT(BG416,1)="E",LEFT(BJ416,1)="E"),"Exception · Band E",IF(AND(INDEX(B_VAL,MATCH(BJ416,B_LVL,0))&gt;=7,INDEX(B_RANK,MATCH(BG416,B_LVL,0))&gt;=INDEX(B_RANK,MATCH(BJ416,B_LVL,0))),"⚠ Same band as a head manager",IF(INDEX(B_VAL,MATCH(BG416,B_LVL,0))&gt;=INDEX(B_VAL,MATCH(BJ416,B_LVL,0)),"⚠ At or above the manager's level","OK"))))),"—")</f>
        <v>OK</v>
      </c>
      <c r="BL416" s="43" t="n"/>
      <c r="BM416" s="44">
        <f>IFERROR(INDEX(LMH_PTS,MATCH(Y416,LMH_KEY,0)),0)</f>
        <v>9</v>
      </c>
      <c r="BN416" s="38">
        <f>IFERROR(INDEX(LMH_PTS,MATCH(Z416,LMH_KEY,0)),0)</f>
        <v>3</v>
      </c>
      <c r="BO416" s="38">
        <f>IFERROR(INDEX(LMH_PTS,MATCH(AA416,LMH_KEY,0)),0)</f>
        <v>3</v>
      </c>
      <c r="BP416" s="38">
        <f>IFERROR(INDEX(LMH_PTS,MATCH(AB416,LMH_KEY,0)),0)</f>
        <v>3</v>
      </c>
      <c r="BQ416" s="38">
        <f>IFERROR(INDEX(LMH_PTS,MATCH(AC416,LMH_KEY,0)),0)</f>
        <v>1</v>
      </c>
      <c r="BR416" s="38">
        <f>IFERROR(INDEX(LMH_PTS,MATCH(AD416,LMH_KEY,0)),0)</f>
        <v>1</v>
      </c>
      <c r="BS416" s="38">
        <f>IFERROR(INDEX(LMH_PTS,MATCH(AE416,LMH_KEY,0)),0)</f>
        <v>1</v>
      </c>
      <c r="BT416" s="38">
        <f>IFERROR(INDEX(LMH_STEP,MATCH(AF416,LMH_KEY,0)),0)</f>
        <v>0</v>
      </c>
      <c r="BU416" s="38">
        <f>IFERROR(INDEX(LMH_STEP,MATCH(AG416,LMH_KEY,0)),0)</f>
        <v>0</v>
      </c>
      <c r="BV416" s="38">
        <f>IFERROR(INDEX(LMH_STEP,MATCH(AH416,LMH_KEY,0)),0)</f>
        <v>0</v>
      </c>
      <c r="BW416" s="38">
        <f>IFERROR(INDEX(LMH_STEP,MATCH(AI416,LMH_KEY,0)),0)</f>
        <v>0</v>
      </c>
      <c r="BX416" s="38">
        <f>IFERROR(INDEX(LMH_STEP,MATCH(AJ416,LMH_KEY,0)),0)</f>
        <v>0</v>
      </c>
      <c r="BY416" s="38">
        <f>IFERROR(INDEX(LMH_STEP,MATCH(AK416,LMH_KEY,0)),0)</f>
        <v>0</v>
      </c>
      <c r="BZ416" s="38">
        <f>IFERROR(INDEX(LMH_STEP,MATCH(AL416,LMH_KEY,0)),0)</f>
        <v>0</v>
      </c>
      <c r="CA416" s="38" t="inlineStr">
        <is>
          <t>Datatech|Product Management|Product Manager|B2|B-M</t>
        </is>
      </c>
    </row>
    <row r="417" ht="110" customHeight="1">
      <c r="A417" s="28" t="inlineStr">
        <is>
          <t>Datatech</t>
        </is>
      </c>
      <c r="B417" s="29" t="inlineStr">
        <is>
          <t>Product Management</t>
        </is>
      </c>
      <c r="C417" s="29" t="n">
        <v>3</v>
      </c>
      <c r="D417" s="29" t="inlineStr">
        <is>
          <t>IRISDT0010</t>
        </is>
      </c>
      <c r="E417" s="29" t="inlineStr">
        <is>
          <t>Piyush Raj</t>
        </is>
      </c>
      <c r="F417" s="29" t="inlineStr">
        <is>
          <t>Product Manager</t>
        </is>
      </c>
      <c r="G417" s="29" t="inlineStr">
        <is>
          <t>Product Manager</t>
        </is>
      </c>
      <c r="H417" s="29" t="inlineStr">
        <is>
          <t>Product Management</t>
        </is>
      </c>
      <c r="I417" s="29" t="inlineStr">
        <is>
          <t>Product Management</t>
        </is>
      </c>
      <c r="J417" s="29" t="inlineStr">
        <is>
          <t>IC</t>
        </is>
      </c>
      <c r="K417" s="29" t="inlineStr">
        <is>
          <t>RC-126</t>
        </is>
      </c>
      <c r="L417" s="29" t="inlineStr">
        <is>
          <t>Nilesh Majumdar</t>
        </is>
      </c>
      <c r="M417" s="29" t="inlineStr">
        <is>
          <t>IRISDT0008</t>
        </is>
      </c>
      <c r="N417" s="29" t="n">
        <v>8.1</v>
      </c>
      <c r="O417" s="29" t="n">
        <v>1.1</v>
      </c>
      <c r="P417" s="29" t="inlineStr">
        <is>
          <t>PGDM</t>
        </is>
      </c>
      <c r="Q417" s="29" t="inlineStr">
        <is>
          <t>L5 – Manager</t>
        </is>
      </c>
      <c r="R417" s="29" t="inlineStr">
        <is>
          <t>B2</t>
        </is>
      </c>
      <c r="S417" s="30" t="inlineStr">
        <is>
          <t>20 of 20</t>
        </is>
      </c>
      <c r="T417" s="31" t="inlineStr">
        <is>
          <t>Business Impact: Moved +0.5: the survey / manager mapping marks it business-critical.</t>
        </is>
      </c>
      <c r="U417" s="31" t="inlineStr">
        <is>
          <t>Received · manager annual, quarterly, self · "%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t>
        </is>
      </c>
      <c r="V417" s="31" t="inlineStr">
        <is>
          <t>Latest rating: 4 · Potential: High · 9-box: High Impact / Growth Talent · Readiness: Ready now</t>
        </is>
      </c>
      <c r="W417" s="31" t="inlineStr">
        <is>
          <t>C M · Au M · Ac H · L M · BI H · Exp H · 8.1 yrs vs 4–7 yrs · Edu H · PGDM</t>
        </is>
      </c>
      <c r="X417" s="33" t="inlineStr">
        <is>
          <t>Open ▸</t>
        </is>
      </c>
      <c r="Y417" s="34" t="str">
        <f>IFERROR(INDEX(DL_C,MATCH($CA417,DL_KEY,0)),"M")</f>
        <v>H</v>
      </c>
      <c r="Z417" s="35" t="str">
        <f>IFERROR(INDEX(DL_Au,MATCH($CA417,DL_KEY,0)),"M")</f>
        <v>M</v>
      </c>
      <c r="AA417" s="35" t="str">
        <f>IFERROR(INDEX(DL_Ac,MATCH($CA417,DL_KEY,0)),"M")</f>
        <v>M</v>
      </c>
      <c r="AB417" s="35" t="str">
        <f>IFERROR(INDEX(DL_L,MATCH($CA417,DL_KEY,0)),"M")</f>
        <v>L</v>
      </c>
      <c r="AC417" s="35" t="str">
        <f>IFERROR(INDEX(DL_BI,MATCH($CA417,DL_KEY,0)),"M")</f>
        <v>L</v>
      </c>
      <c r="AD417" s="35" t="str">
        <f>IFERROR(INDEX(DL_Exp,MATCH($CA417,DL_KEY,0)),"M")</f>
        <v>L</v>
      </c>
      <c r="AE417" s="35" t="str">
        <f>IFERROR(INDEX(DL_Edu,MATCH($CA417,DL_KEY,0)),"M")</f>
        <v>L</v>
      </c>
      <c r="AF417" s="34" t="inlineStr">
        <is>
          <t>M</t>
        </is>
      </c>
      <c r="AG417" s="35" t="inlineStr">
        <is>
          <t>M</t>
        </is>
      </c>
      <c r="AH417" s="35" t="inlineStr">
        <is>
          <t>M</t>
        </is>
      </c>
      <c r="AI417" s="35" t="inlineStr">
        <is>
          <t>M</t>
        </is>
      </c>
      <c r="AJ417" s="35" t="inlineStr">
        <is>
          <t>M</t>
        </is>
      </c>
      <c r="AK417" s="35" t="inlineStr">
        <is>
          <t>M</t>
        </is>
      </c>
      <c r="AL417" s="35" t="inlineStr">
        <is>
          <t>M</t>
        </is>
      </c>
      <c r="AM417" s="36" t="n">
        <v>0.513</v>
      </c>
      <c r="AN417" s="37" t="n">
        <v>0.173</v>
      </c>
      <c r="AO417" s="37" t="n">
        <v>0.09699999999999999</v>
      </c>
      <c r="AP417" s="37" t="n">
        <v>0.05</v>
      </c>
      <c r="AQ417" s="37" t="n">
        <v>0.07000000000000001</v>
      </c>
      <c r="AR417" s="37" t="n">
        <v>0.06</v>
      </c>
      <c r="AS417" s="37" t="n">
        <v>0.04</v>
      </c>
      <c r="AT417" s="38" t="inlineStr">
        <is>
          <t>4–8</t>
        </is>
      </c>
      <c r="AU417" s="38" t="inlineStr">
        <is>
          <t>Graduate + relevant qualification or certification preferred</t>
        </is>
      </c>
      <c r="AV417" s="38" t="inlineStr">
        <is>
          <t>IC: none · Team Lead: 3–5</t>
        </is>
      </c>
      <c r="AW417" s="38" t="inlineStr">
        <is>
          <t>P3 / M2 · SFIA 4 Enable</t>
        </is>
      </c>
      <c r="AX4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7" s="39" t="inlineStr">
        <is>
          <t>B1</t>
        </is>
      </c>
      <c r="AZ417" s="40" t="inlineStr">
        <is>
          <t>Band B · Specialist / Manager · Specialist</t>
        </is>
      </c>
      <c r="BA417" s="40" t="inlineStr">
        <is>
          <t>Model B2 from the six ratings, the market-derived weights and rules R1–R13 · then Level rule: manager B2; a reportee sits at least one level below · B2 → B1 · move down · pay and title protected for one cycle</t>
        </is>
      </c>
      <c r="BB417" s="41" t="inlineStr">
        <is>
          <t>B2</t>
        </is>
      </c>
      <c r="BC417" s="40" t="inlineStr">
        <is>
          <t>The six ratings on the market-average weights of Band B · Specialist / POD Lead score 4.67 → B2 · Hay, Mercer IPE and public plans · experience 8.1 yrs vs the B2 market range 6–10</t>
        </is>
      </c>
      <c r="BD417" s="42">
        <f>IF(SUM(BM417,BN417,BO417,BP417,BQ417,BR417,BS417)=0,0,(BM417*BT417+BN417*BU417+BO417*BV417+BP417*BW417+BQ417*BX417+BR417*BY417+BS417*BZ417)/SUM(BM417,BN417,BO417,BP417,BQ417,BR417,BS417))</f>
        <v>0</v>
      </c>
      <c r="BE417" s="41" t="str">
        <f>IF(LEFT(AY417,1)="X",AY417,IF(OR(AY417="B+",AY417="C+"),INDEX(LAD_PC,MAX(1,MIN(14,MATCH(AY417,LAD_PC,0)+IF(BD417&gt;=0.5,1,IF(BD417&lt;=-0.5,-1,0))))),INDEX(LAD_STD,MAX(1,MIN(12,MATCH(AY417,LAD_STD,0)+IF(BD417&gt;=0.5,1,IF(BD417&lt;=-0.5,-1,0)))))))</f>
        <v>B1</v>
      </c>
      <c r="BF417" s="43" t="n"/>
      <c r="BG417" s="41" t="str">
        <f>IF(BF417&lt;&gt;"",BF417,BE417)</f>
        <v>B1</v>
      </c>
      <c r="BH417" s="40" t="str">
        <f>IFERROR(CHOOSE(INDEX(B_RANK,MATCH(BG417,B_LVL,0)),"Band A","Band B","B+ · Player-Coach","Band C","C+ · Player-Coach","Band D","Band E"),"Band X · Consultant")</f>
        <v>Band B</v>
      </c>
      <c r="BI417" s="40" t="str">
        <f>IF(BG417=AY417,"• Same",IF(INDEX(B_VAL,MATCH(BG417,B_LVL,0))&gt;INDEX(B_VAL,MATCH(AY417,B_LVL,0)),"▲ Up","▼ Down"))</f>
        <v>• Same</v>
      </c>
      <c r="BJ417" s="40" t="str">
        <f>IF(OR($M417="",$M417="—",$M417="Not in this file"),"",IFERROR(INDEX($BG$7:$BG$592,MATCH($M417,$D$7:$D$592,0)),""))</f>
        <v>B2</v>
      </c>
      <c r="BK417" s="40" t="str">
        <f>IFERROR(IF(BJ417="","—",IF(OR(LEFT(BG417,1)="X",LEFT(BJ417,1)="X"),"—",IF(AND(LEFT(BG417,1)="E",LEFT(BJ417,1)="E"),"Exception · Band E",IF(AND(INDEX(B_VAL,MATCH(BJ417,B_LVL,0))&gt;=7,INDEX(B_RANK,MATCH(BG417,B_LVL,0))&gt;=INDEX(B_RANK,MATCH(BJ417,B_LVL,0))),"⚠ Same band as a head manager",IF(INDEX(B_VAL,MATCH(BG417,B_LVL,0))&gt;=INDEX(B_VAL,MATCH(BJ417,B_LVL,0)),"⚠ At or above the manager's level","OK"))))),"—")</f>
        <v>OK</v>
      </c>
      <c r="BL417" s="43" t="n"/>
      <c r="BM417" s="44">
        <f>IFERROR(INDEX(LMH_PTS,MATCH(Y417,LMH_KEY,0)),0)</f>
        <v>9</v>
      </c>
      <c r="BN417" s="38">
        <f>IFERROR(INDEX(LMH_PTS,MATCH(Z417,LMH_KEY,0)),0)</f>
        <v>3</v>
      </c>
      <c r="BO417" s="38">
        <f>IFERROR(INDEX(LMH_PTS,MATCH(AA417,LMH_KEY,0)),0)</f>
        <v>3</v>
      </c>
      <c r="BP417" s="38">
        <f>IFERROR(INDEX(LMH_PTS,MATCH(AB417,LMH_KEY,0)),0)</f>
        <v>1</v>
      </c>
      <c r="BQ417" s="38">
        <f>IFERROR(INDEX(LMH_PTS,MATCH(AC417,LMH_KEY,0)),0)</f>
        <v>1</v>
      </c>
      <c r="BR417" s="38">
        <f>IFERROR(INDEX(LMH_PTS,MATCH(AD417,LMH_KEY,0)),0)</f>
        <v>1</v>
      </c>
      <c r="BS417" s="38">
        <f>IFERROR(INDEX(LMH_PTS,MATCH(AE417,LMH_KEY,0)),0)</f>
        <v>1</v>
      </c>
      <c r="BT417" s="38">
        <f>IFERROR(INDEX(LMH_STEP,MATCH(AF417,LMH_KEY,0)),0)</f>
        <v>0</v>
      </c>
      <c r="BU417" s="38">
        <f>IFERROR(INDEX(LMH_STEP,MATCH(AG417,LMH_KEY,0)),0)</f>
        <v>0</v>
      </c>
      <c r="BV417" s="38">
        <f>IFERROR(INDEX(LMH_STEP,MATCH(AH417,LMH_KEY,0)),0)</f>
        <v>0</v>
      </c>
      <c r="BW417" s="38">
        <f>IFERROR(INDEX(LMH_STEP,MATCH(AI417,LMH_KEY,0)),0)</f>
        <v>0</v>
      </c>
      <c r="BX417" s="38">
        <f>IFERROR(INDEX(LMH_STEP,MATCH(AJ417,LMH_KEY,0)),0)</f>
        <v>0</v>
      </c>
      <c r="BY417" s="38">
        <f>IFERROR(INDEX(LMH_STEP,MATCH(AK417,LMH_KEY,0)),0)</f>
        <v>0</v>
      </c>
      <c r="BZ417" s="38">
        <f>IFERROR(INDEX(LMH_STEP,MATCH(AL417,LMH_KEY,0)),0)</f>
        <v>0</v>
      </c>
      <c r="CA417" s="38" t="inlineStr">
        <is>
          <t>Datatech|Product Management|Product Manager|B1|B-IC</t>
        </is>
      </c>
    </row>
    <row r="418" ht="110" customHeight="1">
      <c r="A418" s="28" t="inlineStr">
        <is>
          <t>Datatech</t>
        </is>
      </c>
      <c r="B418" s="29" t="inlineStr">
        <is>
          <t>Product Management</t>
        </is>
      </c>
      <c r="C418" s="29" t="n">
        <v>3</v>
      </c>
      <c r="D418" s="29" t="inlineStr">
        <is>
          <t>IRISDT0024</t>
        </is>
      </c>
      <c r="E418" s="29" t="inlineStr">
        <is>
          <t>Ayushi Maurya</t>
        </is>
      </c>
      <c r="F418" s="29" t="inlineStr">
        <is>
          <t>Product Manager</t>
        </is>
      </c>
      <c r="G418" s="29" t="inlineStr">
        <is>
          <t>Associate Product Manager</t>
        </is>
      </c>
      <c r="H418" s="29" t="inlineStr">
        <is>
          <t>Product Management</t>
        </is>
      </c>
      <c r="I418" s="29" t="inlineStr">
        <is>
          <t>Product Management</t>
        </is>
      </c>
      <c r="J418" s="29" t="inlineStr">
        <is>
          <t>IC</t>
        </is>
      </c>
      <c r="K418" s="29" t="inlineStr">
        <is>
          <t>RC-125</t>
        </is>
      </c>
      <c r="L418" s="29" t="inlineStr">
        <is>
          <t>Nilesh Majumdar</t>
        </is>
      </c>
      <c r="M418" s="29" t="inlineStr">
        <is>
          <t>IRISDT0008</t>
        </is>
      </c>
      <c r="N418" s="29" t="inlineStr">
        <is>
          <t>Not provided · HRIS</t>
        </is>
      </c>
      <c r="O418" s="29" t="n">
        <v>0.1</v>
      </c>
      <c r="P418" s="29" t="inlineStr">
        <is>
          <t>M.Tech</t>
        </is>
      </c>
      <c r="Q418" s="29" t="inlineStr">
        <is>
          <t>Not in current mapping files</t>
        </is>
      </c>
      <c r="R418" s="29" t="inlineStr">
        <is>
          <t>B1</t>
        </is>
      </c>
      <c r="S418" s="30" t="inlineStr">
        <is>
          <t>20 of 20</t>
        </is>
      </c>
      <c r="T418" s="31"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t>
        </is>
      </c>
      <c r="U418" s="32" t="inlineStr">
        <is>
          <t>KRAs not received · manager to supply</t>
        </is>
      </c>
      <c r="V418" s="31" t="inlineStr">
        <is>
          <t>Latest rating: Not rated · manager · 9-box: Not placed · manager · Readiness: No rating data</t>
        </is>
      </c>
      <c r="W418" s="31" t="inlineStr">
        <is>
          <t>C M · Au M · Ac M · L L · BI M · Exp — · not on file · Edu H · M.Tech</t>
        </is>
      </c>
      <c r="X418" s="33" t="inlineStr">
        <is>
          <t>Open ▸</t>
        </is>
      </c>
      <c r="Y418" s="34" t="str">
        <f>IFERROR(INDEX(DL_C,MATCH($CA418,DL_KEY,0)),"M")</f>
        <v>H</v>
      </c>
      <c r="Z418" s="35" t="str">
        <f>IFERROR(INDEX(DL_Au,MATCH($CA418,DL_KEY,0)),"M")</f>
        <v>M</v>
      </c>
      <c r="AA418" s="35" t="str">
        <f>IFERROR(INDEX(DL_Ac,MATCH($CA418,DL_KEY,0)),"M")</f>
        <v>M</v>
      </c>
      <c r="AB418" s="35" t="str">
        <f>IFERROR(INDEX(DL_L,MATCH($CA418,DL_KEY,0)),"M")</f>
        <v>L</v>
      </c>
      <c r="AC418" s="35" t="str">
        <f>IFERROR(INDEX(DL_BI,MATCH($CA418,DL_KEY,0)),"M")</f>
        <v>L</v>
      </c>
      <c r="AD418" s="35" t="str">
        <f>IFERROR(INDEX(DL_Exp,MATCH($CA418,DL_KEY,0)),"M")</f>
        <v>L</v>
      </c>
      <c r="AE418" s="35" t="str">
        <f>IFERROR(INDEX(DL_Edu,MATCH($CA418,DL_KEY,0)),"M")</f>
        <v>L</v>
      </c>
      <c r="AF418" s="34" t="inlineStr">
        <is>
          <t>M</t>
        </is>
      </c>
      <c r="AG418" s="35" t="inlineStr">
        <is>
          <t>M</t>
        </is>
      </c>
      <c r="AH418" s="35" t="inlineStr">
        <is>
          <t>M</t>
        </is>
      </c>
      <c r="AI418" s="35" t="inlineStr">
        <is>
          <t>M</t>
        </is>
      </c>
      <c r="AJ418" s="35" t="inlineStr">
        <is>
          <t>M</t>
        </is>
      </c>
      <c r="AK418" s="35" t="inlineStr">
        <is>
          <t>M</t>
        </is>
      </c>
      <c r="AL418" s="35" t="inlineStr">
        <is>
          <t>M</t>
        </is>
      </c>
      <c r="AM418" s="36" t="n">
        <v>0.513</v>
      </c>
      <c r="AN418" s="37" t="n">
        <v>0.173</v>
      </c>
      <c r="AO418" s="37" t="n">
        <v>0.09699999999999999</v>
      </c>
      <c r="AP418" s="37" t="n">
        <v>0.05</v>
      </c>
      <c r="AQ418" s="37" t="n">
        <v>0.07000000000000001</v>
      </c>
      <c r="AR418" s="37" t="n">
        <v>0.06</v>
      </c>
      <c r="AS418" s="37" t="n">
        <v>0.04</v>
      </c>
      <c r="AT418" s="38" t="inlineStr">
        <is>
          <t>4–8</t>
        </is>
      </c>
      <c r="AU418" s="38" t="inlineStr">
        <is>
          <t>Graduate + relevant qualification or certification preferred</t>
        </is>
      </c>
      <c r="AV418" s="38" t="inlineStr">
        <is>
          <t>IC: none · Team Lead: 3–5</t>
        </is>
      </c>
      <c r="AW418" s="38" t="inlineStr">
        <is>
          <t>P3 / M2 · SFIA 4 Enable</t>
        </is>
      </c>
      <c r="AX4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8" s="39" t="inlineStr">
        <is>
          <t>B1</t>
        </is>
      </c>
      <c r="AZ418" s="40" t="inlineStr">
        <is>
          <t>Band B · Specialist / Manager · Specialist</t>
        </is>
      </c>
      <c r="BA418" s="40" t="inlineStr">
        <is>
          <t>Model B1 from the six ratings, the market-derived weights and rules R1–R13 · then No change · already below the manager</t>
        </is>
      </c>
      <c r="BB418" s="41" t="inlineStr">
        <is>
          <t>B1</t>
        </is>
      </c>
      <c r="BC418" s="40" t="inlineStr">
        <is>
          <t>The six ratings on the market-average weights of Band B · Specialist / POD Lead score 4.00 → B1 · Hay, Mercer IPE and public plans · experience Not provided · HRIS yrs vs the B1 market range 4–8</t>
        </is>
      </c>
      <c r="BD418" s="42">
        <f>IF(SUM(BM418,BN418,BO418,BP418,BQ418,BR418,BS418)=0,0,(BM418*BT418+BN418*BU418+BO418*BV418+BP418*BW418+BQ418*BX418+BR418*BY418+BS418*BZ418)/SUM(BM418,BN418,BO418,BP418,BQ418,BR418,BS418))</f>
        <v>0</v>
      </c>
      <c r="BE418" s="41" t="str">
        <f>IF(LEFT(AY418,1)="X",AY418,IF(OR(AY418="B+",AY418="C+"),INDEX(LAD_PC,MAX(1,MIN(14,MATCH(AY418,LAD_PC,0)+IF(BD418&gt;=0.5,1,IF(BD418&lt;=-0.5,-1,0))))),INDEX(LAD_STD,MAX(1,MIN(12,MATCH(AY418,LAD_STD,0)+IF(BD418&gt;=0.5,1,IF(BD418&lt;=-0.5,-1,0)))))))</f>
        <v>B1</v>
      </c>
      <c r="BF418" s="43" t="n"/>
      <c r="BG418" s="41" t="str">
        <f>IF(BF418&lt;&gt;"",BF418,BE418)</f>
        <v>B1</v>
      </c>
      <c r="BH418" s="40" t="str">
        <f>IFERROR(CHOOSE(INDEX(B_RANK,MATCH(BG418,B_LVL,0)),"Band A","Band B","B+ · Player-Coach","Band C","C+ · Player-Coach","Band D","Band E"),"Band X · Consultant")</f>
        <v>Band B</v>
      </c>
      <c r="BI418" s="40" t="str">
        <f>IF(BG418=AY418,"• Same",IF(INDEX(B_VAL,MATCH(BG418,B_LVL,0))&gt;INDEX(B_VAL,MATCH(AY418,B_LVL,0)),"▲ Up","▼ Down"))</f>
        <v>• Same</v>
      </c>
      <c r="BJ418" s="40" t="str">
        <f>IF(OR($M418="",$M418="—",$M418="Not in this file"),"",IFERROR(INDEX($BG$7:$BG$592,MATCH($M418,$D$7:$D$592,0)),""))</f>
        <v>B2</v>
      </c>
      <c r="BK418" s="40" t="str">
        <f>IFERROR(IF(BJ418="","—",IF(OR(LEFT(BG418,1)="X",LEFT(BJ418,1)="X"),"—",IF(AND(LEFT(BG418,1)="E",LEFT(BJ418,1)="E"),"Exception · Band E",IF(AND(INDEX(B_VAL,MATCH(BJ418,B_LVL,0))&gt;=7,INDEX(B_RANK,MATCH(BG418,B_LVL,0))&gt;=INDEX(B_RANK,MATCH(BJ418,B_LVL,0))),"⚠ Same band as a head manager",IF(INDEX(B_VAL,MATCH(BG418,B_LVL,0))&gt;=INDEX(B_VAL,MATCH(BJ418,B_LVL,0)),"⚠ At or above the manager's level","OK"))))),"—")</f>
        <v>OK</v>
      </c>
      <c r="BL418" s="43" t="n"/>
      <c r="BM418" s="44">
        <f>IFERROR(INDEX(LMH_PTS,MATCH(Y418,LMH_KEY,0)),0)</f>
        <v>9</v>
      </c>
      <c r="BN418" s="38">
        <f>IFERROR(INDEX(LMH_PTS,MATCH(Z418,LMH_KEY,0)),0)</f>
        <v>3</v>
      </c>
      <c r="BO418" s="38">
        <f>IFERROR(INDEX(LMH_PTS,MATCH(AA418,LMH_KEY,0)),0)</f>
        <v>3</v>
      </c>
      <c r="BP418" s="38">
        <f>IFERROR(INDEX(LMH_PTS,MATCH(AB418,LMH_KEY,0)),0)</f>
        <v>1</v>
      </c>
      <c r="BQ418" s="38">
        <f>IFERROR(INDEX(LMH_PTS,MATCH(AC418,LMH_KEY,0)),0)</f>
        <v>1</v>
      </c>
      <c r="BR418" s="38">
        <f>IFERROR(INDEX(LMH_PTS,MATCH(AD418,LMH_KEY,0)),0)</f>
        <v>1</v>
      </c>
      <c r="BS418" s="38">
        <f>IFERROR(INDEX(LMH_PTS,MATCH(AE418,LMH_KEY,0)),0)</f>
        <v>1</v>
      </c>
      <c r="BT418" s="38">
        <f>IFERROR(INDEX(LMH_STEP,MATCH(AF418,LMH_KEY,0)),0)</f>
        <v>0</v>
      </c>
      <c r="BU418" s="38">
        <f>IFERROR(INDEX(LMH_STEP,MATCH(AG418,LMH_KEY,0)),0)</f>
        <v>0</v>
      </c>
      <c r="BV418" s="38">
        <f>IFERROR(INDEX(LMH_STEP,MATCH(AH418,LMH_KEY,0)),0)</f>
        <v>0</v>
      </c>
      <c r="BW418" s="38">
        <f>IFERROR(INDEX(LMH_STEP,MATCH(AI418,LMH_KEY,0)),0)</f>
        <v>0</v>
      </c>
      <c r="BX418" s="38">
        <f>IFERROR(INDEX(LMH_STEP,MATCH(AJ418,LMH_KEY,0)),0)</f>
        <v>0</v>
      </c>
      <c r="BY418" s="38">
        <f>IFERROR(INDEX(LMH_STEP,MATCH(AK418,LMH_KEY,0)),0)</f>
        <v>0</v>
      </c>
      <c r="BZ418" s="38">
        <f>IFERROR(INDEX(LMH_STEP,MATCH(AL418,LMH_KEY,0)),0)</f>
        <v>0</v>
      </c>
      <c r="CA418" s="38" t="inlineStr">
        <is>
          <t>Datatech|Product Management|Associate Product Manager|B1|B-IC</t>
        </is>
      </c>
    </row>
    <row r="419" ht="110" customHeight="1">
      <c r="A419" s="28" t="inlineStr">
        <is>
          <t>Datatech</t>
        </is>
      </c>
      <c r="B419" s="29" t="inlineStr">
        <is>
          <t>Product Management</t>
        </is>
      </c>
      <c r="C419" s="29" t="n">
        <v>3</v>
      </c>
      <c r="D419" s="29" t="inlineStr">
        <is>
          <t>IRISDT0021</t>
        </is>
      </c>
      <c r="E419" s="29" t="inlineStr">
        <is>
          <t>Gaurav Bansal</t>
        </is>
      </c>
      <c r="F419" s="29" t="inlineStr">
        <is>
          <t>Product Manager</t>
        </is>
      </c>
      <c r="G419" s="29" t="inlineStr">
        <is>
          <t>Associate Product Manager</t>
        </is>
      </c>
      <c r="H419" s="29" t="inlineStr">
        <is>
          <t>Product Management</t>
        </is>
      </c>
      <c r="I419" s="29" t="inlineStr">
        <is>
          <t>Product Management</t>
        </is>
      </c>
      <c r="J419" s="29" t="inlineStr">
        <is>
          <t>IC</t>
        </is>
      </c>
      <c r="K419" s="29" t="inlineStr">
        <is>
          <t>RC-125</t>
        </is>
      </c>
      <c r="L419" s="29" t="inlineStr">
        <is>
          <t>Nilesh Majumdar</t>
        </is>
      </c>
      <c r="M419" s="29" t="inlineStr">
        <is>
          <t>IRISDT0008</t>
        </is>
      </c>
      <c r="N419" s="29" t="n">
        <v>2.4</v>
      </c>
      <c r="O419" s="29" t="n">
        <v>0.2</v>
      </c>
      <c r="P419" s="29" t="inlineStr">
        <is>
          <t>B.Tech</t>
        </is>
      </c>
      <c r="Q419" s="29" t="inlineStr">
        <is>
          <t>Not in current mapping files</t>
        </is>
      </c>
      <c r="R419" s="29" t="inlineStr">
        <is>
          <t>B1</t>
        </is>
      </c>
      <c r="S419" s="30" t="inlineStr">
        <is>
          <t>20 of 20</t>
        </is>
      </c>
      <c r="T419" s="31"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t>
        </is>
      </c>
      <c r="U419" s="32" t="inlineStr">
        <is>
          <t>KRAs not received · manager to supply</t>
        </is>
      </c>
      <c r="V419" s="31" t="inlineStr">
        <is>
          <t>Latest rating: Not rated · manager · 9-box: Not placed · manager · Readiness: No rating data</t>
        </is>
      </c>
      <c r="W419" s="31" t="inlineStr">
        <is>
          <t>C M · Au M · Ac M · L M · BI M · Exp L · 2.4 yrs vs 4–7 yrs · Edu M · B.Tech</t>
        </is>
      </c>
      <c r="X419" s="33" t="inlineStr">
        <is>
          <t>Open ▸</t>
        </is>
      </c>
      <c r="Y419" s="34" t="str">
        <f>IFERROR(INDEX(DL_C,MATCH($CA419,DL_KEY,0)),"M")</f>
        <v>H</v>
      </c>
      <c r="Z419" s="35" t="str">
        <f>IFERROR(INDEX(DL_Au,MATCH($CA419,DL_KEY,0)),"M")</f>
        <v>M</v>
      </c>
      <c r="AA419" s="35" t="str">
        <f>IFERROR(INDEX(DL_Ac,MATCH($CA419,DL_KEY,0)),"M")</f>
        <v>M</v>
      </c>
      <c r="AB419" s="35" t="str">
        <f>IFERROR(INDEX(DL_L,MATCH($CA419,DL_KEY,0)),"M")</f>
        <v>L</v>
      </c>
      <c r="AC419" s="35" t="str">
        <f>IFERROR(INDEX(DL_BI,MATCH($CA419,DL_KEY,0)),"M")</f>
        <v>L</v>
      </c>
      <c r="AD419" s="35" t="str">
        <f>IFERROR(INDEX(DL_Exp,MATCH($CA419,DL_KEY,0)),"M")</f>
        <v>L</v>
      </c>
      <c r="AE419" s="35" t="str">
        <f>IFERROR(INDEX(DL_Edu,MATCH($CA419,DL_KEY,0)),"M")</f>
        <v>L</v>
      </c>
      <c r="AF419" s="34" t="inlineStr">
        <is>
          <t>M</t>
        </is>
      </c>
      <c r="AG419" s="35" t="inlineStr">
        <is>
          <t>M</t>
        </is>
      </c>
      <c r="AH419" s="35" t="inlineStr">
        <is>
          <t>M</t>
        </is>
      </c>
      <c r="AI419" s="35" t="inlineStr">
        <is>
          <t>M</t>
        </is>
      </c>
      <c r="AJ419" s="35" t="inlineStr">
        <is>
          <t>M</t>
        </is>
      </c>
      <c r="AK419" s="35" t="inlineStr">
        <is>
          <t>M</t>
        </is>
      </c>
      <c r="AL419" s="35" t="inlineStr">
        <is>
          <t>M</t>
        </is>
      </c>
      <c r="AM419" s="36" t="n">
        <v>0.513</v>
      </c>
      <c r="AN419" s="37" t="n">
        <v>0.173</v>
      </c>
      <c r="AO419" s="37" t="n">
        <v>0.09699999999999999</v>
      </c>
      <c r="AP419" s="37" t="n">
        <v>0.05</v>
      </c>
      <c r="AQ419" s="37" t="n">
        <v>0.07000000000000001</v>
      </c>
      <c r="AR419" s="37" t="n">
        <v>0.06</v>
      </c>
      <c r="AS419" s="37" t="n">
        <v>0.04</v>
      </c>
      <c r="AT419" s="38" t="inlineStr">
        <is>
          <t>4–8</t>
        </is>
      </c>
      <c r="AU419" s="38" t="inlineStr">
        <is>
          <t>Graduate + relevant qualification or certification preferred</t>
        </is>
      </c>
      <c r="AV419" s="38" t="inlineStr">
        <is>
          <t>IC: none · Team Lead: 3–5</t>
        </is>
      </c>
      <c r="AW419" s="38" t="inlineStr">
        <is>
          <t>P3 / M2 · SFIA 4 Enable</t>
        </is>
      </c>
      <c r="AX4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9" s="39" t="inlineStr">
        <is>
          <t>B1</t>
        </is>
      </c>
      <c r="AZ419" s="40" t="inlineStr">
        <is>
          <t>Band B · Specialist / Manager · Specialist</t>
        </is>
      </c>
      <c r="BA419" s="40" t="inlineStr">
        <is>
          <t>Model B1 from the six ratings, the market-derived weights and rules R1–R13 · then No change · already below the manager</t>
        </is>
      </c>
      <c r="BB419" s="41" t="inlineStr">
        <is>
          <t>B1</t>
        </is>
      </c>
      <c r="BC419" s="40" t="inlineStr">
        <is>
          <t>The six ratings on the market-average weights of Band B · Specialist / POD Lead score 4.25 → B1 · Hay, Mercer IPE and public plans · experience 2.4 yrs vs the B1 market range 4–8</t>
        </is>
      </c>
      <c r="BD419" s="42">
        <f>IF(SUM(BM419,BN419,BO419,BP419,BQ419,BR419,BS419)=0,0,(BM419*BT419+BN419*BU419+BO419*BV419+BP419*BW419+BQ419*BX419+BR419*BY419+BS419*BZ419)/SUM(BM419,BN419,BO419,BP419,BQ419,BR419,BS419))</f>
        <v>0</v>
      </c>
      <c r="BE419" s="41" t="str">
        <f>IF(LEFT(AY419,1)="X",AY419,IF(OR(AY419="B+",AY419="C+"),INDEX(LAD_PC,MAX(1,MIN(14,MATCH(AY419,LAD_PC,0)+IF(BD419&gt;=0.5,1,IF(BD419&lt;=-0.5,-1,0))))),INDEX(LAD_STD,MAX(1,MIN(12,MATCH(AY419,LAD_STD,0)+IF(BD419&gt;=0.5,1,IF(BD419&lt;=-0.5,-1,0)))))))</f>
        <v>B1</v>
      </c>
      <c r="BF419" s="43" t="n"/>
      <c r="BG419" s="41" t="str">
        <f>IF(BF419&lt;&gt;"",BF419,BE419)</f>
        <v>B1</v>
      </c>
      <c r="BH419" s="40" t="str">
        <f>IFERROR(CHOOSE(INDEX(B_RANK,MATCH(BG419,B_LVL,0)),"Band A","Band B","B+ · Player-Coach","Band C","C+ · Player-Coach","Band D","Band E"),"Band X · Consultant")</f>
        <v>Band B</v>
      </c>
      <c r="BI419" s="40" t="str">
        <f>IF(BG419=AY419,"• Same",IF(INDEX(B_VAL,MATCH(BG419,B_LVL,0))&gt;INDEX(B_VAL,MATCH(AY419,B_LVL,0)),"▲ Up","▼ Down"))</f>
        <v>• Same</v>
      </c>
      <c r="BJ419" s="40" t="str">
        <f>IF(OR($M419="",$M419="—",$M419="Not in this file"),"",IFERROR(INDEX($BG$7:$BG$592,MATCH($M419,$D$7:$D$592,0)),""))</f>
        <v>B2</v>
      </c>
      <c r="BK419" s="40" t="str">
        <f>IFERROR(IF(BJ419="","—",IF(OR(LEFT(BG419,1)="X",LEFT(BJ419,1)="X"),"—",IF(AND(LEFT(BG419,1)="E",LEFT(BJ419,1)="E"),"Exception · Band E",IF(AND(INDEX(B_VAL,MATCH(BJ419,B_LVL,0))&gt;=7,INDEX(B_RANK,MATCH(BG419,B_LVL,0))&gt;=INDEX(B_RANK,MATCH(BJ419,B_LVL,0))),"⚠ Same band as a head manager",IF(INDEX(B_VAL,MATCH(BG419,B_LVL,0))&gt;=INDEX(B_VAL,MATCH(BJ419,B_LVL,0)),"⚠ At or above the manager's level","OK"))))),"—")</f>
        <v>OK</v>
      </c>
      <c r="BL419" s="43" t="n"/>
      <c r="BM419" s="44">
        <f>IFERROR(INDEX(LMH_PTS,MATCH(Y419,LMH_KEY,0)),0)</f>
        <v>9</v>
      </c>
      <c r="BN419" s="38">
        <f>IFERROR(INDEX(LMH_PTS,MATCH(Z419,LMH_KEY,0)),0)</f>
        <v>3</v>
      </c>
      <c r="BO419" s="38">
        <f>IFERROR(INDEX(LMH_PTS,MATCH(AA419,LMH_KEY,0)),0)</f>
        <v>3</v>
      </c>
      <c r="BP419" s="38">
        <f>IFERROR(INDEX(LMH_PTS,MATCH(AB419,LMH_KEY,0)),0)</f>
        <v>1</v>
      </c>
      <c r="BQ419" s="38">
        <f>IFERROR(INDEX(LMH_PTS,MATCH(AC419,LMH_KEY,0)),0)</f>
        <v>1</v>
      </c>
      <c r="BR419" s="38">
        <f>IFERROR(INDEX(LMH_PTS,MATCH(AD419,LMH_KEY,0)),0)</f>
        <v>1</v>
      </c>
      <c r="BS419" s="38">
        <f>IFERROR(INDEX(LMH_PTS,MATCH(AE419,LMH_KEY,0)),0)</f>
        <v>1</v>
      </c>
      <c r="BT419" s="38">
        <f>IFERROR(INDEX(LMH_STEP,MATCH(AF419,LMH_KEY,0)),0)</f>
        <v>0</v>
      </c>
      <c r="BU419" s="38">
        <f>IFERROR(INDEX(LMH_STEP,MATCH(AG419,LMH_KEY,0)),0)</f>
        <v>0</v>
      </c>
      <c r="BV419" s="38">
        <f>IFERROR(INDEX(LMH_STEP,MATCH(AH419,LMH_KEY,0)),0)</f>
        <v>0</v>
      </c>
      <c r="BW419" s="38">
        <f>IFERROR(INDEX(LMH_STEP,MATCH(AI419,LMH_KEY,0)),0)</f>
        <v>0</v>
      </c>
      <c r="BX419" s="38">
        <f>IFERROR(INDEX(LMH_STEP,MATCH(AJ419,LMH_KEY,0)),0)</f>
        <v>0</v>
      </c>
      <c r="BY419" s="38">
        <f>IFERROR(INDEX(LMH_STEP,MATCH(AK419,LMH_KEY,0)),0)</f>
        <v>0</v>
      </c>
      <c r="BZ419" s="38">
        <f>IFERROR(INDEX(LMH_STEP,MATCH(AL419,LMH_KEY,0)),0)</f>
        <v>0</v>
      </c>
      <c r="CA419" s="38" t="inlineStr">
        <is>
          <t>Datatech|Product Management|Associate Product Manager|B1|B-IC</t>
        </is>
      </c>
    </row>
    <row r="420" ht="110" customHeight="1">
      <c r="A420" s="28" t="inlineStr">
        <is>
          <t>Datatech</t>
        </is>
      </c>
      <c r="B420" s="29" t="inlineStr">
        <is>
          <t>Quality Assurance</t>
        </is>
      </c>
      <c r="C420" s="29" t="n">
        <v>3</v>
      </c>
      <c r="D420" s="29" t="inlineStr">
        <is>
          <t>IRISDT0014</t>
        </is>
      </c>
      <c r="E420" s="29" t="inlineStr">
        <is>
          <t>Supriya Patil</t>
        </is>
      </c>
      <c r="F420" s="29" t="inlineStr">
        <is>
          <t>QA Engineer</t>
        </is>
      </c>
      <c r="G420" s="29" t="inlineStr">
        <is>
          <t>Senior QA Engineer</t>
        </is>
      </c>
      <c r="H420" s="29" t="inlineStr">
        <is>
          <t>Quality Assurance</t>
        </is>
      </c>
      <c r="I420" s="29" t="inlineStr">
        <is>
          <t>Functional &amp; Domain Testing</t>
        </is>
      </c>
      <c r="J420" s="29" t="inlineStr">
        <is>
          <t>IC</t>
        </is>
      </c>
      <c r="K420" s="29" t="inlineStr">
        <is>
          <t>RC-141</t>
        </is>
      </c>
      <c r="L420" s="29" t="inlineStr">
        <is>
          <t>Nilesh Majumdar</t>
        </is>
      </c>
      <c r="M420" s="29" t="inlineStr">
        <is>
          <t>IRISDT0008</t>
        </is>
      </c>
      <c r="N420" s="29" t="n">
        <v>7.3</v>
      </c>
      <c r="O420" s="29" t="n">
        <v>0.6</v>
      </c>
      <c r="P420" s="29" t="inlineStr">
        <is>
          <t>B.E</t>
        </is>
      </c>
      <c r="Q420" s="29" t="inlineStr">
        <is>
          <t>L3 – Professional / Associate</t>
        </is>
      </c>
      <c r="R420" s="29" t="inlineStr">
        <is>
          <t>A3</t>
        </is>
      </c>
      <c r="S420" s="30" t="inlineStr">
        <is>
          <t>20 of 20</t>
        </is>
      </c>
      <c r="T420" s="31"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t>
        </is>
      </c>
      <c r="U420" s="31" t="inlineStr">
        <is>
          <t>Received · manager annual, quarterly · 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
        </is>
      </c>
      <c r="V420" s="31" t="inlineStr">
        <is>
          <t>Latest rating: 3 · Potential: Medium · 9-box: Core Contributor · Readiness: Develop in role</t>
        </is>
      </c>
      <c r="W420" s="31" t="inlineStr">
        <is>
          <t>C L · Au L · Ac M · L L · BI M · Exp H · 7.3 yrs vs 2–4 yrs · Edu M · B.E</t>
        </is>
      </c>
      <c r="X420" s="33" t="inlineStr">
        <is>
          <t>Open ▸</t>
        </is>
      </c>
      <c r="Y420" s="34" t="str">
        <f>IFERROR(INDEX(DL_C,MATCH($CA420,DL_KEY,0)),"M")</f>
        <v>H</v>
      </c>
      <c r="Z420" s="35" t="str">
        <f>IFERROR(INDEX(DL_Au,MATCH($CA420,DL_KEY,0)),"M")</f>
        <v>M</v>
      </c>
      <c r="AA420" s="35" t="str">
        <f>IFERROR(INDEX(DL_Ac,MATCH($CA420,DL_KEY,0)),"M")</f>
        <v>L</v>
      </c>
      <c r="AB420" s="35" t="str">
        <f>IFERROR(INDEX(DL_L,MATCH($CA420,DL_KEY,0)),"M")</f>
        <v>L</v>
      </c>
      <c r="AC420" s="35" t="str">
        <f>IFERROR(INDEX(DL_BI,MATCH($CA420,DL_KEY,0)),"M")</f>
        <v>L</v>
      </c>
      <c r="AD420" s="35" t="str">
        <f>IFERROR(INDEX(DL_Exp,MATCH($CA420,DL_KEY,0)),"M")</f>
        <v>L</v>
      </c>
      <c r="AE420" s="35" t="str">
        <f>IFERROR(INDEX(DL_Edu,MATCH($CA420,DL_KEY,0)),"M")</f>
        <v>L</v>
      </c>
      <c r="AF420" s="34" t="inlineStr">
        <is>
          <t>M</t>
        </is>
      </c>
      <c r="AG420" s="35" t="inlineStr">
        <is>
          <t>M</t>
        </is>
      </c>
      <c r="AH420" s="35" t="inlineStr">
        <is>
          <t>M</t>
        </is>
      </c>
      <c r="AI420" s="35" t="inlineStr">
        <is>
          <t>M</t>
        </is>
      </c>
      <c r="AJ420" s="35" t="inlineStr">
        <is>
          <t>M</t>
        </is>
      </c>
      <c r="AK420" s="35" t="inlineStr">
        <is>
          <t>M</t>
        </is>
      </c>
      <c r="AL420" s="35" t="inlineStr">
        <is>
          <t>M</t>
        </is>
      </c>
      <c r="AM420" s="36" t="n">
        <v>0.583</v>
      </c>
      <c r="AN420" s="37" t="n">
        <v>0.16</v>
      </c>
      <c r="AO420" s="37" t="n">
        <v>0.09</v>
      </c>
      <c r="AP420" s="37" t="n">
        <v>0</v>
      </c>
      <c r="AQ420" s="37" t="n">
        <v>0.063</v>
      </c>
      <c r="AR420" s="37" t="n">
        <v>0.06</v>
      </c>
      <c r="AS420" s="37" t="n">
        <v>0.04</v>
      </c>
      <c r="AT420" s="38" t="inlineStr">
        <is>
          <t>2–5</t>
        </is>
      </c>
      <c r="AU420" s="38" t="inlineStr">
        <is>
          <t>Graduate; relevant certification preferred</t>
        </is>
      </c>
      <c r="AV420" s="38" t="inlineStr">
        <is>
          <t>None · guides 1–3 juniors informally</t>
        </is>
      </c>
      <c r="AW420" s="38" t="inlineStr">
        <is>
          <t>P2 · SFIA 3 Apply</t>
        </is>
      </c>
      <c r="AX4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0" s="39" t="inlineStr">
        <is>
          <t>A3</t>
        </is>
      </c>
      <c r="AZ420" s="40" t="inlineStr">
        <is>
          <t>Band A · Practitioner · Senior Associate</t>
        </is>
      </c>
      <c r="BA420" s="40" t="inlineStr">
        <is>
          <t>Model A3 from the six ratings, the market-derived weights and rules R1–R13 · then No change · already below the manager</t>
        </is>
      </c>
      <c r="BB420" s="41" t="inlineStr">
        <is>
          <t>A2</t>
        </is>
      </c>
      <c r="BC420" s="40" t="inlineStr">
        <is>
          <t>The six ratings on the market-average weights of Band A · all tracks score 2.41 → A2 · Hay, Mercer IPE and public plans · experience 7.3 yrs vs the A2 market range 0–3</t>
        </is>
      </c>
      <c r="BD420" s="42">
        <f>IF(SUM(BM420,BN420,BO420,BP420,BQ420,BR420,BS420)=0,0,(BM420*BT420+BN420*BU420+BO420*BV420+BP420*BW420+BQ420*BX420+BR420*BY420+BS420*BZ420)/SUM(BM420,BN420,BO420,BP420,BQ420,BR420,BS420))</f>
        <v>0</v>
      </c>
      <c r="BE420" s="41" t="str">
        <f>IF(LEFT(AY420,1)="X",AY420,IF(OR(AY420="B+",AY420="C+"),INDEX(LAD_PC,MAX(1,MIN(14,MATCH(AY420,LAD_PC,0)+IF(BD420&gt;=0.5,1,IF(BD420&lt;=-0.5,-1,0))))),INDEX(LAD_STD,MAX(1,MIN(12,MATCH(AY420,LAD_STD,0)+IF(BD420&gt;=0.5,1,IF(BD420&lt;=-0.5,-1,0)))))))</f>
        <v>A3</v>
      </c>
      <c r="BF420" s="43" t="n"/>
      <c r="BG420" s="41" t="str">
        <f>IF(BF420&lt;&gt;"",BF420,BE420)</f>
        <v>A3</v>
      </c>
      <c r="BH420" s="40" t="str">
        <f>IFERROR(CHOOSE(INDEX(B_RANK,MATCH(BG420,B_LVL,0)),"Band A","Band B","B+ · Player-Coach","Band C","C+ · Player-Coach","Band D","Band E"),"Band X · Consultant")</f>
        <v>Band A</v>
      </c>
      <c r="BI420" s="40" t="str">
        <f>IF(BG420=AY420,"• Same",IF(INDEX(B_VAL,MATCH(BG420,B_LVL,0))&gt;INDEX(B_VAL,MATCH(AY420,B_LVL,0)),"▲ Up","▼ Down"))</f>
        <v>• Same</v>
      </c>
      <c r="BJ420" s="40" t="str">
        <f>IF(OR($M420="",$M420="—",$M420="Not in this file"),"",IFERROR(INDEX($BG$7:$BG$592,MATCH($M420,$D$7:$D$592,0)),""))</f>
        <v>B2</v>
      </c>
      <c r="BK420" s="40" t="str">
        <f>IFERROR(IF(BJ420="","—",IF(OR(LEFT(BG420,1)="X",LEFT(BJ420,1)="X"),"—",IF(AND(LEFT(BG420,1)="E",LEFT(BJ420,1)="E"),"Exception · Band E",IF(AND(INDEX(B_VAL,MATCH(BJ420,B_LVL,0))&gt;=7,INDEX(B_RANK,MATCH(BG420,B_LVL,0))&gt;=INDEX(B_RANK,MATCH(BJ420,B_LVL,0))),"⚠ Same band as a head manager",IF(INDEX(B_VAL,MATCH(BG420,B_LVL,0))&gt;=INDEX(B_VAL,MATCH(BJ420,B_LVL,0)),"⚠ At or above the manager's level","OK"))))),"—")</f>
        <v>OK</v>
      </c>
      <c r="BL420" s="43" t="n"/>
      <c r="BM420" s="44">
        <f>IFERROR(INDEX(LMH_PTS,MATCH(Y420,LMH_KEY,0)),0)</f>
        <v>9</v>
      </c>
      <c r="BN420" s="38">
        <f>IFERROR(INDEX(LMH_PTS,MATCH(Z420,LMH_KEY,0)),0)</f>
        <v>3</v>
      </c>
      <c r="BO420" s="38">
        <f>IFERROR(INDEX(LMH_PTS,MATCH(AA420,LMH_KEY,0)),0)</f>
        <v>1</v>
      </c>
      <c r="BP420" s="38">
        <f>IFERROR(INDEX(LMH_PTS,MATCH(AB420,LMH_KEY,0)),0)</f>
        <v>1</v>
      </c>
      <c r="BQ420" s="38">
        <f>IFERROR(INDEX(LMH_PTS,MATCH(AC420,LMH_KEY,0)),0)</f>
        <v>1</v>
      </c>
      <c r="BR420" s="38">
        <f>IFERROR(INDEX(LMH_PTS,MATCH(AD420,LMH_KEY,0)),0)</f>
        <v>1</v>
      </c>
      <c r="BS420" s="38">
        <f>IFERROR(INDEX(LMH_PTS,MATCH(AE420,LMH_KEY,0)),0)</f>
        <v>1</v>
      </c>
      <c r="BT420" s="38">
        <f>IFERROR(INDEX(LMH_STEP,MATCH(AF420,LMH_KEY,0)),0)</f>
        <v>0</v>
      </c>
      <c r="BU420" s="38">
        <f>IFERROR(INDEX(LMH_STEP,MATCH(AG420,LMH_KEY,0)),0)</f>
        <v>0</v>
      </c>
      <c r="BV420" s="38">
        <f>IFERROR(INDEX(LMH_STEP,MATCH(AH420,LMH_KEY,0)),0)</f>
        <v>0</v>
      </c>
      <c r="BW420" s="38">
        <f>IFERROR(INDEX(LMH_STEP,MATCH(AI420,LMH_KEY,0)),0)</f>
        <v>0</v>
      </c>
      <c r="BX420" s="38">
        <f>IFERROR(INDEX(LMH_STEP,MATCH(AJ420,LMH_KEY,0)),0)</f>
        <v>0</v>
      </c>
      <c r="BY420" s="38">
        <f>IFERROR(INDEX(LMH_STEP,MATCH(AK420,LMH_KEY,0)),0)</f>
        <v>0</v>
      </c>
      <c r="BZ420" s="38">
        <f>IFERROR(INDEX(LMH_STEP,MATCH(AL420,LMH_KEY,0)),0)</f>
        <v>0</v>
      </c>
      <c r="CA420" s="38" t="inlineStr">
        <is>
          <t>Datatech|Quality Assurance|Senior QA Engineer|A3|A</t>
        </is>
      </c>
    </row>
    <row r="421" ht="110" customHeight="1">
      <c r="A421" s="28" t="inlineStr">
        <is>
          <t>Datatech</t>
        </is>
      </c>
      <c r="B421" s="29" t="inlineStr">
        <is>
          <t>Technology</t>
        </is>
      </c>
      <c r="C421" s="29" t="n">
        <v>3</v>
      </c>
      <c r="D421" s="29" t="inlineStr">
        <is>
          <t>IRISDT0020</t>
        </is>
      </c>
      <c r="E421" s="29" t="inlineStr">
        <is>
          <t>Utkarsh Sagar Bafana</t>
        </is>
      </c>
      <c r="F421" s="29" t="inlineStr">
        <is>
          <t>UX Designer</t>
        </is>
      </c>
      <c r="G421" s="29" t="inlineStr">
        <is>
          <t>Senior Product Designer</t>
        </is>
      </c>
      <c r="H421" s="29" t="inlineStr">
        <is>
          <t>Design &amp; Creative</t>
        </is>
      </c>
      <c r="I421" s="29" t="inlineStr">
        <is>
          <t>UX / UI Design</t>
        </is>
      </c>
      <c r="J421" s="29" t="inlineStr">
        <is>
          <t>IC</t>
        </is>
      </c>
      <c r="K421" s="29" t="inlineStr">
        <is>
          <t>RC-054</t>
        </is>
      </c>
      <c r="L421" s="29" t="inlineStr">
        <is>
          <t>Nilesh Majumdar</t>
        </is>
      </c>
      <c r="M421" s="29" t="inlineStr">
        <is>
          <t>IRISDT0008</t>
        </is>
      </c>
      <c r="N421" s="29" t="n">
        <v>4.6</v>
      </c>
      <c r="O421" s="29" t="n">
        <v>0.2</v>
      </c>
      <c r="P421" s="29" t="inlineStr">
        <is>
          <t>Bachelors of Vocational Studies</t>
        </is>
      </c>
      <c r="Q421" s="29" t="inlineStr">
        <is>
          <t>Not in current mapping files</t>
        </is>
      </c>
      <c r="R421" s="29" t="inlineStr">
        <is>
          <t>A3</t>
        </is>
      </c>
      <c r="S421" s="30" t="inlineStr">
        <is>
          <t>20 of 20</t>
        </is>
      </c>
      <c r="T421" s="31"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t>
        </is>
      </c>
      <c r="U421" s="32" t="inlineStr">
        <is>
          <t>KRAs not received · manager to supply</t>
        </is>
      </c>
      <c r="V421" s="31" t="inlineStr">
        <is>
          <t>Latest rating: Not rated · manager · 9-box: Not placed · manager · Readiness: No rating data</t>
        </is>
      </c>
      <c r="W421" s="31" t="inlineStr">
        <is>
          <t>C M · Au M · Ac M · L L · BI M · Exp H · 4.6 yrs vs 2–4 yrs · Edu M · Bachelors of Vocational Studies</t>
        </is>
      </c>
      <c r="X421" s="33" t="inlineStr">
        <is>
          <t>Open ▸</t>
        </is>
      </c>
      <c r="Y421" s="34" t="str">
        <f>IFERROR(INDEX(DL_C,MATCH($CA421,DL_KEY,0)),"M")</f>
        <v>H</v>
      </c>
      <c r="Z421" s="35" t="str">
        <f>IFERROR(INDEX(DL_Au,MATCH($CA421,DL_KEY,0)),"M")</f>
        <v>M</v>
      </c>
      <c r="AA421" s="35" t="str">
        <f>IFERROR(INDEX(DL_Ac,MATCH($CA421,DL_KEY,0)),"M")</f>
        <v>L</v>
      </c>
      <c r="AB421" s="35" t="str">
        <f>IFERROR(INDEX(DL_L,MATCH($CA421,DL_KEY,0)),"M")</f>
        <v>L</v>
      </c>
      <c r="AC421" s="35" t="str">
        <f>IFERROR(INDEX(DL_BI,MATCH($CA421,DL_KEY,0)),"M")</f>
        <v>M</v>
      </c>
      <c r="AD421" s="35" t="str">
        <f>IFERROR(INDEX(DL_Exp,MATCH($CA421,DL_KEY,0)),"M")</f>
        <v>L</v>
      </c>
      <c r="AE421" s="35" t="str">
        <f>IFERROR(INDEX(DL_Edu,MATCH($CA421,DL_KEY,0)),"M")</f>
        <v>L</v>
      </c>
      <c r="AF421" s="34" t="inlineStr">
        <is>
          <t>M</t>
        </is>
      </c>
      <c r="AG421" s="35" t="inlineStr">
        <is>
          <t>M</t>
        </is>
      </c>
      <c r="AH421" s="35" t="inlineStr">
        <is>
          <t>M</t>
        </is>
      </c>
      <c r="AI421" s="35" t="inlineStr">
        <is>
          <t>M</t>
        </is>
      </c>
      <c r="AJ421" s="35" t="inlineStr">
        <is>
          <t>M</t>
        </is>
      </c>
      <c r="AK421" s="35" t="inlineStr">
        <is>
          <t>M</t>
        </is>
      </c>
      <c r="AL421" s="35" t="inlineStr">
        <is>
          <t>M</t>
        </is>
      </c>
      <c r="AM421" s="36" t="n">
        <v>0.583</v>
      </c>
      <c r="AN421" s="37" t="n">
        <v>0.16</v>
      </c>
      <c r="AO421" s="37" t="n">
        <v>0.09</v>
      </c>
      <c r="AP421" s="37" t="n">
        <v>0</v>
      </c>
      <c r="AQ421" s="37" t="n">
        <v>0.063</v>
      </c>
      <c r="AR421" s="37" t="n">
        <v>0.06</v>
      </c>
      <c r="AS421" s="37" t="n">
        <v>0.04</v>
      </c>
      <c r="AT421" s="38" t="inlineStr">
        <is>
          <t>2–5</t>
        </is>
      </c>
      <c r="AU421" s="38" t="inlineStr">
        <is>
          <t>Graduate; relevant certification preferred</t>
        </is>
      </c>
      <c r="AV421" s="38" t="inlineStr">
        <is>
          <t>None · guides 1–3 juniors informally</t>
        </is>
      </c>
      <c r="AW421" s="38" t="inlineStr">
        <is>
          <t>P2 · SFIA 3 Apply</t>
        </is>
      </c>
      <c r="AX4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1" s="39" t="inlineStr">
        <is>
          <t>A3</t>
        </is>
      </c>
      <c r="AZ421" s="40" t="inlineStr">
        <is>
          <t>Band A · Practitioner · Senior Associate</t>
        </is>
      </c>
      <c r="BA421" s="40" t="inlineStr">
        <is>
          <t>Model A3 from the six ratings, the market-derived weights and rules R1–R13 · then No change · already below the manager</t>
        </is>
      </c>
      <c r="BB421" s="41" t="inlineStr">
        <is>
          <t>A3</t>
        </is>
      </c>
      <c r="BC421" s="40" t="inlineStr">
        <is>
          <t>The six ratings on the market-average weights of Band A · all tracks score 2.60 → A3 · Hay, Mercer IPE and public plans · experience 4.6 yrs vs the A3 market range 2–5</t>
        </is>
      </c>
      <c r="BD421" s="42">
        <f>IF(SUM(BM421,BN421,BO421,BP421,BQ421,BR421,BS421)=0,0,(BM421*BT421+BN421*BU421+BO421*BV421+BP421*BW421+BQ421*BX421+BR421*BY421+BS421*BZ421)/SUM(BM421,BN421,BO421,BP421,BQ421,BR421,BS421))</f>
        <v>0</v>
      </c>
      <c r="BE421" s="41" t="str">
        <f>IF(LEFT(AY421,1)="X",AY421,IF(OR(AY421="B+",AY421="C+"),INDEX(LAD_PC,MAX(1,MIN(14,MATCH(AY421,LAD_PC,0)+IF(BD421&gt;=0.5,1,IF(BD421&lt;=-0.5,-1,0))))),INDEX(LAD_STD,MAX(1,MIN(12,MATCH(AY421,LAD_STD,0)+IF(BD421&gt;=0.5,1,IF(BD421&lt;=-0.5,-1,0)))))))</f>
        <v>A3</v>
      </c>
      <c r="BF421" s="43" t="n"/>
      <c r="BG421" s="41" t="str">
        <f>IF(BF421&lt;&gt;"",BF421,BE421)</f>
        <v>A3</v>
      </c>
      <c r="BH421" s="40" t="str">
        <f>IFERROR(CHOOSE(INDEX(B_RANK,MATCH(BG421,B_LVL,0)),"Band A","Band B","B+ · Player-Coach","Band C","C+ · Player-Coach","Band D","Band E"),"Band X · Consultant")</f>
        <v>Band A</v>
      </c>
      <c r="BI421" s="40" t="str">
        <f>IF(BG421=AY421,"• Same",IF(INDEX(B_VAL,MATCH(BG421,B_LVL,0))&gt;INDEX(B_VAL,MATCH(AY421,B_LVL,0)),"▲ Up","▼ Down"))</f>
        <v>• Same</v>
      </c>
      <c r="BJ421" s="40" t="str">
        <f>IF(OR($M421="",$M421="—",$M421="Not in this file"),"",IFERROR(INDEX($BG$7:$BG$592,MATCH($M421,$D$7:$D$592,0)),""))</f>
        <v>B2</v>
      </c>
      <c r="BK421" s="40" t="str">
        <f>IFERROR(IF(BJ421="","—",IF(OR(LEFT(BG421,1)="X",LEFT(BJ421,1)="X"),"—",IF(AND(LEFT(BG421,1)="E",LEFT(BJ421,1)="E"),"Exception · Band E",IF(AND(INDEX(B_VAL,MATCH(BJ421,B_LVL,0))&gt;=7,INDEX(B_RANK,MATCH(BG421,B_LVL,0))&gt;=INDEX(B_RANK,MATCH(BJ421,B_LVL,0))),"⚠ Same band as a head manager",IF(INDEX(B_VAL,MATCH(BG421,B_LVL,0))&gt;=INDEX(B_VAL,MATCH(BJ421,B_LVL,0)),"⚠ At or above the manager's level","OK"))))),"—")</f>
        <v>OK</v>
      </c>
      <c r="BL421" s="43" t="n"/>
      <c r="BM421" s="44">
        <f>IFERROR(INDEX(LMH_PTS,MATCH(Y421,LMH_KEY,0)),0)</f>
        <v>9</v>
      </c>
      <c r="BN421" s="38">
        <f>IFERROR(INDEX(LMH_PTS,MATCH(Z421,LMH_KEY,0)),0)</f>
        <v>3</v>
      </c>
      <c r="BO421" s="38">
        <f>IFERROR(INDEX(LMH_PTS,MATCH(AA421,LMH_KEY,0)),0)</f>
        <v>1</v>
      </c>
      <c r="BP421" s="38">
        <f>IFERROR(INDEX(LMH_PTS,MATCH(AB421,LMH_KEY,0)),0)</f>
        <v>1</v>
      </c>
      <c r="BQ421" s="38">
        <f>IFERROR(INDEX(LMH_PTS,MATCH(AC421,LMH_KEY,0)),0)</f>
        <v>3</v>
      </c>
      <c r="BR421" s="38">
        <f>IFERROR(INDEX(LMH_PTS,MATCH(AD421,LMH_KEY,0)),0)</f>
        <v>1</v>
      </c>
      <c r="BS421" s="38">
        <f>IFERROR(INDEX(LMH_PTS,MATCH(AE421,LMH_KEY,0)),0)</f>
        <v>1</v>
      </c>
      <c r="BT421" s="38">
        <f>IFERROR(INDEX(LMH_STEP,MATCH(AF421,LMH_KEY,0)),0)</f>
        <v>0</v>
      </c>
      <c r="BU421" s="38">
        <f>IFERROR(INDEX(LMH_STEP,MATCH(AG421,LMH_KEY,0)),0)</f>
        <v>0</v>
      </c>
      <c r="BV421" s="38">
        <f>IFERROR(INDEX(LMH_STEP,MATCH(AH421,LMH_KEY,0)),0)</f>
        <v>0</v>
      </c>
      <c r="BW421" s="38">
        <f>IFERROR(INDEX(LMH_STEP,MATCH(AI421,LMH_KEY,0)),0)</f>
        <v>0</v>
      </c>
      <c r="BX421" s="38">
        <f>IFERROR(INDEX(LMH_STEP,MATCH(AJ421,LMH_KEY,0)),0)</f>
        <v>0</v>
      </c>
      <c r="BY421" s="38">
        <f>IFERROR(INDEX(LMH_STEP,MATCH(AK421,LMH_KEY,0)),0)</f>
        <v>0</v>
      </c>
      <c r="BZ421" s="38">
        <f>IFERROR(INDEX(LMH_STEP,MATCH(AL421,LMH_KEY,0)),0)</f>
        <v>0</v>
      </c>
      <c r="CA421" s="38" t="inlineStr">
        <is>
          <t>Datatech|Technology|Senior Product Designer|A3|A</t>
        </is>
      </c>
    </row>
    <row r="422" ht="110" customHeight="1">
      <c r="A422" s="28" t="inlineStr">
        <is>
          <t>Datatech</t>
        </is>
      </c>
      <c r="B422" s="29" t="inlineStr">
        <is>
          <t>Technology</t>
        </is>
      </c>
      <c r="C422" s="29" t="n">
        <v>3</v>
      </c>
      <c r="D422" s="29" t="inlineStr">
        <is>
          <t>IRISDTN001</t>
        </is>
      </c>
      <c r="E422" s="29" t="inlineStr">
        <is>
          <t>Riyanka Dey</t>
        </is>
      </c>
      <c r="F422" s="29" t="inlineStr">
        <is>
          <t>Intern</t>
        </is>
      </c>
      <c r="G422" s="29" t="inlineStr">
        <is>
          <t>Intern – Product Operations &amp; Research</t>
        </is>
      </c>
      <c r="H422" s="29" t="inlineStr">
        <is>
          <t>Product Management</t>
        </is>
      </c>
      <c r="I422" s="29" t="inlineStr">
        <is>
          <t>Product Operations &amp; Research</t>
        </is>
      </c>
      <c r="J422" s="29" t="inlineStr">
        <is>
          <t>IC</t>
        </is>
      </c>
      <c r="K422" s="29" t="inlineStr">
        <is>
          <t>RC-129</t>
        </is>
      </c>
      <c r="L422" s="29" t="inlineStr">
        <is>
          <t>Nilesh Majumdar</t>
        </is>
      </c>
      <c r="M422" s="29" t="inlineStr">
        <is>
          <t>IRISDT0008</t>
        </is>
      </c>
      <c r="N422" s="29" t="n">
        <v>0.6</v>
      </c>
      <c r="O422" s="29" t="n">
        <v>0.1</v>
      </c>
      <c r="P422" s="29" t="inlineStr">
        <is>
          <t>B.E</t>
        </is>
      </c>
      <c r="Q422" s="29" t="inlineStr">
        <is>
          <t>Not in current mapping files</t>
        </is>
      </c>
      <c r="R422" s="29" t="inlineStr">
        <is>
          <t>A1</t>
        </is>
      </c>
      <c r="S422" s="30" t="inlineStr">
        <is>
          <t>20 of 20</t>
        </is>
      </c>
      <c r="T422" s="32" t="inlineStr">
        <is>
          <t>Full survey answers not in the files received · How We Grow export needed · HR</t>
        </is>
      </c>
      <c r="U422" s="32" t="inlineStr">
        <is>
          <t>KRAs not received · manager to supply</t>
        </is>
      </c>
      <c r="V422" s="31" t="inlineStr">
        <is>
          <t>Latest rating: Not rated · manager · 9-box: Not placed · manager · Readiness: No rating data</t>
        </is>
      </c>
      <c r="W422" s="31" t="inlineStr">
        <is>
          <t>C — · Au — · Ac — · L — · BI — · Exp H · 0.6 yrs vs 0 yrs · fresher / intern · Edu M · B.E</t>
        </is>
      </c>
      <c r="X422" s="33" t="inlineStr">
        <is>
          <t>Open ▸</t>
        </is>
      </c>
      <c r="Y422" s="34" t="str">
        <f>IFERROR(INDEX(DL_C,MATCH($CA422,DL_KEY,0)),"M")</f>
        <v>H</v>
      </c>
      <c r="Z422" s="35" t="str">
        <f>IFERROR(INDEX(DL_Au,MATCH($CA422,DL_KEY,0)),"M")</f>
        <v>M</v>
      </c>
      <c r="AA422" s="35" t="str">
        <f>IFERROR(INDEX(DL_Ac,MATCH($CA422,DL_KEY,0)),"M")</f>
        <v>M</v>
      </c>
      <c r="AB422" s="35" t="str">
        <f>IFERROR(INDEX(DL_L,MATCH($CA422,DL_KEY,0)),"M")</f>
        <v>L</v>
      </c>
      <c r="AC422" s="35" t="str">
        <f>IFERROR(INDEX(DL_BI,MATCH($CA422,DL_KEY,0)),"M")</f>
        <v>L</v>
      </c>
      <c r="AD422" s="35" t="str">
        <f>IFERROR(INDEX(DL_Exp,MATCH($CA422,DL_KEY,0)),"M")</f>
        <v>L</v>
      </c>
      <c r="AE422" s="35" t="str">
        <f>IFERROR(INDEX(DL_Edu,MATCH($CA422,DL_KEY,0)),"M")</f>
        <v>L</v>
      </c>
      <c r="AF422" s="34" t="inlineStr">
        <is>
          <t>M</t>
        </is>
      </c>
      <c r="AG422" s="35" t="inlineStr">
        <is>
          <t>M</t>
        </is>
      </c>
      <c r="AH422" s="35" t="inlineStr">
        <is>
          <t>M</t>
        </is>
      </c>
      <c r="AI422" s="35" t="inlineStr">
        <is>
          <t>M</t>
        </is>
      </c>
      <c r="AJ422" s="35" t="inlineStr">
        <is>
          <t>M</t>
        </is>
      </c>
      <c r="AK422" s="35" t="inlineStr">
        <is>
          <t>M</t>
        </is>
      </c>
      <c r="AL422" s="35" t="inlineStr">
        <is>
          <t>M</t>
        </is>
      </c>
      <c r="AM422" s="36" t="n">
        <v>0.583</v>
      </c>
      <c r="AN422" s="37" t="n">
        <v>0.16</v>
      </c>
      <c r="AO422" s="37" t="n">
        <v>0.09</v>
      </c>
      <c r="AP422" s="37" t="n">
        <v>0</v>
      </c>
      <c r="AQ422" s="37" t="n">
        <v>0.063</v>
      </c>
      <c r="AR422" s="37" t="n">
        <v>0.06</v>
      </c>
      <c r="AS422" s="37" t="n">
        <v>0.04</v>
      </c>
      <c r="AT422" s="38" t="inlineStr">
        <is>
          <t>0 yrs · fresher / intern</t>
        </is>
      </c>
      <c r="AU422" s="38" t="inlineStr">
        <is>
          <t>Pursuing or completed graduation / diploma</t>
        </is>
      </c>
      <c r="AV422" s="38" t="inlineStr">
        <is>
          <t>No direct reports</t>
        </is>
      </c>
      <c r="AW422" s="38" t="inlineStr">
        <is>
          <t>Entry / P1 · intern · SFIA 1 Follow</t>
        </is>
      </c>
      <c r="AX4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2" s="39" t="inlineStr">
        <is>
          <t>A1</t>
        </is>
      </c>
      <c r="AZ422" s="40" t="inlineStr">
        <is>
          <t>Band A · Practitioner · Intern / Trainee</t>
        </is>
      </c>
      <c r="BA422" s="40" t="inlineStr">
        <is>
          <t>Model A1 from the six ratings, the market-derived weights and rules R1–R13 · then No change · already below the manager</t>
        </is>
      </c>
      <c r="BB422" s="41" t="inlineStr">
        <is>
          <t>A1</t>
        </is>
      </c>
      <c r="BC422" s="40" t="inlineStr">
        <is>
          <t>Placed by a category rule — no full set of ratings · benchmark follows the HR proposed level</t>
        </is>
      </c>
      <c r="BD422" s="42">
        <f>IF(SUM(BM422,BN422,BO422,BP422,BQ422,BR422,BS422)=0,0,(BM422*BT422+BN422*BU422+BO422*BV422+BP422*BW422+BQ422*BX422+BR422*BY422+BS422*BZ422)/SUM(BM422,BN422,BO422,BP422,BQ422,BR422,BS422))</f>
        <v>0</v>
      </c>
      <c r="BE422" s="41" t="str">
        <f>IF(LEFT(AY422,1)="X",AY422,IF(OR(AY422="B+",AY422="C+"),INDEX(LAD_PC,MAX(1,MIN(14,MATCH(AY422,LAD_PC,0)+IF(BD422&gt;=0.5,1,IF(BD422&lt;=-0.5,-1,0))))),INDEX(LAD_STD,MAX(1,MIN(12,MATCH(AY422,LAD_STD,0)+IF(BD422&gt;=0.5,1,IF(BD422&lt;=-0.5,-1,0)))))))</f>
        <v>A1</v>
      </c>
      <c r="BF422" s="43" t="n"/>
      <c r="BG422" s="41" t="str">
        <f>IF(BF422&lt;&gt;"",BF422,BE422)</f>
        <v>A1</v>
      </c>
      <c r="BH422" s="40" t="str">
        <f>IFERROR(CHOOSE(INDEX(B_RANK,MATCH(BG422,B_LVL,0)),"Band A","Band B","B+ · Player-Coach","Band C","C+ · Player-Coach","Band D","Band E"),"Band X · Consultant")</f>
        <v>Band A</v>
      </c>
      <c r="BI422" s="40" t="str">
        <f>IF(BG422=AY422,"• Same",IF(INDEX(B_VAL,MATCH(BG422,B_LVL,0))&gt;INDEX(B_VAL,MATCH(AY422,B_LVL,0)),"▲ Up","▼ Down"))</f>
        <v>• Same</v>
      </c>
      <c r="BJ422" s="40" t="str">
        <f>IF(OR($M422="",$M422="—",$M422="Not in this file"),"",IFERROR(INDEX($BG$7:$BG$592,MATCH($M422,$D$7:$D$592,0)),""))</f>
        <v>B2</v>
      </c>
      <c r="BK422" s="40" t="str">
        <f>IFERROR(IF(BJ422="","—",IF(OR(LEFT(BG422,1)="X",LEFT(BJ422,1)="X"),"—",IF(AND(LEFT(BG422,1)="E",LEFT(BJ422,1)="E"),"Exception · Band E",IF(AND(INDEX(B_VAL,MATCH(BJ422,B_LVL,0))&gt;=7,INDEX(B_RANK,MATCH(BG422,B_LVL,0))&gt;=INDEX(B_RANK,MATCH(BJ422,B_LVL,0))),"⚠ Same band as a head manager",IF(INDEX(B_VAL,MATCH(BG422,B_LVL,0))&gt;=INDEX(B_VAL,MATCH(BJ422,B_LVL,0)),"⚠ At or above the manager's level","OK"))))),"—")</f>
        <v>OK</v>
      </c>
      <c r="BL422" s="43" t="n"/>
      <c r="BM422" s="44">
        <f>IFERROR(INDEX(LMH_PTS,MATCH(Y422,LMH_KEY,0)),0)</f>
        <v>9</v>
      </c>
      <c r="BN422" s="38">
        <f>IFERROR(INDEX(LMH_PTS,MATCH(Z422,LMH_KEY,0)),0)</f>
        <v>3</v>
      </c>
      <c r="BO422" s="38">
        <f>IFERROR(INDEX(LMH_PTS,MATCH(AA422,LMH_KEY,0)),0)</f>
        <v>3</v>
      </c>
      <c r="BP422" s="38">
        <f>IFERROR(INDEX(LMH_PTS,MATCH(AB422,LMH_KEY,0)),0)</f>
        <v>1</v>
      </c>
      <c r="BQ422" s="38">
        <f>IFERROR(INDEX(LMH_PTS,MATCH(AC422,LMH_KEY,0)),0)</f>
        <v>1</v>
      </c>
      <c r="BR422" s="38">
        <f>IFERROR(INDEX(LMH_PTS,MATCH(AD422,LMH_KEY,0)),0)</f>
        <v>1</v>
      </c>
      <c r="BS422" s="38">
        <f>IFERROR(INDEX(LMH_PTS,MATCH(AE422,LMH_KEY,0)),0)</f>
        <v>1</v>
      </c>
      <c r="BT422" s="38">
        <f>IFERROR(INDEX(LMH_STEP,MATCH(AF422,LMH_KEY,0)),0)</f>
        <v>0</v>
      </c>
      <c r="BU422" s="38">
        <f>IFERROR(INDEX(LMH_STEP,MATCH(AG422,LMH_KEY,0)),0)</f>
        <v>0</v>
      </c>
      <c r="BV422" s="38">
        <f>IFERROR(INDEX(LMH_STEP,MATCH(AH422,LMH_KEY,0)),0)</f>
        <v>0</v>
      </c>
      <c r="BW422" s="38">
        <f>IFERROR(INDEX(LMH_STEP,MATCH(AI422,LMH_KEY,0)),0)</f>
        <v>0</v>
      </c>
      <c r="BX422" s="38">
        <f>IFERROR(INDEX(LMH_STEP,MATCH(AJ422,LMH_KEY,0)),0)</f>
        <v>0</v>
      </c>
      <c r="BY422" s="38">
        <f>IFERROR(INDEX(LMH_STEP,MATCH(AK422,LMH_KEY,0)),0)</f>
        <v>0</v>
      </c>
      <c r="BZ422" s="38">
        <f>IFERROR(INDEX(LMH_STEP,MATCH(AL422,LMH_KEY,0)),0)</f>
        <v>0</v>
      </c>
      <c r="CA422" s="38" t="inlineStr">
        <is>
          <t>Datatech|Technology|Intern – Product Operations &amp; Research|A1|A</t>
        </is>
      </c>
    </row>
    <row r="423" ht="110" customHeight="1">
      <c r="A423" s="28" t="inlineStr">
        <is>
          <t>Datatech</t>
        </is>
      </c>
      <c r="B423" s="29" t="inlineStr">
        <is>
          <t>Datatech - Outreach</t>
        </is>
      </c>
      <c r="C423" s="29" t="n">
        <v>2</v>
      </c>
      <c r="D423" s="29" t="inlineStr">
        <is>
          <t>IRISDT0011</t>
        </is>
      </c>
      <c r="E423" s="29" t="inlineStr">
        <is>
          <t>Raghin Nair</t>
        </is>
      </c>
      <c r="F423" s="29" t="inlineStr">
        <is>
          <t>Program Lead</t>
        </is>
      </c>
      <c r="G423" s="29" t="inlineStr">
        <is>
          <t>Program Manager – Outreach</t>
        </is>
      </c>
      <c r="H423" s="29" t="inlineStr">
        <is>
          <t>Sales &amp; Business Development</t>
        </is>
      </c>
      <c r="I423" s="29" t="inlineStr">
        <is>
          <t>Field Outreach &amp; Programme Sales</t>
        </is>
      </c>
      <c r="J423" s="29" t="inlineStr">
        <is>
          <t>People Manager</t>
        </is>
      </c>
      <c r="K423" s="29" t="inlineStr">
        <is>
          <t>RC-158</t>
        </is>
      </c>
      <c r="L423" s="29" t="inlineStr">
        <is>
          <t>Shilpa Dhobale</t>
        </is>
      </c>
      <c r="M423" s="29" t="inlineStr">
        <is>
          <t>IRISDT0001</t>
        </is>
      </c>
      <c r="N423" s="29" t="n">
        <v>19.4</v>
      </c>
      <c r="O423" s="29" t="n">
        <v>0.9</v>
      </c>
      <c r="P423" s="29" t="inlineStr">
        <is>
          <t>B.Com</t>
        </is>
      </c>
      <c r="Q423" s="29" t="inlineStr">
        <is>
          <t>L5 – Lead · IC</t>
        </is>
      </c>
      <c r="R423" s="29" t="inlineStr">
        <is>
          <t>B2</t>
        </is>
      </c>
      <c r="S423" s="30" t="inlineStr">
        <is>
          <t>20 of 20</t>
        </is>
      </c>
      <c r="T423" s="31"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t>
        </is>
      </c>
      <c r="U423" s="32" t="inlineStr">
        <is>
          <t>KRAs not received · manager to supply</t>
        </is>
      </c>
      <c r="V423" s="31" t="inlineStr">
        <is>
          <t>Latest rating: 3 · 9-box: Core Contributor · Readiness: Develop in role</t>
        </is>
      </c>
      <c r="W423" s="31" t="inlineStr">
        <is>
          <t>C M · Au M · Ac M · L M · BI M · Exp H · 19.4 yrs vs 6–9 yrs · Edu M · B.Com</t>
        </is>
      </c>
      <c r="X423" s="33" t="inlineStr">
        <is>
          <t>Open ▸</t>
        </is>
      </c>
      <c r="Y423" s="34" t="str">
        <f>IFERROR(INDEX(DL_C,MATCH($CA423,DL_KEY,0)),"M")</f>
        <v>H</v>
      </c>
      <c r="Z423" s="35" t="str">
        <f>IFERROR(INDEX(DL_Au,MATCH($CA423,DL_KEY,0)),"M")</f>
        <v>M</v>
      </c>
      <c r="AA423" s="35" t="str">
        <f>IFERROR(INDEX(DL_Ac,MATCH($CA423,DL_KEY,0)),"M")</f>
        <v>L</v>
      </c>
      <c r="AB423" s="35" t="str">
        <f>IFERROR(INDEX(DL_L,MATCH($CA423,DL_KEY,0)),"M")</f>
        <v>M</v>
      </c>
      <c r="AC423" s="35" t="str">
        <f>IFERROR(INDEX(DL_BI,MATCH($CA423,DL_KEY,0)),"M")</f>
        <v>M</v>
      </c>
      <c r="AD423" s="35" t="str">
        <f>IFERROR(INDEX(DL_Exp,MATCH($CA423,DL_KEY,0)),"M")</f>
        <v>L</v>
      </c>
      <c r="AE423" s="35" t="str">
        <f>IFERROR(INDEX(DL_Edu,MATCH($CA423,DL_KEY,0)),"M")</f>
        <v>L</v>
      </c>
      <c r="AF423" s="34" t="inlineStr">
        <is>
          <t>M</t>
        </is>
      </c>
      <c r="AG423" s="35" t="inlineStr">
        <is>
          <t>M</t>
        </is>
      </c>
      <c r="AH423" s="35" t="inlineStr">
        <is>
          <t>M</t>
        </is>
      </c>
      <c r="AI423" s="35" t="inlineStr">
        <is>
          <t>M</t>
        </is>
      </c>
      <c r="AJ423" s="35" t="inlineStr">
        <is>
          <t>M</t>
        </is>
      </c>
      <c r="AK423" s="35" t="inlineStr">
        <is>
          <t>M</t>
        </is>
      </c>
      <c r="AL423" s="35" t="inlineStr">
        <is>
          <t>M</t>
        </is>
      </c>
      <c r="AM423" s="36" t="n">
        <v>0.37</v>
      </c>
      <c r="AN423" s="37" t="n">
        <v>0.183</v>
      </c>
      <c r="AO423" s="37" t="n">
        <v>0.113</v>
      </c>
      <c r="AP423" s="37" t="n">
        <v>0.15</v>
      </c>
      <c r="AQ423" s="37" t="n">
        <v>0.08699999999999999</v>
      </c>
      <c r="AR423" s="37" t="n">
        <v>0.06</v>
      </c>
      <c r="AS423" s="37" t="n">
        <v>0.04</v>
      </c>
      <c r="AT423" s="38" t="inlineStr">
        <is>
          <t>6–10</t>
        </is>
      </c>
      <c r="AU423" s="38" t="inlineStr">
        <is>
          <t>Graduate or postgraduate; professional qualification preferred</t>
        </is>
      </c>
      <c r="AV423" s="38" t="inlineStr">
        <is>
          <t>IC: none · People: 6–8 knowledge work, 8–12 standardised delivery</t>
        </is>
      </c>
      <c r="AW423" s="38" t="inlineStr">
        <is>
          <t>P4 / M3 · SFIA 4–5</t>
        </is>
      </c>
      <c r="AX4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3" s="39" t="inlineStr">
        <is>
          <t>B2</t>
        </is>
      </c>
      <c r="AZ423" s="40" t="inlineStr">
        <is>
          <t>Band B · Specialist / Manager · Manager</t>
        </is>
      </c>
      <c r="BA423" s="40" t="inlineStr">
        <is>
          <t>Model B2 from the six ratings, the market-derived weights and rules R1–R13 · then No change · already below the manager</t>
        </is>
      </c>
      <c r="BB423" s="41" t="inlineStr">
        <is>
          <t>B2</t>
        </is>
      </c>
      <c r="BC423" s="40" t="inlineStr">
        <is>
          <t>The six ratings on the market-average weights of Band B · People Manager score 5.22 → B2 · Hay, Mercer IPE and public plans · experience 19.4 yrs vs the B2 market range 6–10</t>
        </is>
      </c>
      <c r="BD423" s="42">
        <f>IF(SUM(BM423,BN423,BO423,BP423,BQ423,BR423,BS423)=0,0,(BM423*BT423+BN423*BU423+BO423*BV423+BP423*BW423+BQ423*BX423+BR423*BY423+BS423*BZ423)/SUM(BM423,BN423,BO423,BP423,BQ423,BR423,BS423))</f>
        <v>0</v>
      </c>
      <c r="BE423" s="41" t="str">
        <f>IF(LEFT(AY423,1)="X",AY423,IF(OR(AY423="B+",AY423="C+"),INDEX(LAD_PC,MAX(1,MIN(14,MATCH(AY423,LAD_PC,0)+IF(BD423&gt;=0.5,1,IF(BD423&lt;=-0.5,-1,0))))),INDEX(LAD_STD,MAX(1,MIN(12,MATCH(AY423,LAD_STD,0)+IF(BD423&gt;=0.5,1,IF(BD423&lt;=-0.5,-1,0)))))))</f>
        <v>B2</v>
      </c>
      <c r="BF423" s="43" t="n"/>
      <c r="BG423" s="41" t="str">
        <f>IF(BF423&lt;&gt;"",BF423,BE423)</f>
        <v>B2</v>
      </c>
      <c r="BH423" s="40" t="str">
        <f>IFERROR(CHOOSE(INDEX(B_RANK,MATCH(BG423,B_LVL,0)),"Band A","Band B","B+ · Player-Coach","Band C","C+ · Player-Coach","Band D","Band E"),"Band X · Consultant")</f>
        <v>Band B</v>
      </c>
      <c r="BI423" s="40" t="str">
        <f>IF(BG423=AY423,"• Same",IF(INDEX(B_VAL,MATCH(BG423,B_LVL,0))&gt;INDEX(B_VAL,MATCH(AY423,B_LVL,0)),"▲ Up","▼ Down"))</f>
        <v>• Same</v>
      </c>
      <c r="BJ423" s="40" t="str">
        <f>IF(OR($M423="",$M423="—",$M423="Not in this file"),"",IFERROR(INDEX($BG$7:$BG$592,MATCH($M423,$D$7:$D$592,0)),""))</f>
        <v>D2</v>
      </c>
      <c r="BK423" s="40" t="str">
        <f>IFERROR(IF(BJ423="","—",IF(OR(LEFT(BG423,1)="X",LEFT(BJ423,1)="X"),"—",IF(AND(LEFT(BG423,1)="E",LEFT(BJ423,1)="E"),"Exception · Band E",IF(AND(INDEX(B_VAL,MATCH(BJ423,B_LVL,0))&gt;=7,INDEX(B_RANK,MATCH(BG423,B_LVL,0))&gt;=INDEX(B_RANK,MATCH(BJ423,B_LVL,0))),"⚠ Same band as a head manager",IF(INDEX(B_VAL,MATCH(BG423,B_LVL,0))&gt;=INDEX(B_VAL,MATCH(BJ423,B_LVL,0)),"⚠ At or above the manager's level","OK"))))),"—")</f>
        <v>OK</v>
      </c>
      <c r="BL423" s="43" t="n"/>
      <c r="BM423" s="44">
        <f>IFERROR(INDEX(LMH_PTS,MATCH(Y423,LMH_KEY,0)),0)</f>
        <v>9</v>
      </c>
      <c r="BN423" s="38">
        <f>IFERROR(INDEX(LMH_PTS,MATCH(Z423,LMH_KEY,0)),0)</f>
        <v>3</v>
      </c>
      <c r="BO423" s="38">
        <f>IFERROR(INDEX(LMH_PTS,MATCH(AA423,LMH_KEY,0)),0)</f>
        <v>1</v>
      </c>
      <c r="BP423" s="38">
        <f>IFERROR(INDEX(LMH_PTS,MATCH(AB423,LMH_KEY,0)),0)</f>
        <v>3</v>
      </c>
      <c r="BQ423" s="38">
        <f>IFERROR(INDEX(LMH_PTS,MATCH(AC423,LMH_KEY,0)),0)</f>
        <v>3</v>
      </c>
      <c r="BR423" s="38">
        <f>IFERROR(INDEX(LMH_PTS,MATCH(AD423,LMH_KEY,0)),0)</f>
        <v>1</v>
      </c>
      <c r="BS423" s="38">
        <f>IFERROR(INDEX(LMH_PTS,MATCH(AE423,LMH_KEY,0)),0)</f>
        <v>1</v>
      </c>
      <c r="BT423" s="38">
        <f>IFERROR(INDEX(LMH_STEP,MATCH(AF423,LMH_KEY,0)),0)</f>
        <v>0</v>
      </c>
      <c r="BU423" s="38">
        <f>IFERROR(INDEX(LMH_STEP,MATCH(AG423,LMH_KEY,0)),0)</f>
        <v>0</v>
      </c>
      <c r="BV423" s="38">
        <f>IFERROR(INDEX(LMH_STEP,MATCH(AH423,LMH_KEY,0)),0)</f>
        <v>0</v>
      </c>
      <c r="BW423" s="38">
        <f>IFERROR(INDEX(LMH_STEP,MATCH(AI423,LMH_KEY,0)),0)</f>
        <v>0</v>
      </c>
      <c r="BX423" s="38">
        <f>IFERROR(INDEX(LMH_STEP,MATCH(AJ423,LMH_KEY,0)),0)</f>
        <v>0</v>
      </c>
      <c r="BY423" s="38">
        <f>IFERROR(INDEX(LMH_STEP,MATCH(AK423,LMH_KEY,0)),0)</f>
        <v>0</v>
      </c>
      <c r="BZ423" s="38">
        <f>IFERROR(INDEX(LMH_STEP,MATCH(AL423,LMH_KEY,0)),0)</f>
        <v>0</v>
      </c>
      <c r="CA423" s="38" t="inlineStr">
        <is>
          <t>Datatech|Datatech - Outreach|Program Manager – Outreach|B2|B-M</t>
        </is>
      </c>
    </row>
    <row r="424" ht="110" customHeight="1">
      <c r="A424" s="28" t="inlineStr">
        <is>
          <t>Datatech</t>
        </is>
      </c>
      <c r="B424" s="29" t="inlineStr">
        <is>
          <t>Datatech - Outreach</t>
        </is>
      </c>
      <c r="C424" s="29" t="n">
        <v>3</v>
      </c>
      <c r="D424" s="29" t="inlineStr">
        <is>
          <t>IRISDT0012</t>
        </is>
      </c>
      <c r="E424" s="29" t="inlineStr">
        <is>
          <t>Jeevan Khokale</t>
        </is>
      </c>
      <c r="F424" s="29" t="inlineStr">
        <is>
          <t>Program Manager</t>
        </is>
      </c>
      <c r="G424" s="29" t="inlineStr">
        <is>
          <t>Senior Program Specialist – POD Lead</t>
        </is>
      </c>
      <c r="H424" s="29" t="inlineStr">
        <is>
          <t>Sales &amp; Business Development</t>
        </is>
      </c>
      <c r="I424" s="29" t="inlineStr">
        <is>
          <t>Field Outreach &amp; Programme Sales</t>
        </is>
      </c>
      <c r="J424" s="29" t="inlineStr">
        <is>
          <t>POD Lead</t>
        </is>
      </c>
      <c r="K424" s="29" t="inlineStr">
        <is>
          <t>RC-157</t>
        </is>
      </c>
      <c r="L424" s="29" t="inlineStr">
        <is>
          <t>Raghin Nair</t>
        </is>
      </c>
      <c r="M424" s="29" t="inlineStr">
        <is>
          <t>IRISDT0011</t>
        </is>
      </c>
      <c r="N424" s="29" t="n">
        <v>7.9</v>
      </c>
      <c r="O424" s="29" t="n">
        <v>0.7</v>
      </c>
      <c r="P424" s="29" t="inlineStr">
        <is>
          <t>MBA</t>
        </is>
      </c>
      <c r="Q424" s="29" t="inlineStr">
        <is>
          <t>L5 – Manager</t>
        </is>
      </c>
      <c r="R424" s="29" t="inlineStr">
        <is>
          <t>B2</t>
        </is>
      </c>
      <c r="S424" s="30" t="inlineStr">
        <is>
          <t>20 of 20</t>
        </is>
      </c>
      <c r="T424" s="31"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t>
        </is>
      </c>
      <c r="U424" s="31" t="inlineStr">
        <is>
          <t>Received · manager annual, quarterly · 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t>
        </is>
      </c>
      <c r="V424" s="31" t="inlineStr">
        <is>
          <t>Latest rating: 3 · Potential: Medium · 9-box: Core Contributor · Readiness: Develop in role</t>
        </is>
      </c>
      <c r="W424" s="31" t="inlineStr">
        <is>
          <t>C H · Au H · Ac M · L M · BI M · Exp H · 7.9 yrs vs 4–7 yrs · Edu H · MBA</t>
        </is>
      </c>
      <c r="X424" s="33" t="inlineStr">
        <is>
          <t>Open ▸</t>
        </is>
      </c>
      <c r="Y424" s="34" t="str">
        <f>IFERROR(INDEX(DL_C,MATCH($CA424,DL_KEY,0)),"M")</f>
        <v>H</v>
      </c>
      <c r="Z424" s="35" t="str">
        <f>IFERROR(INDEX(DL_Au,MATCH($CA424,DL_KEY,0)),"M")</f>
        <v>M</v>
      </c>
      <c r="AA424" s="35" t="str">
        <f>IFERROR(INDEX(DL_Ac,MATCH($CA424,DL_KEY,0)),"M")</f>
        <v>L</v>
      </c>
      <c r="AB424" s="35" t="str">
        <f>IFERROR(INDEX(DL_L,MATCH($CA424,DL_KEY,0)),"M")</f>
        <v>L</v>
      </c>
      <c r="AC424" s="35" t="str">
        <f>IFERROR(INDEX(DL_BI,MATCH($CA424,DL_KEY,0)),"M")</f>
        <v>M</v>
      </c>
      <c r="AD424" s="35" t="str">
        <f>IFERROR(INDEX(DL_Exp,MATCH($CA424,DL_KEY,0)),"M")</f>
        <v>L</v>
      </c>
      <c r="AE424" s="35" t="str">
        <f>IFERROR(INDEX(DL_Edu,MATCH($CA424,DL_KEY,0)),"M")</f>
        <v>L</v>
      </c>
      <c r="AF424" s="34" t="inlineStr">
        <is>
          <t>M</t>
        </is>
      </c>
      <c r="AG424" s="35" t="inlineStr">
        <is>
          <t>M</t>
        </is>
      </c>
      <c r="AH424" s="35" t="inlineStr">
        <is>
          <t>M</t>
        </is>
      </c>
      <c r="AI424" s="35" t="inlineStr">
        <is>
          <t>M</t>
        </is>
      </c>
      <c r="AJ424" s="35" t="inlineStr">
        <is>
          <t>M</t>
        </is>
      </c>
      <c r="AK424" s="35" t="inlineStr">
        <is>
          <t>M</t>
        </is>
      </c>
      <c r="AL424" s="35" t="inlineStr">
        <is>
          <t>M</t>
        </is>
      </c>
      <c r="AM424" s="36" t="n">
        <v>0.513</v>
      </c>
      <c r="AN424" s="37" t="n">
        <v>0.173</v>
      </c>
      <c r="AO424" s="37" t="n">
        <v>0.09699999999999999</v>
      </c>
      <c r="AP424" s="37" t="n">
        <v>0.05</v>
      </c>
      <c r="AQ424" s="37" t="n">
        <v>0.07000000000000001</v>
      </c>
      <c r="AR424" s="37" t="n">
        <v>0.06</v>
      </c>
      <c r="AS424" s="37" t="n">
        <v>0.04</v>
      </c>
      <c r="AT424" s="38" t="inlineStr">
        <is>
          <t>4–8</t>
        </is>
      </c>
      <c r="AU424" s="38" t="inlineStr">
        <is>
          <t>Graduate + relevant qualification or certification preferred</t>
        </is>
      </c>
      <c r="AV424" s="38" t="inlineStr">
        <is>
          <t>IC: none · Team Lead: 3–5</t>
        </is>
      </c>
      <c r="AW424" s="38" t="inlineStr">
        <is>
          <t>P3 / M2 · SFIA 4 Enable</t>
        </is>
      </c>
      <c r="AX4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4" s="39" t="inlineStr">
        <is>
          <t>B1</t>
        </is>
      </c>
      <c r="AZ424" s="40" t="inlineStr">
        <is>
          <t>Band B · Specialist / Manager · Team Lead / Asst Manager</t>
        </is>
      </c>
      <c r="BA424" s="40" t="inlineStr">
        <is>
          <t>Model B2 from the six ratings, the market-derived weights and rules R1–R13 · then Level rule: manager B2; a reportee sits at least one level below · B2 → B1 · move down · pay and title protected for one cycle</t>
        </is>
      </c>
      <c r="BB424" s="41" t="inlineStr">
        <is>
          <t>B2</t>
        </is>
      </c>
      <c r="BC424" s="40" t="inlineStr">
        <is>
          <t>The six ratings on the market-average weights of Band B · Specialist / POD Lead score 4.83 → B2 · Hay, Mercer IPE and public plans · experience 7.9 yrs vs the B2 market range 6–10</t>
        </is>
      </c>
      <c r="BD424" s="42">
        <f>IF(SUM(BM424,BN424,BO424,BP424,BQ424,BR424,BS424)=0,0,(BM424*BT424+BN424*BU424+BO424*BV424+BP424*BW424+BQ424*BX424+BR424*BY424+BS424*BZ424)/SUM(BM424,BN424,BO424,BP424,BQ424,BR424,BS424))</f>
        <v>0</v>
      </c>
      <c r="BE424" s="41" t="str">
        <f>IF(LEFT(AY424,1)="X",AY424,IF(OR(AY424="B+",AY424="C+"),INDEX(LAD_PC,MAX(1,MIN(14,MATCH(AY424,LAD_PC,0)+IF(BD424&gt;=0.5,1,IF(BD424&lt;=-0.5,-1,0))))),INDEX(LAD_STD,MAX(1,MIN(12,MATCH(AY424,LAD_STD,0)+IF(BD424&gt;=0.5,1,IF(BD424&lt;=-0.5,-1,0)))))))</f>
        <v>B1</v>
      </c>
      <c r="BF424" s="43" t="n"/>
      <c r="BG424" s="41" t="str">
        <f>IF(BF424&lt;&gt;"",BF424,BE424)</f>
        <v>B1</v>
      </c>
      <c r="BH424" s="40" t="str">
        <f>IFERROR(CHOOSE(INDEX(B_RANK,MATCH(BG424,B_LVL,0)),"Band A","Band B","B+ · Player-Coach","Band C","C+ · Player-Coach","Band D","Band E"),"Band X · Consultant")</f>
        <v>Band B</v>
      </c>
      <c r="BI424" s="40" t="str">
        <f>IF(BG424=AY424,"• Same",IF(INDEX(B_VAL,MATCH(BG424,B_LVL,0))&gt;INDEX(B_VAL,MATCH(AY424,B_LVL,0)),"▲ Up","▼ Down"))</f>
        <v>• Same</v>
      </c>
      <c r="BJ424" s="40" t="str">
        <f>IF(OR($M424="",$M424="—",$M424="Not in this file"),"",IFERROR(INDEX($BG$7:$BG$592,MATCH($M424,$D$7:$D$592,0)),""))</f>
        <v>B2</v>
      </c>
      <c r="BK424" s="40" t="str">
        <f>IFERROR(IF(BJ424="","—",IF(OR(LEFT(BG424,1)="X",LEFT(BJ424,1)="X"),"—",IF(AND(LEFT(BG424,1)="E",LEFT(BJ424,1)="E"),"Exception · Band E",IF(AND(INDEX(B_VAL,MATCH(BJ424,B_LVL,0))&gt;=7,INDEX(B_RANK,MATCH(BG424,B_LVL,0))&gt;=INDEX(B_RANK,MATCH(BJ424,B_LVL,0))),"⚠ Same band as a head manager",IF(INDEX(B_VAL,MATCH(BG424,B_LVL,0))&gt;=INDEX(B_VAL,MATCH(BJ424,B_LVL,0)),"⚠ At or above the manager's level","OK"))))),"—")</f>
        <v>OK</v>
      </c>
      <c r="BL424" s="43" t="n"/>
      <c r="BM424" s="44">
        <f>IFERROR(INDEX(LMH_PTS,MATCH(Y424,LMH_KEY,0)),0)</f>
        <v>9</v>
      </c>
      <c r="BN424" s="38">
        <f>IFERROR(INDEX(LMH_PTS,MATCH(Z424,LMH_KEY,0)),0)</f>
        <v>3</v>
      </c>
      <c r="BO424" s="38">
        <f>IFERROR(INDEX(LMH_PTS,MATCH(AA424,LMH_KEY,0)),0)</f>
        <v>1</v>
      </c>
      <c r="BP424" s="38">
        <f>IFERROR(INDEX(LMH_PTS,MATCH(AB424,LMH_KEY,0)),0)</f>
        <v>1</v>
      </c>
      <c r="BQ424" s="38">
        <f>IFERROR(INDEX(LMH_PTS,MATCH(AC424,LMH_KEY,0)),0)</f>
        <v>3</v>
      </c>
      <c r="BR424" s="38">
        <f>IFERROR(INDEX(LMH_PTS,MATCH(AD424,LMH_KEY,0)),0)</f>
        <v>1</v>
      </c>
      <c r="BS424" s="38">
        <f>IFERROR(INDEX(LMH_PTS,MATCH(AE424,LMH_KEY,0)),0)</f>
        <v>1</v>
      </c>
      <c r="BT424" s="38">
        <f>IFERROR(INDEX(LMH_STEP,MATCH(AF424,LMH_KEY,0)),0)</f>
        <v>0</v>
      </c>
      <c r="BU424" s="38">
        <f>IFERROR(INDEX(LMH_STEP,MATCH(AG424,LMH_KEY,0)),0)</f>
        <v>0</v>
      </c>
      <c r="BV424" s="38">
        <f>IFERROR(INDEX(LMH_STEP,MATCH(AH424,LMH_KEY,0)),0)</f>
        <v>0</v>
      </c>
      <c r="BW424" s="38">
        <f>IFERROR(INDEX(LMH_STEP,MATCH(AI424,LMH_KEY,0)),0)</f>
        <v>0</v>
      </c>
      <c r="BX424" s="38">
        <f>IFERROR(INDEX(LMH_STEP,MATCH(AJ424,LMH_KEY,0)),0)</f>
        <v>0</v>
      </c>
      <c r="BY424" s="38">
        <f>IFERROR(INDEX(LMH_STEP,MATCH(AK424,LMH_KEY,0)),0)</f>
        <v>0</v>
      </c>
      <c r="BZ424" s="38">
        <f>IFERROR(INDEX(LMH_STEP,MATCH(AL424,LMH_KEY,0)),0)</f>
        <v>0</v>
      </c>
      <c r="CA424" s="38" t="inlineStr">
        <is>
          <t>Datatech|Datatech - Outreach|Senior Program Specialist – POD Lead|B1|B-IC</t>
        </is>
      </c>
    </row>
    <row r="425" ht="110" customHeight="1">
      <c r="A425" s="28" t="inlineStr">
        <is>
          <t>Datatech</t>
        </is>
      </c>
      <c r="B425" s="29" t="inlineStr">
        <is>
          <t>Datatech - Outreach</t>
        </is>
      </c>
      <c r="C425" s="29" t="n">
        <v>4</v>
      </c>
      <c r="D425" s="29" t="inlineStr">
        <is>
          <t>IRISDT0017</t>
        </is>
      </c>
      <c r="E425" s="29" t="inlineStr">
        <is>
          <t>Lakshmikantha RN</t>
        </is>
      </c>
      <c r="F425" s="29" t="inlineStr">
        <is>
          <t>Program Executive - MSME</t>
        </is>
      </c>
      <c r="G425" s="29" t="inlineStr">
        <is>
          <t>Senior Program Executive</t>
        </is>
      </c>
      <c r="H425" s="29" t="inlineStr">
        <is>
          <t>Sales &amp; Business Development</t>
        </is>
      </c>
      <c r="I425" s="29" t="inlineStr">
        <is>
          <t>Field Outreach &amp; Programme Sales</t>
        </is>
      </c>
      <c r="J425" s="29" t="inlineStr">
        <is>
          <t>IC</t>
        </is>
      </c>
      <c r="K425" s="29" t="inlineStr">
        <is>
          <t>RC-156</t>
        </is>
      </c>
      <c r="L425" s="29" t="inlineStr">
        <is>
          <t>Jeevan Khokale</t>
        </is>
      </c>
      <c r="M425" s="29" t="inlineStr">
        <is>
          <t>IRISDT0012</t>
        </is>
      </c>
      <c r="N425" s="29" t="n">
        <v>2.9</v>
      </c>
      <c r="O425" s="29" t="n">
        <v>0.6</v>
      </c>
      <c r="P425" s="29" t="inlineStr">
        <is>
          <t>MBA</t>
        </is>
      </c>
      <c r="Q425" s="29" t="inlineStr">
        <is>
          <t>L3 – Professional / Associate</t>
        </is>
      </c>
      <c r="R425" s="29" t="inlineStr">
        <is>
          <t>A3</t>
        </is>
      </c>
      <c r="S425" s="30" t="inlineStr">
        <is>
          <t>20 of 20</t>
        </is>
      </c>
      <c r="T425" s="31"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t>
        </is>
      </c>
      <c r="U425" s="31" t="inlineStr">
        <is>
          <t>Received · manager annual, quarterly · 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V425" s="31" t="inlineStr">
        <is>
          <t>Latest rating: 3 · Potential: Medium · 9-box: Core Contributor · Readiness: Develop in role</t>
        </is>
      </c>
      <c r="W425" s="31" t="inlineStr">
        <is>
          <t>C L · Au L · Ac L · L L · BI L · Exp M · 2.9 yrs vs 2–4 yrs · Edu H · MBA</t>
        </is>
      </c>
      <c r="X425" s="33" t="inlineStr">
        <is>
          <t>Open ▸</t>
        </is>
      </c>
      <c r="Y425" s="34" t="str">
        <f>IFERROR(INDEX(DL_C,MATCH($CA425,DL_KEY,0)),"M")</f>
        <v>H</v>
      </c>
      <c r="Z425" s="35" t="str">
        <f>IFERROR(INDEX(DL_Au,MATCH($CA425,DL_KEY,0)),"M")</f>
        <v>M</v>
      </c>
      <c r="AA425" s="35" t="str">
        <f>IFERROR(INDEX(DL_Ac,MATCH($CA425,DL_KEY,0)),"M")</f>
        <v>L</v>
      </c>
      <c r="AB425" s="35" t="str">
        <f>IFERROR(INDEX(DL_L,MATCH($CA425,DL_KEY,0)),"M")</f>
        <v>L</v>
      </c>
      <c r="AC425" s="35" t="str">
        <f>IFERROR(INDEX(DL_BI,MATCH($CA425,DL_KEY,0)),"M")</f>
        <v>M</v>
      </c>
      <c r="AD425" s="35" t="str">
        <f>IFERROR(INDEX(DL_Exp,MATCH($CA425,DL_KEY,0)),"M")</f>
        <v>L</v>
      </c>
      <c r="AE425" s="35" t="str">
        <f>IFERROR(INDEX(DL_Edu,MATCH($CA425,DL_KEY,0)),"M")</f>
        <v>L</v>
      </c>
      <c r="AF425" s="34" t="inlineStr">
        <is>
          <t>M</t>
        </is>
      </c>
      <c r="AG425" s="35" t="inlineStr">
        <is>
          <t>M</t>
        </is>
      </c>
      <c r="AH425" s="35" t="inlineStr">
        <is>
          <t>M</t>
        </is>
      </c>
      <c r="AI425" s="35" t="inlineStr">
        <is>
          <t>M</t>
        </is>
      </c>
      <c r="AJ425" s="35" t="inlineStr">
        <is>
          <t>M</t>
        </is>
      </c>
      <c r="AK425" s="35" t="inlineStr">
        <is>
          <t>M</t>
        </is>
      </c>
      <c r="AL425" s="35" t="inlineStr">
        <is>
          <t>M</t>
        </is>
      </c>
      <c r="AM425" s="36" t="n">
        <v>0.583</v>
      </c>
      <c r="AN425" s="37" t="n">
        <v>0.16</v>
      </c>
      <c r="AO425" s="37" t="n">
        <v>0.09</v>
      </c>
      <c r="AP425" s="37" t="n">
        <v>0</v>
      </c>
      <c r="AQ425" s="37" t="n">
        <v>0.063</v>
      </c>
      <c r="AR425" s="37" t="n">
        <v>0.06</v>
      </c>
      <c r="AS425" s="37" t="n">
        <v>0.04</v>
      </c>
      <c r="AT425" s="38" t="inlineStr">
        <is>
          <t>2–5</t>
        </is>
      </c>
      <c r="AU425" s="38" t="inlineStr">
        <is>
          <t>Graduate; relevant certification preferred</t>
        </is>
      </c>
      <c r="AV425" s="38" t="inlineStr">
        <is>
          <t>None · guides 1–3 juniors informally</t>
        </is>
      </c>
      <c r="AW425" s="38" t="inlineStr">
        <is>
          <t>P2 · SFIA 3 Apply</t>
        </is>
      </c>
      <c r="AX4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5" s="39" t="inlineStr">
        <is>
          <t>A3</t>
        </is>
      </c>
      <c r="AZ425" s="40" t="inlineStr">
        <is>
          <t>Band A · Practitioner · Senior Associate</t>
        </is>
      </c>
      <c r="BA425" s="40" t="inlineStr">
        <is>
          <t>Model A3 from the six ratings, the market-derived weights and rules R1–R13 · then No change · already below the manager</t>
        </is>
      </c>
      <c r="BB425" s="41" t="inlineStr">
        <is>
          <t>A2</t>
        </is>
      </c>
      <c r="BC425" s="40" t="inlineStr">
        <is>
          <t>The six ratings on the market-average weights of Band A · all tracks score 2.15 → A2 · Hay, Mercer IPE and public plans · experience 2.9 yrs vs the A2 market range 0–3</t>
        </is>
      </c>
      <c r="BD425" s="42">
        <f>IF(SUM(BM425,BN425,BO425,BP425,BQ425,BR425,BS425)=0,0,(BM425*BT425+BN425*BU425+BO425*BV425+BP425*BW425+BQ425*BX425+BR425*BY425+BS425*BZ425)/SUM(BM425,BN425,BO425,BP425,BQ425,BR425,BS425))</f>
        <v>0</v>
      </c>
      <c r="BE425" s="41" t="str">
        <f>IF(LEFT(AY425,1)="X",AY425,IF(OR(AY425="B+",AY425="C+"),INDEX(LAD_PC,MAX(1,MIN(14,MATCH(AY425,LAD_PC,0)+IF(BD425&gt;=0.5,1,IF(BD425&lt;=-0.5,-1,0))))),INDEX(LAD_STD,MAX(1,MIN(12,MATCH(AY425,LAD_STD,0)+IF(BD425&gt;=0.5,1,IF(BD425&lt;=-0.5,-1,0)))))))</f>
        <v>A3</v>
      </c>
      <c r="BF425" s="43" t="n"/>
      <c r="BG425" s="41" t="str">
        <f>IF(BF425&lt;&gt;"",BF425,BE425)</f>
        <v>A3</v>
      </c>
      <c r="BH425" s="40" t="str">
        <f>IFERROR(CHOOSE(INDEX(B_RANK,MATCH(BG425,B_LVL,0)),"Band A","Band B","B+ · Player-Coach","Band C","C+ · Player-Coach","Band D","Band E"),"Band X · Consultant")</f>
        <v>Band A</v>
      </c>
      <c r="BI425" s="40" t="str">
        <f>IF(BG425=AY425,"• Same",IF(INDEX(B_VAL,MATCH(BG425,B_LVL,0))&gt;INDEX(B_VAL,MATCH(AY425,B_LVL,0)),"▲ Up","▼ Down"))</f>
        <v>• Same</v>
      </c>
      <c r="BJ425" s="40" t="str">
        <f>IF(OR($M425="",$M425="—",$M425="Not in this file"),"",IFERROR(INDEX($BG$7:$BG$592,MATCH($M425,$D$7:$D$592,0)),""))</f>
        <v>B1</v>
      </c>
      <c r="BK425" s="40" t="str">
        <f>IFERROR(IF(BJ425="","—",IF(OR(LEFT(BG425,1)="X",LEFT(BJ425,1)="X"),"—",IF(AND(LEFT(BG425,1)="E",LEFT(BJ425,1)="E"),"Exception · Band E",IF(AND(INDEX(B_VAL,MATCH(BJ425,B_LVL,0))&gt;=7,INDEX(B_RANK,MATCH(BG425,B_LVL,0))&gt;=INDEX(B_RANK,MATCH(BJ425,B_LVL,0))),"⚠ Same band as a head manager",IF(INDEX(B_VAL,MATCH(BG425,B_LVL,0))&gt;=INDEX(B_VAL,MATCH(BJ425,B_LVL,0)),"⚠ At or above the manager's level","OK"))))),"—")</f>
        <v>OK</v>
      </c>
      <c r="BL425" s="43" t="n"/>
      <c r="BM425" s="44">
        <f>IFERROR(INDEX(LMH_PTS,MATCH(Y425,LMH_KEY,0)),0)</f>
        <v>9</v>
      </c>
      <c r="BN425" s="38">
        <f>IFERROR(INDEX(LMH_PTS,MATCH(Z425,LMH_KEY,0)),0)</f>
        <v>3</v>
      </c>
      <c r="BO425" s="38">
        <f>IFERROR(INDEX(LMH_PTS,MATCH(AA425,LMH_KEY,0)),0)</f>
        <v>1</v>
      </c>
      <c r="BP425" s="38">
        <f>IFERROR(INDEX(LMH_PTS,MATCH(AB425,LMH_KEY,0)),0)</f>
        <v>1</v>
      </c>
      <c r="BQ425" s="38">
        <f>IFERROR(INDEX(LMH_PTS,MATCH(AC425,LMH_KEY,0)),0)</f>
        <v>3</v>
      </c>
      <c r="BR425" s="38">
        <f>IFERROR(INDEX(LMH_PTS,MATCH(AD425,LMH_KEY,0)),0)</f>
        <v>1</v>
      </c>
      <c r="BS425" s="38">
        <f>IFERROR(INDEX(LMH_PTS,MATCH(AE425,LMH_KEY,0)),0)</f>
        <v>1</v>
      </c>
      <c r="BT425" s="38">
        <f>IFERROR(INDEX(LMH_STEP,MATCH(AF425,LMH_KEY,0)),0)</f>
        <v>0</v>
      </c>
      <c r="BU425" s="38">
        <f>IFERROR(INDEX(LMH_STEP,MATCH(AG425,LMH_KEY,0)),0)</f>
        <v>0</v>
      </c>
      <c r="BV425" s="38">
        <f>IFERROR(INDEX(LMH_STEP,MATCH(AH425,LMH_KEY,0)),0)</f>
        <v>0</v>
      </c>
      <c r="BW425" s="38">
        <f>IFERROR(INDEX(LMH_STEP,MATCH(AI425,LMH_KEY,0)),0)</f>
        <v>0</v>
      </c>
      <c r="BX425" s="38">
        <f>IFERROR(INDEX(LMH_STEP,MATCH(AJ425,LMH_KEY,0)),0)</f>
        <v>0</v>
      </c>
      <c r="BY425" s="38">
        <f>IFERROR(INDEX(LMH_STEP,MATCH(AK425,LMH_KEY,0)),0)</f>
        <v>0</v>
      </c>
      <c r="BZ425" s="38">
        <f>IFERROR(INDEX(LMH_STEP,MATCH(AL425,LMH_KEY,0)),0)</f>
        <v>0</v>
      </c>
      <c r="CA425" s="38" t="inlineStr">
        <is>
          <t>Datatech|Datatech - Outreach|Senior Program Executive|A3|A</t>
        </is>
      </c>
    </row>
    <row r="426" ht="110" customHeight="1">
      <c r="A426" s="28" t="inlineStr">
        <is>
          <t>Datatech</t>
        </is>
      </c>
      <c r="B426" s="29" t="inlineStr">
        <is>
          <t>Datatech - Outreach</t>
        </is>
      </c>
      <c r="C426" s="29" t="n">
        <v>3</v>
      </c>
      <c r="D426" s="29" t="inlineStr">
        <is>
          <t>IRISDT0013</t>
        </is>
      </c>
      <c r="E426" s="29" t="inlineStr">
        <is>
          <t>Bharati Durgaprasad Paranjape</t>
        </is>
      </c>
      <c r="F426" s="29" t="inlineStr">
        <is>
          <t>Program Executive - MSME</t>
        </is>
      </c>
      <c r="G426" s="29" t="inlineStr">
        <is>
          <t>Senior Program Executive</t>
        </is>
      </c>
      <c r="H426" s="29" t="inlineStr">
        <is>
          <t>Sales &amp; Business Development</t>
        </is>
      </c>
      <c r="I426" s="29" t="inlineStr">
        <is>
          <t>Field Outreach &amp; Programme Sales</t>
        </is>
      </c>
      <c r="J426" s="29" t="inlineStr">
        <is>
          <t>IC</t>
        </is>
      </c>
      <c r="K426" s="29" t="inlineStr">
        <is>
          <t>RC-156</t>
        </is>
      </c>
      <c r="L426" s="29" t="inlineStr">
        <is>
          <t>Raghin Nair</t>
        </is>
      </c>
      <c r="M426" s="29" t="inlineStr">
        <is>
          <t>IRISDT0011</t>
        </is>
      </c>
      <c r="N426" s="29" t="n">
        <v>4.4</v>
      </c>
      <c r="O426" s="29" t="n">
        <v>0.7</v>
      </c>
      <c r="P426" s="29" t="inlineStr">
        <is>
          <t>MA</t>
        </is>
      </c>
      <c r="Q426" s="29" t="inlineStr">
        <is>
          <t>L3 – Professional / Associate</t>
        </is>
      </c>
      <c r="R426" s="29" t="inlineStr">
        <is>
          <t>A3</t>
        </is>
      </c>
      <c r="S426" s="30" t="inlineStr">
        <is>
          <t>19 of 20</t>
        </is>
      </c>
      <c r="T426" s="31"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
        </is>
      </c>
      <c r="U426" s="31" t="inlineStr">
        <is>
          <t>Received · manager annual, quarterly · 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t>
        </is>
      </c>
      <c r="V426" s="31" t="inlineStr">
        <is>
          <t>Latest rating: 3 · Potential: Medium · 9-box: Emerging Talent · Readiness: Develop in role</t>
        </is>
      </c>
      <c r="W426" s="31" t="inlineStr">
        <is>
          <t>C L · Au L · Ac L · L L · BI L · Exp H · 4.4 yrs vs 2–4 yrs · Edu H · MA</t>
        </is>
      </c>
      <c r="X426" s="33" t="inlineStr">
        <is>
          <t>Open ▸</t>
        </is>
      </c>
      <c r="Y426" s="34" t="str">
        <f>IFERROR(INDEX(DL_C,MATCH($CA426,DL_KEY,0)),"M")</f>
        <v>H</v>
      </c>
      <c r="Z426" s="35" t="str">
        <f>IFERROR(INDEX(DL_Au,MATCH($CA426,DL_KEY,0)),"M")</f>
        <v>M</v>
      </c>
      <c r="AA426" s="35" t="str">
        <f>IFERROR(INDEX(DL_Ac,MATCH($CA426,DL_KEY,0)),"M")</f>
        <v>L</v>
      </c>
      <c r="AB426" s="35" t="str">
        <f>IFERROR(INDEX(DL_L,MATCH($CA426,DL_KEY,0)),"M")</f>
        <v>L</v>
      </c>
      <c r="AC426" s="35" t="str">
        <f>IFERROR(INDEX(DL_BI,MATCH($CA426,DL_KEY,0)),"M")</f>
        <v>M</v>
      </c>
      <c r="AD426" s="35" t="str">
        <f>IFERROR(INDEX(DL_Exp,MATCH($CA426,DL_KEY,0)),"M")</f>
        <v>L</v>
      </c>
      <c r="AE426" s="35" t="str">
        <f>IFERROR(INDEX(DL_Edu,MATCH($CA426,DL_KEY,0)),"M")</f>
        <v>L</v>
      </c>
      <c r="AF426" s="34" t="inlineStr">
        <is>
          <t>M</t>
        </is>
      </c>
      <c r="AG426" s="35" t="inlineStr">
        <is>
          <t>M</t>
        </is>
      </c>
      <c r="AH426" s="35" t="inlineStr">
        <is>
          <t>M</t>
        </is>
      </c>
      <c r="AI426" s="35" t="inlineStr">
        <is>
          <t>M</t>
        </is>
      </c>
      <c r="AJ426" s="35" t="inlineStr">
        <is>
          <t>M</t>
        </is>
      </c>
      <c r="AK426" s="35" t="inlineStr">
        <is>
          <t>M</t>
        </is>
      </c>
      <c r="AL426" s="35" t="inlineStr">
        <is>
          <t>M</t>
        </is>
      </c>
      <c r="AM426" s="36" t="n">
        <v>0.583</v>
      </c>
      <c r="AN426" s="37" t="n">
        <v>0.16</v>
      </c>
      <c r="AO426" s="37" t="n">
        <v>0.09</v>
      </c>
      <c r="AP426" s="37" t="n">
        <v>0</v>
      </c>
      <c r="AQ426" s="37" t="n">
        <v>0.063</v>
      </c>
      <c r="AR426" s="37" t="n">
        <v>0.06</v>
      </c>
      <c r="AS426" s="37" t="n">
        <v>0.04</v>
      </c>
      <c r="AT426" s="38" t="inlineStr">
        <is>
          <t>2–5</t>
        </is>
      </c>
      <c r="AU426" s="38" t="inlineStr">
        <is>
          <t>Graduate; relevant certification preferred</t>
        </is>
      </c>
      <c r="AV426" s="38" t="inlineStr">
        <is>
          <t>None · guides 1–3 juniors informally</t>
        </is>
      </c>
      <c r="AW426" s="38" t="inlineStr">
        <is>
          <t>P2 · SFIA 3 Apply</t>
        </is>
      </c>
      <c r="AX4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6" s="39" t="inlineStr">
        <is>
          <t>A3</t>
        </is>
      </c>
      <c r="AZ426" s="40" t="inlineStr">
        <is>
          <t>Band A · Practitioner · Senior Associate</t>
        </is>
      </c>
      <c r="BA426" s="40" t="inlineStr">
        <is>
          <t>Model A3 from the six ratings, the market-derived weights and rules R1–R13 · then No change · already below the manager</t>
        </is>
      </c>
      <c r="BB426" s="41" t="inlineStr">
        <is>
          <t>A2</t>
        </is>
      </c>
      <c r="BC426" s="40" t="inlineStr">
        <is>
          <t>The six ratings on the market-average weights of Band A · all tracks score 2.20 → A2 · Hay, Mercer IPE and public plans · experience 4.4 yrs vs the A2 market range 0–3</t>
        </is>
      </c>
      <c r="BD426" s="42">
        <f>IF(SUM(BM426,BN426,BO426,BP426,BQ426,BR426,BS426)=0,0,(BM426*BT426+BN426*BU426+BO426*BV426+BP426*BW426+BQ426*BX426+BR426*BY426+BS426*BZ426)/SUM(BM426,BN426,BO426,BP426,BQ426,BR426,BS426))</f>
        <v>0</v>
      </c>
      <c r="BE426" s="41" t="str">
        <f>IF(LEFT(AY426,1)="X",AY426,IF(OR(AY426="B+",AY426="C+"),INDEX(LAD_PC,MAX(1,MIN(14,MATCH(AY426,LAD_PC,0)+IF(BD426&gt;=0.5,1,IF(BD426&lt;=-0.5,-1,0))))),INDEX(LAD_STD,MAX(1,MIN(12,MATCH(AY426,LAD_STD,0)+IF(BD426&gt;=0.5,1,IF(BD426&lt;=-0.5,-1,0)))))))</f>
        <v>A3</v>
      </c>
      <c r="BF426" s="43" t="n"/>
      <c r="BG426" s="41" t="str">
        <f>IF(BF426&lt;&gt;"",BF426,BE426)</f>
        <v>A3</v>
      </c>
      <c r="BH426" s="40" t="str">
        <f>IFERROR(CHOOSE(INDEX(B_RANK,MATCH(BG426,B_LVL,0)),"Band A","Band B","B+ · Player-Coach","Band C","C+ · Player-Coach","Band D","Band E"),"Band X · Consultant")</f>
        <v>Band A</v>
      </c>
      <c r="BI426" s="40" t="str">
        <f>IF(BG426=AY426,"• Same",IF(INDEX(B_VAL,MATCH(BG426,B_LVL,0))&gt;INDEX(B_VAL,MATCH(AY426,B_LVL,0)),"▲ Up","▼ Down"))</f>
        <v>• Same</v>
      </c>
      <c r="BJ426" s="40" t="str">
        <f>IF(OR($M426="",$M426="—",$M426="Not in this file"),"",IFERROR(INDEX($BG$7:$BG$592,MATCH($M426,$D$7:$D$592,0)),""))</f>
        <v>B2</v>
      </c>
      <c r="BK426" s="40" t="str">
        <f>IFERROR(IF(BJ426="","—",IF(OR(LEFT(BG426,1)="X",LEFT(BJ426,1)="X"),"—",IF(AND(LEFT(BG426,1)="E",LEFT(BJ426,1)="E"),"Exception · Band E",IF(AND(INDEX(B_VAL,MATCH(BJ426,B_LVL,0))&gt;=7,INDEX(B_RANK,MATCH(BG426,B_LVL,0))&gt;=INDEX(B_RANK,MATCH(BJ426,B_LVL,0))),"⚠ Same band as a head manager",IF(INDEX(B_VAL,MATCH(BG426,B_LVL,0))&gt;=INDEX(B_VAL,MATCH(BJ426,B_LVL,0)),"⚠ At or above the manager's level","OK"))))),"—")</f>
        <v>OK</v>
      </c>
      <c r="BL426" s="43" t="n"/>
      <c r="BM426" s="44">
        <f>IFERROR(INDEX(LMH_PTS,MATCH(Y426,LMH_KEY,0)),0)</f>
        <v>9</v>
      </c>
      <c r="BN426" s="38">
        <f>IFERROR(INDEX(LMH_PTS,MATCH(Z426,LMH_KEY,0)),0)</f>
        <v>3</v>
      </c>
      <c r="BO426" s="38">
        <f>IFERROR(INDEX(LMH_PTS,MATCH(AA426,LMH_KEY,0)),0)</f>
        <v>1</v>
      </c>
      <c r="BP426" s="38">
        <f>IFERROR(INDEX(LMH_PTS,MATCH(AB426,LMH_KEY,0)),0)</f>
        <v>1</v>
      </c>
      <c r="BQ426" s="38">
        <f>IFERROR(INDEX(LMH_PTS,MATCH(AC426,LMH_KEY,0)),0)</f>
        <v>3</v>
      </c>
      <c r="BR426" s="38">
        <f>IFERROR(INDEX(LMH_PTS,MATCH(AD426,LMH_KEY,0)),0)</f>
        <v>1</v>
      </c>
      <c r="BS426" s="38">
        <f>IFERROR(INDEX(LMH_PTS,MATCH(AE426,LMH_KEY,0)),0)</f>
        <v>1</v>
      </c>
      <c r="BT426" s="38">
        <f>IFERROR(INDEX(LMH_STEP,MATCH(AF426,LMH_KEY,0)),0)</f>
        <v>0</v>
      </c>
      <c r="BU426" s="38">
        <f>IFERROR(INDEX(LMH_STEP,MATCH(AG426,LMH_KEY,0)),0)</f>
        <v>0</v>
      </c>
      <c r="BV426" s="38">
        <f>IFERROR(INDEX(LMH_STEP,MATCH(AH426,LMH_KEY,0)),0)</f>
        <v>0</v>
      </c>
      <c r="BW426" s="38">
        <f>IFERROR(INDEX(LMH_STEP,MATCH(AI426,LMH_KEY,0)),0)</f>
        <v>0</v>
      </c>
      <c r="BX426" s="38">
        <f>IFERROR(INDEX(LMH_STEP,MATCH(AJ426,LMH_KEY,0)),0)</f>
        <v>0</v>
      </c>
      <c r="BY426" s="38">
        <f>IFERROR(INDEX(LMH_STEP,MATCH(AK426,LMH_KEY,0)),0)</f>
        <v>0</v>
      </c>
      <c r="BZ426" s="38">
        <f>IFERROR(INDEX(LMH_STEP,MATCH(AL426,LMH_KEY,0)),0)</f>
        <v>0</v>
      </c>
      <c r="CA426" s="38" t="inlineStr">
        <is>
          <t>Datatech|Datatech - Outreach|Senior Program Executive|A3|A</t>
        </is>
      </c>
    </row>
    <row r="427" ht="110" customHeight="1">
      <c r="A427" s="28" t="inlineStr">
        <is>
          <t>Datatech</t>
        </is>
      </c>
      <c r="B427" s="29" t="inlineStr">
        <is>
          <t>Datatech - Outreach</t>
        </is>
      </c>
      <c r="C427" s="29" t="n">
        <v>3</v>
      </c>
      <c r="D427" s="29" t="inlineStr">
        <is>
          <t>IRISDT0003</t>
        </is>
      </c>
      <c r="E427" s="29" t="inlineStr">
        <is>
          <t>Nalini Niranjan Damisetti</t>
        </is>
      </c>
      <c r="F427" s="29" t="inlineStr">
        <is>
          <t>Program Coordinator</t>
        </is>
      </c>
      <c r="G427" s="29" t="inlineStr">
        <is>
          <t>Senior Program Executive</t>
        </is>
      </c>
      <c r="H427" s="29" t="inlineStr">
        <is>
          <t>Sales &amp; Business Development</t>
        </is>
      </c>
      <c r="I427" s="29" t="inlineStr">
        <is>
          <t>Field Outreach &amp; Programme Sales</t>
        </is>
      </c>
      <c r="J427" s="29" t="inlineStr">
        <is>
          <t>IC</t>
        </is>
      </c>
      <c r="K427" s="29" t="inlineStr">
        <is>
          <t>RC-156</t>
        </is>
      </c>
      <c r="L427" s="29" t="inlineStr">
        <is>
          <t>Raghin Nair</t>
        </is>
      </c>
      <c r="M427" s="29" t="inlineStr">
        <is>
          <t>IRISDT0011</t>
        </is>
      </c>
      <c r="N427" s="29" t="n">
        <v>7.3</v>
      </c>
      <c r="O427" s="29" t="n">
        <v>1.8</v>
      </c>
      <c r="P427" s="29" t="inlineStr">
        <is>
          <t>PGDM</t>
        </is>
      </c>
      <c r="Q427" s="29" t="inlineStr">
        <is>
          <t>L3 – Professional / Associate</t>
        </is>
      </c>
      <c r="R427" s="29" t="inlineStr">
        <is>
          <t>A3</t>
        </is>
      </c>
      <c r="S427" s="30" t="inlineStr">
        <is>
          <t>20 of 20</t>
        </is>
      </c>
      <c r="T427" s="31"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t>
        </is>
      </c>
      <c r="U427" s="31" t="inlineStr">
        <is>
          <t>Received · manager annual, quarterly · 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t>
        </is>
      </c>
      <c r="V427" s="31" t="inlineStr">
        <is>
          <t>Latest rating: 3 · Potential: Medium · 9-box: Performance Risk · Readiness: Develop in role</t>
        </is>
      </c>
      <c r="W427" s="31" t="inlineStr">
        <is>
          <t>C L · Au L · Ac L · L L · BI L · Exp H · 7.3 yrs vs 2–4 yrs · Edu H · PGDM</t>
        </is>
      </c>
      <c r="X427" s="33" t="inlineStr">
        <is>
          <t>Open ▸</t>
        </is>
      </c>
      <c r="Y427" s="34" t="str">
        <f>IFERROR(INDEX(DL_C,MATCH($CA427,DL_KEY,0)),"M")</f>
        <v>H</v>
      </c>
      <c r="Z427" s="35" t="str">
        <f>IFERROR(INDEX(DL_Au,MATCH($CA427,DL_KEY,0)),"M")</f>
        <v>M</v>
      </c>
      <c r="AA427" s="35" t="str">
        <f>IFERROR(INDEX(DL_Ac,MATCH($CA427,DL_KEY,0)),"M")</f>
        <v>L</v>
      </c>
      <c r="AB427" s="35" t="str">
        <f>IFERROR(INDEX(DL_L,MATCH($CA427,DL_KEY,0)),"M")</f>
        <v>L</v>
      </c>
      <c r="AC427" s="35" t="str">
        <f>IFERROR(INDEX(DL_BI,MATCH($CA427,DL_KEY,0)),"M")</f>
        <v>M</v>
      </c>
      <c r="AD427" s="35" t="str">
        <f>IFERROR(INDEX(DL_Exp,MATCH($CA427,DL_KEY,0)),"M")</f>
        <v>L</v>
      </c>
      <c r="AE427" s="35" t="str">
        <f>IFERROR(INDEX(DL_Edu,MATCH($CA427,DL_KEY,0)),"M")</f>
        <v>L</v>
      </c>
      <c r="AF427" s="34" t="inlineStr">
        <is>
          <t>M</t>
        </is>
      </c>
      <c r="AG427" s="35" t="inlineStr">
        <is>
          <t>M</t>
        </is>
      </c>
      <c r="AH427" s="35" t="inlineStr">
        <is>
          <t>M</t>
        </is>
      </c>
      <c r="AI427" s="35" t="inlineStr">
        <is>
          <t>M</t>
        </is>
      </c>
      <c r="AJ427" s="35" t="inlineStr">
        <is>
          <t>M</t>
        </is>
      </c>
      <c r="AK427" s="35" t="inlineStr">
        <is>
          <t>M</t>
        </is>
      </c>
      <c r="AL427" s="35" t="inlineStr">
        <is>
          <t>M</t>
        </is>
      </c>
      <c r="AM427" s="36" t="n">
        <v>0.583</v>
      </c>
      <c r="AN427" s="37" t="n">
        <v>0.16</v>
      </c>
      <c r="AO427" s="37" t="n">
        <v>0.09</v>
      </c>
      <c r="AP427" s="37" t="n">
        <v>0</v>
      </c>
      <c r="AQ427" s="37" t="n">
        <v>0.063</v>
      </c>
      <c r="AR427" s="37" t="n">
        <v>0.06</v>
      </c>
      <c r="AS427" s="37" t="n">
        <v>0.04</v>
      </c>
      <c r="AT427" s="38" t="inlineStr">
        <is>
          <t>2–5</t>
        </is>
      </c>
      <c r="AU427" s="38" t="inlineStr">
        <is>
          <t>Graduate; relevant certification preferred</t>
        </is>
      </c>
      <c r="AV427" s="38" t="inlineStr">
        <is>
          <t>None · guides 1–3 juniors informally</t>
        </is>
      </c>
      <c r="AW427" s="38" t="inlineStr">
        <is>
          <t>P2 · SFIA 3 Apply</t>
        </is>
      </c>
      <c r="AX4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7" s="39" t="inlineStr">
        <is>
          <t>A3</t>
        </is>
      </c>
      <c r="AZ427" s="40" t="inlineStr">
        <is>
          <t>Band A · Practitioner · Senior Associate</t>
        </is>
      </c>
      <c r="BA427" s="40" t="inlineStr">
        <is>
          <t>Model A3 from the six ratings, the market-derived weights and rules R1–R13 · then No change · already below the manager</t>
        </is>
      </c>
      <c r="BB427" s="41" t="inlineStr">
        <is>
          <t>A2</t>
        </is>
      </c>
      <c r="BC427" s="40" t="inlineStr">
        <is>
          <t>The six ratings on the market-average weights of Band A · all tracks score 2.35 → A2 · Hay, Mercer IPE and public plans · experience 7.3 yrs vs the A2 market range 0–3</t>
        </is>
      </c>
      <c r="BD427" s="42">
        <f>IF(SUM(BM427,BN427,BO427,BP427,BQ427,BR427,BS427)=0,0,(BM427*BT427+BN427*BU427+BO427*BV427+BP427*BW427+BQ427*BX427+BR427*BY427+BS427*BZ427)/SUM(BM427,BN427,BO427,BP427,BQ427,BR427,BS427))</f>
        <v>0</v>
      </c>
      <c r="BE427" s="41" t="str">
        <f>IF(LEFT(AY427,1)="X",AY427,IF(OR(AY427="B+",AY427="C+"),INDEX(LAD_PC,MAX(1,MIN(14,MATCH(AY427,LAD_PC,0)+IF(BD427&gt;=0.5,1,IF(BD427&lt;=-0.5,-1,0))))),INDEX(LAD_STD,MAX(1,MIN(12,MATCH(AY427,LAD_STD,0)+IF(BD427&gt;=0.5,1,IF(BD427&lt;=-0.5,-1,0)))))))</f>
        <v>A3</v>
      </c>
      <c r="BF427" s="43" t="n"/>
      <c r="BG427" s="41" t="str">
        <f>IF(BF427&lt;&gt;"",BF427,BE427)</f>
        <v>A3</v>
      </c>
      <c r="BH427" s="40" t="str">
        <f>IFERROR(CHOOSE(INDEX(B_RANK,MATCH(BG427,B_LVL,0)),"Band A","Band B","B+ · Player-Coach","Band C","C+ · Player-Coach","Band D","Band E"),"Band X · Consultant")</f>
        <v>Band A</v>
      </c>
      <c r="BI427" s="40" t="str">
        <f>IF(BG427=AY427,"• Same",IF(INDEX(B_VAL,MATCH(BG427,B_LVL,0))&gt;INDEX(B_VAL,MATCH(AY427,B_LVL,0)),"▲ Up","▼ Down"))</f>
        <v>• Same</v>
      </c>
      <c r="BJ427" s="40" t="str">
        <f>IF(OR($M427="",$M427="—",$M427="Not in this file"),"",IFERROR(INDEX($BG$7:$BG$592,MATCH($M427,$D$7:$D$592,0)),""))</f>
        <v>B2</v>
      </c>
      <c r="BK427" s="40" t="str">
        <f>IFERROR(IF(BJ427="","—",IF(OR(LEFT(BG427,1)="X",LEFT(BJ427,1)="X"),"—",IF(AND(LEFT(BG427,1)="E",LEFT(BJ427,1)="E"),"Exception · Band E",IF(AND(INDEX(B_VAL,MATCH(BJ427,B_LVL,0))&gt;=7,INDEX(B_RANK,MATCH(BG427,B_LVL,0))&gt;=INDEX(B_RANK,MATCH(BJ427,B_LVL,0))),"⚠ Same band as a head manager",IF(INDEX(B_VAL,MATCH(BG427,B_LVL,0))&gt;=INDEX(B_VAL,MATCH(BJ427,B_LVL,0)),"⚠ At or above the manager's level","OK"))))),"—")</f>
        <v>OK</v>
      </c>
      <c r="BL427" s="43" t="n"/>
      <c r="BM427" s="44">
        <f>IFERROR(INDEX(LMH_PTS,MATCH(Y427,LMH_KEY,0)),0)</f>
        <v>9</v>
      </c>
      <c r="BN427" s="38">
        <f>IFERROR(INDEX(LMH_PTS,MATCH(Z427,LMH_KEY,0)),0)</f>
        <v>3</v>
      </c>
      <c r="BO427" s="38">
        <f>IFERROR(INDEX(LMH_PTS,MATCH(AA427,LMH_KEY,0)),0)</f>
        <v>1</v>
      </c>
      <c r="BP427" s="38">
        <f>IFERROR(INDEX(LMH_PTS,MATCH(AB427,LMH_KEY,0)),0)</f>
        <v>1</v>
      </c>
      <c r="BQ427" s="38">
        <f>IFERROR(INDEX(LMH_PTS,MATCH(AC427,LMH_KEY,0)),0)</f>
        <v>3</v>
      </c>
      <c r="BR427" s="38">
        <f>IFERROR(INDEX(LMH_PTS,MATCH(AD427,LMH_KEY,0)),0)</f>
        <v>1</v>
      </c>
      <c r="BS427" s="38">
        <f>IFERROR(INDEX(LMH_PTS,MATCH(AE427,LMH_KEY,0)),0)</f>
        <v>1</v>
      </c>
      <c r="BT427" s="38">
        <f>IFERROR(INDEX(LMH_STEP,MATCH(AF427,LMH_KEY,0)),0)</f>
        <v>0</v>
      </c>
      <c r="BU427" s="38">
        <f>IFERROR(INDEX(LMH_STEP,MATCH(AG427,LMH_KEY,0)),0)</f>
        <v>0</v>
      </c>
      <c r="BV427" s="38">
        <f>IFERROR(INDEX(LMH_STEP,MATCH(AH427,LMH_KEY,0)),0)</f>
        <v>0</v>
      </c>
      <c r="BW427" s="38">
        <f>IFERROR(INDEX(LMH_STEP,MATCH(AI427,LMH_KEY,0)),0)</f>
        <v>0</v>
      </c>
      <c r="BX427" s="38">
        <f>IFERROR(INDEX(LMH_STEP,MATCH(AJ427,LMH_KEY,0)),0)</f>
        <v>0</v>
      </c>
      <c r="BY427" s="38">
        <f>IFERROR(INDEX(LMH_STEP,MATCH(AK427,LMH_KEY,0)),0)</f>
        <v>0</v>
      </c>
      <c r="BZ427" s="38">
        <f>IFERROR(INDEX(LMH_STEP,MATCH(AL427,LMH_KEY,0)),0)</f>
        <v>0</v>
      </c>
      <c r="CA427" s="38" t="inlineStr">
        <is>
          <t>Datatech|Datatech - Outreach|Senior Program Executive|A3|A</t>
        </is>
      </c>
    </row>
    <row r="428" ht="110" customHeight="1">
      <c r="A428" s="28" t="inlineStr">
        <is>
          <t>Datatech</t>
        </is>
      </c>
      <c r="B428" s="29" t="inlineStr">
        <is>
          <t>Datatech - Outreach</t>
        </is>
      </c>
      <c r="C428" s="29" t="n">
        <v>3</v>
      </c>
      <c r="D428" s="29" t="inlineStr">
        <is>
          <t>IRISDT0015</t>
        </is>
      </c>
      <c r="E428" s="29" t="inlineStr">
        <is>
          <t>Jothi Pillai</t>
        </is>
      </c>
      <c r="F428" s="29" t="inlineStr">
        <is>
          <t>Operations Executive</t>
        </is>
      </c>
      <c r="G428" s="29" t="inlineStr">
        <is>
          <t>Program Executive</t>
        </is>
      </c>
      <c r="H428" s="29" t="inlineStr">
        <is>
          <t>Sales &amp; Business Development</t>
        </is>
      </c>
      <c r="I428" s="29" t="inlineStr">
        <is>
          <t>Field Outreach &amp; Programme Sales</t>
        </is>
      </c>
      <c r="J428" s="29" t="inlineStr">
        <is>
          <t>IC</t>
        </is>
      </c>
      <c r="K428" s="29" t="inlineStr">
        <is>
          <t>RC-155</t>
        </is>
      </c>
      <c r="L428" s="29" t="inlineStr">
        <is>
          <t>Raghin Nair</t>
        </is>
      </c>
      <c r="M428" s="29" t="inlineStr">
        <is>
          <t>IRISDT0011</t>
        </is>
      </c>
      <c r="N428" s="29" t="n">
        <v>1.2</v>
      </c>
      <c r="O428" s="29" t="n">
        <v>0.6</v>
      </c>
      <c r="P428" s="29" t="inlineStr">
        <is>
          <t>B.Com</t>
        </is>
      </c>
      <c r="Q428" s="29" t="inlineStr">
        <is>
          <t>L3 – Professional / Associate</t>
        </is>
      </c>
      <c r="R428" s="29" t="inlineStr">
        <is>
          <t>A2</t>
        </is>
      </c>
      <c r="S428" s="30" t="inlineStr">
        <is>
          <t>0 of 20</t>
        </is>
      </c>
      <c r="T428" s="31"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t>
        </is>
      </c>
      <c r="U428" s="31" t="inlineStr">
        <is>
          <t>Received · manager annual, quarterly · 1. Business Loan Applications - Achieve 40% Submit-to-Bank ratio, ramping quarter over quarter to 40% · Baseline: ~10% - Weightage: 55%
2. BHR Sales - Sell 240 BHR units per quarter - Weightage: 45%</t>
        </is>
      </c>
      <c r="V428" s="31" t="inlineStr">
        <is>
          <t>Latest rating: 2 · Potential: Low · 9-box: Underperformer / Exit Risk · Readiness: Performance first</t>
        </is>
      </c>
      <c r="W428" s="31" t="inlineStr">
        <is>
          <t>C M · Au M · Ac M · L L · BI M · Exp M · 1.2 yrs vs 0–2 yrs · Edu M · B.Com</t>
        </is>
      </c>
      <c r="X428" s="33" t="inlineStr">
        <is>
          <t>Open ▸</t>
        </is>
      </c>
      <c r="Y428" s="34" t="str">
        <f>IFERROR(INDEX(DL_C,MATCH($CA428,DL_KEY,0)),"M")</f>
        <v>H</v>
      </c>
      <c r="Z428" s="35" t="str">
        <f>IFERROR(INDEX(DL_Au,MATCH($CA428,DL_KEY,0)),"M")</f>
        <v>M</v>
      </c>
      <c r="AA428" s="35" t="str">
        <f>IFERROR(INDEX(DL_Ac,MATCH($CA428,DL_KEY,0)),"M")</f>
        <v>L</v>
      </c>
      <c r="AB428" s="35" t="str">
        <f>IFERROR(INDEX(DL_L,MATCH($CA428,DL_KEY,0)),"M")</f>
        <v>L</v>
      </c>
      <c r="AC428" s="35" t="str">
        <f>IFERROR(INDEX(DL_BI,MATCH($CA428,DL_KEY,0)),"M")</f>
        <v>M</v>
      </c>
      <c r="AD428" s="35" t="str">
        <f>IFERROR(INDEX(DL_Exp,MATCH($CA428,DL_KEY,0)),"M")</f>
        <v>L</v>
      </c>
      <c r="AE428" s="35" t="str">
        <f>IFERROR(INDEX(DL_Edu,MATCH($CA428,DL_KEY,0)),"M")</f>
        <v>L</v>
      </c>
      <c r="AF428" s="34" t="inlineStr">
        <is>
          <t>M</t>
        </is>
      </c>
      <c r="AG428" s="35" t="inlineStr">
        <is>
          <t>M</t>
        </is>
      </c>
      <c r="AH428" s="35" t="inlineStr">
        <is>
          <t>M</t>
        </is>
      </c>
      <c r="AI428" s="35" t="inlineStr">
        <is>
          <t>M</t>
        </is>
      </c>
      <c r="AJ428" s="35" t="inlineStr">
        <is>
          <t>M</t>
        </is>
      </c>
      <c r="AK428" s="35" t="inlineStr">
        <is>
          <t>M</t>
        </is>
      </c>
      <c r="AL428" s="35" t="inlineStr">
        <is>
          <t>M</t>
        </is>
      </c>
      <c r="AM428" s="36" t="n">
        <v>0.583</v>
      </c>
      <c r="AN428" s="37" t="n">
        <v>0.16</v>
      </c>
      <c r="AO428" s="37" t="n">
        <v>0.09</v>
      </c>
      <c r="AP428" s="37" t="n">
        <v>0</v>
      </c>
      <c r="AQ428" s="37" t="n">
        <v>0.063</v>
      </c>
      <c r="AR428" s="37" t="n">
        <v>0.06</v>
      </c>
      <c r="AS428" s="37" t="n">
        <v>0.04</v>
      </c>
      <c r="AT428" s="38" t="inlineStr">
        <is>
          <t>0–3</t>
        </is>
      </c>
      <c r="AU428" s="38" t="inlineStr">
        <is>
          <t>Graduate · or diploma with experience</t>
        </is>
      </c>
      <c r="AV428" s="38" t="inlineStr">
        <is>
          <t>No direct reports</t>
        </is>
      </c>
      <c r="AW428" s="38" t="inlineStr">
        <is>
          <t>P1–P2 · SFIA 2 Assist</t>
        </is>
      </c>
      <c r="AX4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8" s="39" t="inlineStr">
        <is>
          <t>A2</t>
        </is>
      </c>
      <c r="AZ428" s="40" t="inlineStr">
        <is>
          <t>Band A · Practitioner · Associate</t>
        </is>
      </c>
      <c r="BA428" s="40" t="inlineStr">
        <is>
          <t>Model A2 from the six ratings, the market-derived weights and rules R1–R13 · then No change · already below the manager</t>
        </is>
      </c>
      <c r="BB428" s="41" t="inlineStr">
        <is>
          <t>A2</t>
        </is>
      </c>
      <c r="BC428" s="40" t="inlineStr">
        <is>
          <t>The six ratings on the market-average weights of Band A · all tracks score 2.03 → A2 · Hay, Mercer IPE and public plans · experience 1.2 yrs vs the A2 market range 0–3</t>
        </is>
      </c>
      <c r="BD428" s="42">
        <f>IF(SUM(BM428,BN428,BO428,BP428,BQ428,BR428,BS428)=0,0,(BM428*BT428+BN428*BU428+BO428*BV428+BP428*BW428+BQ428*BX428+BR428*BY428+BS428*BZ428)/SUM(BM428,BN428,BO428,BP428,BQ428,BR428,BS428))</f>
        <v>0</v>
      </c>
      <c r="BE428" s="41" t="str">
        <f>IF(LEFT(AY428,1)="X",AY428,IF(OR(AY428="B+",AY428="C+"),INDEX(LAD_PC,MAX(1,MIN(14,MATCH(AY428,LAD_PC,0)+IF(BD428&gt;=0.5,1,IF(BD428&lt;=-0.5,-1,0))))),INDEX(LAD_STD,MAX(1,MIN(12,MATCH(AY428,LAD_STD,0)+IF(BD428&gt;=0.5,1,IF(BD428&lt;=-0.5,-1,0)))))))</f>
        <v>A2</v>
      </c>
      <c r="BF428" s="43" t="n"/>
      <c r="BG428" s="41" t="str">
        <f>IF(BF428&lt;&gt;"",BF428,BE428)</f>
        <v>A2</v>
      </c>
      <c r="BH428" s="40" t="str">
        <f>IFERROR(CHOOSE(INDEX(B_RANK,MATCH(BG428,B_LVL,0)),"Band A","Band B","B+ · Player-Coach","Band C","C+ · Player-Coach","Band D","Band E"),"Band X · Consultant")</f>
        <v>Band A</v>
      </c>
      <c r="BI428" s="40" t="str">
        <f>IF(BG428=AY428,"• Same",IF(INDEX(B_VAL,MATCH(BG428,B_LVL,0))&gt;INDEX(B_VAL,MATCH(AY428,B_LVL,0)),"▲ Up","▼ Down"))</f>
        <v>• Same</v>
      </c>
      <c r="BJ428" s="40" t="str">
        <f>IF(OR($M428="",$M428="—",$M428="Not in this file"),"",IFERROR(INDEX($BG$7:$BG$592,MATCH($M428,$D$7:$D$592,0)),""))</f>
        <v>B2</v>
      </c>
      <c r="BK428" s="40" t="str">
        <f>IFERROR(IF(BJ428="","—",IF(OR(LEFT(BG428,1)="X",LEFT(BJ428,1)="X"),"—",IF(AND(LEFT(BG428,1)="E",LEFT(BJ428,1)="E"),"Exception · Band E",IF(AND(INDEX(B_VAL,MATCH(BJ428,B_LVL,0))&gt;=7,INDEX(B_RANK,MATCH(BG428,B_LVL,0))&gt;=INDEX(B_RANK,MATCH(BJ428,B_LVL,0))),"⚠ Same band as a head manager",IF(INDEX(B_VAL,MATCH(BG428,B_LVL,0))&gt;=INDEX(B_VAL,MATCH(BJ428,B_LVL,0)),"⚠ At or above the manager's level","OK"))))),"—")</f>
        <v>OK</v>
      </c>
      <c r="BL428" s="43" t="n"/>
      <c r="BM428" s="44">
        <f>IFERROR(INDEX(LMH_PTS,MATCH(Y428,LMH_KEY,0)),0)</f>
        <v>9</v>
      </c>
      <c r="BN428" s="38">
        <f>IFERROR(INDEX(LMH_PTS,MATCH(Z428,LMH_KEY,0)),0)</f>
        <v>3</v>
      </c>
      <c r="BO428" s="38">
        <f>IFERROR(INDEX(LMH_PTS,MATCH(AA428,LMH_KEY,0)),0)</f>
        <v>1</v>
      </c>
      <c r="BP428" s="38">
        <f>IFERROR(INDEX(LMH_PTS,MATCH(AB428,LMH_KEY,0)),0)</f>
        <v>1</v>
      </c>
      <c r="BQ428" s="38">
        <f>IFERROR(INDEX(LMH_PTS,MATCH(AC428,LMH_KEY,0)),0)</f>
        <v>3</v>
      </c>
      <c r="BR428" s="38">
        <f>IFERROR(INDEX(LMH_PTS,MATCH(AD428,LMH_KEY,0)),0)</f>
        <v>1</v>
      </c>
      <c r="BS428" s="38">
        <f>IFERROR(INDEX(LMH_PTS,MATCH(AE428,LMH_KEY,0)),0)</f>
        <v>1</v>
      </c>
      <c r="BT428" s="38">
        <f>IFERROR(INDEX(LMH_STEP,MATCH(AF428,LMH_KEY,0)),0)</f>
        <v>0</v>
      </c>
      <c r="BU428" s="38">
        <f>IFERROR(INDEX(LMH_STEP,MATCH(AG428,LMH_KEY,0)),0)</f>
        <v>0</v>
      </c>
      <c r="BV428" s="38">
        <f>IFERROR(INDEX(LMH_STEP,MATCH(AH428,LMH_KEY,0)),0)</f>
        <v>0</v>
      </c>
      <c r="BW428" s="38">
        <f>IFERROR(INDEX(LMH_STEP,MATCH(AI428,LMH_KEY,0)),0)</f>
        <v>0</v>
      </c>
      <c r="BX428" s="38">
        <f>IFERROR(INDEX(LMH_STEP,MATCH(AJ428,LMH_KEY,0)),0)</f>
        <v>0</v>
      </c>
      <c r="BY428" s="38">
        <f>IFERROR(INDEX(LMH_STEP,MATCH(AK428,LMH_KEY,0)),0)</f>
        <v>0</v>
      </c>
      <c r="BZ428" s="38">
        <f>IFERROR(INDEX(LMH_STEP,MATCH(AL428,LMH_KEY,0)),0)</f>
        <v>0</v>
      </c>
      <c r="CA428" s="38" t="inlineStr">
        <is>
          <t>Datatech|Datatech - Outreach|Program Executive|A2|A</t>
        </is>
      </c>
    </row>
    <row r="429" ht="110" customHeight="1">
      <c r="A429" s="28" t="inlineStr">
        <is>
          <t>Datatech</t>
        </is>
      </c>
      <c r="B429" s="29" t="inlineStr">
        <is>
          <t>Datatech - Outreach</t>
        </is>
      </c>
      <c r="C429" s="29" t="n">
        <v>3</v>
      </c>
      <c r="D429" s="29" t="inlineStr">
        <is>
          <t>IRISDTC004</t>
        </is>
      </c>
      <c r="E429" s="29" t="inlineStr">
        <is>
          <t>Sameeksha More</t>
        </is>
      </c>
      <c r="F429" s="29" t="inlineStr">
        <is>
          <t>MIS Associate</t>
        </is>
      </c>
      <c r="G429" s="29" t="inlineStr">
        <is>
          <t>MIS Associate</t>
        </is>
      </c>
      <c r="H429" s="29" t="inlineStr">
        <is>
          <t>Data &amp; Analytics</t>
        </is>
      </c>
      <c r="I429" s="29" t="inlineStr">
        <is>
          <t>MIS &amp; Business Reporting</t>
        </is>
      </c>
      <c r="J429" s="29" t="inlineStr">
        <is>
          <t>IC</t>
        </is>
      </c>
      <c r="K429" s="29" t="inlineStr">
        <is>
          <t>RC-043</t>
        </is>
      </c>
      <c r="L429" s="29" t="inlineStr">
        <is>
          <t>Raghin Nair</t>
        </is>
      </c>
      <c r="M429" s="29" t="inlineStr">
        <is>
          <t>IRISDT0011</t>
        </is>
      </c>
      <c r="N429" s="29" t="n">
        <v>0.5</v>
      </c>
      <c r="O429" s="29" t="n">
        <v>0.3</v>
      </c>
      <c r="P429" s="29" t="inlineStr">
        <is>
          <t>Diploma In Computer Technology</t>
        </is>
      </c>
      <c r="Q429" s="29" t="inlineStr">
        <is>
          <t>Not in current mapping files</t>
        </is>
      </c>
      <c r="R429" s="29" t="inlineStr">
        <is>
          <t>A2</t>
        </is>
      </c>
      <c r="S429" s="30" t="inlineStr">
        <is>
          <t>20 of 20</t>
        </is>
      </c>
      <c r="T429" s="31"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t>
        </is>
      </c>
      <c r="U429" s="31" t="inlineStr">
        <is>
          <t>Received · manager annual, quarterly · 1. Accuracy - Maintain report error rate below 20% - Weightage: 50%
2. Turnaround Time · TAT - Deliver reports within 24 hours of request, no exceptions - Weightage: 50%</t>
        </is>
      </c>
      <c r="V429" s="31" t="inlineStr">
        <is>
          <t>Latest rating: 4 · Potential: Medium · 9-box: Core Contributor · Readiness: Ready in 6–12 months</t>
        </is>
      </c>
      <c r="W429" s="31" t="inlineStr">
        <is>
          <t>C M · Au M · Ac M · L L · BI M · Exp M · 0.5 yrs vs 0–2 yrs · Edu L · Diploma In Computer Technology</t>
        </is>
      </c>
      <c r="X429" s="33" t="inlineStr">
        <is>
          <t>Open ▸</t>
        </is>
      </c>
      <c r="Y429" s="34" t="str">
        <f>IFERROR(INDEX(DL_C,MATCH($CA429,DL_KEY,0)),"M")</f>
        <v>H</v>
      </c>
      <c r="Z429" s="35" t="str">
        <f>IFERROR(INDEX(DL_Au,MATCH($CA429,DL_KEY,0)),"M")</f>
        <v>M</v>
      </c>
      <c r="AA429" s="35" t="str">
        <f>IFERROR(INDEX(DL_Ac,MATCH($CA429,DL_KEY,0)),"M")</f>
        <v>M</v>
      </c>
      <c r="AB429" s="35" t="str">
        <f>IFERROR(INDEX(DL_L,MATCH($CA429,DL_KEY,0)),"M")</f>
        <v>L</v>
      </c>
      <c r="AC429" s="35" t="str">
        <f>IFERROR(INDEX(DL_BI,MATCH($CA429,DL_KEY,0)),"M")</f>
        <v>L</v>
      </c>
      <c r="AD429" s="35" t="str">
        <f>IFERROR(INDEX(DL_Exp,MATCH($CA429,DL_KEY,0)),"M")</f>
        <v>L</v>
      </c>
      <c r="AE429" s="35" t="str">
        <f>IFERROR(INDEX(DL_Edu,MATCH($CA429,DL_KEY,0)),"M")</f>
        <v>L</v>
      </c>
      <c r="AF429" s="34" t="inlineStr">
        <is>
          <t>M</t>
        </is>
      </c>
      <c r="AG429" s="35" t="inlineStr">
        <is>
          <t>M</t>
        </is>
      </c>
      <c r="AH429" s="35" t="inlineStr">
        <is>
          <t>M</t>
        </is>
      </c>
      <c r="AI429" s="35" t="inlineStr">
        <is>
          <t>M</t>
        </is>
      </c>
      <c r="AJ429" s="35" t="inlineStr">
        <is>
          <t>M</t>
        </is>
      </c>
      <c r="AK429" s="35" t="inlineStr">
        <is>
          <t>M</t>
        </is>
      </c>
      <c r="AL429" s="35" t="inlineStr">
        <is>
          <t>M</t>
        </is>
      </c>
      <c r="AM429" s="36" t="n">
        <v>0.583</v>
      </c>
      <c r="AN429" s="37" t="n">
        <v>0.16</v>
      </c>
      <c r="AO429" s="37" t="n">
        <v>0.09</v>
      </c>
      <c r="AP429" s="37" t="n">
        <v>0</v>
      </c>
      <c r="AQ429" s="37" t="n">
        <v>0.063</v>
      </c>
      <c r="AR429" s="37" t="n">
        <v>0.06</v>
      </c>
      <c r="AS429" s="37" t="n">
        <v>0.04</v>
      </c>
      <c r="AT429" s="38" t="inlineStr">
        <is>
          <t>0–3</t>
        </is>
      </c>
      <c r="AU429" s="38" t="inlineStr">
        <is>
          <t>Graduate · or diploma with experience</t>
        </is>
      </c>
      <c r="AV429" s="38" t="inlineStr">
        <is>
          <t>No direct reports</t>
        </is>
      </c>
      <c r="AW429" s="38" t="inlineStr">
        <is>
          <t>P1–P2 · SFIA 2 Assist</t>
        </is>
      </c>
      <c r="AX4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9" s="39" t="inlineStr">
        <is>
          <t>A2</t>
        </is>
      </c>
      <c r="AZ429" s="40" t="inlineStr">
        <is>
          <t>Band A · Practitioner · Associate</t>
        </is>
      </c>
      <c r="BA429" s="40" t="inlineStr">
        <is>
          <t>Model A2 from the six ratings, the market-derived weights and rules R1–R13 · then No change · already below the manager</t>
        </is>
      </c>
      <c r="BB429" s="41" t="inlineStr">
        <is>
          <t>A2</t>
        </is>
      </c>
      <c r="BC429" s="40" t="inlineStr">
        <is>
          <t>The six ratings on the market-average weights of Band A · all tracks score 1.93 → A2 · Hay, Mercer IPE and public plans · experience 0.5 yrs vs the A2 market range 0–3</t>
        </is>
      </c>
      <c r="BD429" s="42">
        <f>IF(SUM(BM429,BN429,BO429,BP429,BQ429,BR429,BS429)=0,0,(BM429*BT429+BN429*BU429+BO429*BV429+BP429*BW429+BQ429*BX429+BR429*BY429+BS429*BZ429)/SUM(BM429,BN429,BO429,BP429,BQ429,BR429,BS429))</f>
        <v>0</v>
      </c>
      <c r="BE429" s="41" t="str">
        <f>IF(LEFT(AY429,1)="X",AY429,IF(OR(AY429="B+",AY429="C+"),INDEX(LAD_PC,MAX(1,MIN(14,MATCH(AY429,LAD_PC,0)+IF(BD429&gt;=0.5,1,IF(BD429&lt;=-0.5,-1,0))))),INDEX(LAD_STD,MAX(1,MIN(12,MATCH(AY429,LAD_STD,0)+IF(BD429&gt;=0.5,1,IF(BD429&lt;=-0.5,-1,0)))))))</f>
        <v>A2</v>
      </c>
      <c r="BF429" s="43" t="n"/>
      <c r="BG429" s="41" t="str">
        <f>IF(BF429&lt;&gt;"",BF429,BE429)</f>
        <v>A2</v>
      </c>
      <c r="BH429" s="40" t="str">
        <f>IFERROR(CHOOSE(INDEX(B_RANK,MATCH(BG429,B_LVL,0)),"Band A","Band B","B+ · Player-Coach","Band C","C+ · Player-Coach","Band D","Band E"),"Band X · Consultant")</f>
        <v>Band A</v>
      </c>
      <c r="BI429" s="40" t="str">
        <f>IF(BG429=AY429,"• Same",IF(INDEX(B_VAL,MATCH(BG429,B_LVL,0))&gt;INDEX(B_VAL,MATCH(AY429,B_LVL,0)),"▲ Up","▼ Down"))</f>
        <v>• Same</v>
      </c>
      <c r="BJ429" s="40" t="str">
        <f>IF(OR($M429="",$M429="—",$M429="Not in this file"),"",IFERROR(INDEX($BG$7:$BG$592,MATCH($M429,$D$7:$D$592,0)),""))</f>
        <v>B2</v>
      </c>
      <c r="BK429" s="40" t="str">
        <f>IFERROR(IF(BJ429="","—",IF(OR(LEFT(BG429,1)="X",LEFT(BJ429,1)="X"),"—",IF(AND(LEFT(BG429,1)="E",LEFT(BJ429,1)="E"),"Exception · Band E",IF(AND(INDEX(B_VAL,MATCH(BJ429,B_LVL,0))&gt;=7,INDEX(B_RANK,MATCH(BG429,B_LVL,0))&gt;=INDEX(B_RANK,MATCH(BJ429,B_LVL,0))),"⚠ Same band as a head manager",IF(INDEX(B_VAL,MATCH(BG429,B_LVL,0))&gt;=INDEX(B_VAL,MATCH(BJ429,B_LVL,0)),"⚠ At or above the manager's level","OK"))))),"—")</f>
        <v>OK</v>
      </c>
      <c r="BL429" s="43" t="n"/>
      <c r="BM429" s="44">
        <f>IFERROR(INDEX(LMH_PTS,MATCH(Y429,LMH_KEY,0)),0)</f>
        <v>9</v>
      </c>
      <c r="BN429" s="38">
        <f>IFERROR(INDEX(LMH_PTS,MATCH(Z429,LMH_KEY,0)),0)</f>
        <v>3</v>
      </c>
      <c r="BO429" s="38">
        <f>IFERROR(INDEX(LMH_PTS,MATCH(AA429,LMH_KEY,0)),0)</f>
        <v>3</v>
      </c>
      <c r="BP429" s="38">
        <f>IFERROR(INDEX(LMH_PTS,MATCH(AB429,LMH_KEY,0)),0)</f>
        <v>1</v>
      </c>
      <c r="BQ429" s="38">
        <f>IFERROR(INDEX(LMH_PTS,MATCH(AC429,LMH_KEY,0)),0)</f>
        <v>1</v>
      </c>
      <c r="BR429" s="38">
        <f>IFERROR(INDEX(LMH_PTS,MATCH(AD429,LMH_KEY,0)),0)</f>
        <v>1</v>
      </c>
      <c r="BS429" s="38">
        <f>IFERROR(INDEX(LMH_PTS,MATCH(AE429,LMH_KEY,0)),0)</f>
        <v>1</v>
      </c>
      <c r="BT429" s="38">
        <f>IFERROR(INDEX(LMH_STEP,MATCH(AF429,LMH_KEY,0)),0)</f>
        <v>0</v>
      </c>
      <c r="BU429" s="38">
        <f>IFERROR(INDEX(LMH_STEP,MATCH(AG429,LMH_KEY,0)),0)</f>
        <v>0</v>
      </c>
      <c r="BV429" s="38">
        <f>IFERROR(INDEX(LMH_STEP,MATCH(AH429,LMH_KEY,0)),0)</f>
        <v>0</v>
      </c>
      <c r="BW429" s="38">
        <f>IFERROR(INDEX(LMH_STEP,MATCH(AI429,LMH_KEY,0)),0)</f>
        <v>0</v>
      </c>
      <c r="BX429" s="38">
        <f>IFERROR(INDEX(LMH_STEP,MATCH(AJ429,LMH_KEY,0)),0)</f>
        <v>0</v>
      </c>
      <c r="BY429" s="38">
        <f>IFERROR(INDEX(LMH_STEP,MATCH(AK429,LMH_KEY,0)),0)</f>
        <v>0</v>
      </c>
      <c r="BZ429" s="38">
        <f>IFERROR(INDEX(LMH_STEP,MATCH(AL429,LMH_KEY,0)),0)</f>
        <v>0</v>
      </c>
      <c r="CA429" s="38" t="inlineStr">
        <is>
          <t>Datatech|Datatech - Outreach|MIS Associate|A2|A</t>
        </is>
      </c>
    </row>
    <row r="430" ht="110" customHeight="1">
      <c r="A430" s="28" t="inlineStr">
        <is>
          <t>Datatech</t>
        </is>
      </c>
      <c r="B430" s="29" t="inlineStr">
        <is>
          <t>Datatech - Outreach</t>
        </is>
      </c>
      <c r="C430" s="29" t="n">
        <v>3</v>
      </c>
      <c r="D430" s="29" t="inlineStr">
        <is>
          <t>IRISDTC003</t>
        </is>
      </c>
      <c r="E430" s="29" t="inlineStr">
        <is>
          <t>Vaibhav Dukare</t>
        </is>
      </c>
      <c r="F430" s="29" t="inlineStr">
        <is>
          <t>Customer Engagement Executive</t>
        </is>
      </c>
      <c r="G430" s="29" t="inlineStr">
        <is>
          <t>Program Executive</t>
        </is>
      </c>
      <c r="H430" s="29" t="inlineStr">
        <is>
          <t>Sales &amp; Business Development</t>
        </is>
      </c>
      <c r="I430" s="29" t="inlineStr">
        <is>
          <t>Field Outreach &amp; Programme Sales</t>
        </is>
      </c>
      <c r="J430" s="29" t="inlineStr">
        <is>
          <t>IC</t>
        </is>
      </c>
      <c r="K430" s="29" t="inlineStr">
        <is>
          <t>RC-155</t>
        </is>
      </c>
      <c r="L430" s="29" t="inlineStr">
        <is>
          <t>Raghin Nair</t>
        </is>
      </c>
      <c r="M430" s="29" t="inlineStr">
        <is>
          <t>IRISDT0011</t>
        </is>
      </c>
      <c r="N430" s="29" t="n">
        <v>1.7</v>
      </c>
      <c r="O430" s="29" t="n">
        <v>0.5</v>
      </c>
      <c r="P430" s="29" t="inlineStr">
        <is>
          <t>B.E</t>
        </is>
      </c>
      <c r="Q430" s="29" t="inlineStr">
        <is>
          <t>L3 – Professional / Associate</t>
        </is>
      </c>
      <c r="R430" s="29" t="inlineStr">
        <is>
          <t>A2</t>
        </is>
      </c>
      <c r="S430" s="30" t="inlineStr">
        <is>
          <t>19 of 20</t>
        </is>
      </c>
      <c r="T430" s="31"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t>
        </is>
      </c>
      <c r="U430" s="31" t="inlineStr">
        <is>
          <t>Received · manager annual, quarterly · 1. Business Loan Applications - Achieve 40% Submit-to-Bank ratio, ramping quarter over quarter to 40% · Baseline: ~10% - Weightage: 55%
2. BHR Sales - Sell 240 BHR units per quarter - Weightage: 45%</t>
        </is>
      </c>
      <c r="V430" s="31" t="inlineStr">
        <is>
          <t>Latest rating: 3 · Potential: Medium · 9-box: Core Contributor · Readiness: Develop in role</t>
        </is>
      </c>
      <c r="W430" s="31" t="inlineStr">
        <is>
          <t>C M · Au M · Ac M · L L · BI M · Exp M · 1.7 yrs vs 0–2 yrs · Edu M · B.E</t>
        </is>
      </c>
      <c r="X430" s="33" t="inlineStr">
        <is>
          <t>Open ▸</t>
        </is>
      </c>
      <c r="Y430" s="34" t="str">
        <f>IFERROR(INDEX(DL_C,MATCH($CA430,DL_KEY,0)),"M")</f>
        <v>H</v>
      </c>
      <c r="Z430" s="35" t="str">
        <f>IFERROR(INDEX(DL_Au,MATCH($CA430,DL_KEY,0)),"M")</f>
        <v>M</v>
      </c>
      <c r="AA430" s="35" t="str">
        <f>IFERROR(INDEX(DL_Ac,MATCH($CA430,DL_KEY,0)),"M")</f>
        <v>L</v>
      </c>
      <c r="AB430" s="35" t="str">
        <f>IFERROR(INDEX(DL_L,MATCH($CA430,DL_KEY,0)),"M")</f>
        <v>L</v>
      </c>
      <c r="AC430" s="35" t="str">
        <f>IFERROR(INDEX(DL_BI,MATCH($CA430,DL_KEY,0)),"M")</f>
        <v>M</v>
      </c>
      <c r="AD430" s="35" t="str">
        <f>IFERROR(INDEX(DL_Exp,MATCH($CA430,DL_KEY,0)),"M")</f>
        <v>L</v>
      </c>
      <c r="AE430" s="35" t="str">
        <f>IFERROR(INDEX(DL_Edu,MATCH($CA430,DL_KEY,0)),"M")</f>
        <v>L</v>
      </c>
      <c r="AF430" s="34" t="inlineStr">
        <is>
          <t>M</t>
        </is>
      </c>
      <c r="AG430" s="35" t="inlineStr">
        <is>
          <t>M</t>
        </is>
      </c>
      <c r="AH430" s="35" t="inlineStr">
        <is>
          <t>M</t>
        </is>
      </c>
      <c r="AI430" s="35" t="inlineStr">
        <is>
          <t>M</t>
        </is>
      </c>
      <c r="AJ430" s="35" t="inlineStr">
        <is>
          <t>M</t>
        </is>
      </c>
      <c r="AK430" s="35" t="inlineStr">
        <is>
          <t>M</t>
        </is>
      </c>
      <c r="AL430" s="35" t="inlineStr">
        <is>
          <t>M</t>
        </is>
      </c>
      <c r="AM430" s="36" t="n">
        <v>0.583</v>
      </c>
      <c r="AN430" s="37" t="n">
        <v>0.16</v>
      </c>
      <c r="AO430" s="37" t="n">
        <v>0.09</v>
      </c>
      <c r="AP430" s="37" t="n">
        <v>0</v>
      </c>
      <c r="AQ430" s="37" t="n">
        <v>0.063</v>
      </c>
      <c r="AR430" s="37" t="n">
        <v>0.06</v>
      </c>
      <c r="AS430" s="37" t="n">
        <v>0.04</v>
      </c>
      <c r="AT430" s="38" t="inlineStr">
        <is>
          <t>0–3</t>
        </is>
      </c>
      <c r="AU430" s="38" t="inlineStr">
        <is>
          <t>Graduate · or diploma with experience</t>
        </is>
      </c>
      <c r="AV430" s="38" t="inlineStr">
        <is>
          <t>No direct reports</t>
        </is>
      </c>
      <c r="AW430" s="38" t="inlineStr">
        <is>
          <t>P1–P2 · SFIA 2 Assist</t>
        </is>
      </c>
      <c r="AX4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0" s="39" t="inlineStr">
        <is>
          <t>A2</t>
        </is>
      </c>
      <c r="AZ430" s="40" t="inlineStr">
        <is>
          <t>Band A · Practitioner · Associate</t>
        </is>
      </c>
      <c r="BA430" s="40" t="inlineStr">
        <is>
          <t>Model A2 from the six ratings, the market-derived weights and rules R1–R13 · then No change · already below the manager</t>
        </is>
      </c>
      <c r="BB430" s="41" t="inlineStr">
        <is>
          <t>A2</t>
        </is>
      </c>
      <c r="BC430" s="40" t="inlineStr">
        <is>
          <t>The six ratings on the market-average weights of Band A · all tracks score 2.08 → A2 · Hay, Mercer IPE and public plans · experience 1.7 yrs vs the A2 market range 0–3</t>
        </is>
      </c>
      <c r="BD430" s="42">
        <f>IF(SUM(BM430,BN430,BO430,BP430,BQ430,BR430,BS430)=0,0,(BM430*BT430+BN430*BU430+BO430*BV430+BP430*BW430+BQ430*BX430+BR430*BY430+BS430*BZ430)/SUM(BM430,BN430,BO430,BP430,BQ430,BR430,BS430))</f>
        <v>0</v>
      </c>
      <c r="BE430" s="41" t="str">
        <f>IF(LEFT(AY430,1)="X",AY430,IF(OR(AY430="B+",AY430="C+"),INDEX(LAD_PC,MAX(1,MIN(14,MATCH(AY430,LAD_PC,0)+IF(BD430&gt;=0.5,1,IF(BD430&lt;=-0.5,-1,0))))),INDEX(LAD_STD,MAX(1,MIN(12,MATCH(AY430,LAD_STD,0)+IF(BD430&gt;=0.5,1,IF(BD430&lt;=-0.5,-1,0)))))))</f>
        <v>A2</v>
      </c>
      <c r="BF430" s="43" t="n"/>
      <c r="BG430" s="41" t="str">
        <f>IF(BF430&lt;&gt;"",BF430,BE430)</f>
        <v>A2</v>
      </c>
      <c r="BH430" s="40" t="str">
        <f>IFERROR(CHOOSE(INDEX(B_RANK,MATCH(BG430,B_LVL,0)),"Band A","Band B","B+ · Player-Coach","Band C","C+ · Player-Coach","Band D","Band E"),"Band X · Consultant")</f>
        <v>Band A</v>
      </c>
      <c r="BI430" s="40" t="str">
        <f>IF(BG430=AY430,"• Same",IF(INDEX(B_VAL,MATCH(BG430,B_LVL,0))&gt;INDEX(B_VAL,MATCH(AY430,B_LVL,0)),"▲ Up","▼ Down"))</f>
        <v>• Same</v>
      </c>
      <c r="BJ430" s="40" t="str">
        <f>IF(OR($M430="",$M430="—",$M430="Not in this file"),"",IFERROR(INDEX($BG$7:$BG$592,MATCH($M430,$D$7:$D$592,0)),""))</f>
        <v>B2</v>
      </c>
      <c r="BK430" s="40" t="str">
        <f>IFERROR(IF(BJ430="","—",IF(OR(LEFT(BG430,1)="X",LEFT(BJ430,1)="X"),"—",IF(AND(LEFT(BG430,1)="E",LEFT(BJ430,1)="E"),"Exception · Band E",IF(AND(INDEX(B_VAL,MATCH(BJ430,B_LVL,0))&gt;=7,INDEX(B_RANK,MATCH(BG430,B_LVL,0))&gt;=INDEX(B_RANK,MATCH(BJ430,B_LVL,0))),"⚠ Same band as a head manager",IF(INDEX(B_VAL,MATCH(BG430,B_LVL,0))&gt;=INDEX(B_VAL,MATCH(BJ430,B_LVL,0)),"⚠ At or above the manager's level","OK"))))),"—")</f>
        <v>OK</v>
      </c>
      <c r="BL430" s="43" t="n"/>
      <c r="BM430" s="44">
        <f>IFERROR(INDEX(LMH_PTS,MATCH(Y430,LMH_KEY,0)),0)</f>
        <v>9</v>
      </c>
      <c r="BN430" s="38">
        <f>IFERROR(INDEX(LMH_PTS,MATCH(Z430,LMH_KEY,0)),0)</f>
        <v>3</v>
      </c>
      <c r="BO430" s="38">
        <f>IFERROR(INDEX(LMH_PTS,MATCH(AA430,LMH_KEY,0)),0)</f>
        <v>1</v>
      </c>
      <c r="BP430" s="38">
        <f>IFERROR(INDEX(LMH_PTS,MATCH(AB430,LMH_KEY,0)),0)</f>
        <v>1</v>
      </c>
      <c r="BQ430" s="38">
        <f>IFERROR(INDEX(LMH_PTS,MATCH(AC430,LMH_KEY,0)),0)</f>
        <v>3</v>
      </c>
      <c r="BR430" s="38">
        <f>IFERROR(INDEX(LMH_PTS,MATCH(AD430,LMH_KEY,0)),0)</f>
        <v>1</v>
      </c>
      <c r="BS430" s="38">
        <f>IFERROR(INDEX(LMH_PTS,MATCH(AE430,LMH_KEY,0)),0)</f>
        <v>1</v>
      </c>
      <c r="BT430" s="38">
        <f>IFERROR(INDEX(LMH_STEP,MATCH(AF430,LMH_KEY,0)),0)</f>
        <v>0</v>
      </c>
      <c r="BU430" s="38">
        <f>IFERROR(INDEX(LMH_STEP,MATCH(AG430,LMH_KEY,0)),0)</f>
        <v>0</v>
      </c>
      <c r="BV430" s="38">
        <f>IFERROR(INDEX(LMH_STEP,MATCH(AH430,LMH_KEY,0)),0)</f>
        <v>0</v>
      </c>
      <c r="BW430" s="38">
        <f>IFERROR(INDEX(LMH_STEP,MATCH(AI430,LMH_KEY,0)),0)</f>
        <v>0</v>
      </c>
      <c r="BX430" s="38">
        <f>IFERROR(INDEX(LMH_STEP,MATCH(AJ430,LMH_KEY,0)),0)</f>
        <v>0</v>
      </c>
      <c r="BY430" s="38">
        <f>IFERROR(INDEX(LMH_STEP,MATCH(AK430,LMH_KEY,0)),0)</f>
        <v>0</v>
      </c>
      <c r="BZ430" s="38">
        <f>IFERROR(INDEX(LMH_STEP,MATCH(AL430,LMH_KEY,0)),0)</f>
        <v>0</v>
      </c>
      <c r="CA430" s="38" t="inlineStr">
        <is>
          <t>Datatech|Datatech - Outreach|Program Executive|A2|A</t>
        </is>
      </c>
    </row>
    <row r="431" ht="110" customHeight="1">
      <c r="A431" s="28" t="inlineStr">
        <is>
          <t>Datatech</t>
        </is>
      </c>
      <c r="B431" s="29" t="inlineStr">
        <is>
          <t>Product Management</t>
        </is>
      </c>
      <c r="C431" s="29" t="n">
        <v>2</v>
      </c>
      <c r="D431" s="29" t="inlineStr">
        <is>
          <t>IRISDT0023</t>
        </is>
      </c>
      <c r="E431" s="29" t="inlineStr">
        <is>
          <t>Sachinam Sawant</t>
        </is>
      </c>
      <c r="F431" s="29" t="inlineStr">
        <is>
          <t>Regulatory &amp; Policy Lead</t>
        </is>
      </c>
      <c r="G431" s="29" t="inlineStr">
        <is>
          <t>Product Manager</t>
        </is>
      </c>
      <c r="H431" s="29" t="inlineStr">
        <is>
          <t>Product Management</t>
        </is>
      </c>
      <c r="I431" s="29" t="inlineStr">
        <is>
          <t>Product Management</t>
        </is>
      </c>
      <c r="J431" s="29" t="inlineStr">
        <is>
          <t>IC</t>
        </is>
      </c>
      <c r="K431" s="29" t="inlineStr">
        <is>
          <t>RC-126</t>
        </is>
      </c>
      <c r="L431" s="29" t="inlineStr">
        <is>
          <t>Shilpa Dhobale</t>
        </is>
      </c>
      <c r="M431" s="29" t="inlineStr">
        <is>
          <t>IRISDT0001</t>
        </is>
      </c>
      <c r="N431" s="29" t="inlineStr">
        <is>
          <t>Not provided · HRIS</t>
        </is>
      </c>
      <c r="O431" s="29" t="n">
        <v>0.1</v>
      </c>
      <c r="P431" s="29" t="inlineStr">
        <is>
          <t>CA</t>
        </is>
      </c>
      <c r="Q431" s="29" t="inlineStr">
        <is>
          <t>Not in current mapping files</t>
        </is>
      </c>
      <c r="R431" s="29" t="inlineStr">
        <is>
          <t>B2</t>
        </is>
      </c>
      <c r="S431" s="30" t="inlineStr">
        <is>
          <t>20 of 20</t>
        </is>
      </c>
      <c r="T431" s="31"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t>
        </is>
      </c>
      <c r="U431" s="32" t="inlineStr">
        <is>
          <t>KRAs not received · manager to supply</t>
        </is>
      </c>
      <c r="V431" s="31" t="inlineStr">
        <is>
          <t>Latest rating: Not rated · manager · 9-box: Not placed · manager · Readiness: No rating data</t>
        </is>
      </c>
      <c r="W431" s="31" t="inlineStr">
        <is>
          <t>C M · Au M · Ac M · L L · BI M · Exp — · not on file · Edu H · CA</t>
        </is>
      </c>
      <c r="X431" s="33" t="inlineStr">
        <is>
          <t>Open ▸</t>
        </is>
      </c>
      <c r="Y431" s="34" t="str">
        <f>IFERROR(INDEX(DL_C,MATCH($CA431,DL_KEY,0)),"M")</f>
        <v>H</v>
      </c>
      <c r="Z431" s="35" t="str">
        <f>IFERROR(INDEX(DL_Au,MATCH($CA431,DL_KEY,0)),"M")</f>
        <v>M</v>
      </c>
      <c r="AA431" s="35" t="str">
        <f>IFERROR(INDEX(DL_Ac,MATCH($CA431,DL_KEY,0)),"M")</f>
        <v>M</v>
      </c>
      <c r="AB431" s="35" t="str">
        <f>IFERROR(INDEX(DL_L,MATCH($CA431,DL_KEY,0)),"M")</f>
        <v>L</v>
      </c>
      <c r="AC431" s="35" t="str">
        <f>IFERROR(INDEX(DL_BI,MATCH($CA431,DL_KEY,0)),"M")</f>
        <v>L</v>
      </c>
      <c r="AD431" s="35" t="str">
        <f>IFERROR(INDEX(DL_Exp,MATCH($CA431,DL_KEY,0)),"M")</f>
        <v>L</v>
      </c>
      <c r="AE431" s="35" t="str">
        <f>IFERROR(INDEX(DL_Edu,MATCH($CA431,DL_KEY,0)),"M")</f>
        <v>L</v>
      </c>
      <c r="AF431" s="34" t="inlineStr">
        <is>
          <t>M</t>
        </is>
      </c>
      <c r="AG431" s="35" t="inlineStr">
        <is>
          <t>M</t>
        </is>
      </c>
      <c r="AH431" s="35" t="inlineStr">
        <is>
          <t>M</t>
        </is>
      </c>
      <c r="AI431" s="35" t="inlineStr">
        <is>
          <t>M</t>
        </is>
      </c>
      <c r="AJ431" s="35" t="inlineStr">
        <is>
          <t>M</t>
        </is>
      </c>
      <c r="AK431" s="35" t="inlineStr">
        <is>
          <t>M</t>
        </is>
      </c>
      <c r="AL431" s="35" t="inlineStr">
        <is>
          <t>M</t>
        </is>
      </c>
      <c r="AM431" s="36" t="n">
        <v>0.513</v>
      </c>
      <c r="AN431" s="37" t="n">
        <v>0.173</v>
      </c>
      <c r="AO431" s="37" t="n">
        <v>0.09699999999999999</v>
      </c>
      <c r="AP431" s="37" t="n">
        <v>0.05</v>
      </c>
      <c r="AQ431" s="37" t="n">
        <v>0.07000000000000001</v>
      </c>
      <c r="AR431" s="37" t="n">
        <v>0.06</v>
      </c>
      <c r="AS431" s="37" t="n">
        <v>0.04</v>
      </c>
      <c r="AT431" s="38" t="inlineStr">
        <is>
          <t>6–10</t>
        </is>
      </c>
      <c r="AU431" s="38" t="inlineStr">
        <is>
          <t>Graduate or postgraduate; professional qualification preferred</t>
        </is>
      </c>
      <c r="AV431" s="38" t="inlineStr">
        <is>
          <t>IC: none · People: 6–8 knowledge work, 8–12 standardised delivery</t>
        </is>
      </c>
      <c r="AW431" s="38" t="inlineStr">
        <is>
          <t>P4 / M3 · SFIA 4–5</t>
        </is>
      </c>
      <c r="AX4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1" s="39" t="inlineStr">
        <is>
          <t>B2</t>
        </is>
      </c>
      <c r="AZ431" s="40" t="inlineStr">
        <is>
          <t>Band B · Specialist / Manager · Senior Specialist</t>
        </is>
      </c>
      <c r="BA431" s="40" t="inlineStr">
        <is>
          <t>Model B2 from the six ratings, the market-derived weights and rules R1–R13 · then No change · already below the manager</t>
        </is>
      </c>
      <c r="BB431" s="41" t="inlineStr">
        <is>
          <t>B2</t>
        </is>
      </c>
      <c r="BC431" s="40" t="inlineStr">
        <is>
          <t>The six ratings on the market-average weights of Band B · Specialist / POD Lead score 4.55 → B2 · Hay, Mercer IPE and public plans · experience Not provided · HRIS yrs vs the B2 market range 6–10</t>
        </is>
      </c>
      <c r="BD431" s="42">
        <f>IF(SUM(BM431,BN431,BO431,BP431,BQ431,BR431,BS431)=0,0,(BM431*BT431+BN431*BU431+BO431*BV431+BP431*BW431+BQ431*BX431+BR431*BY431+BS431*BZ431)/SUM(BM431,BN431,BO431,BP431,BQ431,BR431,BS431))</f>
        <v>0</v>
      </c>
      <c r="BE431" s="41" t="str">
        <f>IF(LEFT(AY431,1)="X",AY431,IF(OR(AY431="B+",AY431="C+"),INDEX(LAD_PC,MAX(1,MIN(14,MATCH(AY431,LAD_PC,0)+IF(BD431&gt;=0.5,1,IF(BD431&lt;=-0.5,-1,0))))),INDEX(LAD_STD,MAX(1,MIN(12,MATCH(AY431,LAD_STD,0)+IF(BD431&gt;=0.5,1,IF(BD431&lt;=-0.5,-1,0)))))))</f>
        <v>B2</v>
      </c>
      <c r="BF431" s="43" t="n"/>
      <c r="BG431" s="41" t="str">
        <f>IF(BF431&lt;&gt;"",BF431,BE431)</f>
        <v>B2</v>
      </c>
      <c r="BH431" s="40" t="str">
        <f>IFERROR(CHOOSE(INDEX(B_RANK,MATCH(BG431,B_LVL,0)),"Band A","Band B","B+ · Player-Coach","Band C","C+ · Player-Coach","Band D","Band E"),"Band X · Consultant")</f>
        <v>Band B</v>
      </c>
      <c r="BI431" s="40" t="str">
        <f>IF(BG431=AY431,"• Same",IF(INDEX(B_VAL,MATCH(BG431,B_LVL,0))&gt;INDEX(B_VAL,MATCH(AY431,B_LVL,0)),"▲ Up","▼ Down"))</f>
        <v>• Same</v>
      </c>
      <c r="BJ431" s="40" t="str">
        <f>IF(OR($M431="",$M431="—",$M431="Not in this file"),"",IFERROR(INDEX($BG$7:$BG$592,MATCH($M431,$D$7:$D$592,0)),""))</f>
        <v>D2</v>
      </c>
      <c r="BK431" s="40" t="str">
        <f>IFERROR(IF(BJ431="","—",IF(OR(LEFT(BG431,1)="X",LEFT(BJ431,1)="X"),"—",IF(AND(LEFT(BG431,1)="E",LEFT(BJ431,1)="E"),"Exception · Band E",IF(AND(INDEX(B_VAL,MATCH(BJ431,B_LVL,0))&gt;=7,INDEX(B_RANK,MATCH(BG431,B_LVL,0))&gt;=INDEX(B_RANK,MATCH(BJ431,B_LVL,0))),"⚠ Same band as a head manager",IF(INDEX(B_VAL,MATCH(BG431,B_LVL,0))&gt;=INDEX(B_VAL,MATCH(BJ431,B_LVL,0)),"⚠ At or above the manager's level","OK"))))),"—")</f>
        <v>OK</v>
      </c>
      <c r="BL431" s="43" t="n"/>
      <c r="BM431" s="44">
        <f>IFERROR(INDEX(LMH_PTS,MATCH(Y431,LMH_KEY,0)),0)</f>
        <v>9</v>
      </c>
      <c r="BN431" s="38">
        <f>IFERROR(INDEX(LMH_PTS,MATCH(Z431,LMH_KEY,0)),0)</f>
        <v>3</v>
      </c>
      <c r="BO431" s="38">
        <f>IFERROR(INDEX(LMH_PTS,MATCH(AA431,LMH_KEY,0)),0)</f>
        <v>3</v>
      </c>
      <c r="BP431" s="38">
        <f>IFERROR(INDEX(LMH_PTS,MATCH(AB431,LMH_KEY,0)),0)</f>
        <v>1</v>
      </c>
      <c r="BQ431" s="38">
        <f>IFERROR(INDEX(LMH_PTS,MATCH(AC431,LMH_KEY,0)),0)</f>
        <v>1</v>
      </c>
      <c r="BR431" s="38">
        <f>IFERROR(INDEX(LMH_PTS,MATCH(AD431,LMH_KEY,0)),0)</f>
        <v>1</v>
      </c>
      <c r="BS431" s="38">
        <f>IFERROR(INDEX(LMH_PTS,MATCH(AE431,LMH_KEY,0)),0)</f>
        <v>1</v>
      </c>
      <c r="BT431" s="38">
        <f>IFERROR(INDEX(LMH_STEP,MATCH(AF431,LMH_KEY,0)),0)</f>
        <v>0</v>
      </c>
      <c r="BU431" s="38">
        <f>IFERROR(INDEX(LMH_STEP,MATCH(AG431,LMH_KEY,0)),0)</f>
        <v>0</v>
      </c>
      <c r="BV431" s="38">
        <f>IFERROR(INDEX(LMH_STEP,MATCH(AH431,LMH_KEY,0)),0)</f>
        <v>0</v>
      </c>
      <c r="BW431" s="38">
        <f>IFERROR(INDEX(LMH_STEP,MATCH(AI431,LMH_KEY,0)),0)</f>
        <v>0</v>
      </c>
      <c r="BX431" s="38">
        <f>IFERROR(INDEX(LMH_STEP,MATCH(AJ431,LMH_KEY,0)),0)</f>
        <v>0</v>
      </c>
      <c r="BY431" s="38">
        <f>IFERROR(INDEX(LMH_STEP,MATCH(AK431,LMH_KEY,0)),0)</f>
        <v>0</v>
      </c>
      <c r="BZ431" s="38">
        <f>IFERROR(INDEX(LMH_STEP,MATCH(AL431,LMH_KEY,0)),0)</f>
        <v>0</v>
      </c>
      <c r="CA431" s="38" t="inlineStr">
        <is>
          <t>Datatech|Product Management|Product Manager|B2|B-IC</t>
        </is>
      </c>
    </row>
    <row r="432" ht="110" customHeight="1">
      <c r="A432" s="28" t="inlineStr">
        <is>
          <t>Datatech</t>
        </is>
      </c>
      <c r="B432" s="29" t="inlineStr">
        <is>
          <t>Technology</t>
        </is>
      </c>
      <c r="C432" s="29" t="n">
        <v>2</v>
      </c>
      <c r="D432" s="29" t="inlineStr">
        <is>
          <t>IRISDT0018</t>
        </is>
      </c>
      <c r="E432" s="29" t="inlineStr">
        <is>
          <t>Shivam Dhumal</t>
        </is>
      </c>
      <c r="F432" s="29" t="inlineStr">
        <is>
          <t>Software Engineer</t>
        </is>
      </c>
      <c r="G432" s="29" t="inlineStr">
        <is>
          <t>Senior Software Engineer</t>
        </is>
      </c>
      <c r="H432" s="29" t="inlineStr">
        <is>
          <t>Engineering &amp; Development</t>
        </is>
      </c>
      <c r="I432" s="29" t="inlineStr">
        <is>
          <t>Backend Development</t>
        </is>
      </c>
      <c r="J432" s="29" t="inlineStr">
        <is>
          <t>IC</t>
        </is>
      </c>
      <c r="K432" s="29" t="inlineStr">
        <is>
          <t>RC-067</t>
        </is>
      </c>
      <c r="L432" s="29" t="inlineStr">
        <is>
          <t>Shilpa Dhobale</t>
        </is>
      </c>
      <c r="M432" s="29" t="inlineStr">
        <is>
          <t>IRISDT0001</t>
        </is>
      </c>
      <c r="N432" s="29" t="n">
        <v>4.6</v>
      </c>
      <c r="O432" s="29" t="n">
        <v>0.5</v>
      </c>
      <c r="P432" s="29" t="inlineStr">
        <is>
          <t>B.Tech</t>
        </is>
      </c>
      <c r="Q432" s="29" t="inlineStr">
        <is>
          <t>L3 – Professional / Associate</t>
        </is>
      </c>
      <c r="R432" s="29" t="inlineStr">
        <is>
          <t>A3</t>
        </is>
      </c>
      <c r="S432" s="30" t="inlineStr">
        <is>
          <t>20 of 20</t>
        </is>
      </c>
      <c r="T432" s="31" t="inlineStr">
        <is>
          <t>Business Impact: Moved +0.5: the survey / manager mapping marks it business-critical.</t>
        </is>
      </c>
      <c r="U432"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32" s="31" t="inlineStr">
        <is>
          <t>Latest rating: 3 · Potential: Medium · 9-box: Emerging Talent · Readiness: Develop in role</t>
        </is>
      </c>
      <c r="W432" s="31" t="inlineStr">
        <is>
          <t>C M · Au L · Ac M · L L · BI M · Exp H · 4.6 yrs vs 2–4 yrs · Edu M · B.Tech</t>
        </is>
      </c>
      <c r="X432" s="33" t="inlineStr">
        <is>
          <t>Open ▸</t>
        </is>
      </c>
      <c r="Y432" s="34" t="str">
        <f>IFERROR(INDEX(DL_C,MATCH($CA432,DL_KEY,0)),"M")</f>
        <v>H</v>
      </c>
      <c r="Z432" s="35" t="str">
        <f>IFERROR(INDEX(DL_Au,MATCH($CA432,DL_KEY,0)),"M")</f>
        <v>M</v>
      </c>
      <c r="AA432" s="35" t="str">
        <f>IFERROR(INDEX(DL_Ac,MATCH($CA432,DL_KEY,0)),"M")</f>
        <v>L</v>
      </c>
      <c r="AB432" s="35" t="str">
        <f>IFERROR(INDEX(DL_L,MATCH($CA432,DL_KEY,0)),"M")</f>
        <v>L</v>
      </c>
      <c r="AC432" s="35" t="str">
        <f>IFERROR(INDEX(DL_BI,MATCH($CA432,DL_KEY,0)),"M")</f>
        <v>L</v>
      </c>
      <c r="AD432" s="35" t="str">
        <f>IFERROR(INDEX(DL_Exp,MATCH($CA432,DL_KEY,0)),"M")</f>
        <v>L</v>
      </c>
      <c r="AE432" s="35" t="str">
        <f>IFERROR(INDEX(DL_Edu,MATCH($CA432,DL_KEY,0)),"M")</f>
        <v>L</v>
      </c>
      <c r="AF432" s="34" t="inlineStr">
        <is>
          <t>M</t>
        </is>
      </c>
      <c r="AG432" s="35" t="inlineStr">
        <is>
          <t>M</t>
        </is>
      </c>
      <c r="AH432" s="35" t="inlineStr">
        <is>
          <t>M</t>
        </is>
      </c>
      <c r="AI432" s="35" t="inlineStr">
        <is>
          <t>M</t>
        </is>
      </c>
      <c r="AJ432" s="35" t="inlineStr">
        <is>
          <t>M</t>
        </is>
      </c>
      <c r="AK432" s="35" t="inlineStr">
        <is>
          <t>M</t>
        </is>
      </c>
      <c r="AL432" s="35" t="inlineStr">
        <is>
          <t>M</t>
        </is>
      </c>
      <c r="AM432" s="36" t="n">
        <v>0.583</v>
      </c>
      <c r="AN432" s="37" t="n">
        <v>0.16</v>
      </c>
      <c r="AO432" s="37" t="n">
        <v>0.09</v>
      </c>
      <c r="AP432" s="37" t="n">
        <v>0</v>
      </c>
      <c r="AQ432" s="37" t="n">
        <v>0.063</v>
      </c>
      <c r="AR432" s="37" t="n">
        <v>0.06</v>
      </c>
      <c r="AS432" s="37" t="n">
        <v>0.04</v>
      </c>
      <c r="AT432" s="38" t="inlineStr">
        <is>
          <t>2–5</t>
        </is>
      </c>
      <c r="AU432" s="38" t="inlineStr">
        <is>
          <t>Graduate; relevant certification preferred</t>
        </is>
      </c>
      <c r="AV432" s="38" t="inlineStr">
        <is>
          <t>None · guides 1–3 juniors informally</t>
        </is>
      </c>
      <c r="AW432" s="38" t="inlineStr">
        <is>
          <t>P2 · SFIA 3 Apply</t>
        </is>
      </c>
      <c r="AX4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2" s="39" t="inlineStr">
        <is>
          <t>A3</t>
        </is>
      </c>
      <c r="AZ432" s="40" t="inlineStr">
        <is>
          <t>Band A · Practitioner · Senior Associate</t>
        </is>
      </c>
      <c r="BA432" s="40" t="inlineStr">
        <is>
          <t>Model A3 from the six ratings, the market-derived weights and rules R1–R13 · then No change · already below the manager</t>
        </is>
      </c>
      <c r="BB432" s="41" t="inlineStr">
        <is>
          <t>A3</t>
        </is>
      </c>
      <c r="BC432" s="40" t="inlineStr">
        <is>
          <t>The six ratings on the market-average weights of Band A · all tracks score 2.55 → A3 · Hay, Mercer IPE and public plans · experience 4.6 yrs vs the A3 market range 2–5</t>
        </is>
      </c>
      <c r="BD432" s="42">
        <f>IF(SUM(BM432,BN432,BO432,BP432,BQ432,BR432,BS432)=0,0,(BM432*BT432+BN432*BU432+BO432*BV432+BP432*BW432+BQ432*BX432+BR432*BY432+BS432*BZ432)/SUM(BM432,BN432,BO432,BP432,BQ432,BR432,BS432))</f>
        <v>0</v>
      </c>
      <c r="BE432" s="41" t="str">
        <f>IF(LEFT(AY432,1)="X",AY432,IF(OR(AY432="B+",AY432="C+"),INDEX(LAD_PC,MAX(1,MIN(14,MATCH(AY432,LAD_PC,0)+IF(BD432&gt;=0.5,1,IF(BD432&lt;=-0.5,-1,0))))),INDEX(LAD_STD,MAX(1,MIN(12,MATCH(AY432,LAD_STD,0)+IF(BD432&gt;=0.5,1,IF(BD432&lt;=-0.5,-1,0)))))))</f>
        <v>A3</v>
      </c>
      <c r="BF432" s="43" t="n"/>
      <c r="BG432" s="41" t="str">
        <f>IF(BF432&lt;&gt;"",BF432,BE432)</f>
        <v>A3</v>
      </c>
      <c r="BH432" s="40" t="str">
        <f>IFERROR(CHOOSE(INDEX(B_RANK,MATCH(BG432,B_LVL,0)),"Band A","Band B","B+ · Player-Coach","Band C","C+ · Player-Coach","Band D","Band E"),"Band X · Consultant")</f>
        <v>Band A</v>
      </c>
      <c r="BI432" s="40" t="str">
        <f>IF(BG432=AY432,"• Same",IF(INDEX(B_VAL,MATCH(BG432,B_LVL,0))&gt;INDEX(B_VAL,MATCH(AY432,B_LVL,0)),"▲ Up","▼ Down"))</f>
        <v>• Same</v>
      </c>
      <c r="BJ432" s="40" t="str">
        <f>IF(OR($M432="",$M432="—",$M432="Not in this file"),"",IFERROR(INDEX($BG$7:$BG$592,MATCH($M432,$D$7:$D$592,0)),""))</f>
        <v>D2</v>
      </c>
      <c r="BK432" s="40" t="str">
        <f>IFERROR(IF(BJ432="","—",IF(OR(LEFT(BG432,1)="X",LEFT(BJ432,1)="X"),"—",IF(AND(LEFT(BG432,1)="E",LEFT(BJ432,1)="E"),"Exception · Band E",IF(AND(INDEX(B_VAL,MATCH(BJ432,B_LVL,0))&gt;=7,INDEX(B_RANK,MATCH(BG432,B_LVL,0))&gt;=INDEX(B_RANK,MATCH(BJ432,B_LVL,0))),"⚠ Same band as a head manager",IF(INDEX(B_VAL,MATCH(BG432,B_LVL,0))&gt;=INDEX(B_VAL,MATCH(BJ432,B_LVL,0)),"⚠ At or above the manager's level","OK"))))),"—")</f>
        <v>OK</v>
      </c>
      <c r="BL432" s="43" t="n"/>
      <c r="BM432" s="44">
        <f>IFERROR(INDEX(LMH_PTS,MATCH(Y432,LMH_KEY,0)),0)</f>
        <v>9</v>
      </c>
      <c r="BN432" s="38">
        <f>IFERROR(INDEX(LMH_PTS,MATCH(Z432,LMH_KEY,0)),0)</f>
        <v>3</v>
      </c>
      <c r="BO432" s="38">
        <f>IFERROR(INDEX(LMH_PTS,MATCH(AA432,LMH_KEY,0)),0)</f>
        <v>1</v>
      </c>
      <c r="BP432" s="38">
        <f>IFERROR(INDEX(LMH_PTS,MATCH(AB432,LMH_KEY,0)),0)</f>
        <v>1</v>
      </c>
      <c r="BQ432" s="38">
        <f>IFERROR(INDEX(LMH_PTS,MATCH(AC432,LMH_KEY,0)),0)</f>
        <v>1</v>
      </c>
      <c r="BR432" s="38">
        <f>IFERROR(INDEX(LMH_PTS,MATCH(AD432,LMH_KEY,0)),0)</f>
        <v>1</v>
      </c>
      <c r="BS432" s="38">
        <f>IFERROR(INDEX(LMH_PTS,MATCH(AE432,LMH_KEY,0)),0)</f>
        <v>1</v>
      </c>
      <c r="BT432" s="38">
        <f>IFERROR(INDEX(LMH_STEP,MATCH(AF432,LMH_KEY,0)),0)</f>
        <v>0</v>
      </c>
      <c r="BU432" s="38">
        <f>IFERROR(INDEX(LMH_STEP,MATCH(AG432,LMH_KEY,0)),0)</f>
        <v>0</v>
      </c>
      <c r="BV432" s="38">
        <f>IFERROR(INDEX(LMH_STEP,MATCH(AH432,LMH_KEY,0)),0)</f>
        <v>0</v>
      </c>
      <c r="BW432" s="38">
        <f>IFERROR(INDEX(LMH_STEP,MATCH(AI432,LMH_KEY,0)),0)</f>
        <v>0</v>
      </c>
      <c r="BX432" s="38">
        <f>IFERROR(INDEX(LMH_STEP,MATCH(AJ432,LMH_KEY,0)),0)</f>
        <v>0</v>
      </c>
      <c r="BY432" s="38">
        <f>IFERROR(INDEX(LMH_STEP,MATCH(AK432,LMH_KEY,0)),0)</f>
        <v>0</v>
      </c>
      <c r="BZ432" s="38">
        <f>IFERROR(INDEX(LMH_STEP,MATCH(AL432,LMH_KEY,0)),0)</f>
        <v>0</v>
      </c>
      <c r="CA432" s="38" t="inlineStr">
        <is>
          <t>Datatech|Technology|Senior Software Engineer|A3|A</t>
        </is>
      </c>
    </row>
    <row r="433" ht="110" customHeight="1">
      <c r="A433" s="28" t="inlineStr">
        <is>
          <t>Datatech</t>
        </is>
      </c>
      <c r="B433" s="29" t="inlineStr">
        <is>
          <t>Quality Assurance</t>
        </is>
      </c>
      <c r="C433" s="29" t="n">
        <v>2</v>
      </c>
      <c r="D433" s="29" t="inlineStr">
        <is>
          <t>IRISDTC005</t>
        </is>
      </c>
      <c r="E433" s="29" t="inlineStr">
        <is>
          <t>Smita Londhe</t>
        </is>
      </c>
      <c r="F433" s="29" t="inlineStr">
        <is>
          <t>QA Engineer</t>
        </is>
      </c>
      <c r="G433" s="29" t="inlineStr">
        <is>
          <t>Senior QA Automation Engineer</t>
        </is>
      </c>
      <c r="H433" s="29" t="inlineStr">
        <is>
          <t>Quality Assurance</t>
        </is>
      </c>
      <c r="I433" s="29" t="inlineStr">
        <is>
          <t>Test Automation</t>
        </is>
      </c>
      <c r="J433" s="29" t="inlineStr">
        <is>
          <t>IC</t>
        </is>
      </c>
      <c r="K433" s="29" t="inlineStr">
        <is>
          <t>RC-146</t>
        </is>
      </c>
      <c r="L433" s="29" t="inlineStr">
        <is>
          <t>Shilpa Dhobale</t>
        </is>
      </c>
      <c r="M433" s="29" t="inlineStr">
        <is>
          <t>IRISDT0001</t>
        </is>
      </c>
      <c r="N433" s="29" t="n">
        <v>3.7</v>
      </c>
      <c r="O433" s="29" t="n">
        <v>0.1</v>
      </c>
      <c r="P433" s="29" t="inlineStr">
        <is>
          <t>M.E</t>
        </is>
      </c>
      <c r="Q433" s="29" t="inlineStr">
        <is>
          <t>Not in current mapping files</t>
        </is>
      </c>
      <c r="R433" s="29" t="inlineStr">
        <is>
          <t>A3</t>
        </is>
      </c>
      <c r="S433" s="30" t="inlineStr">
        <is>
          <t>20 of 20</t>
        </is>
      </c>
      <c r="T433" s="31"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t>
        </is>
      </c>
      <c r="U433" s="32" t="inlineStr">
        <is>
          <t>KRAs not received · manager to supply</t>
        </is>
      </c>
      <c r="V433" s="31" t="inlineStr">
        <is>
          <t>Latest rating: Not rated · manager · 9-box: Not placed · manager · Readiness: No rating data</t>
        </is>
      </c>
      <c r="W433" s="31" t="inlineStr">
        <is>
          <t>C L · Au L · Ac M · L L · BI M · Exp M · 3.7 yrs vs 2–4 yrs · Edu H · M.E</t>
        </is>
      </c>
      <c r="X433" s="33" t="inlineStr">
        <is>
          <t>Open ▸</t>
        </is>
      </c>
      <c r="Y433" s="34" t="str">
        <f>IFERROR(INDEX(DL_C,MATCH($CA433,DL_KEY,0)),"M")</f>
        <v>H</v>
      </c>
      <c r="Z433" s="35" t="str">
        <f>IFERROR(INDEX(DL_Au,MATCH($CA433,DL_KEY,0)),"M")</f>
        <v>M</v>
      </c>
      <c r="AA433" s="35" t="str">
        <f>IFERROR(INDEX(DL_Ac,MATCH($CA433,DL_KEY,0)),"M")</f>
        <v>L</v>
      </c>
      <c r="AB433" s="35" t="str">
        <f>IFERROR(INDEX(DL_L,MATCH($CA433,DL_KEY,0)),"M")</f>
        <v>L</v>
      </c>
      <c r="AC433" s="35" t="str">
        <f>IFERROR(INDEX(DL_BI,MATCH($CA433,DL_KEY,0)),"M")</f>
        <v>L</v>
      </c>
      <c r="AD433" s="35" t="str">
        <f>IFERROR(INDEX(DL_Exp,MATCH($CA433,DL_KEY,0)),"M")</f>
        <v>L</v>
      </c>
      <c r="AE433" s="35" t="str">
        <f>IFERROR(INDEX(DL_Edu,MATCH($CA433,DL_KEY,0)),"M")</f>
        <v>L</v>
      </c>
      <c r="AF433" s="34" t="inlineStr">
        <is>
          <t>M</t>
        </is>
      </c>
      <c r="AG433" s="35" t="inlineStr">
        <is>
          <t>M</t>
        </is>
      </c>
      <c r="AH433" s="35" t="inlineStr">
        <is>
          <t>M</t>
        </is>
      </c>
      <c r="AI433" s="35" t="inlineStr">
        <is>
          <t>M</t>
        </is>
      </c>
      <c r="AJ433" s="35" t="inlineStr">
        <is>
          <t>M</t>
        </is>
      </c>
      <c r="AK433" s="35" t="inlineStr">
        <is>
          <t>M</t>
        </is>
      </c>
      <c r="AL433" s="35" t="inlineStr">
        <is>
          <t>M</t>
        </is>
      </c>
      <c r="AM433" s="36" t="n">
        <v>0.583</v>
      </c>
      <c r="AN433" s="37" t="n">
        <v>0.16</v>
      </c>
      <c r="AO433" s="37" t="n">
        <v>0.09</v>
      </c>
      <c r="AP433" s="37" t="n">
        <v>0</v>
      </c>
      <c r="AQ433" s="37" t="n">
        <v>0.063</v>
      </c>
      <c r="AR433" s="37" t="n">
        <v>0.06</v>
      </c>
      <c r="AS433" s="37" t="n">
        <v>0.04</v>
      </c>
      <c r="AT433" s="38" t="inlineStr">
        <is>
          <t>2–5</t>
        </is>
      </c>
      <c r="AU433" s="38" t="inlineStr">
        <is>
          <t>Graduate; relevant certification preferred</t>
        </is>
      </c>
      <c r="AV433" s="38" t="inlineStr">
        <is>
          <t>None · guides 1–3 juniors informally</t>
        </is>
      </c>
      <c r="AW433" s="38" t="inlineStr">
        <is>
          <t>P2 · SFIA 3 Apply</t>
        </is>
      </c>
      <c r="AX4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3" s="39" t="inlineStr">
        <is>
          <t>A3</t>
        </is>
      </c>
      <c r="AZ433" s="40" t="inlineStr">
        <is>
          <t>Band A · Practitioner · Senior Associate</t>
        </is>
      </c>
      <c r="BA433" s="40" t="inlineStr">
        <is>
          <t>Model A3 from the six ratings, the market-derived weights and rules R1–R13 · then No change · already below the manager</t>
        </is>
      </c>
      <c r="BB433" s="41" t="inlineStr">
        <is>
          <t>A2</t>
        </is>
      </c>
      <c r="BC433" s="40" t="inlineStr">
        <is>
          <t>The six ratings on the market-average weights of Band A · all tracks score 2.28 → A2 · Hay, Mercer IPE and public plans · experience 3.7 yrs vs the A2 market range 0–3</t>
        </is>
      </c>
      <c r="BD433" s="42">
        <f>IF(SUM(BM433,BN433,BO433,BP433,BQ433,BR433,BS433)=0,0,(BM433*BT433+BN433*BU433+BO433*BV433+BP433*BW433+BQ433*BX433+BR433*BY433+BS433*BZ433)/SUM(BM433,BN433,BO433,BP433,BQ433,BR433,BS433))</f>
        <v>0</v>
      </c>
      <c r="BE433" s="41" t="str">
        <f>IF(LEFT(AY433,1)="X",AY433,IF(OR(AY433="B+",AY433="C+"),INDEX(LAD_PC,MAX(1,MIN(14,MATCH(AY433,LAD_PC,0)+IF(BD433&gt;=0.5,1,IF(BD433&lt;=-0.5,-1,0))))),INDEX(LAD_STD,MAX(1,MIN(12,MATCH(AY433,LAD_STD,0)+IF(BD433&gt;=0.5,1,IF(BD433&lt;=-0.5,-1,0)))))))</f>
        <v>A3</v>
      </c>
      <c r="BF433" s="43" t="n"/>
      <c r="BG433" s="41" t="str">
        <f>IF(BF433&lt;&gt;"",BF433,BE433)</f>
        <v>A3</v>
      </c>
      <c r="BH433" s="40" t="str">
        <f>IFERROR(CHOOSE(INDEX(B_RANK,MATCH(BG433,B_LVL,0)),"Band A","Band B","B+ · Player-Coach","Band C","C+ · Player-Coach","Band D","Band E"),"Band X · Consultant")</f>
        <v>Band A</v>
      </c>
      <c r="BI433" s="40" t="str">
        <f>IF(BG433=AY433,"• Same",IF(INDEX(B_VAL,MATCH(BG433,B_LVL,0))&gt;INDEX(B_VAL,MATCH(AY433,B_LVL,0)),"▲ Up","▼ Down"))</f>
        <v>• Same</v>
      </c>
      <c r="BJ433" s="40" t="str">
        <f>IF(OR($M433="",$M433="—",$M433="Not in this file"),"",IFERROR(INDEX($BG$7:$BG$592,MATCH($M433,$D$7:$D$592,0)),""))</f>
        <v>D2</v>
      </c>
      <c r="BK433" s="40" t="str">
        <f>IFERROR(IF(BJ433="","—",IF(OR(LEFT(BG433,1)="X",LEFT(BJ433,1)="X"),"—",IF(AND(LEFT(BG433,1)="E",LEFT(BJ433,1)="E"),"Exception · Band E",IF(AND(INDEX(B_VAL,MATCH(BJ433,B_LVL,0))&gt;=7,INDEX(B_RANK,MATCH(BG433,B_LVL,0))&gt;=INDEX(B_RANK,MATCH(BJ433,B_LVL,0))),"⚠ Same band as a head manager",IF(INDEX(B_VAL,MATCH(BG433,B_LVL,0))&gt;=INDEX(B_VAL,MATCH(BJ433,B_LVL,0)),"⚠ At or above the manager's level","OK"))))),"—")</f>
        <v>OK</v>
      </c>
      <c r="BL433" s="43" t="n"/>
      <c r="BM433" s="44">
        <f>IFERROR(INDEX(LMH_PTS,MATCH(Y433,LMH_KEY,0)),0)</f>
        <v>9</v>
      </c>
      <c r="BN433" s="38">
        <f>IFERROR(INDEX(LMH_PTS,MATCH(Z433,LMH_KEY,0)),0)</f>
        <v>3</v>
      </c>
      <c r="BO433" s="38">
        <f>IFERROR(INDEX(LMH_PTS,MATCH(AA433,LMH_KEY,0)),0)</f>
        <v>1</v>
      </c>
      <c r="BP433" s="38">
        <f>IFERROR(INDEX(LMH_PTS,MATCH(AB433,LMH_KEY,0)),0)</f>
        <v>1</v>
      </c>
      <c r="BQ433" s="38">
        <f>IFERROR(INDEX(LMH_PTS,MATCH(AC433,LMH_KEY,0)),0)</f>
        <v>1</v>
      </c>
      <c r="BR433" s="38">
        <f>IFERROR(INDEX(LMH_PTS,MATCH(AD433,LMH_KEY,0)),0)</f>
        <v>1</v>
      </c>
      <c r="BS433" s="38">
        <f>IFERROR(INDEX(LMH_PTS,MATCH(AE433,LMH_KEY,0)),0)</f>
        <v>1</v>
      </c>
      <c r="BT433" s="38">
        <f>IFERROR(INDEX(LMH_STEP,MATCH(AF433,LMH_KEY,0)),0)</f>
        <v>0</v>
      </c>
      <c r="BU433" s="38">
        <f>IFERROR(INDEX(LMH_STEP,MATCH(AG433,LMH_KEY,0)),0)</f>
        <v>0</v>
      </c>
      <c r="BV433" s="38">
        <f>IFERROR(INDEX(LMH_STEP,MATCH(AH433,LMH_KEY,0)),0)</f>
        <v>0</v>
      </c>
      <c r="BW433" s="38">
        <f>IFERROR(INDEX(LMH_STEP,MATCH(AI433,LMH_KEY,0)),0)</f>
        <v>0</v>
      </c>
      <c r="BX433" s="38">
        <f>IFERROR(INDEX(LMH_STEP,MATCH(AJ433,LMH_KEY,0)),0)</f>
        <v>0</v>
      </c>
      <c r="BY433" s="38">
        <f>IFERROR(INDEX(LMH_STEP,MATCH(AK433,LMH_KEY,0)),0)</f>
        <v>0</v>
      </c>
      <c r="BZ433" s="38">
        <f>IFERROR(INDEX(LMH_STEP,MATCH(AL433,LMH_KEY,0)),0)</f>
        <v>0</v>
      </c>
      <c r="CA433" s="38" t="inlineStr">
        <is>
          <t>Datatech|Quality Assurance|Senior QA Automation Engineer|A3|A</t>
        </is>
      </c>
    </row>
    <row r="434" ht="110" customHeight="1">
      <c r="A434" s="28" t="inlineStr">
        <is>
          <t>iFile</t>
        </is>
      </c>
      <c r="B434" s="29" t="inlineStr">
        <is>
          <t>XBRL Consulting</t>
        </is>
      </c>
      <c r="C434" s="29" t="n">
        <v>1</v>
      </c>
      <c r="D434" s="29" t="inlineStr">
        <is>
          <t>IRIS0362</t>
        </is>
      </c>
      <c r="E434" s="29" t="inlineStr">
        <is>
          <t>Rahul Dhamne</t>
        </is>
      </c>
      <c r="F434" s="29" t="inlineStr">
        <is>
          <t>Head Consulting</t>
        </is>
      </c>
      <c r="G434" s="29" t="inlineStr">
        <is>
          <t>Head – Consulting</t>
        </is>
      </c>
      <c r="H434" s="29" t="inlineStr">
        <is>
          <t>Executive Leadership</t>
        </is>
      </c>
      <c r="I434" s="29" t="inlineStr">
        <is>
          <t>Business Head</t>
        </is>
      </c>
      <c r="J434" s="29" t="inlineStr">
        <is>
          <t>People Manager</t>
        </is>
      </c>
      <c r="K434" s="29" t="inlineStr">
        <is>
          <t>RC-EL-BH-C2</t>
        </is>
      </c>
      <c r="L434" s="29" t="inlineStr">
        <is>
          <t>Balachandran K</t>
        </is>
      </c>
      <c r="M434" s="29" t="inlineStr">
        <is>
          <t>IRIS0001</t>
        </is>
      </c>
      <c r="N434" s="29" t="n">
        <v>16.9</v>
      </c>
      <c r="O434" s="29" t="n">
        <v>16.5</v>
      </c>
      <c r="P434" s="29" t="inlineStr">
        <is>
          <t>CA</t>
        </is>
      </c>
      <c r="Q434" s="29" t="inlineStr">
        <is>
          <t>L7 – Head / Sr Director</t>
        </is>
      </c>
      <c r="R434" s="29" t="inlineStr">
        <is>
          <t>C2</t>
        </is>
      </c>
      <c r="S434" s="30" t="inlineStr">
        <is>
          <t>0 of 20</t>
        </is>
      </c>
      <c r="T43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34" s="31" t="inlineStr">
        <is>
          <t>Received · manager annual, quarterly · N/A – span owner · assessor</t>
        </is>
      </c>
      <c r="V434" s="31" t="inlineStr">
        <is>
          <t>Latest rating: Not rated · manager · 9-box: Not placed · manager · Readiness: No rating data</t>
        </is>
      </c>
      <c r="W434" s="31" t="inlineStr">
        <is>
          <t>C M · Au M · Ac M · L L · BI M · Exp M · 16.9 yrs vs 12–17 yrs · Edu H · CA</t>
        </is>
      </c>
      <c r="X434" s="33" t="inlineStr">
        <is>
          <t>Open ▸</t>
        </is>
      </c>
      <c r="Y434" s="34" t="str">
        <f>IFERROR(INDEX(DL_C,MATCH($CA434,DL_KEY,0)),"M")</f>
        <v>H</v>
      </c>
      <c r="Z434" s="35" t="str">
        <f>IFERROR(INDEX(DL_Au,MATCH($CA434,DL_KEY,0)),"M")</f>
        <v>M</v>
      </c>
      <c r="AA434" s="35" t="str">
        <f>IFERROR(INDEX(DL_Ac,MATCH($CA434,DL_KEY,0)),"M")</f>
        <v>M</v>
      </c>
      <c r="AB434" s="35" t="str">
        <f>IFERROR(INDEX(DL_L,MATCH($CA434,DL_KEY,0)),"M")</f>
        <v>M</v>
      </c>
      <c r="AC434" s="35" t="str">
        <f>IFERROR(INDEX(DL_BI,MATCH($CA434,DL_KEY,0)),"M")</f>
        <v>L</v>
      </c>
      <c r="AD434" s="35" t="str">
        <f>IFERROR(INDEX(DL_Exp,MATCH($CA434,DL_KEY,0)),"M")</f>
        <v>L</v>
      </c>
      <c r="AE434" s="35" t="str">
        <f>IFERROR(INDEX(DL_Edu,MATCH($CA434,DL_KEY,0)),"M")</f>
        <v>L</v>
      </c>
      <c r="AF434" s="34" t="inlineStr">
        <is>
          <t>M</t>
        </is>
      </c>
      <c r="AG434" s="35" t="inlineStr">
        <is>
          <t>M</t>
        </is>
      </c>
      <c r="AH434" s="35" t="inlineStr">
        <is>
          <t>M</t>
        </is>
      </c>
      <c r="AI434" s="35" t="inlineStr">
        <is>
          <t>M</t>
        </is>
      </c>
      <c r="AJ434" s="35" t="inlineStr">
        <is>
          <t>M</t>
        </is>
      </c>
      <c r="AK434" s="35" t="inlineStr">
        <is>
          <t>M</t>
        </is>
      </c>
      <c r="AL434" s="35" t="inlineStr">
        <is>
          <t>M</t>
        </is>
      </c>
      <c r="AM434" s="36" t="n">
        <v>0.433</v>
      </c>
      <c r="AN434" s="37" t="n">
        <v>0.18</v>
      </c>
      <c r="AO434" s="37" t="n">
        <v>0.107</v>
      </c>
      <c r="AP434" s="37" t="n">
        <v>0.15</v>
      </c>
      <c r="AQ434" s="37" t="n">
        <v>0.08</v>
      </c>
      <c r="AR434" s="37" t="n">
        <v>0.04</v>
      </c>
      <c r="AS434" s="37" t="n">
        <v>0.01</v>
      </c>
      <c r="AT434" s="38" t="inlineStr">
        <is>
          <t>12–17 yrs</t>
        </is>
      </c>
      <c r="AU434" s="38" t="inlineStr">
        <is>
          <t>Postgraduate / professional qualification preferred</t>
        </is>
      </c>
      <c r="AV434" s="38" t="inlineStr">
        <is>
          <t>5–8 managers / associate heads</t>
        </is>
      </c>
      <c r="AW434" s="38" t="inlineStr">
        <is>
          <t>P7 / M6 · SFIA 6 Initiate, influence</t>
        </is>
      </c>
      <c r="AX4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4" s="39" t="inlineStr">
        <is>
          <t>C2</t>
        </is>
      </c>
      <c r="AZ434" s="40" t="inlineStr">
        <is>
          <t>Band C · Principal / Head · Head of Function</t>
        </is>
      </c>
      <c r="BA434" s="40" t="inlineStr">
        <is>
          <t>Model C2 from the six ratings, the market-derived weights and rules R1–R13 · then No change · already below the manager</t>
        </is>
      </c>
      <c r="BB434" s="41" t="inlineStr">
        <is>
          <t>C2</t>
        </is>
      </c>
      <c r="BC434" s="40" t="inlineStr">
        <is>
          <t>The six ratings on the market-average weights of Band C · Head / manager score 7.86 → C2 · Hay, Mercer IPE and public plans · experience 16.9 yrs vs the C2 market range 12–17 yrs</t>
        </is>
      </c>
      <c r="BD434" s="42">
        <f>IF(SUM(BM434,BN434,BO434,BP434,BQ434,BR434,BS434)=0,0,(BM434*BT434+BN434*BU434+BO434*BV434+BP434*BW434+BQ434*BX434+BR434*BY434+BS434*BZ434)/SUM(BM434,BN434,BO434,BP434,BQ434,BR434,BS434))</f>
        <v>0</v>
      </c>
      <c r="BE434" s="41" t="str">
        <f>IF(LEFT(AY434,1)="X",AY434,IF(OR(AY434="B+",AY434="C+"),INDEX(LAD_PC,MAX(1,MIN(14,MATCH(AY434,LAD_PC,0)+IF(BD434&gt;=0.5,1,IF(BD434&lt;=-0.5,-1,0))))),INDEX(LAD_STD,MAX(1,MIN(12,MATCH(AY434,LAD_STD,0)+IF(BD434&gt;=0.5,1,IF(BD434&lt;=-0.5,-1,0)))))))</f>
        <v>C2</v>
      </c>
      <c r="BF434" s="43" t="n"/>
      <c r="BG434" s="41" t="str">
        <f>IF(BF434&lt;&gt;"",BF434,BE434)</f>
        <v>C2</v>
      </c>
      <c r="BH434" s="40" t="str">
        <f>IFERROR(CHOOSE(INDEX(B_RANK,MATCH(BG434,B_LVL,0)),"Band A","Band B","B+ · Player-Coach","Band C","C+ · Player-Coach","Band D","Band E"),"Band X · Consultant")</f>
        <v>Band C</v>
      </c>
      <c r="BI434" s="40" t="str">
        <f>IF(BG434=AY434,"• Same",IF(INDEX(B_VAL,MATCH(BG434,B_LVL,0))&gt;INDEX(B_VAL,MATCH(AY434,B_LVL,0)),"▲ Up","▼ Down"))</f>
        <v>• Same</v>
      </c>
      <c r="BJ434" s="40" t="str">
        <f>IF(OR($M434="",$M434="—",$M434="Not in this file"),"",IFERROR(INDEX($BG$7:$BG$592,MATCH($M434,$D$7:$D$592,0)),""))</f>
        <v>E2</v>
      </c>
      <c r="BK434" s="40" t="str">
        <f>IFERROR(IF(BJ434="","—",IF(OR(LEFT(BG434,1)="X",LEFT(BJ434,1)="X"),"—",IF(AND(LEFT(BG434,1)="E",LEFT(BJ434,1)="E"),"Exception · Band E",IF(AND(INDEX(B_VAL,MATCH(BJ434,B_LVL,0))&gt;=7,INDEX(B_RANK,MATCH(BG434,B_LVL,0))&gt;=INDEX(B_RANK,MATCH(BJ434,B_LVL,0))),"⚠ Same band as a head manager",IF(INDEX(B_VAL,MATCH(BG434,B_LVL,0))&gt;=INDEX(B_VAL,MATCH(BJ434,B_LVL,0)),"⚠ At or above the manager's level","OK"))))),"—")</f>
        <v>OK</v>
      </c>
      <c r="BL434" s="43" t="n"/>
      <c r="BM434" s="44">
        <f>IFERROR(INDEX(LMH_PTS,MATCH(Y434,LMH_KEY,0)),0)</f>
        <v>9</v>
      </c>
      <c r="BN434" s="38">
        <f>IFERROR(INDEX(LMH_PTS,MATCH(Z434,LMH_KEY,0)),0)</f>
        <v>3</v>
      </c>
      <c r="BO434" s="38">
        <f>IFERROR(INDEX(LMH_PTS,MATCH(AA434,LMH_KEY,0)),0)</f>
        <v>3</v>
      </c>
      <c r="BP434" s="38">
        <f>IFERROR(INDEX(LMH_PTS,MATCH(AB434,LMH_KEY,0)),0)</f>
        <v>3</v>
      </c>
      <c r="BQ434" s="38">
        <f>IFERROR(INDEX(LMH_PTS,MATCH(AC434,LMH_KEY,0)),0)</f>
        <v>1</v>
      </c>
      <c r="BR434" s="38">
        <f>IFERROR(INDEX(LMH_PTS,MATCH(AD434,LMH_KEY,0)),0)</f>
        <v>1</v>
      </c>
      <c r="BS434" s="38">
        <f>IFERROR(INDEX(LMH_PTS,MATCH(AE434,LMH_KEY,0)),0)</f>
        <v>1</v>
      </c>
      <c r="BT434" s="38">
        <f>IFERROR(INDEX(LMH_STEP,MATCH(AF434,LMH_KEY,0)),0)</f>
        <v>0</v>
      </c>
      <c r="BU434" s="38">
        <f>IFERROR(INDEX(LMH_STEP,MATCH(AG434,LMH_KEY,0)),0)</f>
        <v>0</v>
      </c>
      <c r="BV434" s="38">
        <f>IFERROR(INDEX(LMH_STEP,MATCH(AH434,LMH_KEY,0)),0)</f>
        <v>0</v>
      </c>
      <c r="BW434" s="38">
        <f>IFERROR(INDEX(LMH_STEP,MATCH(AI434,LMH_KEY,0)),0)</f>
        <v>0</v>
      </c>
      <c r="BX434" s="38">
        <f>IFERROR(INDEX(LMH_STEP,MATCH(AJ434,LMH_KEY,0)),0)</f>
        <v>0</v>
      </c>
      <c r="BY434" s="38">
        <f>IFERROR(INDEX(LMH_STEP,MATCH(AK434,LMH_KEY,0)),0)</f>
        <v>0</v>
      </c>
      <c r="BZ434" s="38">
        <f>IFERROR(INDEX(LMH_STEP,MATCH(AL434,LMH_KEY,0)),0)</f>
        <v>0</v>
      </c>
      <c r="CA434" s="38" t="inlineStr">
        <is>
          <t>iFile|XBRL Consulting|Head – Consulting|C2|C-M</t>
        </is>
      </c>
    </row>
    <row r="435" ht="110" customHeight="1">
      <c r="A435" s="28" t="inlineStr">
        <is>
          <t>iFile</t>
        </is>
      </c>
      <c r="B435" s="29" t="inlineStr">
        <is>
          <t>XBRL Consulting</t>
        </is>
      </c>
      <c r="C435" s="29" t="n">
        <v>2</v>
      </c>
      <c r="D435" s="29" t="inlineStr">
        <is>
          <t>IRIS2306</t>
        </is>
      </c>
      <c r="E435" s="29" t="inlineStr">
        <is>
          <t>Akshay Jain</t>
        </is>
      </c>
      <c r="F435" s="29" t="inlineStr">
        <is>
          <t>Lead Consultant</t>
        </is>
      </c>
      <c r="G435" s="29" t="inlineStr">
        <is>
          <t>Senior Taxonomy Specialist</t>
        </is>
      </c>
      <c r="H435" s="29" t="inlineStr">
        <is>
          <t>Consulting &amp; Professional Services</t>
        </is>
      </c>
      <c r="I435" s="29" t="inlineStr">
        <is>
          <t>Taxonomy Design &amp; Regulatory Consulting</t>
        </is>
      </c>
      <c r="J435" s="29" t="inlineStr">
        <is>
          <t>IC</t>
        </is>
      </c>
      <c r="K435" s="29" t="inlineStr">
        <is>
          <t>RC-021</t>
        </is>
      </c>
      <c r="L435" s="29" t="inlineStr">
        <is>
          <t>Rahul Dhamne</t>
        </is>
      </c>
      <c r="M435" s="29" t="inlineStr">
        <is>
          <t>IRIS0362</t>
        </is>
      </c>
      <c r="N435" s="29" t="n">
        <v>13.8</v>
      </c>
      <c r="O435" s="29" t="n">
        <v>2</v>
      </c>
      <c r="P435" s="29" t="inlineStr">
        <is>
          <t>CWA</t>
        </is>
      </c>
      <c r="Q435" s="29" t="inlineStr">
        <is>
          <t>L5 – Lead · IC</t>
        </is>
      </c>
      <c r="R435" s="29" t="inlineStr">
        <is>
          <t>B2</t>
        </is>
      </c>
      <c r="S435" s="30" t="inlineStr">
        <is>
          <t>14 of 20</t>
        </is>
      </c>
      <c r="T435" s="31"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t>
        </is>
      </c>
      <c r="U435"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5" s="31" t="inlineStr">
        <is>
          <t>Latest rating: 4 · Potential: High · 9-box: Future Leader · Readiness: Ready now</t>
        </is>
      </c>
      <c r="W435" s="31" t="inlineStr">
        <is>
          <t>C M · Au M · Ac M · L L · BI M · Exp H · 13.8 yrs vs 6–9 yrs · Edu H · CWA</t>
        </is>
      </c>
      <c r="X435" s="33" t="inlineStr">
        <is>
          <t>Open ▸</t>
        </is>
      </c>
      <c r="Y435" s="34" t="str">
        <f>IFERROR(INDEX(DL_C,MATCH($CA435,DL_KEY,0)),"M")</f>
        <v>H</v>
      </c>
      <c r="Z435" s="35" t="str">
        <f>IFERROR(INDEX(DL_Au,MATCH($CA435,DL_KEY,0)),"M")</f>
        <v>M</v>
      </c>
      <c r="AA435" s="35" t="str">
        <f>IFERROR(INDEX(DL_Ac,MATCH($CA435,DL_KEY,0)),"M")</f>
        <v>M</v>
      </c>
      <c r="AB435" s="35" t="str">
        <f>IFERROR(INDEX(DL_L,MATCH($CA435,DL_KEY,0)),"M")</f>
        <v>L</v>
      </c>
      <c r="AC435" s="35" t="str">
        <f>IFERROR(INDEX(DL_BI,MATCH($CA435,DL_KEY,0)),"M")</f>
        <v>L</v>
      </c>
      <c r="AD435" s="35" t="str">
        <f>IFERROR(INDEX(DL_Exp,MATCH($CA435,DL_KEY,0)),"M")</f>
        <v>L</v>
      </c>
      <c r="AE435" s="35" t="str">
        <f>IFERROR(INDEX(DL_Edu,MATCH($CA435,DL_KEY,0)),"M")</f>
        <v>L</v>
      </c>
      <c r="AF435" s="34" t="inlineStr">
        <is>
          <t>M</t>
        </is>
      </c>
      <c r="AG435" s="35" t="inlineStr">
        <is>
          <t>M</t>
        </is>
      </c>
      <c r="AH435" s="35" t="inlineStr">
        <is>
          <t>M</t>
        </is>
      </c>
      <c r="AI435" s="35" t="inlineStr">
        <is>
          <t>M</t>
        </is>
      </c>
      <c r="AJ435" s="35" t="inlineStr">
        <is>
          <t>M</t>
        </is>
      </c>
      <c r="AK435" s="35" t="inlineStr">
        <is>
          <t>M</t>
        </is>
      </c>
      <c r="AL435" s="35" t="inlineStr">
        <is>
          <t>M</t>
        </is>
      </c>
      <c r="AM435" s="36" t="n">
        <v>0.513</v>
      </c>
      <c r="AN435" s="37" t="n">
        <v>0.173</v>
      </c>
      <c r="AO435" s="37" t="n">
        <v>0.09699999999999999</v>
      </c>
      <c r="AP435" s="37" t="n">
        <v>0.05</v>
      </c>
      <c r="AQ435" s="37" t="n">
        <v>0.07000000000000001</v>
      </c>
      <c r="AR435" s="37" t="n">
        <v>0.06</v>
      </c>
      <c r="AS435" s="37" t="n">
        <v>0.04</v>
      </c>
      <c r="AT435" s="38" t="inlineStr">
        <is>
          <t>6–10</t>
        </is>
      </c>
      <c r="AU435" s="38" t="inlineStr">
        <is>
          <t>Graduate or postgraduate; professional qualification preferred</t>
        </is>
      </c>
      <c r="AV435" s="38" t="inlineStr">
        <is>
          <t>IC: none · People: 6–8 knowledge work, 8–12 standardised delivery</t>
        </is>
      </c>
      <c r="AW435" s="38" t="inlineStr">
        <is>
          <t>P4 / M3 · SFIA 4–5</t>
        </is>
      </c>
      <c r="AX4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5" s="39" t="inlineStr">
        <is>
          <t>B2</t>
        </is>
      </c>
      <c r="AZ435" s="40" t="inlineStr">
        <is>
          <t>Band B · Specialist / Manager · Senior Specialist</t>
        </is>
      </c>
      <c r="BA435" s="40" t="inlineStr">
        <is>
          <t>Model B2 from the six ratings, the market-derived weights and rules R1–R13 · then No change · already below the manager</t>
        </is>
      </c>
      <c r="BB435" s="41" t="inlineStr">
        <is>
          <t>B2</t>
        </is>
      </c>
      <c r="BC435" s="40" t="inlineStr">
        <is>
          <t>The six ratings on the market-average weights of Band B · Specialist / POD Lead score 4.85 → B2 · Hay, Mercer IPE and public plans · experience 13.8 yrs vs the B2 market range 6–10</t>
        </is>
      </c>
      <c r="BD435" s="42">
        <f>IF(SUM(BM435,BN435,BO435,BP435,BQ435,BR435,BS435)=0,0,(BM435*BT435+BN435*BU435+BO435*BV435+BP435*BW435+BQ435*BX435+BR435*BY435+BS435*BZ435)/SUM(BM435,BN435,BO435,BP435,BQ435,BR435,BS435))</f>
        <v>0</v>
      </c>
      <c r="BE435" s="41" t="str">
        <f>IF(LEFT(AY435,1)="X",AY435,IF(OR(AY435="B+",AY435="C+"),INDEX(LAD_PC,MAX(1,MIN(14,MATCH(AY435,LAD_PC,0)+IF(BD435&gt;=0.5,1,IF(BD435&lt;=-0.5,-1,0))))),INDEX(LAD_STD,MAX(1,MIN(12,MATCH(AY435,LAD_STD,0)+IF(BD435&gt;=0.5,1,IF(BD435&lt;=-0.5,-1,0)))))))</f>
        <v>B2</v>
      </c>
      <c r="BF435" s="43" t="n"/>
      <c r="BG435" s="41" t="str">
        <f>IF(BF435&lt;&gt;"",BF435,BE435)</f>
        <v>B2</v>
      </c>
      <c r="BH435" s="40" t="str">
        <f>IFERROR(CHOOSE(INDEX(B_RANK,MATCH(BG435,B_LVL,0)),"Band A","Band B","B+ · Player-Coach","Band C","C+ · Player-Coach","Band D","Band E"),"Band X · Consultant")</f>
        <v>Band B</v>
      </c>
      <c r="BI435" s="40" t="str">
        <f>IF(BG435=AY435,"• Same",IF(INDEX(B_VAL,MATCH(BG435,B_LVL,0))&gt;INDEX(B_VAL,MATCH(AY435,B_LVL,0)),"▲ Up","▼ Down"))</f>
        <v>• Same</v>
      </c>
      <c r="BJ435" s="40" t="str">
        <f>IF(OR($M435="",$M435="—",$M435="Not in this file"),"",IFERROR(INDEX($BG$7:$BG$592,MATCH($M435,$D$7:$D$592,0)),""))</f>
        <v>C2</v>
      </c>
      <c r="BK435" s="40" t="str">
        <f>IFERROR(IF(BJ435="","—",IF(OR(LEFT(BG435,1)="X",LEFT(BJ435,1)="X"),"—",IF(AND(LEFT(BG435,1)="E",LEFT(BJ435,1)="E"),"Exception · Band E",IF(AND(INDEX(B_VAL,MATCH(BJ435,B_LVL,0))&gt;=7,INDEX(B_RANK,MATCH(BG435,B_LVL,0))&gt;=INDEX(B_RANK,MATCH(BJ435,B_LVL,0))),"⚠ Same band as a head manager",IF(INDEX(B_VAL,MATCH(BG435,B_LVL,0))&gt;=INDEX(B_VAL,MATCH(BJ435,B_LVL,0)),"⚠ At or above the manager's level","OK"))))),"—")</f>
        <v>OK</v>
      </c>
      <c r="BL435" s="43" t="n"/>
      <c r="BM435" s="44">
        <f>IFERROR(INDEX(LMH_PTS,MATCH(Y435,LMH_KEY,0)),0)</f>
        <v>9</v>
      </c>
      <c r="BN435" s="38">
        <f>IFERROR(INDEX(LMH_PTS,MATCH(Z435,LMH_KEY,0)),0)</f>
        <v>3</v>
      </c>
      <c r="BO435" s="38">
        <f>IFERROR(INDEX(LMH_PTS,MATCH(AA435,LMH_KEY,0)),0)</f>
        <v>3</v>
      </c>
      <c r="BP435" s="38">
        <f>IFERROR(INDEX(LMH_PTS,MATCH(AB435,LMH_KEY,0)),0)</f>
        <v>1</v>
      </c>
      <c r="BQ435" s="38">
        <f>IFERROR(INDEX(LMH_PTS,MATCH(AC435,LMH_KEY,0)),0)</f>
        <v>1</v>
      </c>
      <c r="BR435" s="38">
        <f>IFERROR(INDEX(LMH_PTS,MATCH(AD435,LMH_KEY,0)),0)</f>
        <v>1</v>
      </c>
      <c r="BS435" s="38">
        <f>IFERROR(INDEX(LMH_PTS,MATCH(AE435,LMH_KEY,0)),0)</f>
        <v>1</v>
      </c>
      <c r="BT435" s="38">
        <f>IFERROR(INDEX(LMH_STEP,MATCH(AF435,LMH_KEY,0)),0)</f>
        <v>0</v>
      </c>
      <c r="BU435" s="38">
        <f>IFERROR(INDEX(LMH_STEP,MATCH(AG435,LMH_KEY,0)),0)</f>
        <v>0</v>
      </c>
      <c r="BV435" s="38">
        <f>IFERROR(INDEX(LMH_STEP,MATCH(AH435,LMH_KEY,0)),0)</f>
        <v>0</v>
      </c>
      <c r="BW435" s="38">
        <f>IFERROR(INDEX(LMH_STEP,MATCH(AI435,LMH_KEY,0)),0)</f>
        <v>0</v>
      </c>
      <c r="BX435" s="38">
        <f>IFERROR(INDEX(LMH_STEP,MATCH(AJ435,LMH_KEY,0)),0)</f>
        <v>0</v>
      </c>
      <c r="BY435" s="38">
        <f>IFERROR(INDEX(LMH_STEP,MATCH(AK435,LMH_KEY,0)),0)</f>
        <v>0</v>
      </c>
      <c r="BZ435" s="38">
        <f>IFERROR(INDEX(LMH_STEP,MATCH(AL435,LMH_KEY,0)),0)</f>
        <v>0</v>
      </c>
      <c r="CA435" s="38" t="inlineStr">
        <is>
          <t>iFile|XBRL Consulting|Senior Taxonomy Specialist|B2|B-IC</t>
        </is>
      </c>
    </row>
    <row r="436" ht="110" customHeight="1">
      <c r="A436" s="28" t="inlineStr">
        <is>
          <t>iFile</t>
        </is>
      </c>
      <c r="B436" s="29" t="inlineStr">
        <is>
          <t>XBRL Consulting</t>
        </is>
      </c>
      <c r="C436" s="29" t="n">
        <v>2</v>
      </c>
      <c r="D436" s="29" t="inlineStr">
        <is>
          <t>IRIS0448</t>
        </is>
      </c>
      <c r="E436" s="29" t="inlineStr">
        <is>
          <t>Kulanand Rupani</t>
        </is>
      </c>
      <c r="F436" s="29" t="inlineStr">
        <is>
          <t>Consultant</t>
        </is>
      </c>
      <c r="G436" s="29" t="inlineStr">
        <is>
          <t>Senior Taxonomy Specialist</t>
        </is>
      </c>
      <c r="H436" s="29" t="inlineStr">
        <is>
          <t>Consulting &amp; Professional Services</t>
        </is>
      </c>
      <c r="I436" s="29" t="inlineStr">
        <is>
          <t>Taxonomy Design &amp; Regulatory Consulting</t>
        </is>
      </c>
      <c r="J436" s="29" t="inlineStr">
        <is>
          <t>IC</t>
        </is>
      </c>
      <c r="K436" s="29" t="inlineStr">
        <is>
          <t>RC-021</t>
        </is>
      </c>
      <c r="L436" s="29" t="inlineStr">
        <is>
          <t>Rahul Dhamne</t>
        </is>
      </c>
      <c r="M436" s="29" t="inlineStr">
        <is>
          <t>IRIS0362</t>
        </is>
      </c>
      <c r="N436" s="29" t="n">
        <v>16.2</v>
      </c>
      <c r="O436" s="29" t="n">
        <v>16.2</v>
      </c>
      <c r="P436" s="29" t="inlineStr">
        <is>
          <t>ICWA</t>
        </is>
      </c>
      <c r="Q436" s="29" t="inlineStr">
        <is>
          <t>L3 – Professional / Associate</t>
        </is>
      </c>
      <c r="R436" s="29" t="inlineStr">
        <is>
          <t>B2</t>
        </is>
      </c>
      <c r="S436" s="30" t="inlineStr">
        <is>
          <t>20 of 20</t>
        </is>
      </c>
      <c r="T436" s="31"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t>
        </is>
      </c>
      <c r="U436"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6" s="31" t="inlineStr">
        <is>
          <t>Latest rating: 3 · Potential: Medium · 9-box: Trusted Professional · Readiness: Develop in role</t>
        </is>
      </c>
      <c r="W436" s="31" t="inlineStr">
        <is>
          <t>C L · Au L · Ac L · L L · BI L · Exp H · 16.2 yrs vs 6–9 yrs · Edu H · ICWA</t>
        </is>
      </c>
      <c r="X436" s="33" t="inlineStr">
        <is>
          <t>Open ▸</t>
        </is>
      </c>
      <c r="Y436" s="34" t="str">
        <f>IFERROR(INDEX(DL_C,MATCH($CA436,DL_KEY,0)),"M")</f>
        <v>H</v>
      </c>
      <c r="Z436" s="35" t="str">
        <f>IFERROR(INDEX(DL_Au,MATCH($CA436,DL_KEY,0)),"M")</f>
        <v>M</v>
      </c>
      <c r="AA436" s="35" t="str">
        <f>IFERROR(INDEX(DL_Ac,MATCH($CA436,DL_KEY,0)),"M")</f>
        <v>M</v>
      </c>
      <c r="AB436" s="35" t="str">
        <f>IFERROR(INDEX(DL_L,MATCH($CA436,DL_KEY,0)),"M")</f>
        <v>L</v>
      </c>
      <c r="AC436" s="35" t="str">
        <f>IFERROR(INDEX(DL_BI,MATCH($CA436,DL_KEY,0)),"M")</f>
        <v>L</v>
      </c>
      <c r="AD436" s="35" t="str">
        <f>IFERROR(INDEX(DL_Exp,MATCH($CA436,DL_KEY,0)),"M")</f>
        <v>L</v>
      </c>
      <c r="AE436" s="35" t="str">
        <f>IFERROR(INDEX(DL_Edu,MATCH($CA436,DL_KEY,0)),"M")</f>
        <v>L</v>
      </c>
      <c r="AF436" s="34" t="inlineStr">
        <is>
          <t>M</t>
        </is>
      </c>
      <c r="AG436" s="35" t="inlineStr">
        <is>
          <t>M</t>
        </is>
      </c>
      <c r="AH436" s="35" t="inlineStr">
        <is>
          <t>M</t>
        </is>
      </c>
      <c r="AI436" s="35" t="inlineStr">
        <is>
          <t>M</t>
        </is>
      </c>
      <c r="AJ436" s="35" t="inlineStr">
        <is>
          <t>M</t>
        </is>
      </c>
      <c r="AK436" s="35" t="inlineStr">
        <is>
          <t>M</t>
        </is>
      </c>
      <c r="AL436" s="35" t="inlineStr">
        <is>
          <t>M</t>
        </is>
      </c>
      <c r="AM436" s="36" t="n">
        <v>0.513</v>
      </c>
      <c r="AN436" s="37" t="n">
        <v>0.173</v>
      </c>
      <c r="AO436" s="37" t="n">
        <v>0.09699999999999999</v>
      </c>
      <c r="AP436" s="37" t="n">
        <v>0.05</v>
      </c>
      <c r="AQ436" s="37" t="n">
        <v>0.07000000000000001</v>
      </c>
      <c r="AR436" s="37" t="n">
        <v>0.06</v>
      </c>
      <c r="AS436" s="37" t="n">
        <v>0.04</v>
      </c>
      <c r="AT436" s="38" t="inlineStr">
        <is>
          <t>6–10</t>
        </is>
      </c>
      <c r="AU436" s="38" t="inlineStr">
        <is>
          <t>Graduate or postgraduate; professional qualification preferred</t>
        </is>
      </c>
      <c r="AV436" s="38" t="inlineStr">
        <is>
          <t>IC: none · People: 6–8 knowledge work, 8–12 standardised delivery</t>
        </is>
      </c>
      <c r="AW436" s="38" t="inlineStr">
        <is>
          <t>P4 / M3 · SFIA 4–5</t>
        </is>
      </c>
      <c r="AX4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6" s="39" t="inlineStr">
        <is>
          <t>B2</t>
        </is>
      </c>
      <c r="AZ436" s="40" t="inlineStr">
        <is>
          <t>Band B · Specialist / Manager · Senior Specialist</t>
        </is>
      </c>
      <c r="BA436" s="40" t="inlineStr">
        <is>
          <t>Model B2 from the six ratings, the market-derived weights and rules R1–R13 · then No change · already below the manager</t>
        </is>
      </c>
      <c r="BB436" s="41" t="inlineStr">
        <is>
          <t>B1</t>
        </is>
      </c>
      <c r="BC436" s="40" t="inlineStr">
        <is>
          <t>The six ratings on the market-average weights of Band B · Specialist / POD Lead score 4.50 → B1 · Hay, Mercer IPE and public plans · experience 16.2 yrs vs the B1 market range 4–8</t>
        </is>
      </c>
      <c r="BD436" s="42">
        <f>IF(SUM(BM436,BN436,BO436,BP436,BQ436,BR436,BS436)=0,0,(BM436*BT436+BN436*BU436+BO436*BV436+BP436*BW436+BQ436*BX436+BR436*BY436+BS436*BZ436)/SUM(BM436,BN436,BO436,BP436,BQ436,BR436,BS436))</f>
        <v>0</v>
      </c>
      <c r="BE436" s="41" t="str">
        <f>IF(LEFT(AY436,1)="X",AY436,IF(OR(AY436="B+",AY436="C+"),INDEX(LAD_PC,MAX(1,MIN(14,MATCH(AY436,LAD_PC,0)+IF(BD436&gt;=0.5,1,IF(BD436&lt;=-0.5,-1,0))))),INDEX(LAD_STD,MAX(1,MIN(12,MATCH(AY436,LAD_STD,0)+IF(BD436&gt;=0.5,1,IF(BD436&lt;=-0.5,-1,0)))))))</f>
        <v>B2</v>
      </c>
      <c r="BF436" s="43" t="n"/>
      <c r="BG436" s="41" t="str">
        <f>IF(BF436&lt;&gt;"",BF436,BE436)</f>
        <v>B2</v>
      </c>
      <c r="BH436" s="40" t="str">
        <f>IFERROR(CHOOSE(INDEX(B_RANK,MATCH(BG436,B_LVL,0)),"Band A","Band B","B+ · Player-Coach","Band C","C+ · Player-Coach","Band D","Band E"),"Band X · Consultant")</f>
        <v>Band B</v>
      </c>
      <c r="BI436" s="40" t="str">
        <f>IF(BG436=AY436,"• Same",IF(INDEX(B_VAL,MATCH(BG436,B_LVL,0))&gt;INDEX(B_VAL,MATCH(AY436,B_LVL,0)),"▲ Up","▼ Down"))</f>
        <v>• Same</v>
      </c>
      <c r="BJ436" s="40" t="str">
        <f>IF(OR($M436="",$M436="—",$M436="Not in this file"),"",IFERROR(INDEX($BG$7:$BG$592,MATCH($M436,$D$7:$D$592,0)),""))</f>
        <v>C2</v>
      </c>
      <c r="BK436" s="40" t="str">
        <f>IFERROR(IF(BJ436="","—",IF(OR(LEFT(BG436,1)="X",LEFT(BJ436,1)="X"),"—",IF(AND(LEFT(BG436,1)="E",LEFT(BJ436,1)="E"),"Exception · Band E",IF(AND(INDEX(B_VAL,MATCH(BJ436,B_LVL,0))&gt;=7,INDEX(B_RANK,MATCH(BG436,B_LVL,0))&gt;=INDEX(B_RANK,MATCH(BJ436,B_LVL,0))),"⚠ Same band as a head manager",IF(INDEX(B_VAL,MATCH(BG436,B_LVL,0))&gt;=INDEX(B_VAL,MATCH(BJ436,B_LVL,0)),"⚠ At or above the manager's level","OK"))))),"—")</f>
        <v>OK</v>
      </c>
      <c r="BL436" s="43" t="n"/>
      <c r="BM436" s="44">
        <f>IFERROR(INDEX(LMH_PTS,MATCH(Y436,LMH_KEY,0)),0)</f>
        <v>9</v>
      </c>
      <c r="BN436" s="38">
        <f>IFERROR(INDEX(LMH_PTS,MATCH(Z436,LMH_KEY,0)),0)</f>
        <v>3</v>
      </c>
      <c r="BO436" s="38">
        <f>IFERROR(INDEX(LMH_PTS,MATCH(AA436,LMH_KEY,0)),0)</f>
        <v>3</v>
      </c>
      <c r="BP436" s="38">
        <f>IFERROR(INDEX(LMH_PTS,MATCH(AB436,LMH_KEY,0)),0)</f>
        <v>1</v>
      </c>
      <c r="BQ436" s="38">
        <f>IFERROR(INDEX(LMH_PTS,MATCH(AC436,LMH_KEY,0)),0)</f>
        <v>1</v>
      </c>
      <c r="BR436" s="38">
        <f>IFERROR(INDEX(LMH_PTS,MATCH(AD436,LMH_KEY,0)),0)</f>
        <v>1</v>
      </c>
      <c r="BS436" s="38">
        <f>IFERROR(INDEX(LMH_PTS,MATCH(AE436,LMH_KEY,0)),0)</f>
        <v>1</v>
      </c>
      <c r="BT436" s="38">
        <f>IFERROR(INDEX(LMH_STEP,MATCH(AF436,LMH_KEY,0)),0)</f>
        <v>0</v>
      </c>
      <c r="BU436" s="38">
        <f>IFERROR(INDEX(LMH_STEP,MATCH(AG436,LMH_KEY,0)),0)</f>
        <v>0</v>
      </c>
      <c r="BV436" s="38">
        <f>IFERROR(INDEX(LMH_STEP,MATCH(AH436,LMH_KEY,0)),0)</f>
        <v>0</v>
      </c>
      <c r="BW436" s="38">
        <f>IFERROR(INDEX(LMH_STEP,MATCH(AI436,LMH_KEY,0)),0)</f>
        <v>0</v>
      </c>
      <c r="BX436" s="38">
        <f>IFERROR(INDEX(LMH_STEP,MATCH(AJ436,LMH_KEY,0)),0)</f>
        <v>0</v>
      </c>
      <c r="BY436" s="38">
        <f>IFERROR(INDEX(LMH_STEP,MATCH(AK436,LMH_KEY,0)),0)</f>
        <v>0</v>
      </c>
      <c r="BZ436" s="38">
        <f>IFERROR(INDEX(LMH_STEP,MATCH(AL436,LMH_KEY,0)),0)</f>
        <v>0</v>
      </c>
      <c r="CA436" s="38" t="inlineStr">
        <is>
          <t>iFile|XBRL Consulting|Senior Taxonomy Specialist|B2|B-IC</t>
        </is>
      </c>
    </row>
    <row r="437" ht="110" customHeight="1">
      <c r="A437" s="28" t="inlineStr">
        <is>
          <t>iFile</t>
        </is>
      </c>
      <c r="B437" s="29" t="inlineStr">
        <is>
          <t>XBRL Consulting</t>
        </is>
      </c>
      <c r="C437" s="29" t="n">
        <v>2</v>
      </c>
      <c r="D437" s="29" t="inlineStr">
        <is>
          <t>IRIS1035</t>
        </is>
      </c>
      <c r="E437" s="29" t="inlineStr">
        <is>
          <t>Shraddha Bagul</t>
        </is>
      </c>
      <c r="F437" s="29" t="inlineStr">
        <is>
          <t>Lead Consultant</t>
        </is>
      </c>
      <c r="G437" s="29" t="inlineStr">
        <is>
          <t>Senior Manager – Taxonomy Consulting</t>
        </is>
      </c>
      <c r="H437" s="29" t="inlineStr">
        <is>
          <t>Consulting &amp; Professional Services</t>
        </is>
      </c>
      <c r="I437" s="29" t="inlineStr">
        <is>
          <t>Taxonomy Design &amp; Regulatory Consulting</t>
        </is>
      </c>
      <c r="J437" s="29" t="inlineStr">
        <is>
          <t>People Manager</t>
        </is>
      </c>
      <c r="K437" s="29" t="inlineStr">
        <is>
          <t>RC-022</t>
        </is>
      </c>
      <c r="L437" s="29" t="inlineStr">
        <is>
          <t>Rahul Dhamne</t>
        </is>
      </c>
      <c r="M437" s="29" t="inlineStr">
        <is>
          <t>IRIS0362</t>
        </is>
      </c>
      <c r="N437" s="29" t="n">
        <v>14.8</v>
      </c>
      <c r="O437" s="29" t="n">
        <v>14.8</v>
      </c>
      <c r="P437" s="29" t="inlineStr">
        <is>
          <t>CA</t>
        </is>
      </c>
      <c r="Q437" s="29" t="inlineStr">
        <is>
          <t>L5 – Lead · IC</t>
        </is>
      </c>
      <c r="R437" s="29" t="inlineStr">
        <is>
          <t>B2</t>
        </is>
      </c>
      <c r="S437" s="30" t="inlineStr">
        <is>
          <t>20 of 20</t>
        </is>
      </c>
      <c r="T437" s="31"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t>
        </is>
      </c>
      <c r="U437"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7" s="31" t="inlineStr">
        <is>
          <t>Latest rating: 5 · Potential: High · 9-box: Future Leader · Readiness: Ready now</t>
        </is>
      </c>
      <c r="W437" s="31" t="inlineStr">
        <is>
          <t>C M · Au M · Ac M · L M · BI M · Exp H · 14.8 yrs vs 6–9 yrs · Edu H · CA</t>
        </is>
      </c>
      <c r="X437" s="33" t="inlineStr">
        <is>
          <t>Open ▸</t>
        </is>
      </c>
      <c r="Y437" s="34" t="str">
        <f>IFERROR(INDEX(DL_C,MATCH($CA437,DL_KEY,0)),"M")</f>
        <v>H</v>
      </c>
      <c r="Z437" s="35" t="str">
        <f>IFERROR(INDEX(DL_Au,MATCH($CA437,DL_KEY,0)),"M")</f>
        <v>M</v>
      </c>
      <c r="AA437" s="35" t="str">
        <f>IFERROR(INDEX(DL_Ac,MATCH($CA437,DL_KEY,0)),"M")</f>
        <v>M</v>
      </c>
      <c r="AB437" s="35" t="str">
        <f>IFERROR(INDEX(DL_L,MATCH($CA437,DL_KEY,0)),"M")</f>
        <v>M</v>
      </c>
      <c r="AC437" s="35" t="str">
        <f>IFERROR(INDEX(DL_BI,MATCH($CA437,DL_KEY,0)),"M")</f>
        <v>L</v>
      </c>
      <c r="AD437" s="35" t="str">
        <f>IFERROR(INDEX(DL_Exp,MATCH($CA437,DL_KEY,0)),"M")</f>
        <v>L</v>
      </c>
      <c r="AE437" s="35" t="str">
        <f>IFERROR(INDEX(DL_Edu,MATCH($CA437,DL_KEY,0)),"M")</f>
        <v>L</v>
      </c>
      <c r="AF437" s="34" t="inlineStr">
        <is>
          <t>M</t>
        </is>
      </c>
      <c r="AG437" s="35" t="inlineStr">
        <is>
          <t>M</t>
        </is>
      </c>
      <c r="AH437" s="35" t="inlineStr">
        <is>
          <t>M</t>
        </is>
      </c>
      <c r="AI437" s="35" t="inlineStr">
        <is>
          <t>M</t>
        </is>
      </c>
      <c r="AJ437" s="35" t="inlineStr">
        <is>
          <t>M</t>
        </is>
      </c>
      <c r="AK437" s="35" t="inlineStr">
        <is>
          <t>M</t>
        </is>
      </c>
      <c r="AL437" s="35" t="inlineStr">
        <is>
          <t>M</t>
        </is>
      </c>
      <c r="AM437" s="36" t="n">
        <v>0.37</v>
      </c>
      <c r="AN437" s="37" t="n">
        <v>0.183</v>
      </c>
      <c r="AO437" s="37" t="n">
        <v>0.113</v>
      </c>
      <c r="AP437" s="37" t="n">
        <v>0.15</v>
      </c>
      <c r="AQ437" s="37" t="n">
        <v>0.08699999999999999</v>
      </c>
      <c r="AR437" s="37" t="n">
        <v>0.06</v>
      </c>
      <c r="AS437" s="37" t="n">
        <v>0.04</v>
      </c>
      <c r="AT437" s="38" t="inlineStr">
        <is>
          <t>6–10</t>
        </is>
      </c>
      <c r="AU437" s="38" t="inlineStr">
        <is>
          <t>Graduate or postgraduate; professional qualification preferred</t>
        </is>
      </c>
      <c r="AV437" s="38" t="inlineStr">
        <is>
          <t>IC: none · People: 6–8 knowledge work, 8–12 standardised delivery</t>
        </is>
      </c>
      <c r="AW437" s="38" t="inlineStr">
        <is>
          <t>P4 / M3 · SFIA 4–5</t>
        </is>
      </c>
      <c r="AX4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7" s="39" t="inlineStr">
        <is>
          <t>B2</t>
        </is>
      </c>
      <c r="AZ437" s="40" t="inlineStr">
        <is>
          <t>Band B · Specialist / Manager · Manager</t>
        </is>
      </c>
      <c r="BA437" s="40" t="inlineStr">
        <is>
          <t>Model B2 from the six ratings, the market-derived weights and rules R1–R13 · then No change · already below the manager</t>
        </is>
      </c>
      <c r="BB437" s="41" t="inlineStr">
        <is>
          <t>B2</t>
        </is>
      </c>
      <c r="BC437" s="40" t="inlineStr">
        <is>
          <t>The six ratings on the market-average weights of Band B · People Manager score 5.40 → B2 · Hay, Mercer IPE and public plans · experience 14.8 yrs vs the B2 market range 6–10</t>
        </is>
      </c>
      <c r="BD437" s="42">
        <f>IF(SUM(BM437,BN437,BO437,BP437,BQ437,BR437,BS437)=0,0,(BM437*BT437+BN437*BU437+BO437*BV437+BP437*BW437+BQ437*BX437+BR437*BY437+BS437*BZ437)/SUM(BM437,BN437,BO437,BP437,BQ437,BR437,BS437))</f>
        <v>0</v>
      </c>
      <c r="BE437" s="41" t="str">
        <f>IF(LEFT(AY437,1)="X",AY437,IF(OR(AY437="B+",AY437="C+"),INDEX(LAD_PC,MAX(1,MIN(14,MATCH(AY437,LAD_PC,0)+IF(BD437&gt;=0.5,1,IF(BD437&lt;=-0.5,-1,0))))),INDEX(LAD_STD,MAX(1,MIN(12,MATCH(AY437,LAD_STD,0)+IF(BD437&gt;=0.5,1,IF(BD437&lt;=-0.5,-1,0)))))))</f>
        <v>B2</v>
      </c>
      <c r="BF437" s="43" t="n"/>
      <c r="BG437" s="41" t="str">
        <f>IF(BF437&lt;&gt;"",BF437,BE437)</f>
        <v>B2</v>
      </c>
      <c r="BH437" s="40" t="str">
        <f>IFERROR(CHOOSE(INDEX(B_RANK,MATCH(BG437,B_LVL,0)),"Band A","Band B","B+ · Player-Coach","Band C","C+ · Player-Coach","Band D","Band E"),"Band X · Consultant")</f>
        <v>Band B</v>
      </c>
      <c r="BI437" s="40" t="str">
        <f>IF(BG437=AY437,"• Same",IF(INDEX(B_VAL,MATCH(BG437,B_LVL,0))&gt;INDEX(B_VAL,MATCH(AY437,B_LVL,0)),"▲ Up","▼ Down"))</f>
        <v>• Same</v>
      </c>
      <c r="BJ437" s="40" t="str">
        <f>IF(OR($M437="",$M437="—",$M437="Not in this file"),"",IFERROR(INDEX($BG$7:$BG$592,MATCH($M437,$D$7:$D$592,0)),""))</f>
        <v>C2</v>
      </c>
      <c r="BK437" s="40" t="str">
        <f>IFERROR(IF(BJ437="","—",IF(OR(LEFT(BG437,1)="X",LEFT(BJ437,1)="X"),"—",IF(AND(LEFT(BG437,1)="E",LEFT(BJ437,1)="E"),"Exception · Band E",IF(AND(INDEX(B_VAL,MATCH(BJ437,B_LVL,0))&gt;=7,INDEX(B_RANK,MATCH(BG437,B_LVL,0))&gt;=INDEX(B_RANK,MATCH(BJ437,B_LVL,0))),"⚠ Same band as a head manager",IF(INDEX(B_VAL,MATCH(BG437,B_LVL,0))&gt;=INDEX(B_VAL,MATCH(BJ437,B_LVL,0)),"⚠ At or above the manager's level","OK"))))),"—")</f>
        <v>OK</v>
      </c>
      <c r="BL437" s="43" t="n"/>
      <c r="BM437" s="44">
        <f>IFERROR(INDEX(LMH_PTS,MATCH(Y437,LMH_KEY,0)),0)</f>
        <v>9</v>
      </c>
      <c r="BN437" s="38">
        <f>IFERROR(INDEX(LMH_PTS,MATCH(Z437,LMH_KEY,0)),0)</f>
        <v>3</v>
      </c>
      <c r="BO437" s="38">
        <f>IFERROR(INDEX(LMH_PTS,MATCH(AA437,LMH_KEY,0)),0)</f>
        <v>3</v>
      </c>
      <c r="BP437" s="38">
        <f>IFERROR(INDEX(LMH_PTS,MATCH(AB437,LMH_KEY,0)),0)</f>
        <v>3</v>
      </c>
      <c r="BQ437" s="38">
        <f>IFERROR(INDEX(LMH_PTS,MATCH(AC437,LMH_KEY,0)),0)</f>
        <v>1</v>
      </c>
      <c r="BR437" s="38">
        <f>IFERROR(INDEX(LMH_PTS,MATCH(AD437,LMH_KEY,0)),0)</f>
        <v>1</v>
      </c>
      <c r="BS437" s="38">
        <f>IFERROR(INDEX(LMH_PTS,MATCH(AE437,LMH_KEY,0)),0)</f>
        <v>1</v>
      </c>
      <c r="BT437" s="38">
        <f>IFERROR(INDEX(LMH_STEP,MATCH(AF437,LMH_KEY,0)),0)</f>
        <v>0</v>
      </c>
      <c r="BU437" s="38">
        <f>IFERROR(INDEX(LMH_STEP,MATCH(AG437,LMH_KEY,0)),0)</f>
        <v>0</v>
      </c>
      <c r="BV437" s="38">
        <f>IFERROR(INDEX(LMH_STEP,MATCH(AH437,LMH_KEY,0)),0)</f>
        <v>0</v>
      </c>
      <c r="BW437" s="38">
        <f>IFERROR(INDEX(LMH_STEP,MATCH(AI437,LMH_KEY,0)),0)</f>
        <v>0</v>
      </c>
      <c r="BX437" s="38">
        <f>IFERROR(INDEX(LMH_STEP,MATCH(AJ437,LMH_KEY,0)),0)</f>
        <v>0</v>
      </c>
      <c r="BY437" s="38">
        <f>IFERROR(INDEX(LMH_STEP,MATCH(AK437,LMH_KEY,0)),0)</f>
        <v>0</v>
      </c>
      <c r="BZ437" s="38">
        <f>IFERROR(INDEX(LMH_STEP,MATCH(AL437,LMH_KEY,0)),0)</f>
        <v>0</v>
      </c>
      <c r="CA437" s="38" t="inlineStr">
        <is>
          <t>iFile|XBRL Consulting|Senior Manager – Taxonomy Consulting|B2|B-M</t>
        </is>
      </c>
    </row>
    <row r="438" ht="110" customHeight="1">
      <c r="A438" s="28" t="inlineStr">
        <is>
          <t>iFile</t>
        </is>
      </c>
      <c r="B438" s="29" t="inlineStr">
        <is>
          <t>XBRL Consulting</t>
        </is>
      </c>
      <c r="C438" s="29" t="n">
        <v>3</v>
      </c>
      <c r="D438" s="29" t="inlineStr">
        <is>
          <t>IRIS0828</t>
        </is>
      </c>
      <c r="E438" s="29" t="inlineStr">
        <is>
          <t>Anirudh Singh Bartwal</t>
        </is>
      </c>
      <c r="F438" s="29" t="inlineStr">
        <is>
          <t>Senior consultant</t>
        </is>
      </c>
      <c r="G438" s="29" t="inlineStr">
        <is>
          <t>Senior Taxonomy Specialist</t>
        </is>
      </c>
      <c r="H438" s="29" t="inlineStr">
        <is>
          <t>Consulting &amp; Professional Services</t>
        </is>
      </c>
      <c r="I438" s="29" t="inlineStr">
        <is>
          <t>Taxonomy Design &amp; Regulatory Consulting</t>
        </is>
      </c>
      <c r="J438" s="29" t="inlineStr">
        <is>
          <t>IC</t>
        </is>
      </c>
      <c r="K438" s="29" t="inlineStr">
        <is>
          <t>RC-020</t>
        </is>
      </c>
      <c r="L438" s="29" t="inlineStr">
        <is>
          <t>Shraddha Bagul</t>
        </is>
      </c>
      <c r="M438" s="29" t="inlineStr">
        <is>
          <t>IRIS1035</t>
        </is>
      </c>
      <c r="N438" s="29" t="n">
        <v>16.8</v>
      </c>
      <c r="O438" s="29" t="n">
        <v>15.1</v>
      </c>
      <c r="P438" s="29" t="inlineStr">
        <is>
          <t>B.Com</t>
        </is>
      </c>
      <c r="Q438" s="29" t="inlineStr">
        <is>
          <t>L4 – Senior</t>
        </is>
      </c>
      <c r="R438" s="29" t="inlineStr">
        <is>
          <t>B1</t>
        </is>
      </c>
      <c r="S438" s="30" t="inlineStr">
        <is>
          <t>20 of 20</t>
        </is>
      </c>
      <c r="T438" s="31"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t>
        </is>
      </c>
      <c r="U438"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38" s="31" t="inlineStr">
        <is>
          <t>Latest rating: 3 · Potential: Medium · 9-box: Trusted Professional · Readiness: Develop in role</t>
        </is>
      </c>
      <c r="W438" s="31" t="inlineStr">
        <is>
          <t>C M · Au M · Ac M · L M · BI M · Exp H · 16.8 yrs vs 4–7 yrs · Edu M · B.Com</t>
        </is>
      </c>
      <c r="X438" s="33" t="inlineStr">
        <is>
          <t>Open ▸</t>
        </is>
      </c>
      <c r="Y438" s="34" t="str">
        <f>IFERROR(INDEX(DL_C,MATCH($CA438,DL_KEY,0)),"M")</f>
        <v>H</v>
      </c>
      <c r="Z438" s="35" t="str">
        <f>IFERROR(INDEX(DL_Au,MATCH($CA438,DL_KEY,0)),"M")</f>
        <v>M</v>
      </c>
      <c r="AA438" s="35" t="str">
        <f>IFERROR(INDEX(DL_Ac,MATCH($CA438,DL_KEY,0)),"M")</f>
        <v>M</v>
      </c>
      <c r="AB438" s="35" t="str">
        <f>IFERROR(INDEX(DL_L,MATCH($CA438,DL_KEY,0)),"M")</f>
        <v>L</v>
      </c>
      <c r="AC438" s="35" t="str">
        <f>IFERROR(INDEX(DL_BI,MATCH($CA438,DL_KEY,0)),"M")</f>
        <v>L</v>
      </c>
      <c r="AD438" s="35" t="str">
        <f>IFERROR(INDEX(DL_Exp,MATCH($CA438,DL_KEY,0)),"M")</f>
        <v>L</v>
      </c>
      <c r="AE438" s="35" t="str">
        <f>IFERROR(INDEX(DL_Edu,MATCH($CA438,DL_KEY,0)),"M")</f>
        <v>L</v>
      </c>
      <c r="AF438" s="34" t="inlineStr">
        <is>
          <t>M</t>
        </is>
      </c>
      <c r="AG438" s="35" t="inlineStr">
        <is>
          <t>M</t>
        </is>
      </c>
      <c r="AH438" s="35" t="inlineStr">
        <is>
          <t>M</t>
        </is>
      </c>
      <c r="AI438" s="35" t="inlineStr">
        <is>
          <t>M</t>
        </is>
      </c>
      <c r="AJ438" s="35" t="inlineStr">
        <is>
          <t>M</t>
        </is>
      </c>
      <c r="AK438" s="35" t="inlineStr">
        <is>
          <t>M</t>
        </is>
      </c>
      <c r="AL438" s="35" t="inlineStr">
        <is>
          <t>M</t>
        </is>
      </c>
      <c r="AM438" s="36" t="n">
        <v>0.513</v>
      </c>
      <c r="AN438" s="37" t="n">
        <v>0.173</v>
      </c>
      <c r="AO438" s="37" t="n">
        <v>0.09699999999999999</v>
      </c>
      <c r="AP438" s="37" t="n">
        <v>0.05</v>
      </c>
      <c r="AQ438" s="37" t="n">
        <v>0.07000000000000001</v>
      </c>
      <c r="AR438" s="37" t="n">
        <v>0.06</v>
      </c>
      <c r="AS438" s="37" t="n">
        <v>0.04</v>
      </c>
      <c r="AT438" s="38" t="inlineStr">
        <is>
          <t>4–8</t>
        </is>
      </c>
      <c r="AU438" s="38" t="inlineStr">
        <is>
          <t>Graduate + relevant qualification or certification preferred</t>
        </is>
      </c>
      <c r="AV438" s="38" t="inlineStr">
        <is>
          <t>IC: none · Team Lead: 3–5</t>
        </is>
      </c>
      <c r="AW438" s="38" t="inlineStr">
        <is>
          <t>P3 / M2 · SFIA 4 Enable</t>
        </is>
      </c>
      <c r="AX4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8" s="39" t="inlineStr">
        <is>
          <t>B1</t>
        </is>
      </c>
      <c r="AZ438" s="40" t="inlineStr">
        <is>
          <t>Band B · Specialist / Manager · Specialist</t>
        </is>
      </c>
      <c r="BA438" s="40" t="inlineStr">
        <is>
          <t>Model B1 from the six ratings, the market-derived weights and rules R1–R13 · then No change · already below the manager</t>
        </is>
      </c>
      <c r="BB438" s="41" t="inlineStr">
        <is>
          <t>B1</t>
        </is>
      </c>
      <c r="BC438" s="40" t="inlineStr">
        <is>
          <t>The six ratings on the market-average weights of Band B · Specialist / POD Lead score 4.47 → B1 · Hay, Mercer IPE and public plans · experience 16.8 yrs vs the B1 market range 4–8</t>
        </is>
      </c>
      <c r="BD438" s="42">
        <f>IF(SUM(BM438,BN438,BO438,BP438,BQ438,BR438,BS438)=0,0,(BM438*BT438+BN438*BU438+BO438*BV438+BP438*BW438+BQ438*BX438+BR438*BY438+BS438*BZ438)/SUM(BM438,BN438,BO438,BP438,BQ438,BR438,BS438))</f>
        <v>0</v>
      </c>
      <c r="BE438" s="41" t="str">
        <f>IF(LEFT(AY438,1)="X",AY438,IF(OR(AY438="B+",AY438="C+"),INDEX(LAD_PC,MAX(1,MIN(14,MATCH(AY438,LAD_PC,0)+IF(BD438&gt;=0.5,1,IF(BD438&lt;=-0.5,-1,0))))),INDEX(LAD_STD,MAX(1,MIN(12,MATCH(AY438,LAD_STD,0)+IF(BD438&gt;=0.5,1,IF(BD438&lt;=-0.5,-1,0)))))))</f>
        <v>B1</v>
      </c>
      <c r="BF438" s="43" t="n"/>
      <c r="BG438" s="41" t="str">
        <f>IF(BF438&lt;&gt;"",BF438,BE438)</f>
        <v>B1</v>
      </c>
      <c r="BH438" s="40" t="str">
        <f>IFERROR(CHOOSE(INDEX(B_RANK,MATCH(BG438,B_LVL,0)),"Band A","Band B","B+ · Player-Coach","Band C","C+ · Player-Coach","Band D","Band E"),"Band X · Consultant")</f>
        <v>Band B</v>
      </c>
      <c r="BI438" s="40" t="str">
        <f>IF(BG438=AY438,"• Same",IF(INDEX(B_VAL,MATCH(BG438,B_LVL,0))&gt;INDEX(B_VAL,MATCH(AY438,B_LVL,0)),"▲ Up","▼ Down"))</f>
        <v>• Same</v>
      </c>
      <c r="BJ438" s="40" t="str">
        <f>IF(OR($M438="",$M438="—",$M438="Not in this file"),"",IFERROR(INDEX($BG$7:$BG$592,MATCH($M438,$D$7:$D$592,0)),""))</f>
        <v>B2</v>
      </c>
      <c r="BK438" s="40" t="str">
        <f>IFERROR(IF(BJ438="","—",IF(OR(LEFT(BG438,1)="X",LEFT(BJ438,1)="X"),"—",IF(AND(LEFT(BG438,1)="E",LEFT(BJ438,1)="E"),"Exception · Band E",IF(AND(INDEX(B_VAL,MATCH(BJ438,B_LVL,0))&gt;=7,INDEX(B_RANK,MATCH(BG438,B_LVL,0))&gt;=INDEX(B_RANK,MATCH(BJ438,B_LVL,0))),"⚠ Same band as a head manager",IF(INDEX(B_VAL,MATCH(BG438,B_LVL,0))&gt;=INDEX(B_VAL,MATCH(BJ438,B_LVL,0)),"⚠ At or above the manager's level","OK"))))),"—")</f>
        <v>OK</v>
      </c>
      <c r="BL438" s="43" t="n"/>
      <c r="BM438" s="44">
        <f>IFERROR(INDEX(LMH_PTS,MATCH(Y438,LMH_KEY,0)),0)</f>
        <v>9</v>
      </c>
      <c r="BN438" s="38">
        <f>IFERROR(INDEX(LMH_PTS,MATCH(Z438,LMH_KEY,0)),0)</f>
        <v>3</v>
      </c>
      <c r="BO438" s="38">
        <f>IFERROR(INDEX(LMH_PTS,MATCH(AA438,LMH_KEY,0)),0)</f>
        <v>3</v>
      </c>
      <c r="BP438" s="38">
        <f>IFERROR(INDEX(LMH_PTS,MATCH(AB438,LMH_KEY,0)),0)</f>
        <v>1</v>
      </c>
      <c r="BQ438" s="38">
        <f>IFERROR(INDEX(LMH_PTS,MATCH(AC438,LMH_KEY,0)),0)</f>
        <v>1</v>
      </c>
      <c r="BR438" s="38">
        <f>IFERROR(INDEX(LMH_PTS,MATCH(AD438,LMH_KEY,0)),0)</f>
        <v>1</v>
      </c>
      <c r="BS438" s="38">
        <f>IFERROR(INDEX(LMH_PTS,MATCH(AE438,LMH_KEY,0)),0)</f>
        <v>1</v>
      </c>
      <c r="BT438" s="38">
        <f>IFERROR(INDEX(LMH_STEP,MATCH(AF438,LMH_KEY,0)),0)</f>
        <v>0</v>
      </c>
      <c r="BU438" s="38">
        <f>IFERROR(INDEX(LMH_STEP,MATCH(AG438,LMH_KEY,0)),0)</f>
        <v>0</v>
      </c>
      <c r="BV438" s="38">
        <f>IFERROR(INDEX(LMH_STEP,MATCH(AH438,LMH_KEY,0)),0)</f>
        <v>0</v>
      </c>
      <c r="BW438" s="38">
        <f>IFERROR(INDEX(LMH_STEP,MATCH(AI438,LMH_KEY,0)),0)</f>
        <v>0</v>
      </c>
      <c r="BX438" s="38">
        <f>IFERROR(INDEX(LMH_STEP,MATCH(AJ438,LMH_KEY,0)),0)</f>
        <v>0</v>
      </c>
      <c r="BY438" s="38">
        <f>IFERROR(INDEX(LMH_STEP,MATCH(AK438,LMH_KEY,0)),0)</f>
        <v>0</v>
      </c>
      <c r="BZ438" s="38">
        <f>IFERROR(INDEX(LMH_STEP,MATCH(AL438,LMH_KEY,0)),0)</f>
        <v>0</v>
      </c>
      <c r="CA438" s="38" t="inlineStr">
        <is>
          <t>iFile|XBRL Consulting|Senior Taxonomy Specialist|B1|B-IC</t>
        </is>
      </c>
    </row>
    <row r="439" ht="110" customHeight="1">
      <c r="A439" s="28" t="inlineStr">
        <is>
          <t>iFile</t>
        </is>
      </c>
      <c r="B439" s="29" t="inlineStr">
        <is>
          <t>XBRL Consulting</t>
        </is>
      </c>
      <c r="C439" s="29" t="n">
        <v>3</v>
      </c>
      <c r="D439" s="29" t="inlineStr">
        <is>
          <t>IRIS2457</t>
        </is>
      </c>
      <c r="E439" s="29" t="inlineStr">
        <is>
          <t>Mayuri Ashok Mhetar</t>
        </is>
      </c>
      <c r="F439" s="29" t="inlineStr">
        <is>
          <t>XBRL Conversion Specialist</t>
        </is>
      </c>
      <c r="G439" s="29" t="inlineStr">
        <is>
          <t>Senior Financial Analyst</t>
        </is>
      </c>
      <c r="H439" s="29" t="inlineStr">
        <is>
          <t>Consulting &amp; Professional Services</t>
        </is>
      </c>
      <c r="I439" s="29" t="inlineStr">
        <is>
          <t>XBRL Tagging, Conversion &amp; Filing</t>
        </is>
      </c>
      <c r="J439" s="29" t="inlineStr">
        <is>
          <t>IC</t>
        </is>
      </c>
      <c r="K439" s="29" t="inlineStr">
        <is>
          <t>RC-025</t>
        </is>
      </c>
      <c r="L439" s="29" t="inlineStr">
        <is>
          <t>Shraddha Bagul</t>
        </is>
      </c>
      <c r="M439" s="29" t="inlineStr">
        <is>
          <t>IRIS1035</t>
        </is>
      </c>
      <c r="N439" s="29" t="n">
        <v>3.2</v>
      </c>
      <c r="O439" s="29" t="n">
        <v>0.7</v>
      </c>
      <c r="P439" s="29" t="inlineStr">
        <is>
          <t>B.Com</t>
        </is>
      </c>
      <c r="Q439" s="29" t="inlineStr">
        <is>
          <t>L3 – Professional / Associate</t>
        </is>
      </c>
      <c r="R439" s="29" t="inlineStr">
        <is>
          <t>A3</t>
        </is>
      </c>
      <c r="S439" s="30" t="inlineStr">
        <is>
          <t>20 of 20</t>
        </is>
      </c>
      <c r="T439" s="31"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t>
        </is>
      </c>
      <c r="U439"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39" s="31" t="inlineStr">
        <is>
          <t>Latest rating: 3 · Potential: Medium · 9-box: Core Contributor · Readiness: Develop in role</t>
        </is>
      </c>
      <c r="W439" s="31" t="inlineStr">
        <is>
          <t>C L · Au L · Ac L · L L · BI L · Exp M · 3.2 yrs vs 2–4 yrs · Edu M · B.Com</t>
        </is>
      </c>
      <c r="X439" s="33" t="inlineStr">
        <is>
          <t>Open ▸</t>
        </is>
      </c>
      <c r="Y439" s="34" t="str">
        <f>IFERROR(INDEX(DL_C,MATCH($CA439,DL_KEY,0)),"M")</f>
        <v>H</v>
      </c>
      <c r="Z439" s="35" t="str">
        <f>IFERROR(INDEX(DL_Au,MATCH($CA439,DL_KEY,0)),"M")</f>
        <v>M</v>
      </c>
      <c r="AA439" s="35" t="str">
        <f>IFERROR(INDEX(DL_Ac,MATCH($CA439,DL_KEY,0)),"M")</f>
        <v>M</v>
      </c>
      <c r="AB439" s="35" t="str">
        <f>IFERROR(INDEX(DL_L,MATCH($CA439,DL_KEY,0)),"M")</f>
        <v>L</v>
      </c>
      <c r="AC439" s="35" t="str">
        <f>IFERROR(INDEX(DL_BI,MATCH($CA439,DL_KEY,0)),"M")</f>
        <v>L</v>
      </c>
      <c r="AD439" s="35" t="str">
        <f>IFERROR(INDEX(DL_Exp,MATCH($CA439,DL_KEY,0)),"M")</f>
        <v>L</v>
      </c>
      <c r="AE439" s="35" t="str">
        <f>IFERROR(INDEX(DL_Edu,MATCH($CA439,DL_KEY,0)),"M")</f>
        <v>L</v>
      </c>
      <c r="AF439" s="34" t="inlineStr">
        <is>
          <t>M</t>
        </is>
      </c>
      <c r="AG439" s="35" t="inlineStr">
        <is>
          <t>M</t>
        </is>
      </c>
      <c r="AH439" s="35" t="inlineStr">
        <is>
          <t>M</t>
        </is>
      </c>
      <c r="AI439" s="35" t="inlineStr">
        <is>
          <t>M</t>
        </is>
      </c>
      <c r="AJ439" s="35" t="inlineStr">
        <is>
          <t>M</t>
        </is>
      </c>
      <c r="AK439" s="35" t="inlineStr">
        <is>
          <t>M</t>
        </is>
      </c>
      <c r="AL439" s="35" t="inlineStr">
        <is>
          <t>M</t>
        </is>
      </c>
      <c r="AM439" s="36" t="n">
        <v>0.583</v>
      </c>
      <c r="AN439" s="37" t="n">
        <v>0.16</v>
      </c>
      <c r="AO439" s="37" t="n">
        <v>0.09</v>
      </c>
      <c r="AP439" s="37" t="n">
        <v>0</v>
      </c>
      <c r="AQ439" s="37" t="n">
        <v>0.063</v>
      </c>
      <c r="AR439" s="37" t="n">
        <v>0.06</v>
      </c>
      <c r="AS439" s="37" t="n">
        <v>0.04</v>
      </c>
      <c r="AT439" s="38" t="inlineStr">
        <is>
          <t>2–5</t>
        </is>
      </c>
      <c r="AU439" s="38" t="inlineStr">
        <is>
          <t>Graduate; relevant certification preferred</t>
        </is>
      </c>
      <c r="AV439" s="38" t="inlineStr">
        <is>
          <t>None · guides 1–3 juniors informally</t>
        </is>
      </c>
      <c r="AW439" s="38" t="inlineStr">
        <is>
          <t>P2 · SFIA 3 Apply</t>
        </is>
      </c>
      <c r="AX4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9" s="39" t="inlineStr">
        <is>
          <t>A3</t>
        </is>
      </c>
      <c r="AZ439" s="40" t="inlineStr">
        <is>
          <t>Band A · Practitioner · Senior Associate</t>
        </is>
      </c>
      <c r="BA439" s="40" t="inlineStr">
        <is>
          <t>Model A3 from the six ratings, the market-derived weights and rules R1–R13 · then No change · already below the manager</t>
        </is>
      </c>
      <c r="BB439" s="41" t="inlineStr">
        <is>
          <t>A2</t>
        </is>
      </c>
      <c r="BC439" s="40" t="inlineStr">
        <is>
          <t>The six ratings on the market-average weights of Band A · all tracks score 2.10 → A2 · Hay, Mercer IPE and public plans · experience 3.2 yrs vs the A2 market range 0–3</t>
        </is>
      </c>
      <c r="BD439" s="42">
        <f>IF(SUM(BM439,BN439,BO439,BP439,BQ439,BR439,BS439)=0,0,(BM439*BT439+BN439*BU439+BO439*BV439+BP439*BW439+BQ439*BX439+BR439*BY439+BS439*BZ439)/SUM(BM439,BN439,BO439,BP439,BQ439,BR439,BS439))</f>
        <v>0</v>
      </c>
      <c r="BE439" s="41" t="str">
        <f>IF(LEFT(AY439,1)="X",AY439,IF(OR(AY439="B+",AY439="C+"),INDEX(LAD_PC,MAX(1,MIN(14,MATCH(AY439,LAD_PC,0)+IF(BD439&gt;=0.5,1,IF(BD439&lt;=-0.5,-1,0))))),INDEX(LAD_STD,MAX(1,MIN(12,MATCH(AY439,LAD_STD,0)+IF(BD439&gt;=0.5,1,IF(BD439&lt;=-0.5,-1,0)))))))</f>
        <v>A3</v>
      </c>
      <c r="BF439" s="43" t="n"/>
      <c r="BG439" s="41" t="str">
        <f>IF(BF439&lt;&gt;"",BF439,BE439)</f>
        <v>A3</v>
      </c>
      <c r="BH439" s="40" t="str">
        <f>IFERROR(CHOOSE(INDEX(B_RANK,MATCH(BG439,B_LVL,0)),"Band A","Band B","B+ · Player-Coach","Band C","C+ · Player-Coach","Band D","Band E"),"Band X · Consultant")</f>
        <v>Band A</v>
      </c>
      <c r="BI439" s="40" t="str">
        <f>IF(BG439=AY439,"• Same",IF(INDEX(B_VAL,MATCH(BG439,B_LVL,0))&gt;INDEX(B_VAL,MATCH(AY439,B_LVL,0)),"▲ Up","▼ Down"))</f>
        <v>• Same</v>
      </c>
      <c r="BJ439" s="40" t="str">
        <f>IF(OR($M439="",$M439="—",$M439="Not in this file"),"",IFERROR(INDEX($BG$7:$BG$592,MATCH($M439,$D$7:$D$592,0)),""))</f>
        <v>B2</v>
      </c>
      <c r="BK439" s="40" t="str">
        <f>IFERROR(IF(BJ439="","—",IF(OR(LEFT(BG439,1)="X",LEFT(BJ439,1)="X"),"—",IF(AND(LEFT(BG439,1)="E",LEFT(BJ439,1)="E"),"Exception · Band E",IF(AND(INDEX(B_VAL,MATCH(BJ439,B_LVL,0))&gt;=7,INDEX(B_RANK,MATCH(BG439,B_LVL,0))&gt;=INDEX(B_RANK,MATCH(BJ439,B_LVL,0))),"⚠ Same band as a head manager",IF(INDEX(B_VAL,MATCH(BG439,B_LVL,0))&gt;=INDEX(B_VAL,MATCH(BJ439,B_LVL,0)),"⚠ At or above the manager's level","OK"))))),"—")</f>
        <v>OK</v>
      </c>
      <c r="BL439" s="43" t="n"/>
      <c r="BM439" s="44">
        <f>IFERROR(INDEX(LMH_PTS,MATCH(Y439,LMH_KEY,0)),0)</f>
        <v>9</v>
      </c>
      <c r="BN439" s="38">
        <f>IFERROR(INDEX(LMH_PTS,MATCH(Z439,LMH_KEY,0)),0)</f>
        <v>3</v>
      </c>
      <c r="BO439" s="38">
        <f>IFERROR(INDEX(LMH_PTS,MATCH(AA439,LMH_KEY,0)),0)</f>
        <v>3</v>
      </c>
      <c r="BP439" s="38">
        <f>IFERROR(INDEX(LMH_PTS,MATCH(AB439,LMH_KEY,0)),0)</f>
        <v>1</v>
      </c>
      <c r="BQ439" s="38">
        <f>IFERROR(INDEX(LMH_PTS,MATCH(AC439,LMH_KEY,0)),0)</f>
        <v>1</v>
      </c>
      <c r="BR439" s="38">
        <f>IFERROR(INDEX(LMH_PTS,MATCH(AD439,LMH_KEY,0)),0)</f>
        <v>1</v>
      </c>
      <c r="BS439" s="38">
        <f>IFERROR(INDEX(LMH_PTS,MATCH(AE439,LMH_KEY,0)),0)</f>
        <v>1</v>
      </c>
      <c r="BT439" s="38">
        <f>IFERROR(INDEX(LMH_STEP,MATCH(AF439,LMH_KEY,0)),0)</f>
        <v>0</v>
      </c>
      <c r="BU439" s="38">
        <f>IFERROR(INDEX(LMH_STEP,MATCH(AG439,LMH_KEY,0)),0)</f>
        <v>0</v>
      </c>
      <c r="BV439" s="38">
        <f>IFERROR(INDEX(LMH_STEP,MATCH(AH439,LMH_KEY,0)),0)</f>
        <v>0</v>
      </c>
      <c r="BW439" s="38">
        <f>IFERROR(INDEX(LMH_STEP,MATCH(AI439,LMH_KEY,0)),0)</f>
        <v>0</v>
      </c>
      <c r="BX439" s="38">
        <f>IFERROR(INDEX(LMH_STEP,MATCH(AJ439,LMH_KEY,0)),0)</f>
        <v>0</v>
      </c>
      <c r="BY439" s="38">
        <f>IFERROR(INDEX(LMH_STEP,MATCH(AK439,LMH_KEY,0)),0)</f>
        <v>0</v>
      </c>
      <c r="BZ439" s="38">
        <f>IFERROR(INDEX(LMH_STEP,MATCH(AL439,LMH_KEY,0)),0)</f>
        <v>0</v>
      </c>
      <c r="CA439" s="38" t="inlineStr">
        <is>
          <t>iFile|XBRL Consulting|Senior Financial Analyst|A3|A</t>
        </is>
      </c>
    </row>
    <row r="440" ht="110" customHeight="1">
      <c r="A440" s="28" t="inlineStr">
        <is>
          <t>iFile</t>
        </is>
      </c>
      <c r="B440" s="29" t="inlineStr">
        <is>
          <t>XBRL Consulting</t>
        </is>
      </c>
      <c r="C440" s="29" t="n">
        <v>3</v>
      </c>
      <c r="D440" s="29" t="inlineStr">
        <is>
          <t>IRIS2458</t>
        </is>
      </c>
      <c r="E440" s="29" t="inlineStr">
        <is>
          <t>Musaf Shaikh</t>
        </is>
      </c>
      <c r="F440" s="29" t="inlineStr">
        <is>
          <t>XBRL Conversion Specialist</t>
        </is>
      </c>
      <c r="G440" s="29" t="inlineStr">
        <is>
          <t>Senior Financial Analyst</t>
        </is>
      </c>
      <c r="H440" s="29" t="inlineStr">
        <is>
          <t>Consulting &amp; Professional Services</t>
        </is>
      </c>
      <c r="I440" s="29" t="inlineStr">
        <is>
          <t>XBRL Tagging, Conversion &amp; Filing</t>
        </is>
      </c>
      <c r="J440" s="29" t="inlineStr">
        <is>
          <t>IC</t>
        </is>
      </c>
      <c r="K440" s="29" t="inlineStr">
        <is>
          <t>RC-025</t>
        </is>
      </c>
      <c r="L440" s="29" t="inlineStr">
        <is>
          <t>Shraddha Bagul</t>
        </is>
      </c>
      <c r="M440" s="29" t="inlineStr">
        <is>
          <t>IRIS1035</t>
        </is>
      </c>
      <c r="N440" s="29" t="n">
        <v>2.2</v>
      </c>
      <c r="O440" s="29" t="n">
        <v>0.7</v>
      </c>
      <c r="P440" s="29" t="inlineStr">
        <is>
          <t>B.Com</t>
        </is>
      </c>
      <c r="Q440" s="29" t="inlineStr">
        <is>
          <t>L3 – Professional / Associate</t>
        </is>
      </c>
      <c r="R440" s="29" t="inlineStr">
        <is>
          <t>A3</t>
        </is>
      </c>
      <c r="S440" s="30" t="inlineStr">
        <is>
          <t>0 of 20</t>
        </is>
      </c>
      <c r="T440" s="31"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
        </is>
      </c>
      <c r="U440"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0" s="31" t="inlineStr">
        <is>
          <t>Latest rating: 3 · Potential: Medium · 9-box: Core Contributor · Readiness: Develop in role</t>
        </is>
      </c>
      <c r="W440" s="31" t="inlineStr">
        <is>
          <t>C L · Au L · Ac L · L L · BI L · Exp M · 2.2 yrs vs 2–4 yrs · Edu M · B.Com</t>
        </is>
      </c>
      <c r="X440" s="33" t="inlineStr">
        <is>
          <t>Open ▸</t>
        </is>
      </c>
      <c r="Y440" s="34" t="str">
        <f>IFERROR(INDEX(DL_C,MATCH($CA440,DL_KEY,0)),"M")</f>
        <v>H</v>
      </c>
      <c r="Z440" s="35" t="str">
        <f>IFERROR(INDEX(DL_Au,MATCH($CA440,DL_KEY,0)),"M")</f>
        <v>M</v>
      </c>
      <c r="AA440" s="35" t="str">
        <f>IFERROR(INDEX(DL_Ac,MATCH($CA440,DL_KEY,0)),"M")</f>
        <v>M</v>
      </c>
      <c r="AB440" s="35" t="str">
        <f>IFERROR(INDEX(DL_L,MATCH($CA440,DL_KEY,0)),"M")</f>
        <v>L</v>
      </c>
      <c r="AC440" s="35" t="str">
        <f>IFERROR(INDEX(DL_BI,MATCH($CA440,DL_KEY,0)),"M")</f>
        <v>L</v>
      </c>
      <c r="AD440" s="35" t="str">
        <f>IFERROR(INDEX(DL_Exp,MATCH($CA440,DL_KEY,0)),"M")</f>
        <v>L</v>
      </c>
      <c r="AE440" s="35" t="str">
        <f>IFERROR(INDEX(DL_Edu,MATCH($CA440,DL_KEY,0)),"M")</f>
        <v>L</v>
      </c>
      <c r="AF440" s="34" t="inlineStr">
        <is>
          <t>M</t>
        </is>
      </c>
      <c r="AG440" s="35" t="inlineStr">
        <is>
          <t>M</t>
        </is>
      </c>
      <c r="AH440" s="35" t="inlineStr">
        <is>
          <t>M</t>
        </is>
      </c>
      <c r="AI440" s="35" t="inlineStr">
        <is>
          <t>M</t>
        </is>
      </c>
      <c r="AJ440" s="35" t="inlineStr">
        <is>
          <t>M</t>
        </is>
      </c>
      <c r="AK440" s="35" t="inlineStr">
        <is>
          <t>M</t>
        </is>
      </c>
      <c r="AL440" s="35" t="inlineStr">
        <is>
          <t>M</t>
        </is>
      </c>
      <c r="AM440" s="36" t="n">
        <v>0.583</v>
      </c>
      <c r="AN440" s="37" t="n">
        <v>0.16</v>
      </c>
      <c r="AO440" s="37" t="n">
        <v>0.09</v>
      </c>
      <c r="AP440" s="37" t="n">
        <v>0</v>
      </c>
      <c r="AQ440" s="37" t="n">
        <v>0.063</v>
      </c>
      <c r="AR440" s="37" t="n">
        <v>0.06</v>
      </c>
      <c r="AS440" s="37" t="n">
        <v>0.04</v>
      </c>
      <c r="AT440" s="38" t="inlineStr">
        <is>
          <t>2–5</t>
        </is>
      </c>
      <c r="AU440" s="38" t="inlineStr">
        <is>
          <t>Graduate; relevant certification preferred</t>
        </is>
      </c>
      <c r="AV440" s="38" t="inlineStr">
        <is>
          <t>None · guides 1–3 juniors informally</t>
        </is>
      </c>
      <c r="AW440" s="38" t="inlineStr">
        <is>
          <t>P2 · SFIA 3 Apply</t>
        </is>
      </c>
      <c r="AX4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0" s="39" t="inlineStr">
        <is>
          <t>A3</t>
        </is>
      </c>
      <c r="AZ440" s="40" t="inlineStr">
        <is>
          <t>Band A · Practitioner · Senior Associate</t>
        </is>
      </c>
      <c r="BA440" s="40" t="inlineStr">
        <is>
          <t>Model A3 from the six ratings, the market-derived weights and rules R1–R13 · then No change · already below the manager</t>
        </is>
      </c>
      <c r="BB440" s="41" t="inlineStr">
        <is>
          <t>A2</t>
        </is>
      </c>
      <c r="BC440" s="40" t="inlineStr">
        <is>
          <t>The six ratings on the market-average weights of Band A · all tracks score 2.05 → A2 · Hay, Mercer IPE and public plans · experience 2.2 yrs vs the A2 market range 0–3</t>
        </is>
      </c>
      <c r="BD440" s="42">
        <f>IF(SUM(BM440,BN440,BO440,BP440,BQ440,BR440,BS440)=0,0,(BM440*BT440+BN440*BU440+BO440*BV440+BP440*BW440+BQ440*BX440+BR440*BY440+BS440*BZ440)/SUM(BM440,BN440,BO440,BP440,BQ440,BR440,BS440))</f>
        <v>0</v>
      </c>
      <c r="BE440" s="41" t="str">
        <f>IF(LEFT(AY440,1)="X",AY440,IF(OR(AY440="B+",AY440="C+"),INDEX(LAD_PC,MAX(1,MIN(14,MATCH(AY440,LAD_PC,0)+IF(BD440&gt;=0.5,1,IF(BD440&lt;=-0.5,-1,0))))),INDEX(LAD_STD,MAX(1,MIN(12,MATCH(AY440,LAD_STD,0)+IF(BD440&gt;=0.5,1,IF(BD440&lt;=-0.5,-1,0)))))))</f>
        <v>A3</v>
      </c>
      <c r="BF440" s="43" t="n"/>
      <c r="BG440" s="41" t="str">
        <f>IF(BF440&lt;&gt;"",BF440,BE440)</f>
        <v>A3</v>
      </c>
      <c r="BH440" s="40" t="str">
        <f>IFERROR(CHOOSE(INDEX(B_RANK,MATCH(BG440,B_LVL,0)),"Band A","Band B","B+ · Player-Coach","Band C","C+ · Player-Coach","Band D","Band E"),"Band X · Consultant")</f>
        <v>Band A</v>
      </c>
      <c r="BI440" s="40" t="str">
        <f>IF(BG440=AY440,"• Same",IF(INDEX(B_VAL,MATCH(BG440,B_LVL,0))&gt;INDEX(B_VAL,MATCH(AY440,B_LVL,0)),"▲ Up","▼ Down"))</f>
        <v>• Same</v>
      </c>
      <c r="BJ440" s="40" t="str">
        <f>IF(OR($M440="",$M440="—",$M440="Not in this file"),"",IFERROR(INDEX($BG$7:$BG$592,MATCH($M440,$D$7:$D$592,0)),""))</f>
        <v>B2</v>
      </c>
      <c r="BK440" s="40" t="str">
        <f>IFERROR(IF(BJ440="","—",IF(OR(LEFT(BG440,1)="X",LEFT(BJ440,1)="X"),"—",IF(AND(LEFT(BG440,1)="E",LEFT(BJ440,1)="E"),"Exception · Band E",IF(AND(INDEX(B_VAL,MATCH(BJ440,B_LVL,0))&gt;=7,INDEX(B_RANK,MATCH(BG440,B_LVL,0))&gt;=INDEX(B_RANK,MATCH(BJ440,B_LVL,0))),"⚠ Same band as a head manager",IF(INDEX(B_VAL,MATCH(BG440,B_LVL,0))&gt;=INDEX(B_VAL,MATCH(BJ440,B_LVL,0)),"⚠ At or above the manager's level","OK"))))),"—")</f>
        <v>OK</v>
      </c>
      <c r="BL440" s="43" t="n"/>
      <c r="BM440" s="44">
        <f>IFERROR(INDEX(LMH_PTS,MATCH(Y440,LMH_KEY,0)),0)</f>
        <v>9</v>
      </c>
      <c r="BN440" s="38">
        <f>IFERROR(INDEX(LMH_PTS,MATCH(Z440,LMH_KEY,0)),0)</f>
        <v>3</v>
      </c>
      <c r="BO440" s="38">
        <f>IFERROR(INDEX(LMH_PTS,MATCH(AA440,LMH_KEY,0)),0)</f>
        <v>3</v>
      </c>
      <c r="BP440" s="38">
        <f>IFERROR(INDEX(LMH_PTS,MATCH(AB440,LMH_KEY,0)),0)</f>
        <v>1</v>
      </c>
      <c r="BQ440" s="38">
        <f>IFERROR(INDEX(LMH_PTS,MATCH(AC440,LMH_KEY,0)),0)</f>
        <v>1</v>
      </c>
      <c r="BR440" s="38">
        <f>IFERROR(INDEX(LMH_PTS,MATCH(AD440,LMH_KEY,0)),0)</f>
        <v>1</v>
      </c>
      <c r="BS440" s="38">
        <f>IFERROR(INDEX(LMH_PTS,MATCH(AE440,LMH_KEY,0)),0)</f>
        <v>1</v>
      </c>
      <c r="BT440" s="38">
        <f>IFERROR(INDEX(LMH_STEP,MATCH(AF440,LMH_KEY,0)),0)</f>
        <v>0</v>
      </c>
      <c r="BU440" s="38">
        <f>IFERROR(INDEX(LMH_STEP,MATCH(AG440,LMH_KEY,0)),0)</f>
        <v>0</v>
      </c>
      <c r="BV440" s="38">
        <f>IFERROR(INDEX(LMH_STEP,MATCH(AH440,LMH_KEY,0)),0)</f>
        <v>0</v>
      </c>
      <c r="BW440" s="38">
        <f>IFERROR(INDEX(LMH_STEP,MATCH(AI440,LMH_KEY,0)),0)</f>
        <v>0</v>
      </c>
      <c r="BX440" s="38">
        <f>IFERROR(INDEX(LMH_STEP,MATCH(AJ440,LMH_KEY,0)),0)</f>
        <v>0</v>
      </c>
      <c r="BY440" s="38">
        <f>IFERROR(INDEX(LMH_STEP,MATCH(AK440,LMH_KEY,0)),0)</f>
        <v>0</v>
      </c>
      <c r="BZ440" s="38">
        <f>IFERROR(INDEX(LMH_STEP,MATCH(AL440,LMH_KEY,0)),0)</f>
        <v>0</v>
      </c>
      <c r="CA440" s="38" t="inlineStr">
        <is>
          <t>iFile|XBRL Consulting|Senior Financial Analyst|A3|A</t>
        </is>
      </c>
    </row>
    <row r="441" ht="110" customHeight="1">
      <c r="A441" s="28" t="inlineStr">
        <is>
          <t>iFile</t>
        </is>
      </c>
      <c r="B441" s="29" t="inlineStr">
        <is>
          <t>XBRL Consulting</t>
        </is>
      </c>
      <c r="C441" s="29" t="n">
        <v>3</v>
      </c>
      <c r="D441" s="29" t="inlineStr">
        <is>
          <t>IRIS2088</t>
        </is>
      </c>
      <c r="E441" s="29" t="inlineStr">
        <is>
          <t>Pawan Khot</t>
        </is>
      </c>
      <c r="F441" s="29" t="inlineStr">
        <is>
          <t>Image Processing Specialist</t>
        </is>
      </c>
      <c r="G441" s="29" t="inlineStr">
        <is>
          <t>Senior Taxonomy Analyst</t>
        </is>
      </c>
      <c r="H441" s="29" t="inlineStr">
        <is>
          <t>Consulting &amp; Professional Services</t>
        </is>
      </c>
      <c r="I441" s="29" t="inlineStr">
        <is>
          <t>Taxonomy Design &amp; Regulatory Consulting</t>
        </is>
      </c>
      <c r="J441" s="29" t="inlineStr">
        <is>
          <t>IC</t>
        </is>
      </c>
      <c r="K441" s="29" t="inlineStr">
        <is>
          <t>RC-019</t>
        </is>
      </c>
      <c r="L441" s="29" t="inlineStr">
        <is>
          <t>Shraddha Bagul</t>
        </is>
      </c>
      <c r="M441" s="29" t="inlineStr">
        <is>
          <t>IRIS1035</t>
        </is>
      </c>
      <c r="N441" s="29" t="n">
        <v>3.7</v>
      </c>
      <c r="O441" s="29" t="n">
        <v>3.7</v>
      </c>
      <c r="P441" s="29" t="inlineStr">
        <is>
          <t>B.Com</t>
        </is>
      </c>
      <c r="Q441" s="29" t="inlineStr">
        <is>
          <t>Not in current mapping files</t>
        </is>
      </c>
      <c r="R441" s="29" t="inlineStr">
        <is>
          <t>A3</t>
        </is>
      </c>
      <c r="S441" s="30" t="inlineStr">
        <is>
          <t>20 of 20</t>
        </is>
      </c>
      <c r="T441" s="31"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t>
        </is>
      </c>
      <c r="U441" s="32" t="inlineStr">
        <is>
          <t>KRAs not received · manager to supply</t>
        </is>
      </c>
      <c r="V441" s="31" t="inlineStr">
        <is>
          <t>Latest rating: Not rated · manager · 9-box: Not placed · manager · Readiness: No rating data</t>
        </is>
      </c>
      <c r="W441" s="31" t="inlineStr">
        <is>
          <t>C M · Au M · Ac M · L L · BI M · Exp M · 3.7 yrs vs 2–4 yrs · Edu M · B.Com</t>
        </is>
      </c>
      <c r="X441" s="33" t="inlineStr">
        <is>
          <t>Open ▸</t>
        </is>
      </c>
      <c r="Y441" s="34" t="str">
        <f>IFERROR(INDEX(DL_C,MATCH($CA441,DL_KEY,0)),"M")</f>
        <v>H</v>
      </c>
      <c r="Z441" s="35" t="str">
        <f>IFERROR(INDEX(DL_Au,MATCH($CA441,DL_KEY,0)),"M")</f>
        <v>M</v>
      </c>
      <c r="AA441" s="35" t="str">
        <f>IFERROR(INDEX(DL_Ac,MATCH($CA441,DL_KEY,0)),"M")</f>
        <v>M</v>
      </c>
      <c r="AB441" s="35" t="str">
        <f>IFERROR(INDEX(DL_L,MATCH($CA441,DL_KEY,0)),"M")</f>
        <v>L</v>
      </c>
      <c r="AC441" s="35" t="str">
        <f>IFERROR(INDEX(DL_BI,MATCH($CA441,DL_KEY,0)),"M")</f>
        <v>L</v>
      </c>
      <c r="AD441" s="35" t="str">
        <f>IFERROR(INDEX(DL_Exp,MATCH($CA441,DL_KEY,0)),"M")</f>
        <v>L</v>
      </c>
      <c r="AE441" s="35" t="str">
        <f>IFERROR(INDEX(DL_Edu,MATCH($CA441,DL_KEY,0)),"M")</f>
        <v>L</v>
      </c>
      <c r="AF441" s="34" t="inlineStr">
        <is>
          <t>M</t>
        </is>
      </c>
      <c r="AG441" s="35" t="inlineStr">
        <is>
          <t>M</t>
        </is>
      </c>
      <c r="AH441" s="35" t="inlineStr">
        <is>
          <t>M</t>
        </is>
      </c>
      <c r="AI441" s="35" t="inlineStr">
        <is>
          <t>M</t>
        </is>
      </c>
      <c r="AJ441" s="35" t="inlineStr">
        <is>
          <t>M</t>
        </is>
      </c>
      <c r="AK441" s="35" t="inlineStr">
        <is>
          <t>M</t>
        </is>
      </c>
      <c r="AL441" s="35" t="inlineStr">
        <is>
          <t>M</t>
        </is>
      </c>
      <c r="AM441" s="36" t="n">
        <v>0.583</v>
      </c>
      <c r="AN441" s="37" t="n">
        <v>0.16</v>
      </c>
      <c r="AO441" s="37" t="n">
        <v>0.09</v>
      </c>
      <c r="AP441" s="37" t="n">
        <v>0</v>
      </c>
      <c r="AQ441" s="37" t="n">
        <v>0.063</v>
      </c>
      <c r="AR441" s="37" t="n">
        <v>0.06</v>
      </c>
      <c r="AS441" s="37" t="n">
        <v>0.04</v>
      </c>
      <c r="AT441" s="38" t="inlineStr">
        <is>
          <t>2–5</t>
        </is>
      </c>
      <c r="AU441" s="38" t="inlineStr">
        <is>
          <t>Graduate; relevant certification preferred</t>
        </is>
      </c>
      <c r="AV441" s="38" t="inlineStr">
        <is>
          <t>None · guides 1–3 juniors informally</t>
        </is>
      </c>
      <c r="AW441" s="38" t="inlineStr">
        <is>
          <t>P2 · SFIA 3 Apply</t>
        </is>
      </c>
      <c r="AX4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1" s="39" t="inlineStr">
        <is>
          <t>A3</t>
        </is>
      </c>
      <c r="AZ441" s="40" t="inlineStr">
        <is>
          <t>Band A · Practitioner · Senior Associate</t>
        </is>
      </c>
      <c r="BA441" s="40" t="inlineStr">
        <is>
          <t>Model A3 from the six ratings, the market-derived weights and rules R1–R13 · then No change · already below the manager</t>
        </is>
      </c>
      <c r="BB441" s="41" t="inlineStr">
        <is>
          <t>A3</t>
        </is>
      </c>
      <c r="BC441" s="40" t="inlineStr">
        <is>
          <t>The six ratings on the market-average weights of Band A · all tracks score 2.60 → A3 · Hay, Mercer IPE and public plans · experience 3.7 yrs vs the A3 market range 2–5</t>
        </is>
      </c>
      <c r="BD441" s="42">
        <f>IF(SUM(BM441,BN441,BO441,BP441,BQ441,BR441,BS441)=0,0,(BM441*BT441+BN441*BU441+BO441*BV441+BP441*BW441+BQ441*BX441+BR441*BY441+BS441*BZ441)/SUM(BM441,BN441,BO441,BP441,BQ441,BR441,BS441))</f>
        <v>0</v>
      </c>
      <c r="BE441" s="41" t="str">
        <f>IF(LEFT(AY441,1)="X",AY441,IF(OR(AY441="B+",AY441="C+"),INDEX(LAD_PC,MAX(1,MIN(14,MATCH(AY441,LAD_PC,0)+IF(BD441&gt;=0.5,1,IF(BD441&lt;=-0.5,-1,0))))),INDEX(LAD_STD,MAX(1,MIN(12,MATCH(AY441,LAD_STD,0)+IF(BD441&gt;=0.5,1,IF(BD441&lt;=-0.5,-1,0)))))))</f>
        <v>A3</v>
      </c>
      <c r="BF441" s="43" t="n"/>
      <c r="BG441" s="41" t="str">
        <f>IF(BF441&lt;&gt;"",BF441,BE441)</f>
        <v>A3</v>
      </c>
      <c r="BH441" s="40" t="str">
        <f>IFERROR(CHOOSE(INDEX(B_RANK,MATCH(BG441,B_LVL,0)),"Band A","Band B","B+ · Player-Coach","Band C","C+ · Player-Coach","Band D","Band E"),"Band X · Consultant")</f>
        <v>Band A</v>
      </c>
      <c r="BI441" s="40" t="str">
        <f>IF(BG441=AY441,"• Same",IF(INDEX(B_VAL,MATCH(BG441,B_LVL,0))&gt;INDEX(B_VAL,MATCH(AY441,B_LVL,0)),"▲ Up","▼ Down"))</f>
        <v>• Same</v>
      </c>
      <c r="BJ441" s="40" t="str">
        <f>IF(OR($M441="",$M441="—",$M441="Not in this file"),"",IFERROR(INDEX($BG$7:$BG$592,MATCH($M441,$D$7:$D$592,0)),""))</f>
        <v>B2</v>
      </c>
      <c r="BK441" s="40" t="str">
        <f>IFERROR(IF(BJ441="","—",IF(OR(LEFT(BG441,1)="X",LEFT(BJ441,1)="X"),"—",IF(AND(LEFT(BG441,1)="E",LEFT(BJ441,1)="E"),"Exception · Band E",IF(AND(INDEX(B_VAL,MATCH(BJ441,B_LVL,0))&gt;=7,INDEX(B_RANK,MATCH(BG441,B_LVL,0))&gt;=INDEX(B_RANK,MATCH(BJ441,B_LVL,0))),"⚠ Same band as a head manager",IF(INDEX(B_VAL,MATCH(BG441,B_LVL,0))&gt;=INDEX(B_VAL,MATCH(BJ441,B_LVL,0)),"⚠ At or above the manager's level","OK"))))),"—")</f>
        <v>OK</v>
      </c>
      <c r="BL441" s="43" t="n"/>
      <c r="BM441" s="44">
        <f>IFERROR(INDEX(LMH_PTS,MATCH(Y441,LMH_KEY,0)),0)</f>
        <v>9</v>
      </c>
      <c r="BN441" s="38">
        <f>IFERROR(INDEX(LMH_PTS,MATCH(Z441,LMH_KEY,0)),0)</f>
        <v>3</v>
      </c>
      <c r="BO441" s="38">
        <f>IFERROR(INDEX(LMH_PTS,MATCH(AA441,LMH_KEY,0)),0)</f>
        <v>3</v>
      </c>
      <c r="BP441" s="38">
        <f>IFERROR(INDEX(LMH_PTS,MATCH(AB441,LMH_KEY,0)),0)</f>
        <v>1</v>
      </c>
      <c r="BQ441" s="38">
        <f>IFERROR(INDEX(LMH_PTS,MATCH(AC441,LMH_KEY,0)),0)</f>
        <v>1</v>
      </c>
      <c r="BR441" s="38">
        <f>IFERROR(INDEX(LMH_PTS,MATCH(AD441,LMH_KEY,0)),0)</f>
        <v>1</v>
      </c>
      <c r="BS441" s="38">
        <f>IFERROR(INDEX(LMH_PTS,MATCH(AE441,LMH_KEY,0)),0)</f>
        <v>1</v>
      </c>
      <c r="BT441" s="38">
        <f>IFERROR(INDEX(LMH_STEP,MATCH(AF441,LMH_KEY,0)),0)</f>
        <v>0</v>
      </c>
      <c r="BU441" s="38">
        <f>IFERROR(INDEX(LMH_STEP,MATCH(AG441,LMH_KEY,0)),0)</f>
        <v>0</v>
      </c>
      <c r="BV441" s="38">
        <f>IFERROR(INDEX(LMH_STEP,MATCH(AH441,LMH_KEY,0)),0)</f>
        <v>0</v>
      </c>
      <c r="BW441" s="38">
        <f>IFERROR(INDEX(LMH_STEP,MATCH(AI441,LMH_KEY,0)),0)</f>
        <v>0</v>
      </c>
      <c r="BX441" s="38">
        <f>IFERROR(INDEX(LMH_STEP,MATCH(AJ441,LMH_KEY,0)),0)</f>
        <v>0</v>
      </c>
      <c r="BY441" s="38">
        <f>IFERROR(INDEX(LMH_STEP,MATCH(AK441,LMH_KEY,0)),0)</f>
        <v>0</v>
      </c>
      <c r="BZ441" s="38">
        <f>IFERROR(INDEX(LMH_STEP,MATCH(AL441,LMH_KEY,0)),0)</f>
        <v>0</v>
      </c>
      <c r="CA441" s="38" t="inlineStr">
        <is>
          <t>iFile|XBRL Consulting|Senior Taxonomy Analyst|A3|A</t>
        </is>
      </c>
    </row>
    <row r="442" ht="110" customHeight="1">
      <c r="A442" s="28" t="inlineStr">
        <is>
          <t>iFile</t>
        </is>
      </c>
      <c r="B442" s="29" t="inlineStr">
        <is>
          <t>XBRL Consulting</t>
        </is>
      </c>
      <c r="C442" s="29" t="n">
        <v>3</v>
      </c>
      <c r="D442" s="29" t="inlineStr">
        <is>
          <t>IRISC339</t>
        </is>
      </c>
      <c r="E442" s="29" t="inlineStr">
        <is>
          <t>Pranali Khanavkar</t>
        </is>
      </c>
      <c r="F442" s="29" t="inlineStr">
        <is>
          <t>Consultant</t>
        </is>
      </c>
      <c r="G442" s="29" t="inlineStr">
        <is>
          <t>Senior Taxonomy Analyst</t>
        </is>
      </c>
      <c r="H442" s="29" t="inlineStr">
        <is>
          <t>Consulting &amp; Professional Services</t>
        </is>
      </c>
      <c r="I442" s="29" t="inlineStr">
        <is>
          <t>Taxonomy Design &amp; Regulatory Consulting</t>
        </is>
      </c>
      <c r="J442" s="29" t="inlineStr">
        <is>
          <t>IC</t>
        </is>
      </c>
      <c r="K442" s="29" t="inlineStr">
        <is>
          <t>RC-019</t>
        </is>
      </c>
      <c r="L442" s="29" t="inlineStr">
        <is>
          <t>Shraddha Bagul</t>
        </is>
      </c>
      <c r="M442" s="29" t="inlineStr">
        <is>
          <t>IRIS1035</t>
        </is>
      </c>
      <c r="N442" s="29" t="n">
        <v>7.8</v>
      </c>
      <c r="O442" s="29" t="n">
        <v>0.6</v>
      </c>
      <c r="P442" s="29" t="inlineStr">
        <is>
          <t>B.Com</t>
        </is>
      </c>
      <c r="Q442" s="29" t="inlineStr">
        <is>
          <t>L3 – Professional / Associate</t>
        </is>
      </c>
      <c r="R442" s="29" t="inlineStr">
        <is>
          <t>A3</t>
        </is>
      </c>
      <c r="S442" s="30" t="inlineStr">
        <is>
          <t>20 of 20</t>
        </is>
      </c>
      <c r="T442" s="31"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t>
        </is>
      </c>
      <c r="U442"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2" s="31" t="inlineStr">
        <is>
          <t>Latest rating: 3 · Potential: Low · 9-box: Core Contributor · Readiness: Develop in role</t>
        </is>
      </c>
      <c r="W442" s="31" t="inlineStr">
        <is>
          <t>C L · Au L · Ac L · L L · BI L · Exp H · 7.8 yrs vs 2–4 yrs · Edu M · B.Com</t>
        </is>
      </c>
      <c r="X442" s="33" t="inlineStr">
        <is>
          <t>Open ▸</t>
        </is>
      </c>
      <c r="Y442" s="34" t="str">
        <f>IFERROR(INDEX(DL_C,MATCH($CA442,DL_KEY,0)),"M")</f>
        <v>H</v>
      </c>
      <c r="Z442" s="35" t="str">
        <f>IFERROR(INDEX(DL_Au,MATCH($CA442,DL_KEY,0)),"M")</f>
        <v>M</v>
      </c>
      <c r="AA442" s="35" t="str">
        <f>IFERROR(INDEX(DL_Ac,MATCH($CA442,DL_KEY,0)),"M")</f>
        <v>M</v>
      </c>
      <c r="AB442" s="35" t="str">
        <f>IFERROR(INDEX(DL_L,MATCH($CA442,DL_KEY,0)),"M")</f>
        <v>L</v>
      </c>
      <c r="AC442" s="35" t="str">
        <f>IFERROR(INDEX(DL_BI,MATCH($CA442,DL_KEY,0)),"M")</f>
        <v>L</v>
      </c>
      <c r="AD442" s="35" t="str">
        <f>IFERROR(INDEX(DL_Exp,MATCH($CA442,DL_KEY,0)),"M")</f>
        <v>L</v>
      </c>
      <c r="AE442" s="35" t="str">
        <f>IFERROR(INDEX(DL_Edu,MATCH($CA442,DL_KEY,0)),"M")</f>
        <v>L</v>
      </c>
      <c r="AF442" s="34" t="inlineStr">
        <is>
          <t>M</t>
        </is>
      </c>
      <c r="AG442" s="35" t="inlineStr">
        <is>
          <t>M</t>
        </is>
      </c>
      <c r="AH442" s="35" t="inlineStr">
        <is>
          <t>M</t>
        </is>
      </c>
      <c r="AI442" s="35" t="inlineStr">
        <is>
          <t>M</t>
        </is>
      </c>
      <c r="AJ442" s="35" t="inlineStr">
        <is>
          <t>M</t>
        </is>
      </c>
      <c r="AK442" s="35" t="inlineStr">
        <is>
          <t>M</t>
        </is>
      </c>
      <c r="AL442" s="35" t="inlineStr">
        <is>
          <t>M</t>
        </is>
      </c>
      <c r="AM442" s="36" t="n">
        <v>0.583</v>
      </c>
      <c r="AN442" s="37" t="n">
        <v>0.16</v>
      </c>
      <c r="AO442" s="37" t="n">
        <v>0.09</v>
      </c>
      <c r="AP442" s="37" t="n">
        <v>0</v>
      </c>
      <c r="AQ442" s="37" t="n">
        <v>0.063</v>
      </c>
      <c r="AR442" s="37" t="n">
        <v>0.06</v>
      </c>
      <c r="AS442" s="37" t="n">
        <v>0.04</v>
      </c>
      <c r="AT442" s="38" t="inlineStr">
        <is>
          <t>2–5</t>
        </is>
      </c>
      <c r="AU442" s="38" t="inlineStr">
        <is>
          <t>Graduate; relevant certification preferred</t>
        </is>
      </c>
      <c r="AV442" s="38" t="inlineStr">
        <is>
          <t>None · guides 1–3 juniors informally</t>
        </is>
      </c>
      <c r="AW442" s="38" t="inlineStr">
        <is>
          <t>P2 · SFIA 3 Apply</t>
        </is>
      </c>
      <c r="AX4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2" s="39" t="inlineStr">
        <is>
          <t>A3</t>
        </is>
      </c>
      <c r="AZ442" s="40" t="inlineStr">
        <is>
          <t>Band A · Practitioner · Senior Associate</t>
        </is>
      </c>
      <c r="BA442" s="40" t="inlineStr">
        <is>
          <t>Model A3 from the six ratings, the market-derived weights and rules R1–R13 · then No change · already below the manager</t>
        </is>
      </c>
      <c r="BB442" s="41" t="inlineStr">
        <is>
          <t>A2</t>
        </is>
      </c>
      <c r="BC442" s="40" t="inlineStr">
        <is>
          <t>The six ratings on the market-average weights of Band A · all tracks score 2.20 → A2 · Hay, Mercer IPE and public plans · experience 7.8 yrs vs the A2 market range 0–3</t>
        </is>
      </c>
      <c r="BD442" s="42">
        <f>IF(SUM(BM442,BN442,BO442,BP442,BQ442,BR442,BS442)=0,0,(BM442*BT442+BN442*BU442+BO442*BV442+BP442*BW442+BQ442*BX442+BR442*BY442+BS442*BZ442)/SUM(BM442,BN442,BO442,BP442,BQ442,BR442,BS442))</f>
        <v>0</v>
      </c>
      <c r="BE442" s="41" t="str">
        <f>IF(LEFT(AY442,1)="X",AY442,IF(OR(AY442="B+",AY442="C+"),INDEX(LAD_PC,MAX(1,MIN(14,MATCH(AY442,LAD_PC,0)+IF(BD442&gt;=0.5,1,IF(BD442&lt;=-0.5,-1,0))))),INDEX(LAD_STD,MAX(1,MIN(12,MATCH(AY442,LAD_STD,0)+IF(BD442&gt;=0.5,1,IF(BD442&lt;=-0.5,-1,0)))))))</f>
        <v>A3</v>
      </c>
      <c r="BF442" s="43" t="n"/>
      <c r="BG442" s="41" t="str">
        <f>IF(BF442&lt;&gt;"",BF442,BE442)</f>
        <v>A3</v>
      </c>
      <c r="BH442" s="40" t="str">
        <f>IFERROR(CHOOSE(INDEX(B_RANK,MATCH(BG442,B_LVL,0)),"Band A","Band B","B+ · Player-Coach","Band C","C+ · Player-Coach","Band D","Band E"),"Band X · Consultant")</f>
        <v>Band A</v>
      </c>
      <c r="BI442" s="40" t="str">
        <f>IF(BG442=AY442,"• Same",IF(INDEX(B_VAL,MATCH(BG442,B_LVL,0))&gt;INDEX(B_VAL,MATCH(AY442,B_LVL,0)),"▲ Up","▼ Down"))</f>
        <v>• Same</v>
      </c>
      <c r="BJ442" s="40" t="str">
        <f>IF(OR($M442="",$M442="—",$M442="Not in this file"),"",IFERROR(INDEX($BG$7:$BG$592,MATCH($M442,$D$7:$D$592,0)),""))</f>
        <v>B2</v>
      </c>
      <c r="BK442" s="40" t="str">
        <f>IFERROR(IF(BJ442="","—",IF(OR(LEFT(BG442,1)="X",LEFT(BJ442,1)="X"),"—",IF(AND(LEFT(BG442,1)="E",LEFT(BJ442,1)="E"),"Exception · Band E",IF(AND(INDEX(B_VAL,MATCH(BJ442,B_LVL,0))&gt;=7,INDEX(B_RANK,MATCH(BG442,B_LVL,0))&gt;=INDEX(B_RANK,MATCH(BJ442,B_LVL,0))),"⚠ Same band as a head manager",IF(INDEX(B_VAL,MATCH(BG442,B_LVL,0))&gt;=INDEX(B_VAL,MATCH(BJ442,B_LVL,0)),"⚠ At or above the manager's level","OK"))))),"—")</f>
        <v>OK</v>
      </c>
      <c r="BL442" s="43" t="n"/>
      <c r="BM442" s="44">
        <f>IFERROR(INDEX(LMH_PTS,MATCH(Y442,LMH_KEY,0)),0)</f>
        <v>9</v>
      </c>
      <c r="BN442" s="38">
        <f>IFERROR(INDEX(LMH_PTS,MATCH(Z442,LMH_KEY,0)),0)</f>
        <v>3</v>
      </c>
      <c r="BO442" s="38">
        <f>IFERROR(INDEX(LMH_PTS,MATCH(AA442,LMH_KEY,0)),0)</f>
        <v>3</v>
      </c>
      <c r="BP442" s="38">
        <f>IFERROR(INDEX(LMH_PTS,MATCH(AB442,LMH_KEY,0)),0)</f>
        <v>1</v>
      </c>
      <c r="BQ442" s="38">
        <f>IFERROR(INDEX(LMH_PTS,MATCH(AC442,LMH_KEY,0)),0)</f>
        <v>1</v>
      </c>
      <c r="BR442" s="38">
        <f>IFERROR(INDEX(LMH_PTS,MATCH(AD442,LMH_KEY,0)),0)</f>
        <v>1</v>
      </c>
      <c r="BS442" s="38">
        <f>IFERROR(INDEX(LMH_PTS,MATCH(AE442,LMH_KEY,0)),0)</f>
        <v>1</v>
      </c>
      <c r="BT442" s="38">
        <f>IFERROR(INDEX(LMH_STEP,MATCH(AF442,LMH_KEY,0)),0)</f>
        <v>0</v>
      </c>
      <c r="BU442" s="38">
        <f>IFERROR(INDEX(LMH_STEP,MATCH(AG442,LMH_KEY,0)),0)</f>
        <v>0</v>
      </c>
      <c r="BV442" s="38">
        <f>IFERROR(INDEX(LMH_STEP,MATCH(AH442,LMH_KEY,0)),0)</f>
        <v>0</v>
      </c>
      <c r="BW442" s="38">
        <f>IFERROR(INDEX(LMH_STEP,MATCH(AI442,LMH_KEY,0)),0)</f>
        <v>0</v>
      </c>
      <c r="BX442" s="38">
        <f>IFERROR(INDEX(LMH_STEP,MATCH(AJ442,LMH_KEY,0)),0)</f>
        <v>0</v>
      </c>
      <c r="BY442" s="38">
        <f>IFERROR(INDEX(LMH_STEP,MATCH(AK442,LMH_KEY,0)),0)</f>
        <v>0</v>
      </c>
      <c r="BZ442" s="38">
        <f>IFERROR(INDEX(LMH_STEP,MATCH(AL442,LMH_KEY,0)),0)</f>
        <v>0</v>
      </c>
      <c r="CA442" s="38" t="inlineStr">
        <is>
          <t>iFile|XBRL Consulting|Senior Taxonomy Analyst|A3|A</t>
        </is>
      </c>
    </row>
    <row r="443" ht="110" customHeight="1">
      <c r="A443" s="28" t="inlineStr">
        <is>
          <t>iFile</t>
        </is>
      </c>
      <c r="B443" s="29" t="inlineStr">
        <is>
          <t>XBRL Consulting</t>
        </is>
      </c>
      <c r="C443" s="29" t="n">
        <v>3</v>
      </c>
      <c r="D443" s="29" t="inlineStr">
        <is>
          <t>IRISC343</t>
        </is>
      </c>
      <c r="E443" s="29" t="inlineStr">
        <is>
          <t>Tuku Deb</t>
        </is>
      </c>
      <c r="F443" s="29" t="inlineStr">
        <is>
          <t>XBRL Conversion Specialist</t>
        </is>
      </c>
      <c r="G443" s="29" t="inlineStr">
        <is>
          <t>Senior Financial Analyst</t>
        </is>
      </c>
      <c r="H443" s="29" t="inlineStr">
        <is>
          <t>Consulting &amp; Professional Services</t>
        </is>
      </c>
      <c r="I443" s="29" t="inlineStr">
        <is>
          <t>XBRL Tagging, Conversion &amp; Filing</t>
        </is>
      </c>
      <c r="J443" s="29" t="inlineStr">
        <is>
          <t>IC</t>
        </is>
      </c>
      <c r="K443" s="29" t="inlineStr">
        <is>
          <t>RC-025</t>
        </is>
      </c>
      <c r="L443" s="29" t="inlineStr">
        <is>
          <t>Shraddha Bagul</t>
        </is>
      </c>
      <c r="M443" s="29" t="inlineStr">
        <is>
          <t>IRIS1035</t>
        </is>
      </c>
      <c r="N443" s="29" t="n">
        <v>2.8</v>
      </c>
      <c r="O443" s="29" t="n">
        <v>0.6</v>
      </c>
      <c r="P443" s="29" t="inlineStr">
        <is>
          <t>PGDM</t>
        </is>
      </c>
      <c r="Q443" s="29" t="inlineStr">
        <is>
          <t>L3 – Professional / Associate</t>
        </is>
      </c>
      <c r="R443" s="29" t="inlineStr">
        <is>
          <t>A3</t>
        </is>
      </c>
      <c r="S443" s="30" t="inlineStr">
        <is>
          <t>20 of 20</t>
        </is>
      </c>
      <c r="T443" s="31"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t>
        </is>
      </c>
      <c r="U443"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3" s="31" t="inlineStr">
        <is>
          <t>Latest rating: 3 · Potential: Medium · 9-box: Core Contributor · Readiness: Develop in role</t>
        </is>
      </c>
      <c r="W443" s="31" t="inlineStr">
        <is>
          <t>C L · Au L · Ac L · L L · BI L · Exp M · 2.8 yrs vs 2–4 yrs · Edu H · PGDM</t>
        </is>
      </c>
      <c r="X443" s="33" t="inlineStr">
        <is>
          <t>Open ▸</t>
        </is>
      </c>
      <c r="Y443" s="34" t="str">
        <f>IFERROR(INDEX(DL_C,MATCH($CA443,DL_KEY,0)),"M")</f>
        <v>H</v>
      </c>
      <c r="Z443" s="35" t="str">
        <f>IFERROR(INDEX(DL_Au,MATCH($CA443,DL_KEY,0)),"M")</f>
        <v>M</v>
      </c>
      <c r="AA443" s="35" t="str">
        <f>IFERROR(INDEX(DL_Ac,MATCH($CA443,DL_KEY,0)),"M")</f>
        <v>M</v>
      </c>
      <c r="AB443" s="35" t="str">
        <f>IFERROR(INDEX(DL_L,MATCH($CA443,DL_KEY,0)),"M")</f>
        <v>L</v>
      </c>
      <c r="AC443" s="35" t="str">
        <f>IFERROR(INDEX(DL_BI,MATCH($CA443,DL_KEY,0)),"M")</f>
        <v>L</v>
      </c>
      <c r="AD443" s="35" t="str">
        <f>IFERROR(INDEX(DL_Exp,MATCH($CA443,DL_KEY,0)),"M")</f>
        <v>L</v>
      </c>
      <c r="AE443" s="35" t="str">
        <f>IFERROR(INDEX(DL_Edu,MATCH($CA443,DL_KEY,0)),"M")</f>
        <v>L</v>
      </c>
      <c r="AF443" s="34" t="inlineStr">
        <is>
          <t>M</t>
        </is>
      </c>
      <c r="AG443" s="35" t="inlineStr">
        <is>
          <t>M</t>
        </is>
      </c>
      <c r="AH443" s="35" t="inlineStr">
        <is>
          <t>M</t>
        </is>
      </c>
      <c r="AI443" s="35" t="inlineStr">
        <is>
          <t>M</t>
        </is>
      </c>
      <c r="AJ443" s="35" t="inlineStr">
        <is>
          <t>M</t>
        </is>
      </c>
      <c r="AK443" s="35" t="inlineStr">
        <is>
          <t>M</t>
        </is>
      </c>
      <c r="AL443" s="35" t="inlineStr">
        <is>
          <t>M</t>
        </is>
      </c>
      <c r="AM443" s="36" t="n">
        <v>0.583</v>
      </c>
      <c r="AN443" s="37" t="n">
        <v>0.16</v>
      </c>
      <c r="AO443" s="37" t="n">
        <v>0.09</v>
      </c>
      <c r="AP443" s="37" t="n">
        <v>0</v>
      </c>
      <c r="AQ443" s="37" t="n">
        <v>0.063</v>
      </c>
      <c r="AR443" s="37" t="n">
        <v>0.06</v>
      </c>
      <c r="AS443" s="37" t="n">
        <v>0.04</v>
      </c>
      <c r="AT443" s="38" t="inlineStr">
        <is>
          <t>2–5</t>
        </is>
      </c>
      <c r="AU443" s="38" t="inlineStr">
        <is>
          <t>Graduate; relevant certification preferred</t>
        </is>
      </c>
      <c r="AV443" s="38" t="inlineStr">
        <is>
          <t>None · guides 1–3 juniors informally</t>
        </is>
      </c>
      <c r="AW443" s="38" t="inlineStr">
        <is>
          <t>P2 · SFIA 3 Apply</t>
        </is>
      </c>
      <c r="AX4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3" s="39" t="inlineStr">
        <is>
          <t>A3</t>
        </is>
      </c>
      <c r="AZ443" s="40" t="inlineStr">
        <is>
          <t>Band A · Practitioner · Senior Associate</t>
        </is>
      </c>
      <c r="BA443" s="40" t="inlineStr">
        <is>
          <t>Model A3 from the six ratings, the market-derived weights and rules R1–R13 · then No change · already below the manager</t>
        </is>
      </c>
      <c r="BB443" s="41" t="inlineStr">
        <is>
          <t>A2</t>
        </is>
      </c>
      <c r="BC443" s="40" t="inlineStr">
        <is>
          <t>The six ratings on the market-average weights of Band A · all tracks score 2.15 → A2 · Hay, Mercer IPE and public plans · experience 2.8 yrs vs the A2 market range 0–3</t>
        </is>
      </c>
      <c r="BD443" s="42">
        <f>IF(SUM(BM443,BN443,BO443,BP443,BQ443,BR443,BS443)=0,0,(BM443*BT443+BN443*BU443+BO443*BV443+BP443*BW443+BQ443*BX443+BR443*BY443+BS443*BZ443)/SUM(BM443,BN443,BO443,BP443,BQ443,BR443,BS443))</f>
        <v>0</v>
      </c>
      <c r="BE443" s="41" t="str">
        <f>IF(LEFT(AY443,1)="X",AY443,IF(OR(AY443="B+",AY443="C+"),INDEX(LAD_PC,MAX(1,MIN(14,MATCH(AY443,LAD_PC,0)+IF(BD443&gt;=0.5,1,IF(BD443&lt;=-0.5,-1,0))))),INDEX(LAD_STD,MAX(1,MIN(12,MATCH(AY443,LAD_STD,0)+IF(BD443&gt;=0.5,1,IF(BD443&lt;=-0.5,-1,0)))))))</f>
        <v>A3</v>
      </c>
      <c r="BF443" s="43" t="n"/>
      <c r="BG443" s="41" t="str">
        <f>IF(BF443&lt;&gt;"",BF443,BE443)</f>
        <v>A3</v>
      </c>
      <c r="BH443" s="40" t="str">
        <f>IFERROR(CHOOSE(INDEX(B_RANK,MATCH(BG443,B_LVL,0)),"Band A","Band B","B+ · Player-Coach","Band C","C+ · Player-Coach","Band D","Band E"),"Band X · Consultant")</f>
        <v>Band A</v>
      </c>
      <c r="BI443" s="40" t="str">
        <f>IF(BG443=AY443,"• Same",IF(INDEX(B_VAL,MATCH(BG443,B_LVL,0))&gt;INDEX(B_VAL,MATCH(AY443,B_LVL,0)),"▲ Up","▼ Down"))</f>
        <v>• Same</v>
      </c>
      <c r="BJ443" s="40" t="str">
        <f>IF(OR($M443="",$M443="—",$M443="Not in this file"),"",IFERROR(INDEX($BG$7:$BG$592,MATCH($M443,$D$7:$D$592,0)),""))</f>
        <v>B2</v>
      </c>
      <c r="BK443" s="40" t="str">
        <f>IFERROR(IF(BJ443="","—",IF(OR(LEFT(BG443,1)="X",LEFT(BJ443,1)="X"),"—",IF(AND(LEFT(BG443,1)="E",LEFT(BJ443,1)="E"),"Exception · Band E",IF(AND(INDEX(B_VAL,MATCH(BJ443,B_LVL,0))&gt;=7,INDEX(B_RANK,MATCH(BG443,B_LVL,0))&gt;=INDEX(B_RANK,MATCH(BJ443,B_LVL,0))),"⚠ Same band as a head manager",IF(INDEX(B_VAL,MATCH(BG443,B_LVL,0))&gt;=INDEX(B_VAL,MATCH(BJ443,B_LVL,0)),"⚠ At or above the manager's level","OK"))))),"—")</f>
        <v>OK</v>
      </c>
      <c r="BL443" s="43" t="n"/>
      <c r="BM443" s="44">
        <f>IFERROR(INDEX(LMH_PTS,MATCH(Y443,LMH_KEY,0)),0)</f>
        <v>9</v>
      </c>
      <c r="BN443" s="38">
        <f>IFERROR(INDEX(LMH_PTS,MATCH(Z443,LMH_KEY,0)),0)</f>
        <v>3</v>
      </c>
      <c r="BO443" s="38">
        <f>IFERROR(INDEX(LMH_PTS,MATCH(AA443,LMH_KEY,0)),0)</f>
        <v>3</v>
      </c>
      <c r="BP443" s="38">
        <f>IFERROR(INDEX(LMH_PTS,MATCH(AB443,LMH_KEY,0)),0)</f>
        <v>1</v>
      </c>
      <c r="BQ443" s="38">
        <f>IFERROR(INDEX(LMH_PTS,MATCH(AC443,LMH_KEY,0)),0)</f>
        <v>1</v>
      </c>
      <c r="BR443" s="38">
        <f>IFERROR(INDEX(LMH_PTS,MATCH(AD443,LMH_KEY,0)),0)</f>
        <v>1</v>
      </c>
      <c r="BS443" s="38">
        <f>IFERROR(INDEX(LMH_PTS,MATCH(AE443,LMH_KEY,0)),0)</f>
        <v>1</v>
      </c>
      <c r="BT443" s="38">
        <f>IFERROR(INDEX(LMH_STEP,MATCH(AF443,LMH_KEY,0)),0)</f>
        <v>0</v>
      </c>
      <c r="BU443" s="38">
        <f>IFERROR(INDEX(LMH_STEP,MATCH(AG443,LMH_KEY,0)),0)</f>
        <v>0</v>
      </c>
      <c r="BV443" s="38">
        <f>IFERROR(INDEX(LMH_STEP,MATCH(AH443,LMH_KEY,0)),0)</f>
        <v>0</v>
      </c>
      <c r="BW443" s="38">
        <f>IFERROR(INDEX(LMH_STEP,MATCH(AI443,LMH_KEY,0)),0)</f>
        <v>0</v>
      </c>
      <c r="BX443" s="38">
        <f>IFERROR(INDEX(LMH_STEP,MATCH(AJ443,LMH_KEY,0)),0)</f>
        <v>0</v>
      </c>
      <c r="BY443" s="38">
        <f>IFERROR(INDEX(LMH_STEP,MATCH(AK443,LMH_KEY,0)),0)</f>
        <v>0</v>
      </c>
      <c r="BZ443" s="38">
        <f>IFERROR(INDEX(LMH_STEP,MATCH(AL443,LMH_KEY,0)),0)</f>
        <v>0</v>
      </c>
      <c r="CA443" s="38" t="inlineStr">
        <is>
          <t>iFile|XBRL Consulting|Senior Financial Analyst|A3|A</t>
        </is>
      </c>
    </row>
    <row r="444" ht="110" customHeight="1">
      <c r="A444" s="28" t="inlineStr">
        <is>
          <t>iFile</t>
        </is>
      </c>
      <c r="B444" s="29" t="inlineStr">
        <is>
          <t>XBRL Consulting</t>
        </is>
      </c>
      <c r="C444" s="29" t="n">
        <v>3</v>
      </c>
      <c r="D444" s="29" t="inlineStr">
        <is>
          <t>IRIS2247</t>
        </is>
      </c>
      <c r="E444" s="29" t="inlineStr">
        <is>
          <t>Unnati Kamble</t>
        </is>
      </c>
      <c r="F444" s="29" t="inlineStr">
        <is>
          <t>Consultant</t>
        </is>
      </c>
      <c r="G444" s="29" t="inlineStr">
        <is>
          <t>Senior Taxonomy Analyst</t>
        </is>
      </c>
      <c r="H444" s="29" t="inlineStr">
        <is>
          <t>Consulting &amp; Professional Services</t>
        </is>
      </c>
      <c r="I444" s="29" t="inlineStr">
        <is>
          <t>Taxonomy Design &amp; Regulatory Consulting</t>
        </is>
      </c>
      <c r="J444" s="29" t="inlineStr">
        <is>
          <t>IC</t>
        </is>
      </c>
      <c r="K444" s="29" t="inlineStr">
        <is>
          <t>RC-019</t>
        </is>
      </c>
      <c r="L444" s="29" t="inlineStr">
        <is>
          <t>Shraddha Bagul</t>
        </is>
      </c>
      <c r="M444" s="29" t="inlineStr">
        <is>
          <t>IRIS1035</t>
        </is>
      </c>
      <c r="N444" s="29" t="n">
        <v>7.5</v>
      </c>
      <c r="O444" s="29" t="n">
        <v>2.4</v>
      </c>
      <c r="P444" s="29" t="inlineStr">
        <is>
          <t>CA</t>
        </is>
      </c>
      <c r="Q444" s="29" t="inlineStr">
        <is>
          <t>L3 – Professional / Associate</t>
        </is>
      </c>
      <c r="R444" s="29" t="inlineStr">
        <is>
          <t>A3</t>
        </is>
      </c>
      <c r="S444" s="30" t="inlineStr">
        <is>
          <t>19 of 20</t>
        </is>
      </c>
      <c r="T444" s="31"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t>
        </is>
      </c>
      <c r="U444"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44" s="31" t="inlineStr">
        <is>
          <t>Latest rating: 3 · Potential: Low · 9-box: Misplaced Talent / Enigma · Readiness: Develop in role</t>
        </is>
      </c>
      <c r="W444" s="31" t="inlineStr">
        <is>
          <t>C M · Au M · Ac M · L L · BI M · Exp H · 7.5 yrs vs 2–4 yrs · Edu H · CA</t>
        </is>
      </c>
      <c r="X444" s="33" t="inlineStr">
        <is>
          <t>Open ▸</t>
        </is>
      </c>
      <c r="Y444" s="34" t="str">
        <f>IFERROR(INDEX(DL_C,MATCH($CA444,DL_KEY,0)),"M")</f>
        <v>H</v>
      </c>
      <c r="Z444" s="35" t="str">
        <f>IFERROR(INDEX(DL_Au,MATCH($CA444,DL_KEY,0)),"M")</f>
        <v>M</v>
      </c>
      <c r="AA444" s="35" t="str">
        <f>IFERROR(INDEX(DL_Ac,MATCH($CA444,DL_KEY,0)),"M")</f>
        <v>M</v>
      </c>
      <c r="AB444" s="35" t="str">
        <f>IFERROR(INDEX(DL_L,MATCH($CA444,DL_KEY,0)),"M")</f>
        <v>L</v>
      </c>
      <c r="AC444" s="35" t="str">
        <f>IFERROR(INDEX(DL_BI,MATCH($CA444,DL_KEY,0)),"M")</f>
        <v>L</v>
      </c>
      <c r="AD444" s="35" t="str">
        <f>IFERROR(INDEX(DL_Exp,MATCH($CA444,DL_KEY,0)),"M")</f>
        <v>L</v>
      </c>
      <c r="AE444" s="35" t="str">
        <f>IFERROR(INDEX(DL_Edu,MATCH($CA444,DL_KEY,0)),"M")</f>
        <v>L</v>
      </c>
      <c r="AF444" s="34" t="inlineStr">
        <is>
          <t>M</t>
        </is>
      </c>
      <c r="AG444" s="35" t="inlineStr">
        <is>
          <t>M</t>
        </is>
      </c>
      <c r="AH444" s="35" t="inlineStr">
        <is>
          <t>M</t>
        </is>
      </c>
      <c r="AI444" s="35" t="inlineStr">
        <is>
          <t>M</t>
        </is>
      </c>
      <c r="AJ444" s="35" t="inlineStr">
        <is>
          <t>M</t>
        </is>
      </c>
      <c r="AK444" s="35" t="inlineStr">
        <is>
          <t>M</t>
        </is>
      </c>
      <c r="AL444" s="35" t="inlineStr">
        <is>
          <t>M</t>
        </is>
      </c>
      <c r="AM444" s="36" t="n">
        <v>0.583</v>
      </c>
      <c r="AN444" s="37" t="n">
        <v>0.16</v>
      </c>
      <c r="AO444" s="37" t="n">
        <v>0.09</v>
      </c>
      <c r="AP444" s="37" t="n">
        <v>0</v>
      </c>
      <c r="AQ444" s="37" t="n">
        <v>0.063</v>
      </c>
      <c r="AR444" s="37" t="n">
        <v>0.06</v>
      </c>
      <c r="AS444" s="37" t="n">
        <v>0.04</v>
      </c>
      <c r="AT444" s="38" t="inlineStr">
        <is>
          <t>2–5</t>
        </is>
      </c>
      <c r="AU444" s="38" t="inlineStr">
        <is>
          <t>Graduate; relevant certification preferred</t>
        </is>
      </c>
      <c r="AV444" s="38" t="inlineStr">
        <is>
          <t>None · guides 1–3 juniors informally</t>
        </is>
      </c>
      <c r="AW444" s="38" t="inlineStr">
        <is>
          <t>P2 · SFIA 3 Apply</t>
        </is>
      </c>
      <c r="AX4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4" s="39" t="inlineStr">
        <is>
          <t>A3</t>
        </is>
      </c>
      <c r="AZ444" s="40" t="inlineStr">
        <is>
          <t>Band A · Practitioner · Senior Associate</t>
        </is>
      </c>
      <c r="BA444" s="40" t="inlineStr">
        <is>
          <t>Model A3 from the six ratings, the market-derived weights and rules R1–R13 · then No change · already below the manager</t>
        </is>
      </c>
      <c r="BB444" s="41" t="inlineStr">
        <is>
          <t>A3</t>
        </is>
      </c>
      <c r="BC444" s="40" t="inlineStr">
        <is>
          <t>The six ratings on the market-average weights of Band A · all tracks score 3.14 → A3 · Hay, Mercer IPE and public plans · experience 7.5 yrs vs the A3 market range 2–5</t>
        </is>
      </c>
      <c r="BD444" s="42">
        <f>IF(SUM(BM444,BN444,BO444,BP444,BQ444,BR444,BS444)=0,0,(BM444*BT444+BN444*BU444+BO444*BV444+BP444*BW444+BQ444*BX444+BR444*BY444+BS444*BZ444)/SUM(BM444,BN444,BO444,BP444,BQ444,BR444,BS444))</f>
        <v>0</v>
      </c>
      <c r="BE444" s="41" t="str">
        <f>IF(LEFT(AY444,1)="X",AY444,IF(OR(AY444="B+",AY444="C+"),INDEX(LAD_PC,MAX(1,MIN(14,MATCH(AY444,LAD_PC,0)+IF(BD444&gt;=0.5,1,IF(BD444&lt;=-0.5,-1,0))))),INDEX(LAD_STD,MAX(1,MIN(12,MATCH(AY444,LAD_STD,0)+IF(BD444&gt;=0.5,1,IF(BD444&lt;=-0.5,-1,0)))))))</f>
        <v>A3</v>
      </c>
      <c r="BF444" s="43" t="n"/>
      <c r="BG444" s="41" t="str">
        <f>IF(BF444&lt;&gt;"",BF444,BE444)</f>
        <v>A3</v>
      </c>
      <c r="BH444" s="40" t="str">
        <f>IFERROR(CHOOSE(INDEX(B_RANK,MATCH(BG444,B_LVL,0)),"Band A","Band B","B+ · Player-Coach","Band C","C+ · Player-Coach","Band D","Band E"),"Band X · Consultant")</f>
        <v>Band A</v>
      </c>
      <c r="BI444" s="40" t="str">
        <f>IF(BG444=AY444,"• Same",IF(INDEX(B_VAL,MATCH(BG444,B_LVL,0))&gt;INDEX(B_VAL,MATCH(AY444,B_LVL,0)),"▲ Up","▼ Down"))</f>
        <v>• Same</v>
      </c>
      <c r="BJ444" s="40" t="str">
        <f>IF(OR($M444="",$M444="—",$M444="Not in this file"),"",IFERROR(INDEX($BG$7:$BG$592,MATCH($M444,$D$7:$D$592,0)),""))</f>
        <v>B2</v>
      </c>
      <c r="BK444" s="40" t="str">
        <f>IFERROR(IF(BJ444="","—",IF(OR(LEFT(BG444,1)="X",LEFT(BJ444,1)="X"),"—",IF(AND(LEFT(BG444,1)="E",LEFT(BJ444,1)="E"),"Exception · Band E",IF(AND(INDEX(B_VAL,MATCH(BJ444,B_LVL,0))&gt;=7,INDEX(B_RANK,MATCH(BG444,B_LVL,0))&gt;=INDEX(B_RANK,MATCH(BJ444,B_LVL,0))),"⚠ Same band as a head manager",IF(INDEX(B_VAL,MATCH(BG444,B_LVL,0))&gt;=INDEX(B_VAL,MATCH(BJ444,B_LVL,0)),"⚠ At or above the manager's level","OK"))))),"—")</f>
        <v>OK</v>
      </c>
      <c r="BL444" s="43" t="n"/>
      <c r="BM444" s="44">
        <f>IFERROR(INDEX(LMH_PTS,MATCH(Y444,LMH_KEY,0)),0)</f>
        <v>9</v>
      </c>
      <c r="BN444" s="38">
        <f>IFERROR(INDEX(LMH_PTS,MATCH(Z444,LMH_KEY,0)),0)</f>
        <v>3</v>
      </c>
      <c r="BO444" s="38">
        <f>IFERROR(INDEX(LMH_PTS,MATCH(AA444,LMH_KEY,0)),0)</f>
        <v>3</v>
      </c>
      <c r="BP444" s="38">
        <f>IFERROR(INDEX(LMH_PTS,MATCH(AB444,LMH_KEY,0)),0)</f>
        <v>1</v>
      </c>
      <c r="BQ444" s="38">
        <f>IFERROR(INDEX(LMH_PTS,MATCH(AC444,LMH_KEY,0)),0)</f>
        <v>1</v>
      </c>
      <c r="BR444" s="38">
        <f>IFERROR(INDEX(LMH_PTS,MATCH(AD444,LMH_KEY,0)),0)</f>
        <v>1</v>
      </c>
      <c r="BS444" s="38">
        <f>IFERROR(INDEX(LMH_PTS,MATCH(AE444,LMH_KEY,0)),0)</f>
        <v>1</v>
      </c>
      <c r="BT444" s="38">
        <f>IFERROR(INDEX(LMH_STEP,MATCH(AF444,LMH_KEY,0)),0)</f>
        <v>0</v>
      </c>
      <c r="BU444" s="38">
        <f>IFERROR(INDEX(LMH_STEP,MATCH(AG444,LMH_KEY,0)),0)</f>
        <v>0</v>
      </c>
      <c r="BV444" s="38">
        <f>IFERROR(INDEX(LMH_STEP,MATCH(AH444,LMH_KEY,0)),0)</f>
        <v>0</v>
      </c>
      <c r="BW444" s="38">
        <f>IFERROR(INDEX(LMH_STEP,MATCH(AI444,LMH_KEY,0)),0)</f>
        <v>0</v>
      </c>
      <c r="BX444" s="38">
        <f>IFERROR(INDEX(LMH_STEP,MATCH(AJ444,LMH_KEY,0)),0)</f>
        <v>0</v>
      </c>
      <c r="BY444" s="38">
        <f>IFERROR(INDEX(LMH_STEP,MATCH(AK444,LMH_KEY,0)),0)</f>
        <v>0</v>
      </c>
      <c r="BZ444" s="38">
        <f>IFERROR(INDEX(LMH_STEP,MATCH(AL444,LMH_KEY,0)),0)</f>
        <v>0</v>
      </c>
      <c r="CA444" s="38" t="inlineStr">
        <is>
          <t>iFile|XBRL Consulting|Senior Taxonomy Analyst|A3|A</t>
        </is>
      </c>
    </row>
    <row r="445" ht="110" customHeight="1">
      <c r="A445" s="28" t="inlineStr">
        <is>
          <t>iFile</t>
        </is>
      </c>
      <c r="B445" s="29" t="inlineStr">
        <is>
          <t>XBRL Consulting</t>
        </is>
      </c>
      <c r="C445" s="29" t="n">
        <v>3</v>
      </c>
      <c r="D445" s="29" t="inlineStr">
        <is>
          <t>IRIS2144</t>
        </is>
      </c>
      <c r="E445" s="29" t="inlineStr">
        <is>
          <t>Vaishnavi Deshpande</t>
        </is>
      </c>
      <c r="F445" s="29" t="inlineStr">
        <is>
          <t>Consultant</t>
        </is>
      </c>
      <c r="G445" s="29" t="inlineStr">
        <is>
          <t>Taxonomy Specialist</t>
        </is>
      </c>
      <c r="H445" s="29" t="inlineStr">
        <is>
          <t>Consulting &amp; Professional Services</t>
        </is>
      </c>
      <c r="I445" s="29" t="inlineStr">
        <is>
          <t>Taxonomy Design &amp; Regulatory Consulting</t>
        </is>
      </c>
      <c r="J445" s="29" t="inlineStr">
        <is>
          <t>IC</t>
        </is>
      </c>
      <c r="K445" s="29" t="inlineStr">
        <is>
          <t>RC-019</t>
        </is>
      </c>
      <c r="L445" s="29" t="inlineStr">
        <is>
          <t>Shraddha Bagul</t>
        </is>
      </c>
      <c r="M445" s="29" t="inlineStr">
        <is>
          <t>IRIS1035</t>
        </is>
      </c>
      <c r="N445" s="29" t="n">
        <v>9.199999999999999</v>
      </c>
      <c r="O445" s="29" t="n">
        <v>3.3</v>
      </c>
      <c r="P445" s="29" t="inlineStr">
        <is>
          <t>Cost Accountant</t>
        </is>
      </c>
      <c r="Q445" s="29" t="inlineStr">
        <is>
          <t>L3 – Professional / Associate</t>
        </is>
      </c>
      <c r="R445" s="29" t="inlineStr">
        <is>
          <t>A3</t>
        </is>
      </c>
      <c r="S445" s="30" t="inlineStr">
        <is>
          <t>20 of 20</t>
        </is>
      </c>
      <c r="T445" s="31"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t>
        </is>
      </c>
      <c r="U445"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45" s="31" t="inlineStr">
        <is>
          <t>Latest rating: 4 · Potential: High · 9-box: High Impact / Growth Talent · Readiness: Ready now</t>
        </is>
      </c>
      <c r="W445" s="31" t="inlineStr">
        <is>
          <t>C M · Au M · Ac M · L L · BI M · Exp H · 9.2 yrs vs 2–4 yrs · Edu H · Cost Accountant</t>
        </is>
      </c>
      <c r="X445" s="33" t="inlineStr">
        <is>
          <t>Open ▸</t>
        </is>
      </c>
      <c r="Y445" s="34" t="str">
        <f>IFERROR(INDEX(DL_C,MATCH($CA445,DL_KEY,0)),"M")</f>
        <v>H</v>
      </c>
      <c r="Z445" s="35" t="str">
        <f>IFERROR(INDEX(DL_Au,MATCH($CA445,DL_KEY,0)),"M")</f>
        <v>M</v>
      </c>
      <c r="AA445" s="35" t="str">
        <f>IFERROR(INDEX(DL_Ac,MATCH($CA445,DL_KEY,0)),"M")</f>
        <v>M</v>
      </c>
      <c r="AB445" s="35" t="str">
        <f>IFERROR(INDEX(DL_L,MATCH($CA445,DL_KEY,0)),"M")</f>
        <v>L</v>
      </c>
      <c r="AC445" s="35" t="str">
        <f>IFERROR(INDEX(DL_BI,MATCH($CA445,DL_KEY,0)),"M")</f>
        <v>L</v>
      </c>
      <c r="AD445" s="35" t="str">
        <f>IFERROR(INDEX(DL_Exp,MATCH($CA445,DL_KEY,0)),"M")</f>
        <v>L</v>
      </c>
      <c r="AE445" s="35" t="str">
        <f>IFERROR(INDEX(DL_Edu,MATCH($CA445,DL_KEY,0)),"M")</f>
        <v>L</v>
      </c>
      <c r="AF445" s="34" t="inlineStr">
        <is>
          <t>M</t>
        </is>
      </c>
      <c r="AG445" s="35" t="inlineStr">
        <is>
          <t>M</t>
        </is>
      </c>
      <c r="AH445" s="35" t="inlineStr">
        <is>
          <t>M</t>
        </is>
      </c>
      <c r="AI445" s="35" t="inlineStr">
        <is>
          <t>M</t>
        </is>
      </c>
      <c r="AJ445" s="35" t="inlineStr">
        <is>
          <t>M</t>
        </is>
      </c>
      <c r="AK445" s="35" t="inlineStr">
        <is>
          <t>M</t>
        </is>
      </c>
      <c r="AL445" s="35" t="inlineStr">
        <is>
          <t>M</t>
        </is>
      </c>
      <c r="AM445" s="36" t="n">
        <v>0.583</v>
      </c>
      <c r="AN445" s="37" t="n">
        <v>0.16</v>
      </c>
      <c r="AO445" s="37" t="n">
        <v>0.09</v>
      </c>
      <c r="AP445" s="37" t="n">
        <v>0</v>
      </c>
      <c r="AQ445" s="37" t="n">
        <v>0.063</v>
      </c>
      <c r="AR445" s="37" t="n">
        <v>0.06</v>
      </c>
      <c r="AS445" s="37" t="n">
        <v>0.04</v>
      </c>
      <c r="AT445" s="38" t="inlineStr">
        <is>
          <t>2–5</t>
        </is>
      </c>
      <c r="AU445" s="38" t="inlineStr">
        <is>
          <t>Graduate; relevant certification preferred</t>
        </is>
      </c>
      <c r="AV445" s="38" t="inlineStr">
        <is>
          <t>None · guides 1–3 juniors informally</t>
        </is>
      </c>
      <c r="AW445" s="38" t="inlineStr">
        <is>
          <t>P2 · SFIA 3 Apply</t>
        </is>
      </c>
      <c r="AX4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5" s="39" t="inlineStr">
        <is>
          <t>A3</t>
        </is>
      </c>
      <c r="AZ445" s="40" t="inlineStr">
        <is>
          <t>Band A · Practitioner · Senior Associate</t>
        </is>
      </c>
      <c r="BA445" s="40" t="inlineStr">
        <is>
          <t>Model A3 from the six ratings, the market-derived weights and rules R1–R13 · then No change · already below the manager</t>
        </is>
      </c>
      <c r="BB445" s="41" t="inlineStr">
        <is>
          <t>A3</t>
        </is>
      </c>
      <c r="BC445" s="40" t="inlineStr">
        <is>
          <t>The six ratings on the market-average weights of Band A · all tracks score 3.27 → A3 · Hay, Mercer IPE and public plans · experience 9.2 yrs vs the A3 market range 2–5</t>
        </is>
      </c>
      <c r="BD445" s="42">
        <f>IF(SUM(BM445,BN445,BO445,BP445,BQ445,BR445,BS445)=0,0,(BM445*BT445+BN445*BU445+BO445*BV445+BP445*BW445+BQ445*BX445+BR445*BY445+BS445*BZ445)/SUM(BM445,BN445,BO445,BP445,BQ445,BR445,BS445))</f>
        <v>0</v>
      </c>
      <c r="BE445" s="41" t="str">
        <f>IF(LEFT(AY445,1)="X",AY445,IF(OR(AY445="B+",AY445="C+"),INDEX(LAD_PC,MAX(1,MIN(14,MATCH(AY445,LAD_PC,0)+IF(BD445&gt;=0.5,1,IF(BD445&lt;=-0.5,-1,0))))),INDEX(LAD_STD,MAX(1,MIN(12,MATCH(AY445,LAD_STD,0)+IF(BD445&gt;=0.5,1,IF(BD445&lt;=-0.5,-1,0)))))))</f>
        <v>A3</v>
      </c>
      <c r="BF445" s="43" t="n"/>
      <c r="BG445" s="41" t="str">
        <f>IF(BF445&lt;&gt;"",BF445,BE445)</f>
        <v>A3</v>
      </c>
      <c r="BH445" s="40" t="str">
        <f>IFERROR(CHOOSE(INDEX(B_RANK,MATCH(BG445,B_LVL,0)),"Band A","Band B","B+ · Player-Coach","Band C","C+ · Player-Coach","Band D","Band E"),"Band X · Consultant")</f>
        <v>Band A</v>
      </c>
      <c r="BI445" s="40" t="str">
        <f>IF(BG445=AY445,"• Same",IF(INDEX(B_VAL,MATCH(BG445,B_LVL,0))&gt;INDEX(B_VAL,MATCH(AY445,B_LVL,0)),"▲ Up","▼ Down"))</f>
        <v>• Same</v>
      </c>
      <c r="BJ445" s="40" t="str">
        <f>IF(OR($M445="",$M445="—",$M445="Not in this file"),"",IFERROR(INDEX($BG$7:$BG$592,MATCH($M445,$D$7:$D$592,0)),""))</f>
        <v>B2</v>
      </c>
      <c r="BK445" s="40" t="str">
        <f>IFERROR(IF(BJ445="","—",IF(OR(LEFT(BG445,1)="X",LEFT(BJ445,1)="X"),"—",IF(AND(LEFT(BG445,1)="E",LEFT(BJ445,1)="E"),"Exception · Band E",IF(AND(INDEX(B_VAL,MATCH(BJ445,B_LVL,0))&gt;=7,INDEX(B_RANK,MATCH(BG445,B_LVL,0))&gt;=INDEX(B_RANK,MATCH(BJ445,B_LVL,0))),"⚠ Same band as a head manager",IF(INDEX(B_VAL,MATCH(BG445,B_LVL,0))&gt;=INDEX(B_VAL,MATCH(BJ445,B_LVL,0)),"⚠ At or above the manager's level","OK"))))),"—")</f>
        <v>OK</v>
      </c>
      <c r="BL445" s="43" t="n"/>
      <c r="BM445" s="44">
        <f>IFERROR(INDEX(LMH_PTS,MATCH(Y445,LMH_KEY,0)),0)</f>
        <v>9</v>
      </c>
      <c r="BN445" s="38">
        <f>IFERROR(INDEX(LMH_PTS,MATCH(Z445,LMH_KEY,0)),0)</f>
        <v>3</v>
      </c>
      <c r="BO445" s="38">
        <f>IFERROR(INDEX(LMH_PTS,MATCH(AA445,LMH_KEY,0)),0)</f>
        <v>3</v>
      </c>
      <c r="BP445" s="38">
        <f>IFERROR(INDEX(LMH_PTS,MATCH(AB445,LMH_KEY,0)),0)</f>
        <v>1</v>
      </c>
      <c r="BQ445" s="38">
        <f>IFERROR(INDEX(LMH_PTS,MATCH(AC445,LMH_KEY,0)),0)</f>
        <v>1</v>
      </c>
      <c r="BR445" s="38">
        <f>IFERROR(INDEX(LMH_PTS,MATCH(AD445,LMH_KEY,0)),0)</f>
        <v>1</v>
      </c>
      <c r="BS445" s="38">
        <f>IFERROR(INDEX(LMH_PTS,MATCH(AE445,LMH_KEY,0)),0)</f>
        <v>1</v>
      </c>
      <c r="BT445" s="38">
        <f>IFERROR(INDEX(LMH_STEP,MATCH(AF445,LMH_KEY,0)),0)</f>
        <v>0</v>
      </c>
      <c r="BU445" s="38">
        <f>IFERROR(INDEX(LMH_STEP,MATCH(AG445,LMH_KEY,0)),0)</f>
        <v>0</v>
      </c>
      <c r="BV445" s="38">
        <f>IFERROR(INDEX(LMH_STEP,MATCH(AH445,LMH_KEY,0)),0)</f>
        <v>0</v>
      </c>
      <c r="BW445" s="38">
        <f>IFERROR(INDEX(LMH_STEP,MATCH(AI445,LMH_KEY,0)),0)</f>
        <v>0</v>
      </c>
      <c r="BX445" s="38">
        <f>IFERROR(INDEX(LMH_STEP,MATCH(AJ445,LMH_KEY,0)),0)</f>
        <v>0</v>
      </c>
      <c r="BY445" s="38">
        <f>IFERROR(INDEX(LMH_STEP,MATCH(AK445,LMH_KEY,0)),0)</f>
        <v>0</v>
      </c>
      <c r="BZ445" s="38">
        <f>IFERROR(INDEX(LMH_STEP,MATCH(AL445,LMH_KEY,0)),0)</f>
        <v>0</v>
      </c>
      <c r="CA445" s="38" t="inlineStr">
        <is>
          <t>iFile|XBRL Consulting|Taxonomy Specialist|A3|A</t>
        </is>
      </c>
    </row>
    <row r="446" ht="110" customHeight="1">
      <c r="A446" s="28" t="inlineStr">
        <is>
          <t>iFile</t>
        </is>
      </c>
      <c r="B446" s="29" t="inlineStr">
        <is>
          <t>XBRL Consulting</t>
        </is>
      </c>
      <c r="C446" s="29" t="n">
        <v>3</v>
      </c>
      <c r="D446" s="29" t="inlineStr">
        <is>
          <t>IRISC322</t>
        </is>
      </c>
      <c r="E446" s="29" t="inlineStr">
        <is>
          <t>Bhanu Vardhan Nelly</t>
        </is>
      </c>
      <c r="F446" s="29" t="inlineStr">
        <is>
          <t>XBRL Conversion Specialist</t>
        </is>
      </c>
      <c r="G446" s="29" t="inlineStr">
        <is>
          <t>Financial Analyst</t>
        </is>
      </c>
      <c r="H446" s="29" t="inlineStr">
        <is>
          <t>Consulting &amp; Professional Services</t>
        </is>
      </c>
      <c r="I446" s="29" t="inlineStr">
        <is>
          <t>XBRL Tagging, Conversion &amp; Filing</t>
        </is>
      </c>
      <c r="J446" s="29" t="inlineStr">
        <is>
          <t>IC</t>
        </is>
      </c>
      <c r="K446" s="29" t="inlineStr">
        <is>
          <t>RC-024</t>
        </is>
      </c>
      <c r="L446" s="29" t="inlineStr">
        <is>
          <t>Shraddha Bagul</t>
        </is>
      </c>
      <c r="M446" s="29" t="inlineStr">
        <is>
          <t>IRIS1035</t>
        </is>
      </c>
      <c r="N446" s="29" t="n">
        <v>1.4</v>
      </c>
      <c r="O446" s="29" t="n">
        <v>0.8</v>
      </c>
      <c r="P446" s="29" t="inlineStr">
        <is>
          <t>Bachelor in Accounting &amp; Finance</t>
        </is>
      </c>
      <c r="Q446" s="29" t="inlineStr">
        <is>
          <t>L3 – Professional / Associate</t>
        </is>
      </c>
      <c r="R446" s="29" t="inlineStr">
        <is>
          <t>A2</t>
        </is>
      </c>
      <c r="S446" s="30" t="inlineStr">
        <is>
          <t>20 of 20</t>
        </is>
      </c>
      <c r="T446" s="31"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t>
        </is>
      </c>
      <c r="U446"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6" s="31" t="inlineStr">
        <is>
          <t>Latest rating: 3 · Potential: Medium · 9-box: Core Contributor · Readiness: Develop in role</t>
        </is>
      </c>
      <c r="W446" s="31" t="inlineStr">
        <is>
          <t>C M · Au M · Ac M · L L · BI M · Exp M · 1.4 yrs vs 0–2 yrs · Edu M · Bachelor in Accounting &amp; Finance</t>
        </is>
      </c>
      <c r="X446" s="33" t="inlineStr">
        <is>
          <t>Open ▸</t>
        </is>
      </c>
      <c r="Y446" s="34" t="str">
        <f>IFERROR(INDEX(DL_C,MATCH($CA446,DL_KEY,0)),"M")</f>
        <v>H</v>
      </c>
      <c r="Z446" s="35" t="str">
        <f>IFERROR(INDEX(DL_Au,MATCH($CA446,DL_KEY,0)),"M")</f>
        <v>M</v>
      </c>
      <c r="AA446" s="35" t="str">
        <f>IFERROR(INDEX(DL_Ac,MATCH($CA446,DL_KEY,0)),"M")</f>
        <v>M</v>
      </c>
      <c r="AB446" s="35" t="str">
        <f>IFERROR(INDEX(DL_L,MATCH($CA446,DL_KEY,0)),"M")</f>
        <v>L</v>
      </c>
      <c r="AC446" s="35" t="str">
        <f>IFERROR(INDEX(DL_BI,MATCH($CA446,DL_KEY,0)),"M")</f>
        <v>L</v>
      </c>
      <c r="AD446" s="35" t="str">
        <f>IFERROR(INDEX(DL_Exp,MATCH($CA446,DL_KEY,0)),"M")</f>
        <v>L</v>
      </c>
      <c r="AE446" s="35" t="str">
        <f>IFERROR(INDEX(DL_Edu,MATCH($CA446,DL_KEY,0)),"M")</f>
        <v>L</v>
      </c>
      <c r="AF446" s="34" t="inlineStr">
        <is>
          <t>M</t>
        </is>
      </c>
      <c r="AG446" s="35" t="inlineStr">
        <is>
          <t>M</t>
        </is>
      </c>
      <c r="AH446" s="35" t="inlineStr">
        <is>
          <t>M</t>
        </is>
      </c>
      <c r="AI446" s="35" t="inlineStr">
        <is>
          <t>M</t>
        </is>
      </c>
      <c r="AJ446" s="35" t="inlineStr">
        <is>
          <t>M</t>
        </is>
      </c>
      <c r="AK446" s="35" t="inlineStr">
        <is>
          <t>M</t>
        </is>
      </c>
      <c r="AL446" s="35" t="inlineStr">
        <is>
          <t>M</t>
        </is>
      </c>
      <c r="AM446" s="36" t="n">
        <v>0.583</v>
      </c>
      <c r="AN446" s="37" t="n">
        <v>0.16</v>
      </c>
      <c r="AO446" s="37" t="n">
        <v>0.09</v>
      </c>
      <c r="AP446" s="37" t="n">
        <v>0</v>
      </c>
      <c r="AQ446" s="37" t="n">
        <v>0.063</v>
      </c>
      <c r="AR446" s="37" t="n">
        <v>0.06</v>
      </c>
      <c r="AS446" s="37" t="n">
        <v>0.04</v>
      </c>
      <c r="AT446" s="38" t="inlineStr">
        <is>
          <t>0–3</t>
        </is>
      </c>
      <c r="AU446" s="38" t="inlineStr">
        <is>
          <t>Graduate · or diploma with experience</t>
        </is>
      </c>
      <c r="AV446" s="38" t="inlineStr">
        <is>
          <t>No direct reports</t>
        </is>
      </c>
      <c r="AW446" s="38" t="inlineStr">
        <is>
          <t>P1–P2 · SFIA 2 Assist</t>
        </is>
      </c>
      <c r="AX4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6" s="39" t="inlineStr">
        <is>
          <t>A2</t>
        </is>
      </c>
      <c r="AZ446" s="40" t="inlineStr">
        <is>
          <t>Band A · Practitioner · Associate</t>
        </is>
      </c>
      <c r="BA446" s="40" t="inlineStr">
        <is>
          <t>Model A2 from the six ratings, the market-derived weights and rules R1–R13 · then No change · already below the manager</t>
        </is>
      </c>
      <c r="BB446" s="41" t="inlineStr">
        <is>
          <t>A2</t>
        </is>
      </c>
      <c r="BC446" s="40" t="inlineStr">
        <is>
          <t>The six ratings on the market-average weights of Band A · all tracks score 2.00 → A2 · Hay, Mercer IPE and public plans · experience 1.4 yrs vs the A2 market range 0–3</t>
        </is>
      </c>
      <c r="BD446" s="42">
        <f>IF(SUM(BM446,BN446,BO446,BP446,BQ446,BR446,BS446)=0,0,(BM446*BT446+BN446*BU446+BO446*BV446+BP446*BW446+BQ446*BX446+BR446*BY446+BS446*BZ446)/SUM(BM446,BN446,BO446,BP446,BQ446,BR446,BS446))</f>
        <v>0</v>
      </c>
      <c r="BE446" s="41" t="str">
        <f>IF(LEFT(AY446,1)="X",AY446,IF(OR(AY446="B+",AY446="C+"),INDEX(LAD_PC,MAX(1,MIN(14,MATCH(AY446,LAD_PC,0)+IF(BD446&gt;=0.5,1,IF(BD446&lt;=-0.5,-1,0))))),INDEX(LAD_STD,MAX(1,MIN(12,MATCH(AY446,LAD_STD,0)+IF(BD446&gt;=0.5,1,IF(BD446&lt;=-0.5,-1,0)))))))</f>
        <v>A2</v>
      </c>
      <c r="BF446" s="43" t="n"/>
      <c r="BG446" s="41" t="str">
        <f>IF(BF446&lt;&gt;"",BF446,BE446)</f>
        <v>A2</v>
      </c>
      <c r="BH446" s="40" t="str">
        <f>IFERROR(CHOOSE(INDEX(B_RANK,MATCH(BG446,B_LVL,0)),"Band A","Band B","B+ · Player-Coach","Band C","C+ · Player-Coach","Band D","Band E"),"Band X · Consultant")</f>
        <v>Band A</v>
      </c>
      <c r="BI446" s="40" t="str">
        <f>IF(BG446=AY446,"• Same",IF(INDEX(B_VAL,MATCH(BG446,B_LVL,0))&gt;INDEX(B_VAL,MATCH(AY446,B_LVL,0)),"▲ Up","▼ Down"))</f>
        <v>• Same</v>
      </c>
      <c r="BJ446" s="40" t="str">
        <f>IF(OR($M446="",$M446="—",$M446="Not in this file"),"",IFERROR(INDEX($BG$7:$BG$592,MATCH($M446,$D$7:$D$592,0)),""))</f>
        <v>B2</v>
      </c>
      <c r="BK446" s="40" t="str">
        <f>IFERROR(IF(BJ446="","—",IF(OR(LEFT(BG446,1)="X",LEFT(BJ446,1)="X"),"—",IF(AND(LEFT(BG446,1)="E",LEFT(BJ446,1)="E"),"Exception · Band E",IF(AND(INDEX(B_VAL,MATCH(BJ446,B_LVL,0))&gt;=7,INDEX(B_RANK,MATCH(BG446,B_LVL,0))&gt;=INDEX(B_RANK,MATCH(BJ446,B_LVL,0))),"⚠ Same band as a head manager",IF(INDEX(B_VAL,MATCH(BG446,B_LVL,0))&gt;=INDEX(B_VAL,MATCH(BJ446,B_LVL,0)),"⚠ At or above the manager's level","OK"))))),"—")</f>
        <v>OK</v>
      </c>
      <c r="BL446" s="43" t="n"/>
      <c r="BM446" s="44">
        <f>IFERROR(INDEX(LMH_PTS,MATCH(Y446,LMH_KEY,0)),0)</f>
        <v>9</v>
      </c>
      <c r="BN446" s="38">
        <f>IFERROR(INDEX(LMH_PTS,MATCH(Z446,LMH_KEY,0)),0)</f>
        <v>3</v>
      </c>
      <c r="BO446" s="38">
        <f>IFERROR(INDEX(LMH_PTS,MATCH(AA446,LMH_KEY,0)),0)</f>
        <v>3</v>
      </c>
      <c r="BP446" s="38">
        <f>IFERROR(INDEX(LMH_PTS,MATCH(AB446,LMH_KEY,0)),0)</f>
        <v>1</v>
      </c>
      <c r="BQ446" s="38">
        <f>IFERROR(INDEX(LMH_PTS,MATCH(AC446,LMH_KEY,0)),0)</f>
        <v>1</v>
      </c>
      <c r="BR446" s="38">
        <f>IFERROR(INDEX(LMH_PTS,MATCH(AD446,LMH_KEY,0)),0)</f>
        <v>1</v>
      </c>
      <c r="BS446" s="38">
        <f>IFERROR(INDEX(LMH_PTS,MATCH(AE446,LMH_KEY,0)),0)</f>
        <v>1</v>
      </c>
      <c r="BT446" s="38">
        <f>IFERROR(INDEX(LMH_STEP,MATCH(AF446,LMH_KEY,0)),0)</f>
        <v>0</v>
      </c>
      <c r="BU446" s="38">
        <f>IFERROR(INDEX(LMH_STEP,MATCH(AG446,LMH_KEY,0)),0)</f>
        <v>0</v>
      </c>
      <c r="BV446" s="38">
        <f>IFERROR(INDEX(LMH_STEP,MATCH(AH446,LMH_KEY,0)),0)</f>
        <v>0</v>
      </c>
      <c r="BW446" s="38">
        <f>IFERROR(INDEX(LMH_STEP,MATCH(AI446,LMH_KEY,0)),0)</f>
        <v>0</v>
      </c>
      <c r="BX446" s="38">
        <f>IFERROR(INDEX(LMH_STEP,MATCH(AJ446,LMH_KEY,0)),0)</f>
        <v>0</v>
      </c>
      <c r="BY446" s="38">
        <f>IFERROR(INDEX(LMH_STEP,MATCH(AK446,LMH_KEY,0)),0)</f>
        <v>0</v>
      </c>
      <c r="BZ446" s="38">
        <f>IFERROR(INDEX(LMH_STEP,MATCH(AL446,LMH_KEY,0)),0)</f>
        <v>0</v>
      </c>
      <c r="CA446" s="38" t="inlineStr">
        <is>
          <t>iFile|XBRL Consulting|Financial Analyst|A2|A</t>
        </is>
      </c>
    </row>
    <row r="447" ht="110" customHeight="1">
      <c r="A447" s="28" t="inlineStr">
        <is>
          <t>iFile</t>
        </is>
      </c>
      <c r="B447" s="29" t="inlineStr">
        <is>
          <t>XBRL Consulting</t>
        </is>
      </c>
      <c r="C447" s="29" t="n">
        <v>3</v>
      </c>
      <c r="D447" s="29" t="inlineStr">
        <is>
          <t>IRISC328</t>
        </is>
      </c>
      <c r="E447" s="29" t="inlineStr">
        <is>
          <t>Omkar Parab</t>
        </is>
      </c>
      <c r="F447" s="29" t="inlineStr">
        <is>
          <t>Consultant</t>
        </is>
      </c>
      <c r="G447" s="29" t="inlineStr">
        <is>
          <t>Taxonomy Analyst</t>
        </is>
      </c>
      <c r="H447" s="29" t="inlineStr">
        <is>
          <t>Consulting &amp; Professional Services</t>
        </is>
      </c>
      <c r="I447" s="29" t="inlineStr">
        <is>
          <t>Taxonomy Design &amp; Regulatory Consulting</t>
        </is>
      </c>
      <c r="J447" s="29" t="inlineStr">
        <is>
          <t>IC</t>
        </is>
      </c>
      <c r="K447" s="29" t="inlineStr">
        <is>
          <t>RC-018</t>
        </is>
      </c>
      <c r="L447" s="29" t="inlineStr">
        <is>
          <t>Shraddha Bagul</t>
        </is>
      </c>
      <c r="M447" s="29" t="inlineStr">
        <is>
          <t>IRIS1035</t>
        </is>
      </c>
      <c r="N447" s="29" t="n">
        <v>0.8</v>
      </c>
      <c r="O447" s="29" t="n">
        <v>0.8</v>
      </c>
      <c r="P447" s="29" t="inlineStr">
        <is>
          <t>B.Com</t>
        </is>
      </c>
      <c r="Q447" s="29" t="inlineStr">
        <is>
          <t>L3 – Professional / Associate</t>
        </is>
      </c>
      <c r="R447" s="29" t="inlineStr">
        <is>
          <t>A2</t>
        </is>
      </c>
      <c r="S447" s="30" t="inlineStr">
        <is>
          <t>20 of 20</t>
        </is>
      </c>
      <c r="T447" s="31"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t>
        </is>
      </c>
      <c r="U447"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7" s="31" t="inlineStr">
        <is>
          <t>Latest rating: 3 · Potential: Low · 9-box: Core Contributor · Readiness: Develop in role</t>
        </is>
      </c>
      <c r="W447" s="31" t="inlineStr">
        <is>
          <t>C M · Au M · Ac M · L L · BI M · Exp M · 0.8 yrs vs 0–2 yrs · Edu M · B.Com</t>
        </is>
      </c>
      <c r="X447" s="33" t="inlineStr">
        <is>
          <t>Open ▸</t>
        </is>
      </c>
      <c r="Y447" s="34" t="str">
        <f>IFERROR(INDEX(DL_C,MATCH($CA447,DL_KEY,0)),"M")</f>
        <v>H</v>
      </c>
      <c r="Z447" s="35" t="str">
        <f>IFERROR(INDEX(DL_Au,MATCH($CA447,DL_KEY,0)),"M")</f>
        <v>M</v>
      </c>
      <c r="AA447" s="35" t="str">
        <f>IFERROR(INDEX(DL_Ac,MATCH($CA447,DL_KEY,0)),"M")</f>
        <v>M</v>
      </c>
      <c r="AB447" s="35" t="str">
        <f>IFERROR(INDEX(DL_L,MATCH($CA447,DL_KEY,0)),"M")</f>
        <v>L</v>
      </c>
      <c r="AC447" s="35" t="str">
        <f>IFERROR(INDEX(DL_BI,MATCH($CA447,DL_KEY,0)),"M")</f>
        <v>L</v>
      </c>
      <c r="AD447" s="35" t="str">
        <f>IFERROR(INDEX(DL_Exp,MATCH($CA447,DL_KEY,0)),"M")</f>
        <v>L</v>
      </c>
      <c r="AE447" s="35" t="str">
        <f>IFERROR(INDEX(DL_Edu,MATCH($CA447,DL_KEY,0)),"M")</f>
        <v>L</v>
      </c>
      <c r="AF447" s="34" t="inlineStr">
        <is>
          <t>M</t>
        </is>
      </c>
      <c r="AG447" s="35" t="inlineStr">
        <is>
          <t>M</t>
        </is>
      </c>
      <c r="AH447" s="35" t="inlineStr">
        <is>
          <t>M</t>
        </is>
      </c>
      <c r="AI447" s="35" t="inlineStr">
        <is>
          <t>M</t>
        </is>
      </c>
      <c r="AJ447" s="35" t="inlineStr">
        <is>
          <t>M</t>
        </is>
      </c>
      <c r="AK447" s="35" t="inlineStr">
        <is>
          <t>M</t>
        </is>
      </c>
      <c r="AL447" s="35" t="inlineStr">
        <is>
          <t>M</t>
        </is>
      </c>
      <c r="AM447" s="36" t="n">
        <v>0.583</v>
      </c>
      <c r="AN447" s="37" t="n">
        <v>0.16</v>
      </c>
      <c r="AO447" s="37" t="n">
        <v>0.09</v>
      </c>
      <c r="AP447" s="37" t="n">
        <v>0</v>
      </c>
      <c r="AQ447" s="37" t="n">
        <v>0.063</v>
      </c>
      <c r="AR447" s="37" t="n">
        <v>0.06</v>
      </c>
      <c r="AS447" s="37" t="n">
        <v>0.04</v>
      </c>
      <c r="AT447" s="38" t="inlineStr">
        <is>
          <t>0–3</t>
        </is>
      </c>
      <c r="AU447" s="38" t="inlineStr">
        <is>
          <t>Graduate · or diploma with experience</t>
        </is>
      </c>
      <c r="AV447" s="38" t="inlineStr">
        <is>
          <t>No direct reports</t>
        </is>
      </c>
      <c r="AW447" s="38" t="inlineStr">
        <is>
          <t>P1–P2 · SFIA 2 Assist</t>
        </is>
      </c>
      <c r="AX4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7" s="39" t="inlineStr">
        <is>
          <t>A2</t>
        </is>
      </c>
      <c r="AZ447" s="40" t="inlineStr">
        <is>
          <t>Band A · Practitioner · Associate</t>
        </is>
      </c>
      <c r="BA447" s="40" t="inlineStr">
        <is>
          <t>Model A2 from the six ratings, the market-derived weights and rules R1–R13 · then No change · already below the manager</t>
        </is>
      </c>
      <c r="BB447" s="41" t="inlineStr">
        <is>
          <t>A2</t>
        </is>
      </c>
      <c r="BC447" s="40" t="inlineStr">
        <is>
          <t>The six ratings on the market-average weights of Band A · all tracks score 2.00 → A2 · Hay, Mercer IPE and public plans · experience 0.8 yrs vs the A2 market range 0–3</t>
        </is>
      </c>
      <c r="BD447" s="42">
        <f>IF(SUM(BM447,BN447,BO447,BP447,BQ447,BR447,BS447)=0,0,(BM447*BT447+BN447*BU447+BO447*BV447+BP447*BW447+BQ447*BX447+BR447*BY447+BS447*BZ447)/SUM(BM447,BN447,BO447,BP447,BQ447,BR447,BS447))</f>
        <v>0</v>
      </c>
      <c r="BE447" s="41" t="str">
        <f>IF(LEFT(AY447,1)="X",AY447,IF(OR(AY447="B+",AY447="C+"),INDEX(LAD_PC,MAX(1,MIN(14,MATCH(AY447,LAD_PC,0)+IF(BD447&gt;=0.5,1,IF(BD447&lt;=-0.5,-1,0))))),INDEX(LAD_STD,MAX(1,MIN(12,MATCH(AY447,LAD_STD,0)+IF(BD447&gt;=0.5,1,IF(BD447&lt;=-0.5,-1,0)))))))</f>
        <v>A2</v>
      </c>
      <c r="BF447" s="43" t="n"/>
      <c r="BG447" s="41" t="str">
        <f>IF(BF447&lt;&gt;"",BF447,BE447)</f>
        <v>A2</v>
      </c>
      <c r="BH447" s="40" t="str">
        <f>IFERROR(CHOOSE(INDEX(B_RANK,MATCH(BG447,B_LVL,0)),"Band A","Band B","B+ · Player-Coach","Band C","C+ · Player-Coach","Band D","Band E"),"Band X · Consultant")</f>
        <v>Band A</v>
      </c>
      <c r="BI447" s="40" t="str">
        <f>IF(BG447=AY447,"• Same",IF(INDEX(B_VAL,MATCH(BG447,B_LVL,0))&gt;INDEX(B_VAL,MATCH(AY447,B_LVL,0)),"▲ Up","▼ Down"))</f>
        <v>• Same</v>
      </c>
      <c r="BJ447" s="40" t="str">
        <f>IF(OR($M447="",$M447="—",$M447="Not in this file"),"",IFERROR(INDEX($BG$7:$BG$592,MATCH($M447,$D$7:$D$592,0)),""))</f>
        <v>B2</v>
      </c>
      <c r="BK447" s="40" t="str">
        <f>IFERROR(IF(BJ447="","—",IF(OR(LEFT(BG447,1)="X",LEFT(BJ447,1)="X"),"—",IF(AND(LEFT(BG447,1)="E",LEFT(BJ447,1)="E"),"Exception · Band E",IF(AND(INDEX(B_VAL,MATCH(BJ447,B_LVL,0))&gt;=7,INDEX(B_RANK,MATCH(BG447,B_LVL,0))&gt;=INDEX(B_RANK,MATCH(BJ447,B_LVL,0))),"⚠ Same band as a head manager",IF(INDEX(B_VAL,MATCH(BG447,B_LVL,0))&gt;=INDEX(B_VAL,MATCH(BJ447,B_LVL,0)),"⚠ At or above the manager's level","OK"))))),"—")</f>
        <v>OK</v>
      </c>
      <c r="BL447" s="43" t="n"/>
      <c r="BM447" s="44">
        <f>IFERROR(INDEX(LMH_PTS,MATCH(Y447,LMH_KEY,0)),0)</f>
        <v>9</v>
      </c>
      <c r="BN447" s="38">
        <f>IFERROR(INDEX(LMH_PTS,MATCH(Z447,LMH_KEY,0)),0)</f>
        <v>3</v>
      </c>
      <c r="BO447" s="38">
        <f>IFERROR(INDEX(LMH_PTS,MATCH(AA447,LMH_KEY,0)),0)</f>
        <v>3</v>
      </c>
      <c r="BP447" s="38">
        <f>IFERROR(INDEX(LMH_PTS,MATCH(AB447,LMH_KEY,0)),0)</f>
        <v>1</v>
      </c>
      <c r="BQ447" s="38">
        <f>IFERROR(INDEX(LMH_PTS,MATCH(AC447,LMH_KEY,0)),0)</f>
        <v>1</v>
      </c>
      <c r="BR447" s="38">
        <f>IFERROR(INDEX(LMH_PTS,MATCH(AD447,LMH_KEY,0)),0)</f>
        <v>1</v>
      </c>
      <c r="BS447" s="38">
        <f>IFERROR(INDEX(LMH_PTS,MATCH(AE447,LMH_KEY,0)),0)</f>
        <v>1</v>
      </c>
      <c r="BT447" s="38">
        <f>IFERROR(INDEX(LMH_STEP,MATCH(AF447,LMH_KEY,0)),0)</f>
        <v>0</v>
      </c>
      <c r="BU447" s="38">
        <f>IFERROR(INDEX(LMH_STEP,MATCH(AG447,LMH_KEY,0)),0)</f>
        <v>0</v>
      </c>
      <c r="BV447" s="38">
        <f>IFERROR(INDEX(LMH_STEP,MATCH(AH447,LMH_KEY,0)),0)</f>
        <v>0</v>
      </c>
      <c r="BW447" s="38">
        <f>IFERROR(INDEX(LMH_STEP,MATCH(AI447,LMH_KEY,0)),0)</f>
        <v>0</v>
      </c>
      <c r="BX447" s="38">
        <f>IFERROR(INDEX(LMH_STEP,MATCH(AJ447,LMH_KEY,0)),0)</f>
        <v>0</v>
      </c>
      <c r="BY447" s="38">
        <f>IFERROR(INDEX(LMH_STEP,MATCH(AK447,LMH_KEY,0)),0)</f>
        <v>0</v>
      </c>
      <c r="BZ447" s="38">
        <f>IFERROR(INDEX(LMH_STEP,MATCH(AL447,LMH_KEY,0)),0)</f>
        <v>0</v>
      </c>
      <c r="CA447" s="38" t="inlineStr">
        <is>
          <t>iFile|XBRL Consulting|Taxonomy Analyst|A2|A</t>
        </is>
      </c>
    </row>
    <row r="448" ht="110" customHeight="1">
      <c r="A448" s="28" t="inlineStr">
        <is>
          <t>iFile</t>
        </is>
      </c>
      <c r="B448" s="29" t="inlineStr">
        <is>
          <t>XBRL Consulting</t>
        </is>
      </c>
      <c r="C448" s="29" t="n">
        <v>3</v>
      </c>
      <c r="D448" s="29" t="inlineStr">
        <is>
          <t>IRISC342</t>
        </is>
      </c>
      <c r="E448" s="29" t="inlineStr">
        <is>
          <t>Prabhash Rajput</t>
        </is>
      </c>
      <c r="F448" s="29" t="inlineStr">
        <is>
          <t>Consultant</t>
        </is>
      </c>
      <c r="G448" s="29" t="inlineStr">
        <is>
          <t>Taxonomy Analyst</t>
        </is>
      </c>
      <c r="H448" s="29" t="inlineStr">
        <is>
          <t>Consulting &amp; Professional Services</t>
        </is>
      </c>
      <c r="I448" s="29" t="inlineStr">
        <is>
          <t>Taxonomy Design &amp; Regulatory Consulting</t>
        </is>
      </c>
      <c r="J448" s="29" t="inlineStr">
        <is>
          <t>IC</t>
        </is>
      </c>
      <c r="K448" s="29" t="inlineStr">
        <is>
          <t>RC-018</t>
        </is>
      </c>
      <c r="L448" s="29" t="inlineStr">
        <is>
          <t>Shraddha Bagul</t>
        </is>
      </c>
      <c r="M448" s="29" t="inlineStr">
        <is>
          <t>IRIS1035</t>
        </is>
      </c>
      <c r="N448" s="29" t="n">
        <v>1.1</v>
      </c>
      <c r="O448" s="29" t="n">
        <v>0.6</v>
      </c>
      <c r="P448" s="29" t="inlineStr">
        <is>
          <t>B.Com</t>
        </is>
      </c>
      <c r="Q448" s="29" t="inlineStr">
        <is>
          <t>L3 – Professional / Associate</t>
        </is>
      </c>
      <c r="R448" s="29" t="inlineStr">
        <is>
          <t>A2</t>
        </is>
      </c>
      <c r="S448" s="30" t="inlineStr">
        <is>
          <t>20 of 20</t>
        </is>
      </c>
      <c r="T448" s="31"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t>
        </is>
      </c>
      <c r="U448"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8" s="31" t="inlineStr">
        <is>
          <t>Latest rating: 3 · Potential: Low · 9-box: Core Contributor · Readiness: Develop in role</t>
        </is>
      </c>
      <c r="W448" s="31" t="inlineStr">
        <is>
          <t>C M · Au M · Ac M · L L · BI M · Exp M · 1.1 yrs vs 0–2 yrs · Edu M · B.Com</t>
        </is>
      </c>
      <c r="X448" s="33" t="inlineStr">
        <is>
          <t>Open ▸</t>
        </is>
      </c>
      <c r="Y448" s="34" t="str">
        <f>IFERROR(INDEX(DL_C,MATCH($CA448,DL_KEY,0)),"M")</f>
        <v>H</v>
      </c>
      <c r="Z448" s="35" t="str">
        <f>IFERROR(INDEX(DL_Au,MATCH($CA448,DL_KEY,0)),"M")</f>
        <v>M</v>
      </c>
      <c r="AA448" s="35" t="str">
        <f>IFERROR(INDEX(DL_Ac,MATCH($CA448,DL_KEY,0)),"M")</f>
        <v>M</v>
      </c>
      <c r="AB448" s="35" t="str">
        <f>IFERROR(INDEX(DL_L,MATCH($CA448,DL_KEY,0)),"M")</f>
        <v>L</v>
      </c>
      <c r="AC448" s="35" t="str">
        <f>IFERROR(INDEX(DL_BI,MATCH($CA448,DL_KEY,0)),"M")</f>
        <v>L</v>
      </c>
      <c r="AD448" s="35" t="str">
        <f>IFERROR(INDEX(DL_Exp,MATCH($CA448,DL_KEY,0)),"M")</f>
        <v>L</v>
      </c>
      <c r="AE448" s="35" t="str">
        <f>IFERROR(INDEX(DL_Edu,MATCH($CA448,DL_KEY,0)),"M")</f>
        <v>L</v>
      </c>
      <c r="AF448" s="34" t="inlineStr">
        <is>
          <t>M</t>
        </is>
      </c>
      <c r="AG448" s="35" t="inlineStr">
        <is>
          <t>M</t>
        </is>
      </c>
      <c r="AH448" s="35" t="inlineStr">
        <is>
          <t>M</t>
        </is>
      </c>
      <c r="AI448" s="35" t="inlineStr">
        <is>
          <t>M</t>
        </is>
      </c>
      <c r="AJ448" s="35" t="inlineStr">
        <is>
          <t>M</t>
        </is>
      </c>
      <c r="AK448" s="35" t="inlineStr">
        <is>
          <t>M</t>
        </is>
      </c>
      <c r="AL448" s="35" t="inlineStr">
        <is>
          <t>M</t>
        </is>
      </c>
      <c r="AM448" s="36" t="n">
        <v>0.583</v>
      </c>
      <c r="AN448" s="37" t="n">
        <v>0.16</v>
      </c>
      <c r="AO448" s="37" t="n">
        <v>0.09</v>
      </c>
      <c r="AP448" s="37" t="n">
        <v>0</v>
      </c>
      <c r="AQ448" s="37" t="n">
        <v>0.063</v>
      </c>
      <c r="AR448" s="37" t="n">
        <v>0.06</v>
      </c>
      <c r="AS448" s="37" t="n">
        <v>0.04</v>
      </c>
      <c r="AT448" s="38" t="inlineStr">
        <is>
          <t>0–3</t>
        </is>
      </c>
      <c r="AU448" s="38" t="inlineStr">
        <is>
          <t>Graduate · or diploma with experience</t>
        </is>
      </c>
      <c r="AV448" s="38" t="inlineStr">
        <is>
          <t>No direct reports</t>
        </is>
      </c>
      <c r="AW448" s="38" t="inlineStr">
        <is>
          <t>P1–P2 · SFIA 2 Assist</t>
        </is>
      </c>
      <c r="AX4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8" s="39" t="inlineStr">
        <is>
          <t>A2</t>
        </is>
      </c>
      <c r="AZ448" s="40" t="inlineStr">
        <is>
          <t>Band A · Practitioner · Associate</t>
        </is>
      </c>
      <c r="BA448" s="40" t="inlineStr">
        <is>
          <t>Model A2 from the six ratings, the market-derived weights and rules R1–R13 · then No change · already below the manager</t>
        </is>
      </c>
      <c r="BB448" s="41" t="inlineStr">
        <is>
          <t>A2</t>
        </is>
      </c>
      <c r="BC448" s="40" t="inlineStr">
        <is>
          <t>The six ratings on the market-average weights of Band A · all tracks score 2.29 → A2 · Hay, Mercer IPE and public plans · experience 1.1 yrs vs the A2 market range 0–3</t>
        </is>
      </c>
      <c r="BD448" s="42">
        <f>IF(SUM(BM448,BN448,BO448,BP448,BQ448,BR448,BS448)=0,0,(BM448*BT448+BN448*BU448+BO448*BV448+BP448*BW448+BQ448*BX448+BR448*BY448+BS448*BZ448)/SUM(BM448,BN448,BO448,BP448,BQ448,BR448,BS448))</f>
        <v>0</v>
      </c>
      <c r="BE448" s="41" t="str">
        <f>IF(LEFT(AY448,1)="X",AY448,IF(OR(AY448="B+",AY448="C+"),INDEX(LAD_PC,MAX(1,MIN(14,MATCH(AY448,LAD_PC,0)+IF(BD448&gt;=0.5,1,IF(BD448&lt;=-0.5,-1,0))))),INDEX(LAD_STD,MAX(1,MIN(12,MATCH(AY448,LAD_STD,0)+IF(BD448&gt;=0.5,1,IF(BD448&lt;=-0.5,-1,0)))))))</f>
        <v>A2</v>
      </c>
      <c r="BF448" s="43" t="n"/>
      <c r="BG448" s="41" t="str">
        <f>IF(BF448&lt;&gt;"",BF448,BE448)</f>
        <v>A2</v>
      </c>
      <c r="BH448" s="40" t="str">
        <f>IFERROR(CHOOSE(INDEX(B_RANK,MATCH(BG448,B_LVL,0)),"Band A","Band B","B+ · Player-Coach","Band C","C+ · Player-Coach","Band D","Band E"),"Band X · Consultant")</f>
        <v>Band A</v>
      </c>
      <c r="BI448" s="40" t="str">
        <f>IF(BG448=AY448,"• Same",IF(INDEX(B_VAL,MATCH(BG448,B_LVL,0))&gt;INDEX(B_VAL,MATCH(AY448,B_LVL,0)),"▲ Up","▼ Down"))</f>
        <v>• Same</v>
      </c>
      <c r="BJ448" s="40" t="str">
        <f>IF(OR($M448="",$M448="—",$M448="Not in this file"),"",IFERROR(INDEX($BG$7:$BG$592,MATCH($M448,$D$7:$D$592,0)),""))</f>
        <v>B2</v>
      </c>
      <c r="BK448" s="40" t="str">
        <f>IFERROR(IF(BJ448="","—",IF(OR(LEFT(BG448,1)="X",LEFT(BJ448,1)="X"),"—",IF(AND(LEFT(BG448,1)="E",LEFT(BJ448,1)="E"),"Exception · Band E",IF(AND(INDEX(B_VAL,MATCH(BJ448,B_LVL,0))&gt;=7,INDEX(B_RANK,MATCH(BG448,B_LVL,0))&gt;=INDEX(B_RANK,MATCH(BJ448,B_LVL,0))),"⚠ Same band as a head manager",IF(INDEX(B_VAL,MATCH(BG448,B_LVL,0))&gt;=INDEX(B_VAL,MATCH(BJ448,B_LVL,0)),"⚠ At or above the manager's level","OK"))))),"—")</f>
        <v>OK</v>
      </c>
      <c r="BL448" s="43" t="n"/>
      <c r="BM448" s="44">
        <f>IFERROR(INDEX(LMH_PTS,MATCH(Y448,LMH_KEY,0)),0)</f>
        <v>9</v>
      </c>
      <c r="BN448" s="38">
        <f>IFERROR(INDEX(LMH_PTS,MATCH(Z448,LMH_KEY,0)),0)</f>
        <v>3</v>
      </c>
      <c r="BO448" s="38">
        <f>IFERROR(INDEX(LMH_PTS,MATCH(AA448,LMH_KEY,0)),0)</f>
        <v>3</v>
      </c>
      <c r="BP448" s="38">
        <f>IFERROR(INDEX(LMH_PTS,MATCH(AB448,LMH_KEY,0)),0)</f>
        <v>1</v>
      </c>
      <c r="BQ448" s="38">
        <f>IFERROR(INDEX(LMH_PTS,MATCH(AC448,LMH_KEY,0)),0)</f>
        <v>1</v>
      </c>
      <c r="BR448" s="38">
        <f>IFERROR(INDEX(LMH_PTS,MATCH(AD448,LMH_KEY,0)),0)</f>
        <v>1</v>
      </c>
      <c r="BS448" s="38">
        <f>IFERROR(INDEX(LMH_PTS,MATCH(AE448,LMH_KEY,0)),0)</f>
        <v>1</v>
      </c>
      <c r="BT448" s="38">
        <f>IFERROR(INDEX(LMH_STEP,MATCH(AF448,LMH_KEY,0)),0)</f>
        <v>0</v>
      </c>
      <c r="BU448" s="38">
        <f>IFERROR(INDEX(LMH_STEP,MATCH(AG448,LMH_KEY,0)),0)</f>
        <v>0</v>
      </c>
      <c r="BV448" s="38">
        <f>IFERROR(INDEX(LMH_STEP,MATCH(AH448,LMH_KEY,0)),0)</f>
        <v>0</v>
      </c>
      <c r="BW448" s="38">
        <f>IFERROR(INDEX(LMH_STEP,MATCH(AI448,LMH_KEY,0)),0)</f>
        <v>0</v>
      </c>
      <c r="BX448" s="38">
        <f>IFERROR(INDEX(LMH_STEP,MATCH(AJ448,LMH_KEY,0)),0)</f>
        <v>0</v>
      </c>
      <c r="BY448" s="38">
        <f>IFERROR(INDEX(LMH_STEP,MATCH(AK448,LMH_KEY,0)),0)</f>
        <v>0</v>
      </c>
      <c r="BZ448" s="38">
        <f>IFERROR(INDEX(LMH_STEP,MATCH(AL448,LMH_KEY,0)),0)</f>
        <v>0</v>
      </c>
      <c r="CA448" s="38" t="inlineStr">
        <is>
          <t>iFile|XBRL Consulting|Taxonomy Analyst|A2|A</t>
        </is>
      </c>
    </row>
    <row r="449" ht="110" customHeight="1">
      <c r="A449" s="28" t="inlineStr">
        <is>
          <t>iFile</t>
        </is>
      </c>
      <c r="B449" s="29" t="inlineStr">
        <is>
          <t>XBRL Consulting</t>
        </is>
      </c>
      <c r="C449" s="29" t="n">
        <v>3</v>
      </c>
      <c r="D449" s="29" t="inlineStr">
        <is>
          <t>IRISC317</t>
        </is>
      </c>
      <c r="E449" s="29" t="inlineStr">
        <is>
          <t>Prajakta Athalye</t>
        </is>
      </c>
      <c r="F449" s="29" t="inlineStr">
        <is>
          <t>XBRL Conversion Specialist</t>
        </is>
      </c>
      <c r="G449" s="29" t="inlineStr">
        <is>
          <t>Financial Analyst</t>
        </is>
      </c>
      <c r="H449" s="29" t="inlineStr">
        <is>
          <t>Consulting &amp; Professional Services</t>
        </is>
      </c>
      <c r="I449" s="29" t="inlineStr">
        <is>
          <t>XBRL Tagging, Conversion &amp; Filing</t>
        </is>
      </c>
      <c r="J449" s="29" t="inlineStr">
        <is>
          <t>IC</t>
        </is>
      </c>
      <c r="K449" s="29" t="inlineStr">
        <is>
          <t>RC-024</t>
        </is>
      </c>
      <c r="L449" s="29" t="inlineStr">
        <is>
          <t>Shraddha Bagul</t>
        </is>
      </c>
      <c r="M449" s="29" t="inlineStr">
        <is>
          <t>IRIS1035</t>
        </is>
      </c>
      <c r="N449" s="29" t="n">
        <v>0.9</v>
      </c>
      <c r="O449" s="29" t="n">
        <v>0.9</v>
      </c>
      <c r="P449" s="29" t="inlineStr">
        <is>
          <t>BBA</t>
        </is>
      </c>
      <c r="Q449" s="29" t="inlineStr">
        <is>
          <t>L3 – Professional / Associate</t>
        </is>
      </c>
      <c r="R449" s="29" t="inlineStr">
        <is>
          <t>A2</t>
        </is>
      </c>
      <c r="S449" s="30" t="inlineStr">
        <is>
          <t>20 of 20</t>
        </is>
      </c>
      <c r="T449" s="31"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t>
        </is>
      </c>
      <c r="U449"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9" s="31" t="inlineStr">
        <is>
          <t>Latest rating: 3 · Potential: Low · 9-box: Core Contributor · Readiness: Develop in role</t>
        </is>
      </c>
      <c r="W449" s="31" t="inlineStr">
        <is>
          <t>C M · Au M · Ac M · L L · BI M · Exp M · 0.9 yrs vs 0–2 yrs · Edu M · BBA</t>
        </is>
      </c>
      <c r="X449" s="33" t="inlineStr">
        <is>
          <t>Open ▸</t>
        </is>
      </c>
      <c r="Y449" s="34" t="str">
        <f>IFERROR(INDEX(DL_C,MATCH($CA449,DL_KEY,0)),"M")</f>
        <v>H</v>
      </c>
      <c r="Z449" s="35" t="str">
        <f>IFERROR(INDEX(DL_Au,MATCH($CA449,DL_KEY,0)),"M")</f>
        <v>M</v>
      </c>
      <c r="AA449" s="35" t="str">
        <f>IFERROR(INDEX(DL_Ac,MATCH($CA449,DL_KEY,0)),"M")</f>
        <v>M</v>
      </c>
      <c r="AB449" s="35" t="str">
        <f>IFERROR(INDEX(DL_L,MATCH($CA449,DL_KEY,0)),"M")</f>
        <v>L</v>
      </c>
      <c r="AC449" s="35" t="str">
        <f>IFERROR(INDEX(DL_BI,MATCH($CA449,DL_KEY,0)),"M")</f>
        <v>L</v>
      </c>
      <c r="AD449" s="35" t="str">
        <f>IFERROR(INDEX(DL_Exp,MATCH($CA449,DL_KEY,0)),"M")</f>
        <v>L</v>
      </c>
      <c r="AE449" s="35" t="str">
        <f>IFERROR(INDEX(DL_Edu,MATCH($CA449,DL_KEY,0)),"M")</f>
        <v>L</v>
      </c>
      <c r="AF449" s="34" t="inlineStr">
        <is>
          <t>M</t>
        </is>
      </c>
      <c r="AG449" s="35" t="inlineStr">
        <is>
          <t>M</t>
        </is>
      </c>
      <c r="AH449" s="35" t="inlineStr">
        <is>
          <t>M</t>
        </is>
      </c>
      <c r="AI449" s="35" t="inlineStr">
        <is>
          <t>M</t>
        </is>
      </c>
      <c r="AJ449" s="35" t="inlineStr">
        <is>
          <t>M</t>
        </is>
      </c>
      <c r="AK449" s="35" t="inlineStr">
        <is>
          <t>M</t>
        </is>
      </c>
      <c r="AL449" s="35" t="inlineStr">
        <is>
          <t>M</t>
        </is>
      </c>
      <c r="AM449" s="36" t="n">
        <v>0.583</v>
      </c>
      <c r="AN449" s="37" t="n">
        <v>0.16</v>
      </c>
      <c r="AO449" s="37" t="n">
        <v>0.09</v>
      </c>
      <c r="AP449" s="37" t="n">
        <v>0</v>
      </c>
      <c r="AQ449" s="37" t="n">
        <v>0.063</v>
      </c>
      <c r="AR449" s="37" t="n">
        <v>0.06</v>
      </c>
      <c r="AS449" s="37" t="n">
        <v>0.04</v>
      </c>
      <c r="AT449" s="38" t="inlineStr">
        <is>
          <t>0–3</t>
        </is>
      </c>
      <c r="AU449" s="38" t="inlineStr">
        <is>
          <t>Graduate · or diploma with experience</t>
        </is>
      </c>
      <c r="AV449" s="38" t="inlineStr">
        <is>
          <t>No direct reports</t>
        </is>
      </c>
      <c r="AW449" s="38" t="inlineStr">
        <is>
          <t>P1–P2 · SFIA 2 Assist</t>
        </is>
      </c>
      <c r="AX4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9" s="39" t="inlineStr">
        <is>
          <t>A2</t>
        </is>
      </c>
      <c r="AZ449" s="40" t="inlineStr">
        <is>
          <t>Band A · Practitioner · Associate</t>
        </is>
      </c>
      <c r="BA449" s="40" t="inlineStr">
        <is>
          <t>Model A2 from the six ratings, the market-derived weights and rules R1–R13 · then No change · already below the manager</t>
        </is>
      </c>
      <c r="BB449" s="41" t="inlineStr">
        <is>
          <t>A2</t>
        </is>
      </c>
      <c r="BC449" s="40" t="inlineStr">
        <is>
          <t>The six ratings on the market-average weights of Band A · all tracks score 2.00 → A2 · Hay, Mercer IPE and public plans · experience 0.9 yrs vs the A2 market range 0–3</t>
        </is>
      </c>
      <c r="BD449" s="42">
        <f>IF(SUM(BM449,BN449,BO449,BP449,BQ449,BR449,BS449)=0,0,(BM449*BT449+BN449*BU449+BO449*BV449+BP449*BW449+BQ449*BX449+BR449*BY449+BS449*BZ449)/SUM(BM449,BN449,BO449,BP449,BQ449,BR449,BS449))</f>
        <v>0</v>
      </c>
      <c r="BE449" s="41" t="str">
        <f>IF(LEFT(AY449,1)="X",AY449,IF(OR(AY449="B+",AY449="C+"),INDEX(LAD_PC,MAX(1,MIN(14,MATCH(AY449,LAD_PC,0)+IF(BD449&gt;=0.5,1,IF(BD449&lt;=-0.5,-1,0))))),INDEX(LAD_STD,MAX(1,MIN(12,MATCH(AY449,LAD_STD,0)+IF(BD449&gt;=0.5,1,IF(BD449&lt;=-0.5,-1,0)))))))</f>
        <v>A2</v>
      </c>
      <c r="BF449" s="43" t="n"/>
      <c r="BG449" s="41" t="str">
        <f>IF(BF449&lt;&gt;"",BF449,BE449)</f>
        <v>A2</v>
      </c>
      <c r="BH449" s="40" t="str">
        <f>IFERROR(CHOOSE(INDEX(B_RANK,MATCH(BG449,B_LVL,0)),"Band A","Band B","B+ · Player-Coach","Band C","C+ · Player-Coach","Band D","Band E"),"Band X · Consultant")</f>
        <v>Band A</v>
      </c>
      <c r="BI449" s="40" t="str">
        <f>IF(BG449=AY449,"• Same",IF(INDEX(B_VAL,MATCH(BG449,B_LVL,0))&gt;INDEX(B_VAL,MATCH(AY449,B_LVL,0)),"▲ Up","▼ Down"))</f>
        <v>• Same</v>
      </c>
      <c r="BJ449" s="40" t="str">
        <f>IF(OR($M449="",$M449="—",$M449="Not in this file"),"",IFERROR(INDEX($BG$7:$BG$592,MATCH($M449,$D$7:$D$592,0)),""))</f>
        <v>B2</v>
      </c>
      <c r="BK449" s="40" t="str">
        <f>IFERROR(IF(BJ449="","—",IF(OR(LEFT(BG449,1)="X",LEFT(BJ449,1)="X"),"—",IF(AND(LEFT(BG449,1)="E",LEFT(BJ449,1)="E"),"Exception · Band E",IF(AND(INDEX(B_VAL,MATCH(BJ449,B_LVL,0))&gt;=7,INDEX(B_RANK,MATCH(BG449,B_LVL,0))&gt;=INDEX(B_RANK,MATCH(BJ449,B_LVL,0))),"⚠ Same band as a head manager",IF(INDEX(B_VAL,MATCH(BG449,B_LVL,0))&gt;=INDEX(B_VAL,MATCH(BJ449,B_LVL,0)),"⚠ At or above the manager's level","OK"))))),"—")</f>
        <v>OK</v>
      </c>
      <c r="BL449" s="43" t="n"/>
      <c r="BM449" s="44">
        <f>IFERROR(INDEX(LMH_PTS,MATCH(Y449,LMH_KEY,0)),0)</f>
        <v>9</v>
      </c>
      <c r="BN449" s="38">
        <f>IFERROR(INDEX(LMH_PTS,MATCH(Z449,LMH_KEY,0)),0)</f>
        <v>3</v>
      </c>
      <c r="BO449" s="38">
        <f>IFERROR(INDEX(LMH_PTS,MATCH(AA449,LMH_KEY,0)),0)</f>
        <v>3</v>
      </c>
      <c r="BP449" s="38">
        <f>IFERROR(INDEX(LMH_PTS,MATCH(AB449,LMH_KEY,0)),0)</f>
        <v>1</v>
      </c>
      <c r="BQ449" s="38">
        <f>IFERROR(INDEX(LMH_PTS,MATCH(AC449,LMH_KEY,0)),0)</f>
        <v>1</v>
      </c>
      <c r="BR449" s="38">
        <f>IFERROR(INDEX(LMH_PTS,MATCH(AD449,LMH_KEY,0)),0)</f>
        <v>1</v>
      </c>
      <c r="BS449" s="38">
        <f>IFERROR(INDEX(LMH_PTS,MATCH(AE449,LMH_KEY,0)),0)</f>
        <v>1</v>
      </c>
      <c r="BT449" s="38">
        <f>IFERROR(INDEX(LMH_STEP,MATCH(AF449,LMH_KEY,0)),0)</f>
        <v>0</v>
      </c>
      <c r="BU449" s="38">
        <f>IFERROR(INDEX(LMH_STEP,MATCH(AG449,LMH_KEY,0)),0)</f>
        <v>0</v>
      </c>
      <c r="BV449" s="38">
        <f>IFERROR(INDEX(LMH_STEP,MATCH(AH449,LMH_KEY,0)),0)</f>
        <v>0</v>
      </c>
      <c r="BW449" s="38">
        <f>IFERROR(INDEX(LMH_STEP,MATCH(AI449,LMH_KEY,0)),0)</f>
        <v>0</v>
      </c>
      <c r="BX449" s="38">
        <f>IFERROR(INDEX(LMH_STEP,MATCH(AJ449,LMH_KEY,0)),0)</f>
        <v>0</v>
      </c>
      <c r="BY449" s="38">
        <f>IFERROR(INDEX(LMH_STEP,MATCH(AK449,LMH_KEY,0)),0)</f>
        <v>0</v>
      </c>
      <c r="BZ449" s="38">
        <f>IFERROR(INDEX(LMH_STEP,MATCH(AL449,LMH_KEY,0)),0)</f>
        <v>0</v>
      </c>
      <c r="CA449" s="38" t="inlineStr">
        <is>
          <t>iFile|XBRL Consulting|Financial Analyst|A2|A</t>
        </is>
      </c>
    </row>
    <row r="450" ht="110" customHeight="1">
      <c r="A450" s="28" t="inlineStr">
        <is>
          <t>iFile</t>
        </is>
      </c>
      <c r="B450" s="29" t="inlineStr">
        <is>
          <t>XBRL Consulting</t>
        </is>
      </c>
      <c r="C450" s="29" t="n">
        <v>3</v>
      </c>
      <c r="D450" s="29" t="inlineStr">
        <is>
          <t>IRIS2549</t>
        </is>
      </c>
      <c r="E450" s="29" t="inlineStr">
        <is>
          <t>Rinku Pukharam Choudhary</t>
        </is>
      </c>
      <c r="F450" s="29" t="inlineStr">
        <is>
          <t>XBRL Conversion Specialist</t>
        </is>
      </c>
      <c r="G450" s="29" t="inlineStr">
        <is>
          <t>Financial Analyst</t>
        </is>
      </c>
      <c r="H450" s="29" t="inlineStr">
        <is>
          <t>Consulting &amp; Professional Services</t>
        </is>
      </c>
      <c r="I450" s="29" t="inlineStr">
        <is>
          <t>XBRL Tagging, Conversion &amp; Filing</t>
        </is>
      </c>
      <c r="J450" s="29" t="inlineStr">
        <is>
          <t>IC</t>
        </is>
      </c>
      <c r="K450" s="29" t="inlineStr">
        <is>
          <t>RC-024</t>
        </is>
      </c>
      <c r="L450" s="29" t="inlineStr">
        <is>
          <t>Shraddha Bagul</t>
        </is>
      </c>
      <c r="M450" s="29" t="inlineStr">
        <is>
          <t>IRIS1035</t>
        </is>
      </c>
      <c r="N450" s="29" t="n">
        <v>0.2</v>
      </c>
      <c r="O450" s="29" t="n">
        <v>0.2</v>
      </c>
      <c r="P450" s="29" t="inlineStr">
        <is>
          <t>Bachelor of Accounting and Finance</t>
        </is>
      </c>
      <c r="Q450" s="29" t="inlineStr">
        <is>
          <t>L3 – Professional / Associate</t>
        </is>
      </c>
      <c r="R450" s="29" t="inlineStr">
        <is>
          <t>A2</t>
        </is>
      </c>
      <c r="S450" s="30" t="inlineStr">
        <is>
          <t>20 of 20</t>
        </is>
      </c>
      <c r="T450" s="31"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t>
        </is>
      </c>
      <c r="U450"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50" s="31" t="inlineStr">
        <is>
          <t>Latest rating: 3 · Potential: Medium · 9-box: Core Contributor · Readiness: Develop in role</t>
        </is>
      </c>
      <c r="W450" s="31" t="inlineStr">
        <is>
          <t>C M · Au M · Ac M · L L · BI M · Exp M · 0.2 yrs vs 0–2 yrs · Edu M · Bachelor of Accounting and Finance</t>
        </is>
      </c>
      <c r="X450" s="33" t="inlineStr">
        <is>
          <t>Open ▸</t>
        </is>
      </c>
      <c r="Y450" s="34" t="str">
        <f>IFERROR(INDEX(DL_C,MATCH($CA450,DL_KEY,0)),"M")</f>
        <v>H</v>
      </c>
      <c r="Z450" s="35" t="str">
        <f>IFERROR(INDEX(DL_Au,MATCH($CA450,DL_KEY,0)),"M")</f>
        <v>M</v>
      </c>
      <c r="AA450" s="35" t="str">
        <f>IFERROR(INDEX(DL_Ac,MATCH($CA450,DL_KEY,0)),"M")</f>
        <v>M</v>
      </c>
      <c r="AB450" s="35" t="str">
        <f>IFERROR(INDEX(DL_L,MATCH($CA450,DL_KEY,0)),"M")</f>
        <v>L</v>
      </c>
      <c r="AC450" s="35" t="str">
        <f>IFERROR(INDEX(DL_BI,MATCH($CA450,DL_KEY,0)),"M")</f>
        <v>L</v>
      </c>
      <c r="AD450" s="35" t="str">
        <f>IFERROR(INDEX(DL_Exp,MATCH($CA450,DL_KEY,0)),"M")</f>
        <v>L</v>
      </c>
      <c r="AE450" s="35" t="str">
        <f>IFERROR(INDEX(DL_Edu,MATCH($CA450,DL_KEY,0)),"M")</f>
        <v>L</v>
      </c>
      <c r="AF450" s="34" t="inlineStr">
        <is>
          <t>M</t>
        </is>
      </c>
      <c r="AG450" s="35" t="inlineStr">
        <is>
          <t>M</t>
        </is>
      </c>
      <c r="AH450" s="35" t="inlineStr">
        <is>
          <t>M</t>
        </is>
      </c>
      <c r="AI450" s="35" t="inlineStr">
        <is>
          <t>M</t>
        </is>
      </c>
      <c r="AJ450" s="35" t="inlineStr">
        <is>
          <t>M</t>
        </is>
      </c>
      <c r="AK450" s="35" t="inlineStr">
        <is>
          <t>M</t>
        </is>
      </c>
      <c r="AL450" s="35" t="inlineStr">
        <is>
          <t>M</t>
        </is>
      </c>
      <c r="AM450" s="36" t="n">
        <v>0.583</v>
      </c>
      <c r="AN450" s="37" t="n">
        <v>0.16</v>
      </c>
      <c r="AO450" s="37" t="n">
        <v>0.09</v>
      </c>
      <c r="AP450" s="37" t="n">
        <v>0</v>
      </c>
      <c r="AQ450" s="37" t="n">
        <v>0.063</v>
      </c>
      <c r="AR450" s="37" t="n">
        <v>0.06</v>
      </c>
      <c r="AS450" s="37" t="n">
        <v>0.04</v>
      </c>
      <c r="AT450" s="38" t="inlineStr">
        <is>
          <t>0–3</t>
        </is>
      </c>
      <c r="AU450" s="38" t="inlineStr">
        <is>
          <t>Graduate · or diploma with experience</t>
        </is>
      </c>
      <c r="AV450" s="38" t="inlineStr">
        <is>
          <t>No direct reports</t>
        </is>
      </c>
      <c r="AW450" s="38" t="inlineStr">
        <is>
          <t>P1–P2 · SFIA 2 Assist</t>
        </is>
      </c>
      <c r="AX4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0" s="39" t="inlineStr">
        <is>
          <t>A2</t>
        </is>
      </c>
      <c r="AZ450" s="40" t="inlineStr">
        <is>
          <t>Band A · Practitioner · Associate</t>
        </is>
      </c>
      <c r="BA450" s="40" t="inlineStr">
        <is>
          <t>Model A2 from the six ratings, the market-derived weights and rules R1–R13 · then No change · already below the manager</t>
        </is>
      </c>
      <c r="BB450" s="41" t="inlineStr">
        <is>
          <t>A2</t>
        </is>
      </c>
      <c r="BC450" s="40" t="inlineStr">
        <is>
          <t>The six ratings on the market-average weights of Band A · all tracks score 1.90 → A2 · Hay, Mercer IPE and public plans · experience 0.2 yrs vs the A2 market range 0–3</t>
        </is>
      </c>
      <c r="BD450" s="42">
        <f>IF(SUM(BM450,BN450,BO450,BP450,BQ450,BR450,BS450)=0,0,(BM450*BT450+BN450*BU450+BO450*BV450+BP450*BW450+BQ450*BX450+BR450*BY450+BS450*BZ450)/SUM(BM450,BN450,BO450,BP450,BQ450,BR450,BS450))</f>
        <v>0</v>
      </c>
      <c r="BE450" s="41" t="str">
        <f>IF(LEFT(AY450,1)="X",AY450,IF(OR(AY450="B+",AY450="C+"),INDEX(LAD_PC,MAX(1,MIN(14,MATCH(AY450,LAD_PC,0)+IF(BD450&gt;=0.5,1,IF(BD450&lt;=-0.5,-1,0))))),INDEX(LAD_STD,MAX(1,MIN(12,MATCH(AY450,LAD_STD,0)+IF(BD450&gt;=0.5,1,IF(BD450&lt;=-0.5,-1,0)))))))</f>
        <v>A2</v>
      </c>
      <c r="BF450" s="43" t="n"/>
      <c r="BG450" s="41" t="str">
        <f>IF(BF450&lt;&gt;"",BF450,BE450)</f>
        <v>A2</v>
      </c>
      <c r="BH450" s="40" t="str">
        <f>IFERROR(CHOOSE(INDEX(B_RANK,MATCH(BG450,B_LVL,0)),"Band A","Band B","B+ · Player-Coach","Band C","C+ · Player-Coach","Band D","Band E"),"Band X · Consultant")</f>
        <v>Band A</v>
      </c>
      <c r="BI450" s="40" t="str">
        <f>IF(BG450=AY450,"• Same",IF(INDEX(B_VAL,MATCH(BG450,B_LVL,0))&gt;INDEX(B_VAL,MATCH(AY450,B_LVL,0)),"▲ Up","▼ Down"))</f>
        <v>• Same</v>
      </c>
      <c r="BJ450" s="40" t="str">
        <f>IF(OR($M450="",$M450="—",$M450="Not in this file"),"",IFERROR(INDEX($BG$7:$BG$592,MATCH($M450,$D$7:$D$592,0)),""))</f>
        <v>B2</v>
      </c>
      <c r="BK450" s="40" t="str">
        <f>IFERROR(IF(BJ450="","—",IF(OR(LEFT(BG450,1)="X",LEFT(BJ450,1)="X"),"—",IF(AND(LEFT(BG450,1)="E",LEFT(BJ450,1)="E"),"Exception · Band E",IF(AND(INDEX(B_VAL,MATCH(BJ450,B_LVL,0))&gt;=7,INDEX(B_RANK,MATCH(BG450,B_LVL,0))&gt;=INDEX(B_RANK,MATCH(BJ450,B_LVL,0))),"⚠ Same band as a head manager",IF(INDEX(B_VAL,MATCH(BG450,B_LVL,0))&gt;=INDEX(B_VAL,MATCH(BJ450,B_LVL,0)),"⚠ At or above the manager's level","OK"))))),"—")</f>
        <v>OK</v>
      </c>
      <c r="BL450" s="43" t="n"/>
      <c r="BM450" s="44">
        <f>IFERROR(INDEX(LMH_PTS,MATCH(Y450,LMH_KEY,0)),0)</f>
        <v>9</v>
      </c>
      <c r="BN450" s="38">
        <f>IFERROR(INDEX(LMH_PTS,MATCH(Z450,LMH_KEY,0)),0)</f>
        <v>3</v>
      </c>
      <c r="BO450" s="38">
        <f>IFERROR(INDEX(LMH_PTS,MATCH(AA450,LMH_KEY,0)),0)</f>
        <v>3</v>
      </c>
      <c r="BP450" s="38">
        <f>IFERROR(INDEX(LMH_PTS,MATCH(AB450,LMH_KEY,0)),0)</f>
        <v>1</v>
      </c>
      <c r="BQ450" s="38">
        <f>IFERROR(INDEX(LMH_PTS,MATCH(AC450,LMH_KEY,0)),0)</f>
        <v>1</v>
      </c>
      <c r="BR450" s="38">
        <f>IFERROR(INDEX(LMH_PTS,MATCH(AD450,LMH_KEY,0)),0)</f>
        <v>1</v>
      </c>
      <c r="BS450" s="38">
        <f>IFERROR(INDEX(LMH_PTS,MATCH(AE450,LMH_KEY,0)),0)</f>
        <v>1</v>
      </c>
      <c r="BT450" s="38">
        <f>IFERROR(INDEX(LMH_STEP,MATCH(AF450,LMH_KEY,0)),0)</f>
        <v>0</v>
      </c>
      <c r="BU450" s="38">
        <f>IFERROR(INDEX(LMH_STEP,MATCH(AG450,LMH_KEY,0)),0)</f>
        <v>0</v>
      </c>
      <c r="BV450" s="38">
        <f>IFERROR(INDEX(LMH_STEP,MATCH(AH450,LMH_KEY,0)),0)</f>
        <v>0</v>
      </c>
      <c r="BW450" s="38">
        <f>IFERROR(INDEX(LMH_STEP,MATCH(AI450,LMH_KEY,0)),0)</f>
        <v>0</v>
      </c>
      <c r="BX450" s="38">
        <f>IFERROR(INDEX(LMH_STEP,MATCH(AJ450,LMH_KEY,0)),0)</f>
        <v>0</v>
      </c>
      <c r="BY450" s="38">
        <f>IFERROR(INDEX(LMH_STEP,MATCH(AK450,LMH_KEY,0)),0)</f>
        <v>0</v>
      </c>
      <c r="BZ450" s="38">
        <f>IFERROR(INDEX(LMH_STEP,MATCH(AL450,LMH_KEY,0)),0)</f>
        <v>0</v>
      </c>
      <c r="CA450" s="38" t="inlineStr">
        <is>
          <t>iFile|XBRL Consulting|Financial Analyst|A2|A</t>
        </is>
      </c>
    </row>
    <row r="451" ht="110" customHeight="1">
      <c r="A451" s="28" t="inlineStr">
        <is>
          <t>iFile</t>
        </is>
      </c>
      <c r="B451" s="29" t="inlineStr">
        <is>
          <t>XBRL Consulting</t>
        </is>
      </c>
      <c r="C451" s="29" t="n">
        <v>2</v>
      </c>
      <c r="D451" s="29" t="inlineStr">
        <is>
          <t>IRIS1618</t>
        </is>
      </c>
      <c r="E451" s="29" t="inlineStr">
        <is>
          <t>Sujeet Rathod</t>
        </is>
      </c>
      <c r="F451" s="29" t="inlineStr">
        <is>
          <t>Lead Consultant</t>
        </is>
      </c>
      <c r="G451" s="29" t="inlineStr">
        <is>
          <t>Manager – Taxonomy Consulting</t>
        </is>
      </c>
      <c r="H451" s="29" t="inlineStr">
        <is>
          <t>Consulting &amp; Professional Services</t>
        </is>
      </c>
      <c r="I451" s="29" t="inlineStr">
        <is>
          <t>Taxonomy Design &amp; Regulatory Consulting</t>
        </is>
      </c>
      <c r="J451" s="29" t="inlineStr">
        <is>
          <t>People Manager</t>
        </is>
      </c>
      <c r="K451" s="29" t="inlineStr">
        <is>
          <t>RC-022</t>
        </is>
      </c>
      <c r="L451" s="29" t="inlineStr">
        <is>
          <t>Rahul Dhamne</t>
        </is>
      </c>
      <c r="M451" s="29" t="inlineStr">
        <is>
          <t>IRIS0362</t>
        </is>
      </c>
      <c r="N451" s="29" t="n">
        <v>14.6</v>
      </c>
      <c r="O451" s="29" t="n">
        <v>9.6</v>
      </c>
      <c r="P451" s="29" t="inlineStr">
        <is>
          <t>ICWA</t>
        </is>
      </c>
      <c r="Q451" s="29" t="inlineStr">
        <is>
          <t>L5 – Lead · IC</t>
        </is>
      </c>
      <c r="R451" s="29" t="inlineStr">
        <is>
          <t>B2</t>
        </is>
      </c>
      <c r="S451" s="30" t="inlineStr">
        <is>
          <t>20 of 20</t>
        </is>
      </c>
      <c r="T451" s="31"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t>
        </is>
      </c>
      <c r="U451"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1" s="31" t="inlineStr">
        <is>
          <t>Latest rating: 5 · Potential: High · 9-box: Future Leader · Readiness: Ready now</t>
        </is>
      </c>
      <c r="W451" s="31" t="inlineStr">
        <is>
          <t>C M · Au M · Ac L · L L · BI M · Exp H · 14.6 yrs vs 6–9 yrs · Edu H · ICWA</t>
        </is>
      </c>
      <c r="X451" s="33" t="inlineStr">
        <is>
          <t>Open ▸</t>
        </is>
      </c>
      <c r="Y451" s="34" t="str">
        <f>IFERROR(INDEX(DL_C,MATCH($CA451,DL_KEY,0)),"M")</f>
        <v>H</v>
      </c>
      <c r="Z451" s="35" t="str">
        <f>IFERROR(INDEX(DL_Au,MATCH($CA451,DL_KEY,0)),"M")</f>
        <v>M</v>
      </c>
      <c r="AA451" s="35" t="str">
        <f>IFERROR(INDEX(DL_Ac,MATCH($CA451,DL_KEY,0)),"M")</f>
        <v>M</v>
      </c>
      <c r="AB451" s="35" t="str">
        <f>IFERROR(INDEX(DL_L,MATCH($CA451,DL_KEY,0)),"M")</f>
        <v>M</v>
      </c>
      <c r="AC451" s="35" t="str">
        <f>IFERROR(INDEX(DL_BI,MATCH($CA451,DL_KEY,0)),"M")</f>
        <v>L</v>
      </c>
      <c r="AD451" s="35" t="str">
        <f>IFERROR(INDEX(DL_Exp,MATCH($CA451,DL_KEY,0)),"M")</f>
        <v>L</v>
      </c>
      <c r="AE451" s="35" t="str">
        <f>IFERROR(INDEX(DL_Edu,MATCH($CA451,DL_KEY,0)),"M")</f>
        <v>L</v>
      </c>
      <c r="AF451" s="34" t="inlineStr">
        <is>
          <t>M</t>
        </is>
      </c>
      <c r="AG451" s="35" t="inlineStr">
        <is>
          <t>M</t>
        </is>
      </c>
      <c r="AH451" s="35" t="inlineStr">
        <is>
          <t>M</t>
        </is>
      </c>
      <c r="AI451" s="35" t="inlineStr">
        <is>
          <t>M</t>
        </is>
      </c>
      <c r="AJ451" s="35" t="inlineStr">
        <is>
          <t>M</t>
        </is>
      </c>
      <c r="AK451" s="35" t="inlineStr">
        <is>
          <t>M</t>
        </is>
      </c>
      <c r="AL451" s="35" t="inlineStr">
        <is>
          <t>M</t>
        </is>
      </c>
      <c r="AM451" s="36" t="n">
        <v>0.37</v>
      </c>
      <c r="AN451" s="37" t="n">
        <v>0.183</v>
      </c>
      <c r="AO451" s="37" t="n">
        <v>0.113</v>
      </c>
      <c r="AP451" s="37" t="n">
        <v>0.15</v>
      </c>
      <c r="AQ451" s="37" t="n">
        <v>0.08699999999999999</v>
      </c>
      <c r="AR451" s="37" t="n">
        <v>0.06</v>
      </c>
      <c r="AS451" s="37" t="n">
        <v>0.04</v>
      </c>
      <c r="AT451" s="38" t="inlineStr">
        <is>
          <t>6–10</t>
        </is>
      </c>
      <c r="AU451" s="38" t="inlineStr">
        <is>
          <t>Graduate or postgraduate; professional qualification preferred</t>
        </is>
      </c>
      <c r="AV451" s="38" t="inlineStr">
        <is>
          <t>IC: none · People: 6–8 knowledge work, 8–12 standardised delivery</t>
        </is>
      </c>
      <c r="AW451" s="38" t="inlineStr">
        <is>
          <t>P4 / M3 · SFIA 4–5</t>
        </is>
      </c>
      <c r="AX4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1" s="39" t="inlineStr">
        <is>
          <t>B2</t>
        </is>
      </c>
      <c r="AZ451" s="40" t="inlineStr">
        <is>
          <t>Band B · Specialist / Manager · Manager</t>
        </is>
      </c>
      <c r="BA451" s="40" t="inlineStr">
        <is>
          <t>Model B2 from the six ratings, the market-derived weights and rules R1–R13 · then No change · already below the manager</t>
        </is>
      </c>
      <c r="BB451" s="41" t="inlineStr">
        <is>
          <t>B2</t>
        </is>
      </c>
      <c r="BC451" s="40" t="inlineStr">
        <is>
          <t>The six ratings on the market-average weights of Band B · People Manager score 4.82 → B2 · Hay, Mercer IPE and public plans · experience 14.6 yrs vs the B2 market range 6–10</t>
        </is>
      </c>
      <c r="BD451" s="42">
        <f>IF(SUM(BM451,BN451,BO451,BP451,BQ451,BR451,BS451)=0,0,(BM451*BT451+BN451*BU451+BO451*BV451+BP451*BW451+BQ451*BX451+BR451*BY451+BS451*BZ451)/SUM(BM451,BN451,BO451,BP451,BQ451,BR451,BS451))</f>
        <v>0</v>
      </c>
      <c r="BE451" s="41" t="str">
        <f>IF(LEFT(AY451,1)="X",AY451,IF(OR(AY451="B+",AY451="C+"),INDEX(LAD_PC,MAX(1,MIN(14,MATCH(AY451,LAD_PC,0)+IF(BD451&gt;=0.5,1,IF(BD451&lt;=-0.5,-1,0))))),INDEX(LAD_STD,MAX(1,MIN(12,MATCH(AY451,LAD_STD,0)+IF(BD451&gt;=0.5,1,IF(BD451&lt;=-0.5,-1,0)))))))</f>
        <v>B2</v>
      </c>
      <c r="BF451" s="43" t="n"/>
      <c r="BG451" s="41" t="str">
        <f>IF(BF451&lt;&gt;"",BF451,BE451)</f>
        <v>B2</v>
      </c>
      <c r="BH451" s="40" t="str">
        <f>IFERROR(CHOOSE(INDEX(B_RANK,MATCH(BG451,B_LVL,0)),"Band A","Band B","B+ · Player-Coach","Band C","C+ · Player-Coach","Band D","Band E"),"Band X · Consultant")</f>
        <v>Band B</v>
      </c>
      <c r="BI451" s="40" t="str">
        <f>IF(BG451=AY451,"• Same",IF(INDEX(B_VAL,MATCH(BG451,B_LVL,0))&gt;INDEX(B_VAL,MATCH(AY451,B_LVL,0)),"▲ Up","▼ Down"))</f>
        <v>• Same</v>
      </c>
      <c r="BJ451" s="40" t="str">
        <f>IF(OR($M451="",$M451="—",$M451="Not in this file"),"",IFERROR(INDEX($BG$7:$BG$592,MATCH($M451,$D$7:$D$592,0)),""))</f>
        <v>C2</v>
      </c>
      <c r="BK451" s="40" t="str">
        <f>IFERROR(IF(BJ451="","—",IF(OR(LEFT(BG451,1)="X",LEFT(BJ451,1)="X"),"—",IF(AND(LEFT(BG451,1)="E",LEFT(BJ451,1)="E"),"Exception · Band E",IF(AND(INDEX(B_VAL,MATCH(BJ451,B_LVL,0))&gt;=7,INDEX(B_RANK,MATCH(BG451,B_LVL,0))&gt;=INDEX(B_RANK,MATCH(BJ451,B_LVL,0))),"⚠ Same band as a head manager",IF(INDEX(B_VAL,MATCH(BG451,B_LVL,0))&gt;=INDEX(B_VAL,MATCH(BJ451,B_LVL,0)),"⚠ At or above the manager's level","OK"))))),"—")</f>
        <v>OK</v>
      </c>
      <c r="BL451" s="43" t="n"/>
      <c r="BM451" s="44">
        <f>IFERROR(INDEX(LMH_PTS,MATCH(Y451,LMH_KEY,0)),0)</f>
        <v>9</v>
      </c>
      <c r="BN451" s="38">
        <f>IFERROR(INDEX(LMH_PTS,MATCH(Z451,LMH_KEY,0)),0)</f>
        <v>3</v>
      </c>
      <c r="BO451" s="38">
        <f>IFERROR(INDEX(LMH_PTS,MATCH(AA451,LMH_KEY,0)),0)</f>
        <v>3</v>
      </c>
      <c r="BP451" s="38">
        <f>IFERROR(INDEX(LMH_PTS,MATCH(AB451,LMH_KEY,0)),0)</f>
        <v>3</v>
      </c>
      <c r="BQ451" s="38">
        <f>IFERROR(INDEX(LMH_PTS,MATCH(AC451,LMH_KEY,0)),0)</f>
        <v>1</v>
      </c>
      <c r="BR451" s="38">
        <f>IFERROR(INDEX(LMH_PTS,MATCH(AD451,LMH_KEY,0)),0)</f>
        <v>1</v>
      </c>
      <c r="BS451" s="38">
        <f>IFERROR(INDEX(LMH_PTS,MATCH(AE451,LMH_KEY,0)),0)</f>
        <v>1</v>
      </c>
      <c r="BT451" s="38">
        <f>IFERROR(INDEX(LMH_STEP,MATCH(AF451,LMH_KEY,0)),0)</f>
        <v>0</v>
      </c>
      <c r="BU451" s="38">
        <f>IFERROR(INDEX(LMH_STEP,MATCH(AG451,LMH_KEY,0)),0)</f>
        <v>0</v>
      </c>
      <c r="BV451" s="38">
        <f>IFERROR(INDEX(LMH_STEP,MATCH(AH451,LMH_KEY,0)),0)</f>
        <v>0</v>
      </c>
      <c r="BW451" s="38">
        <f>IFERROR(INDEX(LMH_STEP,MATCH(AI451,LMH_KEY,0)),0)</f>
        <v>0</v>
      </c>
      <c r="BX451" s="38">
        <f>IFERROR(INDEX(LMH_STEP,MATCH(AJ451,LMH_KEY,0)),0)</f>
        <v>0</v>
      </c>
      <c r="BY451" s="38">
        <f>IFERROR(INDEX(LMH_STEP,MATCH(AK451,LMH_KEY,0)),0)</f>
        <v>0</v>
      </c>
      <c r="BZ451" s="38">
        <f>IFERROR(INDEX(LMH_STEP,MATCH(AL451,LMH_KEY,0)),0)</f>
        <v>0</v>
      </c>
      <c r="CA451" s="38" t="inlineStr">
        <is>
          <t>iFile|XBRL Consulting|Manager – Taxonomy Consulting|B2|B-M</t>
        </is>
      </c>
    </row>
    <row r="452" ht="110" customHeight="1">
      <c r="A452" s="28" t="inlineStr">
        <is>
          <t>iFile</t>
        </is>
      </c>
      <c r="B452" s="29" t="inlineStr">
        <is>
          <t>XBRL Consulting</t>
        </is>
      </c>
      <c r="C452" s="29" t="n">
        <v>3</v>
      </c>
      <c r="D452" s="29" t="inlineStr">
        <is>
          <t>IRIS0050</t>
        </is>
      </c>
      <c r="E452" s="29" t="inlineStr">
        <is>
          <t>Prashant Ramakant Wagh</t>
        </is>
      </c>
      <c r="F452" s="29" t="inlineStr">
        <is>
          <t>Consultant</t>
        </is>
      </c>
      <c r="G452" s="29" t="inlineStr">
        <is>
          <t>Taxonomy Specialist</t>
        </is>
      </c>
      <c r="H452" s="29" t="inlineStr">
        <is>
          <t>Consulting &amp; Professional Services</t>
        </is>
      </c>
      <c r="I452" s="29" t="inlineStr">
        <is>
          <t>Taxonomy Design &amp; Regulatory Consulting</t>
        </is>
      </c>
      <c r="J452" s="29" t="inlineStr">
        <is>
          <t>IC</t>
        </is>
      </c>
      <c r="K452" s="29" t="inlineStr">
        <is>
          <t>RC-020</t>
        </is>
      </c>
      <c r="L452" s="29" t="inlineStr">
        <is>
          <t>Sujeet Rathod</t>
        </is>
      </c>
      <c r="M452" s="29" t="inlineStr">
        <is>
          <t>IRIS1618</t>
        </is>
      </c>
      <c r="N452" s="29" t="n">
        <v>20.4</v>
      </c>
      <c r="O452" s="29" t="n">
        <v>20</v>
      </c>
      <c r="P452" s="29" t="inlineStr">
        <is>
          <t>B.Com</t>
        </is>
      </c>
      <c r="Q452" s="29" t="inlineStr">
        <is>
          <t>L3 – Professional / Associate</t>
        </is>
      </c>
      <c r="R452" s="29" t="inlineStr">
        <is>
          <t>B1</t>
        </is>
      </c>
      <c r="S452" s="30" t="inlineStr">
        <is>
          <t>20 of 20</t>
        </is>
      </c>
      <c r="T452" s="31"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t>
        </is>
      </c>
      <c r="U452"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2" s="31" t="inlineStr">
        <is>
          <t>Latest rating: 4 · Potential: Medium · 9-box: Trusted Professional · Readiness: Ready in 6–12 months</t>
        </is>
      </c>
      <c r="W452" s="31" t="inlineStr">
        <is>
          <t>C L · Au L · Ac L · L L · BI L · Exp H · 20.4 yrs vs 4–7 yrs · Edu M · B.Com</t>
        </is>
      </c>
      <c r="X452" s="33" t="inlineStr">
        <is>
          <t>Open ▸</t>
        </is>
      </c>
      <c r="Y452" s="34" t="str">
        <f>IFERROR(INDEX(DL_C,MATCH($CA452,DL_KEY,0)),"M")</f>
        <v>H</v>
      </c>
      <c r="Z452" s="35" t="str">
        <f>IFERROR(INDEX(DL_Au,MATCH($CA452,DL_KEY,0)),"M")</f>
        <v>M</v>
      </c>
      <c r="AA452" s="35" t="str">
        <f>IFERROR(INDEX(DL_Ac,MATCH($CA452,DL_KEY,0)),"M")</f>
        <v>M</v>
      </c>
      <c r="AB452" s="35" t="str">
        <f>IFERROR(INDEX(DL_L,MATCH($CA452,DL_KEY,0)),"M")</f>
        <v>L</v>
      </c>
      <c r="AC452" s="35" t="str">
        <f>IFERROR(INDEX(DL_BI,MATCH($CA452,DL_KEY,0)),"M")</f>
        <v>L</v>
      </c>
      <c r="AD452" s="35" t="str">
        <f>IFERROR(INDEX(DL_Exp,MATCH($CA452,DL_KEY,0)),"M")</f>
        <v>L</v>
      </c>
      <c r="AE452" s="35" t="str">
        <f>IFERROR(INDEX(DL_Edu,MATCH($CA452,DL_KEY,0)),"M")</f>
        <v>L</v>
      </c>
      <c r="AF452" s="34" t="inlineStr">
        <is>
          <t>M</t>
        </is>
      </c>
      <c r="AG452" s="35" t="inlineStr">
        <is>
          <t>M</t>
        </is>
      </c>
      <c r="AH452" s="35" t="inlineStr">
        <is>
          <t>M</t>
        </is>
      </c>
      <c r="AI452" s="35" t="inlineStr">
        <is>
          <t>M</t>
        </is>
      </c>
      <c r="AJ452" s="35" t="inlineStr">
        <is>
          <t>M</t>
        </is>
      </c>
      <c r="AK452" s="35" t="inlineStr">
        <is>
          <t>M</t>
        </is>
      </c>
      <c r="AL452" s="35" t="inlineStr">
        <is>
          <t>M</t>
        </is>
      </c>
      <c r="AM452" s="36" t="n">
        <v>0.513</v>
      </c>
      <c r="AN452" s="37" t="n">
        <v>0.173</v>
      </c>
      <c r="AO452" s="37" t="n">
        <v>0.09699999999999999</v>
      </c>
      <c r="AP452" s="37" t="n">
        <v>0.05</v>
      </c>
      <c r="AQ452" s="37" t="n">
        <v>0.07000000000000001</v>
      </c>
      <c r="AR452" s="37" t="n">
        <v>0.06</v>
      </c>
      <c r="AS452" s="37" t="n">
        <v>0.04</v>
      </c>
      <c r="AT452" s="38" t="inlineStr">
        <is>
          <t>4–8</t>
        </is>
      </c>
      <c r="AU452" s="38" t="inlineStr">
        <is>
          <t>Graduate + relevant qualification or certification preferred</t>
        </is>
      </c>
      <c r="AV452" s="38" t="inlineStr">
        <is>
          <t>IC: none · Team Lead: 3–5</t>
        </is>
      </c>
      <c r="AW452" s="38" t="inlineStr">
        <is>
          <t>P3 / M2 · SFIA 4 Enable</t>
        </is>
      </c>
      <c r="AX4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2" s="39" t="inlineStr">
        <is>
          <t>B1</t>
        </is>
      </c>
      <c r="AZ452" s="40" t="inlineStr">
        <is>
          <t>Band B · Specialist / Manager · Specialist</t>
        </is>
      </c>
      <c r="BA452" s="40" t="inlineStr">
        <is>
          <t>Model B1 from the six ratings, the market-derived weights and rules R1–R13 · then No change · already below the manager</t>
        </is>
      </c>
      <c r="BB452" s="41" t="inlineStr">
        <is>
          <t>B1</t>
        </is>
      </c>
      <c r="BC452" s="40" t="inlineStr">
        <is>
          <t>The six ratings on the market-average weights of Band B · Specialist / POD Lead score 3.54 → B1 · Hay, Mercer IPE and public plans · experience 20.4 yrs vs the B1 market range 4–8</t>
        </is>
      </c>
      <c r="BD452" s="42">
        <f>IF(SUM(BM452,BN452,BO452,BP452,BQ452,BR452,BS452)=0,0,(BM452*BT452+BN452*BU452+BO452*BV452+BP452*BW452+BQ452*BX452+BR452*BY452+BS452*BZ452)/SUM(BM452,BN452,BO452,BP452,BQ452,BR452,BS452))</f>
        <v>0</v>
      </c>
      <c r="BE452" s="41" t="str">
        <f>IF(LEFT(AY452,1)="X",AY452,IF(OR(AY452="B+",AY452="C+"),INDEX(LAD_PC,MAX(1,MIN(14,MATCH(AY452,LAD_PC,0)+IF(BD452&gt;=0.5,1,IF(BD452&lt;=-0.5,-1,0))))),INDEX(LAD_STD,MAX(1,MIN(12,MATCH(AY452,LAD_STD,0)+IF(BD452&gt;=0.5,1,IF(BD452&lt;=-0.5,-1,0)))))))</f>
        <v>B1</v>
      </c>
      <c r="BF452" s="43" t="n"/>
      <c r="BG452" s="41" t="str">
        <f>IF(BF452&lt;&gt;"",BF452,BE452)</f>
        <v>B1</v>
      </c>
      <c r="BH452" s="40" t="str">
        <f>IFERROR(CHOOSE(INDEX(B_RANK,MATCH(BG452,B_LVL,0)),"Band A","Band B","B+ · Player-Coach","Band C","C+ · Player-Coach","Band D","Band E"),"Band X · Consultant")</f>
        <v>Band B</v>
      </c>
      <c r="BI452" s="40" t="str">
        <f>IF(BG452=AY452,"• Same",IF(INDEX(B_VAL,MATCH(BG452,B_LVL,0))&gt;INDEX(B_VAL,MATCH(AY452,B_LVL,0)),"▲ Up","▼ Down"))</f>
        <v>• Same</v>
      </c>
      <c r="BJ452" s="40" t="str">
        <f>IF(OR($M452="",$M452="—",$M452="Not in this file"),"",IFERROR(INDEX($BG$7:$BG$592,MATCH($M452,$D$7:$D$592,0)),""))</f>
        <v>B2</v>
      </c>
      <c r="BK452" s="40" t="str">
        <f>IFERROR(IF(BJ452="","—",IF(OR(LEFT(BG452,1)="X",LEFT(BJ452,1)="X"),"—",IF(AND(LEFT(BG452,1)="E",LEFT(BJ452,1)="E"),"Exception · Band E",IF(AND(INDEX(B_VAL,MATCH(BJ452,B_LVL,0))&gt;=7,INDEX(B_RANK,MATCH(BG452,B_LVL,0))&gt;=INDEX(B_RANK,MATCH(BJ452,B_LVL,0))),"⚠ Same band as a head manager",IF(INDEX(B_VAL,MATCH(BG452,B_LVL,0))&gt;=INDEX(B_VAL,MATCH(BJ452,B_LVL,0)),"⚠ At or above the manager's level","OK"))))),"—")</f>
        <v>OK</v>
      </c>
      <c r="BL452" s="43" t="n"/>
      <c r="BM452" s="44">
        <f>IFERROR(INDEX(LMH_PTS,MATCH(Y452,LMH_KEY,0)),0)</f>
        <v>9</v>
      </c>
      <c r="BN452" s="38">
        <f>IFERROR(INDEX(LMH_PTS,MATCH(Z452,LMH_KEY,0)),0)</f>
        <v>3</v>
      </c>
      <c r="BO452" s="38">
        <f>IFERROR(INDEX(LMH_PTS,MATCH(AA452,LMH_KEY,0)),0)</f>
        <v>3</v>
      </c>
      <c r="BP452" s="38">
        <f>IFERROR(INDEX(LMH_PTS,MATCH(AB452,LMH_KEY,0)),0)</f>
        <v>1</v>
      </c>
      <c r="BQ452" s="38">
        <f>IFERROR(INDEX(LMH_PTS,MATCH(AC452,LMH_KEY,0)),0)</f>
        <v>1</v>
      </c>
      <c r="BR452" s="38">
        <f>IFERROR(INDEX(LMH_PTS,MATCH(AD452,LMH_KEY,0)),0)</f>
        <v>1</v>
      </c>
      <c r="BS452" s="38">
        <f>IFERROR(INDEX(LMH_PTS,MATCH(AE452,LMH_KEY,0)),0)</f>
        <v>1</v>
      </c>
      <c r="BT452" s="38">
        <f>IFERROR(INDEX(LMH_STEP,MATCH(AF452,LMH_KEY,0)),0)</f>
        <v>0</v>
      </c>
      <c r="BU452" s="38">
        <f>IFERROR(INDEX(LMH_STEP,MATCH(AG452,LMH_KEY,0)),0)</f>
        <v>0</v>
      </c>
      <c r="BV452" s="38">
        <f>IFERROR(INDEX(LMH_STEP,MATCH(AH452,LMH_KEY,0)),0)</f>
        <v>0</v>
      </c>
      <c r="BW452" s="38">
        <f>IFERROR(INDEX(LMH_STEP,MATCH(AI452,LMH_KEY,0)),0)</f>
        <v>0</v>
      </c>
      <c r="BX452" s="38">
        <f>IFERROR(INDEX(LMH_STEP,MATCH(AJ452,LMH_KEY,0)),0)</f>
        <v>0</v>
      </c>
      <c r="BY452" s="38">
        <f>IFERROR(INDEX(LMH_STEP,MATCH(AK452,LMH_KEY,0)),0)</f>
        <v>0</v>
      </c>
      <c r="BZ452" s="38">
        <f>IFERROR(INDEX(LMH_STEP,MATCH(AL452,LMH_KEY,0)),0)</f>
        <v>0</v>
      </c>
      <c r="CA452" s="38" t="inlineStr">
        <is>
          <t>iFile|XBRL Consulting|Taxonomy Specialist|B1|B-IC</t>
        </is>
      </c>
    </row>
    <row r="453" ht="110" customHeight="1">
      <c r="A453" s="28" t="inlineStr">
        <is>
          <t>iFile</t>
        </is>
      </c>
      <c r="B453" s="29" t="inlineStr">
        <is>
          <t>XBRL Consulting</t>
        </is>
      </c>
      <c r="C453" s="29" t="n">
        <v>3</v>
      </c>
      <c r="D453" s="29" t="inlineStr">
        <is>
          <t>IRIS0022</t>
        </is>
      </c>
      <c r="E453" s="29" t="inlineStr">
        <is>
          <t>Bhushan Patkar</t>
        </is>
      </c>
      <c r="F453" s="29" t="inlineStr">
        <is>
          <t>Senior Analyst</t>
        </is>
      </c>
      <c r="G453" s="29" t="inlineStr">
        <is>
          <t>Senior Taxonomy Analyst</t>
        </is>
      </c>
      <c r="H453" s="29" t="inlineStr">
        <is>
          <t>Consulting &amp; Professional Services</t>
        </is>
      </c>
      <c r="I453" s="29" t="inlineStr">
        <is>
          <t>Taxonomy Design &amp; Regulatory Consulting</t>
        </is>
      </c>
      <c r="J453" s="29" t="inlineStr">
        <is>
          <t>IC</t>
        </is>
      </c>
      <c r="K453" s="29" t="inlineStr">
        <is>
          <t>RC-019</t>
        </is>
      </c>
      <c r="L453" s="29" t="inlineStr">
        <is>
          <t>Sujeet Rathod</t>
        </is>
      </c>
      <c r="M453" s="29" t="inlineStr">
        <is>
          <t>IRIS1618</t>
        </is>
      </c>
      <c r="N453" s="29" t="n">
        <v>21.6</v>
      </c>
      <c r="O453" s="29" t="n">
        <v>21.6</v>
      </c>
      <c r="P453" s="29" t="inlineStr">
        <is>
          <t>B.Com</t>
        </is>
      </c>
      <c r="Q453" s="29" t="inlineStr">
        <is>
          <t>L4 – Senior</t>
        </is>
      </c>
      <c r="R453" s="29" t="inlineStr">
        <is>
          <t>A3</t>
        </is>
      </c>
      <c r="S453" s="30" t="inlineStr">
        <is>
          <t>19 of 20</t>
        </is>
      </c>
      <c r="T453" s="31"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t>
        </is>
      </c>
      <c r="U453"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3" s="31" t="inlineStr">
        <is>
          <t>Latest rating: 3 · Potential: Medium · 9-box: Trusted Professional · Readiness: Develop in role</t>
        </is>
      </c>
      <c r="W453" s="31" t="inlineStr">
        <is>
          <t>C M · Au M · Ac M · L L · BI M · Exp H · 21.6 yrs vs 2–4 yrs · Edu M · B.Com</t>
        </is>
      </c>
      <c r="X453" s="33" t="inlineStr">
        <is>
          <t>Open ▸</t>
        </is>
      </c>
      <c r="Y453" s="34" t="str">
        <f>IFERROR(INDEX(DL_C,MATCH($CA453,DL_KEY,0)),"M")</f>
        <v>H</v>
      </c>
      <c r="Z453" s="35" t="str">
        <f>IFERROR(INDEX(DL_Au,MATCH($CA453,DL_KEY,0)),"M")</f>
        <v>M</v>
      </c>
      <c r="AA453" s="35" t="str">
        <f>IFERROR(INDEX(DL_Ac,MATCH($CA453,DL_KEY,0)),"M")</f>
        <v>M</v>
      </c>
      <c r="AB453" s="35" t="str">
        <f>IFERROR(INDEX(DL_L,MATCH($CA453,DL_KEY,0)),"M")</f>
        <v>L</v>
      </c>
      <c r="AC453" s="35" t="str">
        <f>IFERROR(INDEX(DL_BI,MATCH($CA453,DL_KEY,0)),"M")</f>
        <v>L</v>
      </c>
      <c r="AD453" s="35" t="str">
        <f>IFERROR(INDEX(DL_Exp,MATCH($CA453,DL_KEY,0)),"M")</f>
        <v>L</v>
      </c>
      <c r="AE453" s="35" t="str">
        <f>IFERROR(INDEX(DL_Edu,MATCH($CA453,DL_KEY,0)),"M")</f>
        <v>L</v>
      </c>
      <c r="AF453" s="34" t="inlineStr">
        <is>
          <t>M</t>
        </is>
      </c>
      <c r="AG453" s="35" t="inlineStr">
        <is>
          <t>M</t>
        </is>
      </c>
      <c r="AH453" s="35" t="inlineStr">
        <is>
          <t>M</t>
        </is>
      </c>
      <c r="AI453" s="35" t="inlineStr">
        <is>
          <t>M</t>
        </is>
      </c>
      <c r="AJ453" s="35" t="inlineStr">
        <is>
          <t>M</t>
        </is>
      </c>
      <c r="AK453" s="35" t="inlineStr">
        <is>
          <t>M</t>
        </is>
      </c>
      <c r="AL453" s="35" t="inlineStr">
        <is>
          <t>M</t>
        </is>
      </c>
      <c r="AM453" s="36" t="n">
        <v>0.583</v>
      </c>
      <c r="AN453" s="37" t="n">
        <v>0.16</v>
      </c>
      <c r="AO453" s="37" t="n">
        <v>0.09</v>
      </c>
      <c r="AP453" s="37" t="n">
        <v>0</v>
      </c>
      <c r="AQ453" s="37" t="n">
        <v>0.063</v>
      </c>
      <c r="AR453" s="37" t="n">
        <v>0.06</v>
      </c>
      <c r="AS453" s="37" t="n">
        <v>0.04</v>
      </c>
      <c r="AT453" s="38" t="inlineStr">
        <is>
          <t>2–5</t>
        </is>
      </c>
      <c r="AU453" s="38" t="inlineStr">
        <is>
          <t>Graduate; relevant certification preferred</t>
        </is>
      </c>
      <c r="AV453" s="38" t="inlineStr">
        <is>
          <t>None · guides 1–3 juniors informally</t>
        </is>
      </c>
      <c r="AW453" s="38" t="inlineStr">
        <is>
          <t>P2 · SFIA 3 Apply</t>
        </is>
      </c>
      <c r="AX4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3" s="39" t="inlineStr">
        <is>
          <t>A3</t>
        </is>
      </c>
      <c r="AZ453" s="40" t="inlineStr">
        <is>
          <t>Band A · Practitioner · Senior Associate</t>
        </is>
      </c>
      <c r="BA453" s="40" t="inlineStr">
        <is>
          <t>Model A3 from the six ratings, the market-derived weights and rules R1–R13 · then No change · already below the manager</t>
        </is>
      </c>
      <c r="BB453" s="41" t="inlineStr">
        <is>
          <t>B1</t>
        </is>
      </c>
      <c r="BC453" s="40" t="inlineStr">
        <is>
          <t>The six ratings on the market-average weights of Band A · all tracks score 3.55 → B1 · Hay, Mercer IPE and public plans · experience 21.6 yrs vs the B1 market range 4–8</t>
        </is>
      </c>
      <c r="BD453" s="42">
        <f>IF(SUM(BM453,BN453,BO453,BP453,BQ453,BR453,BS453)=0,0,(BM453*BT453+BN453*BU453+BO453*BV453+BP453*BW453+BQ453*BX453+BR453*BY453+BS453*BZ453)/SUM(BM453,BN453,BO453,BP453,BQ453,BR453,BS453))</f>
        <v>0</v>
      </c>
      <c r="BE453" s="41" t="str">
        <f>IF(LEFT(AY453,1)="X",AY453,IF(OR(AY453="B+",AY453="C+"),INDEX(LAD_PC,MAX(1,MIN(14,MATCH(AY453,LAD_PC,0)+IF(BD453&gt;=0.5,1,IF(BD453&lt;=-0.5,-1,0))))),INDEX(LAD_STD,MAX(1,MIN(12,MATCH(AY453,LAD_STD,0)+IF(BD453&gt;=0.5,1,IF(BD453&lt;=-0.5,-1,0)))))))</f>
        <v>A3</v>
      </c>
      <c r="BF453" s="43" t="n"/>
      <c r="BG453" s="41" t="str">
        <f>IF(BF453&lt;&gt;"",BF453,BE453)</f>
        <v>A3</v>
      </c>
      <c r="BH453" s="40" t="str">
        <f>IFERROR(CHOOSE(INDEX(B_RANK,MATCH(BG453,B_LVL,0)),"Band A","Band B","B+ · Player-Coach","Band C","C+ · Player-Coach","Band D","Band E"),"Band X · Consultant")</f>
        <v>Band A</v>
      </c>
      <c r="BI453" s="40" t="str">
        <f>IF(BG453=AY453,"• Same",IF(INDEX(B_VAL,MATCH(BG453,B_LVL,0))&gt;INDEX(B_VAL,MATCH(AY453,B_LVL,0)),"▲ Up","▼ Down"))</f>
        <v>• Same</v>
      </c>
      <c r="BJ453" s="40" t="str">
        <f>IF(OR($M453="",$M453="—",$M453="Not in this file"),"",IFERROR(INDEX($BG$7:$BG$592,MATCH($M453,$D$7:$D$592,0)),""))</f>
        <v>B2</v>
      </c>
      <c r="BK453" s="40" t="str">
        <f>IFERROR(IF(BJ453="","—",IF(OR(LEFT(BG453,1)="X",LEFT(BJ453,1)="X"),"—",IF(AND(LEFT(BG453,1)="E",LEFT(BJ453,1)="E"),"Exception · Band E",IF(AND(INDEX(B_VAL,MATCH(BJ453,B_LVL,0))&gt;=7,INDEX(B_RANK,MATCH(BG453,B_LVL,0))&gt;=INDEX(B_RANK,MATCH(BJ453,B_LVL,0))),"⚠ Same band as a head manager",IF(INDEX(B_VAL,MATCH(BG453,B_LVL,0))&gt;=INDEX(B_VAL,MATCH(BJ453,B_LVL,0)),"⚠ At or above the manager's level","OK"))))),"—")</f>
        <v>OK</v>
      </c>
      <c r="BL453" s="43" t="n"/>
      <c r="BM453" s="44">
        <f>IFERROR(INDEX(LMH_PTS,MATCH(Y453,LMH_KEY,0)),0)</f>
        <v>9</v>
      </c>
      <c r="BN453" s="38">
        <f>IFERROR(INDEX(LMH_PTS,MATCH(Z453,LMH_KEY,0)),0)</f>
        <v>3</v>
      </c>
      <c r="BO453" s="38">
        <f>IFERROR(INDEX(LMH_PTS,MATCH(AA453,LMH_KEY,0)),0)</f>
        <v>3</v>
      </c>
      <c r="BP453" s="38">
        <f>IFERROR(INDEX(LMH_PTS,MATCH(AB453,LMH_KEY,0)),0)</f>
        <v>1</v>
      </c>
      <c r="BQ453" s="38">
        <f>IFERROR(INDEX(LMH_PTS,MATCH(AC453,LMH_KEY,0)),0)</f>
        <v>1</v>
      </c>
      <c r="BR453" s="38">
        <f>IFERROR(INDEX(LMH_PTS,MATCH(AD453,LMH_KEY,0)),0)</f>
        <v>1</v>
      </c>
      <c r="BS453" s="38">
        <f>IFERROR(INDEX(LMH_PTS,MATCH(AE453,LMH_KEY,0)),0)</f>
        <v>1</v>
      </c>
      <c r="BT453" s="38">
        <f>IFERROR(INDEX(LMH_STEP,MATCH(AF453,LMH_KEY,0)),0)</f>
        <v>0</v>
      </c>
      <c r="BU453" s="38">
        <f>IFERROR(INDEX(LMH_STEP,MATCH(AG453,LMH_KEY,0)),0)</f>
        <v>0</v>
      </c>
      <c r="BV453" s="38">
        <f>IFERROR(INDEX(LMH_STEP,MATCH(AH453,LMH_KEY,0)),0)</f>
        <v>0</v>
      </c>
      <c r="BW453" s="38">
        <f>IFERROR(INDEX(LMH_STEP,MATCH(AI453,LMH_KEY,0)),0)</f>
        <v>0</v>
      </c>
      <c r="BX453" s="38">
        <f>IFERROR(INDEX(LMH_STEP,MATCH(AJ453,LMH_KEY,0)),0)</f>
        <v>0</v>
      </c>
      <c r="BY453" s="38">
        <f>IFERROR(INDEX(LMH_STEP,MATCH(AK453,LMH_KEY,0)),0)</f>
        <v>0</v>
      </c>
      <c r="BZ453" s="38">
        <f>IFERROR(INDEX(LMH_STEP,MATCH(AL453,LMH_KEY,0)),0)</f>
        <v>0</v>
      </c>
      <c r="CA453" s="38" t="inlineStr">
        <is>
          <t>iFile|XBRL Consulting|Senior Taxonomy Analyst|A3|A</t>
        </is>
      </c>
    </row>
    <row r="454" ht="110" customHeight="1">
      <c r="A454" s="28" t="inlineStr">
        <is>
          <t>iFile</t>
        </is>
      </c>
      <c r="B454" s="29" t="inlineStr">
        <is>
          <t>XBRL Consulting</t>
        </is>
      </c>
      <c r="C454" s="29" t="n">
        <v>3</v>
      </c>
      <c r="D454" s="29" t="inlineStr">
        <is>
          <t>IRIS2563</t>
        </is>
      </c>
      <c r="E454" s="29" t="inlineStr">
        <is>
          <t>Isheekka Gupta</t>
        </is>
      </c>
      <c r="F454" s="29" t="inlineStr">
        <is>
          <t>Consultant</t>
        </is>
      </c>
      <c r="G454" s="29" t="inlineStr">
        <is>
          <t>Senior Taxonomy Analyst</t>
        </is>
      </c>
      <c r="H454" s="29" t="inlineStr">
        <is>
          <t>Consulting &amp; Professional Services</t>
        </is>
      </c>
      <c r="I454" s="29" t="inlineStr">
        <is>
          <t>Taxonomy Design &amp; Regulatory Consulting</t>
        </is>
      </c>
      <c r="J454" s="29" t="inlineStr">
        <is>
          <t>IC</t>
        </is>
      </c>
      <c r="K454" s="29" t="inlineStr">
        <is>
          <t>RC-019</t>
        </is>
      </c>
      <c r="L454" s="29" t="inlineStr">
        <is>
          <t>Sujeet Rathod</t>
        </is>
      </c>
      <c r="M454" s="29" t="inlineStr">
        <is>
          <t>IRIS1618</t>
        </is>
      </c>
      <c r="N454" s="29" t="inlineStr">
        <is>
          <t>Not provided · HRIS</t>
        </is>
      </c>
      <c r="O454" s="29" t="n">
        <v>0</v>
      </c>
      <c r="P454" s="29" t="inlineStr">
        <is>
          <t>CA</t>
        </is>
      </c>
      <c r="Q454" s="29" t="inlineStr">
        <is>
          <t>Not in current mapping files</t>
        </is>
      </c>
      <c r="R454" s="29" t="inlineStr">
        <is>
          <t>A3</t>
        </is>
      </c>
      <c r="S454" s="30" t="inlineStr">
        <is>
          <t>16 of 20</t>
        </is>
      </c>
      <c r="T454" s="31"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t>
        </is>
      </c>
      <c r="U454" s="32" t="inlineStr">
        <is>
          <t>KRAs not received · manager to supply</t>
        </is>
      </c>
      <c r="V454" s="31" t="inlineStr">
        <is>
          <t>Latest rating: Not rated · manager · 9-box: Not placed · manager · Readiness: No rating data</t>
        </is>
      </c>
      <c r="W454" s="31" t="inlineStr">
        <is>
          <t>C M · Au M · Ac M · L L · BI M · Exp — · not on file · Edu H · CA</t>
        </is>
      </c>
      <c r="X454" s="33" t="inlineStr">
        <is>
          <t>Open ▸</t>
        </is>
      </c>
      <c r="Y454" s="34" t="str">
        <f>IFERROR(INDEX(DL_C,MATCH($CA454,DL_KEY,0)),"M")</f>
        <v>H</v>
      </c>
      <c r="Z454" s="35" t="str">
        <f>IFERROR(INDEX(DL_Au,MATCH($CA454,DL_KEY,0)),"M")</f>
        <v>M</v>
      </c>
      <c r="AA454" s="35" t="str">
        <f>IFERROR(INDEX(DL_Ac,MATCH($CA454,DL_KEY,0)),"M")</f>
        <v>M</v>
      </c>
      <c r="AB454" s="35" t="str">
        <f>IFERROR(INDEX(DL_L,MATCH($CA454,DL_KEY,0)),"M")</f>
        <v>L</v>
      </c>
      <c r="AC454" s="35" t="str">
        <f>IFERROR(INDEX(DL_BI,MATCH($CA454,DL_KEY,0)),"M")</f>
        <v>L</v>
      </c>
      <c r="AD454" s="35" t="str">
        <f>IFERROR(INDEX(DL_Exp,MATCH($CA454,DL_KEY,0)),"M")</f>
        <v>L</v>
      </c>
      <c r="AE454" s="35" t="str">
        <f>IFERROR(INDEX(DL_Edu,MATCH($CA454,DL_KEY,0)),"M")</f>
        <v>L</v>
      </c>
      <c r="AF454" s="34" t="inlineStr">
        <is>
          <t>M</t>
        </is>
      </c>
      <c r="AG454" s="35" t="inlineStr">
        <is>
          <t>M</t>
        </is>
      </c>
      <c r="AH454" s="35" t="inlineStr">
        <is>
          <t>M</t>
        </is>
      </c>
      <c r="AI454" s="35" t="inlineStr">
        <is>
          <t>M</t>
        </is>
      </c>
      <c r="AJ454" s="35" t="inlineStr">
        <is>
          <t>M</t>
        </is>
      </c>
      <c r="AK454" s="35" t="inlineStr">
        <is>
          <t>M</t>
        </is>
      </c>
      <c r="AL454" s="35" t="inlineStr">
        <is>
          <t>M</t>
        </is>
      </c>
      <c r="AM454" s="36" t="n">
        <v>0.583</v>
      </c>
      <c r="AN454" s="37" t="n">
        <v>0.16</v>
      </c>
      <c r="AO454" s="37" t="n">
        <v>0.09</v>
      </c>
      <c r="AP454" s="37" t="n">
        <v>0</v>
      </c>
      <c r="AQ454" s="37" t="n">
        <v>0.063</v>
      </c>
      <c r="AR454" s="37" t="n">
        <v>0.06</v>
      </c>
      <c r="AS454" s="37" t="n">
        <v>0.04</v>
      </c>
      <c r="AT454" s="38" t="inlineStr">
        <is>
          <t>2–5</t>
        </is>
      </c>
      <c r="AU454" s="38" t="inlineStr">
        <is>
          <t>Graduate; relevant certification preferred</t>
        </is>
      </c>
      <c r="AV454" s="38" t="inlineStr">
        <is>
          <t>None · guides 1–3 juniors informally</t>
        </is>
      </c>
      <c r="AW454" s="38" t="inlineStr">
        <is>
          <t>P2 · SFIA 3 Apply</t>
        </is>
      </c>
      <c r="AX4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4" s="39" t="inlineStr">
        <is>
          <t>A3</t>
        </is>
      </c>
      <c r="AZ454" s="40" t="inlineStr">
        <is>
          <t>Band A · Practitioner · Senior Associate</t>
        </is>
      </c>
      <c r="BA454" s="40" t="inlineStr">
        <is>
          <t>Model A3 from the six ratings, the market-derived weights and rules R1–R13 · then No change · already below the manager</t>
        </is>
      </c>
      <c r="BB454" s="41" t="inlineStr">
        <is>
          <t>A3</t>
        </is>
      </c>
      <c r="BC454" s="40" t="inlineStr">
        <is>
          <t>The six ratings on the market-average weights of Band A · all tracks score 2.60 → A3 · Hay, Mercer IPE and public plans · experience Not provided · HRIS yrs vs the A3 market range 2–5</t>
        </is>
      </c>
      <c r="BD454" s="42">
        <f>IF(SUM(BM454,BN454,BO454,BP454,BQ454,BR454,BS454)=0,0,(BM454*BT454+BN454*BU454+BO454*BV454+BP454*BW454+BQ454*BX454+BR454*BY454+BS454*BZ454)/SUM(BM454,BN454,BO454,BP454,BQ454,BR454,BS454))</f>
        <v>0</v>
      </c>
      <c r="BE454" s="41" t="str">
        <f>IF(LEFT(AY454,1)="X",AY454,IF(OR(AY454="B+",AY454="C+"),INDEX(LAD_PC,MAX(1,MIN(14,MATCH(AY454,LAD_PC,0)+IF(BD454&gt;=0.5,1,IF(BD454&lt;=-0.5,-1,0))))),INDEX(LAD_STD,MAX(1,MIN(12,MATCH(AY454,LAD_STD,0)+IF(BD454&gt;=0.5,1,IF(BD454&lt;=-0.5,-1,0)))))))</f>
        <v>A3</v>
      </c>
      <c r="BF454" s="43" t="n"/>
      <c r="BG454" s="41" t="str">
        <f>IF(BF454&lt;&gt;"",BF454,BE454)</f>
        <v>A3</v>
      </c>
      <c r="BH454" s="40" t="str">
        <f>IFERROR(CHOOSE(INDEX(B_RANK,MATCH(BG454,B_LVL,0)),"Band A","Band B","B+ · Player-Coach","Band C","C+ · Player-Coach","Band D","Band E"),"Band X · Consultant")</f>
        <v>Band A</v>
      </c>
      <c r="BI454" s="40" t="str">
        <f>IF(BG454=AY454,"• Same",IF(INDEX(B_VAL,MATCH(BG454,B_LVL,0))&gt;INDEX(B_VAL,MATCH(AY454,B_LVL,0)),"▲ Up","▼ Down"))</f>
        <v>• Same</v>
      </c>
      <c r="BJ454" s="40" t="str">
        <f>IF(OR($M454="",$M454="—",$M454="Not in this file"),"",IFERROR(INDEX($BG$7:$BG$592,MATCH($M454,$D$7:$D$592,0)),""))</f>
        <v>B2</v>
      </c>
      <c r="BK454" s="40" t="str">
        <f>IFERROR(IF(BJ454="","—",IF(OR(LEFT(BG454,1)="X",LEFT(BJ454,1)="X"),"—",IF(AND(LEFT(BG454,1)="E",LEFT(BJ454,1)="E"),"Exception · Band E",IF(AND(INDEX(B_VAL,MATCH(BJ454,B_LVL,0))&gt;=7,INDEX(B_RANK,MATCH(BG454,B_LVL,0))&gt;=INDEX(B_RANK,MATCH(BJ454,B_LVL,0))),"⚠ Same band as a head manager",IF(INDEX(B_VAL,MATCH(BG454,B_LVL,0))&gt;=INDEX(B_VAL,MATCH(BJ454,B_LVL,0)),"⚠ At or above the manager's level","OK"))))),"—")</f>
        <v>OK</v>
      </c>
      <c r="BL454" s="43" t="n"/>
      <c r="BM454" s="44">
        <f>IFERROR(INDEX(LMH_PTS,MATCH(Y454,LMH_KEY,0)),0)</f>
        <v>9</v>
      </c>
      <c r="BN454" s="38">
        <f>IFERROR(INDEX(LMH_PTS,MATCH(Z454,LMH_KEY,0)),0)</f>
        <v>3</v>
      </c>
      <c r="BO454" s="38">
        <f>IFERROR(INDEX(LMH_PTS,MATCH(AA454,LMH_KEY,0)),0)</f>
        <v>3</v>
      </c>
      <c r="BP454" s="38">
        <f>IFERROR(INDEX(LMH_PTS,MATCH(AB454,LMH_KEY,0)),0)</f>
        <v>1</v>
      </c>
      <c r="BQ454" s="38">
        <f>IFERROR(INDEX(LMH_PTS,MATCH(AC454,LMH_KEY,0)),0)</f>
        <v>1</v>
      </c>
      <c r="BR454" s="38">
        <f>IFERROR(INDEX(LMH_PTS,MATCH(AD454,LMH_KEY,0)),0)</f>
        <v>1</v>
      </c>
      <c r="BS454" s="38">
        <f>IFERROR(INDEX(LMH_PTS,MATCH(AE454,LMH_KEY,0)),0)</f>
        <v>1</v>
      </c>
      <c r="BT454" s="38">
        <f>IFERROR(INDEX(LMH_STEP,MATCH(AF454,LMH_KEY,0)),0)</f>
        <v>0</v>
      </c>
      <c r="BU454" s="38">
        <f>IFERROR(INDEX(LMH_STEP,MATCH(AG454,LMH_KEY,0)),0)</f>
        <v>0</v>
      </c>
      <c r="BV454" s="38">
        <f>IFERROR(INDEX(LMH_STEP,MATCH(AH454,LMH_KEY,0)),0)</f>
        <v>0</v>
      </c>
      <c r="BW454" s="38">
        <f>IFERROR(INDEX(LMH_STEP,MATCH(AI454,LMH_KEY,0)),0)</f>
        <v>0</v>
      </c>
      <c r="BX454" s="38">
        <f>IFERROR(INDEX(LMH_STEP,MATCH(AJ454,LMH_KEY,0)),0)</f>
        <v>0</v>
      </c>
      <c r="BY454" s="38">
        <f>IFERROR(INDEX(LMH_STEP,MATCH(AK454,LMH_KEY,0)),0)</f>
        <v>0</v>
      </c>
      <c r="BZ454" s="38">
        <f>IFERROR(INDEX(LMH_STEP,MATCH(AL454,LMH_KEY,0)),0)</f>
        <v>0</v>
      </c>
      <c r="CA454" s="38" t="inlineStr">
        <is>
          <t>iFile|XBRL Consulting|Senior Taxonomy Analyst|A3|A</t>
        </is>
      </c>
    </row>
    <row r="455" ht="110" customHeight="1">
      <c r="A455" s="28" t="inlineStr">
        <is>
          <t>iFile</t>
        </is>
      </c>
      <c r="B455" s="29" t="inlineStr">
        <is>
          <t>XBRL Consulting</t>
        </is>
      </c>
      <c r="C455" s="29" t="n">
        <v>3</v>
      </c>
      <c r="D455" s="29" t="inlineStr">
        <is>
          <t>IRIS0359</t>
        </is>
      </c>
      <c r="E455" s="29" t="inlineStr">
        <is>
          <t>Prasad Chavan</t>
        </is>
      </c>
      <c r="F455" s="29" t="inlineStr">
        <is>
          <t>Consultant</t>
        </is>
      </c>
      <c r="G455" s="29" t="inlineStr">
        <is>
          <t>Senior Taxonomy Analyst</t>
        </is>
      </c>
      <c r="H455" s="29" t="inlineStr">
        <is>
          <t>Consulting &amp; Professional Services</t>
        </is>
      </c>
      <c r="I455" s="29" t="inlineStr">
        <is>
          <t>Taxonomy Design &amp; Regulatory Consulting</t>
        </is>
      </c>
      <c r="J455" s="29" t="inlineStr">
        <is>
          <t>IC</t>
        </is>
      </c>
      <c r="K455" s="29" t="inlineStr">
        <is>
          <t>RC-019</t>
        </is>
      </c>
      <c r="L455" s="29" t="inlineStr">
        <is>
          <t>Sujeet Rathod</t>
        </is>
      </c>
      <c r="M455" s="29" t="inlineStr">
        <is>
          <t>IRIS1618</t>
        </is>
      </c>
      <c r="N455" s="29" t="n">
        <v>16.2</v>
      </c>
      <c r="O455" s="29" t="n">
        <v>16.2</v>
      </c>
      <c r="P455" s="29" t="inlineStr">
        <is>
          <t>B.Com</t>
        </is>
      </c>
      <c r="Q455" s="29" t="inlineStr">
        <is>
          <t>L3 – Professional / Associate</t>
        </is>
      </c>
      <c r="R455" s="29" t="inlineStr">
        <is>
          <t>A3</t>
        </is>
      </c>
      <c r="S455" s="30" t="inlineStr">
        <is>
          <t>20 of 20</t>
        </is>
      </c>
      <c r="T455" s="31"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
        </is>
      </c>
      <c r="U455"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5" s="31" t="inlineStr">
        <is>
          <t>Latest rating: 3 · Potential: Low · 9-box: Trusted Professional · Readiness: Develop in role</t>
        </is>
      </c>
      <c r="W455" s="31" t="inlineStr">
        <is>
          <t>C M · Au M · Ac M · L L · BI M · Exp H · 16.2 yrs vs 2–4 yrs · Edu M · B.Com</t>
        </is>
      </c>
      <c r="X455" s="33" t="inlineStr">
        <is>
          <t>Open ▸</t>
        </is>
      </c>
      <c r="Y455" s="34" t="str">
        <f>IFERROR(INDEX(DL_C,MATCH($CA455,DL_KEY,0)),"M")</f>
        <v>H</v>
      </c>
      <c r="Z455" s="35" t="str">
        <f>IFERROR(INDEX(DL_Au,MATCH($CA455,DL_KEY,0)),"M")</f>
        <v>M</v>
      </c>
      <c r="AA455" s="35" t="str">
        <f>IFERROR(INDEX(DL_Ac,MATCH($CA455,DL_KEY,0)),"M")</f>
        <v>M</v>
      </c>
      <c r="AB455" s="35" t="str">
        <f>IFERROR(INDEX(DL_L,MATCH($CA455,DL_KEY,0)),"M")</f>
        <v>L</v>
      </c>
      <c r="AC455" s="35" t="str">
        <f>IFERROR(INDEX(DL_BI,MATCH($CA455,DL_KEY,0)),"M")</f>
        <v>L</v>
      </c>
      <c r="AD455" s="35" t="str">
        <f>IFERROR(INDEX(DL_Exp,MATCH($CA455,DL_KEY,0)),"M")</f>
        <v>L</v>
      </c>
      <c r="AE455" s="35" t="str">
        <f>IFERROR(INDEX(DL_Edu,MATCH($CA455,DL_KEY,0)),"M")</f>
        <v>L</v>
      </c>
      <c r="AF455" s="34" t="inlineStr">
        <is>
          <t>M</t>
        </is>
      </c>
      <c r="AG455" s="35" t="inlineStr">
        <is>
          <t>M</t>
        </is>
      </c>
      <c r="AH455" s="35" t="inlineStr">
        <is>
          <t>M</t>
        </is>
      </c>
      <c r="AI455" s="35" t="inlineStr">
        <is>
          <t>M</t>
        </is>
      </c>
      <c r="AJ455" s="35" t="inlineStr">
        <is>
          <t>M</t>
        </is>
      </c>
      <c r="AK455" s="35" t="inlineStr">
        <is>
          <t>M</t>
        </is>
      </c>
      <c r="AL455" s="35" t="inlineStr">
        <is>
          <t>M</t>
        </is>
      </c>
      <c r="AM455" s="36" t="n">
        <v>0.583</v>
      </c>
      <c r="AN455" s="37" t="n">
        <v>0.16</v>
      </c>
      <c r="AO455" s="37" t="n">
        <v>0.09</v>
      </c>
      <c r="AP455" s="37" t="n">
        <v>0</v>
      </c>
      <c r="AQ455" s="37" t="n">
        <v>0.063</v>
      </c>
      <c r="AR455" s="37" t="n">
        <v>0.06</v>
      </c>
      <c r="AS455" s="37" t="n">
        <v>0.04</v>
      </c>
      <c r="AT455" s="38" t="inlineStr">
        <is>
          <t>2–5</t>
        </is>
      </c>
      <c r="AU455" s="38" t="inlineStr">
        <is>
          <t>Graduate; relevant certification preferred</t>
        </is>
      </c>
      <c r="AV455" s="38" t="inlineStr">
        <is>
          <t>None · guides 1–3 juniors informally</t>
        </is>
      </c>
      <c r="AW455" s="38" t="inlineStr">
        <is>
          <t>P2 · SFIA 3 Apply</t>
        </is>
      </c>
      <c r="AX4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5" s="39" t="inlineStr">
        <is>
          <t>A3</t>
        </is>
      </c>
      <c r="AZ455" s="40" t="inlineStr">
        <is>
          <t>Band A · Practitioner · Senior Associate</t>
        </is>
      </c>
      <c r="BA455" s="40" t="inlineStr">
        <is>
          <t>Model A3 from the six ratings, the market-derived weights and rules R1–R13 · then No change · already below the manager</t>
        </is>
      </c>
      <c r="BB455" s="41" t="inlineStr">
        <is>
          <t>A3</t>
        </is>
      </c>
      <c r="BC455" s="40" t="inlineStr">
        <is>
          <t>The six ratings on the market-average weights of Band A · all tracks score 3.40 → A3 · Hay, Mercer IPE and public plans · experience 16.2 yrs vs the A3 market range 2–5</t>
        </is>
      </c>
      <c r="BD455" s="42">
        <f>IF(SUM(BM455,BN455,BO455,BP455,BQ455,BR455,BS455)=0,0,(BM455*BT455+BN455*BU455+BO455*BV455+BP455*BW455+BQ455*BX455+BR455*BY455+BS455*BZ455)/SUM(BM455,BN455,BO455,BP455,BQ455,BR455,BS455))</f>
        <v>0</v>
      </c>
      <c r="BE455" s="41" t="str">
        <f>IF(LEFT(AY455,1)="X",AY455,IF(OR(AY455="B+",AY455="C+"),INDEX(LAD_PC,MAX(1,MIN(14,MATCH(AY455,LAD_PC,0)+IF(BD455&gt;=0.5,1,IF(BD455&lt;=-0.5,-1,0))))),INDEX(LAD_STD,MAX(1,MIN(12,MATCH(AY455,LAD_STD,0)+IF(BD455&gt;=0.5,1,IF(BD455&lt;=-0.5,-1,0)))))))</f>
        <v>A3</v>
      </c>
      <c r="BF455" s="43" t="n"/>
      <c r="BG455" s="41" t="str">
        <f>IF(BF455&lt;&gt;"",BF455,BE455)</f>
        <v>A3</v>
      </c>
      <c r="BH455" s="40" t="str">
        <f>IFERROR(CHOOSE(INDEX(B_RANK,MATCH(BG455,B_LVL,0)),"Band A","Band B","B+ · Player-Coach","Band C","C+ · Player-Coach","Band D","Band E"),"Band X · Consultant")</f>
        <v>Band A</v>
      </c>
      <c r="BI455" s="40" t="str">
        <f>IF(BG455=AY455,"• Same",IF(INDEX(B_VAL,MATCH(BG455,B_LVL,0))&gt;INDEX(B_VAL,MATCH(AY455,B_LVL,0)),"▲ Up","▼ Down"))</f>
        <v>• Same</v>
      </c>
      <c r="BJ455" s="40" t="str">
        <f>IF(OR($M455="",$M455="—",$M455="Not in this file"),"",IFERROR(INDEX($BG$7:$BG$592,MATCH($M455,$D$7:$D$592,0)),""))</f>
        <v>B2</v>
      </c>
      <c r="BK455" s="40" t="str">
        <f>IFERROR(IF(BJ455="","—",IF(OR(LEFT(BG455,1)="X",LEFT(BJ455,1)="X"),"—",IF(AND(LEFT(BG455,1)="E",LEFT(BJ455,1)="E"),"Exception · Band E",IF(AND(INDEX(B_VAL,MATCH(BJ455,B_LVL,0))&gt;=7,INDEX(B_RANK,MATCH(BG455,B_LVL,0))&gt;=INDEX(B_RANK,MATCH(BJ455,B_LVL,0))),"⚠ Same band as a head manager",IF(INDEX(B_VAL,MATCH(BG455,B_LVL,0))&gt;=INDEX(B_VAL,MATCH(BJ455,B_LVL,0)),"⚠ At or above the manager's level","OK"))))),"—")</f>
        <v>OK</v>
      </c>
      <c r="BL455" s="43" t="n"/>
      <c r="BM455" s="44">
        <f>IFERROR(INDEX(LMH_PTS,MATCH(Y455,LMH_KEY,0)),0)</f>
        <v>9</v>
      </c>
      <c r="BN455" s="38">
        <f>IFERROR(INDEX(LMH_PTS,MATCH(Z455,LMH_KEY,0)),0)</f>
        <v>3</v>
      </c>
      <c r="BO455" s="38">
        <f>IFERROR(INDEX(LMH_PTS,MATCH(AA455,LMH_KEY,0)),0)</f>
        <v>3</v>
      </c>
      <c r="BP455" s="38">
        <f>IFERROR(INDEX(LMH_PTS,MATCH(AB455,LMH_KEY,0)),0)</f>
        <v>1</v>
      </c>
      <c r="BQ455" s="38">
        <f>IFERROR(INDEX(LMH_PTS,MATCH(AC455,LMH_KEY,0)),0)</f>
        <v>1</v>
      </c>
      <c r="BR455" s="38">
        <f>IFERROR(INDEX(LMH_PTS,MATCH(AD455,LMH_KEY,0)),0)</f>
        <v>1</v>
      </c>
      <c r="BS455" s="38">
        <f>IFERROR(INDEX(LMH_PTS,MATCH(AE455,LMH_KEY,0)),0)</f>
        <v>1</v>
      </c>
      <c r="BT455" s="38">
        <f>IFERROR(INDEX(LMH_STEP,MATCH(AF455,LMH_KEY,0)),0)</f>
        <v>0</v>
      </c>
      <c r="BU455" s="38">
        <f>IFERROR(INDEX(LMH_STEP,MATCH(AG455,LMH_KEY,0)),0)</f>
        <v>0</v>
      </c>
      <c r="BV455" s="38">
        <f>IFERROR(INDEX(LMH_STEP,MATCH(AH455,LMH_KEY,0)),0)</f>
        <v>0</v>
      </c>
      <c r="BW455" s="38">
        <f>IFERROR(INDEX(LMH_STEP,MATCH(AI455,LMH_KEY,0)),0)</f>
        <v>0</v>
      </c>
      <c r="BX455" s="38">
        <f>IFERROR(INDEX(LMH_STEP,MATCH(AJ455,LMH_KEY,0)),0)</f>
        <v>0</v>
      </c>
      <c r="BY455" s="38">
        <f>IFERROR(INDEX(LMH_STEP,MATCH(AK455,LMH_KEY,0)),0)</f>
        <v>0</v>
      </c>
      <c r="BZ455" s="38">
        <f>IFERROR(INDEX(LMH_STEP,MATCH(AL455,LMH_KEY,0)),0)</f>
        <v>0</v>
      </c>
      <c r="CA455" s="38" t="inlineStr">
        <is>
          <t>iFile|XBRL Consulting|Senior Taxonomy Analyst|A3|A</t>
        </is>
      </c>
    </row>
    <row r="456" ht="110" customHeight="1">
      <c r="A456" s="28" t="inlineStr">
        <is>
          <t>iFile</t>
        </is>
      </c>
      <c r="B456" s="29" t="inlineStr">
        <is>
          <t>XBRL Consulting</t>
        </is>
      </c>
      <c r="C456" s="29" t="n">
        <v>3</v>
      </c>
      <c r="D456" s="29" t="inlineStr">
        <is>
          <t>IRIS0028</t>
        </is>
      </c>
      <c r="E456" s="29" t="inlineStr">
        <is>
          <t>Shashank Poipkar</t>
        </is>
      </c>
      <c r="F456" s="29" t="inlineStr">
        <is>
          <t>Senior Analyst</t>
        </is>
      </c>
      <c r="G456" s="29" t="inlineStr">
        <is>
          <t>Senior Taxonomy Analyst</t>
        </is>
      </c>
      <c r="H456" s="29" t="inlineStr">
        <is>
          <t>Consulting &amp; Professional Services</t>
        </is>
      </c>
      <c r="I456" s="29" t="inlineStr">
        <is>
          <t>Taxonomy Design &amp; Regulatory Consulting</t>
        </is>
      </c>
      <c r="J456" s="29" t="inlineStr">
        <is>
          <t>IC</t>
        </is>
      </c>
      <c r="K456" s="29" t="inlineStr">
        <is>
          <t>RC-019</t>
        </is>
      </c>
      <c r="L456" s="29" t="inlineStr">
        <is>
          <t>Sujeet Rathod</t>
        </is>
      </c>
      <c r="M456" s="29" t="inlineStr">
        <is>
          <t>IRIS1618</t>
        </is>
      </c>
      <c r="N456" s="29" t="n">
        <v>21.1</v>
      </c>
      <c r="O456" s="29" t="n">
        <v>21.1</v>
      </c>
      <c r="P456" s="29" t="inlineStr">
        <is>
          <t>B.Com</t>
        </is>
      </c>
      <c r="Q456" s="29" t="inlineStr">
        <is>
          <t>L4 – Senior</t>
        </is>
      </c>
      <c r="R456" s="29" t="inlineStr">
        <is>
          <t>A3</t>
        </is>
      </c>
      <c r="S456" s="30" t="inlineStr">
        <is>
          <t>20 of 20</t>
        </is>
      </c>
      <c r="T456" s="31"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t>
        </is>
      </c>
      <c r="U456"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6" s="31" t="inlineStr">
        <is>
          <t>Latest rating: 3 · Potential: Low · 9-box: Core Contributor · Readiness: Develop in role</t>
        </is>
      </c>
      <c r="W456" s="31" t="inlineStr">
        <is>
          <t>C M · Au M · Ac M · L L · BI M · Exp H · 21.1 yrs vs 2–4 yrs · Edu M · B.Com</t>
        </is>
      </c>
      <c r="X456" s="33" t="inlineStr">
        <is>
          <t>Open ▸</t>
        </is>
      </c>
      <c r="Y456" s="34" t="str">
        <f>IFERROR(INDEX(DL_C,MATCH($CA456,DL_KEY,0)),"M")</f>
        <v>H</v>
      </c>
      <c r="Z456" s="35" t="str">
        <f>IFERROR(INDEX(DL_Au,MATCH($CA456,DL_KEY,0)),"M")</f>
        <v>M</v>
      </c>
      <c r="AA456" s="35" t="str">
        <f>IFERROR(INDEX(DL_Ac,MATCH($CA456,DL_KEY,0)),"M")</f>
        <v>M</v>
      </c>
      <c r="AB456" s="35" t="str">
        <f>IFERROR(INDEX(DL_L,MATCH($CA456,DL_KEY,0)),"M")</f>
        <v>L</v>
      </c>
      <c r="AC456" s="35" t="str">
        <f>IFERROR(INDEX(DL_BI,MATCH($CA456,DL_KEY,0)),"M")</f>
        <v>L</v>
      </c>
      <c r="AD456" s="35" t="str">
        <f>IFERROR(INDEX(DL_Exp,MATCH($CA456,DL_KEY,0)),"M")</f>
        <v>L</v>
      </c>
      <c r="AE456" s="35" t="str">
        <f>IFERROR(INDEX(DL_Edu,MATCH($CA456,DL_KEY,0)),"M")</f>
        <v>L</v>
      </c>
      <c r="AF456" s="34" t="inlineStr">
        <is>
          <t>M</t>
        </is>
      </c>
      <c r="AG456" s="35" t="inlineStr">
        <is>
          <t>M</t>
        </is>
      </c>
      <c r="AH456" s="35" t="inlineStr">
        <is>
          <t>M</t>
        </is>
      </c>
      <c r="AI456" s="35" t="inlineStr">
        <is>
          <t>M</t>
        </is>
      </c>
      <c r="AJ456" s="35" t="inlineStr">
        <is>
          <t>M</t>
        </is>
      </c>
      <c r="AK456" s="35" t="inlineStr">
        <is>
          <t>M</t>
        </is>
      </c>
      <c r="AL456" s="35" t="inlineStr">
        <is>
          <t>M</t>
        </is>
      </c>
      <c r="AM456" s="36" t="n">
        <v>0.583</v>
      </c>
      <c r="AN456" s="37" t="n">
        <v>0.16</v>
      </c>
      <c r="AO456" s="37" t="n">
        <v>0.09</v>
      </c>
      <c r="AP456" s="37" t="n">
        <v>0</v>
      </c>
      <c r="AQ456" s="37" t="n">
        <v>0.063</v>
      </c>
      <c r="AR456" s="37" t="n">
        <v>0.06</v>
      </c>
      <c r="AS456" s="37" t="n">
        <v>0.04</v>
      </c>
      <c r="AT456" s="38" t="inlineStr">
        <is>
          <t>2–5</t>
        </is>
      </c>
      <c r="AU456" s="38" t="inlineStr">
        <is>
          <t>Graduate; relevant certification preferred</t>
        </is>
      </c>
      <c r="AV456" s="38" t="inlineStr">
        <is>
          <t>None · guides 1–3 juniors informally</t>
        </is>
      </c>
      <c r="AW456" s="38" t="inlineStr">
        <is>
          <t>P2 · SFIA 3 Apply</t>
        </is>
      </c>
      <c r="AX4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6" s="39" t="inlineStr">
        <is>
          <t>A3</t>
        </is>
      </c>
      <c r="AZ456" s="40" t="inlineStr">
        <is>
          <t>Band A · Practitioner · Senior Associate</t>
        </is>
      </c>
      <c r="BA456" s="40" t="inlineStr">
        <is>
          <t>Model A3 from the six ratings, the market-derived weights and rules R1–R13 · then No change · already below the manager</t>
        </is>
      </c>
      <c r="BB456" s="41" t="inlineStr">
        <is>
          <t>A3</t>
        </is>
      </c>
      <c r="BC456" s="40" t="inlineStr">
        <is>
          <t>The six ratings on the market-average weights of Band A · all tracks score 3.25 → A3 · Hay, Mercer IPE and public plans · experience 21.1 yrs vs the A3 market range 2–5</t>
        </is>
      </c>
      <c r="BD456" s="42">
        <f>IF(SUM(BM456,BN456,BO456,BP456,BQ456,BR456,BS456)=0,0,(BM456*BT456+BN456*BU456+BO456*BV456+BP456*BW456+BQ456*BX456+BR456*BY456+BS456*BZ456)/SUM(BM456,BN456,BO456,BP456,BQ456,BR456,BS456))</f>
        <v>0</v>
      </c>
      <c r="BE456" s="41" t="str">
        <f>IF(LEFT(AY456,1)="X",AY456,IF(OR(AY456="B+",AY456="C+"),INDEX(LAD_PC,MAX(1,MIN(14,MATCH(AY456,LAD_PC,0)+IF(BD456&gt;=0.5,1,IF(BD456&lt;=-0.5,-1,0))))),INDEX(LAD_STD,MAX(1,MIN(12,MATCH(AY456,LAD_STD,0)+IF(BD456&gt;=0.5,1,IF(BD456&lt;=-0.5,-1,0)))))))</f>
        <v>A3</v>
      </c>
      <c r="BF456" s="43" t="n"/>
      <c r="BG456" s="41" t="str">
        <f>IF(BF456&lt;&gt;"",BF456,BE456)</f>
        <v>A3</v>
      </c>
      <c r="BH456" s="40" t="str">
        <f>IFERROR(CHOOSE(INDEX(B_RANK,MATCH(BG456,B_LVL,0)),"Band A","Band B","B+ · Player-Coach","Band C","C+ · Player-Coach","Band D","Band E"),"Band X · Consultant")</f>
        <v>Band A</v>
      </c>
      <c r="BI456" s="40" t="str">
        <f>IF(BG456=AY456,"• Same",IF(INDEX(B_VAL,MATCH(BG456,B_LVL,0))&gt;INDEX(B_VAL,MATCH(AY456,B_LVL,0)),"▲ Up","▼ Down"))</f>
        <v>• Same</v>
      </c>
      <c r="BJ456" s="40" t="str">
        <f>IF(OR($M456="",$M456="—",$M456="Not in this file"),"",IFERROR(INDEX($BG$7:$BG$592,MATCH($M456,$D$7:$D$592,0)),""))</f>
        <v>B2</v>
      </c>
      <c r="BK456" s="40" t="str">
        <f>IFERROR(IF(BJ456="","—",IF(OR(LEFT(BG456,1)="X",LEFT(BJ456,1)="X"),"—",IF(AND(LEFT(BG456,1)="E",LEFT(BJ456,1)="E"),"Exception · Band E",IF(AND(INDEX(B_VAL,MATCH(BJ456,B_LVL,0))&gt;=7,INDEX(B_RANK,MATCH(BG456,B_LVL,0))&gt;=INDEX(B_RANK,MATCH(BJ456,B_LVL,0))),"⚠ Same band as a head manager",IF(INDEX(B_VAL,MATCH(BG456,B_LVL,0))&gt;=INDEX(B_VAL,MATCH(BJ456,B_LVL,0)),"⚠ At or above the manager's level","OK"))))),"—")</f>
        <v>OK</v>
      </c>
      <c r="BL456" s="43" t="n"/>
      <c r="BM456" s="44">
        <f>IFERROR(INDEX(LMH_PTS,MATCH(Y456,LMH_KEY,0)),0)</f>
        <v>9</v>
      </c>
      <c r="BN456" s="38">
        <f>IFERROR(INDEX(LMH_PTS,MATCH(Z456,LMH_KEY,0)),0)</f>
        <v>3</v>
      </c>
      <c r="BO456" s="38">
        <f>IFERROR(INDEX(LMH_PTS,MATCH(AA456,LMH_KEY,0)),0)</f>
        <v>3</v>
      </c>
      <c r="BP456" s="38">
        <f>IFERROR(INDEX(LMH_PTS,MATCH(AB456,LMH_KEY,0)),0)</f>
        <v>1</v>
      </c>
      <c r="BQ456" s="38">
        <f>IFERROR(INDEX(LMH_PTS,MATCH(AC456,LMH_KEY,0)),0)</f>
        <v>1</v>
      </c>
      <c r="BR456" s="38">
        <f>IFERROR(INDEX(LMH_PTS,MATCH(AD456,LMH_KEY,0)),0)</f>
        <v>1</v>
      </c>
      <c r="BS456" s="38">
        <f>IFERROR(INDEX(LMH_PTS,MATCH(AE456,LMH_KEY,0)),0)</f>
        <v>1</v>
      </c>
      <c r="BT456" s="38">
        <f>IFERROR(INDEX(LMH_STEP,MATCH(AF456,LMH_KEY,0)),0)</f>
        <v>0</v>
      </c>
      <c r="BU456" s="38">
        <f>IFERROR(INDEX(LMH_STEP,MATCH(AG456,LMH_KEY,0)),0)</f>
        <v>0</v>
      </c>
      <c r="BV456" s="38">
        <f>IFERROR(INDEX(LMH_STEP,MATCH(AH456,LMH_KEY,0)),0)</f>
        <v>0</v>
      </c>
      <c r="BW456" s="38">
        <f>IFERROR(INDEX(LMH_STEP,MATCH(AI456,LMH_KEY,0)),0)</f>
        <v>0</v>
      </c>
      <c r="BX456" s="38">
        <f>IFERROR(INDEX(LMH_STEP,MATCH(AJ456,LMH_KEY,0)),0)</f>
        <v>0</v>
      </c>
      <c r="BY456" s="38">
        <f>IFERROR(INDEX(LMH_STEP,MATCH(AK456,LMH_KEY,0)),0)</f>
        <v>0</v>
      </c>
      <c r="BZ456" s="38">
        <f>IFERROR(INDEX(LMH_STEP,MATCH(AL456,LMH_KEY,0)),0)</f>
        <v>0</v>
      </c>
      <c r="CA456" s="38" t="inlineStr">
        <is>
          <t>iFile|XBRL Consulting|Senior Taxonomy Analyst|A3|A</t>
        </is>
      </c>
    </row>
    <row r="457" ht="110" customHeight="1">
      <c r="A457" s="28" t="inlineStr">
        <is>
          <t>iFile</t>
        </is>
      </c>
      <c r="B457" s="29" t="inlineStr">
        <is>
          <t>XBRL Consulting</t>
        </is>
      </c>
      <c r="C457" s="29" t="n">
        <v>2</v>
      </c>
      <c r="D457" s="29" t="inlineStr">
        <is>
          <t>IRIS1063</t>
        </is>
      </c>
      <c r="E457" s="29" t="inlineStr">
        <is>
          <t>Vishram Modak</t>
        </is>
      </c>
      <c r="F457" s="29" t="inlineStr">
        <is>
          <t>Senior consultant</t>
        </is>
      </c>
      <c r="G457" s="29" t="inlineStr">
        <is>
          <t>Senior Taxonomy Specialist</t>
        </is>
      </c>
      <c r="H457" s="29" t="inlineStr">
        <is>
          <t>Consulting &amp; Professional Services</t>
        </is>
      </c>
      <c r="I457" s="29" t="inlineStr">
        <is>
          <t>Taxonomy Design &amp; Regulatory Consulting</t>
        </is>
      </c>
      <c r="J457" s="29" t="inlineStr">
        <is>
          <t>IC</t>
        </is>
      </c>
      <c r="K457" s="29" t="inlineStr">
        <is>
          <t>RC-021</t>
        </is>
      </c>
      <c r="L457" s="29" t="inlineStr">
        <is>
          <t>Rahul Dhamne</t>
        </is>
      </c>
      <c r="M457" s="29" t="inlineStr">
        <is>
          <t>IRIS0362</t>
        </is>
      </c>
      <c r="N457" s="29" t="n">
        <v>22.2</v>
      </c>
      <c r="O457" s="29" t="n">
        <v>14.5</v>
      </c>
      <c r="P457" s="29" t="inlineStr">
        <is>
          <t>CA</t>
        </is>
      </c>
      <c r="Q457" s="29" t="inlineStr">
        <is>
          <t>L4 – Senior</t>
        </is>
      </c>
      <c r="R457" s="29" t="inlineStr">
        <is>
          <t>B2</t>
        </is>
      </c>
      <c r="S457" s="30" t="inlineStr">
        <is>
          <t>20 of 20</t>
        </is>
      </c>
      <c r="T457" s="31"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t>
        </is>
      </c>
      <c r="U457"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7" s="31" t="inlineStr">
        <is>
          <t>Latest rating: 3 · Potential: Medium · 9-box: Reliable Specialist · Readiness: Develop in role</t>
        </is>
      </c>
      <c r="W457" s="31" t="inlineStr">
        <is>
          <t>C M · Au M · Ac M · L L · BI M · Exp H · 22.2 yrs vs 6–9 yrs · Edu H · CA</t>
        </is>
      </c>
      <c r="X457" s="33" t="inlineStr">
        <is>
          <t>Open ▸</t>
        </is>
      </c>
      <c r="Y457" s="34" t="str">
        <f>IFERROR(INDEX(DL_C,MATCH($CA457,DL_KEY,0)),"M")</f>
        <v>H</v>
      </c>
      <c r="Z457" s="35" t="str">
        <f>IFERROR(INDEX(DL_Au,MATCH($CA457,DL_KEY,0)),"M")</f>
        <v>M</v>
      </c>
      <c r="AA457" s="35" t="str">
        <f>IFERROR(INDEX(DL_Ac,MATCH($CA457,DL_KEY,0)),"M")</f>
        <v>M</v>
      </c>
      <c r="AB457" s="35" t="str">
        <f>IFERROR(INDEX(DL_L,MATCH($CA457,DL_KEY,0)),"M")</f>
        <v>L</v>
      </c>
      <c r="AC457" s="35" t="str">
        <f>IFERROR(INDEX(DL_BI,MATCH($CA457,DL_KEY,0)),"M")</f>
        <v>L</v>
      </c>
      <c r="AD457" s="35" t="str">
        <f>IFERROR(INDEX(DL_Exp,MATCH($CA457,DL_KEY,0)),"M")</f>
        <v>L</v>
      </c>
      <c r="AE457" s="35" t="str">
        <f>IFERROR(INDEX(DL_Edu,MATCH($CA457,DL_KEY,0)),"M")</f>
        <v>L</v>
      </c>
      <c r="AF457" s="34" t="inlineStr">
        <is>
          <t>M</t>
        </is>
      </c>
      <c r="AG457" s="35" t="inlineStr">
        <is>
          <t>M</t>
        </is>
      </c>
      <c r="AH457" s="35" t="inlineStr">
        <is>
          <t>M</t>
        </is>
      </c>
      <c r="AI457" s="35" t="inlineStr">
        <is>
          <t>M</t>
        </is>
      </c>
      <c r="AJ457" s="35" t="inlineStr">
        <is>
          <t>M</t>
        </is>
      </c>
      <c r="AK457" s="35" t="inlineStr">
        <is>
          <t>M</t>
        </is>
      </c>
      <c r="AL457" s="35" t="inlineStr">
        <is>
          <t>M</t>
        </is>
      </c>
      <c r="AM457" s="36" t="n">
        <v>0.513</v>
      </c>
      <c r="AN457" s="37" t="n">
        <v>0.173</v>
      </c>
      <c r="AO457" s="37" t="n">
        <v>0.09699999999999999</v>
      </c>
      <c r="AP457" s="37" t="n">
        <v>0.05</v>
      </c>
      <c r="AQ457" s="37" t="n">
        <v>0.07000000000000001</v>
      </c>
      <c r="AR457" s="37" t="n">
        <v>0.06</v>
      </c>
      <c r="AS457" s="37" t="n">
        <v>0.04</v>
      </c>
      <c r="AT457" s="38" t="inlineStr">
        <is>
          <t>6–10</t>
        </is>
      </c>
      <c r="AU457" s="38" t="inlineStr">
        <is>
          <t>Graduate or postgraduate; professional qualification preferred</t>
        </is>
      </c>
      <c r="AV457" s="38" t="inlineStr">
        <is>
          <t>IC: none · People: 6–8 knowledge work, 8–12 standardised delivery</t>
        </is>
      </c>
      <c r="AW457" s="38" t="inlineStr">
        <is>
          <t>P4 / M3 · SFIA 4–5</t>
        </is>
      </c>
      <c r="AX4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7" s="39" t="inlineStr">
        <is>
          <t>B2</t>
        </is>
      </c>
      <c r="AZ457" s="40" t="inlineStr">
        <is>
          <t>Band B · Specialist / Manager · Senior Specialist</t>
        </is>
      </c>
      <c r="BA457" s="40" t="inlineStr">
        <is>
          <t>Model B2 from the six ratings, the market-derived weights and rules R1–R13 · then No change · already below the manager</t>
        </is>
      </c>
      <c r="BB457" s="41" t="inlineStr">
        <is>
          <t>B2</t>
        </is>
      </c>
      <c r="BC457" s="40" t="inlineStr">
        <is>
          <t>The six ratings on the market-average weights of Band B · Specialist / POD Lead score 5.15 → B2 · Hay, Mercer IPE and public plans · experience 22.2 yrs vs the B2 market range 6–10</t>
        </is>
      </c>
      <c r="BD457" s="42">
        <f>IF(SUM(BM457,BN457,BO457,BP457,BQ457,BR457,BS457)=0,0,(BM457*BT457+BN457*BU457+BO457*BV457+BP457*BW457+BQ457*BX457+BR457*BY457+BS457*BZ457)/SUM(BM457,BN457,BO457,BP457,BQ457,BR457,BS457))</f>
        <v>0</v>
      </c>
      <c r="BE457" s="41" t="str">
        <f>IF(LEFT(AY457,1)="X",AY457,IF(OR(AY457="B+",AY457="C+"),INDEX(LAD_PC,MAX(1,MIN(14,MATCH(AY457,LAD_PC,0)+IF(BD457&gt;=0.5,1,IF(BD457&lt;=-0.5,-1,0))))),INDEX(LAD_STD,MAX(1,MIN(12,MATCH(AY457,LAD_STD,0)+IF(BD457&gt;=0.5,1,IF(BD457&lt;=-0.5,-1,0)))))))</f>
        <v>B2</v>
      </c>
      <c r="BF457" s="43" t="n"/>
      <c r="BG457" s="41" t="str">
        <f>IF(BF457&lt;&gt;"",BF457,BE457)</f>
        <v>B2</v>
      </c>
      <c r="BH457" s="40" t="str">
        <f>IFERROR(CHOOSE(INDEX(B_RANK,MATCH(BG457,B_LVL,0)),"Band A","Band B","B+ · Player-Coach","Band C","C+ · Player-Coach","Band D","Band E"),"Band X · Consultant")</f>
        <v>Band B</v>
      </c>
      <c r="BI457" s="40" t="str">
        <f>IF(BG457=AY457,"• Same",IF(INDEX(B_VAL,MATCH(BG457,B_LVL,0))&gt;INDEX(B_VAL,MATCH(AY457,B_LVL,0)),"▲ Up","▼ Down"))</f>
        <v>• Same</v>
      </c>
      <c r="BJ457" s="40" t="str">
        <f>IF(OR($M457="",$M457="—",$M457="Not in this file"),"",IFERROR(INDEX($BG$7:$BG$592,MATCH($M457,$D$7:$D$592,0)),""))</f>
        <v>C2</v>
      </c>
      <c r="BK457" s="40" t="str">
        <f>IFERROR(IF(BJ457="","—",IF(OR(LEFT(BG457,1)="X",LEFT(BJ457,1)="X"),"—",IF(AND(LEFT(BG457,1)="E",LEFT(BJ457,1)="E"),"Exception · Band E",IF(AND(INDEX(B_VAL,MATCH(BJ457,B_LVL,0))&gt;=7,INDEX(B_RANK,MATCH(BG457,B_LVL,0))&gt;=INDEX(B_RANK,MATCH(BJ457,B_LVL,0))),"⚠ Same band as a head manager",IF(INDEX(B_VAL,MATCH(BG457,B_LVL,0))&gt;=INDEX(B_VAL,MATCH(BJ457,B_LVL,0)),"⚠ At or above the manager's level","OK"))))),"—")</f>
        <v>OK</v>
      </c>
      <c r="BL457" s="43" t="n"/>
      <c r="BM457" s="44">
        <f>IFERROR(INDEX(LMH_PTS,MATCH(Y457,LMH_KEY,0)),0)</f>
        <v>9</v>
      </c>
      <c r="BN457" s="38">
        <f>IFERROR(INDEX(LMH_PTS,MATCH(Z457,LMH_KEY,0)),0)</f>
        <v>3</v>
      </c>
      <c r="BO457" s="38">
        <f>IFERROR(INDEX(LMH_PTS,MATCH(AA457,LMH_KEY,0)),0)</f>
        <v>3</v>
      </c>
      <c r="BP457" s="38">
        <f>IFERROR(INDEX(LMH_PTS,MATCH(AB457,LMH_KEY,0)),0)</f>
        <v>1</v>
      </c>
      <c r="BQ457" s="38">
        <f>IFERROR(INDEX(LMH_PTS,MATCH(AC457,LMH_KEY,0)),0)</f>
        <v>1</v>
      </c>
      <c r="BR457" s="38">
        <f>IFERROR(INDEX(LMH_PTS,MATCH(AD457,LMH_KEY,0)),0)</f>
        <v>1</v>
      </c>
      <c r="BS457" s="38">
        <f>IFERROR(INDEX(LMH_PTS,MATCH(AE457,LMH_KEY,0)),0)</f>
        <v>1</v>
      </c>
      <c r="BT457" s="38">
        <f>IFERROR(INDEX(LMH_STEP,MATCH(AF457,LMH_KEY,0)),0)</f>
        <v>0</v>
      </c>
      <c r="BU457" s="38">
        <f>IFERROR(INDEX(LMH_STEP,MATCH(AG457,LMH_KEY,0)),0)</f>
        <v>0</v>
      </c>
      <c r="BV457" s="38">
        <f>IFERROR(INDEX(LMH_STEP,MATCH(AH457,LMH_KEY,0)),0)</f>
        <v>0</v>
      </c>
      <c r="BW457" s="38">
        <f>IFERROR(INDEX(LMH_STEP,MATCH(AI457,LMH_KEY,0)),0)</f>
        <v>0</v>
      </c>
      <c r="BX457" s="38">
        <f>IFERROR(INDEX(LMH_STEP,MATCH(AJ457,LMH_KEY,0)),0)</f>
        <v>0</v>
      </c>
      <c r="BY457" s="38">
        <f>IFERROR(INDEX(LMH_STEP,MATCH(AK457,LMH_KEY,0)),0)</f>
        <v>0</v>
      </c>
      <c r="BZ457" s="38">
        <f>IFERROR(INDEX(LMH_STEP,MATCH(AL457,LMH_KEY,0)),0)</f>
        <v>0</v>
      </c>
      <c r="CA457" s="38" t="inlineStr">
        <is>
          <t>iFile|XBRL Consulting|Senior Taxonomy Specialist|B2|B-IC</t>
        </is>
      </c>
    </row>
    <row r="458" ht="110" customHeight="1">
      <c r="A458" s="28" t="inlineStr">
        <is>
          <t>iFile</t>
        </is>
      </c>
      <c r="B458" s="29" t="inlineStr">
        <is>
          <t>XBRL Consulting</t>
        </is>
      </c>
      <c r="C458" s="29" t="n">
        <v>2</v>
      </c>
      <c r="D458" s="29" t="inlineStr">
        <is>
          <t>IRIS0557</t>
        </is>
      </c>
      <c r="E458" s="29" t="inlineStr">
        <is>
          <t>Shrinidhi Shetty</t>
        </is>
      </c>
      <c r="F458" s="29" t="inlineStr">
        <is>
          <t>Consultant</t>
        </is>
      </c>
      <c r="G458" s="29" t="inlineStr">
        <is>
          <t>Taxonomy Specialist</t>
        </is>
      </c>
      <c r="H458" s="29" t="inlineStr">
        <is>
          <t>Consulting &amp; Professional Services</t>
        </is>
      </c>
      <c r="I458" s="29" t="inlineStr">
        <is>
          <t>Taxonomy Design &amp; Regulatory Consulting</t>
        </is>
      </c>
      <c r="J458" s="29" t="inlineStr">
        <is>
          <t>IC</t>
        </is>
      </c>
      <c r="K458" s="29" t="inlineStr">
        <is>
          <t>RC-020</t>
        </is>
      </c>
      <c r="L458" s="29" t="inlineStr">
        <is>
          <t>Rahul Dhamne</t>
        </is>
      </c>
      <c r="M458" s="29" t="inlineStr">
        <is>
          <t>IRIS0362</t>
        </is>
      </c>
      <c r="N458" s="29" t="n">
        <v>15.8</v>
      </c>
      <c r="O458" s="29" t="n">
        <v>15.8</v>
      </c>
      <c r="P458" s="29" t="inlineStr">
        <is>
          <t>CA</t>
        </is>
      </c>
      <c r="Q458" s="29" t="inlineStr">
        <is>
          <t>L3 – Professional / Associate</t>
        </is>
      </c>
      <c r="R458" s="29" t="inlineStr">
        <is>
          <t>B1</t>
        </is>
      </c>
      <c r="S458" s="30" t="inlineStr">
        <is>
          <t>20 of 20</t>
        </is>
      </c>
      <c r="T458" s="31"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t>
        </is>
      </c>
      <c r="U458"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8" s="31" t="inlineStr">
        <is>
          <t>Latest rating: 3 · Potential: Low · 9-box: Misplaced Talent / Enigma · Readiness: Develop in role</t>
        </is>
      </c>
      <c r="W458" s="31" t="inlineStr">
        <is>
          <t>C M · Au L · Ac L · L L · BI L · Exp H · 15.8 yrs vs 4–7 yrs · Edu H · CA</t>
        </is>
      </c>
      <c r="X458" s="33" t="inlineStr">
        <is>
          <t>Open ▸</t>
        </is>
      </c>
      <c r="Y458" s="34" t="str">
        <f>IFERROR(INDEX(DL_C,MATCH($CA458,DL_KEY,0)),"M")</f>
        <v>H</v>
      </c>
      <c r="Z458" s="35" t="str">
        <f>IFERROR(INDEX(DL_Au,MATCH($CA458,DL_KEY,0)),"M")</f>
        <v>M</v>
      </c>
      <c r="AA458" s="35" t="str">
        <f>IFERROR(INDEX(DL_Ac,MATCH($CA458,DL_KEY,0)),"M")</f>
        <v>M</v>
      </c>
      <c r="AB458" s="35" t="str">
        <f>IFERROR(INDEX(DL_L,MATCH($CA458,DL_KEY,0)),"M")</f>
        <v>L</v>
      </c>
      <c r="AC458" s="35" t="str">
        <f>IFERROR(INDEX(DL_BI,MATCH($CA458,DL_KEY,0)),"M")</f>
        <v>L</v>
      </c>
      <c r="AD458" s="35" t="str">
        <f>IFERROR(INDEX(DL_Exp,MATCH($CA458,DL_KEY,0)),"M")</f>
        <v>L</v>
      </c>
      <c r="AE458" s="35" t="str">
        <f>IFERROR(INDEX(DL_Edu,MATCH($CA458,DL_KEY,0)),"M")</f>
        <v>L</v>
      </c>
      <c r="AF458" s="34" t="inlineStr">
        <is>
          <t>M</t>
        </is>
      </c>
      <c r="AG458" s="35" t="inlineStr">
        <is>
          <t>M</t>
        </is>
      </c>
      <c r="AH458" s="35" t="inlineStr">
        <is>
          <t>M</t>
        </is>
      </c>
      <c r="AI458" s="35" t="inlineStr">
        <is>
          <t>M</t>
        </is>
      </c>
      <c r="AJ458" s="35" t="inlineStr">
        <is>
          <t>M</t>
        </is>
      </c>
      <c r="AK458" s="35" t="inlineStr">
        <is>
          <t>M</t>
        </is>
      </c>
      <c r="AL458" s="35" t="inlineStr">
        <is>
          <t>M</t>
        </is>
      </c>
      <c r="AM458" s="36" t="n">
        <v>0.513</v>
      </c>
      <c r="AN458" s="37" t="n">
        <v>0.173</v>
      </c>
      <c r="AO458" s="37" t="n">
        <v>0.09699999999999999</v>
      </c>
      <c r="AP458" s="37" t="n">
        <v>0.05</v>
      </c>
      <c r="AQ458" s="37" t="n">
        <v>0.07000000000000001</v>
      </c>
      <c r="AR458" s="37" t="n">
        <v>0.06</v>
      </c>
      <c r="AS458" s="37" t="n">
        <v>0.04</v>
      </c>
      <c r="AT458" s="38" t="inlineStr">
        <is>
          <t>4–8</t>
        </is>
      </c>
      <c r="AU458" s="38" t="inlineStr">
        <is>
          <t>Graduate + relevant qualification or certification preferred</t>
        </is>
      </c>
      <c r="AV458" s="38" t="inlineStr">
        <is>
          <t>IC: none · Team Lead: 3–5</t>
        </is>
      </c>
      <c r="AW458" s="38" t="inlineStr">
        <is>
          <t>P3 / M2 · SFIA 4 Enable</t>
        </is>
      </c>
      <c r="AX4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8" s="39" t="inlineStr">
        <is>
          <t>B1</t>
        </is>
      </c>
      <c r="AZ458" s="40" t="inlineStr">
        <is>
          <t>Band B · Specialist / Manager · Specialist</t>
        </is>
      </c>
      <c r="BA458" s="40" t="inlineStr">
        <is>
          <t>Model B1 from the six ratings, the market-derived weights and rules R1–R13 · then No change · already below the manager</t>
        </is>
      </c>
      <c r="BB458" s="41" t="inlineStr">
        <is>
          <t>B1</t>
        </is>
      </c>
      <c r="BC458" s="40" t="inlineStr">
        <is>
          <t>The six ratings on the market-average weights of Band B · Specialist / POD Lead score 3.88 → B1 · Hay, Mercer IPE and public plans · experience 15.8 yrs vs the B1 market range 4–8</t>
        </is>
      </c>
      <c r="BD458" s="42">
        <f>IF(SUM(BM458,BN458,BO458,BP458,BQ458,BR458,BS458)=0,0,(BM458*BT458+BN458*BU458+BO458*BV458+BP458*BW458+BQ458*BX458+BR458*BY458+BS458*BZ458)/SUM(BM458,BN458,BO458,BP458,BQ458,BR458,BS458))</f>
        <v>0</v>
      </c>
      <c r="BE458" s="41" t="str">
        <f>IF(LEFT(AY458,1)="X",AY458,IF(OR(AY458="B+",AY458="C+"),INDEX(LAD_PC,MAX(1,MIN(14,MATCH(AY458,LAD_PC,0)+IF(BD458&gt;=0.5,1,IF(BD458&lt;=-0.5,-1,0))))),INDEX(LAD_STD,MAX(1,MIN(12,MATCH(AY458,LAD_STD,0)+IF(BD458&gt;=0.5,1,IF(BD458&lt;=-0.5,-1,0)))))))</f>
        <v>B1</v>
      </c>
      <c r="BF458" s="43" t="n"/>
      <c r="BG458" s="41" t="str">
        <f>IF(BF458&lt;&gt;"",BF458,BE458)</f>
        <v>B1</v>
      </c>
      <c r="BH458" s="40" t="str">
        <f>IFERROR(CHOOSE(INDEX(B_RANK,MATCH(BG458,B_LVL,0)),"Band A","Band B","B+ · Player-Coach","Band C","C+ · Player-Coach","Band D","Band E"),"Band X · Consultant")</f>
        <v>Band B</v>
      </c>
      <c r="BI458" s="40" t="str">
        <f>IF(BG458=AY458,"• Same",IF(INDEX(B_VAL,MATCH(BG458,B_LVL,0))&gt;INDEX(B_VAL,MATCH(AY458,B_LVL,0)),"▲ Up","▼ Down"))</f>
        <v>• Same</v>
      </c>
      <c r="BJ458" s="40" t="str">
        <f>IF(OR($M458="",$M458="—",$M458="Not in this file"),"",IFERROR(INDEX($BG$7:$BG$592,MATCH($M458,$D$7:$D$592,0)),""))</f>
        <v>C2</v>
      </c>
      <c r="BK458" s="40" t="str">
        <f>IFERROR(IF(BJ458="","—",IF(OR(LEFT(BG458,1)="X",LEFT(BJ458,1)="X"),"—",IF(AND(LEFT(BG458,1)="E",LEFT(BJ458,1)="E"),"Exception · Band E",IF(AND(INDEX(B_VAL,MATCH(BJ458,B_LVL,0))&gt;=7,INDEX(B_RANK,MATCH(BG458,B_LVL,0))&gt;=INDEX(B_RANK,MATCH(BJ458,B_LVL,0))),"⚠ Same band as a head manager",IF(INDEX(B_VAL,MATCH(BG458,B_LVL,0))&gt;=INDEX(B_VAL,MATCH(BJ458,B_LVL,0)),"⚠ At or above the manager's level","OK"))))),"—")</f>
        <v>OK</v>
      </c>
      <c r="BL458" s="43" t="n"/>
      <c r="BM458" s="44">
        <f>IFERROR(INDEX(LMH_PTS,MATCH(Y458,LMH_KEY,0)),0)</f>
        <v>9</v>
      </c>
      <c r="BN458" s="38">
        <f>IFERROR(INDEX(LMH_PTS,MATCH(Z458,LMH_KEY,0)),0)</f>
        <v>3</v>
      </c>
      <c r="BO458" s="38">
        <f>IFERROR(INDEX(LMH_PTS,MATCH(AA458,LMH_KEY,0)),0)</f>
        <v>3</v>
      </c>
      <c r="BP458" s="38">
        <f>IFERROR(INDEX(LMH_PTS,MATCH(AB458,LMH_KEY,0)),0)</f>
        <v>1</v>
      </c>
      <c r="BQ458" s="38">
        <f>IFERROR(INDEX(LMH_PTS,MATCH(AC458,LMH_KEY,0)),0)</f>
        <v>1</v>
      </c>
      <c r="BR458" s="38">
        <f>IFERROR(INDEX(LMH_PTS,MATCH(AD458,LMH_KEY,0)),0)</f>
        <v>1</v>
      </c>
      <c r="BS458" s="38">
        <f>IFERROR(INDEX(LMH_PTS,MATCH(AE458,LMH_KEY,0)),0)</f>
        <v>1</v>
      </c>
      <c r="BT458" s="38">
        <f>IFERROR(INDEX(LMH_STEP,MATCH(AF458,LMH_KEY,0)),0)</f>
        <v>0</v>
      </c>
      <c r="BU458" s="38">
        <f>IFERROR(INDEX(LMH_STEP,MATCH(AG458,LMH_KEY,0)),0)</f>
        <v>0</v>
      </c>
      <c r="BV458" s="38">
        <f>IFERROR(INDEX(LMH_STEP,MATCH(AH458,LMH_KEY,0)),0)</f>
        <v>0</v>
      </c>
      <c r="BW458" s="38">
        <f>IFERROR(INDEX(LMH_STEP,MATCH(AI458,LMH_KEY,0)),0)</f>
        <v>0</v>
      </c>
      <c r="BX458" s="38">
        <f>IFERROR(INDEX(LMH_STEP,MATCH(AJ458,LMH_KEY,0)),0)</f>
        <v>0</v>
      </c>
      <c r="BY458" s="38">
        <f>IFERROR(INDEX(LMH_STEP,MATCH(AK458,LMH_KEY,0)),0)</f>
        <v>0</v>
      </c>
      <c r="BZ458" s="38">
        <f>IFERROR(INDEX(LMH_STEP,MATCH(AL458,LMH_KEY,0)),0)</f>
        <v>0</v>
      </c>
      <c r="CA458" s="38" t="inlineStr">
        <is>
          <t>iFile|XBRL Consulting|Taxonomy Specialist|B1|B-IC</t>
        </is>
      </c>
    </row>
    <row r="459" ht="110" customHeight="1">
      <c r="A459" s="28" t="inlineStr">
        <is>
          <t>iFile</t>
        </is>
      </c>
      <c r="B459" s="29" t="inlineStr">
        <is>
          <t>XBRL Consulting</t>
        </is>
      </c>
      <c r="C459" s="29" t="n">
        <v>2</v>
      </c>
      <c r="D459" s="29" t="inlineStr">
        <is>
          <t>IRIS2045</t>
        </is>
      </c>
      <c r="E459" s="29" t="inlineStr">
        <is>
          <t>Bhagyashree Kamble</t>
        </is>
      </c>
      <c r="F459" s="29" t="inlineStr">
        <is>
          <t>Analyst</t>
        </is>
      </c>
      <c r="G459" s="29" t="inlineStr">
        <is>
          <t>Senior Taxonomy Analyst</t>
        </is>
      </c>
      <c r="H459" s="29" t="inlineStr">
        <is>
          <t>Consulting &amp; Professional Services</t>
        </is>
      </c>
      <c r="I459" s="29" t="inlineStr">
        <is>
          <t>Taxonomy Design &amp; Regulatory Consulting</t>
        </is>
      </c>
      <c r="J459" s="29" t="inlineStr">
        <is>
          <t>IC</t>
        </is>
      </c>
      <c r="K459" s="29" t="inlineStr">
        <is>
          <t>RC-019</t>
        </is>
      </c>
      <c r="L459" s="29" t="inlineStr">
        <is>
          <t>Rahul Dhamne</t>
        </is>
      </c>
      <c r="M459" s="29" t="inlineStr">
        <is>
          <t>IRIS0362</t>
        </is>
      </c>
      <c r="N459" s="29" t="n">
        <v>5.5</v>
      </c>
      <c r="O459" s="29" t="n">
        <v>4.2</v>
      </c>
      <c r="P459" s="29" t="inlineStr">
        <is>
          <t>B.Com</t>
        </is>
      </c>
      <c r="Q459" s="29" t="inlineStr">
        <is>
          <t>L3 – Professional / Associate</t>
        </is>
      </c>
      <c r="R459" s="29" t="inlineStr">
        <is>
          <t>A3</t>
        </is>
      </c>
      <c r="S459" s="30" t="inlineStr">
        <is>
          <t>20 of 20</t>
        </is>
      </c>
      <c r="T459" s="31"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t>
        </is>
      </c>
      <c r="U459"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9" s="31" t="inlineStr">
        <is>
          <t>Latest rating: 2 · Potential: Medium · 9-box: Reliable Specialist · Readiness: Performance first</t>
        </is>
      </c>
      <c r="W459" s="31" t="inlineStr">
        <is>
          <t>C M · Au L · Ac L · L L · BI L · Exp H · 5.5 yrs vs 2–4 yrs · Edu M · B.Com</t>
        </is>
      </c>
      <c r="X459" s="33" t="inlineStr">
        <is>
          <t>Open ▸</t>
        </is>
      </c>
      <c r="Y459" s="34" t="str">
        <f>IFERROR(INDEX(DL_C,MATCH($CA459,DL_KEY,0)),"M")</f>
        <v>H</v>
      </c>
      <c r="Z459" s="35" t="str">
        <f>IFERROR(INDEX(DL_Au,MATCH($CA459,DL_KEY,0)),"M")</f>
        <v>M</v>
      </c>
      <c r="AA459" s="35" t="str">
        <f>IFERROR(INDEX(DL_Ac,MATCH($CA459,DL_KEY,0)),"M")</f>
        <v>M</v>
      </c>
      <c r="AB459" s="35" t="str">
        <f>IFERROR(INDEX(DL_L,MATCH($CA459,DL_KEY,0)),"M")</f>
        <v>L</v>
      </c>
      <c r="AC459" s="35" t="str">
        <f>IFERROR(INDEX(DL_BI,MATCH($CA459,DL_KEY,0)),"M")</f>
        <v>L</v>
      </c>
      <c r="AD459" s="35" t="str">
        <f>IFERROR(INDEX(DL_Exp,MATCH($CA459,DL_KEY,0)),"M")</f>
        <v>L</v>
      </c>
      <c r="AE459" s="35" t="str">
        <f>IFERROR(INDEX(DL_Edu,MATCH($CA459,DL_KEY,0)),"M")</f>
        <v>L</v>
      </c>
      <c r="AF459" s="34" t="inlineStr">
        <is>
          <t>M</t>
        </is>
      </c>
      <c r="AG459" s="35" t="inlineStr">
        <is>
          <t>M</t>
        </is>
      </c>
      <c r="AH459" s="35" t="inlineStr">
        <is>
          <t>M</t>
        </is>
      </c>
      <c r="AI459" s="35" t="inlineStr">
        <is>
          <t>M</t>
        </is>
      </c>
      <c r="AJ459" s="35" t="inlineStr">
        <is>
          <t>M</t>
        </is>
      </c>
      <c r="AK459" s="35" t="inlineStr">
        <is>
          <t>M</t>
        </is>
      </c>
      <c r="AL459" s="35" t="inlineStr">
        <is>
          <t>M</t>
        </is>
      </c>
      <c r="AM459" s="36" t="n">
        <v>0.583</v>
      </c>
      <c r="AN459" s="37" t="n">
        <v>0.16</v>
      </c>
      <c r="AO459" s="37" t="n">
        <v>0.09</v>
      </c>
      <c r="AP459" s="37" t="n">
        <v>0</v>
      </c>
      <c r="AQ459" s="37" t="n">
        <v>0.063</v>
      </c>
      <c r="AR459" s="37" t="n">
        <v>0.06</v>
      </c>
      <c r="AS459" s="37" t="n">
        <v>0.04</v>
      </c>
      <c r="AT459" s="38" t="inlineStr">
        <is>
          <t>2–5</t>
        </is>
      </c>
      <c r="AU459" s="38" t="inlineStr">
        <is>
          <t>Graduate; relevant certification preferred</t>
        </is>
      </c>
      <c r="AV459" s="38" t="inlineStr">
        <is>
          <t>None · guides 1–3 juniors informally</t>
        </is>
      </c>
      <c r="AW459" s="38" t="inlineStr">
        <is>
          <t>P2 · SFIA 3 Apply</t>
        </is>
      </c>
      <c r="AX4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9" s="39" t="inlineStr">
        <is>
          <t>A3</t>
        </is>
      </c>
      <c r="AZ459" s="40" t="inlineStr">
        <is>
          <t>Band A · Practitioner · Senior Associate</t>
        </is>
      </c>
      <c r="BA459" s="40" t="inlineStr">
        <is>
          <t>Model A3 from the six ratings, the market-derived weights and rules R1–R13 · then No change · already below the manager</t>
        </is>
      </c>
      <c r="BB459" s="41" t="inlineStr">
        <is>
          <t>A2</t>
        </is>
      </c>
      <c r="BC459" s="40" t="inlineStr">
        <is>
          <t>The six ratings on the market-average weights of Band A · all tracks score 2.49 → A2 · Hay, Mercer IPE and public plans · experience 5.5 yrs vs the A2 market range 0–3</t>
        </is>
      </c>
      <c r="BD459" s="42">
        <f>IF(SUM(BM459,BN459,BO459,BP459,BQ459,BR459,BS459)=0,0,(BM459*BT459+BN459*BU459+BO459*BV459+BP459*BW459+BQ459*BX459+BR459*BY459+BS459*BZ459)/SUM(BM459,BN459,BO459,BP459,BQ459,BR459,BS459))</f>
        <v>0</v>
      </c>
      <c r="BE459" s="41" t="str">
        <f>IF(LEFT(AY459,1)="X",AY459,IF(OR(AY459="B+",AY459="C+"),INDEX(LAD_PC,MAX(1,MIN(14,MATCH(AY459,LAD_PC,0)+IF(BD459&gt;=0.5,1,IF(BD459&lt;=-0.5,-1,0))))),INDEX(LAD_STD,MAX(1,MIN(12,MATCH(AY459,LAD_STD,0)+IF(BD459&gt;=0.5,1,IF(BD459&lt;=-0.5,-1,0)))))))</f>
        <v>A3</v>
      </c>
      <c r="BF459" s="43" t="n"/>
      <c r="BG459" s="41" t="str">
        <f>IF(BF459&lt;&gt;"",BF459,BE459)</f>
        <v>A3</v>
      </c>
      <c r="BH459" s="40" t="str">
        <f>IFERROR(CHOOSE(INDEX(B_RANK,MATCH(BG459,B_LVL,0)),"Band A","Band B","B+ · Player-Coach","Band C","C+ · Player-Coach","Band D","Band E"),"Band X · Consultant")</f>
        <v>Band A</v>
      </c>
      <c r="BI459" s="40" t="str">
        <f>IF(BG459=AY459,"• Same",IF(INDEX(B_VAL,MATCH(BG459,B_LVL,0))&gt;INDEX(B_VAL,MATCH(AY459,B_LVL,0)),"▲ Up","▼ Down"))</f>
        <v>• Same</v>
      </c>
      <c r="BJ459" s="40" t="str">
        <f>IF(OR($M459="",$M459="—",$M459="Not in this file"),"",IFERROR(INDEX($BG$7:$BG$592,MATCH($M459,$D$7:$D$592,0)),""))</f>
        <v>C2</v>
      </c>
      <c r="BK459" s="40" t="str">
        <f>IFERROR(IF(BJ459="","—",IF(OR(LEFT(BG459,1)="X",LEFT(BJ459,1)="X"),"—",IF(AND(LEFT(BG459,1)="E",LEFT(BJ459,1)="E"),"Exception · Band E",IF(AND(INDEX(B_VAL,MATCH(BJ459,B_LVL,0))&gt;=7,INDEX(B_RANK,MATCH(BG459,B_LVL,0))&gt;=INDEX(B_RANK,MATCH(BJ459,B_LVL,0))),"⚠ Same band as a head manager",IF(INDEX(B_VAL,MATCH(BG459,B_LVL,0))&gt;=INDEX(B_VAL,MATCH(BJ459,B_LVL,0)),"⚠ At or above the manager's level","OK"))))),"—")</f>
        <v>OK</v>
      </c>
      <c r="BL459" s="43" t="n"/>
      <c r="BM459" s="44">
        <f>IFERROR(INDEX(LMH_PTS,MATCH(Y459,LMH_KEY,0)),0)</f>
        <v>9</v>
      </c>
      <c r="BN459" s="38">
        <f>IFERROR(INDEX(LMH_PTS,MATCH(Z459,LMH_KEY,0)),0)</f>
        <v>3</v>
      </c>
      <c r="BO459" s="38">
        <f>IFERROR(INDEX(LMH_PTS,MATCH(AA459,LMH_KEY,0)),0)</f>
        <v>3</v>
      </c>
      <c r="BP459" s="38">
        <f>IFERROR(INDEX(LMH_PTS,MATCH(AB459,LMH_KEY,0)),0)</f>
        <v>1</v>
      </c>
      <c r="BQ459" s="38">
        <f>IFERROR(INDEX(LMH_PTS,MATCH(AC459,LMH_KEY,0)),0)</f>
        <v>1</v>
      </c>
      <c r="BR459" s="38">
        <f>IFERROR(INDEX(LMH_PTS,MATCH(AD459,LMH_KEY,0)),0)</f>
        <v>1</v>
      </c>
      <c r="BS459" s="38">
        <f>IFERROR(INDEX(LMH_PTS,MATCH(AE459,LMH_KEY,0)),0)</f>
        <v>1</v>
      </c>
      <c r="BT459" s="38">
        <f>IFERROR(INDEX(LMH_STEP,MATCH(AF459,LMH_KEY,0)),0)</f>
        <v>0</v>
      </c>
      <c r="BU459" s="38">
        <f>IFERROR(INDEX(LMH_STEP,MATCH(AG459,LMH_KEY,0)),0)</f>
        <v>0</v>
      </c>
      <c r="BV459" s="38">
        <f>IFERROR(INDEX(LMH_STEP,MATCH(AH459,LMH_KEY,0)),0)</f>
        <v>0</v>
      </c>
      <c r="BW459" s="38">
        <f>IFERROR(INDEX(LMH_STEP,MATCH(AI459,LMH_KEY,0)),0)</f>
        <v>0</v>
      </c>
      <c r="BX459" s="38">
        <f>IFERROR(INDEX(LMH_STEP,MATCH(AJ459,LMH_KEY,0)),0)</f>
        <v>0</v>
      </c>
      <c r="BY459" s="38">
        <f>IFERROR(INDEX(LMH_STEP,MATCH(AK459,LMH_KEY,0)),0)</f>
        <v>0</v>
      </c>
      <c r="BZ459" s="38">
        <f>IFERROR(INDEX(LMH_STEP,MATCH(AL459,LMH_KEY,0)),0)</f>
        <v>0</v>
      </c>
      <c r="CA459" s="38" t="inlineStr">
        <is>
          <t>iFile|XBRL Consulting|Senior Taxonomy Analyst|A3|A</t>
        </is>
      </c>
    </row>
    <row r="460" ht="110" customHeight="1">
      <c r="A460" s="28" t="inlineStr">
        <is>
          <t>iFile</t>
        </is>
      </c>
      <c r="B460" s="29" t="inlineStr">
        <is>
          <t>XBRL Consulting</t>
        </is>
      </c>
      <c r="C460" s="29" t="n">
        <v>2</v>
      </c>
      <c r="D460" s="29" t="inlineStr">
        <is>
          <t>IRIS0617</t>
        </is>
      </c>
      <c r="E460" s="29" t="inlineStr">
        <is>
          <t>Bhakti Gosavi</t>
        </is>
      </c>
      <c r="F460" s="29" t="inlineStr">
        <is>
          <t>Analyst</t>
        </is>
      </c>
      <c r="G460" s="29" t="inlineStr">
        <is>
          <t>Senior Taxonomy Analyst</t>
        </is>
      </c>
      <c r="H460" s="29" t="inlineStr">
        <is>
          <t>Consulting &amp; Professional Services</t>
        </is>
      </c>
      <c r="I460" s="29" t="inlineStr">
        <is>
          <t>Taxonomy Design &amp; Regulatory Consulting</t>
        </is>
      </c>
      <c r="J460" s="29" t="inlineStr">
        <is>
          <t>IC</t>
        </is>
      </c>
      <c r="K460" s="29" t="inlineStr">
        <is>
          <t>RC-019</t>
        </is>
      </c>
      <c r="L460" s="29" t="inlineStr">
        <is>
          <t>Rahul Dhamne</t>
        </is>
      </c>
      <c r="M460" s="29" t="inlineStr">
        <is>
          <t>IRIS0362</t>
        </is>
      </c>
      <c r="N460" s="29" t="n">
        <v>15.4</v>
      </c>
      <c r="O460" s="29" t="n">
        <v>15.4</v>
      </c>
      <c r="P460" s="29" t="inlineStr">
        <is>
          <t>M.Com</t>
        </is>
      </c>
      <c r="Q460" s="29" t="inlineStr">
        <is>
          <t>L3 – Professional / Associate</t>
        </is>
      </c>
      <c r="R460" s="29" t="inlineStr">
        <is>
          <t>A3</t>
        </is>
      </c>
      <c r="S460" s="30" t="inlineStr">
        <is>
          <t>20 of 20</t>
        </is>
      </c>
      <c r="T460" s="31"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t>
        </is>
      </c>
      <c r="U460"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0" s="31" t="inlineStr">
        <is>
          <t>Latest rating: 2 · Potential: Medium · 9-box: Reliable Specialist · Readiness: Performance first</t>
        </is>
      </c>
      <c r="W460" s="31" t="inlineStr">
        <is>
          <t>C L · Au L · Ac L · L L · BI L · Exp H · 15.4 yrs vs 2–4 yrs · Edu H · M.Com</t>
        </is>
      </c>
      <c r="X460" s="33" t="inlineStr">
        <is>
          <t>Open ▸</t>
        </is>
      </c>
      <c r="Y460" s="34" t="str">
        <f>IFERROR(INDEX(DL_C,MATCH($CA460,DL_KEY,0)),"M")</f>
        <v>H</v>
      </c>
      <c r="Z460" s="35" t="str">
        <f>IFERROR(INDEX(DL_Au,MATCH($CA460,DL_KEY,0)),"M")</f>
        <v>M</v>
      </c>
      <c r="AA460" s="35" t="str">
        <f>IFERROR(INDEX(DL_Ac,MATCH($CA460,DL_KEY,0)),"M")</f>
        <v>M</v>
      </c>
      <c r="AB460" s="35" t="str">
        <f>IFERROR(INDEX(DL_L,MATCH($CA460,DL_KEY,0)),"M")</f>
        <v>L</v>
      </c>
      <c r="AC460" s="35" t="str">
        <f>IFERROR(INDEX(DL_BI,MATCH($CA460,DL_KEY,0)),"M")</f>
        <v>L</v>
      </c>
      <c r="AD460" s="35" t="str">
        <f>IFERROR(INDEX(DL_Exp,MATCH($CA460,DL_KEY,0)),"M")</f>
        <v>L</v>
      </c>
      <c r="AE460" s="35" t="str">
        <f>IFERROR(INDEX(DL_Edu,MATCH($CA460,DL_KEY,0)),"M")</f>
        <v>L</v>
      </c>
      <c r="AF460" s="34" t="inlineStr">
        <is>
          <t>M</t>
        </is>
      </c>
      <c r="AG460" s="35" t="inlineStr">
        <is>
          <t>M</t>
        </is>
      </c>
      <c r="AH460" s="35" t="inlineStr">
        <is>
          <t>M</t>
        </is>
      </c>
      <c r="AI460" s="35" t="inlineStr">
        <is>
          <t>M</t>
        </is>
      </c>
      <c r="AJ460" s="35" t="inlineStr">
        <is>
          <t>M</t>
        </is>
      </c>
      <c r="AK460" s="35" t="inlineStr">
        <is>
          <t>M</t>
        </is>
      </c>
      <c r="AL460" s="35" t="inlineStr">
        <is>
          <t>M</t>
        </is>
      </c>
      <c r="AM460" s="36" t="n">
        <v>0.583</v>
      </c>
      <c r="AN460" s="37" t="n">
        <v>0.16</v>
      </c>
      <c r="AO460" s="37" t="n">
        <v>0.09</v>
      </c>
      <c r="AP460" s="37" t="n">
        <v>0</v>
      </c>
      <c r="AQ460" s="37" t="n">
        <v>0.063</v>
      </c>
      <c r="AR460" s="37" t="n">
        <v>0.06</v>
      </c>
      <c r="AS460" s="37" t="n">
        <v>0.04</v>
      </c>
      <c r="AT460" s="38" t="inlineStr">
        <is>
          <t>2–5</t>
        </is>
      </c>
      <c r="AU460" s="38" t="inlineStr">
        <is>
          <t>Graduate; relevant certification preferred</t>
        </is>
      </c>
      <c r="AV460" s="38" t="inlineStr">
        <is>
          <t>None · guides 1–3 juniors informally</t>
        </is>
      </c>
      <c r="AW460" s="38" t="inlineStr">
        <is>
          <t>P2 · SFIA 3 Apply</t>
        </is>
      </c>
      <c r="AX4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0" s="39" t="inlineStr">
        <is>
          <t>A3</t>
        </is>
      </c>
      <c r="AZ460" s="40" t="inlineStr">
        <is>
          <t>Band A · Practitioner · Senior Associate</t>
        </is>
      </c>
      <c r="BA460" s="40" t="inlineStr">
        <is>
          <t>Model A3 from the six ratings, the market-derived weights and rules R1–R13 · then No change · already below the manager</t>
        </is>
      </c>
      <c r="BB460" s="41" t="inlineStr">
        <is>
          <t>A3</t>
        </is>
      </c>
      <c r="BC460" s="40" t="inlineStr">
        <is>
          <t>The six ratings on the market-average weights of Band A · all tracks score 2.70 → A3 · Hay, Mercer IPE and public plans · experience 15.4 yrs vs the A3 market range 2–5</t>
        </is>
      </c>
      <c r="BD460" s="42">
        <f>IF(SUM(BM460,BN460,BO460,BP460,BQ460,BR460,BS460)=0,0,(BM460*BT460+BN460*BU460+BO460*BV460+BP460*BW460+BQ460*BX460+BR460*BY460+BS460*BZ460)/SUM(BM460,BN460,BO460,BP460,BQ460,BR460,BS460))</f>
        <v>0</v>
      </c>
      <c r="BE460" s="41" t="str">
        <f>IF(LEFT(AY460,1)="X",AY460,IF(OR(AY460="B+",AY460="C+"),INDEX(LAD_PC,MAX(1,MIN(14,MATCH(AY460,LAD_PC,0)+IF(BD460&gt;=0.5,1,IF(BD460&lt;=-0.5,-1,0))))),INDEX(LAD_STD,MAX(1,MIN(12,MATCH(AY460,LAD_STD,0)+IF(BD460&gt;=0.5,1,IF(BD460&lt;=-0.5,-1,0)))))))</f>
        <v>A3</v>
      </c>
      <c r="BF460" s="43" t="n"/>
      <c r="BG460" s="41" t="str">
        <f>IF(BF460&lt;&gt;"",BF460,BE460)</f>
        <v>A3</v>
      </c>
      <c r="BH460" s="40" t="str">
        <f>IFERROR(CHOOSE(INDEX(B_RANK,MATCH(BG460,B_LVL,0)),"Band A","Band B","B+ · Player-Coach","Band C","C+ · Player-Coach","Band D","Band E"),"Band X · Consultant")</f>
        <v>Band A</v>
      </c>
      <c r="BI460" s="40" t="str">
        <f>IF(BG460=AY460,"• Same",IF(INDEX(B_VAL,MATCH(BG460,B_LVL,0))&gt;INDEX(B_VAL,MATCH(AY460,B_LVL,0)),"▲ Up","▼ Down"))</f>
        <v>• Same</v>
      </c>
      <c r="BJ460" s="40" t="str">
        <f>IF(OR($M460="",$M460="—",$M460="Not in this file"),"",IFERROR(INDEX($BG$7:$BG$592,MATCH($M460,$D$7:$D$592,0)),""))</f>
        <v>C2</v>
      </c>
      <c r="BK460" s="40" t="str">
        <f>IFERROR(IF(BJ460="","—",IF(OR(LEFT(BG460,1)="X",LEFT(BJ460,1)="X"),"—",IF(AND(LEFT(BG460,1)="E",LEFT(BJ460,1)="E"),"Exception · Band E",IF(AND(INDEX(B_VAL,MATCH(BJ460,B_LVL,0))&gt;=7,INDEX(B_RANK,MATCH(BG460,B_LVL,0))&gt;=INDEX(B_RANK,MATCH(BJ460,B_LVL,0))),"⚠ Same band as a head manager",IF(INDEX(B_VAL,MATCH(BG460,B_LVL,0))&gt;=INDEX(B_VAL,MATCH(BJ460,B_LVL,0)),"⚠ At or above the manager's level","OK"))))),"—")</f>
        <v>OK</v>
      </c>
      <c r="BL460" s="43" t="n"/>
      <c r="BM460" s="44">
        <f>IFERROR(INDEX(LMH_PTS,MATCH(Y460,LMH_KEY,0)),0)</f>
        <v>9</v>
      </c>
      <c r="BN460" s="38">
        <f>IFERROR(INDEX(LMH_PTS,MATCH(Z460,LMH_KEY,0)),0)</f>
        <v>3</v>
      </c>
      <c r="BO460" s="38">
        <f>IFERROR(INDEX(LMH_PTS,MATCH(AA460,LMH_KEY,0)),0)</f>
        <v>3</v>
      </c>
      <c r="BP460" s="38">
        <f>IFERROR(INDEX(LMH_PTS,MATCH(AB460,LMH_KEY,0)),0)</f>
        <v>1</v>
      </c>
      <c r="BQ460" s="38">
        <f>IFERROR(INDEX(LMH_PTS,MATCH(AC460,LMH_KEY,0)),0)</f>
        <v>1</v>
      </c>
      <c r="BR460" s="38">
        <f>IFERROR(INDEX(LMH_PTS,MATCH(AD460,LMH_KEY,0)),0)</f>
        <v>1</v>
      </c>
      <c r="BS460" s="38">
        <f>IFERROR(INDEX(LMH_PTS,MATCH(AE460,LMH_KEY,0)),0)</f>
        <v>1</v>
      </c>
      <c r="BT460" s="38">
        <f>IFERROR(INDEX(LMH_STEP,MATCH(AF460,LMH_KEY,0)),0)</f>
        <v>0</v>
      </c>
      <c r="BU460" s="38">
        <f>IFERROR(INDEX(LMH_STEP,MATCH(AG460,LMH_KEY,0)),0)</f>
        <v>0</v>
      </c>
      <c r="BV460" s="38">
        <f>IFERROR(INDEX(LMH_STEP,MATCH(AH460,LMH_KEY,0)),0)</f>
        <v>0</v>
      </c>
      <c r="BW460" s="38">
        <f>IFERROR(INDEX(LMH_STEP,MATCH(AI460,LMH_KEY,0)),0)</f>
        <v>0</v>
      </c>
      <c r="BX460" s="38">
        <f>IFERROR(INDEX(LMH_STEP,MATCH(AJ460,LMH_KEY,0)),0)</f>
        <v>0</v>
      </c>
      <c r="BY460" s="38">
        <f>IFERROR(INDEX(LMH_STEP,MATCH(AK460,LMH_KEY,0)),0)</f>
        <v>0</v>
      </c>
      <c r="BZ460" s="38">
        <f>IFERROR(INDEX(LMH_STEP,MATCH(AL460,LMH_KEY,0)),0)</f>
        <v>0</v>
      </c>
      <c r="CA460" s="38" t="inlineStr">
        <is>
          <t>iFile|XBRL Consulting|Senior Taxonomy Analyst|A3|A</t>
        </is>
      </c>
    </row>
    <row r="461" ht="110" customHeight="1">
      <c r="A461" s="28" t="inlineStr">
        <is>
          <t>iFile</t>
        </is>
      </c>
      <c r="B461" s="29" t="inlineStr">
        <is>
          <t>XBRL Consulting</t>
        </is>
      </c>
      <c r="C461" s="29" t="n">
        <v>2</v>
      </c>
      <c r="D461" s="29" t="inlineStr">
        <is>
          <t>IRIS0049</t>
        </is>
      </c>
      <c r="E461" s="29" t="inlineStr">
        <is>
          <t>Kalyani Sunil Nagap</t>
        </is>
      </c>
      <c r="F461" s="29" t="inlineStr">
        <is>
          <t>Senior Analyst</t>
        </is>
      </c>
      <c r="G461" s="29" t="inlineStr">
        <is>
          <t>Taxonomy Specialist</t>
        </is>
      </c>
      <c r="H461" s="29" t="inlineStr">
        <is>
          <t>Consulting &amp; Professional Services</t>
        </is>
      </c>
      <c r="I461" s="29" t="inlineStr">
        <is>
          <t>Taxonomy Design &amp; Regulatory Consulting</t>
        </is>
      </c>
      <c r="J461" s="29" t="inlineStr">
        <is>
          <t>IC</t>
        </is>
      </c>
      <c r="K461" s="29" t="inlineStr">
        <is>
          <t>RC-019</t>
        </is>
      </c>
      <c r="L461" s="29" t="inlineStr">
        <is>
          <t>Rahul Dhamne</t>
        </is>
      </c>
      <c r="M461" s="29" t="inlineStr">
        <is>
          <t>IRIS0362</t>
        </is>
      </c>
      <c r="N461" s="29" t="n">
        <v>20</v>
      </c>
      <c r="O461" s="29" t="n">
        <v>20</v>
      </c>
      <c r="P461" s="29" t="inlineStr">
        <is>
          <t>B.Com</t>
        </is>
      </c>
      <c r="Q461" s="29" t="inlineStr">
        <is>
          <t>L4 – Senior</t>
        </is>
      </c>
      <c r="R461" s="29" t="inlineStr">
        <is>
          <t>A3</t>
        </is>
      </c>
      <c r="S461" s="30" t="inlineStr">
        <is>
          <t>20 of 20</t>
        </is>
      </c>
      <c r="T461" s="31"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t>
        </is>
      </c>
      <c r="U461"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1" s="31" t="inlineStr">
        <is>
          <t>Latest rating: 3 · Potential: Low · 9-box: Reliable Specialist · Readiness: Develop in role</t>
        </is>
      </c>
      <c r="W461" s="31" t="inlineStr">
        <is>
          <t>C M · Au M · Ac M · L L · BI M · Exp H · 20 yrs vs 2–4 yrs · Edu M · B.Com</t>
        </is>
      </c>
      <c r="X461" s="33" t="inlineStr">
        <is>
          <t>Open ▸</t>
        </is>
      </c>
      <c r="Y461" s="34" t="str">
        <f>IFERROR(INDEX(DL_C,MATCH($CA461,DL_KEY,0)),"M")</f>
        <v>H</v>
      </c>
      <c r="Z461" s="35" t="str">
        <f>IFERROR(INDEX(DL_Au,MATCH($CA461,DL_KEY,0)),"M")</f>
        <v>M</v>
      </c>
      <c r="AA461" s="35" t="str">
        <f>IFERROR(INDEX(DL_Ac,MATCH($CA461,DL_KEY,0)),"M")</f>
        <v>M</v>
      </c>
      <c r="AB461" s="35" t="str">
        <f>IFERROR(INDEX(DL_L,MATCH($CA461,DL_KEY,0)),"M")</f>
        <v>L</v>
      </c>
      <c r="AC461" s="35" t="str">
        <f>IFERROR(INDEX(DL_BI,MATCH($CA461,DL_KEY,0)),"M")</f>
        <v>L</v>
      </c>
      <c r="AD461" s="35" t="str">
        <f>IFERROR(INDEX(DL_Exp,MATCH($CA461,DL_KEY,0)),"M")</f>
        <v>L</v>
      </c>
      <c r="AE461" s="35" t="str">
        <f>IFERROR(INDEX(DL_Edu,MATCH($CA461,DL_KEY,0)),"M")</f>
        <v>L</v>
      </c>
      <c r="AF461" s="34" t="inlineStr">
        <is>
          <t>M</t>
        </is>
      </c>
      <c r="AG461" s="35" t="inlineStr">
        <is>
          <t>M</t>
        </is>
      </c>
      <c r="AH461" s="35" t="inlineStr">
        <is>
          <t>M</t>
        </is>
      </c>
      <c r="AI461" s="35" t="inlineStr">
        <is>
          <t>M</t>
        </is>
      </c>
      <c r="AJ461" s="35" t="inlineStr">
        <is>
          <t>M</t>
        </is>
      </c>
      <c r="AK461" s="35" t="inlineStr">
        <is>
          <t>M</t>
        </is>
      </c>
      <c r="AL461" s="35" t="inlineStr">
        <is>
          <t>M</t>
        </is>
      </c>
      <c r="AM461" s="36" t="n">
        <v>0.583</v>
      </c>
      <c r="AN461" s="37" t="n">
        <v>0.16</v>
      </c>
      <c r="AO461" s="37" t="n">
        <v>0.09</v>
      </c>
      <c r="AP461" s="37" t="n">
        <v>0</v>
      </c>
      <c r="AQ461" s="37" t="n">
        <v>0.063</v>
      </c>
      <c r="AR461" s="37" t="n">
        <v>0.06</v>
      </c>
      <c r="AS461" s="37" t="n">
        <v>0.04</v>
      </c>
      <c r="AT461" s="38" t="inlineStr">
        <is>
          <t>2–5</t>
        </is>
      </c>
      <c r="AU461" s="38" t="inlineStr">
        <is>
          <t>Graduate; relevant certification preferred</t>
        </is>
      </c>
      <c r="AV461" s="38" t="inlineStr">
        <is>
          <t>None · guides 1–3 juniors informally</t>
        </is>
      </c>
      <c r="AW461" s="38" t="inlineStr">
        <is>
          <t>P2 · SFIA 3 Apply</t>
        </is>
      </c>
      <c r="AX4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1" s="39" t="inlineStr">
        <is>
          <t>A3</t>
        </is>
      </c>
      <c r="AZ461" s="40" t="inlineStr">
        <is>
          <t>Band A · Practitioner · Senior Associate</t>
        </is>
      </c>
      <c r="BA461" s="40" t="inlineStr">
        <is>
          <t>Model A3 from the six ratings, the market-derived weights and rules R1–R13 · then No change · already below the manager</t>
        </is>
      </c>
      <c r="BB461" s="41" t="inlineStr">
        <is>
          <t>B1</t>
        </is>
      </c>
      <c r="BC461" s="40" t="inlineStr">
        <is>
          <t>The six ratings on the market-average weights of Band A · all tracks score 3.57 → B1 · Hay, Mercer IPE and public plans · experience 20 yrs vs the B1 market range 4–8</t>
        </is>
      </c>
      <c r="BD461" s="42">
        <f>IF(SUM(BM461,BN461,BO461,BP461,BQ461,BR461,BS461)=0,0,(BM461*BT461+BN461*BU461+BO461*BV461+BP461*BW461+BQ461*BX461+BR461*BY461+BS461*BZ461)/SUM(BM461,BN461,BO461,BP461,BQ461,BR461,BS461))</f>
        <v>0</v>
      </c>
      <c r="BE461" s="41" t="str">
        <f>IF(LEFT(AY461,1)="X",AY461,IF(OR(AY461="B+",AY461="C+"),INDEX(LAD_PC,MAX(1,MIN(14,MATCH(AY461,LAD_PC,0)+IF(BD461&gt;=0.5,1,IF(BD461&lt;=-0.5,-1,0))))),INDEX(LAD_STD,MAX(1,MIN(12,MATCH(AY461,LAD_STD,0)+IF(BD461&gt;=0.5,1,IF(BD461&lt;=-0.5,-1,0)))))))</f>
        <v>A3</v>
      </c>
      <c r="BF461" s="43" t="n"/>
      <c r="BG461" s="41" t="str">
        <f>IF(BF461&lt;&gt;"",BF461,BE461)</f>
        <v>A3</v>
      </c>
      <c r="BH461" s="40" t="str">
        <f>IFERROR(CHOOSE(INDEX(B_RANK,MATCH(BG461,B_LVL,0)),"Band A","Band B","B+ · Player-Coach","Band C","C+ · Player-Coach","Band D","Band E"),"Band X · Consultant")</f>
        <v>Band A</v>
      </c>
      <c r="BI461" s="40" t="str">
        <f>IF(BG461=AY461,"• Same",IF(INDEX(B_VAL,MATCH(BG461,B_LVL,0))&gt;INDEX(B_VAL,MATCH(AY461,B_LVL,0)),"▲ Up","▼ Down"))</f>
        <v>• Same</v>
      </c>
      <c r="BJ461" s="40" t="str">
        <f>IF(OR($M461="",$M461="—",$M461="Not in this file"),"",IFERROR(INDEX($BG$7:$BG$592,MATCH($M461,$D$7:$D$592,0)),""))</f>
        <v>C2</v>
      </c>
      <c r="BK461" s="40" t="str">
        <f>IFERROR(IF(BJ461="","—",IF(OR(LEFT(BG461,1)="X",LEFT(BJ461,1)="X"),"—",IF(AND(LEFT(BG461,1)="E",LEFT(BJ461,1)="E"),"Exception · Band E",IF(AND(INDEX(B_VAL,MATCH(BJ461,B_LVL,0))&gt;=7,INDEX(B_RANK,MATCH(BG461,B_LVL,0))&gt;=INDEX(B_RANK,MATCH(BJ461,B_LVL,0))),"⚠ Same band as a head manager",IF(INDEX(B_VAL,MATCH(BG461,B_LVL,0))&gt;=INDEX(B_VAL,MATCH(BJ461,B_LVL,0)),"⚠ At or above the manager's level","OK"))))),"—")</f>
        <v>OK</v>
      </c>
      <c r="BL461" s="43" t="n"/>
      <c r="BM461" s="44">
        <f>IFERROR(INDEX(LMH_PTS,MATCH(Y461,LMH_KEY,0)),0)</f>
        <v>9</v>
      </c>
      <c r="BN461" s="38">
        <f>IFERROR(INDEX(LMH_PTS,MATCH(Z461,LMH_KEY,0)),0)</f>
        <v>3</v>
      </c>
      <c r="BO461" s="38">
        <f>IFERROR(INDEX(LMH_PTS,MATCH(AA461,LMH_KEY,0)),0)</f>
        <v>3</v>
      </c>
      <c r="BP461" s="38">
        <f>IFERROR(INDEX(LMH_PTS,MATCH(AB461,LMH_KEY,0)),0)</f>
        <v>1</v>
      </c>
      <c r="BQ461" s="38">
        <f>IFERROR(INDEX(LMH_PTS,MATCH(AC461,LMH_KEY,0)),0)</f>
        <v>1</v>
      </c>
      <c r="BR461" s="38">
        <f>IFERROR(INDEX(LMH_PTS,MATCH(AD461,LMH_KEY,0)),0)</f>
        <v>1</v>
      </c>
      <c r="BS461" s="38">
        <f>IFERROR(INDEX(LMH_PTS,MATCH(AE461,LMH_KEY,0)),0)</f>
        <v>1</v>
      </c>
      <c r="BT461" s="38">
        <f>IFERROR(INDEX(LMH_STEP,MATCH(AF461,LMH_KEY,0)),0)</f>
        <v>0</v>
      </c>
      <c r="BU461" s="38">
        <f>IFERROR(INDEX(LMH_STEP,MATCH(AG461,LMH_KEY,0)),0)</f>
        <v>0</v>
      </c>
      <c r="BV461" s="38">
        <f>IFERROR(INDEX(LMH_STEP,MATCH(AH461,LMH_KEY,0)),0)</f>
        <v>0</v>
      </c>
      <c r="BW461" s="38">
        <f>IFERROR(INDEX(LMH_STEP,MATCH(AI461,LMH_KEY,0)),0)</f>
        <v>0</v>
      </c>
      <c r="BX461" s="38">
        <f>IFERROR(INDEX(LMH_STEP,MATCH(AJ461,LMH_KEY,0)),0)</f>
        <v>0</v>
      </c>
      <c r="BY461" s="38">
        <f>IFERROR(INDEX(LMH_STEP,MATCH(AK461,LMH_KEY,0)),0)</f>
        <v>0</v>
      </c>
      <c r="BZ461" s="38">
        <f>IFERROR(INDEX(LMH_STEP,MATCH(AL461,LMH_KEY,0)),0)</f>
        <v>0</v>
      </c>
      <c r="CA461" s="38" t="inlineStr">
        <is>
          <t>iFile|XBRL Consulting|Taxonomy Specialist|A3|A</t>
        </is>
      </c>
    </row>
    <row r="462" ht="110" customHeight="1">
      <c r="A462" s="28" t="inlineStr">
        <is>
          <t>iFile</t>
        </is>
      </c>
      <c r="B462" s="29" t="inlineStr">
        <is>
          <t>XBRL Consulting</t>
        </is>
      </c>
      <c r="C462" s="29" t="n">
        <v>2</v>
      </c>
      <c r="D462" s="29" t="inlineStr">
        <is>
          <t>IRIS1248</t>
        </is>
      </c>
      <c r="E462" s="29" t="inlineStr">
        <is>
          <t>Neha Periwal</t>
        </is>
      </c>
      <c r="F462" s="29" t="inlineStr">
        <is>
          <t>Consultant</t>
        </is>
      </c>
      <c r="G462" s="29" t="inlineStr">
        <is>
          <t>Senior Taxonomy Analyst</t>
        </is>
      </c>
      <c r="H462" s="29" t="inlineStr">
        <is>
          <t>Consulting &amp; Professional Services</t>
        </is>
      </c>
      <c r="I462" s="29" t="inlineStr">
        <is>
          <t>Taxonomy Design &amp; Regulatory Consulting</t>
        </is>
      </c>
      <c r="J462" s="29" t="inlineStr">
        <is>
          <t>IC</t>
        </is>
      </c>
      <c r="K462" s="29" t="inlineStr">
        <is>
          <t>RC-019</t>
        </is>
      </c>
      <c r="L462" s="29" t="inlineStr">
        <is>
          <t>Rahul Dhamne</t>
        </is>
      </c>
      <c r="M462" s="29" t="inlineStr">
        <is>
          <t>IRIS0362</t>
        </is>
      </c>
      <c r="N462" s="29" t="n">
        <v>17.5</v>
      </c>
      <c r="O462" s="29" t="n">
        <v>14.1</v>
      </c>
      <c r="P462" s="29" t="inlineStr">
        <is>
          <t>CA</t>
        </is>
      </c>
      <c r="Q462" s="29" t="inlineStr">
        <is>
          <t>L3 – Professional / Associate</t>
        </is>
      </c>
      <c r="R462" s="29" t="inlineStr">
        <is>
          <t>A3</t>
        </is>
      </c>
      <c r="S462" s="30" t="inlineStr">
        <is>
          <t>20 of 20</t>
        </is>
      </c>
      <c r="T462" s="31"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
        </is>
      </c>
      <c r="U462"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62" s="31" t="inlineStr">
        <is>
          <t>Latest rating: 3 · Potential: Low · 9-box: Reliable Specialist · Readiness: Develop in role</t>
        </is>
      </c>
      <c r="W462" s="31" t="inlineStr">
        <is>
          <t>C M · Au M · Ac M · L L · BI M · Exp H · 17.5 yrs vs 2–4 yrs · Edu H · CA</t>
        </is>
      </c>
      <c r="X462" s="33" t="inlineStr">
        <is>
          <t>Open ▸</t>
        </is>
      </c>
      <c r="Y462" s="34" t="str">
        <f>IFERROR(INDEX(DL_C,MATCH($CA462,DL_KEY,0)),"M")</f>
        <v>H</v>
      </c>
      <c r="Z462" s="35" t="str">
        <f>IFERROR(INDEX(DL_Au,MATCH($CA462,DL_KEY,0)),"M")</f>
        <v>M</v>
      </c>
      <c r="AA462" s="35" t="str">
        <f>IFERROR(INDEX(DL_Ac,MATCH($CA462,DL_KEY,0)),"M")</f>
        <v>M</v>
      </c>
      <c r="AB462" s="35" t="str">
        <f>IFERROR(INDEX(DL_L,MATCH($CA462,DL_KEY,0)),"M")</f>
        <v>L</v>
      </c>
      <c r="AC462" s="35" t="str">
        <f>IFERROR(INDEX(DL_BI,MATCH($CA462,DL_KEY,0)),"M")</f>
        <v>L</v>
      </c>
      <c r="AD462" s="35" t="str">
        <f>IFERROR(INDEX(DL_Exp,MATCH($CA462,DL_KEY,0)),"M")</f>
        <v>L</v>
      </c>
      <c r="AE462" s="35" t="str">
        <f>IFERROR(INDEX(DL_Edu,MATCH($CA462,DL_KEY,0)),"M")</f>
        <v>L</v>
      </c>
      <c r="AF462" s="34" t="inlineStr">
        <is>
          <t>M</t>
        </is>
      </c>
      <c r="AG462" s="35" t="inlineStr">
        <is>
          <t>M</t>
        </is>
      </c>
      <c r="AH462" s="35" t="inlineStr">
        <is>
          <t>M</t>
        </is>
      </c>
      <c r="AI462" s="35" t="inlineStr">
        <is>
          <t>M</t>
        </is>
      </c>
      <c r="AJ462" s="35" t="inlineStr">
        <is>
          <t>M</t>
        </is>
      </c>
      <c r="AK462" s="35" t="inlineStr">
        <is>
          <t>M</t>
        </is>
      </c>
      <c r="AL462" s="35" t="inlineStr">
        <is>
          <t>M</t>
        </is>
      </c>
      <c r="AM462" s="36" t="n">
        <v>0.583</v>
      </c>
      <c r="AN462" s="37" t="n">
        <v>0.16</v>
      </c>
      <c r="AO462" s="37" t="n">
        <v>0.09</v>
      </c>
      <c r="AP462" s="37" t="n">
        <v>0</v>
      </c>
      <c r="AQ462" s="37" t="n">
        <v>0.063</v>
      </c>
      <c r="AR462" s="37" t="n">
        <v>0.06</v>
      </c>
      <c r="AS462" s="37" t="n">
        <v>0.04</v>
      </c>
      <c r="AT462" s="38" t="inlineStr">
        <is>
          <t>2–5</t>
        </is>
      </c>
      <c r="AU462" s="38" t="inlineStr">
        <is>
          <t>Graduate; relevant certification preferred</t>
        </is>
      </c>
      <c r="AV462" s="38" t="inlineStr">
        <is>
          <t>None · guides 1–3 juniors informally</t>
        </is>
      </c>
      <c r="AW462" s="38" t="inlineStr">
        <is>
          <t>P2 · SFIA 3 Apply</t>
        </is>
      </c>
      <c r="AX4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2" s="39" t="inlineStr">
        <is>
          <t>A3</t>
        </is>
      </c>
      <c r="AZ462" s="40" t="inlineStr">
        <is>
          <t>Band A · Practitioner · Senior Associate</t>
        </is>
      </c>
      <c r="BA462" s="40" t="inlineStr">
        <is>
          <t>Model A3 from the six ratings, the market-derived weights and rules R1–R13 · then No change · already below the manager</t>
        </is>
      </c>
      <c r="BB462" s="41" t="inlineStr">
        <is>
          <t>B1</t>
        </is>
      </c>
      <c r="BC462" s="40" t="inlineStr">
        <is>
          <t>The six ratings on the market-average weights of Band A · all tracks score 3.55 → B1 · Hay, Mercer IPE and public plans · experience 17.5 yrs vs the B1 market range 4–8</t>
        </is>
      </c>
      <c r="BD462" s="42">
        <f>IF(SUM(BM462,BN462,BO462,BP462,BQ462,BR462,BS462)=0,0,(BM462*BT462+BN462*BU462+BO462*BV462+BP462*BW462+BQ462*BX462+BR462*BY462+BS462*BZ462)/SUM(BM462,BN462,BO462,BP462,BQ462,BR462,BS462))</f>
        <v>0</v>
      </c>
      <c r="BE462" s="41" t="str">
        <f>IF(LEFT(AY462,1)="X",AY462,IF(OR(AY462="B+",AY462="C+"),INDEX(LAD_PC,MAX(1,MIN(14,MATCH(AY462,LAD_PC,0)+IF(BD462&gt;=0.5,1,IF(BD462&lt;=-0.5,-1,0))))),INDEX(LAD_STD,MAX(1,MIN(12,MATCH(AY462,LAD_STD,0)+IF(BD462&gt;=0.5,1,IF(BD462&lt;=-0.5,-1,0)))))))</f>
        <v>A3</v>
      </c>
      <c r="BF462" s="43" t="n"/>
      <c r="BG462" s="41" t="str">
        <f>IF(BF462&lt;&gt;"",BF462,BE462)</f>
        <v>A3</v>
      </c>
      <c r="BH462" s="40" t="str">
        <f>IFERROR(CHOOSE(INDEX(B_RANK,MATCH(BG462,B_LVL,0)),"Band A","Band B","B+ · Player-Coach","Band C","C+ · Player-Coach","Band D","Band E"),"Band X · Consultant")</f>
        <v>Band A</v>
      </c>
      <c r="BI462" s="40" t="str">
        <f>IF(BG462=AY462,"• Same",IF(INDEX(B_VAL,MATCH(BG462,B_LVL,0))&gt;INDEX(B_VAL,MATCH(AY462,B_LVL,0)),"▲ Up","▼ Down"))</f>
        <v>• Same</v>
      </c>
      <c r="BJ462" s="40" t="str">
        <f>IF(OR($M462="",$M462="—",$M462="Not in this file"),"",IFERROR(INDEX($BG$7:$BG$592,MATCH($M462,$D$7:$D$592,0)),""))</f>
        <v>C2</v>
      </c>
      <c r="BK462" s="40" t="str">
        <f>IFERROR(IF(BJ462="","—",IF(OR(LEFT(BG462,1)="X",LEFT(BJ462,1)="X"),"—",IF(AND(LEFT(BG462,1)="E",LEFT(BJ462,1)="E"),"Exception · Band E",IF(AND(INDEX(B_VAL,MATCH(BJ462,B_LVL,0))&gt;=7,INDEX(B_RANK,MATCH(BG462,B_LVL,0))&gt;=INDEX(B_RANK,MATCH(BJ462,B_LVL,0))),"⚠ Same band as a head manager",IF(INDEX(B_VAL,MATCH(BG462,B_LVL,0))&gt;=INDEX(B_VAL,MATCH(BJ462,B_LVL,0)),"⚠ At or above the manager's level","OK"))))),"—")</f>
        <v>OK</v>
      </c>
      <c r="BL462" s="43" t="n"/>
      <c r="BM462" s="44">
        <f>IFERROR(INDEX(LMH_PTS,MATCH(Y462,LMH_KEY,0)),0)</f>
        <v>9</v>
      </c>
      <c r="BN462" s="38">
        <f>IFERROR(INDEX(LMH_PTS,MATCH(Z462,LMH_KEY,0)),0)</f>
        <v>3</v>
      </c>
      <c r="BO462" s="38">
        <f>IFERROR(INDEX(LMH_PTS,MATCH(AA462,LMH_KEY,0)),0)</f>
        <v>3</v>
      </c>
      <c r="BP462" s="38">
        <f>IFERROR(INDEX(LMH_PTS,MATCH(AB462,LMH_KEY,0)),0)</f>
        <v>1</v>
      </c>
      <c r="BQ462" s="38">
        <f>IFERROR(INDEX(LMH_PTS,MATCH(AC462,LMH_KEY,0)),0)</f>
        <v>1</v>
      </c>
      <c r="BR462" s="38">
        <f>IFERROR(INDEX(LMH_PTS,MATCH(AD462,LMH_KEY,0)),0)</f>
        <v>1</v>
      </c>
      <c r="BS462" s="38">
        <f>IFERROR(INDEX(LMH_PTS,MATCH(AE462,LMH_KEY,0)),0)</f>
        <v>1</v>
      </c>
      <c r="BT462" s="38">
        <f>IFERROR(INDEX(LMH_STEP,MATCH(AF462,LMH_KEY,0)),0)</f>
        <v>0</v>
      </c>
      <c r="BU462" s="38">
        <f>IFERROR(INDEX(LMH_STEP,MATCH(AG462,LMH_KEY,0)),0)</f>
        <v>0</v>
      </c>
      <c r="BV462" s="38">
        <f>IFERROR(INDEX(LMH_STEP,MATCH(AH462,LMH_KEY,0)),0)</f>
        <v>0</v>
      </c>
      <c r="BW462" s="38">
        <f>IFERROR(INDEX(LMH_STEP,MATCH(AI462,LMH_KEY,0)),0)</f>
        <v>0</v>
      </c>
      <c r="BX462" s="38">
        <f>IFERROR(INDEX(LMH_STEP,MATCH(AJ462,LMH_KEY,0)),0)</f>
        <v>0</v>
      </c>
      <c r="BY462" s="38">
        <f>IFERROR(INDEX(LMH_STEP,MATCH(AK462,LMH_KEY,0)),0)</f>
        <v>0</v>
      </c>
      <c r="BZ462" s="38">
        <f>IFERROR(INDEX(LMH_STEP,MATCH(AL462,LMH_KEY,0)),0)</f>
        <v>0</v>
      </c>
      <c r="CA462" s="38" t="inlineStr">
        <is>
          <t>iFile|XBRL Consulting|Senior Taxonomy Analyst|A3|A</t>
        </is>
      </c>
    </row>
    <row r="463" ht="110" customHeight="1">
      <c r="A463" s="28" t="inlineStr">
        <is>
          <t>iFile</t>
        </is>
      </c>
      <c r="B463" s="29" t="inlineStr">
        <is>
          <t>Technology</t>
        </is>
      </c>
      <c r="C463" s="29" t="n">
        <v>2</v>
      </c>
      <c r="D463" s="29" t="inlineStr">
        <is>
          <t>IRIS2364</t>
        </is>
      </c>
      <c r="E463" s="29" t="inlineStr">
        <is>
          <t>Srikant Mishra</t>
        </is>
      </c>
      <c r="F463" s="29" t="inlineStr">
        <is>
          <t>Business Analyst</t>
        </is>
      </c>
      <c r="G463" s="29" t="inlineStr">
        <is>
          <t>Senior Business Analyst</t>
        </is>
      </c>
      <c r="H463" s="29" t="inlineStr">
        <is>
          <t>Business Analysis</t>
        </is>
      </c>
      <c r="I463" s="29" t="inlineStr">
        <is>
          <t>Business Analysis</t>
        </is>
      </c>
      <c r="J463" s="29" t="inlineStr">
        <is>
          <t>IC</t>
        </is>
      </c>
      <c r="K463" s="29" t="inlineStr">
        <is>
          <t>RC-009</t>
        </is>
      </c>
      <c r="L463" s="29" t="inlineStr">
        <is>
          <t>Rahul Dhamne</t>
        </is>
      </c>
      <c r="M463" s="29" t="inlineStr">
        <is>
          <t>IRIS0362</t>
        </is>
      </c>
      <c r="N463" s="29" t="n">
        <v>4.4</v>
      </c>
      <c r="O463" s="29" t="n">
        <v>1.5</v>
      </c>
      <c r="P463" s="29" t="inlineStr">
        <is>
          <t>B.Tech</t>
        </is>
      </c>
      <c r="Q463" s="29" t="inlineStr">
        <is>
          <t>L3 – Professional / Associate</t>
        </is>
      </c>
      <c r="R463" s="29" t="inlineStr">
        <is>
          <t>A3</t>
        </is>
      </c>
      <c r="S463" s="30" t="inlineStr">
        <is>
          <t>20 of 20</t>
        </is>
      </c>
      <c r="T463" s="31"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t>
        </is>
      </c>
      <c r="U463" s="31" t="inlineStr">
        <is>
          <t>Received · manager annual, quarterly, self · 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t>
        </is>
      </c>
      <c r="V463" s="31" t="inlineStr">
        <is>
          <t>Latest rating: 4 · Potential: High · 9-box: Future Leader · Readiness: Ready now</t>
        </is>
      </c>
      <c r="W463" s="31" t="inlineStr">
        <is>
          <t>C M · Au L · Ac M · L M · BI M · Exp M · 4.4 yrs vs 4–7 yrs · Edu M · B.Tech</t>
        </is>
      </c>
      <c r="X463" s="33" t="inlineStr">
        <is>
          <t>Open ▸</t>
        </is>
      </c>
      <c r="Y463" s="34" t="str">
        <f>IFERROR(INDEX(DL_C,MATCH($CA463,DL_KEY,0)),"M")</f>
        <v>H</v>
      </c>
      <c r="Z463" s="35" t="str">
        <f>IFERROR(INDEX(DL_Au,MATCH($CA463,DL_KEY,0)),"M")</f>
        <v>M</v>
      </c>
      <c r="AA463" s="35" t="str">
        <f>IFERROR(INDEX(DL_Ac,MATCH($CA463,DL_KEY,0)),"M")</f>
        <v>L</v>
      </c>
      <c r="AB463" s="35" t="str">
        <f>IFERROR(INDEX(DL_L,MATCH($CA463,DL_KEY,0)),"M")</f>
        <v>L</v>
      </c>
      <c r="AC463" s="35" t="str">
        <f>IFERROR(INDEX(DL_BI,MATCH($CA463,DL_KEY,0)),"M")</f>
        <v>L</v>
      </c>
      <c r="AD463" s="35" t="str">
        <f>IFERROR(INDEX(DL_Exp,MATCH($CA463,DL_KEY,0)),"M")</f>
        <v>L</v>
      </c>
      <c r="AE463" s="35" t="str">
        <f>IFERROR(INDEX(DL_Edu,MATCH($CA463,DL_KEY,0)),"M")</f>
        <v>L</v>
      </c>
      <c r="AF463" s="34" t="inlineStr">
        <is>
          <t>M</t>
        </is>
      </c>
      <c r="AG463" s="35" t="inlineStr">
        <is>
          <t>M</t>
        </is>
      </c>
      <c r="AH463" s="35" t="inlineStr">
        <is>
          <t>M</t>
        </is>
      </c>
      <c r="AI463" s="35" t="inlineStr">
        <is>
          <t>M</t>
        </is>
      </c>
      <c r="AJ463" s="35" t="inlineStr">
        <is>
          <t>M</t>
        </is>
      </c>
      <c r="AK463" s="35" t="inlineStr">
        <is>
          <t>M</t>
        </is>
      </c>
      <c r="AL463" s="35" t="inlineStr">
        <is>
          <t>M</t>
        </is>
      </c>
      <c r="AM463" s="36" t="n">
        <v>0.513</v>
      </c>
      <c r="AN463" s="37" t="n">
        <v>0.173</v>
      </c>
      <c r="AO463" s="37" t="n">
        <v>0.09699999999999999</v>
      </c>
      <c r="AP463" s="37" t="n">
        <v>0.05</v>
      </c>
      <c r="AQ463" s="37" t="n">
        <v>0.07000000000000001</v>
      </c>
      <c r="AR463" s="37" t="n">
        <v>0.06</v>
      </c>
      <c r="AS463" s="37" t="n">
        <v>0.04</v>
      </c>
      <c r="AT463" s="38" t="inlineStr">
        <is>
          <t>4–8</t>
        </is>
      </c>
      <c r="AU463" s="38" t="inlineStr">
        <is>
          <t>Graduate + relevant qualification or certification preferred</t>
        </is>
      </c>
      <c r="AV463" s="38" t="inlineStr">
        <is>
          <t>IC: none · Team Lead: 3–5</t>
        </is>
      </c>
      <c r="AW463" s="38" t="inlineStr">
        <is>
          <t>P3 / M2 · SFIA 4 Enable</t>
        </is>
      </c>
      <c r="AX4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3" s="39" t="inlineStr">
        <is>
          <t>B1</t>
        </is>
      </c>
      <c r="AZ463" s="40" t="inlineStr">
        <is>
          <t>Band B · Specialist / Manager · Specialist</t>
        </is>
      </c>
      <c r="BA463" s="40" t="inlineStr">
        <is>
          <t>Model A3 from the six ratings, the market-derived weights and rules R1–R13 · then Leads people at or above their own level · A3 → B1 Team Lead</t>
        </is>
      </c>
      <c r="BB463" s="41" t="inlineStr">
        <is>
          <t>A3</t>
        </is>
      </c>
      <c r="BC463" s="40" t="inlineStr">
        <is>
          <t>The six ratings on the market-average weights of Band B · Specialist / POD Lead score 3.45 → A3 · Hay, Mercer IPE and public plans · experience 4.4 yrs vs the A3 market range 2–5</t>
        </is>
      </c>
      <c r="BD463" s="42">
        <f>IF(SUM(BM463,BN463,BO463,BP463,BQ463,BR463,BS463)=0,0,(BM463*BT463+BN463*BU463+BO463*BV463+BP463*BW463+BQ463*BX463+BR463*BY463+BS463*BZ463)/SUM(BM463,BN463,BO463,BP463,BQ463,BR463,BS463))</f>
        <v>0</v>
      </c>
      <c r="BE463" s="41" t="str">
        <f>IF(LEFT(AY463,1)="X",AY463,IF(OR(AY463="B+",AY463="C+"),INDEX(LAD_PC,MAX(1,MIN(14,MATCH(AY463,LAD_PC,0)+IF(BD463&gt;=0.5,1,IF(BD463&lt;=-0.5,-1,0))))),INDEX(LAD_STD,MAX(1,MIN(12,MATCH(AY463,LAD_STD,0)+IF(BD463&gt;=0.5,1,IF(BD463&lt;=-0.5,-1,0)))))))</f>
        <v>B1</v>
      </c>
      <c r="BF463" s="43" t="n"/>
      <c r="BG463" s="41" t="str">
        <f>IF(BF463&lt;&gt;"",BF463,BE463)</f>
        <v>B1</v>
      </c>
      <c r="BH463" s="40" t="str">
        <f>IFERROR(CHOOSE(INDEX(B_RANK,MATCH(BG463,B_LVL,0)),"Band A","Band B","B+ · Player-Coach","Band C","C+ · Player-Coach","Band D","Band E"),"Band X · Consultant")</f>
        <v>Band B</v>
      </c>
      <c r="BI463" s="40" t="str">
        <f>IF(BG463=AY463,"• Same",IF(INDEX(B_VAL,MATCH(BG463,B_LVL,0))&gt;INDEX(B_VAL,MATCH(AY463,B_LVL,0)),"▲ Up","▼ Down"))</f>
        <v>• Same</v>
      </c>
      <c r="BJ463" s="40" t="str">
        <f>IF(OR($M463="",$M463="—",$M463="Not in this file"),"",IFERROR(INDEX($BG$7:$BG$592,MATCH($M463,$D$7:$D$592,0)),""))</f>
        <v>C2</v>
      </c>
      <c r="BK463" s="40" t="str">
        <f>IFERROR(IF(BJ463="","—",IF(OR(LEFT(BG463,1)="X",LEFT(BJ463,1)="X"),"—",IF(AND(LEFT(BG463,1)="E",LEFT(BJ463,1)="E"),"Exception · Band E",IF(AND(INDEX(B_VAL,MATCH(BJ463,B_LVL,0))&gt;=7,INDEX(B_RANK,MATCH(BG463,B_LVL,0))&gt;=INDEX(B_RANK,MATCH(BJ463,B_LVL,0))),"⚠ Same band as a head manager",IF(INDEX(B_VAL,MATCH(BG463,B_LVL,0))&gt;=INDEX(B_VAL,MATCH(BJ463,B_LVL,0)),"⚠ At or above the manager's level","OK"))))),"—")</f>
        <v>OK</v>
      </c>
      <c r="BL463" s="43" t="n"/>
      <c r="BM463" s="44">
        <f>IFERROR(INDEX(LMH_PTS,MATCH(Y463,LMH_KEY,0)),0)</f>
        <v>9</v>
      </c>
      <c r="BN463" s="38">
        <f>IFERROR(INDEX(LMH_PTS,MATCH(Z463,LMH_KEY,0)),0)</f>
        <v>3</v>
      </c>
      <c r="BO463" s="38">
        <f>IFERROR(INDEX(LMH_PTS,MATCH(AA463,LMH_KEY,0)),0)</f>
        <v>1</v>
      </c>
      <c r="BP463" s="38">
        <f>IFERROR(INDEX(LMH_PTS,MATCH(AB463,LMH_KEY,0)),0)</f>
        <v>1</v>
      </c>
      <c r="BQ463" s="38">
        <f>IFERROR(INDEX(LMH_PTS,MATCH(AC463,LMH_KEY,0)),0)</f>
        <v>1</v>
      </c>
      <c r="BR463" s="38">
        <f>IFERROR(INDEX(LMH_PTS,MATCH(AD463,LMH_KEY,0)),0)</f>
        <v>1</v>
      </c>
      <c r="BS463" s="38">
        <f>IFERROR(INDEX(LMH_PTS,MATCH(AE463,LMH_KEY,0)),0)</f>
        <v>1</v>
      </c>
      <c r="BT463" s="38">
        <f>IFERROR(INDEX(LMH_STEP,MATCH(AF463,LMH_KEY,0)),0)</f>
        <v>0</v>
      </c>
      <c r="BU463" s="38">
        <f>IFERROR(INDEX(LMH_STEP,MATCH(AG463,LMH_KEY,0)),0)</f>
        <v>0</v>
      </c>
      <c r="BV463" s="38">
        <f>IFERROR(INDEX(LMH_STEP,MATCH(AH463,LMH_KEY,0)),0)</f>
        <v>0</v>
      </c>
      <c r="BW463" s="38">
        <f>IFERROR(INDEX(LMH_STEP,MATCH(AI463,LMH_KEY,0)),0)</f>
        <v>0</v>
      </c>
      <c r="BX463" s="38">
        <f>IFERROR(INDEX(LMH_STEP,MATCH(AJ463,LMH_KEY,0)),0)</f>
        <v>0</v>
      </c>
      <c r="BY463" s="38">
        <f>IFERROR(INDEX(LMH_STEP,MATCH(AK463,LMH_KEY,0)),0)</f>
        <v>0</v>
      </c>
      <c r="BZ463" s="38">
        <f>IFERROR(INDEX(LMH_STEP,MATCH(AL463,LMH_KEY,0)),0)</f>
        <v>0</v>
      </c>
      <c r="CA463" s="38" t="inlineStr">
        <is>
          <t>iFile|Technology|Senior Business Analyst|B1|B-IC</t>
        </is>
      </c>
    </row>
    <row r="464" ht="110" customHeight="1">
      <c r="A464" s="28" t="inlineStr">
        <is>
          <t>iFile</t>
        </is>
      </c>
      <c r="B464" s="29" t="inlineStr">
        <is>
          <t>Technology</t>
        </is>
      </c>
      <c r="C464" s="29" t="n">
        <v>3</v>
      </c>
      <c r="D464" s="29" t="inlineStr">
        <is>
          <t>IRIS2528</t>
        </is>
      </c>
      <c r="E464" s="29" t="inlineStr">
        <is>
          <t>Ghanshyam L Desale</t>
        </is>
      </c>
      <c r="F464" s="29" t="inlineStr">
        <is>
          <t>Software Engineer</t>
        </is>
      </c>
      <c r="G464" s="29" t="inlineStr">
        <is>
          <t>Senior UI Developer</t>
        </is>
      </c>
      <c r="H464" s="29" t="inlineStr">
        <is>
          <t>Engineering &amp; Development</t>
        </is>
      </c>
      <c r="I464" s="29" t="inlineStr">
        <is>
          <t>Front-End / UI Development</t>
        </is>
      </c>
      <c r="J464" s="29" t="inlineStr">
        <is>
          <t>IC</t>
        </is>
      </c>
      <c r="K464" s="29" t="inlineStr">
        <is>
          <t>RC-081</t>
        </is>
      </c>
      <c r="L464" s="29" t="inlineStr">
        <is>
          <t>Srikant Mishra</t>
        </is>
      </c>
      <c r="M464" s="29" t="inlineStr">
        <is>
          <t>IRIS2364</t>
        </is>
      </c>
      <c r="N464" s="29" t="n">
        <v>3.8</v>
      </c>
      <c r="O464" s="29" t="n">
        <v>0.4</v>
      </c>
      <c r="P464" s="29" t="inlineStr">
        <is>
          <t>B.E</t>
        </is>
      </c>
      <c r="Q464" s="29" t="inlineStr">
        <is>
          <t>L3 – Professional / Associate</t>
        </is>
      </c>
      <c r="R464" s="29" t="inlineStr">
        <is>
          <t>A3</t>
        </is>
      </c>
      <c r="S464" s="30" t="inlineStr">
        <is>
          <t>20 of 20</t>
        </is>
      </c>
      <c r="T464" s="31"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t>
        </is>
      </c>
      <c r="U464" s="31" t="inlineStr">
        <is>
          <t>Received · manager annual, quarterly, self · 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t>
        </is>
      </c>
      <c r="V464" s="31" t="inlineStr">
        <is>
          <t>Latest rating: 3 · Potential: Medium · 9-box: Core Contributor · Readiness: Develop in role</t>
        </is>
      </c>
      <c r="W464" s="31" t="inlineStr">
        <is>
          <t>C M · Au L · Ac M · L L · BI M · Exp M · 3.8 yrs vs 2–4 yrs · Edu M · B.E</t>
        </is>
      </c>
      <c r="X464" s="33" t="inlineStr">
        <is>
          <t>Open ▸</t>
        </is>
      </c>
      <c r="Y464" s="34" t="str">
        <f>IFERROR(INDEX(DL_C,MATCH($CA464,DL_KEY,0)),"M")</f>
        <v>H</v>
      </c>
      <c r="Z464" s="35" t="str">
        <f>IFERROR(INDEX(DL_Au,MATCH($CA464,DL_KEY,0)),"M")</f>
        <v>M</v>
      </c>
      <c r="AA464" s="35" t="str">
        <f>IFERROR(INDEX(DL_Ac,MATCH($CA464,DL_KEY,0)),"M")</f>
        <v>L</v>
      </c>
      <c r="AB464" s="35" t="str">
        <f>IFERROR(INDEX(DL_L,MATCH($CA464,DL_KEY,0)),"M")</f>
        <v>L</v>
      </c>
      <c r="AC464" s="35" t="str">
        <f>IFERROR(INDEX(DL_BI,MATCH($CA464,DL_KEY,0)),"M")</f>
        <v>L</v>
      </c>
      <c r="AD464" s="35" t="str">
        <f>IFERROR(INDEX(DL_Exp,MATCH($CA464,DL_KEY,0)),"M")</f>
        <v>L</v>
      </c>
      <c r="AE464" s="35" t="str">
        <f>IFERROR(INDEX(DL_Edu,MATCH($CA464,DL_KEY,0)),"M")</f>
        <v>L</v>
      </c>
      <c r="AF464" s="34" t="inlineStr">
        <is>
          <t>M</t>
        </is>
      </c>
      <c r="AG464" s="35" t="inlineStr">
        <is>
          <t>M</t>
        </is>
      </c>
      <c r="AH464" s="35" t="inlineStr">
        <is>
          <t>M</t>
        </is>
      </c>
      <c r="AI464" s="35" t="inlineStr">
        <is>
          <t>M</t>
        </is>
      </c>
      <c r="AJ464" s="35" t="inlineStr">
        <is>
          <t>M</t>
        </is>
      </c>
      <c r="AK464" s="35" t="inlineStr">
        <is>
          <t>M</t>
        </is>
      </c>
      <c r="AL464" s="35" t="inlineStr">
        <is>
          <t>M</t>
        </is>
      </c>
      <c r="AM464" s="36" t="n">
        <v>0.583</v>
      </c>
      <c r="AN464" s="37" t="n">
        <v>0.16</v>
      </c>
      <c r="AO464" s="37" t="n">
        <v>0.09</v>
      </c>
      <c r="AP464" s="37" t="n">
        <v>0</v>
      </c>
      <c r="AQ464" s="37" t="n">
        <v>0.063</v>
      </c>
      <c r="AR464" s="37" t="n">
        <v>0.06</v>
      </c>
      <c r="AS464" s="37" t="n">
        <v>0.04</v>
      </c>
      <c r="AT464" s="38" t="inlineStr">
        <is>
          <t>2–5</t>
        </is>
      </c>
      <c r="AU464" s="38" t="inlineStr">
        <is>
          <t>Graduate; relevant certification preferred</t>
        </is>
      </c>
      <c r="AV464" s="38" t="inlineStr">
        <is>
          <t>None · guides 1–3 juniors informally</t>
        </is>
      </c>
      <c r="AW464" s="38" t="inlineStr">
        <is>
          <t>P2 · SFIA 3 Apply</t>
        </is>
      </c>
      <c r="AX4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4" s="39" t="inlineStr">
        <is>
          <t>A3</t>
        </is>
      </c>
      <c r="AZ464" s="40" t="inlineStr">
        <is>
          <t>Band A · Practitioner · Senior Associate</t>
        </is>
      </c>
      <c r="BA464" s="40" t="inlineStr">
        <is>
          <t>Model A3 from the six ratings, the market-derived weights and rules R1–R13 · then No change · already below the manager</t>
        </is>
      </c>
      <c r="BB464" s="41" t="inlineStr">
        <is>
          <t>A3</t>
        </is>
      </c>
      <c r="BC464" s="40" t="inlineStr">
        <is>
          <t>The six ratings on the market-average weights of Band A · all tracks score 2.55 → A3 · Hay, Mercer IPE and public plans · experience 3.8 yrs vs the A3 market range 2–5</t>
        </is>
      </c>
      <c r="BD464" s="42">
        <f>IF(SUM(BM464,BN464,BO464,BP464,BQ464,BR464,BS464)=0,0,(BM464*BT464+BN464*BU464+BO464*BV464+BP464*BW464+BQ464*BX464+BR464*BY464+BS464*BZ464)/SUM(BM464,BN464,BO464,BP464,BQ464,BR464,BS464))</f>
        <v>0</v>
      </c>
      <c r="BE464" s="41" t="str">
        <f>IF(LEFT(AY464,1)="X",AY464,IF(OR(AY464="B+",AY464="C+"),INDEX(LAD_PC,MAX(1,MIN(14,MATCH(AY464,LAD_PC,0)+IF(BD464&gt;=0.5,1,IF(BD464&lt;=-0.5,-1,0))))),INDEX(LAD_STD,MAX(1,MIN(12,MATCH(AY464,LAD_STD,0)+IF(BD464&gt;=0.5,1,IF(BD464&lt;=-0.5,-1,0)))))))</f>
        <v>A3</v>
      </c>
      <c r="BF464" s="43" t="n"/>
      <c r="BG464" s="41" t="str">
        <f>IF(BF464&lt;&gt;"",BF464,BE464)</f>
        <v>A3</v>
      </c>
      <c r="BH464" s="40" t="str">
        <f>IFERROR(CHOOSE(INDEX(B_RANK,MATCH(BG464,B_LVL,0)),"Band A","Band B","B+ · Player-Coach","Band C","C+ · Player-Coach","Band D","Band E"),"Band X · Consultant")</f>
        <v>Band A</v>
      </c>
      <c r="BI464" s="40" t="str">
        <f>IF(BG464=AY464,"• Same",IF(INDEX(B_VAL,MATCH(BG464,B_LVL,0))&gt;INDEX(B_VAL,MATCH(AY464,B_LVL,0)),"▲ Up","▼ Down"))</f>
        <v>• Same</v>
      </c>
      <c r="BJ464" s="40" t="str">
        <f>IF(OR($M464="",$M464="—",$M464="Not in this file"),"",IFERROR(INDEX($BG$7:$BG$592,MATCH($M464,$D$7:$D$592,0)),""))</f>
        <v>B1</v>
      </c>
      <c r="BK464" s="40" t="str">
        <f>IFERROR(IF(BJ464="","—",IF(OR(LEFT(BG464,1)="X",LEFT(BJ464,1)="X"),"—",IF(AND(LEFT(BG464,1)="E",LEFT(BJ464,1)="E"),"Exception · Band E",IF(AND(INDEX(B_VAL,MATCH(BJ464,B_LVL,0))&gt;=7,INDEX(B_RANK,MATCH(BG464,B_LVL,0))&gt;=INDEX(B_RANK,MATCH(BJ464,B_LVL,0))),"⚠ Same band as a head manager",IF(INDEX(B_VAL,MATCH(BG464,B_LVL,0))&gt;=INDEX(B_VAL,MATCH(BJ464,B_LVL,0)),"⚠ At or above the manager's level","OK"))))),"—")</f>
        <v>OK</v>
      </c>
      <c r="BL464" s="43" t="n"/>
      <c r="BM464" s="44">
        <f>IFERROR(INDEX(LMH_PTS,MATCH(Y464,LMH_KEY,0)),0)</f>
        <v>9</v>
      </c>
      <c r="BN464" s="38">
        <f>IFERROR(INDEX(LMH_PTS,MATCH(Z464,LMH_KEY,0)),0)</f>
        <v>3</v>
      </c>
      <c r="BO464" s="38">
        <f>IFERROR(INDEX(LMH_PTS,MATCH(AA464,LMH_KEY,0)),0)</f>
        <v>1</v>
      </c>
      <c r="BP464" s="38">
        <f>IFERROR(INDEX(LMH_PTS,MATCH(AB464,LMH_KEY,0)),0)</f>
        <v>1</v>
      </c>
      <c r="BQ464" s="38">
        <f>IFERROR(INDEX(LMH_PTS,MATCH(AC464,LMH_KEY,0)),0)</f>
        <v>1</v>
      </c>
      <c r="BR464" s="38">
        <f>IFERROR(INDEX(LMH_PTS,MATCH(AD464,LMH_KEY,0)),0)</f>
        <v>1</v>
      </c>
      <c r="BS464" s="38">
        <f>IFERROR(INDEX(LMH_PTS,MATCH(AE464,LMH_KEY,0)),0)</f>
        <v>1</v>
      </c>
      <c r="BT464" s="38">
        <f>IFERROR(INDEX(LMH_STEP,MATCH(AF464,LMH_KEY,0)),0)</f>
        <v>0</v>
      </c>
      <c r="BU464" s="38">
        <f>IFERROR(INDEX(LMH_STEP,MATCH(AG464,LMH_KEY,0)),0)</f>
        <v>0</v>
      </c>
      <c r="BV464" s="38">
        <f>IFERROR(INDEX(LMH_STEP,MATCH(AH464,LMH_KEY,0)),0)</f>
        <v>0</v>
      </c>
      <c r="BW464" s="38">
        <f>IFERROR(INDEX(LMH_STEP,MATCH(AI464,LMH_KEY,0)),0)</f>
        <v>0</v>
      </c>
      <c r="BX464" s="38">
        <f>IFERROR(INDEX(LMH_STEP,MATCH(AJ464,LMH_KEY,0)),0)</f>
        <v>0</v>
      </c>
      <c r="BY464" s="38">
        <f>IFERROR(INDEX(LMH_STEP,MATCH(AK464,LMH_KEY,0)),0)</f>
        <v>0</v>
      </c>
      <c r="BZ464" s="38">
        <f>IFERROR(INDEX(LMH_STEP,MATCH(AL464,LMH_KEY,0)),0)</f>
        <v>0</v>
      </c>
      <c r="CA464" s="38" t="inlineStr">
        <is>
          <t>iFile|Technology|Senior UI Developer|A3|A</t>
        </is>
      </c>
    </row>
    <row r="465" ht="110" customHeight="1">
      <c r="A465" s="28" t="inlineStr">
        <is>
          <t>iFile</t>
        </is>
      </c>
      <c r="B465" s="29" t="inlineStr">
        <is>
          <t>Technology</t>
        </is>
      </c>
      <c r="C465" s="29" t="n">
        <v>3</v>
      </c>
      <c r="D465" s="29" t="inlineStr">
        <is>
          <t>IRIS2424</t>
        </is>
      </c>
      <c r="E465" s="29" t="inlineStr">
        <is>
          <t>Saurabh Padalkar</t>
        </is>
      </c>
      <c r="F465" s="29" t="inlineStr">
        <is>
          <t>Software Engineer</t>
        </is>
      </c>
      <c r="G465" s="29" t="inlineStr">
        <is>
          <t>Senior AI/ML Engineer</t>
        </is>
      </c>
      <c r="H465" s="29" t="inlineStr">
        <is>
          <t>Engineering &amp; Development</t>
        </is>
      </c>
      <c r="I465" s="29" t="inlineStr">
        <is>
          <t>AI / ML &amp; GenAI Engineering</t>
        </is>
      </c>
      <c r="J465" s="29" t="inlineStr">
        <is>
          <t>IC</t>
        </is>
      </c>
      <c r="K465" s="29" t="inlineStr">
        <is>
          <t>RC-060</t>
        </is>
      </c>
      <c r="L465" s="29" t="inlineStr">
        <is>
          <t>Srikant Mishra</t>
        </is>
      </c>
      <c r="M465" s="29" t="inlineStr">
        <is>
          <t>IRIS2364</t>
        </is>
      </c>
      <c r="N465" s="29" t="n">
        <v>4.1</v>
      </c>
      <c r="O465" s="29" t="n">
        <v>1.1</v>
      </c>
      <c r="P465" s="29" t="inlineStr">
        <is>
          <t>B.E</t>
        </is>
      </c>
      <c r="Q465" s="29" t="inlineStr">
        <is>
          <t>L3 – Professional / Associate</t>
        </is>
      </c>
      <c r="R465" s="29" t="inlineStr">
        <is>
          <t>A3</t>
        </is>
      </c>
      <c r="S465" s="30" t="inlineStr">
        <is>
          <t>20 of 20</t>
        </is>
      </c>
      <c r="T465" s="31"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t>
        </is>
      </c>
      <c r="U465" s="31" t="inlineStr">
        <is>
          <t>Received · manager annual, quarterly, self · 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t>
        </is>
      </c>
      <c r="V465" s="31" t="inlineStr">
        <is>
          <t>Latest rating: 3 · Potential: Medium · 9-box: Core Contributor · Readiness: Develop in role</t>
        </is>
      </c>
      <c r="W465" s="31" t="inlineStr">
        <is>
          <t>C M · Au L · Ac M · L L · BI M · Exp H · 4.1 yrs vs 2–4 yrs · Edu M · B.E</t>
        </is>
      </c>
      <c r="X465" s="33" t="inlineStr">
        <is>
          <t>Open ▸</t>
        </is>
      </c>
      <c r="Y465" s="34" t="str">
        <f>IFERROR(INDEX(DL_C,MATCH($CA465,DL_KEY,0)),"M")</f>
        <v>H</v>
      </c>
      <c r="Z465" s="35" t="str">
        <f>IFERROR(INDEX(DL_Au,MATCH($CA465,DL_KEY,0)),"M")</f>
        <v>M</v>
      </c>
      <c r="AA465" s="35" t="str">
        <f>IFERROR(INDEX(DL_Ac,MATCH($CA465,DL_KEY,0)),"M")</f>
        <v>L</v>
      </c>
      <c r="AB465" s="35" t="str">
        <f>IFERROR(INDEX(DL_L,MATCH($CA465,DL_KEY,0)),"M")</f>
        <v>L</v>
      </c>
      <c r="AC465" s="35" t="str">
        <f>IFERROR(INDEX(DL_BI,MATCH($CA465,DL_KEY,0)),"M")</f>
        <v>L</v>
      </c>
      <c r="AD465" s="35" t="str">
        <f>IFERROR(INDEX(DL_Exp,MATCH($CA465,DL_KEY,0)),"M")</f>
        <v>L</v>
      </c>
      <c r="AE465" s="35" t="str">
        <f>IFERROR(INDEX(DL_Edu,MATCH($CA465,DL_KEY,0)),"M")</f>
        <v>L</v>
      </c>
      <c r="AF465" s="34" t="inlineStr">
        <is>
          <t>M</t>
        </is>
      </c>
      <c r="AG465" s="35" t="inlineStr">
        <is>
          <t>M</t>
        </is>
      </c>
      <c r="AH465" s="35" t="inlineStr">
        <is>
          <t>M</t>
        </is>
      </c>
      <c r="AI465" s="35" t="inlineStr">
        <is>
          <t>M</t>
        </is>
      </c>
      <c r="AJ465" s="35" t="inlineStr">
        <is>
          <t>M</t>
        </is>
      </c>
      <c r="AK465" s="35" t="inlineStr">
        <is>
          <t>M</t>
        </is>
      </c>
      <c r="AL465" s="35" t="inlineStr">
        <is>
          <t>M</t>
        </is>
      </c>
      <c r="AM465" s="36" t="n">
        <v>0.583</v>
      </c>
      <c r="AN465" s="37" t="n">
        <v>0.16</v>
      </c>
      <c r="AO465" s="37" t="n">
        <v>0.09</v>
      </c>
      <c r="AP465" s="37" t="n">
        <v>0</v>
      </c>
      <c r="AQ465" s="37" t="n">
        <v>0.063</v>
      </c>
      <c r="AR465" s="37" t="n">
        <v>0.06</v>
      </c>
      <c r="AS465" s="37" t="n">
        <v>0.04</v>
      </c>
      <c r="AT465" s="38" t="inlineStr">
        <is>
          <t>2–5</t>
        </is>
      </c>
      <c r="AU465" s="38" t="inlineStr">
        <is>
          <t>Graduate; relevant certification preferred</t>
        </is>
      </c>
      <c r="AV465" s="38" t="inlineStr">
        <is>
          <t>None · guides 1–3 juniors informally</t>
        </is>
      </c>
      <c r="AW465" s="38" t="inlineStr">
        <is>
          <t>P2 · SFIA 3 Apply</t>
        </is>
      </c>
      <c r="AX4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5" s="39" t="inlineStr">
        <is>
          <t>A3</t>
        </is>
      </c>
      <c r="AZ465" s="40" t="inlineStr">
        <is>
          <t>Band A · Practitioner · Senior Associate</t>
        </is>
      </c>
      <c r="BA465" s="40" t="inlineStr">
        <is>
          <t>Model A3 from the six ratings, the market-derived weights and rules R1–R13 · then No change · already below the manager</t>
        </is>
      </c>
      <c r="BB465" s="41" t="inlineStr">
        <is>
          <t>A3</t>
        </is>
      </c>
      <c r="BC465" s="40" t="inlineStr">
        <is>
          <t>The six ratings on the market-average weights of Band A · all tracks score 2.52 → A3 · Hay, Mercer IPE and public plans · experience 4.1 yrs vs the A3 market range 2–5</t>
        </is>
      </c>
      <c r="BD465" s="42">
        <f>IF(SUM(BM465,BN465,BO465,BP465,BQ465,BR465,BS465)=0,0,(BM465*BT465+BN465*BU465+BO465*BV465+BP465*BW465+BQ465*BX465+BR465*BY465+BS465*BZ465)/SUM(BM465,BN465,BO465,BP465,BQ465,BR465,BS465))</f>
        <v>0</v>
      </c>
      <c r="BE465" s="41" t="str">
        <f>IF(LEFT(AY465,1)="X",AY465,IF(OR(AY465="B+",AY465="C+"),INDEX(LAD_PC,MAX(1,MIN(14,MATCH(AY465,LAD_PC,0)+IF(BD465&gt;=0.5,1,IF(BD465&lt;=-0.5,-1,0))))),INDEX(LAD_STD,MAX(1,MIN(12,MATCH(AY465,LAD_STD,0)+IF(BD465&gt;=0.5,1,IF(BD465&lt;=-0.5,-1,0)))))))</f>
        <v>A3</v>
      </c>
      <c r="BF465" s="43" t="n"/>
      <c r="BG465" s="41" t="str">
        <f>IF(BF465&lt;&gt;"",BF465,BE465)</f>
        <v>A3</v>
      </c>
      <c r="BH465" s="40" t="str">
        <f>IFERROR(CHOOSE(INDEX(B_RANK,MATCH(BG465,B_LVL,0)),"Band A","Band B","B+ · Player-Coach","Band C","C+ · Player-Coach","Band D","Band E"),"Band X · Consultant")</f>
        <v>Band A</v>
      </c>
      <c r="BI465" s="40" t="str">
        <f>IF(BG465=AY465,"• Same",IF(INDEX(B_VAL,MATCH(BG465,B_LVL,0))&gt;INDEX(B_VAL,MATCH(AY465,B_LVL,0)),"▲ Up","▼ Down"))</f>
        <v>• Same</v>
      </c>
      <c r="BJ465" s="40" t="str">
        <f>IF(OR($M465="",$M465="—",$M465="Not in this file"),"",IFERROR(INDEX($BG$7:$BG$592,MATCH($M465,$D$7:$D$592,0)),""))</f>
        <v>B1</v>
      </c>
      <c r="BK465" s="40" t="str">
        <f>IFERROR(IF(BJ465="","—",IF(OR(LEFT(BG465,1)="X",LEFT(BJ465,1)="X"),"—",IF(AND(LEFT(BG465,1)="E",LEFT(BJ465,1)="E"),"Exception · Band E",IF(AND(INDEX(B_VAL,MATCH(BJ465,B_LVL,0))&gt;=7,INDEX(B_RANK,MATCH(BG465,B_LVL,0))&gt;=INDEX(B_RANK,MATCH(BJ465,B_LVL,0))),"⚠ Same band as a head manager",IF(INDEX(B_VAL,MATCH(BG465,B_LVL,0))&gt;=INDEX(B_VAL,MATCH(BJ465,B_LVL,0)),"⚠ At or above the manager's level","OK"))))),"—")</f>
        <v>OK</v>
      </c>
      <c r="BL465" s="43" t="n"/>
      <c r="BM465" s="44">
        <f>IFERROR(INDEX(LMH_PTS,MATCH(Y465,LMH_KEY,0)),0)</f>
        <v>9</v>
      </c>
      <c r="BN465" s="38">
        <f>IFERROR(INDEX(LMH_PTS,MATCH(Z465,LMH_KEY,0)),0)</f>
        <v>3</v>
      </c>
      <c r="BO465" s="38">
        <f>IFERROR(INDEX(LMH_PTS,MATCH(AA465,LMH_KEY,0)),0)</f>
        <v>1</v>
      </c>
      <c r="BP465" s="38">
        <f>IFERROR(INDEX(LMH_PTS,MATCH(AB465,LMH_KEY,0)),0)</f>
        <v>1</v>
      </c>
      <c r="BQ465" s="38">
        <f>IFERROR(INDEX(LMH_PTS,MATCH(AC465,LMH_KEY,0)),0)</f>
        <v>1</v>
      </c>
      <c r="BR465" s="38">
        <f>IFERROR(INDEX(LMH_PTS,MATCH(AD465,LMH_KEY,0)),0)</f>
        <v>1</v>
      </c>
      <c r="BS465" s="38">
        <f>IFERROR(INDEX(LMH_PTS,MATCH(AE465,LMH_KEY,0)),0)</f>
        <v>1</v>
      </c>
      <c r="BT465" s="38">
        <f>IFERROR(INDEX(LMH_STEP,MATCH(AF465,LMH_KEY,0)),0)</f>
        <v>0</v>
      </c>
      <c r="BU465" s="38">
        <f>IFERROR(INDEX(LMH_STEP,MATCH(AG465,LMH_KEY,0)),0)</f>
        <v>0</v>
      </c>
      <c r="BV465" s="38">
        <f>IFERROR(INDEX(LMH_STEP,MATCH(AH465,LMH_KEY,0)),0)</f>
        <v>0</v>
      </c>
      <c r="BW465" s="38">
        <f>IFERROR(INDEX(LMH_STEP,MATCH(AI465,LMH_KEY,0)),0)</f>
        <v>0</v>
      </c>
      <c r="BX465" s="38">
        <f>IFERROR(INDEX(LMH_STEP,MATCH(AJ465,LMH_KEY,0)),0)</f>
        <v>0</v>
      </c>
      <c r="BY465" s="38">
        <f>IFERROR(INDEX(LMH_STEP,MATCH(AK465,LMH_KEY,0)),0)</f>
        <v>0</v>
      </c>
      <c r="BZ465" s="38">
        <f>IFERROR(INDEX(LMH_STEP,MATCH(AL465,LMH_KEY,0)),0)</f>
        <v>0</v>
      </c>
      <c r="CA465" s="38" t="inlineStr">
        <is>
          <t>iFile|Technology|Senior AI/ML Engineer|A3|A</t>
        </is>
      </c>
    </row>
    <row r="466" ht="110" customHeight="1">
      <c r="A466" s="28" t="inlineStr">
        <is>
          <t>iFile</t>
        </is>
      </c>
      <c r="B466" s="29" t="inlineStr">
        <is>
          <t>XBRL Consulting</t>
        </is>
      </c>
      <c r="C466" s="29" t="n">
        <v>2</v>
      </c>
      <c r="D466" s="29" t="inlineStr">
        <is>
          <t>IRIS0124</t>
        </is>
      </c>
      <c r="E466" s="29" t="inlineStr">
        <is>
          <t>Surekha Ghadigaonkar</t>
        </is>
      </c>
      <c r="F466" s="29" t="inlineStr">
        <is>
          <t>Senior Analyst</t>
        </is>
      </c>
      <c r="G466" s="29" t="inlineStr">
        <is>
          <t>Senior Taxonomy Analyst</t>
        </is>
      </c>
      <c r="H466" s="29" t="inlineStr">
        <is>
          <t>Consulting &amp; Professional Services</t>
        </is>
      </c>
      <c r="I466" s="29" t="inlineStr">
        <is>
          <t>Taxonomy Design &amp; Regulatory Consulting</t>
        </is>
      </c>
      <c r="J466" s="29" t="inlineStr">
        <is>
          <t>IC</t>
        </is>
      </c>
      <c r="K466" s="29" t="inlineStr">
        <is>
          <t>RC-019</t>
        </is>
      </c>
      <c r="L466" s="29" t="inlineStr">
        <is>
          <t>Rahul Dhamne</t>
        </is>
      </c>
      <c r="M466" s="29" t="inlineStr">
        <is>
          <t>IRIS0362</t>
        </is>
      </c>
      <c r="N466" s="29" t="n">
        <v>20</v>
      </c>
      <c r="O466" s="29" t="n">
        <v>19</v>
      </c>
      <c r="P466" s="29" t="inlineStr">
        <is>
          <t>B.Com</t>
        </is>
      </c>
      <c r="Q466" s="29" t="inlineStr">
        <is>
          <t>L4 – Senior</t>
        </is>
      </c>
      <c r="R466" s="29" t="inlineStr">
        <is>
          <t>A3</t>
        </is>
      </c>
      <c r="S466" s="30" t="inlineStr">
        <is>
          <t>20 of 20</t>
        </is>
      </c>
      <c r="T466" s="31"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t>
        </is>
      </c>
      <c r="U466"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6" s="31" t="inlineStr">
        <is>
          <t>Latest rating: 3 · Potential: High · 9-box: Core Contributor · Readiness: Ready in 6–12 months</t>
        </is>
      </c>
      <c r="W466" s="31" t="inlineStr">
        <is>
          <t>C M · Au M · Ac M · L L · BI M · Exp H · 20 yrs vs 2–4 yrs · Edu M · B.Com</t>
        </is>
      </c>
      <c r="X466" s="33" t="inlineStr">
        <is>
          <t>Open ▸</t>
        </is>
      </c>
      <c r="Y466" s="34" t="str">
        <f>IFERROR(INDEX(DL_C,MATCH($CA466,DL_KEY,0)),"M")</f>
        <v>H</v>
      </c>
      <c r="Z466" s="35" t="str">
        <f>IFERROR(INDEX(DL_Au,MATCH($CA466,DL_KEY,0)),"M")</f>
        <v>M</v>
      </c>
      <c r="AA466" s="35" t="str">
        <f>IFERROR(INDEX(DL_Ac,MATCH($CA466,DL_KEY,0)),"M")</f>
        <v>M</v>
      </c>
      <c r="AB466" s="35" t="str">
        <f>IFERROR(INDEX(DL_L,MATCH($CA466,DL_KEY,0)),"M")</f>
        <v>L</v>
      </c>
      <c r="AC466" s="35" t="str">
        <f>IFERROR(INDEX(DL_BI,MATCH($CA466,DL_KEY,0)),"M")</f>
        <v>L</v>
      </c>
      <c r="AD466" s="35" t="str">
        <f>IFERROR(INDEX(DL_Exp,MATCH($CA466,DL_KEY,0)),"M")</f>
        <v>L</v>
      </c>
      <c r="AE466" s="35" t="str">
        <f>IFERROR(INDEX(DL_Edu,MATCH($CA466,DL_KEY,0)),"M")</f>
        <v>L</v>
      </c>
      <c r="AF466" s="34" t="inlineStr">
        <is>
          <t>M</t>
        </is>
      </c>
      <c r="AG466" s="35" t="inlineStr">
        <is>
          <t>M</t>
        </is>
      </c>
      <c r="AH466" s="35" t="inlineStr">
        <is>
          <t>M</t>
        </is>
      </c>
      <c r="AI466" s="35" t="inlineStr">
        <is>
          <t>M</t>
        </is>
      </c>
      <c r="AJ466" s="35" t="inlineStr">
        <is>
          <t>M</t>
        </is>
      </c>
      <c r="AK466" s="35" t="inlineStr">
        <is>
          <t>M</t>
        </is>
      </c>
      <c r="AL466" s="35" t="inlineStr">
        <is>
          <t>M</t>
        </is>
      </c>
      <c r="AM466" s="36" t="n">
        <v>0.583</v>
      </c>
      <c r="AN466" s="37" t="n">
        <v>0.16</v>
      </c>
      <c r="AO466" s="37" t="n">
        <v>0.09</v>
      </c>
      <c r="AP466" s="37" t="n">
        <v>0</v>
      </c>
      <c r="AQ466" s="37" t="n">
        <v>0.063</v>
      </c>
      <c r="AR466" s="37" t="n">
        <v>0.06</v>
      </c>
      <c r="AS466" s="37" t="n">
        <v>0.04</v>
      </c>
      <c r="AT466" s="38" t="inlineStr">
        <is>
          <t>2–5</t>
        </is>
      </c>
      <c r="AU466" s="38" t="inlineStr">
        <is>
          <t>Graduate; relevant certification preferred</t>
        </is>
      </c>
      <c r="AV466" s="38" t="inlineStr">
        <is>
          <t>None · guides 1–3 juniors informally</t>
        </is>
      </c>
      <c r="AW466" s="38" t="inlineStr">
        <is>
          <t>P2 · SFIA 3 Apply</t>
        </is>
      </c>
      <c r="AX4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6" s="39" t="inlineStr">
        <is>
          <t>A3</t>
        </is>
      </c>
      <c r="AZ466" s="40" t="inlineStr">
        <is>
          <t>Band A · Practitioner · Senior Associate</t>
        </is>
      </c>
      <c r="BA466" s="40" t="inlineStr">
        <is>
          <t>Model A3 from the six ratings, the market-derived weights and rules R1–R13 · then No change · already below the manager</t>
        </is>
      </c>
      <c r="BB466" s="41" t="inlineStr">
        <is>
          <t>A3</t>
        </is>
      </c>
      <c r="BC466" s="40" t="inlineStr">
        <is>
          <t>The six ratings on the market-average weights of Band A · all tracks score 3.50 → A3 · Hay, Mercer IPE and public plans · experience 20 yrs vs the A3 market range 2–5</t>
        </is>
      </c>
      <c r="BD466" s="42">
        <f>IF(SUM(BM466,BN466,BO466,BP466,BQ466,BR466,BS466)=0,0,(BM466*BT466+BN466*BU466+BO466*BV466+BP466*BW466+BQ466*BX466+BR466*BY466+BS466*BZ466)/SUM(BM466,BN466,BO466,BP466,BQ466,BR466,BS466))</f>
        <v>0</v>
      </c>
      <c r="BE466" s="41" t="str">
        <f>IF(LEFT(AY466,1)="X",AY466,IF(OR(AY466="B+",AY466="C+"),INDEX(LAD_PC,MAX(1,MIN(14,MATCH(AY466,LAD_PC,0)+IF(BD466&gt;=0.5,1,IF(BD466&lt;=-0.5,-1,0))))),INDEX(LAD_STD,MAX(1,MIN(12,MATCH(AY466,LAD_STD,0)+IF(BD466&gt;=0.5,1,IF(BD466&lt;=-0.5,-1,0)))))))</f>
        <v>A3</v>
      </c>
      <c r="BF466" s="43" t="n"/>
      <c r="BG466" s="41" t="str">
        <f>IF(BF466&lt;&gt;"",BF466,BE466)</f>
        <v>A3</v>
      </c>
      <c r="BH466" s="40" t="str">
        <f>IFERROR(CHOOSE(INDEX(B_RANK,MATCH(BG466,B_LVL,0)),"Band A","Band B","B+ · Player-Coach","Band C","C+ · Player-Coach","Band D","Band E"),"Band X · Consultant")</f>
        <v>Band A</v>
      </c>
      <c r="BI466" s="40" t="str">
        <f>IF(BG466=AY466,"• Same",IF(INDEX(B_VAL,MATCH(BG466,B_LVL,0))&gt;INDEX(B_VAL,MATCH(AY466,B_LVL,0)),"▲ Up","▼ Down"))</f>
        <v>• Same</v>
      </c>
      <c r="BJ466" s="40" t="str">
        <f>IF(OR($M466="",$M466="—",$M466="Not in this file"),"",IFERROR(INDEX($BG$7:$BG$592,MATCH($M466,$D$7:$D$592,0)),""))</f>
        <v>C2</v>
      </c>
      <c r="BK466" s="40" t="str">
        <f>IFERROR(IF(BJ466="","—",IF(OR(LEFT(BG466,1)="X",LEFT(BJ466,1)="X"),"—",IF(AND(LEFT(BG466,1)="E",LEFT(BJ466,1)="E"),"Exception · Band E",IF(AND(INDEX(B_VAL,MATCH(BJ466,B_LVL,0))&gt;=7,INDEX(B_RANK,MATCH(BG466,B_LVL,0))&gt;=INDEX(B_RANK,MATCH(BJ466,B_LVL,0))),"⚠ Same band as a head manager",IF(INDEX(B_VAL,MATCH(BG466,B_LVL,0))&gt;=INDEX(B_VAL,MATCH(BJ466,B_LVL,0)),"⚠ At or above the manager's level","OK"))))),"—")</f>
        <v>OK</v>
      </c>
      <c r="BL466" s="43" t="n"/>
      <c r="BM466" s="44">
        <f>IFERROR(INDEX(LMH_PTS,MATCH(Y466,LMH_KEY,0)),0)</f>
        <v>9</v>
      </c>
      <c r="BN466" s="38">
        <f>IFERROR(INDEX(LMH_PTS,MATCH(Z466,LMH_KEY,0)),0)</f>
        <v>3</v>
      </c>
      <c r="BO466" s="38">
        <f>IFERROR(INDEX(LMH_PTS,MATCH(AA466,LMH_KEY,0)),0)</f>
        <v>3</v>
      </c>
      <c r="BP466" s="38">
        <f>IFERROR(INDEX(LMH_PTS,MATCH(AB466,LMH_KEY,0)),0)</f>
        <v>1</v>
      </c>
      <c r="BQ466" s="38">
        <f>IFERROR(INDEX(LMH_PTS,MATCH(AC466,LMH_KEY,0)),0)</f>
        <v>1</v>
      </c>
      <c r="BR466" s="38">
        <f>IFERROR(INDEX(LMH_PTS,MATCH(AD466,LMH_KEY,0)),0)</f>
        <v>1</v>
      </c>
      <c r="BS466" s="38">
        <f>IFERROR(INDEX(LMH_PTS,MATCH(AE466,LMH_KEY,0)),0)</f>
        <v>1</v>
      </c>
      <c r="BT466" s="38">
        <f>IFERROR(INDEX(LMH_STEP,MATCH(AF466,LMH_KEY,0)),0)</f>
        <v>0</v>
      </c>
      <c r="BU466" s="38">
        <f>IFERROR(INDEX(LMH_STEP,MATCH(AG466,LMH_KEY,0)),0)</f>
        <v>0</v>
      </c>
      <c r="BV466" s="38">
        <f>IFERROR(INDEX(LMH_STEP,MATCH(AH466,LMH_KEY,0)),0)</f>
        <v>0</v>
      </c>
      <c r="BW466" s="38">
        <f>IFERROR(INDEX(LMH_STEP,MATCH(AI466,LMH_KEY,0)),0)</f>
        <v>0</v>
      </c>
      <c r="BX466" s="38">
        <f>IFERROR(INDEX(LMH_STEP,MATCH(AJ466,LMH_KEY,0)),0)</f>
        <v>0</v>
      </c>
      <c r="BY466" s="38">
        <f>IFERROR(INDEX(LMH_STEP,MATCH(AK466,LMH_KEY,0)),0)</f>
        <v>0</v>
      </c>
      <c r="BZ466" s="38">
        <f>IFERROR(INDEX(LMH_STEP,MATCH(AL466,LMH_KEY,0)),0)</f>
        <v>0</v>
      </c>
      <c r="CA466" s="38" t="inlineStr">
        <is>
          <t>iFile|XBRL Consulting|Senior Taxonomy Analyst|A3|A</t>
        </is>
      </c>
    </row>
    <row r="467" ht="110" customHeight="1">
      <c r="A467" s="28" t="inlineStr">
        <is>
          <t>iFile</t>
        </is>
      </c>
      <c r="B467" s="29" t="inlineStr">
        <is>
          <t>Technology</t>
        </is>
      </c>
      <c r="C467" s="29" t="n">
        <v>2</v>
      </c>
      <c r="D467" s="29" t="inlineStr">
        <is>
          <t>IRIS2447</t>
        </is>
      </c>
      <c r="E467" s="29" t="inlineStr">
        <is>
          <t>Yash Chikane</t>
        </is>
      </c>
      <c r="F467" s="29" t="inlineStr">
        <is>
          <t>Senior Software Engineer - AI/ML</t>
        </is>
      </c>
      <c r="G467" s="29" t="inlineStr">
        <is>
          <t>Senior AI/ML Engineer</t>
        </is>
      </c>
      <c r="H467" s="29" t="inlineStr">
        <is>
          <t>Engineering &amp; Development</t>
        </is>
      </c>
      <c r="I467" s="29" t="inlineStr">
        <is>
          <t>AI / ML &amp; GenAI Engineering</t>
        </is>
      </c>
      <c r="J467" s="29" t="inlineStr">
        <is>
          <t>IC</t>
        </is>
      </c>
      <c r="K467" s="29" t="inlineStr">
        <is>
          <t>RC-060</t>
        </is>
      </c>
      <c r="L467" s="29" t="inlineStr">
        <is>
          <t>Rahul Dhamne</t>
        </is>
      </c>
      <c r="M467" s="29" t="inlineStr">
        <is>
          <t>IRIS0362</t>
        </is>
      </c>
      <c r="N467" s="29" t="n">
        <v>4.9</v>
      </c>
      <c r="O467" s="29" t="n">
        <v>0.8</v>
      </c>
      <c r="P467" s="29" t="inlineStr">
        <is>
          <t>B.E</t>
        </is>
      </c>
      <c r="Q467" s="29" t="inlineStr">
        <is>
          <t>Not in current mapping files</t>
        </is>
      </c>
      <c r="R467" s="29" t="inlineStr">
        <is>
          <t>A3</t>
        </is>
      </c>
      <c r="S467" s="30" t="inlineStr">
        <is>
          <t>20 of 20</t>
        </is>
      </c>
      <c r="T467" s="31"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t>
        </is>
      </c>
      <c r="U467" s="32" t="inlineStr">
        <is>
          <t>KRAs not received · manager to supply</t>
        </is>
      </c>
      <c r="V467" s="31" t="inlineStr">
        <is>
          <t>Latest rating: Not rated · manager · 9-box: Not placed · manager · Readiness: No rating data</t>
        </is>
      </c>
      <c r="W467" s="31" t="inlineStr">
        <is>
          <t>C M · Au M · Ac M · L L · BI M · Exp H · 4.9 yrs vs 2–4 yrs · Edu M · B.E</t>
        </is>
      </c>
      <c r="X467" s="33" t="inlineStr">
        <is>
          <t>Open ▸</t>
        </is>
      </c>
      <c r="Y467" s="34" t="str">
        <f>IFERROR(INDEX(DL_C,MATCH($CA467,DL_KEY,0)),"M")</f>
        <v>H</v>
      </c>
      <c r="Z467" s="35" t="str">
        <f>IFERROR(INDEX(DL_Au,MATCH($CA467,DL_KEY,0)),"M")</f>
        <v>M</v>
      </c>
      <c r="AA467" s="35" t="str">
        <f>IFERROR(INDEX(DL_Ac,MATCH($CA467,DL_KEY,0)),"M")</f>
        <v>L</v>
      </c>
      <c r="AB467" s="35" t="str">
        <f>IFERROR(INDEX(DL_L,MATCH($CA467,DL_KEY,0)),"M")</f>
        <v>L</v>
      </c>
      <c r="AC467" s="35" t="str">
        <f>IFERROR(INDEX(DL_BI,MATCH($CA467,DL_KEY,0)),"M")</f>
        <v>L</v>
      </c>
      <c r="AD467" s="35" t="str">
        <f>IFERROR(INDEX(DL_Exp,MATCH($CA467,DL_KEY,0)),"M")</f>
        <v>L</v>
      </c>
      <c r="AE467" s="35" t="str">
        <f>IFERROR(INDEX(DL_Edu,MATCH($CA467,DL_KEY,0)),"M")</f>
        <v>L</v>
      </c>
      <c r="AF467" s="34" t="inlineStr">
        <is>
          <t>M</t>
        </is>
      </c>
      <c r="AG467" s="35" t="inlineStr">
        <is>
          <t>M</t>
        </is>
      </c>
      <c r="AH467" s="35" t="inlineStr">
        <is>
          <t>M</t>
        </is>
      </c>
      <c r="AI467" s="35" t="inlineStr">
        <is>
          <t>M</t>
        </is>
      </c>
      <c r="AJ467" s="35" t="inlineStr">
        <is>
          <t>M</t>
        </is>
      </c>
      <c r="AK467" s="35" t="inlineStr">
        <is>
          <t>M</t>
        </is>
      </c>
      <c r="AL467" s="35" t="inlineStr">
        <is>
          <t>M</t>
        </is>
      </c>
      <c r="AM467" s="36" t="n">
        <v>0.583</v>
      </c>
      <c r="AN467" s="37" t="n">
        <v>0.16</v>
      </c>
      <c r="AO467" s="37" t="n">
        <v>0.09</v>
      </c>
      <c r="AP467" s="37" t="n">
        <v>0</v>
      </c>
      <c r="AQ467" s="37" t="n">
        <v>0.063</v>
      </c>
      <c r="AR467" s="37" t="n">
        <v>0.06</v>
      </c>
      <c r="AS467" s="37" t="n">
        <v>0.04</v>
      </c>
      <c r="AT467" s="38" t="inlineStr">
        <is>
          <t>2–5</t>
        </is>
      </c>
      <c r="AU467" s="38" t="inlineStr">
        <is>
          <t>Graduate; relevant certification preferred</t>
        </is>
      </c>
      <c r="AV467" s="38" t="inlineStr">
        <is>
          <t>None · guides 1–3 juniors informally</t>
        </is>
      </c>
      <c r="AW467" s="38" t="inlineStr">
        <is>
          <t>P2 · SFIA 3 Apply</t>
        </is>
      </c>
      <c r="AX4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7" s="39" t="inlineStr">
        <is>
          <t>A3</t>
        </is>
      </c>
      <c r="AZ467" s="40" t="inlineStr">
        <is>
          <t>Band A · Practitioner · Senior Associate</t>
        </is>
      </c>
      <c r="BA467" s="40" t="inlineStr">
        <is>
          <t>Model A3 from the six ratings, the market-derived weights and rules R1–R13 · then No change · already below the manager</t>
        </is>
      </c>
      <c r="BB467" s="41" t="inlineStr">
        <is>
          <t>A3</t>
        </is>
      </c>
      <c r="BC467" s="40" t="inlineStr">
        <is>
          <t>The six ratings on the market-average weights of Band A · all tracks score 2.94 → A3 · Hay, Mercer IPE and public plans · experience 4.9 yrs vs the A3 market range 2–5</t>
        </is>
      </c>
      <c r="BD467" s="42">
        <f>IF(SUM(BM467,BN467,BO467,BP467,BQ467,BR467,BS467)=0,0,(BM467*BT467+BN467*BU467+BO467*BV467+BP467*BW467+BQ467*BX467+BR467*BY467+BS467*BZ467)/SUM(BM467,BN467,BO467,BP467,BQ467,BR467,BS467))</f>
        <v>0</v>
      </c>
      <c r="BE467" s="41" t="str">
        <f>IF(LEFT(AY467,1)="X",AY467,IF(OR(AY467="B+",AY467="C+"),INDEX(LAD_PC,MAX(1,MIN(14,MATCH(AY467,LAD_PC,0)+IF(BD467&gt;=0.5,1,IF(BD467&lt;=-0.5,-1,0))))),INDEX(LAD_STD,MAX(1,MIN(12,MATCH(AY467,LAD_STD,0)+IF(BD467&gt;=0.5,1,IF(BD467&lt;=-0.5,-1,0)))))))</f>
        <v>A3</v>
      </c>
      <c r="BF467" s="43" t="n"/>
      <c r="BG467" s="41" t="str">
        <f>IF(BF467&lt;&gt;"",BF467,BE467)</f>
        <v>A3</v>
      </c>
      <c r="BH467" s="40" t="str">
        <f>IFERROR(CHOOSE(INDEX(B_RANK,MATCH(BG467,B_LVL,0)),"Band A","Band B","B+ · Player-Coach","Band C","C+ · Player-Coach","Band D","Band E"),"Band X · Consultant")</f>
        <v>Band A</v>
      </c>
      <c r="BI467" s="40" t="str">
        <f>IF(BG467=AY467,"• Same",IF(INDEX(B_VAL,MATCH(BG467,B_LVL,0))&gt;INDEX(B_VAL,MATCH(AY467,B_LVL,0)),"▲ Up","▼ Down"))</f>
        <v>• Same</v>
      </c>
      <c r="BJ467" s="40" t="str">
        <f>IF(OR($M467="",$M467="—",$M467="Not in this file"),"",IFERROR(INDEX($BG$7:$BG$592,MATCH($M467,$D$7:$D$592,0)),""))</f>
        <v>C2</v>
      </c>
      <c r="BK467" s="40" t="str">
        <f>IFERROR(IF(BJ467="","—",IF(OR(LEFT(BG467,1)="X",LEFT(BJ467,1)="X"),"—",IF(AND(LEFT(BG467,1)="E",LEFT(BJ467,1)="E"),"Exception · Band E",IF(AND(INDEX(B_VAL,MATCH(BJ467,B_LVL,0))&gt;=7,INDEX(B_RANK,MATCH(BG467,B_LVL,0))&gt;=INDEX(B_RANK,MATCH(BJ467,B_LVL,0))),"⚠ Same band as a head manager",IF(INDEX(B_VAL,MATCH(BG467,B_LVL,0))&gt;=INDEX(B_VAL,MATCH(BJ467,B_LVL,0)),"⚠ At or above the manager's level","OK"))))),"—")</f>
        <v>OK</v>
      </c>
      <c r="BL467" s="43" t="n"/>
      <c r="BM467" s="44">
        <f>IFERROR(INDEX(LMH_PTS,MATCH(Y467,LMH_KEY,0)),0)</f>
        <v>9</v>
      </c>
      <c r="BN467" s="38">
        <f>IFERROR(INDEX(LMH_PTS,MATCH(Z467,LMH_KEY,0)),0)</f>
        <v>3</v>
      </c>
      <c r="BO467" s="38">
        <f>IFERROR(INDEX(LMH_PTS,MATCH(AA467,LMH_KEY,0)),0)</f>
        <v>1</v>
      </c>
      <c r="BP467" s="38">
        <f>IFERROR(INDEX(LMH_PTS,MATCH(AB467,LMH_KEY,0)),0)</f>
        <v>1</v>
      </c>
      <c r="BQ467" s="38">
        <f>IFERROR(INDEX(LMH_PTS,MATCH(AC467,LMH_KEY,0)),0)</f>
        <v>1</v>
      </c>
      <c r="BR467" s="38">
        <f>IFERROR(INDEX(LMH_PTS,MATCH(AD467,LMH_KEY,0)),0)</f>
        <v>1</v>
      </c>
      <c r="BS467" s="38">
        <f>IFERROR(INDEX(LMH_PTS,MATCH(AE467,LMH_KEY,0)),0)</f>
        <v>1</v>
      </c>
      <c r="BT467" s="38">
        <f>IFERROR(INDEX(LMH_STEP,MATCH(AF467,LMH_KEY,0)),0)</f>
        <v>0</v>
      </c>
      <c r="BU467" s="38">
        <f>IFERROR(INDEX(LMH_STEP,MATCH(AG467,LMH_KEY,0)),0)</f>
        <v>0</v>
      </c>
      <c r="BV467" s="38">
        <f>IFERROR(INDEX(LMH_STEP,MATCH(AH467,LMH_KEY,0)),0)</f>
        <v>0</v>
      </c>
      <c r="BW467" s="38">
        <f>IFERROR(INDEX(LMH_STEP,MATCH(AI467,LMH_KEY,0)),0)</f>
        <v>0</v>
      </c>
      <c r="BX467" s="38">
        <f>IFERROR(INDEX(LMH_STEP,MATCH(AJ467,LMH_KEY,0)),0)</f>
        <v>0</v>
      </c>
      <c r="BY467" s="38">
        <f>IFERROR(INDEX(LMH_STEP,MATCH(AK467,LMH_KEY,0)),0)</f>
        <v>0</v>
      </c>
      <c r="BZ467" s="38">
        <f>IFERROR(INDEX(LMH_STEP,MATCH(AL467,LMH_KEY,0)),0)</f>
        <v>0</v>
      </c>
      <c r="CA467" s="38" t="inlineStr">
        <is>
          <t>iFile|Technology|Senior AI/ML Engineer|A3|A</t>
        </is>
      </c>
    </row>
    <row r="468" ht="110" customHeight="1">
      <c r="A468" s="28" t="inlineStr">
        <is>
          <t>iFile</t>
        </is>
      </c>
      <c r="B468" s="29" t="inlineStr">
        <is>
          <t>XBRL Consulting</t>
        </is>
      </c>
      <c r="C468" s="29" t="n">
        <v>2</v>
      </c>
      <c r="D468" s="29" t="inlineStr">
        <is>
          <t>IRIS1139</t>
        </is>
      </c>
      <c r="E468" s="29" t="inlineStr">
        <is>
          <t>Yogesh Patil</t>
        </is>
      </c>
      <c r="F468" s="29" t="inlineStr">
        <is>
          <t>Senior Analyst</t>
        </is>
      </c>
      <c r="G468" s="29" t="inlineStr">
        <is>
          <t>Senior Taxonomy Analyst</t>
        </is>
      </c>
      <c r="H468" s="29" t="inlineStr">
        <is>
          <t>Consulting &amp; Professional Services</t>
        </is>
      </c>
      <c r="I468" s="29" t="inlineStr">
        <is>
          <t>Taxonomy Design &amp; Regulatory Consulting</t>
        </is>
      </c>
      <c r="J468" s="29" t="inlineStr">
        <is>
          <t>IC</t>
        </is>
      </c>
      <c r="K468" s="29" t="inlineStr">
        <is>
          <t>RC-019</t>
        </is>
      </c>
      <c r="L468" s="29" t="inlineStr">
        <is>
          <t>Rahul Dhamne</t>
        </is>
      </c>
      <c r="M468" s="29" t="inlineStr">
        <is>
          <t>IRIS0362</t>
        </is>
      </c>
      <c r="N468" s="29" t="n">
        <v>14.3</v>
      </c>
      <c r="O468" s="29" t="n">
        <v>14.3</v>
      </c>
      <c r="P468" s="29" t="inlineStr">
        <is>
          <t>B.Com</t>
        </is>
      </c>
      <c r="Q468" s="29" t="inlineStr">
        <is>
          <t>L4 – Senior</t>
        </is>
      </c>
      <c r="R468" s="29" t="inlineStr">
        <is>
          <t>A3</t>
        </is>
      </c>
      <c r="S468" s="30" t="inlineStr">
        <is>
          <t>20 of 20</t>
        </is>
      </c>
      <c r="T468" s="31"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t>
        </is>
      </c>
      <c r="U468"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8" s="31" t="inlineStr">
        <is>
          <t>Latest rating: 4 · Potential: High · 9-box: High Impact / Growth Talent · Readiness: Ready now</t>
        </is>
      </c>
      <c r="W468" s="31" t="inlineStr">
        <is>
          <t>C M · Au M · Ac M · L M · BI M · Exp H · 14.3 yrs vs 2–4 yrs · Edu M · B.Com</t>
        </is>
      </c>
      <c r="X468" s="33" t="inlineStr">
        <is>
          <t>Open ▸</t>
        </is>
      </c>
      <c r="Y468" s="34" t="str">
        <f>IFERROR(INDEX(DL_C,MATCH($CA468,DL_KEY,0)),"M")</f>
        <v>H</v>
      </c>
      <c r="Z468" s="35" t="str">
        <f>IFERROR(INDEX(DL_Au,MATCH($CA468,DL_KEY,0)),"M")</f>
        <v>M</v>
      </c>
      <c r="AA468" s="35" t="str">
        <f>IFERROR(INDEX(DL_Ac,MATCH($CA468,DL_KEY,0)),"M")</f>
        <v>M</v>
      </c>
      <c r="AB468" s="35" t="str">
        <f>IFERROR(INDEX(DL_L,MATCH($CA468,DL_KEY,0)),"M")</f>
        <v>L</v>
      </c>
      <c r="AC468" s="35" t="str">
        <f>IFERROR(INDEX(DL_BI,MATCH($CA468,DL_KEY,0)),"M")</f>
        <v>L</v>
      </c>
      <c r="AD468" s="35" t="str">
        <f>IFERROR(INDEX(DL_Exp,MATCH($CA468,DL_KEY,0)),"M")</f>
        <v>L</v>
      </c>
      <c r="AE468" s="35" t="str">
        <f>IFERROR(INDEX(DL_Edu,MATCH($CA468,DL_KEY,0)),"M")</f>
        <v>L</v>
      </c>
      <c r="AF468" s="34" t="inlineStr">
        <is>
          <t>M</t>
        </is>
      </c>
      <c r="AG468" s="35" t="inlineStr">
        <is>
          <t>M</t>
        </is>
      </c>
      <c r="AH468" s="35" t="inlineStr">
        <is>
          <t>M</t>
        </is>
      </c>
      <c r="AI468" s="35" t="inlineStr">
        <is>
          <t>M</t>
        </is>
      </c>
      <c r="AJ468" s="35" t="inlineStr">
        <is>
          <t>M</t>
        </is>
      </c>
      <c r="AK468" s="35" t="inlineStr">
        <is>
          <t>M</t>
        </is>
      </c>
      <c r="AL468" s="35" t="inlineStr">
        <is>
          <t>M</t>
        </is>
      </c>
      <c r="AM468" s="36" t="n">
        <v>0.583</v>
      </c>
      <c r="AN468" s="37" t="n">
        <v>0.16</v>
      </c>
      <c r="AO468" s="37" t="n">
        <v>0.09</v>
      </c>
      <c r="AP468" s="37" t="n">
        <v>0</v>
      </c>
      <c r="AQ468" s="37" t="n">
        <v>0.063</v>
      </c>
      <c r="AR468" s="37" t="n">
        <v>0.06</v>
      </c>
      <c r="AS468" s="37" t="n">
        <v>0.04</v>
      </c>
      <c r="AT468" s="38" t="inlineStr">
        <is>
          <t>2–5</t>
        </is>
      </c>
      <c r="AU468" s="38" t="inlineStr">
        <is>
          <t>Graduate; relevant certification preferred</t>
        </is>
      </c>
      <c r="AV468" s="38" t="inlineStr">
        <is>
          <t>None · guides 1–3 juniors informally</t>
        </is>
      </c>
      <c r="AW468" s="38" t="inlineStr">
        <is>
          <t>P2 · SFIA 3 Apply</t>
        </is>
      </c>
      <c r="AX4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8" s="39" t="inlineStr">
        <is>
          <t>A3</t>
        </is>
      </c>
      <c r="AZ468" s="40" t="inlineStr">
        <is>
          <t>Band A · Practitioner · Senior Associate</t>
        </is>
      </c>
      <c r="BA468" s="40" t="inlineStr">
        <is>
          <t>Model A3 from the six ratings, the market-derived weights and rules R1–R13 · then No change · already below the manager</t>
        </is>
      </c>
      <c r="BB468" s="41" t="inlineStr">
        <is>
          <t>A3</t>
        </is>
      </c>
      <c r="BC468" s="40" t="inlineStr">
        <is>
          <t>The six ratings on the market-average weights of Band A · all tracks score 3.43 → A3 · Hay, Mercer IPE and public plans · experience 14.3 yrs vs the A3 market range 2–5</t>
        </is>
      </c>
      <c r="BD468" s="42">
        <f>IF(SUM(BM468,BN468,BO468,BP468,BQ468,BR468,BS468)=0,0,(BM468*BT468+BN468*BU468+BO468*BV468+BP468*BW468+BQ468*BX468+BR468*BY468+BS468*BZ468)/SUM(BM468,BN468,BO468,BP468,BQ468,BR468,BS468))</f>
        <v>0</v>
      </c>
      <c r="BE468" s="41" t="str">
        <f>IF(LEFT(AY468,1)="X",AY468,IF(OR(AY468="B+",AY468="C+"),INDEX(LAD_PC,MAX(1,MIN(14,MATCH(AY468,LAD_PC,0)+IF(BD468&gt;=0.5,1,IF(BD468&lt;=-0.5,-1,0))))),INDEX(LAD_STD,MAX(1,MIN(12,MATCH(AY468,LAD_STD,0)+IF(BD468&gt;=0.5,1,IF(BD468&lt;=-0.5,-1,0)))))))</f>
        <v>A3</v>
      </c>
      <c r="BF468" s="43" t="n"/>
      <c r="BG468" s="41" t="str">
        <f>IF(BF468&lt;&gt;"",BF468,BE468)</f>
        <v>A3</v>
      </c>
      <c r="BH468" s="40" t="str">
        <f>IFERROR(CHOOSE(INDEX(B_RANK,MATCH(BG468,B_LVL,0)),"Band A","Band B","B+ · Player-Coach","Band C","C+ · Player-Coach","Band D","Band E"),"Band X · Consultant")</f>
        <v>Band A</v>
      </c>
      <c r="BI468" s="40" t="str">
        <f>IF(BG468=AY468,"• Same",IF(INDEX(B_VAL,MATCH(BG468,B_LVL,0))&gt;INDEX(B_VAL,MATCH(AY468,B_LVL,0)),"▲ Up","▼ Down"))</f>
        <v>• Same</v>
      </c>
      <c r="BJ468" s="40" t="str">
        <f>IF(OR($M468="",$M468="—",$M468="Not in this file"),"",IFERROR(INDEX($BG$7:$BG$592,MATCH($M468,$D$7:$D$592,0)),""))</f>
        <v>C2</v>
      </c>
      <c r="BK468" s="40" t="str">
        <f>IFERROR(IF(BJ468="","—",IF(OR(LEFT(BG468,1)="X",LEFT(BJ468,1)="X"),"—",IF(AND(LEFT(BG468,1)="E",LEFT(BJ468,1)="E"),"Exception · Band E",IF(AND(INDEX(B_VAL,MATCH(BJ468,B_LVL,0))&gt;=7,INDEX(B_RANK,MATCH(BG468,B_LVL,0))&gt;=INDEX(B_RANK,MATCH(BJ468,B_LVL,0))),"⚠ Same band as a head manager",IF(INDEX(B_VAL,MATCH(BG468,B_LVL,0))&gt;=INDEX(B_VAL,MATCH(BJ468,B_LVL,0)),"⚠ At or above the manager's level","OK"))))),"—")</f>
        <v>OK</v>
      </c>
      <c r="BL468" s="43" t="n"/>
      <c r="BM468" s="44">
        <f>IFERROR(INDEX(LMH_PTS,MATCH(Y468,LMH_KEY,0)),0)</f>
        <v>9</v>
      </c>
      <c r="BN468" s="38">
        <f>IFERROR(INDEX(LMH_PTS,MATCH(Z468,LMH_KEY,0)),0)</f>
        <v>3</v>
      </c>
      <c r="BO468" s="38">
        <f>IFERROR(INDEX(LMH_PTS,MATCH(AA468,LMH_KEY,0)),0)</f>
        <v>3</v>
      </c>
      <c r="BP468" s="38">
        <f>IFERROR(INDEX(LMH_PTS,MATCH(AB468,LMH_KEY,0)),0)</f>
        <v>1</v>
      </c>
      <c r="BQ468" s="38">
        <f>IFERROR(INDEX(LMH_PTS,MATCH(AC468,LMH_KEY,0)),0)</f>
        <v>1</v>
      </c>
      <c r="BR468" s="38">
        <f>IFERROR(INDEX(LMH_PTS,MATCH(AD468,LMH_KEY,0)),0)</f>
        <v>1</v>
      </c>
      <c r="BS468" s="38">
        <f>IFERROR(INDEX(LMH_PTS,MATCH(AE468,LMH_KEY,0)),0)</f>
        <v>1</v>
      </c>
      <c r="BT468" s="38">
        <f>IFERROR(INDEX(LMH_STEP,MATCH(AF468,LMH_KEY,0)),0)</f>
        <v>0</v>
      </c>
      <c r="BU468" s="38">
        <f>IFERROR(INDEX(LMH_STEP,MATCH(AG468,LMH_KEY,0)),0)</f>
        <v>0</v>
      </c>
      <c r="BV468" s="38">
        <f>IFERROR(INDEX(LMH_STEP,MATCH(AH468,LMH_KEY,0)),0)</f>
        <v>0</v>
      </c>
      <c r="BW468" s="38">
        <f>IFERROR(INDEX(LMH_STEP,MATCH(AI468,LMH_KEY,0)),0)</f>
        <v>0</v>
      </c>
      <c r="BX468" s="38">
        <f>IFERROR(INDEX(LMH_STEP,MATCH(AJ468,LMH_KEY,0)),0)</f>
        <v>0</v>
      </c>
      <c r="BY468" s="38">
        <f>IFERROR(INDEX(LMH_STEP,MATCH(AK468,LMH_KEY,0)),0)</f>
        <v>0</v>
      </c>
      <c r="BZ468" s="38">
        <f>IFERROR(INDEX(LMH_STEP,MATCH(AL468,LMH_KEY,0)),0)</f>
        <v>0</v>
      </c>
      <c r="CA468" s="38" t="inlineStr">
        <is>
          <t>iFile|XBRL Consulting|Senior Taxonomy Analyst|A3|A</t>
        </is>
      </c>
    </row>
    <row r="469" ht="110" customHeight="1">
      <c r="A469" s="28" t="inlineStr">
        <is>
          <t>iFile</t>
        </is>
      </c>
      <c r="B469" s="29" t="inlineStr">
        <is>
          <t>XBRL Consulting</t>
        </is>
      </c>
      <c r="C469" s="29" t="n">
        <v>2</v>
      </c>
      <c r="D469" s="29" t="inlineStr">
        <is>
          <t>IRISC347</t>
        </is>
      </c>
      <c r="E469" s="29" t="inlineStr">
        <is>
          <t>Sunita Joshi</t>
        </is>
      </c>
      <c r="F469" s="29" t="inlineStr">
        <is>
          <t>Consultant</t>
        </is>
      </c>
      <c r="G469" s="29" t="inlineStr">
        <is>
          <t>Associate Consultant – Taxonomy Design &amp; Regulatory Consulting</t>
        </is>
      </c>
      <c r="H469" s="29" t="inlineStr">
        <is>
          <t>Consulting &amp; Professional Services</t>
        </is>
      </c>
      <c r="I469" s="29" t="inlineStr">
        <is>
          <t>Taxonomy Design &amp; Regulatory Consulting</t>
        </is>
      </c>
      <c r="J469" s="29" t="inlineStr">
        <is>
          <t>Consultant</t>
        </is>
      </c>
      <c r="K469" s="29" t="inlineStr">
        <is>
          <t>RC-023</t>
        </is>
      </c>
      <c r="L469" s="29" t="inlineStr">
        <is>
          <t>Rahul Dhamne</t>
        </is>
      </c>
      <c r="M469" s="29" t="inlineStr">
        <is>
          <t>IRIS0362</t>
        </is>
      </c>
      <c r="N469" s="29" t="inlineStr">
        <is>
          <t>Not provided · HRIS</t>
        </is>
      </c>
      <c r="O469" s="29" t="n">
        <v>0.4</v>
      </c>
      <c r="P469" s="29" t="inlineStr">
        <is>
          <t>Not provided · HRIS</t>
        </is>
      </c>
      <c r="Q469" s="29" t="inlineStr">
        <is>
          <t>L3 – Professional / Associate</t>
        </is>
      </c>
      <c r="R469" s="29" t="inlineStr">
        <is>
          <t>X1</t>
        </is>
      </c>
      <c r="S469" s="30" t="inlineStr">
        <is>
          <t>20 of 20</t>
        </is>
      </c>
      <c r="T469" s="32" t="inlineStr">
        <is>
          <t>Full survey answers not in the files received · How We Grow export needed · HR</t>
        </is>
      </c>
      <c r="U469"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69" s="31" t="inlineStr">
        <is>
          <t>Latest rating: 4 · Potential: High · 9-box: Future Leader · Readiness: n/a · consultant</t>
        </is>
      </c>
      <c r="W469" s="31" t="inlineStr">
        <is>
          <t>Consultant · outside the ladder</t>
        </is>
      </c>
      <c r="X469" s="33" t="inlineStr">
        <is>
          <t>Open ▸</t>
        </is>
      </c>
      <c r="Y469" s="34" t="n"/>
      <c r="Z469" s="35" t="n"/>
      <c r="AA469" s="35" t="n"/>
      <c r="AB469" s="35" t="n"/>
      <c r="AC469" s="35" t="n"/>
      <c r="AD469" s="35" t="n"/>
      <c r="AE469" s="35" t="n"/>
      <c r="AF469" s="34" t="n"/>
      <c r="AG469" s="35" t="n"/>
      <c r="AH469" s="35" t="n"/>
      <c r="AI469" s="35" t="n"/>
      <c r="AJ469" s="35" t="n"/>
      <c r="AK469" s="35" t="n"/>
      <c r="AL469" s="35" t="n"/>
      <c r="AM469" s="36" t="n"/>
      <c r="AN469" s="37" t="n"/>
      <c r="AO469" s="37" t="n"/>
      <c r="AP469" s="37" t="n"/>
      <c r="AQ469" s="37" t="n"/>
      <c r="AR469" s="37" t="n"/>
      <c r="AS469" s="37" t="n"/>
      <c r="AT469" s="38" t="n"/>
      <c r="AU469" s="38" t="n"/>
      <c r="AV469" s="38" t="n"/>
      <c r="AW469" s="38" t="inlineStr">
        <is>
          <t>—</t>
        </is>
      </c>
      <c r="AX4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9" s="39" t="inlineStr">
        <is>
          <t>X1</t>
        </is>
      </c>
      <c r="AZ469" s="40" t="inlineStr">
        <is>
          <t xml:space="preserve">Band X · Consultant · </t>
        </is>
      </c>
      <c r="BA469" s="40" t="inlineStr">
        <is>
          <t>Model X1 from the six ratings, the market-derived weights and rules R1–R13 · then Consultant · outside the ladder</t>
        </is>
      </c>
      <c r="BB469" s="41" t="n"/>
      <c r="BC469" s="40" t="inlineStr">
        <is>
          <t>Consultant · outside the ladder</t>
        </is>
      </c>
      <c r="BD469" s="42">
        <f>IF(SUM(BM469,BN469,BO469,BP469,BQ469,BR469,BS469)=0,0,(BM469*BT469+BN469*BU469+BO469*BV469+BP469*BW469+BQ469*BX469+BR469*BY469+BS469*BZ469)/SUM(BM469,BN469,BO469,BP469,BQ469,BR469,BS469))</f>
        <v>0</v>
      </c>
      <c r="BE469" s="41" t="str">
        <f>IF(LEFT(AY469,1)="X",AY469,IF(OR(AY469="B+",AY469="C+"),INDEX(LAD_PC,MAX(1,MIN(14,MATCH(AY469,LAD_PC,0)+IF(BD469&gt;=0.5,1,IF(BD469&lt;=-0.5,-1,0))))),INDEX(LAD_STD,MAX(1,MIN(12,MATCH(AY469,LAD_STD,0)+IF(BD469&gt;=0.5,1,IF(BD469&lt;=-0.5,-1,0)))))))</f>
        <v>X1</v>
      </c>
      <c r="BF469" s="43" t="n"/>
      <c r="BG469" s="41" t="str">
        <f>IF(BF469&lt;&gt;"",BF469,BE469)</f>
        <v>X1</v>
      </c>
      <c r="BH469" s="40" t="str">
        <f>IFERROR(CHOOSE(INDEX(B_RANK,MATCH(BG469,B_LVL,0)),"Band A","Band B","B+ · Player-Coach","Band C","C+ · Player-Coach","Band D","Band E"),"Band X · Consultant")</f>
        <v>Band X · Consultant</v>
      </c>
      <c r="BI469" s="40" t="str">
        <f>IF(BG469=AY469,"• Same",IF(INDEX(B_VAL,MATCH(BG469,B_LVL,0))&gt;INDEX(B_VAL,MATCH(AY469,B_LVL,0)),"▲ Up","▼ Down"))</f>
        <v>• Same</v>
      </c>
      <c r="BJ469" s="40" t="str">
        <f>IF(OR($M469="",$M469="—",$M469="Not in this file"),"",IFERROR(INDEX($BG$7:$BG$592,MATCH($M469,$D$7:$D$592,0)),""))</f>
        <v>C2</v>
      </c>
      <c r="BK469" s="40" t="str">
        <f>IFERROR(IF(BJ469="","—",IF(OR(LEFT(BG469,1)="X",LEFT(BJ469,1)="X"),"—",IF(AND(LEFT(BG469,1)="E",LEFT(BJ469,1)="E"),"Exception · Band E",IF(AND(INDEX(B_VAL,MATCH(BJ469,B_LVL,0))&gt;=7,INDEX(B_RANK,MATCH(BG469,B_LVL,0))&gt;=INDEX(B_RANK,MATCH(BJ469,B_LVL,0))),"⚠ Same band as a head manager",IF(INDEX(B_VAL,MATCH(BG469,B_LVL,0))&gt;=INDEX(B_VAL,MATCH(BJ469,B_LVL,0)),"⚠ At or above the manager's level","OK"))))),"—")</f>
        <v>—</v>
      </c>
      <c r="BL469" s="43" t="n"/>
      <c r="BM469" s="44">
        <f>IFERROR(INDEX(LMH_PTS,MATCH(Y469,LMH_KEY,0)),0)</f>
        <v>0</v>
      </c>
      <c r="BN469" s="38">
        <f>IFERROR(INDEX(LMH_PTS,MATCH(Z469,LMH_KEY,0)),0)</f>
        <v>0</v>
      </c>
      <c r="BO469" s="38">
        <f>IFERROR(INDEX(LMH_PTS,MATCH(AA469,LMH_KEY,0)),0)</f>
        <v>0</v>
      </c>
      <c r="BP469" s="38">
        <f>IFERROR(INDEX(LMH_PTS,MATCH(AB469,LMH_KEY,0)),0)</f>
        <v>0</v>
      </c>
      <c r="BQ469" s="38">
        <f>IFERROR(INDEX(LMH_PTS,MATCH(AC469,LMH_KEY,0)),0)</f>
        <v>0</v>
      </c>
      <c r="BR469" s="38">
        <f>IFERROR(INDEX(LMH_PTS,MATCH(AD469,LMH_KEY,0)),0)</f>
        <v>0</v>
      </c>
      <c r="BS469" s="38">
        <f>IFERROR(INDEX(LMH_PTS,MATCH(AE469,LMH_KEY,0)),0)</f>
        <v>0</v>
      </c>
      <c r="BT469" s="38">
        <f>IFERROR(INDEX(LMH_STEP,MATCH(AF469,LMH_KEY,0)),0)</f>
        <v>0</v>
      </c>
      <c r="BU469" s="38">
        <f>IFERROR(INDEX(LMH_STEP,MATCH(AG469,LMH_KEY,0)),0)</f>
        <v>0</v>
      </c>
      <c r="BV469" s="38">
        <f>IFERROR(INDEX(LMH_STEP,MATCH(AH469,LMH_KEY,0)),0)</f>
        <v>0</v>
      </c>
      <c r="BW469" s="38">
        <f>IFERROR(INDEX(LMH_STEP,MATCH(AI469,LMH_KEY,0)),0)</f>
        <v>0</v>
      </c>
      <c r="BX469" s="38">
        <f>IFERROR(INDEX(LMH_STEP,MATCH(AJ469,LMH_KEY,0)),0)</f>
        <v>0</v>
      </c>
      <c r="BY469" s="38">
        <f>IFERROR(INDEX(LMH_STEP,MATCH(AK469,LMH_KEY,0)),0)</f>
        <v>0</v>
      </c>
      <c r="BZ469" s="38">
        <f>IFERROR(INDEX(LMH_STEP,MATCH(AL469,LMH_KEY,0)),0)</f>
        <v>0</v>
      </c>
      <c r="CA469" s="38" t="inlineStr">
        <is>
          <t>iFile|XBRL Consulting|Associate Consultant – Taxonomy Design &amp; Regulatory Consulting|X1|X</t>
        </is>
      </c>
    </row>
    <row r="470" ht="110" customHeight="1">
      <c r="A470" s="28" t="inlineStr">
        <is>
          <t>Corporate</t>
        </is>
      </c>
      <c r="B470" s="29" t="inlineStr">
        <is>
          <t>Secretarial &amp; Legal</t>
        </is>
      </c>
      <c r="C470" s="29" t="n">
        <v>1</v>
      </c>
      <c r="D470" s="29" t="inlineStr">
        <is>
          <t>IRIS1914</t>
        </is>
      </c>
      <c r="E470" s="29" t="inlineStr">
        <is>
          <t>Santosh Sharma</t>
        </is>
      </c>
      <c r="F470" s="29" t="inlineStr">
        <is>
          <t>Company Secretary</t>
        </is>
      </c>
      <c r="G470" s="29" t="inlineStr">
        <is>
          <t>Company Secretary – POD Lead</t>
        </is>
      </c>
      <c r="H470" s="29" t="inlineStr">
        <is>
          <t>Executive Leadership</t>
        </is>
      </c>
      <c r="I470" s="29" t="inlineStr">
        <is>
          <t>Business Head</t>
        </is>
      </c>
      <c r="J470" s="29" t="inlineStr">
        <is>
          <t>POD Lead</t>
        </is>
      </c>
      <c r="K470" s="29" t="inlineStr">
        <is>
          <t>RC-EL-BH-C1</t>
        </is>
      </c>
      <c r="L470" s="29" t="inlineStr">
        <is>
          <t>Balachandran K</t>
        </is>
      </c>
      <c r="M470" s="29" t="inlineStr">
        <is>
          <t>IRIS0001</t>
        </is>
      </c>
      <c r="N470" s="29" t="n">
        <v>15.3</v>
      </c>
      <c r="O470" s="29" t="n">
        <v>5.3</v>
      </c>
      <c r="P470" s="29" t="inlineStr">
        <is>
          <t>LLB</t>
        </is>
      </c>
      <c r="Q470" s="29" t="inlineStr">
        <is>
          <t>Not in current mapping files</t>
        </is>
      </c>
      <c r="R470" s="29" t="inlineStr">
        <is>
          <t>C1</t>
        </is>
      </c>
      <c r="S470" s="30" t="inlineStr">
        <is>
          <t>0 of 20</t>
        </is>
      </c>
      <c r="T47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0" s="32" t="inlineStr">
        <is>
          <t>KRAs not received · manager to supply</t>
        </is>
      </c>
      <c r="V470" s="31" t="inlineStr">
        <is>
          <t>Latest rating: Not rated · manager · 9-box: Not placed · manager · Readiness: No rating data</t>
        </is>
      </c>
      <c r="W470" s="31" t="inlineStr">
        <is>
          <t>C M · Au M · Ac L · L L · BI L · Exp H · 15.3 yrs vs 10–14 yrs · Edu H · LLB</t>
        </is>
      </c>
      <c r="X470" s="33" t="inlineStr">
        <is>
          <t>Open ▸</t>
        </is>
      </c>
      <c r="Y470" s="34" t="str">
        <f>IFERROR(INDEX(DL_C,MATCH($CA470,DL_KEY,0)),"M")</f>
        <v>H</v>
      </c>
      <c r="Z470" s="35" t="str">
        <f>IFERROR(INDEX(DL_Au,MATCH($CA470,DL_KEY,0)),"M")</f>
        <v>M</v>
      </c>
      <c r="AA470" s="35" t="str">
        <f>IFERROR(INDEX(DL_Ac,MATCH($CA470,DL_KEY,0)),"M")</f>
        <v>M</v>
      </c>
      <c r="AB470" s="35" t="str">
        <f>IFERROR(INDEX(DL_L,MATCH($CA470,DL_KEY,0)),"M")</f>
        <v>L</v>
      </c>
      <c r="AC470" s="35" t="str">
        <f>IFERROR(INDEX(DL_BI,MATCH($CA470,DL_KEY,0)),"M")</f>
        <v>L</v>
      </c>
      <c r="AD470" s="35" t="str">
        <f>IFERROR(INDEX(DL_Exp,MATCH($CA470,DL_KEY,0)),"M")</f>
        <v>L</v>
      </c>
      <c r="AE470" s="35" t="str">
        <f>IFERROR(INDEX(DL_Edu,MATCH($CA470,DL_KEY,0)),"M")</f>
        <v>L</v>
      </c>
      <c r="AF470" s="34" t="inlineStr">
        <is>
          <t>M</t>
        </is>
      </c>
      <c r="AG470" s="35" t="inlineStr">
        <is>
          <t>M</t>
        </is>
      </c>
      <c r="AH470" s="35" t="inlineStr">
        <is>
          <t>M</t>
        </is>
      </c>
      <c r="AI470" s="35" t="inlineStr">
        <is>
          <t>M</t>
        </is>
      </c>
      <c r="AJ470" s="35" t="inlineStr">
        <is>
          <t>M</t>
        </is>
      </c>
      <c r="AK470" s="35" t="inlineStr">
        <is>
          <t>M</t>
        </is>
      </c>
      <c r="AL470" s="35" t="inlineStr">
        <is>
          <t>M</t>
        </is>
      </c>
      <c r="AM470" s="36" t="n">
        <v>0.5429999999999999</v>
      </c>
      <c r="AN470" s="37" t="n">
        <v>0.177</v>
      </c>
      <c r="AO470" s="37" t="n">
        <v>0.103</v>
      </c>
      <c r="AP470" s="37" t="n">
        <v>0.05</v>
      </c>
      <c r="AQ470" s="37" t="n">
        <v>0.077</v>
      </c>
      <c r="AR470" s="37" t="n">
        <v>0.04</v>
      </c>
      <c r="AS470" s="37" t="n">
        <v>0.01</v>
      </c>
      <c r="AT470" s="38" t="inlineStr">
        <is>
          <t>12–17</t>
        </is>
      </c>
      <c r="AU470" s="38" t="inlineStr">
        <is>
          <t>Postgraduate / professional qualification preferred</t>
        </is>
      </c>
      <c r="AV470" s="38" t="inlineStr">
        <is>
          <t>5–8, mostly managers</t>
        </is>
      </c>
      <c r="AW470" s="38" t="inlineStr">
        <is>
          <t>P6 / M5 · SFIA 5–6</t>
        </is>
      </c>
      <c r="AX4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0" s="39" t="inlineStr">
        <is>
          <t>C1</t>
        </is>
      </c>
      <c r="AZ470" s="40" t="inlineStr">
        <is>
          <t>Band C · Principal / Head · Associate Head</t>
        </is>
      </c>
      <c r="BA470" s="40" t="inlineStr">
        <is>
          <t>Model C1 from the six ratings, the market-derived weights and rules R1–R13 · then No change · already below the manager</t>
        </is>
      </c>
      <c r="BB470" s="41" t="inlineStr">
        <is>
          <t>C1</t>
        </is>
      </c>
      <c r="BC470" s="40" t="inlineStr">
        <is>
          <t>The six ratings on the market-average weights of Band C · Principal specialist score 6.80 → C1 · Hay, Mercer IPE and public plans · experience 15.3 yrs vs the C1 market range 12–17</t>
        </is>
      </c>
      <c r="BD470" s="42">
        <f>IF(SUM(BM470,BN470,BO470,BP470,BQ470,BR470,BS470)=0,0,(BM470*BT470+BN470*BU470+BO470*BV470+BP470*BW470+BQ470*BX470+BR470*BY470+BS470*BZ470)/SUM(BM470,BN470,BO470,BP470,BQ470,BR470,BS470))</f>
        <v>0</v>
      </c>
      <c r="BE470" s="41" t="str">
        <f>IF(LEFT(AY470,1)="X",AY470,IF(OR(AY470="B+",AY470="C+"),INDEX(LAD_PC,MAX(1,MIN(14,MATCH(AY470,LAD_PC,0)+IF(BD470&gt;=0.5,1,IF(BD470&lt;=-0.5,-1,0))))),INDEX(LAD_STD,MAX(1,MIN(12,MATCH(AY470,LAD_STD,0)+IF(BD470&gt;=0.5,1,IF(BD470&lt;=-0.5,-1,0)))))))</f>
        <v>C1</v>
      </c>
      <c r="BF470" s="43" t="n"/>
      <c r="BG470" s="41" t="str">
        <f>IF(BF470&lt;&gt;"",BF470,BE470)</f>
        <v>C1</v>
      </c>
      <c r="BH470" s="40" t="str">
        <f>IFERROR(CHOOSE(INDEX(B_RANK,MATCH(BG470,B_LVL,0)),"Band A","Band B","B+ · Player-Coach","Band C","C+ · Player-Coach","Band D","Band E"),"Band X · Consultant")</f>
        <v>Band C</v>
      </c>
      <c r="BI470" s="40" t="str">
        <f>IF(BG470=AY470,"• Same",IF(INDEX(B_VAL,MATCH(BG470,B_LVL,0))&gt;INDEX(B_VAL,MATCH(AY470,B_LVL,0)),"▲ Up","▼ Down"))</f>
        <v>• Same</v>
      </c>
      <c r="BJ470" s="40" t="str">
        <f>IF(OR($M470="",$M470="—",$M470="Not in this file"),"",IFERROR(INDEX($BG$7:$BG$592,MATCH($M470,$D$7:$D$592,0)),""))</f>
        <v>E2</v>
      </c>
      <c r="BK470" s="40" t="str">
        <f>IFERROR(IF(BJ470="","—",IF(OR(LEFT(BG470,1)="X",LEFT(BJ470,1)="X"),"—",IF(AND(LEFT(BG470,1)="E",LEFT(BJ470,1)="E"),"Exception · Band E",IF(AND(INDEX(B_VAL,MATCH(BJ470,B_LVL,0))&gt;=7,INDEX(B_RANK,MATCH(BG470,B_LVL,0))&gt;=INDEX(B_RANK,MATCH(BJ470,B_LVL,0))),"⚠ Same band as a head manager",IF(INDEX(B_VAL,MATCH(BG470,B_LVL,0))&gt;=INDEX(B_VAL,MATCH(BJ470,B_LVL,0)),"⚠ At or above the manager's level","OK"))))),"—")</f>
        <v>OK</v>
      </c>
      <c r="BL470" s="43" t="n"/>
      <c r="BM470" s="44">
        <f>IFERROR(INDEX(LMH_PTS,MATCH(Y470,LMH_KEY,0)),0)</f>
        <v>9</v>
      </c>
      <c r="BN470" s="38">
        <f>IFERROR(INDEX(LMH_PTS,MATCH(Z470,LMH_KEY,0)),0)</f>
        <v>3</v>
      </c>
      <c r="BO470" s="38">
        <f>IFERROR(INDEX(LMH_PTS,MATCH(AA470,LMH_KEY,0)),0)</f>
        <v>3</v>
      </c>
      <c r="BP470" s="38">
        <f>IFERROR(INDEX(LMH_PTS,MATCH(AB470,LMH_KEY,0)),0)</f>
        <v>1</v>
      </c>
      <c r="BQ470" s="38">
        <f>IFERROR(INDEX(LMH_PTS,MATCH(AC470,LMH_KEY,0)),0)</f>
        <v>1</v>
      </c>
      <c r="BR470" s="38">
        <f>IFERROR(INDEX(LMH_PTS,MATCH(AD470,LMH_KEY,0)),0)</f>
        <v>1</v>
      </c>
      <c r="BS470" s="38">
        <f>IFERROR(INDEX(LMH_PTS,MATCH(AE470,LMH_KEY,0)),0)</f>
        <v>1</v>
      </c>
      <c r="BT470" s="38">
        <f>IFERROR(INDEX(LMH_STEP,MATCH(AF470,LMH_KEY,0)),0)</f>
        <v>0</v>
      </c>
      <c r="BU470" s="38">
        <f>IFERROR(INDEX(LMH_STEP,MATCH(AG470,LMH_KEY,0)),0)</f>
        <v>0</v>
      </c>
      <c r="BV470" s="38">
        <f>IFERROR(INDEX(LMH_STEP,MATCH(AH470,LMH_KEY,0)),0)</f>
        <v>0</v>
      </c>
      <c r="BW470" s="38">
        <f>IFERROR(INDEX(LMH_STEP,MATCH(AI470,LMH_KEY,0)),0)</f>
        <v>0</v>
      </c>
      <c r="BX470" s="38">
        <f>IFERROR(INDEX(LMH_STEP,MATCH(AJ470,LMH_KEY,0)),0)</f>
        <v>0</v>
      </c>
      <c r="BY470" s="38">
        <f>IFERROR(INDEX(LMH_STEP,MATCH(AK470,LMH_KEY,0)),0)</f>
        <v>0</v>
      </c>
      <c r="BZ470" s="38">
        <f>IFERROR(INDEX(LMH_STEP,MATCH(AL470,LMH_KEY,0)),0)</f>
        <v>0</v>
      </c>
      <c r="CA470" s="38" t="inlineStr">
        <is>
          <t>Corporate|Secretarial &amp; Legal|Company Secretary – POD Lead|C1|C-IC</t>
        </is>
      </c>
    </row>
    <row r="471" ht="110" customHeight="1">
      <c r="A471" s="28" t="inlineStr">
        <is>
          <t>Corporate</t>
        </is>
      </c>
      <c r="B471" s="29" t="inlineStr">
        <is>
          <t>Secretarial &amp; Legal</t>
        </is>
      </c>
      <c r="C471" s="29" t="n">
        <v>2</v>
      </c>
      <c r="D471" s="29" t="inlineStr">
        <is>
          <t>IRIS2290</t>
        </is>
      </c>
      <c r="E471" s="29" t="inlineStr">
        <is>
          <t>Melita Suares</t>
        </is>
      </c>
      <c r="F471" s="29" t="inlineStr">
        <is>
          <t>Executive - Secretarial and Legal</t>
        </is>
      </c>
      <c r="G471" s="29" t="inlineStr">
        <is>
          <t>Senior Secretarial Executive</t>
        </is>
      </c>
      <c r="H471" s="29" t="inlineStr">
        <is>
          <t>Administration, Legal &amp; Secretarial</t>
        </is>
      </c>
      <c r="I471" s="29" t="inlineStr">
        <is>
          <t>Company Secretarial &amp; Legal</t>
        </is>
      </c>
      <c r="J471" s="29" t="inlineStr">
        <is>
          <t>IC</t>
        </is>
      </c>
      <c r="K471" s="29" t="inlineStr">
        <is>
          <t>RC-005</t>
        </is>
      </c>
      <c r="L471" s="29" t="inlineStr">
        <is>
          <t>Santosh Sharma</t>
        </is>
      </c>
      <c r="M471" s="29" t="inlineStr">
        <is>
          <t>IRIS1914</t>
        </is>
      </c>
      <c r="N471" s="29" t="n">
        <v>5.4</v>
      </c>
      <c r="O471" s="29" t="n">
        <v>2.2</v>
      </c>
      <c r="P471" s="29" t="inlineStr">
        <is>
          <t>ICSI Marsheets</t>
        </is>
      </c>
      <c r="Q471" s="29" t="inlineStr">
        <is>
          <t>Not in current mapping files</t>
        </is>
      </c>
      <c r="R471" s="29" t="inlineStr">
        <is>
          <t>A3</t>
        </is>
      </c>
      <c r="S471" s="30" t="inlineStr">
        <is>
          <t>20 of 20</t>
        </is>
      </c>
      <c r="T471" s="31"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t>
        </is>
      </c>
      <c r="U471" s="32" t="inlineStr">
        <is>
          <t>KRAs not received · manager to supply</t>
        </is>
      </c>
      <c r="V471" s="31" t="inlineStr">
        <is>
          <t>Latest rating: Not rated · manager · 9-box: Not placed · manager · Readiness: No rating data</t>
        </is>
      </c>
      <c r="W471" s="31" t="inlineStr">
        <is>
          <t>C M · Au M · Ac M · L L · BI M · Exp H · 5.4 yrs vs 2–4 yrs · Edu H · ICSI Marsheets</t>
        </is>
      </c>
      <c r="X471" s="33" t="inlineStr">
        <is>
          <t>Open ▸</t>
        </is>
      </c>
      <c r="Y471" s="34" t="str">
        <f>IFERROR(INDEX(DL_C,MATCH($CA471,DL_KEY,0)),"M")</f>
        <v>H</v>
      </c>
      <c r="Z471" s="35" t="str">
        <f>IFERROR(INDEX(DL_Au,MATCH($CA471,DL_KEY,0)),"M")</f>
        <v>M</v>
      </c>
      <c r="AA471" s="35" t="str">
        <f>IFERROR(INDEX(DL_Ac,MATCH($CA471,DL_KEY,0)),"M")</f>
        <v>M</v>
      </c>
      <c r="AB471" s="35" t="str">
        <f>IFERROR(INDEX(DL_L,MATCH($CA471,DL_KEY,0)),"M")</f>
        <v>L</v>
      </c>
      <c r="AC471" s="35" t="str">
        <f>IFERROR(INDEX(DL_BI,MATCH($CA471,DL_KEY,0)),"M")</f>
        <v>L</v>
      </c>
      <c r="AD471" s="35" t="str">
        <f>IFERROR(INDEX(DL_Exp,MATCH($CA471,DL_KEY,0)),"M")</f>
        <v>L</v>
      </c>
      <c r="AE471" s="35" t="str">
        <f>IFERROR(INDEX(DL_Edu,MATCH($CA471,DL_KEY,0)),"M")</f>
        <v>M</v>
      </c>
      <c r="AF471" s="34" t="inlineStr">
        <is>
          <t>M</t>
        </is>
      </c>
      <c r="AG471" s="35" t="inlineStr">
        <is>
          <t>M</t>
        </is>
      </c>
      <c r="AH471" s="35" t="inlineStr">
        <is>
          <t>M</t>
        </is>
      </c>
      <c r="AI471" s="35" t="inlineStr">
        <is>
          <t>M</t>
        </is>
      </c>
      <c r="AJ471" s="35" t="inlineStr">
        <is>
          <t>M</t>
        </is>
      </c>
      <c r="AK471" s="35" t="inlineStr">
        <is>
          <t>M</t>
        </is>
      </c>
      <c r="AL471" s="35" t="inlineStr">
        <is>
          <t>M</t>
        </is>
      </c>
      <c r="AM471" s="36" t="n">
        <v>0.583</v>
      </c>
      <c r="AN471" s="37" t="n">
        <v>0.16</v>
      </c>
      <c r="AO471" s="37" t="n">
        <v>0.09</v>
      </c>
      <c r="AP471" s="37" t="n">
        <v>0</v>
      </c>
      <c r="AQ471" s="37" t="n">
        <v>0.063</v>
      </c>
      <c r="AR471" s="37" t="n">
        <v>0.06</v>
      </c>
      <c r="AS471" s="37" t="n">
        <v>0.04</v>
      </c>
      <c r="AT471" s="38" t="inlineStr">
        <is>
          <t>2–5</t>
        </is>
      </c>
      <c r="AU471" s="38" t="inlineStr">
        <is>
          <t>Graduate; relevant certification preferred</t>
        </is>
      </c>
      <c r="AV471" s="38" t="inlineStr">
        <is>
          <t>None · guides 1–3 juniors informally</t>
        </is>
      </c>
      <c r="AW471" s="38" t="inlineStr">
        <is>
          <t>P2 · SFIA 3 Apply</t>
        </is>
      </c>
      <c r="AX4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1" s="39" t="inlineStr">
        <is>
          <t>A3</t>
        </is>
      </c>
      <c r="AZ471" s="40" t="inlineStr">
        <is>
          <t>Band A · Practitioner · Senior Associate</t>
        </is>
      </c>
      <c r="BA471" s="40" t="inlineStr">
        <is>
          <t>Model A3 from the six ratings, the market-derived weights and rules R1–R13 · then No change · already below the manager</t>
        </is>
      </c>
      <c r="BB471" s="41" t="inlineStr">
        <is>
          <t>A3</t>
        </is>
      </c>
      <c r="BC471" s="40" t="inlineStr">
        <is>
          <t>The six ratings on the market-average weights of Band A · all tracks score 2.75 → A3 · Hay, Mercer IPE and public plans · experience 5.4 yrs vs the A3 market range 2–5</t>
        </is>
      </c>
      <c r="BD471" s="42">
        <f>IF(SUM(BM471,BN471,BO471,BP471,BQ471,BR471,BS471)=0,0,(BM471*BT471+BN471*BU471+BO471*BV471+BP471*BW471+BQ471*BX471+BR471*BY471+BS471*BZ471)/SUM(BM471,BN471,BO471,BP471,BQ471,BR471,BS471))</f>
        <v>0</v>
      </c>
      <c r="BE471" s="41" t="str">
        <f>IF(LEFT(AY471,1)="X",AY471,IF(OR(AY471="B+",AY471="C+"),INDEX(LAD_PC,MAX(1,MIN(14,MATCH(AY471,LAD_PC,0)+IF(BD471&gt;=0.5,1,IF(BD471&lt;=-0.5,-1,0))))),INDEX(LAD_STD,MAX(1,MIN(12,MATCH(AY471,LAD_STD,0)+IF(BD471&gt;=0.5,1,IF(BD471&lt;=-0.5,-1,0)))))))</f>
        <v>A3</v>
      </c>
      <c r="BF471" s="43" t="n"/>
      <c r="BG471" s="41" t="str">
        <f>IF(BF471&lt;&gt;"",BF471,BE471)</f>
        <v>A3</v>
      </c>
      <c r="BH471" s="40" t="str">
        <f>IFERROR(CHOOSE(INDEX(B_RANK,MATCH(BG471,B_LVL,0)),"Band A","Band B","B+ · Player-Coach","Band C","C+ · Player-Coach","Band D","Band E"),"Band X · Consultant")</f>
        <v>Band A</v>
      </c>
      <c r="BI471" s="40" t="str">
        <f>IF(BG471=AY471,"• Same",IF(INDEX(B_VAL,MATCH(BG471,B_LVL,0))&gt;INDEX(B_VAL,MATCH(AY471,B_LVL,0)),"▲ Up","▼ Down"))</f>
        <v>• Same</v>
      </c>
      <c r="BJ471" s="40" t="str">
        <f>IF(OR($M471="",$M471="—",$M471="Not in this file"),"",IFERROR(INDEX($BG$7:$BG$592,MATCH($M471,$D$7:$D$592,0)),""))</f>
        <v>C1</v>
      </c>
      <c r="BK471" s="40" t="str">
        <f>IFERROR(IF(BJ471="","—",IF(OR(LEFT(BG471,1)="X",LEFT(BJ471,1)="X"),"—",IF(AND(LEFT(BG471,1)="E",LEFT(BJ471,1)="E"),"Exception · Band E",IF(AND(INDEX(B_VAL,MATCH(BJ471,B_LVL,0))&gt;=7,INDEX(B_RANK,MATCH(BG471,B_LVL,0))&gt;=INDEX(B_RANK,MATCH(BJ471,B_LVL,0))),"⚠ Same band as a head manager",IF(INDEX(B_VAL,MATCH(BG471,B_LVL,0))&gt;=INDEX(B_VAL,MATCH(BJ471,B_LVL,0)),"⚠ At or above the manager's level","OK"))))),"—")</f>
        <v>OK</v>
      </c>
      <c r="BL471" s="43" t="n"/>
      <c r="BM471" s="44">
        <f>IFERROR(INDEX(LMH_PTS,MATCH(Y471,LMH_KEY,0)),0)</f>
        <v>9</v>
      </c>
      <c r="BN471" s="38">
        <f>IFERROR(INDEX(LMH_PTS,MATCH(Z471,LMH_KEY,0)),0)</f>
        <v>3</v>
      </c>
      <c r="BO471" s="38">
        <f>IFERROR(INDEX(LMH_PTS,MATCH(AA471,LMH_KEY,0)),0)</f>
        <v>3</v>
      </c>
      <c r="BP471" s="38">
        <f>IFERROR(INDEX(LMH_PTS,MATCH(AB471,LMH_KEY,0)),0)</f>
        <v>1</v>
      </c>
      <c r="BQ471" s="38">
        <f>IFERROR(INDEX(LMH_PTS,MATCH(AC471,LMH_KEY,0)),0)</f>
        <v>1</v>
      </c>
      <c r="BR471" s="38">
        <f>IFERROR(INDEX(LMH_PTS,MATCH(AD471,LMH_KEY,0)),0)</f>
        <v>1</v>
      </c>
      <c r="BS471" s="38">
        <f>IFERROR(INDEX(LMH_PTS,MATCH(AE471,LMH_KEY,0)),0)</f>
        <v>3</v>
      </c>
      <c r="BT471" s="38">
        <f>IFERROR(INDEX(LMH_STEP,MATCH(AF471,LMH_KEY,0)),0)</f>
        <v>0</v>
      </c>
      <c r="BU471" s="38">
        <f>IFERROR(INDEX(LMH_STEP,MATCH(AG471,LMH_KEY,0)),0)</f>
        <v>0</v>
      </c>
      <c r="BV471" s="38">
        <f>IFERROR(INDEX(LMH_STEP,MATCH(AH471,LMH_KEY,0)),0)</f>
        <v>0</v>
      </c>
      <c r="BW471" s="38">
        <f>IFERROR(INDEX(LMH_STEP,MATCH(AI471,LMH_KEY,0)),0)</f>
        <v>0</v>
      </c>
      <c r="BX471" s="38">
        <f>IFERROR(INDEX(LMH_STEP,MATCH(AJ471,LMH_KEY,0)),0)</f>
        <v>0</v>
      </c>
      <c r="BY471" s="38">
        <f>IFERROR(INDEX(LMH_STEP,MATCH(AK471,LMH_KEY,0)),0)</f>
        <v>0</v>
      </c>
      <c r="BZ471" s="38">
        <f>IFERROR(INDEX(LMH_STEP,MATCH(AL471,LMH_KEY,0)),0)</f>
        <v>0</v>
      </c>
      <c r="CA471" s="38" t="inlineStr">
        <is>
          <t>Corporate|Secretarial &amp; Legal|Senior Secretarial Executive|A3|A</t>
        </is>
      </c>
    </row>
    <row r="472" ht="110" customHeight="1">
      <c r="A472" s="28" t="inlineStr">
        <is>
          <t>Corporate</t>
        </is>
      </c>
      <c r="B472" s="29" t="inlineStr">
        <is>
          <t>Secretarial &amp; Legal</t>
        </is>
      </c>
      <c r="C472" s="29" t="n">
        <v>2</v>
      </c>
      <c r="D472" s="29" t="inlineStr">
        <is>
          <t>INTN0296</t>
        </is>
      </c>
      <c r="E472" s="29" t="inlineStr">
        <is>
          <t>Sneha Pillai</t>
        </is>
      </c>
      <c r="F472" s="29" t="inlineStr">
        <is>
          <t>Intern</t>
        </is>
      </c>
      <c r="G472" s="29" t="inlineStr">
        <is>
          <t>Intern – Company Secretarial &amp; Legal</t>
        </is>
      </c>
      <c r="H472" s="29" t="inlineStr">
        <is>
          <t>Administration, Legal &amp; Secretarial</t>
        </is>
      </c>
      <c r="I472" s="29" t="inlineStr">
        <is>
          <t>Company Secretarial &amp; Legal</t>
        </is>
      </c>
      <c r="J472" s="29" t="inlineStr">
        <is>
          <t>IC</t>
        </is>
      </c>
      <c r="K472" s="29" t="inlineStr">
        <is>
          <t>RC-004</t>
        </is>
      </c>
      <c r="L472" s="29" t="inlineStr">
        <is>
          <t>Santosh Sharma</t>
        </is>
      </c>
      <c r="M472" s="29" t="inlineStr">
        <is>
          <t>IRIS1914</t>
        </is>
      </c>
      <c r="N472" s="29" t="n">
        <v>0.6</v>
      </c>
      <c r="O472" s="29" t="n">
        <v>0.6</v>
      </c>
      <c r="P472" s="29" t="inlineStr">
        <is>
          <t>B.Com</t>
        </is>
      </c>
      <c r="Q472" s="29" t="inlineStr">
        <is>
          <t>Not in current mapping files</t>
        </is>
      </c>
      <c r="R472" s="29" t="inlineStr">
        <is>
          <t>A1</t>
        </is>
      </c>
      <c r="S472" s="30" t="inlineStr">
        <is>
          <t>20 of 20</t>
        </is>
      </c>
      <c r="T472" s="32" t="inlineStr">
        <is>
          <t>Full survey answers not in the files received · How We Grow export needed · HR</t>
        </is>
      </c>
      <c r="U472" s="32" t="inlineStr">
        <is>
          <t>KRAs not received · manager to supply</t>
        </is>
      </c>
      <c r="V472" s="31" t="inlineStr">
        <is>
          <t>Latest rating: Not rated · manager · 9-box: Not placed · manager · Readiness: No rating data</t>
        </is>
      </c>
      <c r="W472" s="31" t="inlineStr">
        <is>
          <t>C — · Au — · Ac — · L — · BI — · Exp H · 0.6 yrs vs 0 yrs · fresher / intern · Edu M · B.Com</t>
        </is>
      </c>
      <c r="X472" s="33" t="inlineStr">
        <is>
          <t>Open ▸</t>
        </is>
      </c>
      <c r="Y472" s="34" t="str">
        <f>IFERROR(INDEX(DL_C,MATCH($CA472,DL_KEY,0)),"M")</f>
        <v>H</v>
      </c>
      <c r="Z472" s="35" t="str">
        <f>IFERROR(INDEX(DL_Au,MATCH($CA472,DL_KEY,0)),"M")</f>
        <v>M</v>
      </c>
      <c r="AA472" s="35" t="str">
        <f>IFERROR(INDEX(DL_Ac,MATCH($CA472,DL_KEY,0)),"M")</f>
        <v>M</v>
      </c>
      <c r="AB472" s="35" t="str">
        <f>IFERROR(INDEX(DL_L,MATCH($CA472,DL_KEY,0)),"M")</f>
        <v>L</v>
      </c>
      <c r="AC472" s="35" t="str">
        <f>IFERROR(INDEX(DL_BI,MATCH($CA472,DL_KEY,0)),"M")</f>
        <v>L</v>
      </c>
      <c r="AD472" s="35" t="str">
        <f>IFERROR(INDEX(DL_Exp,MATCH($CA472,DL_KEY,0)),"M")</f>
        <v>L</v>
      </c>
      <c r="AE472" s="35" t="str">
        <f>IFERROR(INDEX(DL_Edu,MATCH($CA472,DL_KEY,0)),"M")</f>
        <v>M</v>
      </c>
      <c r="AF472" s="34" t="inlineStr">
        <is>
          <t>M</t>
        </is>
      </c>
      <c r="AG472" s="35" t="inlineStr">
        <is>
          <t>M</t>
        </is>
      </c>
      <c r="AH472" s="35" t="inlineStr">
        <is>
          <t>M</t>
        </is>
      </c>
      <c r="AI472" s="35" t="inlineStr">
        <is>
          <t>M</t>
        </is>
      </c>
      <c r="AJ472" s="35" t="inlineStr">
        <is>
          <t>M</t>
        </is>
      </c>
      <c r="AK472" s="35" t="inlineStr">
        <is>
          <t>M</t>
        </is>
      </c>
      <c r="AL472" s="35" t="inlineStr">
        <is>
          <t>M</t>
        </is>
      </c>
      <c r="AM472" s="36" t="n">
        <v>0.583</v>
      </c>
      <c r="AN472" s="37" t="n">
        <v>0.16</v>
      </c>
      <c r="AO472" s="37" t="n">
        <v>0.09</v>
      </c>
      <c r="AP472" s="37" t="n">
        <v>0</v>
      </c>
      <c r="AQ472" s="37" t="n">
        <v>0.063</v>
      </c>
      <c r="AR472" s="37" t="n">
        <v>0.06</v>
      </c>
      <c r="AS472" s="37" t="n">
        <v>0.04</v>
      </c>
      <c r="AT472" s="38" t="inlineStr">
        <is>
          <t>0 yrs · fresher / intern</t>
        </is>
      </c>
      <c r="AU472" s="38" t="inlineStr">
        <is>
          <t>Pursuing or completed graduation / diploma</t>
        </is>
      </c>
      <c r="AV472" s="38" t="inlineStr">
        <is>
          <t>No direct reports</t>
        </is>
      </c>
      <c r="AW472" s="38" t="inlineStr">
        <is>
          <t>Entry / P1 · intern · SFIA 1 Follow</t>
        </is>
      </c>
      <c r="AX4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2" s="39" t="inlineStr">
        <is>
          <t>A1</t>
        </is>
      </c>
      <c r="AZ472" s="40" t="inlineStr">
        <is>
          <t>Band A · Practitioner · Intern / Trainee</t>
        </is>
      </c>
      <c r="BA472" s="40" t="inlineStr">
        <is>
          <t>Model A1 from the six ratings, the market-derived weights and rules R1–R13 · then No change · already below the manager</t>
        </is>
      </c>
      <c r="BB472" s="41" t="inlineStr">
        <is>
          <t>A1</t>
        </is>
      </c>
      <c r="BC472" s="40" t="inlineStr">
        <is>
          <t>Placed by a category rule — no full set of ratings · benchmark follows the HR proposed level</t>
        </is>
      </c>
      <c r="BD472" s="42">
        <f>IF(SUM(BM472,BN472,BO472,BP472,BQ472,BR472,BS472)=0,0,(BM472*BT472+BN472*BU472+BO472*BV472+BP472*BW472+BQ472*BX472+BR472*BY472+BS472*BZ472)/SUM(BM472,BN472,BO472,BP472,BQ472,BR472,BS472))</f>
        <v>0</v>
      </c>
      <c r="BE472" s="41" t="str">
        <f>IF(LEFT(AY472,1)="X",AY472,IF(OR(AY472="B+",AY472="C+"),INDEX(LAD_PC,MAX(1,MIN(14,MATCH(AY472,LAD_PC,0)+IF(BD472&gt;=0.5,1,IF(BD472&lt;=-0.5,-1,0))))),INDEX(LAD_STD,MAX(1,MIN(12,MATCH(AY472,LAD_STD,0)+IF(BD472&gt;=0.5,1,IF(BD472&lt;=-0.5,-1,0)))))))</f>
        <v>A1</v>
      </c>
      <c r="BF472" s="43" t="n"/>
      <c r="BG472" s="41" t="str">
        <f>IF(BF472&lt;&gt;"",BF472,BE472)</f>
        <v>A1</v>
      </c>
      <c r="BH472" s="40" t="str">
        <f>IFERROR(CHOOSE(INDEX(B_RANK,MATCH(BG472,B_LVL,0)),"Band A","Band B","B+ · Player-Coach","Band C","C+ · Player-Coach","Band D","Band E"),"Band X · Consultant")</f>
        <v>Band A</v>
      </c>
      <c r="BI472" s="40" t="str">
        <f>IF(BG472=AY472,"• Same",IF(INDEX(B_VAL,MATCH(BG472,B_LVL,0))&gt;INDEX(B_VAL,MATCH(AY472,B_LVL,0)),"▲ Up","▼ Down"))</f>
        <v>• Same</v>
      </c>
      <c r="BJ472" s="40" t="str">
        <f>IF(OR($M472="",$M472="—",$M472="Not in this file"),"",IFERROR(INDEX($BG$7:$BG$592,MATCH($M472,$D$7:$D$592,0)),""))</f>
        <v>C1</v>
      </c>
      <c r="BK472" s="40" t="str">
        <f>IFERROR(IF(BJ472="","—",IF(OR(LEFT(BG472,1)="X",LEFT(BJ472,1)="X"),"—",IF(AND(LEFT(BG472,1)="E",LEFT(BJ472,1)="E"),"Exception · Band E",IF(AND(INDEX(B_VAL,MATCH(BJ472,B_LVL,0))&gt;=7,INDEX(B_RANK,MATCH(BG472,B_LVL,0))&gt;=INDEX(B_RANK,MATCH(BJ472,B_LVL,0))),"⚠ Same band as a head manager",IF(INDEX(B_VAL,MATCH(BG472,B_LVL,0))&gt;=INDEX(B_VAL,MATCH(BJ472,B_LVL,0)),"⚠ At or above the manager's level","OK"))))),"—")</f>
        <v>OK</v>
      </c>
      <c r="BL472" s="43" t="n"/>
      <c r="BM472" s="44">
        <f>IFERROR(INDEX(LMH_PTS,MATCH(Y472,LMH_KEY,0)),0)</f>
        <v>9</v>
      </c>
      <c r="BN472" s="38">
        <f>IFERROR(INDEX(LMH_PTS,MATCH(Z472,LMH_KEY,0)),0)</f>
        <v>3</v>
      </c>
      <c r="BO472" s="38">
        <f>IFERROR(INDEX(LMH_PTS,MATCH(AA472,LMH_KEY,0)),0)</f>
        <v>3</v>
      </c>
      <c r="BP472" s="38">
        <f>IFERROR(INDEX(LMH_PTS,MATCH(AB472,LMH_KEY,0)),0)</f>
        <v>1</v>
      </c>
      <c r="BQ472" s="38">
        <f>IFERROR(INDEX(LMH_PTS,MATCH(AC472,LMH_KEY,0)),0)</f>
        <v>1</v>
      </c>
      <c r="BR472" s="38">
        <f>IFERROR(INDEX(LMH_PTS,MATCH(AD472,LMH_KEY,0)),0)</f>
        <v>1</v>
      </c>
      <c r="BS472" s="38">
        <f>IFERROR(INDEX(LMH_PTS,MATCH(AE472,LMH_KEY,0)),0)</f>
        <v>3</v>
      </c>
      <c r="BT472" s="38">
        <f>IFERROR(INDEX(LMH_STEP,MATCH(AF472,LMH_KEY,0)),0)</f>
        <v>0</v>
      </c>
      <c r="BU472" s="38">
        <f>IFERROR(INDEX(LMH_STEP,MATCH(AG472,LMH_KEY,0)),0)</f>
        <v>0</v>
      </c>
      <c r="BV472" s="38">
        <f>IFERROR(INDEX(LMH_STEP,MATCH(AH472,LMH_KEY,0)),0)</f>
        <v>0</v>
      </c>
      <c r="BW472" s="38">
        <f>IFERROR(INDEX(LMH_STEP,MATCH(AI472,LMH_KEY,0)),0)</f>
        <v>0</v>
      </c>
      <c r="BX472" s="38">
        <f>IFERROR(INDEX(LMH_STEP,MATCH(AJ472,LMH_KEY,0)),0)</f>
        <v>0</v>
      </c>
      <c r="BY472" s="38">
        <f>IFERROR(INDEX(LMH_STEP,MATCH(AK472,LMH_KEY,0)),0)</f>
        <v>0</v>
      </c>
      <c r="BZ472" s="38">
        <f>IFERROR(INDEX(LMH_STEP,MATCH(AL472,LMH_KEY,0)),0)</f>
        <v>0</v>
      </c>
      <c r="CA472" s="38" t="inlineStr">
        <is>
          <t>Corporate|Secretarial &amp; Legal|Intern – Company Secretarial &amp; Legal|A1|A</t>
        </is>
      </c>
    </row>
    <row r="473" ht="110" customHeight="1">
      <c r="A473" s="28" t="inlineStr">
        <is>
          <t>iFile</t>
        </is>
      </c>
      <c r="B473" s="29" t="inlineStr">
        <is>
          <t>Sales</t>
        </is>
      </c>
      <c r="C473" s="29" t="n">
        <v>1</v>
      </c>
      <c r="D473" s="29" t="inlineStr">
        <is>
          <t>IRISSG001</t>
        </is>
      </c>
      <c r="E473" s="29" t="inlineStr">
        <is>
          <t>Anand Padmanabhan</t>
        </is>
      </c>
      <c r="F473" s="29" t="inlineStr">
        <is>
          <t>President</t>
        </is>
      </c>
      <c r="G473" s="29" t="inlineStr">
        <is>
          <t>Senior Consultant – Enterprise Leadership</t>
        </is>
      </c>
      <c r="H473" s="29" t="inlineStr">
        <is>
          <t>Executive Leadership</t>
        </is>
      </c>
      <c r="I473" s="29" t="inlineStr">
        <is>
          <t>Enterprise Leadership</t>
        </is>
      </c>
      <c r="J473" s="29" t="inlineStr">
        <is>
          <t>Consultant</t>
        </is>
      </c>
      <c r="K473" s="29" t="inlineStr">
        <is>
          <t>RC-094</t>
        </is>
      </c>
      <c r="L473" s="29" t="inlineStr">
        <is>
          <t>Balachandran K</t>
        </is>
      </c>
      <c r="M473" s="29" t="inlineStr">
        <is>
          <t>IRIS0001</t>
        </is>
      </c>
      <c r="N473" s="29" t="inlineStr">
        <is>
          <t>Not provided · HRIS</t>
        </is>
      </c>
      <c r="O473" s="29" t="n">
        <v>14.9</v>
      </c>
      <c r="P473" s="29" t="inlineStr">
        <is>
          <t>CA</t>
        </is>
      </c>
      <c r="Q473" s="29" t="inlineStr">
        <is>
          <t>Not in current mapping files</t>
        </is>
      </c>
      <c r="R473" s="29" t="inlineStr">
        <is>
          <t>X3</t>
        </is>
      </c>
      <c r="S473" s="30" t="inlineStr">
        <is>
          <t>0 of 20</t>
        </is>
      </c>
      <c r="T473" s="32" t="inlineStr">
        <is>
          <t>No survey response on file</t>
        </is>
      </c>
      <c r="U473" s="32" t="inlineStr">
        <is>
          <t>KRAs not received · manager to supply</t>
        </is>
      </c>
      <c r="V473" s="31" t="inlineStr">
        <is>
          <t>Latest rating: Not rated · manager · 9-box: Not placed · manager · Readiness: No rating data</t>
        </is>
      </c>
      <c r="W473" s="31" t="inlineStr">
        <is>
          <t>Consultant · outside the ladder</t>
        </is>
      </c>
      <c r="X473" s="33" t="inlineStr">
        <is>
          <t>Open ▸</t>
        </is>
      </c>
      <c r="Y473" s="34" t="n"/>
      <c r="Z473" s="35" t="n"/>
      <c r="AA473" s="35" t="n"/>
      <c r="AB473" s="35" t="n"/>
      <c r="AC473" s="35" t="n"/>
      <c r="AD473" s="35" t="n"/>
      <c r="AE473" s="35" t="n"/>
      <c r="AF473" s="34" t="n"/>
      <c r="AG473" s="35" t="n"/>
      <c r="AH473" s="35" t="n"/>
      <c r="AI473" s="35" t="n"/>
      <c r="AJ473" s="35" t="n"/>
      <c r="AK473" s="35" t="n"/>
      <c r="AL473" s="35" t="n"/>
      <c r="AM473" s="36" t="n"/>
      <c r="AN473" s="37" t="n"/>
      <c r="AO473" s="37" t="n"/>
      <c r="AP473" s="37" t="n"/>
      <c r="AQ473" s="37" t="n"/>
      <c r="AR473" s="37" t="n"/>
      <c r="AS473" s="37" t="n"/>
      <c r="AT473" s="38" t="n"/>
      <c r="AU473" s="38" t="n"/>
      <c r="AV473" s="38" t="n"/>
      <c r="AW473" s="38" t="inlineStr">
        <is>
          <t>—</t>
        </is>
      </c>
      <c r="AX4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3" s="39" t="inlineStr">
        <is>
          <t>X3</t>
        </is>
      </c>
      <c r="AZ473" s="40" t="inlineStr">
        <is>
          <t xml:space="preserve">Band X · Consultant · </t>
        </is>
      </c>
      <c r="BA473" s="40" t="inlineStr">
        <is>
          <t>Model X3 from the six ratings, the market-derived weights and rules R1–R13 · then Consultant · outside the ladder</t>
        </is>
      </c>
      <c r="BB473" s="41" t="n"/>
      <c r="BC473" s="40" t="inlineStr">
        <is>
          <t>Consultant · outside the ladder</t>
        </is>
      </c>
      <c r="BD473" s="42">
        <f>IF(SUM(BM473,BN473,BO473,BP473,BQ473,BR473,BS473)=0,0,(BM473*BT473+BN473*BU473+BO473*BV473+BP473*BW473+BQ473*BX473+BR473*BY473+BS473*BZ473)/SUM(BM473,BN473,BO473,BP473,BQ473,BR473,BS473))</f>
        <v>0</v>
      </c>
      <c r="BE473" s="41" t="str">
        <f>IF(LEFT(AY473,1)="X",AY473,IF(OR(AY473="B+",AY473="C+"),INDEX(LAD_PC,MAX(1,MIN(14,MATCH(AY473,LAD_PC,0)+IF(BD473&gt;=0.5,1,IF(BD473&lt;=-0.5,-1,0))))),INDEX(LAD_STD,MAX(1,MIN(12,MATCH(AY473,LAD_STD,0)+IF(BD473&gt;=0.5,1,IF(BD473&lt;=-0.5,-1,0)))))))</f>
        <v>X3</v>
      </c>
      <c r="BF473" s="43" t="n"/>
      <c r="BG473" s="41" t="str">
        <f>IF(BF473&lt;&gt;"",BF473,BE473)</f>
        <v>X3</v>
      </c>
      <c r="BH473" s="40" t="str">
        <f>IFERROR(CHOOSE(INDEX(B_RANK,MATCH(BG473,B_LVL,0)),"Band A","Band B","B+ · Player-Coach","Band C","C+ · Player-Coach","Band D","Band E"),"Band X · Consultant")</f>
        <v>Band X · Consultant</v>
      </c>
      <c r="BI473" s="40" t="str">
        <f>IF(BG473=AY473,"• Same",IF(INDEX(B_VAL,MATCH(BG473,B_LVL,0))&gt;INDEX(B_VAL,MATCH(AY473,B_LVL,0)),"▲ Up","▼ Down"))</f>
        <v>• Same</v>
      </c>
      <c r="BJ473" s="40" t="str">
        <f>IF(OR($M473="",$M473="—",$M473="Not in this file"),"",IFERROR(INDEX($BG$7:$BG$592,MATCH($M473,$D$7:$D$592,0)),""))</f>
        <v>E2</v>
      </c>
      <c r="BK473" s="40" t="str">
        <f>IFERROR(IF(BJ473="","—",IF(OR(LEFT(BG473,1)="X",LEFT(BJ473,1)="X"),"—",IF(AND(LEFT(BG473,1)="E",LEFT(BJ473,1)="E"),"Exception · Band E",IF(AND(INDEX(B_VAL,MATCH(BJ473,B_LVL,0))&gt;=7,INDEX(B_RANK,MATCH(BG473,B_LVL,0))&gt;=INDEX(B_RANK,MATCH(BJ473,B_LVL,0))),"⚠ Same band as a head manager",IF(INDEX(B_VAL,MATCH(BG473,B_LVL,0))&gt;=INDEX(B_VAL,MATCH(BJ473,B_LVL,0)),"⚠ At or above the manager's level","OK"))))),"—")</f>
        <v>—</v>
      </c>
      <c r="BL473" s="43" t="n"/>
      <c r="BM473" s="44">
        <f>IFERROR(INDEX(LMH_PTS,MATCH(Y473,LMH_KEY,0)),0)</f>
        <v>0</v>
      </c>
      <c r="BN473" s="38">
        <f>IFERROR(INDEX(LMH_PTS,MATCH(Z473,LMH_KEY,0)),0)</f>
        <v>0</v>
      </c>
      <c r="BO473" s="38">
        <f>IFERROR(INDEX(LMH_PTS,MATCH(AA473,LMH_KEY,0)),0)</f>
        <v>0</v>
      </c>
      <c r="BP473" s="38">
        <f>IFERROR(INDEX(LMH_PTS,MATCH(AB473,LMH_KEY,0)),0)</f>
        <v>0</v>
      </c>
      <c r="BQ473" s="38">
        <f>IFERROR(INDEX(LMH_PTS,MATCH(AC473,LMH_KEY,0)),0)</f>
        <v>0</v>
      </c>
      <c r="BR473" s="38">
        <f>IFERROR(INDEX(LMH_PTS,MATCH(AD473,LMH_KEY,0)),0)</f>
        <v>0</v>
      </c>
      <c r="BS473" s="38">
        <f>IFERROR(INDEX(LMH_PTS,MATCH(AE473,LMH_KEY,0)),0)</f>
        <v>0</v>
      </c>
      <c r="BT473" s="38">
        <f>IFERROR(INDEX(LMH_STEP,MATCH(AF473,LMH_KEY,0)),0)</f>
        <v>0</v>
      </c>
      <c r="BU473" s="38">
        <f>IFERROR(INDEX(LMH_STEP,MATCH(AG473,LMH_KEY,0)),0)</f>
        <v>0</v>
      </c>
      <c r="BV473" s="38">
        <f>IFERROR(INDEX(LMH_STEP,MATCH(AH473,LMH_KEY,0)),0)</f>
        <v>0</v>
      </c>
      <c r="BW473" s="38">
        <f>IFERROR(INDEX(LMH_STEP,MATCH(AI473,LMH_KEY,0)),0)</f>
        <v>0</v>
      </c>
      <c r="BX473" s="38">
        <f>IFERROR(INDEX(LMH_STEP,MATCH(AJ473,LMH_KEY,0)),0)</f>
        <v>0</v>
      </c>
      <c r="BY473" s="38">
        <f>IFERROR(INDEX(LMH_STEP,MATCH(AK473,LMH_KEY,0)),0)</f>
        <v>0</v>
      </c>
      <c r="BZ473" s="38">
        <f>IFERROR(INDEX(LMH_STEP,MATCH(AL473,LMH_KEY,0)),0)</f>
        <v>0</v>
      </c>
      <c r="CA473" s="38" t="inlineStr">
        <is>
          <t>iFile|Sales|Senior Consultant – Enterprise Leadership|X3|X</t>
        </is>
      </c>
    </row>
    <row r="474" ht="110" customHeight="1">
      <c r="A474" s="28" t="inlineStr">
        <is>
          <t>Corporate</t>
        </is>
      </c>
      <c r="B474" s="29" t="inlineStr">
        <is>
          <t>Management</t>
        </is>
      </c>
      <c r="C474" s="29" t="n">
        <v>0</v>
      </c>
      <c r="D474" s="29" t="inlineStr">
        <is>
          <t>IRIS0002</t>
        </is>
      </c>
      <c r="E474" s="29" t="inlineStr">
        <is>
          <t>Deepta Rangarajan</t>
        </is>
      </c>
      <c r="F474" s="29" t="inlineStr">
        <is>
          <t>COO, Product Sponsor · Carbon</t>
        </is>
      </c>
      <c r="G474" s="29" t="inlineStr">
        <is>
          <t>Chief Operating Officer</t>
        </is>
      </c>
      <c r="H474" s="29" t="inlineStr">
        <is>
          <t>Executive Leadership</t>
        </is>
      </c>
      <c r="I474" s="29" t="inlineStr">
        <is>
          <t>Business Head</t>
        </is>
      </c>
      <c r="J474" s="29" t="inlineStr">
        <is>
          <t>People Manager</t>
        </is>
      </c>
      <c r="K474" s="29" t="inlineStr">
        <is>
          <t>RC-EL-BH-E1</t>
        </is>
      </c>
      <c r="L474" s="29" t="inlineStr">
        <is>
          <t>— · top of the organisation</t>
        </is>
      </c>
      <c r="M474" s="29" t="inlineStr">
        <is>
          <t>Not in this file</t>
        </is>
      </c>
      <c r="N474" s="29" t="n">
        <v>32.1</v>
      </c>
      <c r="O474" s="29" t="n">
        <v>22.1</v>
      </c>
      <c r="P474" s="29" t="inlineStr">
        <is>
          <t>MBA</t>
        </is>
      </c>
      <c r="Q474" s="29" t="inlineStr">
        <is>
          <t>Not in current mapping files</t>
        </is>
      </c>
      <c r="R474" s="29" t="inlineStr">
        <is>
          <t>E1</t>
        </is>
      </c>
      <c r="S474" s="30" t="inlineStr">
        <is>
          <t>0 of 20</t>
        </is>
      </c>
      <c r="T47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4" s="32" t="inlineStr">
        <is>
          <t>KRAs not received · manager to supply</t>
        </is>
      </c>
      <c r="V474" s="31" t="inlineStr">
        <is>
          <t>Latest rating: Not rated · manager · 9-box: Not placed · manager · Readiness: No rating data</t>
        </is>
      </c>
      <c r="W474" s="31" t="inlineStr">
        <is>
          <t>C M · Au M · Ac M · L M · BI M · Exp M · 32.1 yrs vs 20+ yrs · Edu M · MBA</t>
        </is>
      </c>
      <c r="X474" s="33" t="inlineStr">
        <is>
          <t>Open ▸</t>
        </is>
      </c>
      <c r="Y474" s="34" t="str">
        <f>IFERROR(INDEX(DL_C,MATCH($CA474,DL_KEY,0)),"M")</f>
        <v>H</v>
      </c>
      <c r="Z474" s="35" t="str">
        <f>IFERROR(INDEX(DL_Au,MATCH($CA474,DL_KEY,0)),"M")</f>
        <v>M</v>
      </c>
      <c r="AA474" s="35" t="str">
        <f>IFERROR(INDEX(DL_Ac,MATCH($CA474,DL_KEY,0)),"M")</f>
        <v>M</v>
      </c>
      <c r="AB474" s="35" t="str">
        <f>IFERROR(INDEX(DL_L,MATCH($CA474,DL_KEY,0)),"M")</f>
        <v>M</v>
      </c>
      <c r="AC474" s="35" t="str">
        <f>IFERROR(INDEX(DL_BI,MATCH($CA474,DL_KEY,0)),"M")</f>
        <v>L</v>
      </c>
      <c r="AD474" s="35" t="str">
        <f>IFERROR(INDEX(DL_Exp,MATCH($CA474,DL_KEY,0)),"M")</f>
        <v>L</v>
      </c>
      <c r="AE474" s="35" t="str">
        <f>IFERROR(INDEX(DL_Edu,MATCH($CA474,DL_KEY,0)),"M")</f>
        <v>L</v>
      </c>
      <c r="AF474" s="34" t="inlineStr">
        <is>
          <t>M</t>
        </is>
      </c>
      <c r="AG474" s="35" t="inlineStr">
        <is>
          <t>M</t>
        </is>
      </c>
      <c r="AH474" s="35" t="inlineStr">
        <is>
          <t>M</t>
        </is>
      </c>
      <c r="AI474" s="35" t="inlineStr">
        <is>
          <t>M</t>
        </is>
      </c>
      <c r="AJ474" s="35" t="inlineStr">
        <is>
          <t>M</t>
        </is>
      </c>
      <c r="AK474" s="35" t="inlineStr">
        <is>
          <t>M</t>
        </is>
      </c>
      <c r="AL474" s="35" t="inlineStr">
        <is>
          <t>M</t>
        </is>
      </c>
      <c r="AM474" s="36" t="n">
        <v>0.363</v>
      </c>
      <c r="AN474" s="37" t="n">
        <v>0.19</v>
      </c>
      <c r="AO474" s="37" t="n">
        <v>0.113</v>
      </c>
      <c r="AP474" s="37" t="n">
        <v>0.2</v>
      </c>
      <c r="AQ474" s="37" t="n">
        <v>0.08699999999999999</v>
      </c>
      <c r="AR474" s="37" t="n">
        <v>0.04</v>
      </c>
      <c r="AS474" s="37" t="n">
        <v>0.01</v>
      </c>
      <c r="AT474" s="38" t="inlineStr">
        <is>
          <t>20+ yrs</t>
        </is>
      </c>
      <c r="AU474" s="38" t="inlineStr">
        <is>
          <t>Postgraduate / professional qualification; business leadership record</t>
        </is>
      </c>
      <c r="AV474" s="38" t="inlineStr">
        <is>
          <t>5–8 function heads</t>
        </is>
      </c>
      <c r="AW474" s="38" t="inlineStr">
        <is>
          <t>E5 · SFIA 7</t>
        </is>
      </c>
      <c r="AX4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4" s="39" t="inlineStr">
        <is>
          <t>E1</t>
        </is>
      </c>
      <c r="AZ474" s="40" t="inlineStr">
        <is>
          <t>Band E · Enterprise leadership · CXO / President</t>
        </is>
      </c>
      <c r="BA474" s="40" t="inlineStr">
        <is>
          <t>Model E1 from the six ratings, the market-derived weights and rules R1–R13 · then Top of the reporting line</t>
        </is>
      </c>
      <c r="BB474" s="41" t="inlineStr">
        <is>
          <t>E1</t>
        </is>
      </c>
      <c r="BC474" s="40" t="inlineStr">
        <is>
          <t>The six ratings on the market-average weights of Bands D–E · Leadership score 11.05 → E1 · Hay, Mercer IPE and public plans · experience 32.1 yrs vs the E1 market range 20+ yrs</t>
        </is>
      </c>
      <c r="BD474" s="42">
        <f>IF(SUM(BM474,BN474,BO474,BP474,BQ474,BR474,BS474)=0,0,(BM474*BT474+BN474*BU474+BO474*BV474+BP474*BW474+BQ474*BX474+BR474*BY474+BS474*BZ474)/SUM(BM474,BN474,BO474,BP474,BQ474,BR474,BS474))</f>
        <v>0</v>
      </c>
      <c r="BE474" s="41" t="str">
        <f>IF(LEFT(AY474,1)="X",AY474,IF(OR(AY474="B+",AY474="C+"),INDEX(LAD_PC,MAX(1,MIN(14,MATCH(AY474,LAD_PC,0)+IF(BD474&gt;=0.5,1,IF(BD474&lt;=-0.5,-1,0))))),INDEX(LAD_STD,MAX(1,MIN(12,MATCH(AY474,LAD_STD,0)+IF(BD474&gt;=0.5,1,IF(BD474&lt;=-0.5,-1,0)))))))</f>
        <v>E1</v>
      </c>
      <c r="BF474" s="43" t="n"/>
      <c r="BG474" s="41" t="str">
        <f>IF(BF474&lt;&gt;"",BF474,BE474)</f>
        <v>E1</v>
      </c>
      <c r="BH474" s="40" t="str">
        <f>IFERROR(CHOOSE(INDEX(B_RANK,MATCH(BG474,B_LVL,0)),"Band A","Band B","B+ · Player-Coach","Band C","C+ · Player-Coach","Band D","Band E"),"Band X · Consultant")</f>
        <v>Band E</v>
      </c>
      <c r="BI474" s="40" t="str">
        <f>IF(BG474=AY474,"• Same",IF(INDEX(B_VAL,MATCH(BG474,B_LVL,0))&gt;INDEX(B_VAL,MATCH(AY474,B_LVL,0)),"▲ Up","▼ Down"))</f>
        <v>• Same</v>
      </c>
      <c r="BJ474" s="40" t="str">
        <f>IF(OR($M474="",$M474="—",$M474="Not in this file"),"",IFERROR(INDEX($BG$7:$BG$592,MATCH($M474,$D$7:$D$592,0)),""))</f>
        <v/>
      </c>
      <c r="BK474" s="40" t="str">
        <f>IFERROR(IF(BJ474="","—",IF(OR(LEFT(BG474,1)="X",LEFT(BJ474,1)="X"),"—",IF(AND(LEFT(BG474,1)="E",LEFT(BJ474,1)="E"),"Exception · Band E",IF(AND(INDEX(B_VAL,MATCH(BJ474,B_LVL,0))&gt;=7,INDEX(B_RANK,MATCH(BG474,B_LVL,0))&gt;=INDEX(B_RANK,MATCH(BJ474,B_LVL,0))),"⚠ Same band as a head manager",IF(INDEX(B_VAL,MATCH(BG474,B_LVL,0))&gt;=INDEX(B_VAL,MATCH(BJ474,B_LVL,0)),"⚠ At or above the manager's level","OK"))))),"—")</f>
        <v>—</v>
      </c>
      <c r="BL474" s="43" t="n"/>
      <c r="BM474" s="44">
        <f>IFERROR(INDEX(LMH_PTS,MATCH(Y474,LMH_KEY,0)),0)</f>
        <v>9</v>
      </c>
      <c r="BN474" s="38">
        <f>IFERROR(INDEX(LMH_PTS,MATCH(Z474,LMH_KEY,0)),0)</f>
        <v>3</v>
      </c>
      <c r="BO474" s="38">
        <f>IFERROR(INDEX(LMH_PTS,MATCH(AA474,LMH_KEY,0)),0)</f>
        <v>3</v>
      </c>
      <c r="BP474" s="38">
        <f>IFERROR(INDEX(LMH_PTS,MATCH(AB474,LMH_KEY,0)),0)</f>
        <v>3</v>
      </c>
      <c r="BQ474" s="38">
        <f>IFERROR(INDEX(LMH_PTS,MATCH(AC474,LMH_KEY,0)),0)</f>
        <v>1</v>
      </c>
      <c r="BR474" s="38">
        <f>IFERROR(INDEX(LMH_PTS,MATCH(AD474,LMH_KEY,0)),0)</f>
        <v>1</v>
      </c>
      <c r="BS474" s="38">
        <f>IFERROR(INDEX(LMH_PTS,MATCH(AE474,LMH_KEY,0)),0)</f>
        <v>1</v>
      </c>
      <c r="BT474" s="38">
        <f>IFERROR(INDEX(LMH_STEP,MATCH(AF474,LMH_KEY,0)),0)</f>
        <v>0</v>
      </c>
      <c r="BU474" s="38">
        <f>IFERROR(INDEX(LMH_STEP,MATCH(AG474,LMH_KEY,0)),0)</f>
        <v>0</v>
      </c>
      <c r="BV474" s="38">
        <f>IFERROR(INDEX(LMH_STEP,MATCH(AH474,LMH_KEY,0)),0)</f>
        <v>0</v>
      </c>
      <c r="BW474" s="38">
        <f>IFERROR(INDEX(LMH_STEP,MATCH(AI474,LMH_KEY,0)),0)</f>
        <v>0</v>
      </c>
      <c r="BX474" s="38">
        <f>IFERROR(INDEX(LMH_STEP,MATCH(AJ474,LMH_KEY,0)),0)</f>
        <v>0</v>
      </c>
      <c r="BY474" s="38">
        <f>IFERROR(INDEX(LMH_STEP,MATCH(AK474,LMH_KEY,0)),0)</f>
        <v>0</v>
      </c>
      <c r="BZ474" s="38">
        <f>IFERROR(INDEX(LMH_STEP,MATCH(AL474,LMH_KEY,0)),0)</f>
        <v>0</v>
      </c>
      <c r="CA474" s="38" t="inlineStr">
        <is>
          <t>Corporate|Management|Chief Operating Officer|E1|DE</t>
        </is>
      </c>
    </row>
    <row r="475" ht="110" customHeight="1">
      <c r="A475" s="28" t="inlineStr">
        <is>
          <t>Corporate</t>
        </is>
      </c>
      <c r="B475" s="29" t="inlineStr">
        <is>
          <t>HR</t>
        </is>
      </c>
      <c r="C475" s="29" t="n">
        <v>1</v>
      </c>
      <c r="D475" s="29" t="inlineStr">
        <is>
          <t>IRIS2533</t>
        </is>
      </c>
      <c r="E475" s="29" t="inlineStr">
        <is>
          <t>Shweta Jha</t>
        </is>
      </c>
      <c r="F475" s="29" t="inlineStr">
        <is>
          <t>Vice President - Human Resource</t>
        </is>
      </c>
      <c r="G475" s="29" t="inlineStr">
        <is>
          <t>Vice President – Human Resources</t>
        </is>
      </c>
      <c r="H475" s="29" t="inlineStr">
        <is>
          <t>Executive Leadership</t>
        </is>
      </c>
      <c r="I475" s="29" t="inlineStr">
        <is>
          <t>Business Head</t>
        </is>
      </c>
      <c r="J475" s="29" t="inlineStr">
        <is>
          <t>People Manager</t>
        </is>
      </c>
      <c r="K475" s="29" t="inlineStr">
        <is>
          <t>RC-EL-BH-D2</t>
        </is>
      </c>
      <c r="L475" s="29" t="inlineStr">
        <is>
          <t>Deepta Rangarajan</t>
        </is>
      </c>
      <c r="M475" s="29" t="inlineStr">
        <is>
          <t>IRIS0002</t>
        </is>
      </c>
      <c r="N475" s="29" t="n">
        <v>18.2</v>
      </c>
      <c r="O475" s="29" t="n">
        <v>0.3</v>
      </c>
      <c r="P475" s="29" t="inlineStr">
        <is>
          <t>MBA</t>
        </is>
      </c>
      <c r="Q475" s="29" t="inlineStr">
        <is>
          <t>Not in current mapping files</t>
        </is>
      </c>
      <c r="R475" s="29" t="inlineStr">
        <is>
          <t>D2</t>
        </is>
      </c>
      <c r="S475" s="30" t="inlineStr">
        <is>
          <t>0 of 20</t>
        </is>
      </c>
      <c r="T475"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5" s="32" t="inlineStr">
        <is>
          <t>KRAs not received · manager to supply</t>
        </is>
      </c>
      <c r="V475" s="31" t="inlineStr">
        <is>
          <t>Latest rating: Not rated · manager · 9-box: Not placed · manager · Readiness: No rating data</t>
        </is>
      </c>
      <c r="W475" s="31" t="inlineStr">
        <is>
          <t>C M · Au M · Ac M · L M · BI M · Exp M · 18.2 yrs vs 18–24 yrs · Edu M · MBA</t>
        </is>
      </c>
      <c r="X475" s="33" t="inlineStr">
        <is>
          <t>Open ▸</t>
        </is>
      </c>
      <c r="Y475" s="34" t="str">
        <f>IFERROR(INDEX(DL_C,MATCH($CA475,DL_KEY,0)),"M")</f>
        <v>H</v>
      </c>
      <c r="Z475" s="35" t="str">
        <f>IFERROR(INDEX(DL_Au,MATCH($CA475,DL_KEY,0)),"M")</f>
        <v>M</v>
      </c>
      <c r="AA475" s="35" t="str">
        <f>IFERROR(INDEX(DL_Ac,MATCH($CA475,DL_KEY,0)),"M")</f>
        <v>M</v>
      </c>
      <c r="AB475" s="35" t="str">
        <f>IFERROR(INDEX(DL_L,MATCH($CA475,DL_KEY,0)),"M")</f>
        <v>M</v>
      </c>
      <c r="AC475" s="35" t="str">
        <f>IFERROR(INDEX(DL_BI,MATCH($CA475,DL_KEY,0)),"M")</f>
        <v>L</v>
      </c>
      <c r="AD475" s="35" t="str">
        <f>IFERROR(INDEX(DL_Exp,MATCH($CA475,DL_KEY,0)),"M")</f>
        <v>L</v>
      </c>
      <c r="AE475" s="35" t="str">
        <f>IFERROR(INDEX(DL_Edu,MATCH($CA475,DL_KEY,0)),"M")</f>
        <v>L</v>
      </c>
      <c r="AF475" s="34" t="inlineStr">
        <is>
          <t>M</t>
        </is>
      </c>
      <c r="AG475" s="35" t="inlineStr">
        <is>
          <t>M</t>
        </is>
      </c>
      <c r="AH475" s="35" t="inlineStr">
        <is>
          <t>M</t>
        </is>
      </c>
      <c r="AI475" s="35" t="inlineStr">
        <is>
          <t>M</t>
        </is>
      </c>
      <c r="AJ475" s="35" t="inlineStr">
        <is>
          <t>M</t>
        </is>
      </c>
      <c r="AK475" s="35" t="inlineStr">
        <is>
          <t>M</t>
        </is>
      </c>
      <c r="AL475" s="35" t="inlineStr">
        <is>
          <t>M</t>
        </is>
      </c>
      <c r="AM475" s="36" t="n">
        <v>0.363</v>
      </c>
      <c r="AN475" s="37" t="n">
        <v>0.19</v>
      </c>
      <c r="AO475" s="37" t="n">
        <v>0.113</v>
      </c>
      <c r="AP475" s="37" t="n">
        <v>0.2</v>
      </c>
      <c r="AQ475" s="37" t="n">
        <v>0.08699999999999999</v>
      </c>
      <c r="AR475" s="37" t="n">
        <v>0.04</v>
      </c>
      <c r="AS475" s="37" t="n">
        <v>0.01</v>
      </c>
      <c r="AT475" s="38" t="inlineStr">
        <is>
          <t>18–24 yrs</t>
        </is>
      </c>
      <c r="AU475" s="38" t="inlineStr">
        <is>
          <t>Postgraduate / professional qualification preferred</t>
        </is>
      </c>
      <c r="AV475" s="38" t="inlineStr">
        <is>
          <t>5–8 AVPs / heads</t>
        </is>
      </c>
      <c r="AW475" s="38" t="inlineStr">
        <is>
          <t>E3–E4 · SFIA 7 Set strategy</t>
        </is>
      </c>
      <c r="AX4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5" s="39" t="inlineStr">
        <is>
          <t>D2</t>
        </is>
      </c>
      <c r="AZ475" s="40" t="inlineStr">
        <is>
          <t>Band D · Business leadership · Senior Vice President / Business Head</t>
        </is>
      </c>
      <c r="BA475" s="40" t="inlineStr">
        <is>
          <t>Model D2 from the six ratings, the market-derived weights and rules R1–R13 · then No change · already below the manager</t>
        </is>
      </c>
      <c r="BB475" s="41" t="inlineStr">
        <is>
          <t>D2</t>
        </is>
      </c>
      <c r="BC475" s="40" t="inlineStr">
        <is>
          <t>The six ratings on the market-average weights of Bands D–E · Leadership score 9.98 → D2 · Hay, Mercer IPE and public plans · experience 18.2 yrs vs the D2 market range 18–24 yrs</t>
        </is>
      </c>
      <c r="BD475" s="42">
        <f>IF(SUM(BM475,BN475,BO475,BP475,BQ475,BR475,BS475)=0,0,(BM475*BT475+BN475*BU475+BO475*BV475+BP475*BW475+BQ475*BX475+BR475*BY475+BS475*BZ475)/SUM(BM475,BN475,BO475,BP475,BQ475,BR475,BS475))</f>
        <v>0</v>
      </c>
      <c r="BE475" s="41" t="str">
        <f>IF(LEFT(AY475,1)="X",AY475,IF(OR(AY475="B+",AY475="C+"),INDEX(LAD_PC,MAX(1,MIN(14,MATCH(AY475,LAD_PC,0)+IF(BD475&gt;=0.5,1,IF(BD475&lt;=-0.5,-1,0))))),INDEX(LAD_STD,MAX(1,MIN(12,MATCH(AY475,LAD_STD,0)+IF(BD475&gt;=0.5,1,IF(BD475&lt;=-0.5,-1,0)))))))</f>
        <v>D2</v>
      </c>
      <c r="BF475" s="43" t="n"/>
      <c r="BG475" s="41" t="str">
        <f>IF(BF475&lt;&gt;"",BF475,BE475)</f>
        <v>D2</v>
      </c>
      <c r="BH475" s="40" t="str">
        <f>IFERROR(CHOOSE(INDEX(B_RANK,MATCH(BG475,B_LVL,0)),"Band A","Band B","B+ · Player-Coach","Band C","C+ · Player-Coach","Band D","Band E"),"Band X · Consultant")</f>
        <v>Band D</v>
      </c>
      <c r="BI475" s="40" t="str">
        <f>IF(BG475=AY475,"• Same",IF(INDEX(B_VAL,MATCH(BG475,B_LVL,0))&gt;INDEX(B_VAL,MATCH(AY475,B_LVL,0)),"▲ Up","▼ Down"))</f>
        <v>• Same</v>
      </c>
      <c r="BJ475" s="40" t="str">
        <f>IF(OR($M475="",$M475="—",$M475="Not in this file"),"",IFERROR(INDEX($BG$7:$BG$592,MATCH($M475,$D$7:$D$592,0)),""))</f>
        <v>E1</v>
      </c>
      <c r="BK475" s="40" t="str">
        <f>IFERROR(IF(BJ475="","—",IF(OR(LEFT(BG475,1)="X",LEFT(BJ475,1)="X"),"—",IF(AND(LEFT(BG475,1)="E",LEFT(BJ475,1)="E"),"Exception · Band E",IF(AND(INDEX(B_VAL,MATCH(BJ475,B_LVL,0))&gt;=7,INDEX(B_RANK,MATCH(BG475,B_LVL,0))&gt;=INDEX(B_RANK,MATCH(BJ475,B_LVL,0))),"⚠ Same band as a head manager",IF(INDEX(B_VAL,MATCH(BG475,B_LVL,0))&gt;=INDEX(B_VAL,MATCH(BJ475,B_LVL,0)),"⚠ At or above the manager's level","OK"))))),"—")</f>
        <v>OK</v>
      </c>
      <c r="BL475" s="43" t="n"/>
      <c r="BM475" s="44">
        <f>IFERROR(INDEX(LMH_PTS,MATCH(Y475,LMH_KEY,0)),0)</f>
        <v>9</v>
      </c>
      <c r="BN475" s="38">
        <f>IFERROR(INDEX(LMH_PTS,MATCH(Z475,LMH_KEY,0)),0)</f>
        <v>3</v>
      </c>
      <c r="BO475" s="38">
        <f>IFERROR(INDEX(LMH_PTS,MATCH(AA475,LMH_KEY,0)),0)</f>
        <v>3</v>
      </c>
      <c r="BP475" s="38">
        <f>IFERROR(INDEX(LMH_PTS,MATCH(AB475,LMH_KEY,0)),0)</f>
        <v>3</v>
      </c>
      <c r="BQ475" s="38">
        <f>IFERROR(INDEX(LMH_PTS,MATCH(AC475,LMH_KEY,0)),0)</f>
        <v>1</v>
      </c>
      <c r="BR475" s="38">
        <f>IFERROR(INDEX(LMH_PTS,MATCH(AD475,LMH_KEY,0)),0)</f>
        <v>1</v>
      </c>
      <c r="BS475" s="38">
        <f>IFERROR(INDEX(LMH_PTS,MATCH(AE475,LMH_KEY,0)),0)</f>
        <v>1</v>
      </c>
      <c r="BT475" s="38">
        <f>IFERROR(INDEX(LMH_STEP,MATCH(AF475,LMH_KEY,0)),0)</f>
        <v>0</v>
      </c>
      <c r="BU475" s="38">
        <f>IFERROR(INDEX(LMH_STEP,MATCH(AG475,LMH_KEY,0)),0)</f>
        <v>0</v>
      </c>
      <c r="BV475" s="38">
        <f>IFERROR(INDEX(LMH_STEP,MATCH(AH475,LMH_KEY,0)),0)</f>
        <v>0</v>
      </c>
      <c r="BW475" s="38">
        <f>IFERROR(INDEX(LMH_STEP,MATCH(AI475,LMH_KEY,0)),0)</f>
        <v>0</v>
      </c>
      <c r="BX475" s="38">
        <f>IFERROR(INDEX(LMH_STEP,MATCH(AJ475,LMH_KEY,0)),0)</f>
        <v>0</v>
      </c>
      <c r="BY475" s="38">
        <f>IFERROR(INDEX(LMH_STEP,MATCH(AK475,LMH_KEY,0)),0)</f>
        <v>0</v>
      </c>
      <c r="BZ475" s="38">
        <f>IFERROR(INDEX(LMH_STEP,MATCH(AL475,LMH_KEY,0)),0)</f>
        <v>0</v>
      </c>
      <c r="CA475" s="38" t="inlineStr">
        <is>
          <t>Corporate|HR|Vice President – Human Resources|D2|DE</t>
        </is>
      </c>
    </row>
    <row r="476" ht="110" customHeight="1">
      <c r="A476" s="28" t="inlineStr">
        <is>
          <t>Corporate</t>
        </is>
      </c>
      <c r="B476" s="29" t="inlineStr">
        <is>
          <t>HR</t>
        </is>
      </c>
      <c r="C476" s="29" t="n">
        <v>2</v>
      </c>
      <c r="D476" s="29" t="inlineStr">
        <is>
          <t>IRIS2556</t>
        </is>
      </c>
      <c r="E476" s="29" t="inlineStr">
        <is>
          <t>Mohammed Hanzala Shaikh</t>
        </is>
      </c>
      <c r="F476" s="29" t="inlineStr">
        <is>
          <t>Lead HR Transformation</t>
        </is>
      </c>
      <c r="G476" s="29" t="inlineStr">
        <is>
          <t>Lead HR Specialist – Transformation &amp; OD</t>
        </is>
      </c>
      <c r="H476" s="29" t="inlineStr">
        <is>
          <t>Human Resources</t>
        </is>
      </c>
      <c r="I476" s="29" t="inlineStr">
        <is>
          <t>HR Transformation &amp; OD</t>
        </is>
      </c>
      <c r="J476" s="29" t="inlineStr">
        <is>
          <t>IC</t>
        </is>
      </c>
      <c r="K476" s="29" t="inlineStr">
        <is>
          <t>RC-103</t>
        </is>
      </c>
      <c r="L476" s="29" t="inlineStr">
        <is>
          <t>Shweta Jha</t>
        </is>
      </c>
      <c r="M476" s="29" t="inlineStr">
        <is>
          <t>IRIS2533</t>
        </is>
      </c>
      <c r="N476" s="29" t="n">
        <v>6.7</v>
      </c>
      <c r="O476" s="29" t="n">
        <v>0.1</v>
      </c>
      <c r="P476" s="29" t="inlineStr">
        <is>
          <t>BMS</t>
        </is>
      </c>
      <c r="Q476" s="29" t="inlineStr">
        <is>
          <t>Not in current mapping files</t>
        </is>
      </c>
      <c r="R476" s="29" t="inlineStr">
        <is>
          <t>B3</t>
        </is>
      </c>
      <c r="S476" s="30" t="inlineStr">
        <is>
          <t>0 of 20</t>
        </is>
      </c>
      <c r="T476" s="31"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t>
        </is>
      </c>
      <c r="U476" s="32" t="inlineStr">
        <is>
          <t>KRAs not received · manager to supply</t>
        </is>
      </c>
      <c r="V476" s="31" t="inlineStr">
        <is>
          <t>Latest rating: Not rated · manager · 9-box: Not placed · manager · Readiness: No rating data</t>
        </is>
      </c>
      <c r="W476" s="31" t="inlineStr">
        <is>
          <t>C M · Au M · Ac M · L L · BI M · Exp L · 6.7 yrs vs 8–12 yrs · Edu L · BMS</t>
        </is>
      </c>
      <c r="X476" s="33" t="inlineStr">
        <is>
          <t>Open ▸</t>
        </is>
      </c>
      <c r="Y476" s="34" t="str">
        <f>IFERROR(INDEX(DL_C,MATCH($CA476,DL_KEY,0)),"M")</f>
        <v>H</v>
      </c>
      <c r="Z476" s="35" t="str">
        <f>IFERROR(INDEX(DL_Au,MATCH($CA476,DL_KEY,0)),"M")</f>
        <v>M</v>
      </c>
      <c r="AA476" s="35" t="str">
        <f>IFERROR(INDEX(DL_Ac,MATCH($CA476,DL_KEY,0)),"M")</f>
        <v>M</v>
      </c>
      <c r="AB476" s="35" t="str">
        <f>IFERROR(INDEX(DL_L,MATCH($CA476,DL_KEY,0)),"M")</f>
        <v>L</v>
      </c>
      <c r="AC476" s="35" t="str">
        <f>IFERROR(INDEX(DL_BI,MATCH($CA476,DL_KEY,0)),"M")</f>
        <v>L</v>
      </c>
      <c r="AD476" s="35" t="str">
        <f>IFERROR(INDEX(DL_Exp,MATCH($CA476,DL_KEY,0)),"M")</f>
        <v>L</v>
      </c>
      <c r="AE476" s="35" t="str">
        <f>IFERROR(INDEX(DL_Edu,MATCH($CA476,DL_KEY,0)),"M")</f>
        <v>L</v>
      </c>
      <c r="AF476" s="34" t="inlineStr">
        <is>
          <t>M</t>
        </is>
      </c>
      <c r="AG476" s="35" t="inlineStr">
        <is>
          <t>M</t>
        </is>
      </c>
      <c r="AH476" s="35" t="inlineStr">
        <is>
          <t>M</t>
        </is>
      </c>
      <c r="AI476" s="35" t="inlineStr">
        <is>
          <t>M</t>
        </is>
      </c>
      <c r="AJ476" s="35" t="inlineStr">
        <is>
          <t>M</t>
        </is>
      </c>
      <c r="AK476" s="35" t="inlineStr">
        <is>
          <t>M</t>
        </is>
      </c>
      <c r="AL476" s="35" t="inlineStr">
        <is>
          <t>M</t>
        </is>
      </c>
      <c r="AM476" s="36" t="n">
        <v>0.513</v>
      </c>
      <c r="AN476" s="37" t="n">
        <v>0.173</v>
      </c>
      <c r="AO476" s="37" t="n">
        <v>0.09699999999999999</v>
      </c>
      <c r="AP476" s="37" t="n">
        <v>0.05</v>
      </c>
      <c r="AQ476" s="37" t="n">
        <v>0.07000000000000001</v>
      </c>
      <c r="AR476" s="37" t="n">
        <v>0.06</v>
      </c>
      <c r="AS476" s="37" t="n">
        <v>0.04</v>
      </c>
      <c r="AT476" s="38" t="inlineStr">
        <is>
          <t>8–13</t>
        </is>
      </c>
      <c r="AU476" s="38" t="inlineStr">
        <is>
          <t>Postgraduate or professional qualification preferred</t>
        </is>
      </c>
      <c r="AV476" s="38" t="inlineStr">
        <is>
          <t>IC: none · People: 5–8 incl. team leads</t>
        </is>
      </c>
      <c r="AW476" s="38" t="inlineStr">
        <is>
          <t>P5 / M4 · SFIA 5 Ensure, advise</t>
        </is>
      </c>
      <c r="AX4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6" s="39" t="inlineStr">
        <is>
          <t>B3</t>
        </is>
      </c>
      <c r="AZ476" s="40" t="inlineStr">
        <is>
          <t>Band B · Specialist / Manager · Lead Specialist</t>
        </is>
      </c>
      <c r="BA476" s="40" t="inlineStr">
        <is>
          <t>Model B3 from the six ratings, the market-derived weights and rules R1–R13 · then No change · already below the manager</t>
        </is>
      </c>
      <c r="BB476" s="41" t="inlineStr">
        <is>
          <t>B3</t>
        </is>
      </c>
      <c r="BC476" s="40" t="inlineStr">
        <is>
          <t>The six ratings on the market-average weights of Band B · Specialist / POD Lead score 5.80 → B3 · Hay, Mercer IPE and public plans · experience 6.7 yrs vs the B3 market range 8–13</t>
        </is>
      </c>
      <c r="BD476" s="42">
        <f>IF(SUM(BM476,BN476,BO476,BP476,BQ476,BR476,BS476)=0,0,(BM476*BT476+BN476*BU476+BO476*BV476+BP476*BW476+BQ476*BX476+BR476*BY476+BS476*BZ476)/SUM(BM476,BN476,BO476,BP476,BQ476,BR476,BS476))</f>
        <v>0</v>
      </c>
      <c r="BE476" s="41" t="str">
        <f>IF(LEFT(AY476,1)="X",AY476,IF(OR(AY476="B+",AY476="C+"),INDEX(LAD_PC,MAX(1,MIN(14,MATCH(AY476,LAD_PC,0)+IF(BD476&gt;=0.5,1,IF(BD476&lt;=-0.5,-1,0))))),INDEX(LAD_STD,MAX(1,MIN(12,MATCH(AY476,LAD_STD,0)+IF(BD476&gt;=0.5,1,IF(BD476&lt;=-0.5,-1,0)))))))</f>
        <v>B3</v>
      </c>
      <c r="BF476" s="43" t="n"/>
      <c r="BG476" s="41" t="str">
        <f>IF(BF476&lt;&gt;"",BF476,BE476)</f>
        <v>B3</v>
      </c>
      <c r="BH476" s="40" t="str">
        <f>IFERROR(CHOOSE(INDEX(B_RANK,MATCH(BG476,B_LVL,0)),"Band A","Band B","B+ · Player-Coach","Band C","C+ · Player-Coach","Band D","Band E"),"Band X · Consultant")</f>
        <v>Band B</v>
      </c>
      <c r="BI476" s="40" t="str">
        <f>IF(BG476=AY476,"• Same",IF(INDEX(B_VAL,MATCH(BG476,B_LVL,0))&gt;INDEX(B_VAL,MATCH(AY476,B_LVL,0)),"▲ Up","▼ Down"))</f>
        <v>• Same</v>
      </c>
      <c r="BJ476" s="40" t="str">
        <f>IF(OR($M476="",$M476="—",$M476="Not in this file"),"",IFERROR(INDEX($BG$7:$BG$592,MATCH($M476,$D$7:$D$592,0)),""))</f>
        <v>D2</v>
      </c>
      <c r="BK476" s="40" t="str">
        <f>IFERROR(IF(BJ476="","—",IF(OR(LEFT(BG476,1)="X",LEFT(BJ476,1)="X"),"—",IF(AND(LEFT(BG476,1)="E",LEFT(BJ476,1)="E"),"Exception · Band E",IF(AND(INDEX(B_VAL,MATCH(BJ476,B_LVL,0))&gt;=7,INDEX(B_RANK,MATCH(BG476,B_LVL,0))&gt;=INDEX(B_RANK,MATCH(BJ476,B_LVL,0))),"⚠ Same band as a head manager",IF(INDEX(B_VAL,MATCH(BG476,B_LVL,0))&gt;=INDEX(B_VAL,MATCH(BJ476,B_LVL,0)),"⚠ At or above the manager's level","OK"))))),"—")</f>
        <v>OK</v>
      </c>
      <c r="BL476" s="43" t="n"/>
      <c r="BM476" s="44">
        <f>IFERROR(INDEX(LMH_PTS,MATCH(Y476,LMH_KEY,0)),0)</f>
        <v>9</v>
      </c>
      <c r="BN476" s="38">
        <f>IFERROR(INDEX(LMH_PTS,MATCH(Z476,LMH_KEY,0)),0)</f>
        <v>3</v>
      </c>
      <c r="BO476" s="38">
        <f>IFERROR(INDEX(LMH_PTS,MATCH(AA476,LMH_KEY,0)),0)</f>
        <v>3</v>
      </c>
      <c r="BP476" s="38">
        <f>IFERROR(INDEX(LMH_PTS,MATCH(AB476,LMH_KEY,0)),0)</f>
        <v>1</v>
      </c>
      <c r="BQ476" s="38">
        <f>IFERROR(INDEX(LMH_PTS,MATCH(AC476,LMH_KEY,0)),0)</f>
        <v>1</v>
      </c>
      <c r="BR476" s="38">
        <f>IFERROR(INDEX(LMH_PTS,MATCH(AD476,LMH_KEY,0)),0)</f>
        <v>1</v>
      </c>
      <c r="BS476" s="38">
        <f>IFERROR(INDEX(LMH_PTS,MATCH(AE476,LMH_KEY,0)),0)</f>
        <v>1</v>
      </c>
      <c r="BT476" s="38">
        <f>IFERROR(INDEX(LMH_STEP,MATCH(AF476,LMH_KEY,0)),0)</f>
        <v>0</v>
      </c>
      <c r="BU476" s="38">
        <f>IFERROR(INDEX(LMH_STEP,MATCH(AG476,LMH_KEY,0)),0)</f>
        <v>0</v>
      </c>
      <c r="BV476" s="38">
        <f>IFERROR(INDEX(LMH_STEP,MATCH(AH476,LMH_KEY,0)),0)</f>
        <v>0</v>
      </c>
      <c r="BW476" s="38">
        <f>IFERROR(INDEX(LMH_STEP,MATCH(AI476,LMH_KEY,0)),0)</f>
        <v>0</v>
      </c>
      <c r="BX476" s="38">
        <f>IFERROR(INDEX(LMH_STEP,MATCH(AJ476,LMH_KEY,0)),0)</f>
        <v>0</v>
      </c>
      <c r="BY476" s="38">
        <f>IFERROR(INDEX(LMH_STEP,MATCH(AK476,LMH_KEY,0)),0)</f>
        <v>0</v>
      </c>
      <c r="BZ476" s="38">
        <f>IFERROR(INDEX(LMH_STEP,MATCH(AL476,LMH_KEY,0)),0)</f>
        <v>0</v>
      </c>
      <c r="CA476" s="38" t="inlineStr">
        <is>
          <t>Corporate|HR|Lead HR Specialist – Transformation &amp; OD|B3|B-IC</t>
        </is>
      </c>
    </row>
    <row r="477" ht="110" customHeight="1">
      <c r="A477" s="28" t="inlineStr">
        <is>
          <t>Corporate</t>
        </is>
      </c>
      <c r="B477" s="29" t="inlineStr">
        <is>
          <t>HR</t>
        </is>
      </c>
      <c r="C477" s="29" t="n">
        <v>2</v>
      </c>
      <c r="D477" s="29" t="inlineStr">
        <is>
          <t>IRIS2557</t>
        </is>
      </c>
      <c r="E477" s="29" t="inlineStr">
        <is>
          <t>Simran Kaur Raina</t>
        </is>
      </c>
      <c r="F477" s="29" t="inlineStr">
        <is>
          <t>Manager- Talent Acquisition</t>
        </is>
      </c>
      <c r="G477" s="29" t="inlineStr">
        <is>
          <t>Senior Talent Acquisition Specialist</t>
        </is>
      </c>
      <c r="H477" s="29" t="inlineStr">
        <is>
          <t>Human Resources</t>
        </is>
      </c>
      <c r="I477" s="29" t="inlineStr">
        <is>
          <t>Talent Acquisition</t>
        </is>
      </c>
      <c r="J477" s="29" t="inlineStr">
        <is>
          <t>IC</t>
        </is>
      </c>
      <c r="K477" s="29" t="inlineStr">
        <is>
          <t>RC-105</t>
        </is>
      </c>
      <c r="L477" s="29" t="inlineStr">
        <is>
          <t>Shweta Jha</t>
        </is>
      </c>
      <c r="M477" s="29" t="inlineStr">
        <is>
          <t>IRIS2533</t>
        </is>
      </c>
      <c r="N477" s="29" t="inlineStr">
        <is>
          <t>Not provided · HRIS</t>
        </is>
      </c>
      <c r="O477" s="29" t="n">
        <v>0.1</v>
      </c>
      <c r="P477" s="29" t="inlineStr">
        <is>
          <t>PGDM</t>
        </is>
      </c>
      <c r="Q477" s="29" t="inlineStr">
        <is>
          <t>Not in current mapping files</t>
        </is>
      </c>
      <c r="R477" s="29" t="inlineStr">
        <is>
          <t>B2</t>
        </is>
      </c>
      <c r="S477" s="30" t="inlineStr">
        <is>
          <t>14 of 20</t>
        </is>
      </c>
      <c r="T477" s="31"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t>
        </is>
      </c>
      <c r="U477" s="32" t="inlineStr">
        <is>
          <t>KRAs not received · manager to supply</t>
        </is>
      </c>
      <c r="V477" s="31" t="inlineStr">
        <is>
          <t>Latest rating: Not rated · manager · 9-box: Not placed · manager · Readiness: No rating data</t>
        </is>
      </c>
      <c r="W477" s="31" t="inlineStr">
        <is>
          <t>C M · Au M · Ac M · L L · BI M · Exp — · not on file · Edu H · PGDM</t>
        </is>
      </c>
      <c r="X477" s="33" t="inlineStr">
        <is>
          <t>Open ▸</t>
        </is>
      </c>
      <c r="Y477" s="34" t="str">
        <f>IFERROR(INDEX(DL_C,MATCH($CA477,DL_KEY,0)),"M")</f>
        <v>H</v>
      </c>
      <c r="Z477" s="35" t="str">
        <f>IFERROR(INDEX(DL_Au,MATCH($CA477,DL_KEY,0)),"M")</f>
        <v>M</v>
      </c>
      <c r="AA477" s="35" t="str">
        <f>IFERROR(INDEX(DL_Ac,MATCH($CA477,DL_KEY,0)),"M")</f>
        <v>M</v>
      </c>
      <c r="AB477" s="35" t="str">
        <f>IFERROR(INDEX(DL_L,MATCH($CA477,DL_KEY,0)),"M")</f>
        <v>L</v>
      </c>
      <c r="AC477" s="35" t="str">
        <f>IFERROR(INDEX(DL_BI,MATCH($CA477,DL_KEY,0)),"M")</f>
        <v>L</v>
      </c>
      <c r="AD477" s="35" t="str">
        <f>IFERROR(INDEX(DL_Exp,MATCH($CA477,DL_KEY,0)),"M")</f>
        <v>L</v>
      </c>
      <c r="AE477" s="35" t="str">
        <f>IFERROR(INDEX(DL_Edu,MATCH($CA477,DL_KEY,0)),"M")</f>
        <v>L</v>
      </c>
      <c r="AF477" s="34" t="inlineStr">
        <is>
          <t>M</t>
        </is>
      </c>
      <c r="AG477" s="35" t="inlineStr">
        <is>
          <t>M</t>
        </is>
      </c>
      <c r="AH477" s="35" t="inlineStr">
        <is>
          <t>M</t>
        </is>
      </c>
      <c r="AI477" s="35" t="inlineStr">
        <is>
          <t>M</t>
        </is>
      </c>
      <c r="AJ477" s="35" t="inlineStr">
        <is>
          <t>M</t>
        </is>
      </c>
      <c r="AK477" s="35" t="inlineStr">
        <is>
          <t>M</t>
        </is>
      </c>
      <c r="AL477" s="35" t="inlineStr">
        <is>
          <t>M</t>
        </is>
      </c>
      <c r="AM477" s="36" t="n">
        <v>0.513</v>
      </c>
      <c r="AN477" s="37" t="n">
        <v>0.173</v>
      </c>
      <c r="AO477" s="37" t="n">
        <v>0.09699999999999999</v>
      </c>
      <c r="AP477" s="37" t="n">
        <v>0.05</v>
      </c>
      <c r="AQ477" s="37" t="n">
        <v>0.07000000000000001</v>
      </c>
      <c r="AR477" s="37" t="n">
        <v>0.06</v>
      </c>
      <c r="AS477" s="37" t="n">
        <v>0.04</v>
      </c>
      <c r="AT477" s="38" t="inlineStr">
        <is>
          <t>6–10</t>
        </is>
      </c>
      <c r="AU477" s="38" t="inlineStr">
        <is>
          <t>Graduate or postgraduate; professional qualification preferred</t>
        </is>
      </c>
      <c r="AV477" s="38" t="inlineStr">
        <is>
          <t>IC: none · People: 6–8 knowledge work, 8–12 standardised delivery</t>
        </is>
      </c>
      <c r="AW477" s="38" t="inlineStr">
        <is>
          <t>P4 / M3 · SFIA 4–5</t>
        </is>
      </c>
      <c r="AX4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7" s="39" t="inlineStr">
        <is>
          <t>B2</t>
        </is>
      </c>
      <c r="AZ477" s="40" t="inlineStr">
        <is>
          <t>Band B · Specialist / Manager · Senior Specialist</t>
        </is>
      </c>
      <c r="BA477" s="40" t="inlineStr">
        <is>
          <t>Model B2 from the six ratings, the market-derived weights and rules R1–R13 · then No change · already below the manager</t>
        </is>
      </c>
      <c r="BB477" s="41" t="inlineStr">
        <is>
          <t>B2</t>
        </is>
      </c>
      <c r="BC477" s="40" t="inlineStr">
        <is>
          <t>The six ratings on the market-average weights of Band B · Specialist / POD Lead score 4.50 → B2 · Hay, Mercer IPE and public plans · experience Not provided · HRIS yrs vs the B2 market range 6–10</t>
        </is>
      </c>
      <c r="BD477" s="42">
        <f>IF(SUM(BM477,BN477,BO477,BP477,BQ477,BR477,BS477)=0,0,(BM477*BT477+BN477*BU477+BO477*BV477+BP477*BW477+BQ477*BX477+BR477*BY477+BS477*BZ477)/SUM(BM477,BN477,BO477,BP477,BQ477,BR477,BS477))</f>
        <v>0</v>
      </c>
      <c r="BE477" s="41" t="str">
        <f>IF(LEFT(AY477,1)="X",AY477,IF(OR(AY477="B+",AY477="C+"),INDEX(LAD_PC,MAX(1,MIN(14,MATCH(AY477,LAD_PC,0)+IF(BD477&gt;=0.5,1,IF(BD477&lt;=-0.5,-1,0))))),INDEX(LAD_STD,MAX(1,MIN(12,MATCH(AY477,LAD_STD,0)+IF(BD477&gt;=0.5,1,IF(BD477&lt;=-0.5,-1,0)))))))</f>
        <v>B2</v>
      </c>
      <c r="BF477" s="43" t="n"/>
      <c r="BG477" s="41" t="str">
        <f>IF(BF477&lt;&gt;"",BF477,BE477)</f>
        <v>B2</v>
      </c>
      <c r="BH477" s="40" t="str">
        <f>IFERROR(CHOOSE(INDEX(B_RANK,MATCH(BG477,B_LVL,0)),"Band A","Band B","B+ · Player-Coach","Band C","C+ · Player-Coach","Band D","Band E"),"Band X · Consultant")</f>
        <v>Band B</v>
      </c>
      <c r="BI477" s="40" t="str">
        <f>IF(BG477=AY477,"• Same",IF(INDEX(B_VAL,MATCH(BG477,B_LVL,0))&gt;INDEX(B_VAL,MATCH(AY477,B_LVL,0)),"▲ Up","▼ Down"))</f>
        <v>• Same</v>
      </c>
      <c r="BJ477" s="40" t="str">
        <f>IF(OR($M477="",$M477="—",$M477="Not in this file"),"",IFERROR(INDEX($BG$7:$BG$592,MATCH($M477,$D$7:$D$592,0)),""))</f>
        <v>D2</v>
      </c>
      <c r="BK477" s="40" t="str">
        <f>IFERROR(IF(BJ477="","—",IF(OR(LEFT(BG477,1)="X",LEFT(BJ477,1)="X"),"—",IF(AND(LEFT(BG477,1)="E",LEFT(BJ477,1)="E"),"Exception · Band E",IF(AND(INDEX(B_VAL,MATCH(BJ477,B_LVL,0))&gt;=7,INDEX(B_RANK,MATCH(BG477,B_LVL,0))&gt;=INDEX(B_RANK,MATCH(BJ477,B_LVL,0))),"⚠ Same band as a head manager",IF(INDEX(B_VAL,MATCH(BG477,B_LVL,0))&gt;=INDEX(B_VAL,MATCH(BJ477,B_LVL,0)),"⚠ At or above the manager's level","OK"))))),"—")</f>
        <v>OK</v>
      </c>
      <c r="BL477" s="43" t="n"/>
      <c r="BM477" s="44">
        <f>IFERROR(INDEX(LMH_PTS,MATCH(Y477,LMH_KEY,0)),0)</f>
        <v>9</v>
      </c>
      <c r="BN477" s="38">
        <f>IFERROR(INDEX(LMH_PTS,MATCH(Z477,LMH_KEY,0)),0)</f>
        <v>3</v>
      </c>
      <c r="BO477" s="38">
        <f>IFERROR(INDEX(LMH_PTS,MATCH(AA477,LMH_KEY,0)),0)</f>
        <v>3</v>
      </c>
      <c r="BP477" s="38">
        <f>IFERROR(INDEX(LMH_PTS,MATCH(AB477,LMH_KEY,0)),0)</f>
        <v>1</v>
      </c>
      <c r="BQ477" s="38">
        <f>IFERROR(INDEX(LMH_PTS,MATCH(AC477,LMH_KEY,0)),0)</f>
        <v>1</v>
      </c>
      <c r="BR477" s="38">
        <f>IFERROR(INDEX(LMH_PTS,MATCH(AD477,LMH_KEY,0)),0)</f>
        <v>1</v>
      </c>
      <c r="BS477" s="38">
        <f>IFERROR(INDEX(LMH_PTS,MATCH(AE477,LMH_KEY,0)),0)</f>
        <v>1</v>
      </c>
      <c r="BT477" s="38">
        <f>IFERROR(INDEX(LMH_STEP,MATCH(AF477,LMH_KEY,0)),0)</f>
        <v>0</v>
      </c>
      <c r="BU477" s="38">
        <f>IFERROR(INDEX(LMH_STEP,MATCH(AG477,LMH_KEY,0)),0)</f>
        <v>0</v>
      </c>
      <c r="BV477" s="38">
        <f>IFERROR(INDEX(LMH_STEP,MATCH(AH477,LMH_KEY,0)),0)</f>
        <v>0</v>
      </c>
      <c r="BW477" s="38">
        <f>IFERROR(INDEX(LMH_STEP,MATCH(AI477,LMH_KEY,0)),0)</f>
        <v>0</v>
      </c>
      <c r="BX477" s="38">
        <f>IFERROR(INDEX(LMH_STEP,MATCH(AJ477,LMH_KEY,0)),0)</f>
        <v>0</v>
      </c>
      <c r="BY477" s="38">
        <f>IFERROR(INDEX(LMH_STEP,MATCH(AK477,LMH_KEY,0)),0)</f>
        <v>0</v>
      </c>
      <c r="BZ477" s="38">
        <f>IFERROR(INDEX(LMH_STEP,MATCH(AL477,LMH_KEY,0)),0)</f>
        <v>0</v>
      </c>
      <c r="CA477" s="38" t="inlineStr">
        <is>
          <t>Corporate|HR|Senior Talent Acquisition Specialist|B2|B-IC</t>
        </is>
      </c>
    </row>
    <row r="478" ht="110" customHeight="1">
      <c r="A478" s="28" t="inlineStr">
        <is>
          <t>Corporate</t>
        </is>
      </c>
      <c r="B478" s="29" t="inlineStr">
        <is>
          <t>HR</t>
        </is>
      </c>
      <c r="C478" s="29" t="n">
        <v>2</v>
      </c>
      <c r="D478" s="29" t="inlineStr">
        <is>
          <t>IRIS0204</t>
        </is>
      </c>
      <c r="E478" s="29" t="inlineStr">
        <is>
          <t>Chandrakumar Moopanar</t>
        </is>
      </c>
      <c r="F478" s="29" t="inlineStr">
        <is>
          <t>HRIS &amp; Payroll Specialist</t>
        </is>
      </c>
      <c r="G478" s="29" t="inlineStr">
        <is>
          <t>HR Specialist</t>
        </is>
      </c>
      <c r="H478" s="29" t="inlineStr">
        <is>
          <t>Human Resources</t>
        </is>
      </c>
      <c r="I478" s="29" t="inlineStr">
        <is>
          <t>HR Operations &amp; Payroll</t>
        </is>
      </c>
      <c r="J478" s="29" t="inlineStr">
        <is>
          <t>IC</t>
        </is>
      </c>
      <c r="K478" s="29" t="inlineStr">
        <is>
          <t>RC-102</t>
        </is>
      </c>
      <c r="L478" s="29" t="inlineStr">
        <is>
          <t>Shweta Jha</t>
        </is>
      </c>
      <c r="M478" s="29" t="inlineStr">
        <is>
          <t>IRIS2533</t>
        </is>
      </c>
      <c r="N478" s="29" t="n">
        <v>19.3</v>
      </c>
      <c r="O478" s="29" t="n">
        <v>18.3</v>
      </c>
      <c r="P478" s="29" t="inlineStr">
        <is>
          <t>B.Com</t>
        </is>
      </c>
      <c r="Q478" s="29" t="inlineStr">
        <is>
          <t>Not in current mapping files</t>
        </is>
      </c>
      <c r="R478" s="29" t="inlineStr">
        <is>
          <t>B1</t>
        </is>
      </c>
      <c r="S478" s="30" t="inlineStr">
        <is>
          <t>16 of 20</t>
        </is>
      </c>
      <c r="T478" s="31"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t>
        </is>
      </c>
      <c r="U478" s="32" t="inlineStr">
        <is>
          <t>KRAs not received · manager to supply</t>
        </is>
      </c>
      <c r="V478" s="31" t="inlineStr">
        <is>
          <t>Latest rating: Not rated · manager · 9-box: Not placed · manager · Readiness: No rating data</t>
        </is>
      </c>
      <c r="W478" s="31" t="inlineStr">
        <is>
          <t>C M · Au L · Ac M · L L · BI M · Exp H · 19.3 yrs vs 4–7 yrs · Edu M · B.Com</t>
        </is>
      </c>
      <c r="X478" s="33" t="inlineStr">
        <is>
          <t>Open ▸</t>
        </is>
      </c>
      <c r="Y478" s="34" t="str">
        <f>IFERROR(INDEX(DL_C,MATCH($CA478,DL_KEY,0)),"M")</f>
        <v>H</v>
      </c>
      <c r="Z478" s="35" t="str">
        <f>IFERROR(INDEX(DL_Au,MATCH($CA478,DL_KEY,0)),"M")</f>
        <v>M</v>
      </c>
      <c r="AA478" s="35" t="str">
        <f>IFERROR(INDEX(DL_Ac,MATCH($CA478,DL_KEY,0)),"M")</f>
        <v>M</v>
      </c>
      <c r="AB478" s="35" t="str">
        <f>IFERROR(INDEX(DL_L,MATCH($CA478,DL_KEY,0)),"M")</f>
        <v>L</v>
      </c>
      <c r="AC478" s="35" t="str">
        <f>IFERROR(INDEX(DL_BI,MATCH($CA478,DL_KEY,0)),"M")</f>
        <v>L</v>
      </c>
      <c r="AD478" s="35" t="str">
        <f>IFERROR(INDEX(DL_Exp,MATCH($CA478,DL_KEY,0)),"M")</f>
        <v>L</v>
      </c>
      <c r="AE478" s="35" t="str">
        <f>IFERROR(INDEX(DL_Edu,MATCH($CA478,DL_KEY,0)),"M")</f>
        <v>L</v>
      </c>
      <c r="AF478" s="34" t="inlineStr">
        <is>
          <t>M</t>
        </is>
      </c>
      <c r="AG478" s="35" t="inlineStr">
        <is>
          <t>M</t>
        </is>
      </c>
      <c r="AH478" s="35" t="inlineStr">
        <is>
          <t>M</t>
        </is>
      </c>
      <c r="AI478" s="35" t="inlineStr">
        <is>
          <t>M</t>
        </is>
      </c>
      <c r="AJ478" s="35" t="inlineStr">
        <is>
          <t>M</t>
        </is>
      </c>
      <c r="AK478" s="35" t="inlineStr">
        <is>
          <t>M</t>
        </is>
      </c>
      <c r="AL478" s="35" t="inlineStr">
        <is>
          <t>M</t>
        </is>
      </c>
      <c r="AM478" s="36" t="n">
        <v>0.513</v>
      </c>
      <c r="AN478" s="37" t="n">
        <v>0.173</v>
      </c>
      <c r="AO478" s="37" t="n">
        <v>0.09699999999999999</v>
      </c>
      <c r="AP478" s="37" t="n">
        <v>0.05</v>
      </c>
      <c r="AQ478" s="37" t="n">
        <v>0.07000000000000001</v>
      </c>
      <c r="AR478" s="37" t="n">
        <v>0.06</v>
      </c>
      <c r="AS478" s="37" t="n">
        <v>0.04</v>
      </c>
      <c r="AT478" s="38" t="inlineStr">
        <is>
          <t>4–8</t>
        </is>
      </c>
      <c r="AU478" s="38" t="inlineStr">
        <is>
          <t>Graduate + relevant qualification or certification preferred</t>
        </is>
      </c>
      <c r="AV478" s="38" t="inlineStr">
        <is>
          <t>IC: none · Team Lead: 3–5</t>
        </is>
      </c>
      <c r="AW478" s="38" t="inlineStr">
        <is>
          <t>P3 / M2 · SFIA 4 Enable</t>
        </is>
      </c>
      <c r="AX4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8" s="39" t="inlineStr">
        <is>
          <t>B1</t>
        </is>
      </c>
      <c r="AZ478" s="40" t="inlineStr">
        <is>
          <t>Band B · Specialist / Manager · Specialist</t>
        </is>
      </c>
      <c r="BA478" s="40" t="inlineStr">
        <is>
          <t>Model B1 from the six ratings, the market-derived weights and rules R1–R13 · then No change · already below the manager</t>
        </is>
      </c>
      <c r="BB478" s="41" t="inlineStr">
        <is>
          <t>B1</t>
        </is>
      </c>
      <c r="BC478" s="40" t="inlineStr">
        <is>
          <t>The six ratings on the market-average weights of Band B · Specialist / POD Lead score 3.94 → B1 · Hay, Mercer IPE and public plans · experience 19.3 yrs vs the B1 market range 4–8</t>
        </is>
      </c>
      <c r="BD478" s="42">
        <f>IF(SUM(BM478,BN478,BO478,BP478,BQ478,BR478,BS478)=0,0,(BM478*BT478+BN478*BU478+BO478*BV478+BP478*BW478+BQ478*BX478+BR478*BY478+BS478*BZ478)/SUM(BM478,BN478,BO478,BP478,BQ478,BR478,BS478))</f>
        <v>0</v>
      </c>
      <c r="BE478" s="41" t="str">
        <f>IF(LEFT(AY478,1)="X",AY478,IF(OR(AY478="B+",AY478="C+"),INDEX(LAD_PC,MAX(1,MIN(14,MATCH(AY478,LAD_PC,0)+IF(BD478&gt;=0.5,1,IF(BD478&lt;=-0.5,-1,0))))),INDEX(LAD_STD,MAX(1,MIN(12,MATCH(AY478,LAD_STD,0)+IF(BD478&gt;=0.5,1,IF(BD478&lt;=-0.5,-1,0)))))))</f>
        <v>B1</v>
      </c>
      <c r="BF478" s="43" t="n"/>
      <c r="BG478" s="41" t="str">
        <f>IF(BF478&lt;&gt;"",BF478,BE478)</f>
        <v>B1</v>
      </c>
      <c r="BH478" s="40" t="str">
        <f>IFERROR(CHOOSE(INDEX(B_RANK,MATCH(BG478,B_LVL,0)),"Band A","Band B","B+ · Player-Coach","Band C","C+ · Player-Coach","Band D","Band E"),"Band X · Consultant")</f>
        <v>Band B</v>
      </c>
      <c r="BI478" s="40" t="str">
        <f>IF(BG478=AY478,"• Same",IF(INDEX(B_VAL,MATCH(BG478,B_LVL,0))&gt;INDEX(B_VAL,MATCH(AY478,B_LVL,0)),"▲ Up","▼ Down"))</f>
        <v>• Same</v>
      </c>
      <c r="BJ478" s="40" t="str">
        <f>IF(OR($M478="",$M478="—",$M478="Not in this file"),"",IFERROR(INDEX($BG$7:$BG$592,MATCH($M478,$D$7:$D$592,0)),""))</f>
        <v>D2</v>
      </c>
      <c r="BK478" s="40" t="str">
        <f>IFERROR(IF(BJ478="","—",IF(OR(LEFT(BG478,1)="X",LEFT(BJ478,1)="X"),"—",IF(AND(LEFT(BG478,1)="E",LEFT(BJ478,1)="E"),"Exception · Band E",IF(AND(INDEX(B_VAL,MATCH(BJ478,B_LVL,0))&gt;=7,INDEX(B_RANK,MATCH(BG478,B_LVL,0))&gt;=INDEX(B_RANK,MATCH(BJ478,B_LVL,0))),"⚠ Same band as a head manager",IF(INDEX(B_VAL,MATCH(BG478,B_LVL,0))&gt;=INDEX(B_VAL,MATCH(BJ478,B_LVL,0)),"⚠ At or above the manager's level","OK"))))),"—")</f>
        <v>OK</v>
      </c>
      <c r="BL478" s="43" t="n"/>
      <c r="BM478" s="44">
        <f>IFERROR(INDEX(LMH_PTS,MATCH(Y478,LMH_KEY,0)),0)</f>
        <v>9</v>
      </c>
      <c r="BN478" s="38">
        <f>IFERROR(INDEX(LMH_PTS,MATCH(Z478,LMH_KEY,0)),0)</f>
        <v>3</v>
      </c>
      <c r="BO478" s="38">
        <f>IFERROR(INDEX(LMH_PTS,MATCH(AA478,LMH_KEY,0)),0)</f>
        <v>3</v>
      </c>
      <c r="BP478" s="38">
        <f>IFERROR(INDEX(LMH_PTS,MATCH(AB478,LMH_KEY,0)),0)</f>
        <v>1</v>
      </c>
      <c r="BQ478" s="38">
        <f>IFERROR(INDEX(LMH_PTS,MATCH(AC478,LMH_KEY,0)),0)</f>
        <v>1</v>
      </c>
      <c r="BR478" s="38">
        <f>IFERROR(INDEX(LMH_PTS,MATCH(AD478,LMH_KEY,0)),0)</f>
        <v>1</v>
      </c>
      <c r="BS478" s="38">
        <f>IFERROR(INDEX(LMH_PTS,MATCH(AE478,LMH_KEY,0)),0)</f>
        <v>1</v>
      </c>
      <c r="BT478" s="38">
        <f>IFERROR(INDEX(LMH_STEP,MATCH(AF478,LMH_KEY,0)),0)</f>
        <v>0</v>
      </c>
      <c r="BU478" s="38">
        <f>IFERROR(INDEX(LMH_STEP,MATCH(AG478,LMH_KEY,0)),0)</f>
        <v>0</v>
      </c>
      <c r="BV478" s="38">
        <f>IFERROR(INDEX(LMH_STEP,MATCH(AH478,LMH_KEY,0)),0)</f>
        <v>0</v>
      </c>
      <c r="BW478" s="38">
        <f>IFERROR(INDEX(LMH_STEP,MATCH(AI478,LMH_KEY,0)),0)</f>
        <v>0</v>
      </c>
      <c r="BX478" s="38">
        <f>IFERROR(INDEX(LMH_STEP,MATCH(AJ478,LMH_KEY,0)),0)</f>
        <v>0</v>
      </c>
      <c r="BY478" s="38">
        <f>IFERROR(INDEX(LMH_STEP,MATCH(AK478,LMH_KEY,0)),0)</f>
        <v>0</v>
      </c>
      <c r="BZ478" s="38">
        <f>IFERROR(INDEX(LMH_STEP,MATCH(AL478,LMH_KEY,0)),0)</f>
        <v>0</v>
      </c>
      <c r="CA478" s="38" t="inlineStr">
        <is>
          <t>Corporate|HR|HR Specialist|B1|B-IC</t>
        </is>
      </c>
    </row>
    <row r="479" ht="110" customHeight="1">
      <c r="A479" s="28" t="inlineStr">
        <is>
          <t>Corporate</t>
        </is>
      </c>
      <c r="B479" s="29" t="inlineStr">
        <is>
          <t>HR</t>
        </is>
      </c>
      <c r="C479" s="29" t="n">
        <v>2</v>
      </c>
      <c r="D479" s="29" t="inlineStr">
        <is>
          <t>IRIS2152</t>
        </is>
      </c>
      <c r="E479" s="29" t="inlineStr">
        <is>
          <t>Nikitha Nair</t>
        </is>
      </c>
      <c r="F479" s="29" t="inlineStr">
        <is>
          <t>Employee Experience Specialist</t>
        </is>
      </c>
      <c r="G479" s="29" t="inlineStr">
        <is>
          <t>HR Specialist – POD Lead</t>
        </is>
      </c>
      <c r="H479" s="29" t="inlineStr">
        <is>
          <t>Human Resources</t>
        </is>
      </c>
      <c r="I479" s="29" t="inlineStr">
        <is>
          <t>HR Operations &amp; Payroll</t>
        </is>
      </c>
      <c r="J479" s="29" t="inlineStr">
        <is>
          <t>POD Lead</t>
        </is>
      </c>
      <c r="K479" s="29" t="inlineStr">
        <is>
          <t>RC-102</t>
        </is>
      </c>
      <c r="L479" s="29" t="inlineStr">
        <is>
          <t>Shweta Jha</t>
        </is>
      </c>
      <c r="M479" s="29" t="inlineStr">
        <is>
          <t>IRIS2533</t>
        </is>
      </c>
      <c r="N479" s="29" t="n">
        <v>4.2</v>
      </c>
      <c r="O479" s="29" t="n">
        <v>3.2</v>
      </c>
      <c r="P479" s="29" t="inlineStr">
        <is>
          <t>MBA</t>
        </is>
      </c>
      <c r="Q479" s="29" t="inlineStr">
        <is>
          <t>Not in current mapping files</t>
        </is>
      </c>
      <c r="R479" s="29" t="inlineStr">
        <is>
          <t>B1</t>
        </is>
      </c>
      <c r="S479" s="30" t="inlineStr">
        <is>
          <t>20 of 20</t>
        </is>
      </c>
      <c r="T479" s="31"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t>
        </is>
      </c>
      <c r="U479" s="32" t="inlineStr">
        <is>
          <t>KRAs not received · manager to supply</t>
        </is>
      </c>
      <c r="V479" s="31" t="inlineStr">
        <is>
          <t>Latest rating: Not rated · manager · 9-box: Not placed · manager · Readiness: No rating data</t>
        </is>
      </c>
      <c r="W479" s="31" t="inlineStr">
        <is>
          <t>C M · Au M · Ac M · L L · BI M · Exp M · 4.2 yrs vs 4–7 yrs · Edu H · MBA</t>
        </is>
      </c>
      <c r="X479" s="33" t="inlineStr">
        <is>
          <t>Open ▸</t>
        </is>
      </c>
      <c r="Y479" s="34" t="str">
        <f>IFERROR(INDEX(DL_C,MATCH($CA479,DL_KEY,0)),"M")</f>
        <v>H</v>
      </c>
      <c r="Z479" s="35" t="str">
        <f>IFERROR(INDEX(DL_Au,MATCH($CA479,DL_KEY,0)),"M")</f>
        <v>M</v>
      </c>
      <c r="AA479" s="35" t="str">
        <f>IFERROR(INDEX(DL_Ac,MATCH($CA479,DL_KEY,0)),"M")</f>
        <v>M</v>
      </c>
      <c r="AB479" s="35" t="str">
        <f>IFERROR(INDEX(DL_L,MATCH($CA479,DL_KEY,0)),"M")</f>
        <v>L</v>
      </c>
      <c r="AC479" s="35" t="str">
        <f>IFERROR(INDEX(DL_BI,MATCH($CA479,DL_KEY,0)),"M")</f>
        <v>L</v>
      </c>
      <c r="AD479" s="35" t="str">
        <f>IFERROR(INDEX(DL_Exp,MATCH($CA479,DL_KEY,0)),"M")</f>
        <v>L</v>
      </c>
      <c r="AE479" s="35" t="str">
        <f>IFERROR(INDEX(DL_Edu,MATCH($CA479,DL_KEY,0)),"M")</f>
        <v>L</v>
      </c>
      <c r="AF479" s="34" t="inlineStr">
        <is>
          <t>M</t>
        </is>
      </c>
      <c r="AG479" s="35" t="inlineStr">
        <is>
          <t>M</t>
        </is>
      </c>
      <c r="AH479" s="35" t="inlineStr">
        <is>
          <t>M</t>
        </is>
      </c>
      <c r="AI479" s="35" t="inlineStr">
        <is>
          <t>M</t>
        </is>
      </c>
      <c r="AJ479" s="35" t="inlineStr">
        <is>
          <t>M</t>
        </is>
      </c>
      <c r="AK479" s="35" t="inlineStr">
        <is>
          <t>M</t>
        </is>
      </c>
      <c r="AL479" s="35" t="inlineStr">
        <is>
          <t>M</t>
        </is>
      </c>
      <c r="AM479" s="36" t="n">
        <v>0.513</v>
      </c>
      <c r="AN479" s="37" t="n">
        <v>0.173</v>
      </c>
      <c r="AO479" s="37" t="n">
        <v>0.09699999999999999</v>
      </c>
      <c r="AP479" s="37" t="n">
        <v>0.05</v>
      </c>
      <c r="AQ479" s="37" t="n">
        <v>0.07000000000000001</v>
      </c>
      <c r="AR479" s="37" t="n">
        <v>0.06</v>
      </c>
      <c r="AS479" s="37" t="n">
        <v>0.04</v>
      </c>
      <c r="AT479" s="38" t="inlineStr">
        <is>
          <t>4–8</t>
        </is>
      </c>
      <c r="AU479" s="38" t="inlineStr">
        <is>
          <t>Graduate + relevant qualification or certification preferred</t>
        </is>
      </c>
      <c r="AV479" s="38" t="inlineStr">
        <is>
          <t>IC: none · Team Lead: 3–5</t>
        </is>
      </c>
      <c r="AW479" s="38" t="inlineStr">
        <is>
          <t>P3 / M2 · SFIA 4 Enable</t>
        </is>
      </c>
      <c r="AX4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9" s="39" t="inlineStr">
        <is>
          <t>B1</t>
        </is>
      </c>
      <c r="AZ479" s="40" t="inlineStr">
        <is>
          <t>Band B · Specialist / Manager · Team Lead / Asst Manager</t>
        </is>
      </c>
      <c r="BA479" s="40" t="inlineStr">
        <is>
          <t>Model B1 from the six ratings, the market-derived weights and rules R1–R13 · then No change · already below the manager</t>
        </is>
      </c>
      <c r="BB479" s="41" t="inlineStr">
        <is>
          <t>B1</t>
        </is>
      </c>
      <c r="BC479" s="40" t="inlineStr">
        <is>
          <t>The six ratings on the market-average weights of Band B · Specialist / POD Lead score 3.52 → B1 · Hay, Mercer IPE and public plans · experience 4.2 yrs vs the B1 market range 4–8</t>
        </is>
      </c>
      <c r="BD479" s="42">
        <f>IF(SUM(BM479,BN479,BO479,BP479,BQ479,BR479,BS479)=0,0,(BM479*BT479+BN479*BU479+BO479*BV479+BP479*BW479+BQ479*BX479+BR479*BY479+BS479*BZ479)/SUM(BM479,BN479,BO479,BP479,BQ479,BR479,BS479))</f>
        <v>0</v>
      </c>
      <c r="BE479" s="41" t="str">
        <f>IF(LEFT(AY479,1)="X",AY479,IF(OR(AY479="B+",AY479="C+"),INDEX(LAD_PC,MAX(1,MIN(14,MATCH(AY479,LAD_PC,0)+IF(BD479&gt;=0.5,1,IF(BD479&lt;=-0.5,-1,0))))),INDEX(LAD_STD,MAX(1,MIN(12,MATCH(AY479,LAD_STD,0)+IF(BD479&gt;=0.5,1,IF(BD479&lt;=-0.5,-1,0)))))))</f>
        <v>B1</v>
      </c>
      <c r="BF479" s="43" t="n"/>
      <c r="BG479" s="41" t="str">
        <f>IF(BF479&lt;&gt;"",BF479,BE479)</f>
        <v>B1</v>
      </c>
      <c r="BH479" s="40" t="str">
        <f>IFERROR(CHOOSE(INDEX(B_RANK,MATCH(BG479,B_LVL,0)),"Band A","Band B","B+ · Player-Coach","Band C","C+ · Player-Coach","Band D","Band E"),"Band X · Consultant")</f>
        <v>Band B</v>
      </c>
      <c r="BI479" s="40" t="str">
        <f>IF(BG479=AY479,"• Same",IF(INDEX(B_VAL,MATCH(BG479,B_LVL,0))&gt;INDEX(B_VAL,MATCH(AY479,B_LVL,0)),"▲ Up","▼ Down"))</f>
        <v>• Same</v>
      </c>
      <c r="BJ479" s="40" t="str">
        <f>IF(OR($M479="",$M479="—",$M479="Not in this file"),"",IFERROR(INDEX($BG$7:$BG$592,MATCH($M479,$D$7:$D$592,0)),""))</f>
        <v>D2</v>
      </c>
      <c r="BK479" s="40" t="str">
        <f>IFERROR(IF(BJ479="","—",IF(OR(LEFT(BG479,1)="X",LEFT(BJ479,1)="X"),"—",IF(AND(LEFT(BG479,1)="E",LEFT(BJ479,1)="E"),"Exception · Band E",IF(AND(INDEX(B_VAL,MATCH(BJ479,B_LVL,0))&gt;=7,INDEX(B_RANK,MATCH(BG479,B_LVL,0))&gt;=INDEX(B_RANK,MATCH(BJ479,B_LVL,0))),"⚠ Same band as a head manager",IF(INDEX(B_VAL,MATCH(BG479,B_LVL,0))&gt;=INDEX(B_VAL,MATCH(BJ479,B_LVL,0)),"⚠ At or above the manager's level","OK"))))),"—")</f>
        <v>OK</v>
      </c>
      <c r="BL479" s="43" t="n"/>
      <c r="BM479" s="44">
        <f>IFERROR(INDEX(LMH_PTS,MATCH(Y479,LMH_KEY,0)),0)</f>
        <v>9</v>
      </c>
      <c r="BN479" s="38">
        <f>IFERROR(INDEX(LMH_PTS,MATCH(Z479,LMH_KEY,0)),0)</f>
        <v>3</v>
      </c>
      <c r="BO479" s="38">
        <f>IFERROR(INDEX(LMH_PTS,MATCH(AA479,LMH_KEY,0)),0)</f>
        <v>3</v>
      </c>
      <c r="BP479" s="38">
        <f>IFERROR(INDEX(LMH_PTS,MATCH(AB479,LMH_KEY,0)),0)</f>
        <v>1</v>
      </c>
      <c r="BQ479" s="38">
        <f>IFERROR(INDEX(LMH_PTS,MATCH(AC479,LMH_KEY,0)),0)</f>
        <v>1</v>
      </c>
      <c r="BR479" s="38">
        <f>IFERROR(INDEX(LMH_PTS,MATCH(AD479,LMH_KEY,0)),0)</f>
        <v>1</v>
      </c>
      <c r="BS479" s="38">
        <f>IFERROR(INDEX(LMH_PTS,MATCH(AE479,LMH_KEY,0)),0)</f>
        <v>1</v>
      </c>
      <c r="BT479" s="38">
        <f>IFERROR(INDEX(LMH_STEP,MATCH(AF479,LMH_KEY,0)),0)</f>
        <v>0</v>
      </c>
      <c r="BU479" s="38">
        <f>IFERROR(INDEX(LMH_STEP,MATCH(AG479,LMH_KEY,0)),0)</f>
        <v>0</v>
      </c>
      <c r="BV479" s="38">
        <f>IFERROR(INDEX(LMH_STEP,MATCH(AH479,LMH_KEY,0)),0)</f>
        <v>0</v>
      </c>
      <c r="BW479" s="38">
        <f>IFERROR(INDEX(LMH_STEP,MATCH(AI479,LMH_KEY,0)),0)</f>
        <v>0</v>
      </c>
      <c r="BX479" s="38">
        <f>IFERROR(INDEX(LMH_STEP,MATCH(AJ479,LMH_KEY,0)),0)</f>
        <v>0</v>
      </c>
      <c r="BY479" s="38">
        <f>IFERROR(INDEX(LMH_STEP,MATCH(AK479,LMH_KEY,0)),0)</f>
        <v>0</v>
      </c>
      <c r="BZ479" s="38">
        <f>IFERROR(INDEX(LMH_STEP,MATCH(AL479,LMH_KEY,0)),0)</f>
        <v>0</v>
      </c>
      <c r="CA479" s="38" t="inlineStr">
        <is>
          <t>Corporate|HR|HR Specialist – POD Lead|B1|B-IC</t>
        </is>
      </c>
    </row>
    <row r="480" ht="110" customHeight="1">
      <c r="A480" s="28" t="inlineStr">
        <is>
          <t>Corporate</t>
        </is>
      </c>
      <c r="B480" s="29" t="inlineStr">
        <is>
          <t>HR</t>
        </is>
      </c>
      <c r="C480" s="29" t="n">
        <v>3</v>
      </c>
      <c r="D480" s="29" t="inlineStr">
        <is>
          <t>IRIS2558</t>
        </is>
      </c>
      <c r="E480" s="29" t="inlineStr">
        <is>
          <t>Blossom Dsouza</t>
        </is>
      </c>
      <c r="F480" s="29" t="inlineStr">
        <is>
          <t>Executive -HR</t>
        </is>
      </c>
      <c r="G480" s="29" t="inlineStr">
        <is>
          <t>HR Executive</t>
        </is>
      </c>
      <c r="H480" s="29" t="inlineStr">
        <is>
          <t>Human Resources</t>
        </is>
      </c>
      <c r="I480" s="29" t="inlineStr">
        <is>
          <t>HR Operations &amp; Payroll</t>
        </is>
      </c>
      <c r="J480" s="29" t="inlineStr">
        <is>
          <t>IC</t>
        </is>
      </c>
      <c r="K480" s="29" t="inlineStr">
        <is>
          <t>RC-101</t>
        </is>
      </c>
      <c r="L480" s="29" t="inlineStr">
        <is>
          <t>Nikitha Nair</t>
        </is>
      </c>
      <c r="M480" s="29" t="inlineStr">
        <is>
          <t>IRIS2152</t>
        </is>
      </c>
      <c r="N480" s="29" t="n">
        <v>0.9</v>
      </c>
      <c r="O480" s="29" t="n">
        <v>0.1</v>
      </c>
      <c r="P480" s="29" t="inlineStr">
        <is>
          <t>Bachelors</t>
        </is>
      </c>
      <c r="Q480" s="29" t="inlineStr">
        <is>
          <t>Not in current mapping files</t>
        </is>
      </c>
      <c r="R480" s="29" t="inlineStr">
        <is>
          <t>A2</t>
        </is>
      </c>
      <c r="S480" s="30" t="inlineStr">
        <is>
          <t>19 of 20</t>
        </is>
      </c>
      <c r="T480" s="31"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t>
        </is>
      </c>
      <c r="U480" s="32" t="inlineStr">
        <is>
          <t>KRAs not received · manager to supply</t>
        </is>
      </c>
      <c r="V480" s="31" t="inlineStr">
        <is>
          <t>Latest rating: Not rated · manager · 9-box: Not placed · manager · Readiness: No rating data</t>
        </is>
      </c>
      <c r="W480" s="31" t="inlineStr">
        <is>
          <t>C M · Au M · Ac M · L L · BI M · Exp M · 0.9 yrs vs 0–2 yrs · Edu M · Bachelors</t>
        </is>
      </c>
      <c r="X480" s="33" t="inlineStr">
        <is>
          <t>Open ▸</t>
        </is>
      </c>
      <c r="Y480" s="34" t="str">
        <f>IFERROR(INDEX(DL_C,MATCH($CA480,DL_KEY,0)),"M")</f>
        <v>H</v>
      </c>
      <c r="Z480" s="35" t="str">
        <f>IFERROR(INDEX(DL_Au,MATCH($CA480,DL_KEY,0)),"M")</f>
        <v>M</v>
      </c>
      <c r="AA480" s="35" t="str">
        <f>IFERROR(INDEX(DL_Ac,MATCH($CA480,DL_KEY,0)),"M")</f>
        <v>M</v>
      </c>
      <c r="AB480" s="35" t="str">
        <f>IFERROR(INDEX(DL_L,MATCH($CA480,DL_KEY,0)),"M")</f>
        <v>L</v>
      </c>
      <c r="AC480" s="35" t="str">
        <f>IFERROR(INDEX(DL_BI,MATCH($CA480,DL_KEY,0)),"M")</f>
        <v>L</v>
      </c>
      <c r="AD480" s="35" t="str">
        <f>IFERROR(INDEX(DL_Exp,MATCH($CA480,DL_KEY,0)),"M")</f>
        <v>L</v>
      </c>
      <c r="AE480" s="35" t="str">
        <f>IFERROR(INDEX(DL_Edu,MATCH($CA480,DL_KEY,0)),"M")</f>
        <v>M</v>
      </c>
      <c r="AF480" s="34" t="inlineStr">
        <is>
          <t>M</t>
        </is>
      </c>
      <c r="AG480" s="35" t="inlineStr">
        <is>
          <t>M</t>
        </is>
      </c>
      <c r="AH480" s="35" t="inlineStr">
        <is>
          <t>M</t>
        </is>
      </c>
      <c r="AI480" s="35" t="inlineStr">
        <is>
          <t>M</t>
        </is>
      </c>
      <c r="AJ480" s="35" t="inlineStr">
        <is>
          <t>M</t>
        </is>
      </c>
      <c r="AK480" s="35" t="inlineStr">
        <is>
          <t>M</t>
        </is>
      </c>
      <c r="AL480" s="35" t="inlineStr">
        <is>
          <t>M</t>
        </is>
      </c>
      <c r="AM480" s="36" t="n">
        <v>0.583</v>
      </c>
      <c r="AN480" s="37" t="n">
        <v>0.16</v>
      </c>
      <c r="AO480" s="37" t="n">
        <v>0.09</v>
      </c>
      <c r="AP480" s="37" t="n">
        <v>0</v>
      </c>
      <c r="AQ480" s="37" t="n">
        <v>0.063</v>
      </c>
      <c r="AR480" s="37" t="n">
        <v>0.06</v>
      </c>
      <c r="AS480" s="37" t="n">
        <v>0.04</v>
      </c>
      <c r="AT480" s="38" t="inlineStr">
        <is>
          <t>0–3</t>
        </is>
      </c>
      <c r="AU480" s="38" t="inlineStr">
        <is>
          <t>Graduate · or diploma with experience</t>
        </is>
      </c>
      <c r="AV480" s="38" t="inlineStr">
        <is>
          <t>No direct reports</t>
        </is>
      </c>
      <c r="AW480" s="38" t="inlineStr">
        <is>
          <t>P1–P2 · SFIA 2 Assist</t>
        </is>
      </c>
      <c r="AX4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0" s="39" t="inlineStr">
        <is>
          <t>A2</t>
        </is>
      </c>
      <c r="AZ480" s="40" t="inlineStr">
        <is>
          <t>Band A · Practitioner · Associate</t>
        </is>
      </c>
      <c r="BA480" s="40" t="inlineStr">
        <is>
          <t>Model A2 from the six ratings, the market-derived weights and rules R1–R13 · then No change · already below the manager</t>
        </is>
      </c>
      <c r="BB480" s="41" t="inlineStr">
        <is>
          <t>A2</t>
        </is>
      </c>
      <c r="BC480" s="40" t="inlineStr">
        <is>
          <t>The six ratings on the market-average weights of Band A · all tracks score 2.00 → A2 · Hay, Mercer IPE and public plans · experience 0.9 yrs vs the A2 market range 0–3</t>
        </is>
      </c>
      <c r="BD480" s="42">
        <f>IF(SUM(BM480,BN480,BO480,BP480,BQ480,BR480,BS480)=0,0,(BM480*BT480+BN480*BU480+BO480*BV480+BP480*BW480+BQ480*BX480+BR480*BY480+BS480*BZ480)/SUM(BM480,BN480,BO480,BP480,BQ480,BR480,BS480))</f>
        <v>0</v>
      </c>
      <c r="BE480" s="41" t="str">
        <f>IF(LEFT(AY480,1)="X",AY480,IF(OR(AY480="B+",AY480="C+"),INDEX(LAD_PC,MAX(1,MIN(14,MATCH(AY480,LAD_PC,0)+IF(BD480&gt;=0.5,1,IF(BD480&lt;=-0.5,-1,0))))),INDEX(LAD_STD,MAX(1,MIN(12,MATCH(AY480,LAD_STD,0)+IF(BD480&gt;=0.5,1,IF(BD480&lt;=-0.5,-1,0)))))))</f>
        <v>A2</v>
      </c>
      <c r="BF480" s="43" t="n"/>
      <c r="BG480" s="41" t="str">
        <f>IF(BF480&lt;&gt;"",BF480,BE480)</f>
        <v>A2</v>
      </c>
      <c r="BH480" s="40" t="str">
        <f>IFERROR(CHOOSE(INDEX(B_RANK,MATCH(BG480,B_LVL,0)),"Band A","Band B","B+ · Player-Coach","Band C","C+ · Player-Coach","Band D","Band E"),"Band X · Consultant")</f>
        <v>Band A</v>
      </c>
      <c r="BI480" s="40" t="str">
        <f>IF(BG480=AY480,"• Same",IF(INDEX(B_VAL,MATCH(BG480,B_LVL,0))&gt;INDEX(B_VAL,MATCH(AY480,B_LVL,0)),"▲ Up","▼ Down"))</f>
        <v>• Same</v>
      </c>
      <c r="BJ480" s="40" t="str">
        <f>IF(OR($M480="",$M480="—",$M480="Not in this file"),"",IFERROR(INDEX($BG$7:$BG$592,MATCH($M480,$D$7:$D$592,0)),""))</f>
        <v>B1</v>
      </c>
      <c r="BK480" s="40" t="str">
        <f>IFERROR(IF(BJ480="","—",IF(OR(LEFT(BG480,1)="X",LEFT(BJ480,1)="X"),"—",IF(AND(LEFT(BG480,1)="E",LEFT(BJ480,1)="E"),"Exception · Band E",IF(AND(INDEX(B_VAL,MATCH(BJ480,B_LVL,0))&gt;=7,INDEX(B_RANK,MATCH(BG480,B_LVL,0))&gt;=INDEX(B_RANK,MATCH(BJ480,B_LVL,0))),"⚠ Same band as a head manager",IF(INDEX(B_VAL,MATCH(BG480,B_LVL,0))&gt;=INDEX(B_VAL,MATCH(BJ480,B_LVL,0)),"⚠ At or above the manager's level","OK"))))),"—")</f>
        <v>OK</v>
      </c>
      <c r="BL480" s="43" t="n"/>
      <c r="BM480" s="44">
        <f>IFERROR(INDEX(LMH_PTS,MATCH(Y480,LMH_KEY,0)),0)</f>
        <v>9</v>
      </c>
      <c r="BN480" s="38">
        <f>IFERROR(INDEX(LMH_PTS,MATCH(Z480,LMH_KEY,0)),0)</f>
        <v>3</v>
      </c>
      <c r="BO480" s="38">
        <f>IFERROR(INDEX(LMH_PTS,MATCH(AA480,LMH_KEY,0)),0)</f>
        <v>3</v>
      </c>
      <c r="BP480" s="38">
        <f>IFERROR(INDEX(LMH_PTS,MATCH(AB480,LMH_KEY,0)),0)</f>
        <v>1</v>
      </c>
      <c r="BQ480" s="38">
        <f>IFERROR(INDEX(LMH_PTS,MATCH(AC480,LMH_KEY,0)),0)</f>
        <v>1</v>
      </c>
      <c r="BR480" s="38">
        <f>IFERROR(INDEX(LMH_PTS,MATCH(AD480,LMH_KEY,0)),0)</f>
        <v>1</v>
      </c>
      <c r="BS480" s="38">
        <f>IFERROR(INDEX(LMH_PTS,MATCH(AE480,LMH_KEY,0)),0)</f>
        <v>3</v>
      </c>
      <c r="BT480" s="38">
        <f>IFERROR(INDEX(LMH_STEP,MATCH(AF480,LMH_KEY,0)),0)</f>
        <v>0</v>
      </c>
      <c r="BU480" s="38">
        <f>IFERROR(INDEX(LMH_STEP,MATCH(AG480,LMH_KEY,0)),0)</f>
        <v>0</v>
      </c>
      <c r="BV480" s="38">
        <f>IFERROR(INDEX(LMH_STEP,MATCH(AH480,LMH_KEY,0)),0)</f>
        <v>0</v>
      </c>
      <c r="BW480" s="38">
        <f>IFERROR(INDEX(LMH_STEP,MATCH(AI480,LMH_KEY,0)),0)</f>
        <v>0</v>
      </c>
      <c r="BX480" s="38">
        <f>IFERROR(INDEX(LMH_STEP,MATCH(AJ480,LMH_KEY,0)),0)</f>
        <v>0</v>
      </c>
      <c r="BY480" s="38">
        <f>IFERROR(INDEX(LMH_STEP,MATCH(AK480,LMH_KEY,0)),0)</f>
        <v>0</v>
      </c>
      <c r="BZ480" s="38">
        <f>IFERROR(INDEX(LMH_STEP,MATCH(AL480,LMH_KEY,0)),0)</f>
        <v>0</v>
      </c>
      <c r="CA480" s="38" t="inlineStr">
        <is>
          <t>Corporate|HR|HR Executive|A2|A</t>
        </is>
      </c>
    </row>
    <row r="481" ht="110" customHeight="1">
      <c r="A481" s="28" t="inlineStr">
        <is>
          <t>Corporate</t>
        </is>
      </c>
      <c r="B481" s="29" t="inlineStr">
        <is>
          <t>HR</t>
        </is>
      </c>
      <c r="C481" s="29" t="n">
        <v>2</v>
      </c>
      <c r="D481" s="29" t="inlineStr">
        <is>
          <t>IRIS2402</t>
        </is>
      </c>
      <c r="E481" s="29" t="inlineStr">
        <is>
          <t>Renuka Badhoria</t>
        </is>
      </c>
      <c r="F481" s="29" t="inlineStr">
        <is>
          <t>Talent Acquisition Specialist</t>
        </is>
      </c>
      <c r="G481" s="29" t="inlineStr">
        <is>
          <t>Senior Talent Acquisition Executive</t>
        </is>
      </c>
      <c r="H481" s="29" t="inlineStr">
        <is>
          <t>Human Resources</t>
        </is>
      </c>
      <c r="I481" s="29" t="inlineStr">
        <is>
          <t>Talent Acquisition</t>
        </is>
      </c>
      <c r="J481" s="29" t="inlineStr">
        <is>
          <t>IC</t>
        </is>
      </c>
      <c r="K481" s="29" t="inlineStr">
        <is>
          <t>RC-104</t>
        </is>
      </c>
      <c r="L481" s="29" t="inlineStr">
        <is>
          <t>Shweta Jha</t>
        </is>
      </c>
      <c r="M481" s="29" t="inlineStr">
        <is>
          <t>IRIS2533</t>
        </is>
      </c>
      <c r="N481" s="29" t="n">
        <v>3.4</v>
      </c>
      <c r="O481" s="29" t="n">
        <v>1.2</v>
      </c>
      <c r="P481" s="29" t="inlineStr">
        <is>
          <t>MBA PGDM</t>
        </is>
      </c>
      <c r="Q481" s="29" t="inlineStr">
        <is>
          <t>Not in current mapping files</t>
        </is>
      </c>
      <c r="R481" s="29" t="inlineStr">
        <is>
          <t>A3</t>
        </is>
      </c>
      <c r="S481" s="30" t="inlineStr">
        <is>
          <t>19 of 20</t>
        </is>
      </c>
      <c r="T481" s="31"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t>
        </is>
      </c>
      <c r="U481" s="32" t="inlineStr">
        <is>
          <t>KRAs not received · manager to supply</t>
        </is>
      </c>
      <c r="V481" s="31" t="inlineStr">
        <is>
          <t>Latest rating: Not rated · manager · 9-box: Not placed · manager · Readiness: No rating data</t>
        </is>
      </c>
      <c r="W481" s="31" t="inlineStr">
        <is>
          <t>C M · Au M · Ac M · L L · BI M · Exp M · 3.4 yrs vs 2–4 yrs · Edu H · MBA PGDM</t>
        </is>
      </c>
      <c r="X481" s="33" t="inlineStr">
        <is>
          <t>Open ▸</t>
        </is>
      </c>
      <c r="Y481" s="34" t="str">
        <f>IFERROR(INDEX(DL_C,MATCH($CA481,DL_KEY,0)),"M")</f>
        <v>H</v>
      </c>
      <c r="Z481" s="35" t="str">
        <f>IFERROR(INDEX(DL_Au,MATCH($CA481,DL_KEY,0)),"M")</f>
        <v>M</v>
      </c>
      <c r="AA481" s="35" t="str">
        <f>IFERROR(INDEX(DL_Ac,MATCH($CA481,DL_KEY,0)),"M")</f>
        <v>M</v>
      </c>
      <c r="AB481" s="35" t="str">
        <f>IFERROR(INDEX(DL_L,MATCH($CA481,DL_KEY,0)),"M")</f>
        <v>L</v>
      </c>
      <c r="AC481" s="35" t="str">
        <f>IFERROR(INDEX(DL_BI,MATCH($CA481,DL_KEY,0)),"M")</f>
        <v>L</v>
      </c>
      <c r="AD481" s="35" t="str">
        <f>IFERROR(INDEX(DL_Exp,MATCH($CA481,DL_KEY,0)),"M")</f>
        <v>L</v>
      </c>
      <c r="AE481" s="35" t="str">
        <f>IFERROR(INDEX(DL_Edu,MATCH($CA481,DL_KEY,0)),"M")</f>
        <v>M</v>
      </c>
      <c r="AF481" s="34" t="inlineStr">
        <is>
          <t>M</t>
        </is>
      </c>
      <c r="AG481" s="35" t="inlineStr">
        <is>
          <t>M</t>
        </is>
      </c>
      <c r="AH481" s="35" t="inlineStr">
        <is>
          <t>M</t>
        </is>
      </c>
      <c r="AI481" s="35" t="inlineStr">
        <is>
          <t>M</t>
        </is>
      </c>
      <c r="AJ481" s="35" t="inlineStr">
        <is>
          <t>M</t>
        </is>
      </c>
      <c r="AK481" s="35" t="inlineStr">
        <is>
          <t>M</t>
        </is>
      </c>
      <c r="AL481" s="35" t="inlineStr">
        <is>
          <t>M</t>
        </is>
      </c>
      <c r="AM481" s="36" t="n">
        <v>0.583</v>
      </c>
      <c r="AN481" s="37" t="n">
        <v>0.16</v>
      </c>
      <c r="AO481" s="37" t="n">
        <v>0.09</v>
      </c>
      <c r="AP481" s="37" t="n">
        <v>0</v>
      </c>
      <c r="AQ481" s="37" t="n">
        <v>0.063</v>
      </c>
      <c r="AR481" s="37" t="n">
        <v>0.06</v>
      </c>
      <c r="AS481" s="37" t="n">
        <v>0.04</v>
      </c>
      <c r="AT481" s="38" t="inlineStr">
        <is>
          <t>2–5</t>
        </is>
      </c>
      <c r="AU481" s="38" t="inlineStr">
        <is>
          <t>Graduate; relevant certification preferred</t>
        </is>
      </c>
      <c r="AV481" s="38" t="inlineStr">
        <is>
          <t>None · guides 1–3 juniors informally</t>
        </is>
      </c>
      <c r="AW481" s="38" t="inlineStr">
        <is>
          <t>P2 · SFIA 3 Apply</t>
        </is>
      </c>
      <c r="AX4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1" s="39" t="inlineStr">
        <is>
          <t>A3</t>
        </is>
      </c>
      <c r="AZ481" s="40" t="inlineStr">
        <is>
          <t>Band A · Practitioner · Senior Associate</t>
        </is>
      </c>
      <c r="BA481" s="40" t="inlineStr">
        <is>
          <t>Model A3 from the six ratings, the market-derived weights and rules R1–R13 · then No change · already below the manager</t>
        </is>
      </c>
      <c r="BB481" s="41" t="inlineStr">
        <is>
          <t>A3</t>
        </is>
      </c>
      <c r="BC481" s="40" t="inlineStr">
        <is>
          <t>The six ratings on the market-average weights of Band A · all tracks score 3.13 → A3 · Hay, Mercer IPE and public plans · experience 3.4 yrs vs the A3 market range 2–5</t>
        </is>
      </c>
      <c r="BD481" s="42">
        <f>IF(SUM(BM481,BN481,BO481,BP481,BQ481,BR481,BS481)=0,0,(BM481*BT481+BN481*BU481+BO481*BV481+BP481*BW481+BQ481*BX481+BR481*BY481+BS481*BZ481)/SUM(BM481,BN481,BO481,BP481,BQ481,BR481,BS481))</f>
        <v>0</v>
      </c>
      <c r="BE481" s="41" t="str">
        <f>IF(LEFT(AY481,1)="X",AY481,IF(OR(AY481="B+",AY481="C+"),INDEX(LAD_PC,MAX(1,MIN(14,MATCH(AY481,LAD_PC,0)+IF(BD481&gt;=0.5,1,IF(BD481&lt;=-0.5,-1,0))))),INDEX(LAD_STD,MAX(1,MIN(12,MATCH(AY481,LAD_STD,0)+IF(BD481&gt;=0.5,1,IF(BD481&lt;=-0.5,-1,0)))))))</f>
        <v>A3</v>
      </c>
      <c r="BF481" s="43" t="n"/>
      <c r="BG481" s="41" t="str">
        <f>IF(BF481&lt;&gt;"",BF481,BE481)</f>
        <v>A3</v>
      </c>
      <c r="BH481" s="40" t="str">
        <f>IFERROR(CHOOSE(INDEX(B_RANK,MATCH(BG481,B_LVL,0)),"Band A","Band B","B+ · Player-Coach","Band C","C+ · Player-Coach","Band D","Band E"),"Band X · Consultant")</f>
        <v>Band A</v>
      </c>
      <c r="BI481" s="40" t="str">
        <f>IF(BG481=AY481,"• Same",IF(INDEX(B_VAL,MATCH(BG481,B_LVL,0))&gt;INDEX(B_VAL,MATCH(AY481,B_LVL,0)),"▲ Up","▼ Down"))</f>
        <v>• Same</v>
      </c>
      <c r="BJ481" s="40" t="str">
        <f>IF(OR($M481="",$M481="—",$M481="Not in this file"),"",IFERROR(INDEX($BG$7:$BG$592,MATCH($M481,$D$7:$D$592,0)),""))</f>
        <v>D2</v>
      </c>
      <c r="BK481" s="40" t="str">
        <f>IFERROR(IF(BJ481="","—",IF(OR(LEFT(BG481,1)="X",LEFT(BJ481,1)="X"),"—",IF(AND(LEFT(BG481,1)="E",LEFT(BJ481,1)="E"),"Exception · Band E",IF(AND(INDEX(B_VAL,MATCH(BJ481,B_LVL,0))&gt;=7,INDEX(B_RANK,MATCH(BG481,B_LVL,0))&gt;=INDEX(B_RANK,MATCH(BJ481,B_LVL,0))),"⚠ Same band as a head manager",IF(INDEX(B_VAL,MATCH(BG481,B_LVL,0))&gt;=INDEX(B_VAL,MATCH(BJ481,B_LVL,0)),"⚠ At or above the manager's level","OK"))))),"—")</f>
        <v>OK</v>
      </c>
      <c r="BL481" s="43" t="n"/>
      <c r="BM481" s="44">
        <f>IFERROR(INDEX(LMH_PTS,MATCH(Y481,LMH_KEY,0)),0)</f>
        <v>9</v>
      </c>
      <c r="BN481" s="38">
        <f>IFERROR(INDEX(LMH_PTS,MATCH(Z481,LMH_KEY,0)),0)</f>
        <v>3</v>
      </c>
      <c r="BO481" s="38">
        <f>IFERROR(INDEX(LMH_PTS,MATCH(AA481,LMH_KEY,0)),0)</f>
        <v>3</v>
      </c>
      <c r="BP481" s="38">
        <f>IFERROR(INDEX(LMH_PTS,MATCH(AB481,LMH_KEY,0)),0)</f>
        <v>1</v>
      </c>
      <c r="BQ481" s="38">
        <f>IFERROR(INDEX(LMH_PTS,MATCH(AC481,LMH_KEY,0)),0)</f>
        <v>1</v>
      </c>
      <c r="BR481" s="38">
        <f>IFERROR(INDEX(LMH_PTS,MATCH(AD481,LMH_KEY,0)),0)</f>
        <v>1</v>
      </c>
      <c r="BS481" s="38">
        <f>IFERROR(INDEX(LMH_PTS,MATCH(AE481,LMH_KEY,0)),0)</f>
        <v>3</v>
      </c>
      <c r="BT481" s="38">
        <f>IFERROR(INDEX(LMH_STEP,MATCH(AF481,LMH_KEY,0)),0)</f>
        <v>0</v>
      </c>
      <c r="BU481" s="38">
        <f>IFERROR(INDEX(LMH_STEP,MATCH(AG481,LMH_KEY,0)),0)</f>
        <v>0</v>
      </c>
      <c r="BV481" s="38">
        <f>IFERROR(INDEX(LMH_STEP,MATCH(AH481,LMH_KEY,0)),0)</f>
        <v>0</v>
      </c>
      <c r="BW481" s="38">
        <f>IFERROR(INDEX(LMH_STEP,MATCH(AI481,LMH_KEY,0)),0)</f>
        <v>0</v>
      </c>
      <c r="BX481" s="38">
        <f>IFERROR(INDEX(LMH_STEP,MATCH(AJ481,LMH_KEY,0)),0)</f>
        <v>0</v>
      </c>
      <c r="BY481" s="38">
        <f>IFERROR(INDEX(LMH_STEP,MATCH(AK481,LMH_KEY,0)),0)</f>
        <v>0</v>
      </c>
      <c r="BZ481" s="38">
        <f>IFERROR(INDEX(LMH_STEP,MATCH(AL481,LMH_KEY,0)),0)</f>
        <v>0</v>
      </c>
      <c r="CA481" s="38" t="inlineStr">
        <is>
          <t>Corporate|HR|Senior Talent Acquisition Executive|A3|A</t>
        </is>
      </c>
    </row>
    <row r="482" ht="110" customHeight="1">
      <c r="A482" s="28" t="inlineStr">
        <is>
          <t>Corporate</t>
        </is>
      </c>
      <c r="B482" s="29" t="inlineStr">
        <is>
          <t>HR</t>
        </is>
      </c>
      <c r="C482" s="29" t="n">
        <v>2</v>
      </c>
      <c r="D482" s="29" t="inlineStr">
        <is>
          <t>IRIS2245</t>
        </is>
      </c>
      <c r="E482" s="29" t="inlineStr">
        <is>
          <t>Shruti Gawas</t>
        </is>
      </c>
      <c r="F482" s="29" t="inlineStr">
        <is>
          <t>Senior Executive - Talent Acquisition</t>
        </is>
      </c>
      <c r="G482" s="29" t="inlineStr">
        <is>
          <t>Senior Talent Acquisition Executive</t>
        </is>
      </c>
      <c r="H482" s="29" t="inlineStr">
        <is>
          <t>Human Resources</t>
        </is>
      </c>
      <c r="I482" s="29" t="inlineStr">
        <is>
          <t>Talent Acquisition</t>
        </is>
      </c>
      <c r="J482" s="29" t="inlineStr">
        <is>
          <t>IC</t>
        </is>
      </c>
      <c r="K482" s="29" t="inlineStr">
        <is>
          <t>RC-104</t>
        </is>
      </c>
      <c r="L482" s="29" t="inlineStr">
        <is>
          <t>Shweta Jha</t>
        </is>
      </c>
      <c r="M482" s="29" t="inlineStr">
        <is>
          <t>IRIS2533</t>
        </is>
      </c>
      <c r="N482" s="29" t="n">
        <v>3.6</v>
      </c>
      <c r="O482" s="29" t="n">
        <v>2.4</v>
      </c>
      <c r="P482" s="29" t="inlineStr">
        <is>
          <t>MBA</t>
        </is>
      </c>
      <c r="Q482" s="29" t="inlineStr">
        <is>
          <t>Not in current mapping files</t>
        </is>
      </c>
      <c r="R482" s="29" t="inlineStr">
        <is>
          <t>A3</t>
        </is>
      </c>
      <c r="S482" s="30" t="inlineStr">
        <is>
          <t>19 of 20</t>
        </is>
      </c>
      <c r="T482" s="31"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t>
        </is>
      </c>
      <c r="U482" s="32" t="inlineStr">
        <is>
          <t>KRAs not received · manager to supply</t>
        </is>
      </c>
      <c r="V482" s="31" t="inlineStr">
        <is>
          <t>Latest rating: Not rated · manager · 9-box: Not placed · manager · Readiness: No rating data</t>
        </is>
      </c>
      <c r="W482" s="31" t="inlineStr">
        <is>
          <t>C M · Au M · Ac M · L L · BI M · Exp M · 3.6 yrs vs 2–4 yrs · Edu H · MBA</t>
        </is>
      </c>
      <c r="X482" s="33" t="inlineStr">
        <is>
          <t>Open ▸</t>
        </is>
      </c>
      <c r="Y482" s="34" t="str">
        <f>IFERROR(INDEX(DL_C,MATCH($CA482,DL_KEY,0)),"M")</f>
        <v>H</v>
      </c>
      <c r="Z482" s="35" t="str">
        <f>IFERROR(INDEX(DL_Au,MATCH($CA482,DL_KEY,0)),"M")</f>
        <v>M</v>
      </c>
      <c r="AA482" s="35" t="str">
        <f>IFERROR(INDEX(DL_Ac,MATCH($CA482,DL_KEY,0)),"M")</f>
        <v>M</v>
      </c>
      <c r="AB482" s="35" t="str">
        <f>IFERROR(INDEX(DL_L,MATCH($CA482,DL_KEY,0)),"M")</f>
        <v>L</v>
      </c>
      <c r="AC482" s="35" t="str">
        <f>IFERROR(INDEX(DL_BI,MATCH($CA482,DL_KEY,0)),"M")</f>
        <v>L</v>
      </c>
      <c r="AD482" s="35" t="str">
        <f>IFERROR(INDEX(DL_Exp,MATCH($CA482,DL_KEY,0)),"M")</f>
        <v>L</v>
      </c>
      <c r="AE482" s="35" t="str">
        <f>IFERROR(INDEX(DL_Edu,MATCH($CA482,DL_KEY,0)),"M")</f>
        <v>M</v>
      </c>
      <c r="AF482" s="34" t="inlineStr">
        <is>
          <t>M</t>
        </is>
      </c>
      <c r="AG482" s="35" t="inlineStr">
        <is>
          <t>M</t>
        </is>
      </c>
      <c r="AH482" s="35" t="inlineStr">
        <is>
          <t>M</t>
        </is>
      </c>
      <c r="AI482" s="35" t="inlineStr">
        <is>
          <t>M</t>
        </is>
      </c>
      <c r="AJ482" s="35" t="inlineStr">
        <is>
          <t>M</t>
        </is>
      </c>
      <c r="AK482" s="35" t="inlineStr">
        <is>
          <t>M</t>
        </is>
      </c>
      <c r="AL482" s="35" t="inlineStr">
        <is>
          <t>M</t>
        </is>
      </c>
      <c r="AM482" s="36" t="n">
        <v>0.583</v>
      </c>
      <c r="AN482" s="37" t="n">
        <v>0.16</v>
      </c>
      <c r="AO482" s="37" t="n">
        <v>0.09</v>
      </c>
      <c r="AP482" s="37" t="n">
        <v>0</v>
      </c>
      <c r="AQ482" s="37" t="n">
        <v>0.063</v>
      </c>
      <c r="AR482" s="37" t="n">
        <v>0.06</v>
      </c>
      <c r="AS482" s="37" t="n">
        <v>0.04</v>
      </c>
      <c r="AT482" s="38" t="inlineStr">
        <is>
          <t>2–5</t>
        </is>
      </c>
      <c r="AU482" s="38" t="inlineStr">
        <is>
          <t>Graduate; relevant certification preferred</t>
        </is>
      </c>
      <c r="AV482" s="38" t="inlineStr">
        <is>
          <t>None · guides 1–3 juniors informally</t>
        </is>
      </c>
      <c r="AW482" s="38" t="inlineStr">
        <is>
          <t>P2 · SFIA 3 Apply</t>
        </is>
      </c>
      <c r="AX4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2" s="39" t="inlineStr">
        <is>
          <t>A3</t>
        </is>
      </c>
      <c r="AZ482" s="40" t="inlineStr">
        <is>
          <t>Band A · Practitioner · Senior Associate</t>
        </is>
      </c>
      <c r="BA482" s="40" t="inlineStr">
        <is>
          <t>Model A3 from the six ratings, the market-derived weights and rules R1–R13 · then No change · already below the manager</t>
        </is>
      </c>
      <c r="BB482" s="41" t="inlineStr">
        <is>
          <t>A3</t>
        </is>
      </c>
      <c r="BC482" s="40" t="inlineStr">
        <is>
          <t>The six ratings on the market-average weights of Band A · all tracks score 3.05 → A3 · Hay, Mercer IPE and public plans · experience 3.6 yrs vs the A3 market range 2–5</t>
        </is>
      </c>
      <c r="BD482" s="42">
        <f>IF(SUM(BM482,BN482,BO482,BP482,BQ482,BR482,BS482)=0,0,(BM482*BT482+BN482*BU482+BO482*BV482+BP482*BW482+BQ482*BX482+BR482*BY482+BS482*BZ482)/SUM(BM482,BN482,BO482,BP482,BQ482,BR482,BS482))</f>
        <v>0</v>
      </c>
      <c r="BE482" s="41" t="str">
        <f>IF(LEFT(AY482,1)="X",AY482,IF(OR(AY482="B+",AY482="C+"),INDEX(LAD_PC,MAX(1,MIN(14,MATCH(AY482,LAD_PC,0)+IF(BD482&gt;=0.5,1,IF(BD482&lt;=-0.5,-1,0))))),INDEX(LAD_STD,MAX(1,MIN(12,MATCH(AY482,LAD_STD,0)+IF(BD482&gt;=0.5,1,IF(BD482&lt;=-0.5,-1,0)))))))</f>
        <v>A3</v>
      </c>
      <c r="BF482" s="43" t="n"/>
      <c r="BG482" s="41" t="str">
        <f>IF(BF482&lt;&gt;"",BF482,BE482)</f>
        <v>A3</v>
      </c>
      <c r="BH482" s="40" t="str">
        <f>IFERROR(CHOOSE(INDEX(B_RANK,MATCH(BG482,B_LVL,0)),"Band A","Band B","B+ · Player-Coach","Band C","C+ · Player-Coach","Band D","Band E"),"Band X · Consultant")</f>
        <v>Band A</v>
      </c>
      <c r="BI482" s="40" t="str">
        <f>IF(BG482=AY482,"• Same",IF(INDEX(B_VAL,MATCH(BG482,B_LVL,0))&gt;INDEX(B_VAL,MATCH(AY482,B_LVL,0)),"▲ Up","▼ Down"))</f>
        <v>• Same</v>
      </c>
      <c r="BJ482" s="40" t="str">
        <f>IF(OR($M482="",$M482="—",$M482="Not in this file"),"",IFERROR(INDEX($BG$7:$BG$592,MATCH($M482,$D$7:$D$592,0)),""))</f>
        <v>D2</v>
      </c>
      <c r="BK482" s="40" t="str">
        <f>IFERROR(IF(BJ482="","—",IF(OR(LEFT(BG482,1)="X",LEFT(BJ482,1)="X"),"—",IF(AND(LEFT(BG482,1)="E",LEFT(BJ482,1)="E"),"Exception · Band E",IF(AND(INDEX(B_VAL,MATCH(BJ482,B_LVL,0))&gt;=7,INDEX(B_RANK,MATCH(BG482,B_LVL,0))&gt;=INDEX(B_RANK,MATCH(BJ482,B_LVL,0))),"⚠ Same band as a head manager",IF(INDEX(B_VAL,MATCH(BG482,B_LVL,0))&gt;=INDEX(B_VAL,MATCH(BJ482,B_LVL,0)),"⚠ At or above the manager's level","OK"))))),"—")</f>
        <v>OK</v>
      </c>
      <c r="BL482" s="43" t="n"/>
      <c r="BM482" s="44">
        <f>IFERROR(INDEX(LMH_PTS,MATCH(Y482,LMH_KEY,0)),0)</f>
        <v>9</v>
      </c>
      <c r="BN482" s="38">
        <f>IFERROR(INDEX(LMH_PTS,MATCH(Z482,LMH_KEY,0)),0)</f>
        <v>3</v>
      </c>
      <c r="BO482" s="38">
        <f>IFERROR(INDEX(LMH_PTS,MATCH(AA482,LMH_KEY,0)),0)</f>
        <v>3</v>
      </c>
      <c r="BP482" s="38">
        <f>IFERROR(INDEX(LMH_PTS,MATCH(AB482,LMH_KEY,0)),0)</f>
        <v>1</v>
      </c>
      <c r="BQ482" s="38">
        <f>IFERROR(INDEX(LMH_PTS,MATCH(AC482,LMH_KEY,0)),0)</f>
        <v>1</v>
      </c>
      <c r="BR482" s="38">
        <f>IFERROR(INDEX(LMH_PTS,MATCH(AD482,LMH_KEY,0)),0)</f>
        <v>1</v>
      </c>
      <c r="BS482" s="38">
        <f>IFERROR(INDEX(LMH_PTS,MATCH(AE482,LMH_KEY,0)),0)</f>
        <v>3</v>
      </c>
      <c r="BT482" s="38">
        <f>IFERROR(INDEX(LMH_STEP,MATCH(AF482,LMH_KEY,0)),0)</f>
        <v>0</v>
      </c>
      <c r="BU482" s="38">
        <f>IFERROR(INDEX(LMH_STEP,MATCH(AG482,LMH_KEY,0)),0)</f>
        <v>0</v>
      </c>
      <c r="BV482" s="38">
        <f>IFERROR(INDEX(LMH_STEP,MATCH(AH482,LMH_KEY,0)),0)</f>
        <v>0</v>
      </c>
      <c r="BW482" s="38">
        <f>IFERROR(INDEX(LMH_STEP,MATCH(AI482,LMH_KEY,0)),0)</f>
        <v>0</v>
      </c>
      <c r="BX482" s="38">
        <f>IFERROR(INDEX(LMH_STEP,MATCH(AJ482,LMH_KEY,0)),0)</f>
        <v>0</v>
      </c>
      <c r="BY482" s="38">
        <f>IFERROR(INDEX(LMH_STEP,MATCH(AK482,LMH_KEY,0)),0)</f>
        <v>0</v>
      </c>
      <c r="BZ482" s="38">
        <f>IFERROR(INDEX(LMH_STEP,MATCH(AL482,LMH_KEY,0)),0)</f>
        <v>0</v>
      </c>
      <c r="CA482" s="38" t="inlineStr">
        <is>
          <t>Corporate|HR|Senior Talent Acquisition Executive|A3|A</t>
        </is>
      </c>
    </row>
    <row r="483" ht="110" customHeight="1">
      <c r="A483" s="28" t="inlineStr">
        <is>
          <t>Corporate</t>
        </is>
      </c>
      <c r="B483" s="29" t="inlineStr">
        <is>
          <t>Technology</t>
        </is>
      </c>
      <c r="C483" s="29" t="n">
        <v>0</v>
      </c>
      <c r="D483" s="29" t="inlineStr">
        <is>
          <t>IRIS2060</t>
        </is>
      </c>
      <c r="E483" s="29" t="inlineStr">
        <is>
          <t>P K X Thomas</t>
        </is>
      </c>
      <c r="F483" s="29" t="inlineStr">
        <is>
          <t>Chief Technology Officer</t>
        </is>
      </c>
      <c r="G483" s="29" t="inlineStr">
        <is>
          <t>Chief Technology Officer</t>
        </is>
      </c>
      <c r="H483" s="29" t="inlineStr">
        <is>
          <t>Executive Leadership</t>
        </is>
      </c>
      <c r="I483" s="29" t="inlineStr">
        <is>
          <t>Business Head</t>
        </is>
      </c>
      <c r="J483" s="29" t="inlineStr">
        <is>
          <t>People Manager</t>
        </is>
      </c>
      <c r="K483" s="29" t="inlineStr">
        <is>
          <t>RC-EL-BH-E1</t>
        </is>
      </c>
      <c r="L483" s="29" t="inlineStr">
        <is>
          <t>— · top of the organisation</t>
        </is>
      </c>
      <c r="M483" s="29" t="inlineStr">
        <is>
          <t>Not in this file</t>
        </is>
      </c>
      <c r="N483" s="29" t="n">
        <v>34.9</v>
      </c>
      <c r="O483" s="29" t="n">
        <v>4.1</v>
      </c>
      <c r="P483" s="29" t="inlineStr">
        <is>
          <t>MCA</t>
        </is>
      </c>
      <c r="Q483" s="29" t="inlineStr">
        <is>
          <t>Not in current mapping files</t>
        </is>
      </c>
      <c r="R483" s="29" t="inlineStr">
        <is>
          <t>E1</t>
        </is>
      </c>
      <c r="S483" s="30" t="inlineStr">
        <is>
          <t>0 of 20</t>
        </is>
      </c>
      <c r="T48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83" s="32" t="inlineStr">
        <is>
          <t>KRAs not received · manager to supply</t>
        </is>
      </c>
      <c r="V483" s="31" t="inlineStr">
        <is>
          <t>Latest rating: Not rated · manager · 9-box: Not placed · manager · Readiness: No rating data</t>
        </is>
      </c>
      <c r="W483" s="31" t="inlineStr">
        <is>
          <t>C M · Au M · Ac M · L M · BI M · Exp M · 34.9 yrs vs 20+ yrs · Edu M · MCA</t>
        </is>
      </c>
      <c r="X483" s="33" t="inlineStr">
        <is>
          <t>Open ▸</t>
        </is>
      </c>
      <c r="Y483" s="34" t="str">
        <f>IFERROR(INDEX(DL_C,MATCH($CA483,DL_KEY,0)),"M")</f>
        <v>H</v>
      </c>
      <c r="Z483" s="35" t="str">
        <f>IFERROR(INDEX(DL_Au,MATCH($CA483,DL_KEY,0)),"M")</f>
        <v>M</v>
      </c>
      <c r="AA483" s="35" t="str">
        <f>IFERROR(INDEX(DL_Ac,MATCH($CA483,DL_KEY,0)),"M")</f>
        <v>M</v>
      </c>
      <c r="AB483" s="35" t="str">
        <f>IFERROR(INDEX(DL_L,MATCH($CA483,DL_KEY,0)),"M")</f>
        <v>M</v>
      </c>
      <c r="AC483" s="35" t="str">
        <f>IFERROR(INDEX(DL_BI,MATCH($CA483,DL_KEY,0)),"M")</f>
        <v>L</v>
      </c>
      <c r="AD483" s="35" t="str">
        <f>IFERROR(INDEX(DL_Exp,MATCH($CA483,DL_KEY,0)),"M")</f>
        <v>L</v>
      </c>
      <c r="AE483" s="35" t="str">
        <f>IFERROR(INDEX(DL_Edu,MATCH($CA483,DL_KEY,0)),"M")</f>
        <v>L</v>
      </c>
      <c r="AF483" s="34" t="inlineStr">
        <is>
          <t>M</t>
        </is>
      </c>
      <c r="AG483" s="35" t="inlineStr">
        <is>
          <t>M</t>
        </is>
      </c>
      <c r="AH483" s="35" t="inlineStr">
        <is>
          <t>M</t>
        </is>
      </c>
      <c r="AI483" s="35" t="inlineStr">
        <is>
          <t>M</t>
        </is>
      </c>
      <c r="AJ483" s="35" t="inlineStr">
        <is>
          <t>M</t>
        </is>
      </c>
      <c r="AK483" s="35" t="inlineStr">
        <is>
          <t>M</t>
        </is>
      </c>
      <c r="AL483" s="35" t="inlineStr">
        <is>
          <t>M</t>
        </is>
      </c>
      <c r="AM483" s="36" t="n">
        <v>0.363</v>
      </c>
      <c r="AN483" s="37" t="n">
        <v>0.19</v>
      </c>
      <c r="AO483" s="37" t="n">
        <v>0.113</v>
      </c>
      <c r="AP483" s="37" t="n">
        <v>0.2</v>
      </c>
      <c r="AQ483" s="37" t="n">
        <v>0.08699999999999999</v>
      </c>
      <c r="AR483" s="37" t="n">
        <v>0.04</v>
      </c>
      <c r="AS483" s="37" t="n">
        <v>0.01</v>
      </c>
      <c r="AT483" s="38" t="inlineStr">
        <is>
          <t>20+ yrs</t>
        </is>
      </c>
      <c r="AU483" s="38" t="inlineStr">
        <is>
          <t>Postgraduate / professional qualification; business leadership record</t>
        </is>
      </c>
      <c r="AV483" s="38" t="inlineStr">
        <is>
          <t>5–8 function heads</t>
        </is>
      </c>
      <c r="AW483" s="38" t="inlineStr">
        <is>
          <t>E5 · SFIA 7</t>
        </is>
      </c>
      <c r="AX4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3" s="39" t="inlineStr">
        <is>
          <t>E1</t>
        </is>
      </c>
      <c r="AZ483" s="40" t="inlineStr">
        <is>
          <t>Band E · Enterprise leadership · CXO / President</t>
        </is>
      </c>
      <c r="BA483" s="40" t="inlineStr">
        <is>
          <t>Model E1 from the six ratings, the market-derived weights and rules R1–R13 · then Top of the reporting line</t>
        </is>
      </c>
      <c r="BB483" s="41" t="inlineStr">
        <is>
          <t>E1</t>
        </is>
      </c>
      <c r="BC483" s="40" t="inlineStr">
        <is>
          <t>The six ratings on the market-average weights of Bands D–E · Leadership score 11.05 → E1 · Hay, Mercer IPE and public plans · experience 34.9 yrs vs the E1 market range 20+ yrs</t>
        </is>
      </c>
      <c r="BD483" s="42">
        <f>IF(SUM(BM483,BN483,BO483,BP483,BQ483,BR483,BS483)=0,0,(BM483*BT483+BN483*BU483+BO483*BV483+BP483*BW483+BQ483*BX483+BR483*BY483+BS483*BZ483)/SUM(BM483,BN483,BO483,BP483,BQ483,BR483,BS483))</f>
        <v>0</v>
      </c>
      <c r="BE483" s="41" t="str">
        <f>IF(LEFT(AY483,1)="X",AY483,IF(OR(AY483="B+",AY483="C+"),INDEX(LAD_PC,MAX(1,MIN(14,MATCH(AY483,LAD_PC,0)+IF(BD483&gt;=0.5,1,IF(BD483&lt;=-0.5,-1,0))))),INDEX(LAD_STD,MAX(1,MIN(12,MATCH(AY483,LAD_STD,0)+IF(BD483&gt;=0.5,1,IF(BD483&lt;=-0.5,-1,0)))))))</f>
        <v>E1</v>
      </c>
      <c r="BF483" s="43" t="n"/>
      <c r="BG483" s="41" t="str">
        <f>IF(BF483&lt;&gt;"",BF483,BE483)</f>
        <v>E1</v>
      </c>
      <c r="BH483" s="40" t="str">
        <f>IFERROR(CHOOSE(INDEX(B_RANK,MATCH(BG483,B_LVL,0)),"Band A","Band B","B+ · Player-Coach","Band C","C+ · Player-Coach","Band D","Band E"),"Band X · Consultant")</f>
        <v>Band E</v>
      </c>
      <c r="BI483" s="40" t="str">
        <f>IF(BG483=AY483,"• Same",IF(INDEX(B_VAL,MATCH(BG483,B_LVL,0))&gt;INDEX(B_VAL,MATCH(AY483,B_LVL,0)),"▲ Up","▼ Down"))</f>
        <v>• Same</v>
      </c>
      <c r="BJ483" s="40" t="str">
        <f>IF(OR($M483="",$M483="—",$M483="Not in this file"),"",IFERROR(INDEX($BG$7:$BG$592,MATCH($M483,$D$7:$D$592,0)),""))</f>
        <v/>
      </c>
      <c r="BK483" s="40" t="str">
        <f>IFERROR(IF(BJ483="","—",IF(OR(LEFT(BG483,1)="X",LEFT(BJ483,1)="X"),"—",IF(AND(LEFT(BG483,1)="E",LEFT(BJ483,1)="E"),"Exception · Band E",IF(AND(INDEX(B_VAL,MATCH(BJ483,B_LVL,0))&gt;=7,INDEX(B_RANK,MATCH(BG483,B_LVL,0))&gt;=INDEX(B_RANK,MATCH(BJ483,B_LVL,0))),"⚠ Same band as a head manager",IF(INDEX(B_VAL,MATCH(BG483,B_LVL,0))&gt;=INDEX(B_VAL,MATCH(BJ483,B_LVL,0)),"⚠ At or above the manager's level","OK"))))),"—")</f>
        <v>—</v>
      </c>
      <c r="BL483" s="43" t="n"/>
      <c r="BM483" s="44">
        <f>IFERROR(INDEX(LMH_PTS,MATCH(Y483,LMH_KEY,0)),0)</f>
        <v>9</v>
      </c>
      <c r="BN483" s="38">
        <f>IFERROR(INDEX(LMH_PTS,MATCH(Z483,LMH_KEY,0)),0)</f>
        <v>3</v>
      </c>
      <c r="BO483" s="38">
        <f>IFERROR(INDEX(LMH_PTS,MATCH(AA483,LMH_KEY,0)),0)</f>
        <v>3</v>
      </c>
      <c r="BP483" s="38">
        <f>IFERROR(INDEX(LMH_PTS,MATCH(AB483,LMH_KEY,0)),0)</f>
        <v>3</v>
      </c>
      <c r="BQ483" s="38">
        <f>IFERROR(INDEX(LMH_PTS,MATCH(AC483,LMH_KEY,0)),0)</f>
        <v>1</v>
      </c>
      <c r="BR483" s="38">
        <f>IFERROR(INDEX(LMH_PTS,MATCH(AD483,LMH_KEY,0)),0)</f>
        <v>1</v>
      </c>
      <c r="BS483" s="38">
        <f>IFERROR(INDEX(LMH_PTS,MATCH(AE483,LMH_KEY,0)),0)</f>
        <v>1</v>
      </c>
      <c r="BT483" s="38">
        <f>IFERROR(INDEX(LMH_STEP,MATCH(AF483,LMH_KEY,0)),0)</f>
        <v>0</v>
      </c>
      <c r="BU483" s="38">
        <f>IFERROR(INDEX(LMH_STEP,MATCH(AG483,LMH_KEY,0)),0)</f>
        <v>0</v>
      </c>
      <c r="BV483" s="38">
        <f>IFERROR(INDEX(LMH_STEP,MATCH(AH483,LMH_KEY,0)),0)</f>
        <v>0</v>
      </c>
      <c r="BW483" s="38">
        <f>IFERROR(INDEX(LMH_STEP,MATCH(AI483,LMH_KEY,0)),0)</f>
        <v>0</v>
      </c>
      <c r="BX483" s="38">
        <f>IFERROR(INDEX(LMH_STEP,MATCH(AJ483,LMH_KEY,0)),0)</f>
        <v>0</v>
      </c>
      <c r="BY483" s="38">
        <f>IFERROR(INDEX(LMH_STEP,MATCH(AK483,LMH_KEY,0)),0)</f>
        <v>0</v>
      </c>
      <c r="BZ483" s="38">
        <f>IFERROR(INDEX(LMH_STEP,MATCH(AL483,LMH_KEY,0)),0)</f>
        <v>0</v>
      </c>
      <c r="CA483" s="38" t="inlineStr">
        <is>
          <t>Corporate|Technology|Chief Technology Officer|E1|DE</t>
        </is>
      </c>
    </row>
    <row r="484" ht="110" customHeight="1">
      <c r="A484" s="28" t="inlineStr">
        <is>
          <t>CARBON</t>
        </is>
      </c>
      <c r="B484" s="29" t="inlineStr">
        <is>
          <t>Technology</t>
        </is>
      </c>
      <c r="C484" s="29" t="n">
        <v>1</v>
      </c>
      <c r="D484" s="29" t="inlineStr">
        <is>
          <t>IRIS0249</t>
        </is>
      </c>
      <c r="E484" s="29" t="inlineStr">
        <is>
          <t>Ashish Singhvi</t>
        </is>
      </c>
      <c r="F484" s="29" t="inlineStr">
        <is>
          <t>Product Engineering Head</t>
        </is>
      </c>
      <c r="G484" s="29" t="inlineStr">
        <is>
          <t>Head – Product Engineering</t>
        </is>
      </c>
      <c r="H484" s="29" t="inlineStr">
        <is>
          <t>Executive Leadership</t>
        </is>
      </c>
      <c r="I484" s="29" t="inlineStr">
        <is>
          <t>Business Head</t>
        </is>
      </c>
      <c r="J484" s="29" t="inlineStr">
        <is>
          <t>People Manager</t>
        </is>
      </c>
      <c r="K484" s="29" t="inlineStr">
        <is>
          <t>RC-EL-BH-C2</t>
        </is>
      </c>
      <c r="L484" s="29" t="inlineStr">
        <is>
          <t>P K X Thomas</t>
        </is>
      </c>
      <c r="M484" s="29" t="inlineStr">
        <is>
          <t>IRIS2060</t>
        </is>
      </c>
      <c r="N484" s="29" t="n">
        <v>17.7</v>
      </c>
      <c r="O484" s="29" t="n">
        <v>17.7</v>
      </c>
      <c r="P484" s="29" t="inlineStr">
        <is>
          <t>MCA</t>
        </is>
      </c>
      <c r="Q484" s="29" t="inlineStr">
        <is>
          <t>Not in current mapping files</t>
        </is>
      </c>
      <c r="R484" s="29" t="inlineStr">
        <is>
          <t>C2</t>
        </is>
      </c>
      <c r="S484" s="30" t="inlineStr">
        <is>
          <t>0 of 20</t>
        </is>
      </c>
      <c r="T48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84" s="32" t="inlineStr">
        <is>
          <t>KRAs not received · manager to supply</t>
        </is>
      </c>
      <c r="V484" s="31" t="inlineStr">
        <is>
          <t>Latest rating: Not rated · manager · 9-box: Underperformer / Exit Risk · Readiness: No rating data</t>
        </is>
      </c>
      <c r="W484" s="31" t="inlineStr">
        <is>
          <t>C M · Au M · Ac M · L M · BI M · Exp H · 17.7 yrs vs 12–17 yrs · Edu M · MCA</t>
        </is>
      </c>
      <c r="X484" s="33" t="inlineStr">
        <is>
          <t>Open ▸</t>
        </is>
      </c>
      <c r="Y484" s="34" t="str">
        <f>IFERROR(INDEX(DL_C,MATCH($CA484,DL_KEY,0)),"M")</f>
        <v>H</v>
      </c>
      <c r="Z484" s="35" t="str">
        <f>IFERROR(INDEX(DL_Au,MATCH($CA484,DL_KEY,0)),"M")</f>
        <v>M</v>
      </c>
      <c r="AA484" s="35" t="str">
        <f>IFERROR(INDEX(DL_Ac,MATCH($CA484,DL_KEY,0)),"M")</f>
        <v>M</v>
      </c>
      <c r="AB484" s="35" t="str">
        <f>IFERROR(INDEX(DL_L,MATCH($CA484,DL_KEY,0)),"M")</f>
        <v>M</v>
      </c>
      <c r="AC484" s="35" t="str">
        <f>IFERROR(INDEX(DL_BI,MATCH($CA484,DL_KEY,0)),"M")</f>
        <v>L</v>
      </c>
      <c r="AD484" s="35" t="str">
        <f>IFERROR(INDEX(DL_Exp,MATCH($CA484,DL_KEY,0)),"M")</f>
        <v>L</v>
      </c>
      <c r="AE484" s="35" t="str">
        <f>IFERROR(INDEX(DL_Edu,MATCH($CA484,DL_KEY,0)),"M")</f>
        <v>L</v>
      </c>
      <c r="AF484" s="34" t="inlineStr">
        <is>
          <t>M</t>
        </is>
      </c>
      <c r="AG484" s="35" t="inlineStr">
        <is>
          <t>M</t>
        </is>
      </c>
      <c r="AH484" s="35" t="inlineStr">
        <is>
          <t>M</t>
        </is>
      </c>
      <c r="AI484" s="35" t="inlineStr">
        <is>
          <t>M</t>
        </is>
      </c>
      <c r="AJ484" s="35" t="inlineStr">
        <is>
          <t>M</t>
        </is>
      </c>
      <c r="AK484" s="35" t="inlineStr">
        <is>
          <t>M</t>
        </is>
      </c>
      <c r="AL484" s="35" t="inlineStr">
        <is>
          <t>M</t>
        </is>
      </c>
      <c r="AM484" s="36" t="n">
        <v>0.433</v>
      </c>
      <c r="AN484" s="37" t="n">
        <v>0.18</v>
      </c>
      <c r="AO484" s="37" t="n">
        <v>0.107</v>
      </c>
      <c r="AP484" s="37" t="n">
        <v>0.15</v>
      </c>
      <c r="AQ484" s="37" t="n">
        <v>0.08</v>
      </c>
      <c r="AR484" s="37" t="n">
        <v>0.04</v>
      </c>
      <c r="AS484" s="37" t="n">
        <v>0.01</v>
      </c>
      <c r="AT484" s="38" t="inlineStr">
        <is>
          <t>12–17 yrs</t>
        </is>
      </c>
      <c r="AU484" s="38" t="inlineStr">
        <is>
          <t>Postgraduate / professional qualification preferred</t>
        </is>
      </c>
      <c r="AV484" s="38" t="inlineStr">
        <is>
          <t>5–8 managers / associate heads</t>
        </is>
      </c>
      <c r="AW484" s="38" t="inlineStr">
        <is>
          <t>P7 / M6 · SFIA 6 Initiate, influence</t>
        </is>
      </c>
      <c r="AX4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4" s="39" t="inlineStr">
        <is>
          <t>C2</t>
        </is>
      </c>
      <c r="AZ484" s="40" t="inlineStr">
        <is>
          <t>Band C · Principal / Head · Head of Function</t>
        </is>
      </c>
      <c r="BA484" s="40" t="inlineStr">
        <is>
          <t>Model C2 from the six ratings, the market-derived weights and rules R1–R13 · then No change · already below the manager</t>
        </is>
      </c>
      <c r="BB484" s="41" t="inlineStr">
        <is>
          <t>C2</t>
        </is>
      </c>
      <c r="BC484" s="40" t="inlineStr">
        <is>
          <t>The six ratings on the market-average weights of Band C · Head / manager score 8.07 → C2 · Hay, Mercer IPE and public plans · experience 17.7 yrs vs the C2 market range 12–17 yrs</t>
        </is>
      </c>
      <c r="BD484" s="42">
        <f>IF(SUM(BM484,BN484,BO484,BP484,BQ484,BR484,BS484)=0,0,(BM484*BT484+BN484*BU484+BO484*BV484+BP484*BW484+BQ484*BX484+BR484*BY484+BS484*BZ484)/SUM(BM484,BN484,BO484,BP484,BQ484,BR484,BS484))</f>
        <v>0</v>
      </c>
      <c r="BE484" s="41" t="str">
        <f>IF(LEFT(AY484,1)="X",AY484,IF(OR(AY484="B+",AY484="C+"),INDEX(LAD_PC,MAX(1,MIN(14,MATCH(AY484,LAD_PC,0)+IF(BD484&gt;=0.5,1,IF(BD484&lt;=-0.5,-1,0))))),INDEX(LAD_STD,MAX(1,MIN(12,MATCH(AY484,LAD_STD,0)+IF(BD484&gt;=0.5,1,IF(BD484&lt;=-0.5,-1,0)))))))</f>
        <v>C2</v>
      </c>
      <c r="BF484" s="43" t="n"/>
      <c r="BG484" s="41" t="str">
        <f>IF(BF484&lt;&gt;"",BF484,BE484)</f>
        <v>C2</v>
      </c>
      <c r="BH484" s="40" t="str">
        <f>IFERROR(CHOOSE(INDEX(B_RANK,MATCH(BG484,B_LVL,0)),"Band A","Band B","B+ · Player-Coach","Band C","C+ · Player-Coach","Band D","Band E"),"Band X · Consultant")</f>
        <v>Band C</v>
      </c>
      <c r="BI484" s="40" t="str">
        <f>IF(BG484=AY484,"• Same",IF(INDEX(B_VAL,MATCH(BG484,B_LVL,0))&gt;INDEX(B_VAL,MATCH(AY484,B_LVL,0)),"▲ Up","▼ Down"))</f>
        <v>• Same</v>
      </c>
      <c r="BJ484" s="40" t="str">
        <f>IF(OR($M484="",$M484="—",$M484="Not in this file"),"",IFERROR(INDEX($BG$7:$BG$592,MATCH($M484,$D$7:$D$592,0)),""))</f>
        <v>E1</v>
      </c>
      <c r="BK484" s="40" t="str">
        <f>IFERROR(IF(BJ484="","—",IF(OR(LEFT(BG484,1)="X",LEFT(BJ484,1)="X"),"—",IF(AND(LEFT(BG484,1)="E",LEFT(BJ484,1)="E"),"Exception · Band E",IF(AND(INDEX(B_VAL,MATCH(BJ484,B_LVL,0))&gt;=7,INDEX(B_RANK,MATCH(BG484,B_LVL,0))&gt;=INDEX(B_RANK,MATCH(BJ484,B_LVL,0))),"⚠ Same band as a head manager",IF(INDEX(B_VAL,MATCH(BG484,B_LVL,0))&gt;=INDEX(B_VAL,MATCH(BJ484,B_LVL,0)),"⚠ At or above the manager's level","OK"))))),"—")</f>
        <v>OK</v>
      </c>
      <c r="BL484" s="43" t="n"/>
      <c r="BM484" s="44">
        <f>IFERROR(INDEX(LMH_PTS,MATCH(Y484,LMH_KEY,0)),0)</f>
        <v>9</v>
      </c>
      <c r="BN484" s="38">
        <f>IFERROR(INDEX(LMH_PTS,MATCH(Z484,LMH_KEY,0)),0)</f>
        <v>3</v>
      </c>
      <c r="BO484" s="38">
        <f>IFERROR(INDEX(LMH_PTS,MATCH(AA484,LMH_KEY,0)),0)</f>
        <v>3</v>
      </c>
      <c r="BP484" s="38">
        <f>IFERROR(INDEX(LMH_PTS,MATCH(AB484,LMH_KEY,0)),0)</f>
        <v>3</v>
      </c>
      <c r="BQ484" s="38">
        <f>IFERROR(INDEX(LMH_PTS,MATCH(AC484,LMH_KEY,0)),0)</f>
        <v>1</v>
      </c>
      <c r="BR484" s="38">
        <f>IFERROR(INDEX(LMH_PTS,MATCH(AD484,LMH_KEY,0)),0)</f>
        <v>1</v>
      </c>
      <c r="BS484" s="38">
        <f>IFERROR(INDEX(LMH_PTS,MATCH(AE484,LMH_KEY,0)),0)</f>
        <v>1</v>
      </c>
      <c r="BT484" s="38">
        <f>IFERROR(INDEX(LMH_STEP,MATCH(AF484,LMH_KEY,0)),0)</f>
        <v>0</v>
      </c>
      <c r="BU484" s="38">
        <f>IFERROR(INDEX(LMH_STEP,MATCH(AG484,LMH_KEY,0)),0)</f>
        <v>0</v>
      </c>
      <c r="BV484" s="38">
        <f>IFERROR(INDEX(LMH_STEP,MATCH(AH484,LMH_KEY,0)),0)</f>
        <v>0</v>
      </c>
      <c r="BW484" s="38">
        <f>IFERROR(INDEX(LMH_STEP,MATCH(AI484,LMH_KEY,0)),0)</f>
        <v>0</v>
      </c>
      <c r="BX484" s="38">
        <f>IFERROR(INDEX(LMH_STEP,MATCH(AJ484,LMH_KEY,0)),0)</f>
        <v>0</v>
      </c>
      <c r="BY484" s="38">
        <f>IFERROR(INDEX(LMH_STEP,MATCH(AK484,LMH_KEY,0)),0)</f>
        <v>0</v>
      </c>
      <c r="BZ484" s="38">
        <f>IFERROR(INDEX(LMH_STEP,MATCH(AL484,LMH_KEY,0)),0)</f>
        <v>0</v>
      </c>
      <c r="CA484" s="38" t="inlineStr">
        <is>
          <t>CARBON|Technology|Head – Product Engineering|C2|C-M</t>
        </is>
      </c>
    </row>
    <row r="485" ht="110" customHeight="1">
      <c r="A485" s="28" t="inlineStr">
        <is>
          <t>CARBON</t>
        </is>
      </c>
      <c r="B485" s="29" t="inlineStr">
        <is>
          <t>Technology</t>
        </is>
      </c>
      <c r="C485" s="29" t="n">
        <v>2</v>
      </c>
      <c r="D485" s="29" t="inlineStr">
        <is>
          <t>IRIS1832</t>
        </is>
      </c>
      <c r="E485" s="29" t="inlineStr">
        <is>
          <t>Chetan Kotwal</t>
        </is>
      </c>
      <c r="F485" s="29" t="inlineStr">
        <is>
          <t>Lead Software Engineer</t>
        </is>
      </c>
      <c r="G485" s="29" t="inlineStr">
        <is>
          <t>Senior Engineering Manager</t>
        </is>
      </c>
      <c r="H485" s="29" t="inlineStr">
        <is>
          <t>Engineering &amp; Development</t>
        </is>
      </c>
      <c r="I485" s="29" t="inlineStr">
        <is>
          <t>Backend Development</t>
        </is>
      </c>
      <c r="J485" s="29" t="inlineStr">
        <is>
          <t>People Manager</t>
        </is>
      </c>
      <c r="K485" s="29" t="inlineStr">
        <is>
          <t>RC-072</t>
        </is>
      </c>
      <c r="L485" s="29" t="inlineStr">
        <is>
          <t>Ashish Singhvi</t>
        </is>
      </c>
      <c r="M485" s="29" t="inlineStr">
        <is>
          <t>IRIS0249</t>
        </is>
      </c>
      <c r="N485" s="29" t="n">
        <v>13.7</v>
      </c>
      <c r="O485" s="29" t="n">
        <v>6.7</v>
      </c>
      <c r="P485" s="29" t="inlineStr">
        <is>
          <t>B.E</t>
        </is>
      </c>
      <c r="Q485" s="29" t="inlineStr">
        <is>
          <t>L5 – Lead · IC</t>
        </is>
      </c>
      <c r="R485" s="29" t="inlineStr">
        <is>
          <t>B3</t>
        </is>
      </c>
      <c r="S485" s="30" t="inlineStr">
        <is>
          <t>20 of 20</t>
        </is>
      </c>
      <c r="T485" s="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t>
        </is>
      </c>
      <c r="U485" s="31" t="inlineStr">
        <is>
          <t>Received · manager annual · 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t>
        </is>
      </c>
      <c r="V485" s="31" t="inlineStr">
        <is>
          <t>Latest rating: Not rated · manager · 9-box: Underperformer / Exit Risk · Readiness: No rating data</t>
        </is>
      </c>
      <c r="W485" s="31" t="inlineStr">
        <is>
          <t>C M · Au M · Ac M · L M · BI M · Exp H · 13.7 yrs vs 8–12 yrs · Edu L · B.E</t>
        </is>
      </c>
      <c r="X485" s="33" t="inlineStr">
        <is>
          <t>Open ▸</t>
        </is>
      </c>
      <c r="Y485" s="34" t="str">
        <f>IFERROR(INDEX(DL_C,MATCH($CA485,DL_KEY,0)),"M")</f>
        <v>H</v>
      </c>
      <c r="Z485" s="35" t="str">
        <f>IFERROR(INDEX(DL_Au,MATCH($CA485,DL_KEY,0)),"M")</f>
        <v>M</v>
      </c>
      <c r="AA485" s="35" t="str">
        <f>IFERROR(INDEX(DL_Ac,MATCH($CA485,DL_KEY,0)),"M")</f>
        <v>L</v>
      </c>
      <c r="AB485" s="35" t="str">
        <f>IFERROR(INDEX(DL_L,MATCH($CA485,DL_KEY,0)),"M")</f>
        <v>M</v>
      </c>
      <c r="AC485" s="35" t="str">
        <f>IFERROR(INDEX(DL_BI,MATCH($CA485,DL_KEY,0)),"M")</f>
        <v>L</v>
      </c>
      <c r="AD485" s="35" t="str">
        <f>IFERROR(INDEX(DL_Exp,MATCH($CA485,DL_KEY,0)),"M")</f>
        <v>L</v>
      </c>
      <c r="AE485" s="35" t="str">
        <f>IFERROR(INDEX(DL_Edu,MATCH($CA485,DL_KEY,0)),"M")</f>
        <v>L</v>
      </c>
      <c r="AF485" s="34" t="inlineStr">
        <is>
          <t>M</t>
        </is>
      </c>
      <c r="AG485" s="35" t="inlineStr">
        <is>
          <t>M</t>
        </is>
      </c>
      <c r="AH485" s="35" t="inlineStr">
        <is>
          <t>M</t>
        </is>
      </c>
      <c r="AI485" s="35" t="inlineStr">
        <is>
          <t>M</t>
        </is>
      </c>
      <c r="AJ485" s="35" t="inlineStr">
        <is>
          <t>M</t>
        </is>
      </c>
      <c r="AK485" s="35" t="inlineStr">
        <is>
          <t>M</t>
        </is>
      </c>
      <c r="AL485" s="35" t="inlineStr">
        <is>
          <t>M</t>
        </is>
      </c>
      <c r="AM485" s="36" t="n">
        <v>0.37</v>
      </c>
      <c r="AN485" s="37" t="n">
        <v>0.183</v>
      </c>
      <c r="AO485" s="37" t="n">
        <v>0.113</v>
      </c>
      <c r="AP485" s="37" t="n">
        <v>0.15</v>
      </c>
      <c r="AQ485" s="37" t="n">
        <v>0.08699999999999999</v>
      </c>
      <c r="AR485" s="37" t="n">
        <v>0.06</v>
      </c>
      <c r="AS485" s="37" t="n">
        <v>0.04</v>
      </c>
      <c r="AT485" s="38" t="inlineStr">
        <is>
          <t>8–13</t>
        </is>
      </c>
      <c r="AU485" s="38" t="inlineStr">
        <is>
          <t>Postgraduate or professional qualification preferred</t>
        </is>
      </c>
      <c r="AV485" s="38" t="inlineStr">
        <is>
          <t>IC: none · People: 5–8 incl. team leads</t>
        </is>
      </c>
      <c r="AW485" s="38" t="inlineStr">
        <is>
          <t>P5 / M4 · SFIA 5 Ensure, advise</t>
        </is>
      </c>
      <c r="AX4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5" s="39" t="inlineStr">
        <is>
          <t>B3</t>
        </is>
      </c>
      <c r="AZ485" s="40" t="inlineStr">
        <is>
          <t>Band B · Specialist / Manager · Senior Manager</t>
        </is>
      </c>
      <c r="BA485" s="40" t="inlineStr">
        <is>
          <t>Model B3 from the six ratings, the market-derived weights and rules R1–R13 · then No change · already below the manager</t>
        </is>
      </c>
      <c r="BB485" s="41" t="inlineStr">
        <is>
          <t>B3</t>
        </is>
      </c>
      <c r="BC485" s="40" t="inlineStr">
        <is>
          <t>The six ratings on the market-average weights of Band B · People Manager score 5.70 → B3 · Hay, Mercer IPE and public plans · experience 13.7 yrs vs the B3 market range 8–13</t>
        </is>
      </c>
      <c r="BD485" s="42">
        <f>IF(SUM(BM485,BN485,BO485,BP485,BQ485,BR485,BS485)=0,0,(BM485*BT485+BN485*BU485+BO485*BV485+BP485*BW485+BQ485*BX485+BR485*BY485+BS485*BZ485)/SUM(BM485,BN485,BO485,BP485,BQ485,BR485,BS485))</f>
        <v>0</v>
      </c>
      <c r="BE485" s="41" t="str">
        <f>IF(LEFT(AY485,1)="X",AY485,IF(OR(AY485="B+",AY485="C+"),INDEX(LAD_PC,MAX(1,MIN(14,MATCH(AY485,LAD_PC,0)+IF(BD485&gt;=0.5,1,IF(BD485&lt;=-0.5,-1,0))))),INDEX(LAD_STD,MAX(1,MIN(12,MATCH(AY485,LAD_STD,0)+IF(BD485&gt;=0.5,1,IF(BD485&lt;=-0.5,-1,0)))))))</f>
        <v>B3</v>
      </c>
      <c r="BF485" s="43" t="n"/>
      <c r="BG485" s="41" t="str">
        <f>IF(BF485&lt;&gt;"",BF485,BE485)</f>
        <v>B3</v>
      </c>
      <c r="BH485" s="40" t="str">
        <f>IFERROR(CHOOSE(INDEX(B_RANK,MATCH(BG485,B_LVL,0)),"Band A","Band B","B+ · Player-Coach","Band C","C+ · Player-Coach","Band D","Band E"),"Band X · Consultant")</f>
        <v>Band B</v>
      </c>
      <c r="BI485" s="40" t="str">
        <f>IF(BG485=AY485,"• Same",IF(INDEX(B_VAL,MATCH(BG485,B_LVL,0))&gt;INDEX(B_VAL,MATCH(AY485,B_LVL,0)),"▲ Up","▼ Down"))</f>
        <v>• Same</v>
      </c>
      <c r="BJ485" s="40" t="str">
        <f>IF(OR($M485="",$M485="—",$M485="Not in this file"),"",IFERROR(INDEX($BG$7:$BG$592,MATCH($M485,$D$7:$D$592,0)),""))</f>
        <v>C2</v>
      </c>
      <c r="BK485" s="40" t="str">
        <f>IFERROR(IF(BJ485="","—",IF(OR(LEFT(BG485,1)="X",LEFT(BJ485,1)="X"),"—",IF(AND(LEFT(BG485,1)="E",LEFT(BJ485,1)="E"),"Exception · Band E",IF(AND(INDEX(B_VAL,MATCH(BJ485,B_LVL,0))&gt;=7,INDEX(B_RANK,MATCH(BG485,B_LVL,0))&gt;=INDEX(B_RANK,MATCH(BJ485,B_LVL,0))),"⚠ Same band as a head manager",IF(INDEX(B_VAL,MATCH(BG485,B_LVL,0))&gt;=INDEX(B_VAL,MATCH(BJ485,B_LVL,0)),"⚠ At or above the manager's level","OK"))))),"—")</f>
        <v>OK</v>
      </c>
      <c r="BL485" s="43" t="n"/>
      <c r="BM485" s="44">
        <f>IFERROR(INDEX(LMH_PTS,MATCH(Y485,LMH_KEY,0)),0)</f>
        <v>9</v>
      </c>
      <c r="BN485" s="38">
        <f>IFERROR(INDEX(LMH_PTS,MATCH(Z485,LMH_KEY,0)),0)</f>
        <v>3</v>
      </c>
      <c r="BO485" s="38">
        <f>IFERROR(INDEX(LMH_PTS,MATCH(AA485,LMH_KEY,0)),0)</f>
        <v>1</v>
      </c>
      <c r="BP485" s="38">
        <f>IFERROR(INDEX(LMH_PTS,MATCH(AB485,LMH_KEY,0)),0)</f>
        <v>3</v>
      </c>
      <c r="BQ485" s="38">
        <f>IFERROR(INDEX(LMH_PTS,MATCH(AC485,LMH_KEY,0)),0)</f>
        <v>1</v>
      </c>
      <c r="BR485" s="38">
        <f>IFERROR(INDEX(LMH_PTS,MATCH(AD485,LMH_KEY,0)),0)</f>
        <v>1</v>
      </c>
      <c r="BS485" s="38">
        <f>IFERROR(INDEX(LMH_PTS,MATCH(AE485,LMH_KEY,0)),0)</f>
        <v>1</v>
      </c>
      <c r="BT485" s="38">
        <f>IFERROR(INDEX(LMH_STEP,MATCH(AF485,LMH_KEY,0)),0)</f>
        <v>0</v>
      </c>
      <c r="BU485" s="38">
        <f>IFERROR(INDEX(LMH_STEP,MATCH(AG485,LMH_KEY,0)),0)</f>
        <v>0</v>
      </c>
      <c r="BV485" s="38">
        <f>IFERROR(INDEX(LMH_STEP,MATCH(AH485,LMH_KEY,0)),0)</f>
        <v>0</v>
      </c>
      <c r="BW485" s="38">
        <f>IFERROR(INDEX(LMH_STEP,MATCH(AI485,LMH_KEY,0)),0)</f>
        <v>0</v>
      </c>
      <c r="BX485" s="38">
        <f>IFERROR(INDEX(LMH_STEP,MATCH(AJ485,LMH_KEY,0)),0)</f>
        <v>0</v>
      </c>
      <c r="BY485" s="38">
        <f>IFERROR(INDEX(LMH_STEP,MATCH(AK485,LMH_KEY,0)),0)</f>
        <v>0</v>
      </c>
      <c r="BZ485" s="38">
        <f>IFERROR(INDEX(LMH_STEP,MATCH(AL485,LMH_KEY,0)),0)</f>
        <v>0</v>
      </c>
      <c r="CA485" s="38" t="inlineStr">
        <is>
          <t>CARBON|Technology|Senior Engineering Manager|B3|B-M</t>
        </is>
      </c>
    </row>
    <row r="486" ht="110" customHeight="1">
      <c r="A486" s="28" t="inlineStr">
        <is>
          <t>CARBON</t>
        </is>
      </c>
      <c r="B486" s="29" t="inlineStr">
        <is>
          <t>Support</t>
        </is>
      </c>
      <c r="C486" s="29" t="n">
        <v>3</v>
      </c>
      <c r="D486" s="29" t="inlineStr">
        <is>
          <t>IRIS1878</t>
        </is>
      </c>
      <c r="E486" s="29" t="inlineStr">
        <is>
          <t>Shailesh Koradiya</t>
        </is>
      </c>
      <c r="F486" s="29" t="inlineStr">
        <is>
          <t>Technical Support Lead</t>
        </is>
      </c>
      <c r="G486" s="29" t="inlineStr">
        <is>
          <t>DevOps Specialist – POD Lead</t>
        </is>
      </c>
      <c r="H486" s="29" t="inlineStr">
        <is>
          <t>Engineering &amp; Development</t>
        </is>
      </c>
      <c r="I486" s="29" t="inlineStr">
        <is>
          <t>DevOps &amp; Release Engineering</t>
        </is>
      </c>
      <c r="J486" s="29" t="inlineStr">
        <is>
          <t>POD Lead</t>
        </is>
      </c>
      <c r="K486" s="29" t="inlineStr">
        <is>
          <t>RC-077</t>
        </is>
      </c>
      <c r="L486" s="29" t="inlineStr">
        <is>
          <t>Chetan Kotwal</t>
        </is>
      </c>
      <c r="M486" s="29" t="inlineStr">
        <is>
          <t>IRIS1832</t>
        </is>
      </c>
      <c r="N486" s="29" t="n">
        <v>13.1</v>
      </c>
      <c r="O486" s="29" t="n">
        <v>5.9</v>
      </c>
      <c r="P486" s="29" t="inlineStr">
        <is>
          <t>MCA</t>
        </is>
      </c>
      <c r="Q486" s="29" t="inlineStr">
        <is>
          <t>L5 – Lead · IC</t>
        </is>
      </c>
      <c r="R486" s="29" t="inlineStr">
        <is>
          <t>B1</t>
        </is>
      </c>
      <c r="S486" s="30" t="inlineStr">
        <is>
          <t>20 of 20</t>
        </is>
      </c>
      <c r="T486" s="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t>
        </is>
      </c>
      <c r="U486" s="31" t="inlineStr">
        <is>
          <t>Received · manager annual · 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t>
        </is>
      </c>
      <c r="V486" s="31" t="inlineStr">
        <is>
          <t>Latest rating: Not rated · manager · 9-box: Trusted Professional · Readiness: No rating data</t>
        </is>
      </c>
      <c r="W486" s="31" t="inlineStr">
        <is>
          <t>C M · Au M · Ac M · L L · BI M · Exp H · 13.1 yrs vs 4–7 yrs · Edu H · MCA</t>
        </is>
      </c>
      <c r="X486" s="33" t="inlineStr">
        <is>
          <t>Open ▸</t>
        </is>
      </c>
      <c r="Y486" s="34" t="str">
        <f>IFERROR(INDEX(DL_C,MATCH($CA486,DL_KEY,0)),"M")</f>
        <v>H</v>
      </c>
      <c r="Z486" s="35" t="str">
        <f>IFERROR(INDEX(DL_Au,MATCH($CA486,DL_KEY,0)),"M")</f>
        <v>M</v>
      </c>
      <c r="AA486" s="35" t="str">
        <f>IFERROR(INDEX(DL_Ac,MATCH($CA486,DL_KEY,0)),"M")</f>
        <v>L</v>
      </c>
      <c r="AB486" s="35" t="str">
        <f>IFERROR(INDEX(DL_L,MATCH($CA486,DL_KEY,0)),"M")</f>
        <v>L</v>
      </c>
      <c r="AC486" s="35" t="str">
        <f>IFERROR(INDEX(DL_BI,MATCH($CA486,DL_KEY,0)),"M")</f>
        <v>L</v>
      </c>
      <c r="AD486" s="35" t="str">
        <f>IFERROR(INDEX(DL_Exp,MATCH($CA486,DL_KEY,0)),"M")</f>
        <v>L</v>
      </c>
      <c r="AE486" s="35" t="str">
        <f>IFERROR(INDEX(DL_Edu,MATCH($CA486,DL_KEY,0)),"M")</f>
        <v>L</v>
      </c>
      <c r="AF486" s="34" t="inlineStr">
        <is>
          <t>M</t>
        </is>
      </c>
      <c r="AG486" s="35" t="inlineStr">
        <is>
          <t>M</t>
        </is>
      </c>
      <c r="AH486" s="35" t="inlineStr">
        <is>
          <t>M</t>
        </is>
      </c>
      <c r="AI486" s="35" t="inlineStr">
        <is>
          <t>M</t>
        </is>
      </c>
      <c r="AJ486" s="35" t="inlineStr">
        <is>
          <t>M</t>
        </is>
      </c>
      <c r="AK486" s="35" t="inlineStr">
        <is>
          <t>M</t>
        </is>
      </c>
      <c r="AL486" s="35" t="inlineStr">
        <is>
          <t>M</t>
        </is>
      </c>
      <c r="AM486" s="36" t="n">
        <v>0.513</v>
      </c>
      <c r="AN486" s="37" t="n">
        <v>0.173</v>
      </c>
      <c r="AO486" s="37" t="n">
        <v>0.09699999999999999</v>
      </c>
      <c r="AP486" s="37" t="n">
        <v>0.05</v>
      </c>
      <c r="AQ486" s="37" t="n">
        <v>0.07000000000000001</v>
      </c>
      <c r="AR486" s="37" t="n">
        <v>0.06</v>
      </c>
      <c r="AS486" s="37" t="n">
        <v>0.04</v>
      </c>
      <c r="AT486" s="38" t="inlineStr">
        <is>
          <t>4–8</t>
        </is>
      </c>
      <c r="AU486" s="38" t="inlineStr">
        <is>
          <t>Graduate + relevant qualification or certification preferred</t>
        </is>
      </c>
      <c r="AV486" s="38" t="inlineStr">
        <is>
          <t>IC: none · Team Lead: 3–5</t>
        </is>
      </c>
      <c r="AW486" s="38" t="inlineStr">
        <is>
          <t>P3 / M2 · SFIA 4 Enable</t>
        </is>
      </c>
      <c r="AX4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6" s="39" t="inlineStr">
        <is>
          <t>B1</t>
        </is>
      </c>
      <c r="AZ486" s="40" t="inlineStr">
        <is>
          <t>Band B · Specialist / Manager · Team Lead / Asst Manager</t>
        </is>
      </c>
      <c r="BA486" s="40" t="inlineStr">
        <is>
          <t>Model B1 from the six ratings, the market-derived weights and rules R1–R13 · then No change · already below the manager</t>
        </is>
      </c>
      <c r="BB486" s="41" t="inlineStr">
        <is>
          <t>B1</t>
        </is>
      </c>
      <c r="BC486" s="40" t="inlineStr">
        <is>
          <t>The six ratings on the market-average weights of Band B · Specialist / POD Lead score 4.01 → B1 · Hay, Mercer IPE and public plans · experience 13.1 yrs vs the B1 market range 4–8</t>
        </is>
      </c>
      <c r="BD486" s="42">
        <f>IF(SUM(BM486,BN486,BO486,BP486,BQ486,BR486,BS486)=0,0,(BM486*BT486+BN486*BU486+BO486*BV486+BP486*BW486+BQ486*BX486+BR486*BY486+BS486*BZ486)/SUM(BM486,BN486,BO486,BP486,BQ486,BR486,BS486))</f>
        <v>0</v>
      </c>
      <c r="BE486" s="41" t="str">
        <f>IF(LEFT(AY486,1)="X",AY486,IF(OR(AY486="B+",AY486="C+"),INDEX(LAD_PC,MAX(1,MIN(14,MATCH(AY486,LAD_PC,0)+IF(BD486&gt;=0.5,1,IF(BD486&lt;=-0.5,-1,0))))),INDEX(LAD_STD,MAX(1,MIN(12,MATCH(AY486,LAD_STD,0)+IF(BD486&gt;=0.5,1,IF(BD486&lt;=-0.5,-1,0)))))))</f>
        <v>B1</v>
      </c>
      <c r="BF486" s="43" t="n"/>
      <c r="BG486" s="41" t="str">
        <f>IF(BF486&lt;&gt;"",BF486,BE486)</f>
        <v>B1</v>
      </c>
      <c r="BH486" s="40" t="str">
        <f>IFERROR(CHOOSE(INDEX(B_RANK,MATCH(BG486,B_LVL,0)),"Band A","Band B","B+ · Player-Coach","Band C","C+ · Player-Coach","Band D","Band E"),"Band X · Consultant")</f>
        <v>Band B</v>
      </c>
      <c r="BI486" s="40" t="str">
        <f>IF(BG486=AY486,"• Same",IF(INDEX(B_VAL,MATCH(BG486,B_LVL,0))&gt;INDEX(B_VAL,MATCH(AY486,B_LVL,0)),"▲ Up","▼ Down"))</f>
        <v>• Same</v>
      </c>
      <c r="BJ486" s="40" t="str">
        <f>IF(OR($M486="",$M486="—",$M486="Not in this file"),"",IFERROR(INDEX($BG$7:$BG$592,MATCH($M486,$D$7:$D$592,0)),""))</f>
        <v>B3</v>
      </c>
      <c r="BK486" s="40" t="str">
        <f>IFERROR(IF(BJ486="","—",IF(OR(LEFT(BG486,1)="X",LEFT(BJ486,1)="X"),"—",IF(AND(LEFT(BG486,1)="E",LEFT(BJ486,1)="E"),"Exception · Band E",IF(AND(INDEX(B_VAL,MATCH(BJ486,B_LVL,0))&gt;=7,INDEX(B_RANK,MATCH(BG486,B_LVL,0))&gt;=INDEX(B_RANK,MATCH(BJ486,B_LVL,0))),"⚠ Same band as a head manager",IF(INDEX(B_VAL,MATCH(BG486,B_LVL,0))&gt;=INDEX(B_VAL,MATCH(BJ486,B_LVL,0)),"⚠ At or above the manager's level","OK"))))),"—")</f>
        <v>OK</v>
      </c>
      <c r="BL486" s="43" t="n"/>
      <c r="BM486" s="44">
        <f>IFERROR(INDEX(LMH_PTS,MATCH(Y486,LMH_KEY,0)),0)</f>
        <v>9</v>
      </c>
      <c r="BN486" s="38">
        <f>IFERROR(INDEX(LMH_PTS,MATCH(Z486,LMH_KEY,0)),0)</f>
        <v>3</v>
      </c>
      <c r="BO486" s="38">
        <f>IFERROR(INDEX(LMH_PTS,MATCH(AA486,LMH_KEY,0)),0)</f>
        <v>1</v>
      </c>
      <c r="BP486" s="38">
        <f>IFERROR(INDEX(LMH_PTS,MATCH(AB486,LMH_KEY,0)),0)</f>
        <v>1</v>
      </c>
      <c r="BQ486" s="38">
        <f>IFERROR(INDEX(LMH_PTS,MATCH(AC486,LMH_KEY,0)),0)</f>
        <v>1</v>
      </c>
      <c r="BR486" s="38">
        <f>IFERROR(INDEX(LMH_PTS,MATCH(AD486,LMH_KEY,0)),0)</f>
        <v>1</v>
      </c>
      <c r="BS486" s="38">
        <f>IFERROR(INDEX(LMH_PTS,MATCH(AE486,LMH_KEY,0)),0)</f>
        <v>1</v>
      </c>
      <c r="BT486" s="38">
        <f>IFERROR(INDEX(LMH_STEP,MATCH(AF486,LMH_KEY,0)),0)</f>
        <v>0</v>
      </c>
      <c r="BU486" s="38">
        <f>IFERROR(INDEX(LMH_STEP,MATCH(AG486,LMH_KEY,0)),0)</f>
        <v>0</v>
      </c>
      <c r="BV486" s="38">
        <f>IFERROR(INDEX(LMH_STEP,MATCH(AH486,LMH_KEY,0)),0)</f>
        <v>0</v>
      </c>
      <c r="BW486" s="38">
        <f>IFERROR(INDEX(LMH_STEP,MATCH(AI486,LMH_KEY,0)),0)</f>
        <v>0</v>
      </c>
      <c r="BX486" s="38">
        <f>IFERROR(INDEX(LMH_STEP,MATCH(AJ486,LMH_KEY,0)),0)</f>
        <v>0</v>
      </c>
      <c r="BY486" s="38">
        <f>IFERROR(INDEX(LMH_STEP,MATCH(AK486,LMH_KEY,0)),0)</f>
        <v>0</v>
      </c>
      <c r="BZ486" s="38">
        <f>IFERROR(INDEX(LMH_STEP,MATCH(AL486,LMH_KEY,0)),0)</f>
        <v>0</v>
      </c>
      <c r="CA486" s="38" t="inlineStr">
        <is>
          <t>CARBON|Support|DevOps Specialist – POD Lead|B1|B-IC</t>
        </is>
      </c>
    </row>
    <row r="487" ht="110" customHeight="1">
      <c r="A487" s="28" t="inlineStr">
        <is>
          <t>CARBON</t>
        </is>
      </c>
      <c r="B487" s="29" t="inlineStr">
        <is>
          <t>Support</t>
        </is>
      </c>
      <c r="C487" s="29" t="n">
        <v>4</v>
      </c>
      <c r="D487" s="29" t="inlineStr">
        <is>
          <t>IRIS1941</t>
        </is>
      </c>
      <c r="E487" s="29" t="inlineStr">
        <is>
          <t>Manish Yadav</t>
        </is>
      </c>
      <c r="F487" s="29" t="inlineStr">
        <is>
          <t>Software Engineer</t>
        </is>
      </c>
      <c r="G487" s="29" t="inlineStr">
        <is>
          <t>Senior Software Engineer</t>
        </is>
      </c>
      <c r="H487" s="29" t="inlineStr">
        <is>
          <t>Engineering &amp; Development</t>
        </is>
      </c>
      <c r="I487" s="29" t="inlineStr">
        <is>
          <t>Application Maintenance &amp; Production Support</t>
        </is>
      </c>
      <c r="J487" s="29" t="inlineStr">
        <is>
          <t>IC</t>
        </is>
      </c>
      <c r="K487" s="29" t="inlineStr">
        <is>
          <t>RC-062</t>
        </is>
      </c>
      <c r="L487" s="29" t="inlineStr">
        <is>
          <t>Shailesh Koradiya</t>
        </is>
      </c>
      <c r="M487" s="29" t="inlineStr">
        <is>
          <t>IRIS1878</t>
        </is>
      </c>
      <c r="N487" s="29" t="n">
        <v>5.3</v>
      </c>
      <c r="O487" s="29" t="n">
        <v>5.1</v>
      </c>
      <c r="P487" s="29" t="inlineStr">
        <is>
          <t>B.E</t>
        </is>
      </c>
      <c r="Q487" s="29" t="inlineStr">
        <is>
          <t>L3 – Professional / Associate</t>
        </is>
      </c>
      <c r="R487" s="29" t="inlineStr">
        <is>
          <t>A3</t>
        </is>
      </c>
      <c r="S487" s="30" t="inlineStr">
        <is>
          <t>20 of 20</t>
        </is>
      </c>
      <c r="T487" s="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U487" s="31" t="inlineStr">
        <is>
          <t>Received · manager annual · 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t>
        </is>
      </c>
      <c r="V487" s="31" t="inlineStr">
        <is>
          <t>Latest rating: Not rated · manager · 9-box: Trusted Professional · Readiness: No rating data</t>
        </is>
      </c>
      <c r="W487" s="31" t="inlineStr">
        <is>
          <t>C M · Au M · Ac M · L L · BI M · Exp H · 5.3 yrs vs 2–4 yrs · Edu M · B.E</t>
        </is>
      </c>
      <c r="X487" s="33" t="inlineStr">
        <is>
          <t>Open ▸</t>
        </is>
      </c>
      <c r="Y487" s="34" t="str">
        <f>IFERROR(INDEX(DL_C,MATCH($CA487,DL_KEY,0)),"M")</f>
        <v>H</v>
      </c>
      <c r="Z487" s="35" t="str">
        <f>IFERROR(INDEX(DL_Au,MATCH($CA487,DL_KEY,0)),"M")</f>
        <v>M</v>
      </c>
      <c r="AA487" s="35" t="str">
        <f>IFERROR(INDEX(DL_Ac,MATCH($CA487,DL_KEY,0)),"M")</f>
        <v>L</v>
      </c>
      <c r="AB487" s="35" t="str">
        <f>IFERROR(INDEX(DL_L,MATCH($CA487,DL_KEY,0)),"M")</f>
        <v>L</v>
      </c>
      <c r="AC487" s="35" t="str">
        <f>IFERROR(INDEX(DL_BI,MATCH($CA487,DL_KEY,0)),"M")</f>
        <v>L</v>
      </c>
      <c r="AD487" s="35" t="str">
        <f>IFERROR(INDEX(DL_Exp,MATCH($CA487,DL_KEY,0)),"M")</f>
        <v>L</v>
      </c>
      <c r="AE487" s="35" t="str">
        <f>IFERROR(INDEX(DL_Edu,MATCH($CA487,DL_KEY,0)),"M")</f>
        <v>L</v>
      </c>
      <c r="AF487" s="34" t="inlineStr">
        <is>
          <t>M</t>
        </is>
      </c>
      <c r="AG487" s="35" t="inlineStr">
        <is>
          <t>M</t>
        </is>
      </c>
      <c r="AH487" s="35" t="inlineStr">
        <is>
          <t>M</t>
        </is>
      </c>
      <c r="AI487" s="35" t="inlineStr">
        <is>
          <t>M</t>
        </is>
      </c>
      <c r="AJ487" s="35" t="inlineStr">
        <is>
          <t>M</t>
        </is>
      </c>
      <c r="AK487" s="35" t="inlineStr">
        <is>
          <t>M</t>
        </is>
      </c>
      <c r="AL487" s="35" t="inlineStr">
        <is>
          <t>M</t>
        </is>
      </c>
      <c r="AM487" s="36" t="n">
        <v>0.583</v>
      </c>
      <c r="AN487" s="37" t="n">
        <v>0.16</v>
      </c>
      <c r="AO487" s="37" t="n">
        <v>0.09</v>
      </c>
      <c r="AP487" s="37" t="n">
        <v>0</v>
      </c>
      <c r="AQ487" s="37" t="n">
        <v>0.063</v>
      </c>
      <c r="AR487" s="37" t="n">
        <v>0.06</v>
      </c>
      <c r="AS487" s="37" t="n">
        <v>0.04</v>
      </c>
      <c r="AT487" s="38" t="inlineStr">
        <is>
          <t>2–5</t>
        </is>
      </c>
      <c r="AU487" s="38" t="inlineStr">
        <is>
          <t>Graduate; relevant certification preferred</t>
        </is>
      </c>
      <c r="AV487" s="38" t="inlineStr">
        <is>
          <t>None · guides 1–3 juniors informally</t>
        </is>
      </c>
      <c r="AW487" s="38" t="inlineStr">
        <is>
          <t>P2 · SFIA 3 Apply</t>
        </is>
      </c>
      <c r="AX4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7" s="39" t="inlineStr">
        <is>
          <t>A3</t>
        </is>
      </c>
      <c r="AZ487" s="40" t="inlineStr">
        <is>
          <t>Band A · Practitioner · Senior Associate</t>
        </is>
      </c>
      <c r="BA487" s="40" t="inlineStr">
        <is>
          <t>Model A3 from the six ratings, the market-derived weights and rules R1–R13 · then No change · already below the manager</t>
        </is>
      </c>
      <c r="BB487" s="41" t="inlineStr">
        <is>
          <t>A3</t>
        </is>
      </c>
      <c r="BC487" s="40" t="inlineStr">
        <is>
          <t>The six ratings on the market-average weights of Band A · all tracks score 2.65 → A3 · Hay, Mercer IPE and public plans · experience 5.3 yrs vs the A3 market range 2–5</t>
        </is>
      </c>
      <c r="BD487" s="42">
        <f>IF(SUM(BM487,BN487,BO487,BP487,BQ487,BR487,BS487)=0,0,(BM487*BT487+BN487*BU487+BO487*BV487+BP487*BW487+BQ487*BX487+BR487*BY487+BS487*BZ487)/SUM(BM487,BN487,BO487,BP487,BQ487,BR487,BS487))</f>
        <v>0</v>
      </c>
      <c r="BE487" s="41" t="str">
        <f>IF(LEFT(AY487,1)="X",AY487,IF(OR(AY487="B+",AY487="C+"),INDEX(LAD_PC,MAX(1,MIN(14,MATCH(AY487,LAD_PC,0)+IF(BD487&gt;=0.5,1,IF(BD487&lt;=-0.5,-1,0))))),INDEX(LAD_STD,MAX(1,MIN(12,MATCH(AY487,LAD_STD,0)+IF(BD487&gt;=0.5,1,IF(BD487&lt;=-0.5,-1,0)))))))</f>
        <v>A3</v>
      </c>
      <c r="BF487" s="43" t="n"/>
      <c r="BG487" s="41" t="str">
        <f>IF(BF487&lt;&gt;"",BF487,BE487)</f>
        <v>A3</v>
      </c>
      <c r="BH487" s="40" t="str">
        <f>IFERROR(CHOOSE(INDEX(B_RANK,MATCH(BG487,B_LVL,0)),"Band A","Band B","B+ · Player-Coach","Band C","C+ · Player-Coach","Band D","Band E"),"Band X · Consultant")</f>
        <v>Band A</v>
      </c>
      <c r="BI487" s="40" t="str">
        <f>IF(BG487=AY487,"• Same",IF(INDEX(B_VAL,MATCH(BG487,B_LVL,0))&gt;INDEX(B_VAL,MATCH(AY487,B_LVL,0)),"▲ Up","▼ Down"))</f>
        <v>• Same</v>
      </c>
      <c r="BJ487" s="40" t="str">
        <f>IF(OR($M487="",$M487="—",$M487="Not in this file"),"",IFERROR(INDEX($BG$7:$BG$592,MATCH($M487,$D$7:$D$592,0)),""))</f>
        <v>B1</v>
      </c>
      <c r="BK487" s="40" t="str">
        <f>IFERROR(IF(BJ487="","—",IF(OR(LEFT(BG487,1)="X",LEFT(BJ487,1)="X"),"—",IF(AND(LEFT(BG487,1)="E",LEFT(BJ487,1)="E"),"Exception · Band E",IF(AND(INDEX(B_VAL,MATCH(BJ487,B_LVL,0))&gt;=7,INDEX(B_RANK,MATCH(BG487,B_LVL,0))&gt;=INDEX(B_RANK,MATCH(BJ487,B_LVL,0))),"⚠ Same band as a head manager",IF(INDEX(B_VAL,MATCH(BG487,B_LVL,0))&gt;=INDEX(B_VAL,MATCH(BJ487,B_LVL,0)),"⚠ At or above the manager's level","OK"))))),"—")</f>
        <v>OK</v>
      </c>
      <c r="BL487" s="43" t="n"/>
      <c r="BM487" s="44">
        <f>IFERROR(INDEX(LMH_PTS,MATCH(Y487,LMH_KEY,0)),0)</f>
        <v>9</v>
      </c>
      <c r="BN487" s="38">
        <f>IFERROR(INDEX(LMH_PTS,MATCH(Z487,LMH_KEY,0)),0)</f>
        <v>3</v>
      </c>
      <c r="BO487" s="38">
        <f>IFERROR(INDEX(LMH_PTS,MATCH(AA487,LMH_KEY,0)),0)</f>
        <v>1</v>
      </c>
      <c r="BP487" s="38">
        <f>IFERROR(INDEX(LMH_PTS,MATCH(AB487,LMH_KEY,0)),0)</f>
        <v>1</v>
      </c>
      <c r="BQ487" s="38">
        <f>IFERROR(INDEX(LMH_PTS,MATCH(AC487,LMH_KEY,0)),0)</f>
        <v>1</v>
      </c>
      <c r="BR487" s="38">
        <f>IFERROR(INDEX(LMH_PTS,MATCH(AD487,LMH_KEY,0)),0)</f>
        <v>1</v>
      </c>
      <c r="BS487" s="38">
        <f>IFERROR(INDEX(LMH_PTS,MATCH(AE487,LMH_KEY,0)),0)</f>
        <v>1</v>
      </c>
      <c r="BT487" s="38">
        <f>IFERROR(INDEX(LMH_STEP,MATCH(AF487,LMH_KEY,0)),0)</f>
        <v>0</v>
      </c>
      <c r="BU487" s="38">
        <f>IFERROR(INDEX(LMH_STEP,MATCH(AG487,LMH_KEY,0)),0)</f>
        <v>0</v>
      </c>
      <c r="BV487" s="38">
        <f>IFERROR(INDEX(LMH_STEP,MATCH(AH487,LMH_KEY,0)),0)</f>
        <v>0</v>
      </c>
      <c r="BW487" s="38">
        <f>IFERROR(INDEX(LMH_STEP,MATCH(AI487,LMH_KEY,0)),0)</f>
        <v>0</v>
      </c>
      <c r="BX487" s="38">
        <f>IFERROR(INDEX(LMH_STEP,MATCH(AJ487,LMH_KEY,0)),0)</f>
        <v>0</v>
      </c>
      <c r="BY487" s="38">
        <f>IFERROR(INDEX(LMH_STEP,MATCH(AK487,LMH_KEY,0)),0)</f>
        <v>0</v>
      </c>
      <c r="BZ487" s="38">
        <f>IFERROR(INDEX(LMH_STEP,MATCH(AL487,LMH_KEY,0)),0)</f>
        <v>0</v>
      </c>
      <c r="CA487" s="38" t="inlineStr">
        <is>
          <t>CARBON|Support|Senior Software Engineer|A3|A</t>
        </is>
      </c>
    </row>
    <row r="488" ht="110" customHeight="1">
      <c r="A488" s="28" t="inlineStr">
        <is>
          <t>CARBON</t>
        </is>
      </c>
      <c r="B488" s="29" t="inlineStr">
        <is>
          <t>Technology</t>
        </is>
      </c>
      <c r="C488" s="29" t="n">
        <v>3</v>
      </c>
      <c r="D488" s="29" t="inlineStr">
        <is>
          <t>IRIS1883</t>
        </is>
      </c>
      <c r="E488" s="29" t="inlineStr">
        <is>
          <t>Bikram Prasad</t>
        </is>
      </c>
      <c r="F488" s="29" t="inlineStr">
        <is>
          <t>Software Engineer</t>
        </is>
      </c>
      <c r="G488" s="29" t="inlineStr">
        <is>
          <t>Senior Software Engineer</t>
        </is>
      </c>
      <c r="H488" s="29" t="inlineStr">
        <is>
          <t>Engineering &amp; Development</t>
        </is>
      </c>
      <c r="I488" s="29" t="inlineStr">
        <is>
          <t>Backend Development</t>
        </is>
      </c>
      <c r="J488" s="29" t="inlineStr">
        <is>
          <t>IC</t>
        </is>
      </c>
      <c r="K488" s="29" t="inlineStr">
        <is>
          <t>RC-067</t>
        </is>
      </c>
      <c r="L488" s="29" t="inlineStr">
        <is>
          <t>Chetan Kotwal</t>
        </is>
      </c>
      <c r="M488" s="29" t="inlineStr">
        <is>
          <t>IRIS1832</t>
        </is>
      </c>
      <c r="N488" s="29" t="n">
        <v>5.8</v>
      </c>
      <c r="O488" s="29" t="n">
        <v>5.8</v>
      </c>
      <c r="P488" s="29" t="inlineStr">
        <is>
          <t>B.Tech</t>
        </is>
      </c>
      <c r="Q488" s="29" t="inlineStr">
        <is>
          <t>L3 – Professional / Associate</t>
        </is>
      </c>
      <c r="R488" s="29" t="inlineStr">
        <is>
          <t>A3</t>
        </is>
      </c>
      <c r="S488" s="30" t="inlineStr">
        <is>
          <t>20 of 20</t>
        </is>
      </c>
      <c r="T488" s="31" t="inlineStr">
        <is>
          <t>• Role / sub-team: Technology — Software Engineer.
• Core purpose: Input not given by Participant.
• Decision-making autonomy: Input not given by Participant.
• Is this something only they do: Input not given by Participant.</t>
        </is>
      </c>
      <c r="U488" s="31" t="inlineStr">
        <is>
          <t>Received · manager annual · 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t>
        </is>
      </c>
      <c r="V488" s="31" t="inlineStr">
        <is>
          <t>Latest rating: Not rated · manager · 9-box: Underperformer / Exit Risk · Readiness: No rating data</t>
        </is>
      </c>
      <c r="W488" s="31" t="inlineStr">
        <is>
          <t>C L · Au L · Ac L · L L · BI M · Exp M · 5.8 yrs vs 4–7 yrs · Edu M · B.Tech</t>
        </is>
      </c>
      <c r="X488" s="33" t="inlineStr">
        <is>
          <t>Open ▸</t>
        </is>
      </c>
      <c r="Y488" s="34" t="str">
        <f>IFERROR(INDEX(DL_C,MATCH($CA488,DL_KEY,0)),"M")</f>
        <v>H</v>
      </c>
      <c r="Z488" s="35" t="str">
        <f>IFERROR(INDEX(DL_Au,MATCH($CA488,DL_KEY,0)),"M")</f>
        <v>M</v>
      </c>
      <c r="AA488" s="35" t="str">
        <f>IFERROR(INDEX(DL_Ac,MATCH($CA488,DL_KEY,0)),"M")</f>
        <v>L</v>
      </c>
      <c r="AB488" s="35" t="str">
        <f>IFERROR(INDEX(DL_L,MATCH($CA488,DL_KEY,0)),"M")</f>
        <v>L</v>
      </c>
      <c r="AC488" s="35" t="str">
        <f>IFERROR(INDEX(DL_BI,MATCH($CA488,DL_KEY,0)),"M")</f>
        <v>L</v>
      </c>
      <c r="AD488" s="35" t="str">
        <f>IFERROR(INDEX(DL_Exp,MATCH($CA488,DL_KEY,0)),"M")</f>
        <v>L</v>
      </c>
      <c r="AE488" s="35" t="str">
        <f>IFERROR(INDEX(DL_Edu,MATCH($CA488,DL_KEY,0)),"M")</f>
        <v>L</v>
      </c>
      <c r="AF488" s="34" t="inlineStr">
        <is>
          <t>M</t>
        </is>
      </c>
      <c r="AG488" s="35" t="inlineStr">
        <is>
          <t>M</t>
        </is>
      </c>
      <c r="AH488" s="35" t="inlineStr">
        <is>
          <t>M</t>
        </is>
      </c>
      <c r="AI488" s="35" t="inlineStr">
        <is>
          <t>M</t>
        </is>
      </c>
      <c r="AJ488" s="35" t="inlineStr">
        <is>
          <t>M</t>
        </is>
      </c>
      <c r="AK488" s="35" t="inlineStr">
        <is>
          <t>M</t>
        </is>
      </c>
      <c r="AL488" s="35" t="inlineStr">
        <is>
          <t>M</t>
        </is>
      </c>
      <c r="AM488" s="36" t="n">
        <v>0.513</v>
      </c>
      <c r="AN488" s="37" t="n">
        <v>0.173</v>
      </c>
      <c r="AO488" s="37" t="n">
        <v>0.09699999999999999</v>
      </c>
      <c r="AP488" s="37" t="n">
        <v>0.05</v>
      </c>
      <c r="AQ488" s="37" t="n">
        <v>0.07000000000000001</v>
      </c>
      <c r="AR488" s="37" t="n">
        <v>0.06</v>
      </c>
      <c r="AS488" s="37" t="n">
        <v>0.04</v>
      </c>
      <c r="AT488" s="38" t="inlineStr">
        <is>
          <t>4–8</t>
        </is>
      </c>
      <c r="AU488" s="38" t="inlineStr">
        <is>
          <t>Graduate + relevant qualification or certification preferred</t>
        </is>
      </c>
      <c r="AV488" s="38" t="inlineStr">
        <is>
          <t>IC: none · Team Lead: 3–5</t>
        </is>
      </c>
      <c r="AW488" s="38" t="inlineStr">
        <is>
          <t>P3 / M2 · SFIA 4 Enable</t>
        </is>
      </c>
      <c r="AX4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8" s="39" t="inlineStr">
        <is>
          <t>B1</t>
        </is>
      </c>
      <c r="AZ488" s="40" t="inlineStr">
        <is>
          <t>Band B · Specialist / Manager · Specialist</t>
        </is>
      </c>
      <c r="BA488" s="40" t="inlineStr">
        <is>
          <t>Model A3 from the six ratings, the market-derived weights and rules R1–R13 · then Leads people at or above their own level · A3 → B1 Team Lead</t>
        </is>
      </c>
      <c r="BB488" s="41" t="inlineStr">
        <is>
          <t>A3</t>
        </is>
      </c>
      <c r="BC488" s="40" t="inlineStr">
        <is>
          <t>The six ratings on the market-average weights of Band B · Specialist / POD Lead score 2.68 → A3 · Hay, Mercer IPE and public plans · experience 5.8 yrs vs the A3 market range 2–5</t>
        </is>
      </c>
      <c r="BD488" s="42">
        <f>IF(SUM(BM488,BN488,BO488,BP488,BQ488,BR488,BS488)=0,0,(BM488*BT488+BN488*BU488+BO488*BV488+BP488*BW488+BQ488*BX488+BR488*BY488+BS488*BZ488)/SUM(BM488,BN488,BO488,BP488,BQ488,BR488,BS488))</f>
        <v>0</v>
      </c>
      <c r="BE488" s="41" t="str">
        <f>IF(LEFT(AY488,1)="X",AY488,IF(OR(AY488="B+",AY488="C+"),INDEX(LAD_PC,MAX(1,MIN(14,MATCH(AY488,LAD_PC,0)+IF(BD488&gt;=0.5,1,IF(BD488&lt;=-0.5,-1,0))))),INDEX(LAD_STD,MAX(1,MIN(12,MATCH(AY488,LAD_STD,0)+IF(BD488&gt;=0.5,1,IF(BD488&lt;=-0.5,-1,0)))))))</f>
        <v>B1</v>
      </c>
      <c r="BF488" s="43" t="n"/>
      <c r="BG488" s="41" t="str">
        <f>IF(BF488&lt;&gt;"",BF488,BE488)</f>
        <v>B1</v>
      </c>
      <c r="BH488" s="40" t="str">
        <f>IFERROR(CHOOSE(INDEX(B_RANK,MATCH(BG488,B_LVL,0)),"Band A","Band B","B+ · Player-Coach","Band C","C+ · Player-Coach","Band D","Band E"),"Band X · Consultant")</f>
        <v>Band B</v>
      </c>
      <c r="BI488" s="40" t="str">
        <f>IF(BG488=AY488,"• Same",IF(INDEX(B_VAL,MATCH(BG488,B_LVL,0))&gt;INDEX(B_VAL,MATCH(AY488,B_LVL,0)),"▲ Up","▼ Down"))</f>
        <v>• Same</v>
      </c>
      <c r="BJ488" s="40" t="str">
        <f>IF(OR($M488="",$M488="—",$M488="Not in this file"),"",IFERROR(INDEX($BG$7:$BG$592,MATCH($M488,$D$7:$D$592,0)),""))</f>
        <v>B3</v>
      </c>
      <c r="BK488" s="40" t="str">
        <f>IFERROR(IF(BJ488="","—",IF(OR(LEFT(BG488,1)="X",LEFT(BJ488,1)="X"),"—",IF(AND(LEFT(BG488,1)="E",LEFT(BJ488,1)="E"),"Exception · Band E",IF(AND(INDEX(B_VAL,MATCH(BJ488,B_LVL,0))&gt;=7,INDEX(B_RANK,MATCH(BG488,B_LVL,0))&gt;=INDEX(B_RANK,MATCH(BJ488,B_LVL,0))),"⚠ Same band as a head manager",IF(INDEX(B_VAL,MATCH(BG488,B_LVL,0))&gt;=INDEX(B_VAL,MATCH(BJ488,B_LVL,0)),"⚠ At or above the manager's level","OK"))))),"—")</f>
        <v>OK</v>
      </c>
      <c r="BL488" s="43" t="n"/>
      <c r="BM488" s="44">
        <f>IFERROR(INDEX(LMH_PTS,MATCH(Y488,LMH_KEY,0)),0)</f>
        <v>9</v>
      </c>
      <c r="BN488" s="38">
        <f>IFERROR(INDEX(LMH_PTS,MATCH(Z488,LMH_KEY,0)),0)</f>
        <v>3</v>
      </c>
      <c r="BO488" s="38">
        <f>IFERROR(INDEX(LMH_PTS,MATCH(AA488,LMH_KEY,0)),0)</f>
        <v>1</v>
      </c>
      <c r="BP488" s="38">
        <f>IFERROR(INDEX(LMH_PTS,MATCH(AB488,LMH_KEY,0)),0)</f>
        <v>1</v>
      </c>
      <c r="BQ488" s="38">
        <f>IFERROR(INDEX(LMH_PTS,MATCH(AC488,LMH_KEY,0)),0)</f>
        <v>1</v>
      </c>
      <c r="BR488" s="38">
        <f>IFERROR(INDEX(LMH_PTS,MATCH(AD488,LMH_KEY,0)),0)</f>
        <v>1</v>
      </c>
      <c r="BS488" s="38">
        <f>IFERROR(INDEX(LMH_PTS,MATCH(AE488,LMH_KEY,0)),0)</f>
        <v>1</v>
      </c>
      <c r="BT488" s="38">
        <f>IFERROR(INDEX(LMH_STEP,MATCH(AF488,LMH_KEY,0)),0)</f>
        <v>0</v>
      </c>
      <c r="BU488" s="38">
        <f>IFERROR(INDEX(LMH_STEP,MATCH(AG488,LMH_KEY,0)),0)</f>
        <v>0</v>
      </c>
      <c r="BV488" s="38">
        <f>IFERROR(INDEX(LMH_STEP,MATCH(AH488,LMH_KEY,0)),0)</f>
        <v>0</v>
      </c>
      <c r="BW488" s="38">
        <f>IFERROR(INDEX(LMH_STEP,MATCH(AI488,LMH_KEY,0)),0)</f>
        <v>0</v>
      </c>
      <c r="BX488" s="38">
        <f>IFERROR(INDEX(LMH_STEP,MATCH(AJ488,LMH_KEY,0)),0)</f>
        <v>0</v>
      </c>
      <c r="BY488" s="38">
        <f>IFERROR(INDEX(LMH_STEP,MATCH(AK488,LMH_KEY,0)),0)</f>
        <v>0</v>
      </c>
      <c r="BZ488" s="38">
        <f>IFERROR(INDEX(LMH_STEP,MATCH(AL488,LMH_KEY,0)),0)</f>
        <v>0</v>
      </c>
      <c r="CA488" s="38" t="inlineStr">
        <is>
          <t>CARBON|Technology|Senior Software Engineer|B1|B-IC</t>
        </is>
      </c>
    </row>
    <row r="489" ht="110" customHeight="1">
      <c r="A489" s="28" t="inlineStr">
        <is>
          <t>CARBON</t>
        </is>
      </c>
      <c r="B489" s="29" t="inlineStr">
        <is>
          <t>Technology</t>
        </is>
      </c>
      <c r="C489" s="29" t="n">
        <v>4</v>
      </c>
      <c r="D489" s="29" t="inlineStr">
        <is>
          <t>IRIS2283</t>
        </is>
      </c>
      <c r="E489" s="29" t="inlineStr">
        <is>
          <t>Kunal Jadhav</t>
        </is>
      </c>
      <c r="F489" s="29" t="inlineStr">
        <is>
          <t>Software Engineer</t>
        </is>
      </c>
      <c r="G489" s="29" t="inlineStr">
        <is>
          <t>Senior Software Engineer</t>
        </is>
      </c>
      <c r="H489" s="29" t="inlineStr">
        <is>
          <t>Engineering &amp; Development</t>
        </is>
      </c>
      <c r="I489" s="29" t="inlineStr">
        <is>
          <t>Full-Stack Development</t>
        </is>
      </c>
      <c r="J489" s="29" t="inlineStr">
        <is>
          <t>IC</t>
        </is>
      </c>
      <c r="K489" s="29" t="inlineStr">
        <is>
          <t>RC-085</t>
        </is>
      </c>
      <c r="L489" s="29" t="inlineStr">
        <is>
          <t>Bikram Prasad</t>
        </is>
      </c>
      <c r="M489" s="29" t="inlineStr">
        <is>
          <t>IRIS1883</t>
        </is>
      </c>
      <c r="N489" s="29" t="n">
        <v>2.2</v>
      </c>
      <c r="O489" s="29" t="n">
        <v>2.2</v>
      </c>
      <c r="P489" s="29" t="inlineStr">
        <is>
          <t>Bachelor of Science</t>
        </is>
      </c>
      <c r="Q489" s="29" t="inlineStr">
        <is>
          <t>L3 – Professional / Associate</t>
        </is>
      </c>
      <c r="R489" s="29" t="inlineStr">
        <is>
          <t>A3</t>
        </is>
      </c>
      <c r="S489" s="30" t="inlineStr">
        <is>
          <t>20 of 20</t>
        </is>
      </c>
      <c r="T489" s="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t>
        </is>
      </c>
      <c r="U489" s="31" t="inlineStr">
        <is>
          <t>Received · manager annual · 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t>
        </is>
      </c>
      <c r="V489" s="31" t="inlineStr">
        <is>
          <t>Latest rating: Not rated · manager · 9-box: Not placed · manager · Readiness: No rating data</t>
        </is>
      </c>
      <c r="W489" s="31" t="inlineStr">
        <is>
          <t>C M · Au M · Ac M · L M · BI M · Exp M · 2.2 yrs vs 2–4 yrs · Edu M · Bachelor of Science</t>
        </is>
      </c>
      <c r="X489" s="33" t="inlineStr">
        <is>
          <t>Open ▸</t>
        </is>
      </c>
      <c r="Y489" s="34" t="str">
        <f>IFERROR(INDEX(DL_C,MATCH($CA489,DL_KEY,0)),"M")</f>
        <v>H</v>
      </c>
      <c r="Z489" s="35" t="str">
        <f>IFERROR(INDEX(DL_Au,MATCH($CA489,DL_KEY,0)),"M")</f>
        <v>M</v>
      </c>
      <c r="AA489" s="35" t="str">
        <f>IFERROR(INDEX(DL_Ac,MATCH($CA489,DL_KEY,0)),"M")</f>
        <v>L</v>
      </c>
      <c r="AB489" s="35" t="str">
        <f>IFERROR(INDEX(DL_L,MATCH($CA489,DL_KEY,0)),"M")</f>
        <v>L</v>
      </c>
      <c r="AC489" s="35" t="str">
        <f>IFERROR(INDEX(DL_BI,MATCH($CA489,DL_KEY,0)),"M")</f>
        <v>L</v>
      </c>
      <c r="AD489" s="35" t="str">
        <f>IFERROR(INDEX(DL_Exp,MATCH($CA489,DL_KEY,0)),"M")</f>
        <v>L</v>
      </c>
      <c r="AE489" s="35" t="str">
        <f>IFERROR(INDEX(DL_Edu,MATCH($CA489,DL_KEY,0)),"M")</f>
        <v>L</v>
      </c>
      <c r="AF489" s="34" t="inlineStr">
        <is>
          <t>M</t>
        </is>
      </c>
      <c r="AG489" s="35" t="inlineStr">
        <is>
          <t>M</t>
        </is>
      </c>
      <c r="AH489" s="35" t="inlineStr">
        <is>
          <t>M</t>
        </is>
      </c>
      <c r="AI489" s="35" t="inlineStr">
        <is>
          <t>M</t>
        </is>
      </c>
      <c r="AJ489" s="35" t="inlineStr">
        <is>
          <t>M</t>
        </is>
      </c>
      <c r="AK489" s="35" t="inlineStr">
        <is>
          <t>M</t>
        </is>
      </c>
      <c r="AL489" s="35" t="inlineStr">
        <is>
          <t>M</t>
        </is>
      </c>
      <c r="AM489" s="36" t="n">
        <v>0.583</v>
      </c>
      <c r="AN489" s="37" t="n">
        <v>0.16</v>
      </c>
      <c r="AO489" s="37" t="n">
        <v>0.09</v>
      </c>
      <c r="AP489" s="37" t="n">
        <v>0</v>
      </c>
      <c r="AQ489" s="37" t="n">
        <v>0.063</v>
      </c>
      <c r="AR489" s="37" t="n">
        <v>0.06</v>
      </c>
      <c r="AS489" s="37" t="n">
        <v>0.04</v>
      </c>
      <c r="AT489" s="38" t="inlineStr">
        <is>
          <t>2–5</t>
        </is>
      </c>
      <c r="AU489" s="38" t="inlineStr">
        <is>
          <t>Graduate; relevant certification preferred</t>
        </is>
      </c>
      <c r="AV489" s="38" t="inlineStr">
        <is>
          <t>None · guides 1–3 juniors informally</t>
        </is>
      </c>
      <c r="AW489" s="38" t="inlineStr">
        <is>
          <t>P2 · SFIA 3 Apply</t>
        </is>
      </c>
      <c r="AX4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9" s="39" t="inlineStr">
        <is>
          <t>A3</t>
        </is>
      </c>
      <c r="AZ489" s="40" t="inlineStr">
        <is>
          <t>Band A · Practitioner · Senior Associate</t>
        </is>
      </c>
      <c r="BA489" s="40" t="inlineStr">
        <is>
          <t>Model A3 from the six ratings, the market-derived weights and rules R1–R13 · then No change · already below the manager</t>
        </is>
      </c>
      <c r="BB489" s="41" t="inlineStr">
        <is>
          <t>A3</t>
        </is>
      </c>
      <c r="BC489" s="40" t="inlineStr">
        <is>
          <t>The six ratings on the market-average weights of Band A · all tracks score 2.66 → A3 · Hay, Mercer IPE and public plans · experience 2.2 yrs vs the A3 market range 2–5</t>
        </is>
      </c>
      <c r="BD489" s="42">
        <f>IF(SUM(BM489,BN489,BO489,BP489,BQ489,BR489,BS489)=0,0,(BM489*BT489+BN489*BU489+BO489*BV489+BP489*BW489+BQ489*BX489+BR489*BY489+BS489*BZ489)/SUM(BM489,BN489,BO489,BP489,BQ489,BR489,BS489))</f>
        <v>0</v>
      </c>
      <c r="BE489" s="41" t="str">
        <f>IF(LEFT(AY489,1)="X",AY489,IF(OR(AY489="B+",AY489="C+"),INDEX(LAD_PC,MAX(1,MIN(14,MATCH(AY489,LAD_PC,0)+IF(BD489&gt;=0.5,1,IF(BD489&lt;=-0.5,-1,0))))),INDEX(LAD_STD,MAX(1,MIN(12,MATCH(AY489,LAD_STD,0)+IF(BD489&gt;=0.5,1,IF(BD489&lt;=-0.5,-1,0)))))))</f>
        <v>A3</v>
      </c>
      <c r="BF489" s="43" t="n"/>
      <c r="BG489" s="41" t="str">
        <f>IF(BF489&lt;&gt;"",BF489,BE489)</f>
        <v>A3</v>
      </c>
      <c r="BH489" s="40" t="str">
        <f>IFERROR(CHOOSE(INDEX(B_RANK,MATCH(BG489,B_LVL,0)),"Band A","Band B","B+ · Player-Coach","Band C","C+ · Player-Coach","Band D","Band E"),"Band X · Consultant")</f>
        <v>Band A</v>
      </c>
      <c r="BI489" s="40" t="str">
        <f>IF(BG489=AY489,"• Same",IF(INDEX(B_VAL,MATCH(BG489,B_LVL,0))&gt;INDEX(B_VAL,MATCH(AY489,B_LVL,0)),"▲ Up","▼ Down"))</f>
        <v>• Same</v>
      </c>
      <c r="BJ489" s="40" t="str">
        <f>IF(OR($M489="",$M489="—",$M489="Not in this file"),"",IFERROR(INDEX($BG$7:$BG$592,MATCH($M489,$D$7:$D$592,0)),""))</f>
        <v>B1</v>
      </c>
      <c r="BK489" s="40" t="str">
        <f>IFERROR(IF(BJ489="","—",IF(OR(LEFT(BG489,1)="X",LEFT(BJ489,1)="X"),"—",IF(AND(LEFT(BG489,1)="E",LEFT(BJ489,1)="E"),"Exception · Band E",IF(AND(INDEX(B_VAL,MATCH(BJ489,B_LVL,0))&gt;=7,INDEX(B_RANK,MATCH(BG489,B_LVL,0))&gt;=INDEX(B_RANK,MATCH(BJ489,B_LVL,0))),"⚠ Same band as a head manager",IF(INDEX(B_VAL,MATCH(BG489,B_LVL,0))&gt;=INDEX(B_VAL,MATCH(BJ489,B_LVL,0)),"⚠ At or above the manager's level","OK"))))),"—")</f>
        <v>OK</v>
      </c>
      <c r="BL489" s="43" t="n"/>
      <c r="BM489" s="44">
        <f>IFERROR(INDEX(LMH_PTS,MATCH(Y489,LMH_KEY,0)),0)</f>
        <v>9</v>
      </c>
      <c r="BN489" s="38">
        <f>IFERROR(INDEX(LMH_PTS,MATCH(Z489,LMH_KEY,0)),0)</f>
        <v>3</v>
      </c>
      <c r="BO489" s="38">
        <f>IFERROR(INDEX(LMH_PTS,MATCH(AA489,LMH_KEY,0)),0)</f>
        <v>1</v>
      </c>
      <c r="BP489" s="38">
        <f>IFERROR(INDEX(LMH_PTS,MATCH(AB489,LMH_KEY,0)),0)</f>
        <v>1</v>
      </c>
      <c r="BQ489" s="38">
        <f>IFERROR(INDEX(LMH_PTS,MATCH(AC489,LMH_KEY,0)),0)</f>
        <v>1</v>
      </c>
      <c r="BR489" s="38">
        <f>IFERROR(INDEX(LMH_PTS,MATCH(AD489,LMH_KEY,0)),0)</f>
        <v>1</v>
      </c>
      <c r="BS489" s="38">
        <f>IFERROR(INDEX(LMH_PTS,MATCH(AE489,LMH_KEY,0)),0)</f>
        <v>1</v>
      </c>
      <c r="BT489" s="38">
        <f>IFERROR(INDEX(LMH_STEP,MATCH(AF489,LMH_KEY,0)),0)</f>
        <v>0</v>
      </c>
      <c r="BU489" s="38">
        <f>IFERROR(INDEX(LMH_STEP,MATCH(AG489,LMH_KEY,0)),0)</f>
        <v>0</v>
      </c>
      <c r="BV489" s="38">
        <f>IFERROR(INDEX(LMH_STEP,MATCH(AH489,LMH_KEY,0)),0)</f>
        <v>0</v>
      </c>
      <c r="BW489" s="38">
        <f>IFERROR(INDEX(LMH_STEP,MATCH(AI489,LMH_KEY,0)),0)</f>
        <v>0</v>
      </c>
      <c r="BX489" s="38">
        <f>IFERROR(INDEX(LMH_STEP,MATCH(AJ489,LMH_KEY,0)),0)</f>
        <v>0</v>
      </c>
      <c r="BY489" s="38">
        <f>IFERROR(INDEX(LMH_STEP,MATCH(AK489,LMH_KEY,0)),0)</f>
        <v>0</v>
      </c>
      <c r="BZ489" s="38">
        <f>IFERROR(INDEX(LMH_STEP,MATCH(AL489,LMH_KEY,0)),0)</f>
        <v>0</v>
      </c>
      <c r="CA489" s="38" t="inlineStr">
        <is>
          <t>CARBON|Technology|Senior Software Engineer|A3|A</t>
        </is>
      </c>
    </row>
    <row r="490" ht="110" customHeight="1">
      <c r="A490" s="28" t="inlineStr">
        <is>
          <t>CARBON</t>
        </is>
      </c>
      <c r="B490" s="29" t="inlineStr">
        <is>
          <t>Technology</t>
        </is>
      </c>
      <c r="C490" s="29" t="n">
        <v>5</v>
      </c>
      <c r="D490" s="29" t="inlineStr">
        <is>
          <t>IRIS2354</t>
        </is>
      </c>
      <c r="E490" s="29" t="inlineStr">
        <is>
          <t>Kuldip D Shah</t>
        </is>
      </c>
      <c r="F490" s="29" t="inlineStr">
        <is>
          <t>Software Engineer</t>
        </is>
      </c>
      <c r="G490" s="29" t="inlineStr">
        <is>
          <t>Senior Software Engineer</t>
        </is>
      </c>
      <c r="H490" s="29" t="inlineStr">
        <is>
          <t>Engineering &amp; Development</t>
        </is>
      </c>
      <c r="I490" s="29" t="inlineStr">
        <is>
          <t>Full-Stack Development</t>
        </is>
      </c>
      <c r="J490" s="29" t="inlineStr">
        <is>
          <t>IC</t>
        </is>
      </c>
      <c r="K490" s="29" t="inlineStr">
        <is>
          <t>RC-085</t>
        </is>
      </c>
      <c r="L490" s="29" t="inlineStr">
        <is>
          <t>Kunal Jadhav</t>
        </is>
      </c>
      <c r="M490" s="29" t="inlineStr">
        <is>
          <t>IRIS2283</t>
        </is>
      </c>
      <c r="N490" s="29" t="n">
        <v>4.5</v>
      </c>
      <c r="O490" s="29" t="n">
        <v>1.5</v>
      </c>
      <c r="P490" s="29" t="inlineStr">
        <is>
          <t>BCA</t>
        </is>
      </c>
      <c r="Q490" s="29" t="inlineStr">
        <is>
          <t>L3 – Professional / Associate</t>
        </is>
      </c>
      <c r="R490" s="29" t="inlineStr">
        <is>
          <t>A3</t>
        </is>
      </c>
      <c r="S490" s="30" t="inlineStr">
        <is>
          <t>20 of 20</t>
        </is>
      </c>
      <c r="T490" s="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
        </is>
      </c>
      <c r="U490" s="31" t="inlineStr">
        <is>
          <t>Received · manager annual · 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t>
        </is>
      </c>
      <c r="V490" s="31" t="inlineStr">
        <is>
          <t>Latest rating: Not rated · manager · 9-box: Underperformer / Exit Risk · Readiness: No rating data</t>
        </is>
      </c>
      <c r="W490" s="31" t="inlineStr">
        <is>
          <t>C M · Au M · Ac M · L L · BI M · Exp H · 4.5 yrs vs 0–2 yrs · Edu M · BCA</t>
        </is>
      </c>
      <c r="X490" s="33" t="inlineStr">
        <is>
          <t>Open ▸</t>
        </is>
      </c>
      <c r="Y490" s="34" t="str">
        <f>IFERROR(INDEX(DL_C,MATCH($CA490,DL_KEY,0)),"M")</f>
        <v>H</v>
      </c>
      <c r="Z490" s="35" t="str">
        <f>IFERROR(INDEX(DL_Au,MATCH($CA490,DL_KEY,0)),"M")</f>
        <v>M</v>
      </c>
      <c r="AA490" s="35" t="str">
        <f>IFERROR(INDEX(DL_Ac,MATCH($CA490,DL_KEY,0)),"M")</f>
        <v>L</v>
      </c>
      <c r="AB490" s="35" t="str">
        <f>IFERROR(INDEX(DL_L,MATCH($CA490,DL_KEY,0)),"M")</f>
        <v>L</v>
      </c>
      <c r="AC490" s="35" t="str">
        <f>IFERROR(INDEX(DL_BI,MATCH($CA490,DL_KEY,0)),"M")</f>
        <v>L</v>
      </c>
      <c r="AD490" s="35" t="str">
        <f>IFERROR(INDEX(DL_Exp,MATCH($CA490,DL_KEY,0)),"M")</f>
        <v>L</v>
      </c>
      <c r="AE490" s="35" t="str">
        <f>IFERROR(INDEX(DL_Edu,MATCH($CA490,DL_KEY,0)),"M")</f>
        <v>L</v>
      </c>
      <c r="AF490" s="34" t="inlineStr">
        <is>
          <t>M</t>
        </is>
      </c>
      <c r="AG490" s="35" t="inlineStr">
        <is>
          <t>M</t>
        </is>
      </c>
      <c r="AH490" s="35" t="inlineStr">
        <is>
          <t>M</t>
        </is>
      </c>
      <c r="AI490" s="35" t="inlineStr">
        <is>
          <t>M</t>
        </is>
      </c>
      <c r="AJ490" s="35" t="inlineStr">
        <is>
          <t>M</t>
        </is>
      </c>
      <c r="AK490" s="35" t="inlineStr">
        <is>
          <t>M</t>
        </is>
      </c>
      <c r="AL490" s="35" t="inlineStr">
        <is>
          <t>M</t>
        </is>
      </c>
      <c r="AM490" s="36" t="n">
        <v>0.583</v>
      </c>
      <c r="AN490" s="37" t="n">
        <v>0.16</v>
      </c>
      <c r="AO490" s="37" t="n">
        <v>0.09</v>
      </c>
      <c r="AP490" s="37" t="n">
        <v>0</v>
      </c>
      <c r="AQ490" s="37" t="n">
        <v>0.063</v>
      </c>
      <c r="AR490" s="37" t="n">
        <v>0.06</v>
      </c>
      <c r="AS490" s="37" t="n">
        <v>0.04</v>
      </c>
      <c r="AT490" s="38" t="inlineStr">
        <is>
          <t>0–3</t>
        </is>
      </c>
      <c r="AU490" s="38" t="inlineStr">
        <is>
          <t>Graduate · or diploma with experience</t>
        </is>
      </c>
      <c r="AV490" s="38" t="inlineStr">
        <is>
          <t>No direct reports</t>
        </is>
      </c>
      <c r="AW490" s="38" t="inlineStr">
        <is>
          <t>P1–P2 · SFIA 2 Assist</t>
        </is>
      </c>
      <c r="AX4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0" s="39" t="inlineStr">
        <is>
          <t>A2</t>
        </is>
      </c>
      <c r="AZ490" s="40" t="inlineStr">
        <is>
          <t>Band A · Practitioner · Associate</t>
        </is>
      </c>
      <c r="BA490" s="40" t="inlineStr">
        <is>
          <t>Model A3 from the six ratings, the market-derived weights and rules R1–R13 · then Level rule: manager A3; a reportee sits at least one level below · A3 → A2 · move down · pay and title protected for one cycle</t>
        </is>
      </c>
      <c r="BB490" s="41" t="inlineStr">
        <is>
          <t>A2</t>
        </is>
      </c>
      <c r="BC490" s="40" t="inlineStr">
        <is>
          <t>The six ratings on the market-average weights of Band A · all tracks score 2.15 → A2 · Hay, Mercer IPE and public plans · experience 4.5 yrs vs the A2 market range 0–3</t>
        </is>
      </c>
      <c r="BD490" s="42">
        <f>IF(SUM(BM490,BN490,BO490,BP490,BQ490,BR490,BS490)=0,0,(BM490*BT490+BN490*BU490+BO490*BV490+BP490*BW490+BQ490*BX490+BR490*BY490+BS490*BZ490)/SUM(BM490,BN490,BO490,BP490,BQ490,BR490,BS490))</f>
        <v>0</v>
      </c>
      <c r="BE490" s="41" t="str">
        <f>IF(LEFT(AY490,1)="X",AY490,IF(OR(AY490="B+",AY490="C+"),INDEX(LAD_PC,MAX(1,MIN(14,MATCH(AY490,LAD_PC,0)+IF(BD490&gt;=0.5,1,IF(BD490&lt;=-0.5,-1,0))))),INDEX(LAD_STD,MAX(1,MIN(12,MATCH(AY490,LAD_STD,0)+IF(BD490&gt;=0.5,1,IF(BD490&lt;=-0.5,-1,0)))))))</f>
        <v>A2</v>
      </c>
      <c r="BF490" s="43" t="n"/>
      <c r="BG490" s="41" t="str">
        <f>IF(BF490&lt;&gt;"",BF490,BE490)</f>
        <v>A2</v>
      </c>
      <c r="BH490" s="40" t="str">
        <f>IFERROR(CHOOSE(INDEX(B_RANK,MATCH(BG490,B_LVL,0)),"Band A","Band B","B+ · Player-Coach","Band C","C+ · Player-Coach","Band D","Band E"),"Band X · Consultant")</f>
        <v>Band A</v>
      </c>
      <c r="BI490" s="40" t="str">
        <f>IF(BG490=AY490,"• Same",IF(INDEX(B_VAL,MATCH(BG490,B_LVL,0))&gt;INDEX(B_VAL,MATCH(AY490,B_LVL,0)),"▲ Up","▼ Down"))</f>
        <v>• Same</v>
      </c>
      <c r="BJ490" s="40" t="str">
        <f>IF(OR($M490="",$M490="—",$M490="Not in this file"),"",IFERROR(INDEX($BG$7:$BG$592,MATCH($M490,$D$7:$D$592,0)),""))</f>
        <v>A3</v>
      </c>
      <c r="BK490" s="40" t="str">
        <f>IFERROR(IF(BJ490="","—",IF(OR(LEFT(BG490,1)="X",LEFT(BJ490,1)="X"),"—",IF(AND(LEFT(BG490,1)="E",LEFT(BJ490,1)="E"),"Exception · Band E",IF(AND(INDEX(B_VAL,MATCH(BJ490,B_LVL,0))&gt;=7,INDEX(B_RANK,MATCH(BG490,B_LVL,0))&gt;=INDEX(B_RANK,MATCH(BJ490,B_LVL,0))),"⚠ Same band as a head manager",IF(INDEX(B_VAL,MATCH(BG490,B_LVL,0))&gt;=INDEX(B_VAL,MATCH(BJ490,B_LVL,0)),"⚠ At or above the manager's level","OK"))))),"—")</f>
        <v>OK</v>
      </c>
      <c r="BL490" s="43" t="n"/>
      <c r="BM490" s="44">
        <f>IFERROR(INDEX(LMH_PTS,MATCH(Y490,LMH_KEY,0)),0)</f>
        <v>9</v>
      </c>
      <c r="BN490" s="38">
        <f>IFERROR(INDEX(LMH_PTS,MATCH(Z490,LMH_KEY,0)),0)</f>
        <v>3</v>
      </c>
      <c r="BO490" s="38">
        <f>IFERROR(INDEX(LMH_PTS,MATCH(AA490,LMH_KEY,0)),0)</f>
        <v>1</v>
      </c>
      <c r="BP490" s="38">
        <f>IFERROR(INDEX(LMH_PTS,MATCH(AB490,LMH_KEY,0)),0)</f>
        <v>1</v>
      </c>
      <c r="BQ490" s="38">
        <f>IFERROR(INDEX(LMH_PTS,MATCH(AC490,LMH_KEY,0)),0)</f>
        <v>1</v>
      </c>
      <c r="BR490" s="38">
        <f>IFERROR(INDEX(LMH_PTS,MATCH(AD490,LMH_KEY,0)),0)</f>
        <v>1</v>
      </c>
      <c r="BS490" s="38">
        <f>IFERROR(INDEX(LMH_PTS,MATCH(AE490,LMH_KEY,0)),0)</f>
        <v>1</v>
      </c>
      <c r="BT490" s="38">
        <f>IFERROR(INDEX(LMH_STEP,MATCH(AF490,LMH_KEY,0)),0)</f>
        <v>0</v>
      </c>
      <c r="BU490" s="38">
        <f>IFERROR(INDEX(LMH_STEP,MATCH(AG490,LMH_KEY,0)),0)</f>
        <v>0</v>
      </c>
      <c r="BV490" s="38">
        <f>IFERROR(INDEX(LMH_STEP,MATCH(AH490,LMH_KEY,0)),0)</f>
        <v>0</v>
      </c>
      <c r="BW490" s="38">
        <f>IFERROR(INDEX(LMH_STEP,MATCH(AI490,LMH_KEY,0)),0)</f>
        <v>0</v>
      </c>
      <c r="BX490" s="38">
        <f>IFERROR(INDEX(LMH_STEP,MATCH(AJ490,LMH_KEY,0)),0)</f>
        <v>0</v>
      </c>
      <c r="BY490" s="38">
        <f>IFERROR(INDEX(LMH_STEP,MATCH(AK490,LMH_KEY,0)),0)</f>
        <v>0</v>
      </c>
      <c r="BZ490" s="38">
        <f>IFERROR(INDEX(LMH_STEP,MATCH(AL490,LMH_KEY,0)),0)</f>
        <v>0</v>
      </c>
      <c r="CA490" s="38" t="inlineStr">
        <is>
          <t>CARBON|Technology|Senior Software Engineer|A2|A</t>
        </is>
      </c>
    </row>
    <row r="491" ht="110" customHeight="1">
      <c r="A491" s="28" t="inlineStr">
        <is>
          <t>CARBON</t>
        </is>
      </c>
      <c r="B491" s="29" t="inlineStr">
        <is>
          <t>Technology</t>
        </is>
      </c>
      <c r="C491" s="29" t="n">
        <v>5</v>
      </c>
      <c r="D491" s="29" t="inlineStr">
        <is>
          <t>IRIS2395</t>
        </is>
      </c>
      <c r="E491" s="29" t="inlineStr">
        <is>
          <t>Ayushi Prajapati</t>
        </is>
      </c>
      <c r="F491" s="29" t="inlineStr">
        <is>
          <t>Trainee Software Engineer</t>
        </is>
      </c>
      <c r="G491" s="29" t="inlineStr">
        <is>
          <t>UI Developer</t>
        </is>
      </c>
      <c r="H491" s="29" t="inlineStr">
        <is>
          <t>Engineering &amp; Development</t>
        </is>
      </c>
      <c r="I491" s="29" t="inlineStr">
        <is>
          <t>Front-End / UI Development</t>
        </is>
      </c>
      <c r="J491" s="29" t="inlineStr">
        <is>
          <t>IC</t>
        </is>
      </c>
      <c r="K491" s="29" t="inlineStr">
        <is>
          <t>RC-080</t>
        </is>
      </c>
      <c r="L491" s="29" t="inlineStr">
        <is>
          <t>Kunal Jadhav</t>
        </is>
      </c>
      <c r="M491" s="29" t="inlineStr">
        <is>
          <t>IRIS2283</t>
        </is>
      </c>
      <c r="N491" s="29" t="n">
        <v>1.2</v>
      </c>
      <c r="O491" s="29" t="n">
        <v>1.2</v>
      </c>
      <c r="P491" s="29" t="inlineStr">
        <is>
          <t>B.Sc</t>
        </is>
      </c>
      <c r="Q491" s="29" t="inlineStr">
        <is>
          <t>L2 – Trainee</t>
        </is>
      </c>
      <c r="R491" s="29" t="inlineStr">
        <is>
          <t>A2</t>
        </is>
      </c>
      <c r="S491" s="30" t="inlineStr">
        <is>
          <t>20 of 20</t>
        </is>
      </c>
      <c r="T491" s="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t>
        </is>
      </c>
      <c r="U491" s="31" t="inlineStr">
        <is>
          <t>Received · manager annual · 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
        </is>
      </c>
      <c r="V491" s="31" t="inlineStr">
        <is>
          <t>Latest rating: Not rated · manager · 9-box: Reliable Specialist · Readiness: No rating data</t>
        </is>
      </c>
      <c r="W491" s="31" t="inlineStr">
        <is>
          <t>C M · Au M · Ac M · L L · BI M · Exp M · 1.2 yrs vs 0–2 yrs · Edu M · B.Sc</t>
        </is>
      </c>
      <c r="X491" s="33" t="inlineStr">
        <is>
          <t>Open ▸</t>
        </is>
      </c>
      <c r="Y491" s="34" t="str">
        <f>IFERROR(INDEX(DL_C,MATCH($CA491,DL_KEY,0)),"M")</f>
        <v>H</v>
      </c>
      <c r="Z491" s="35" t="str">
        <f>IFERROR(INDEX(DL_Au,MATCH($CA491,DL_KEY,0)),"M")</f>
        <v>M</v>
      </c>
      <c r="AA491" s="35" t="str">
        <f>IFERROR(INDEX(DL_Ac,MATCH($CA491,DL_KEY,0)),"M")</f>
        <v>L</v>
      </c>
      <c r="AB491" s="35" t="str">
        <f>IFERROR(INDEX(DL_L,MATCH($CA491,DL_KEY,0)),"M")</f>
        <v>L</v>
      </c>
      <c r="AC491" s="35" t="str">
        <f>IFERROR(INDEX(DL_BI,MATCH($CA491,DL_KEY,0)),"M")</f>
        <v>L</v>
      </c>
      <c r="AD491" s="35" t="str">
        <f>IFERROR(INDEX(DL_Exp,MATCH($CA491,DL_KEY,0)),"M")</f>
        <v>L</v>
      </c>
      <c r="AE491" s="35" t="str">
        <f>IFERROR(INDEX(DL_Edu,MATCH($CA491,DL_KEY,0)),"M")</f>
        <v>L</v>
      </c>
      <c r="AF491" s="34" t="inlineStr">
        <is>
          <t>M</t>
        </is>
      </c>
      <c r="AG491" s="35" t="inlineStr">
        <is>
          <t>M</t>
        </is>
      </c>
      <c r="AH491" s="35" t="inlineStr">
        <is>
          <t>M</t>
        </is>
      </c>
      <c r="AI491" s="35" t="inlineStr">
        <is>
          <t>M</t>
        </is>
      </c>
      <c r="AJ491" s="35" t="inlineStr">
        <is>
          <t>M</t>
        </is>
      </c>
      <c r="AK491" s="35" t="inlineStr">
        <is>
          <t>M</t>
        </is>
      </c>
      <c r="AL491" s="35" t="inlineStr">
        <is>
          <t>M</t>
        </is>
      </c>
      <c r="AM491" s="36" t="n">
        <v>0.583</v>
      </c>
      <c r="AN491" s="37" t="n">
        <v>0.16</v>
      </c>
      <c r="AO491" s="37" t="n">
        <v>0.09</v>
      </c>
      <c r="AP491" s="37" t="n">
        <v>0</v>
      </c>
      <c r="AQ491" s="37" t="n">
        <v>0.063</v>
      </c>
      <c r="AR491" s="37" t="n">
        <v>0.06</v>
      </c>
      <c r="AS491" s="37" t="n">
        <v>0.04</v>
      </c>
      <c r="AT491" s="38" t="inlineStr">
        <is>
          <t>0–3</t>
        </is>
      </c>
      <c r="AU491" s="38" t="inlineStr">
        <is>
          <t>Graduate · or diploma with experience</t>
        </is>
      </c>
      <c r="AV491" s="38" t="inlineStr">
        <is>
          <t>No direct reports</t>
        </is>
      </c>
      <c r="AW491" s="38" t="inlineStr">
        <is>
          <t>P1–P2 · SFIA 2 Assist</t>
        </is>
      </c>
      <c r="AX4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1" s="39" t="inlineStr">
        <is>
          <t>A2</t>
        </is>
      </c>
      <c r="AZ491" s="40" t="inlineStr">
        <is>
          <t>Band A · Practitioner · Associate</t>
        </is>
      </c>
      <c r="BA491" s="40" t="inlineStr">
        <is>
          <t>Model A2 from the six ratings, the market-derived weights and rules R1–R13 · then No change · already below the manager</t>
        </is>
      </c>
      <c r="BB491" s="41" t="inlineStr">
        <is>
          <t>A2</t>
        </is>
      </c>
      <c r="BC491" s="40" t="inlineStr">
        <is>
          <t>The six ratings on the market-average weights of Band A · all tracks score 1.92 → A2 · Hay, Mercer IPE and public plans · experience 1.2 yrs vs the A2 market range 0–3</t>
        </is>
      </c>
      <c r="BD491" s="42">
        <f>IF(SUM(BM491,BN491,BO491,BP491,BQ491,BR491,BS491)=0,0,(BM491*BT491+BN491*BU491+BO491*BV491+BP491*BW491+BQ491*BX491+BR491*BY491+BS491*BZ491)/SUM(BM491,BN491,BO491,BP491,BQ491,BR491,BS491))</f>
        <v>0</v>
      </c>
      <c r="BE491" s="41" t="str">
        <f>IF(LEFT(AY491,1)="X",AY491,IF(OR(AY491="B+",AY491="C+"),INDEX(LAD_PC,MAX(1,MIN(14,MATCH(AY491,LAD_PC,0)+IF(BD491&gt;=0.5,1,IF(BD491&lt;=-0.5,-1,0))))),INDEX(LAD_STD,MAX(1,MIN(12,MATCH(AY491,LAD_STD,0)+IF(BD491&gt;=0.5,1,IF(BD491&lt;=-0.5,-1,0)))))))</f>
        <v>A2</v>
      </c>
      <c r="BF491" s="43" t="n"/>
      <c r="BG491" s="41" t="str">
        <f>IF(BF491&lt;&gt;"",BF491,BE491)</f>
        <v>A2</v>
      </c>
      <c r="BH491" s="40" t="str">
        <f>IFERROR(CHOOSE(INDEX(B_RANK,MATCH(BG491,B_LVL,0)),"Band A","Band B","B+ · Player-Coach","Band C","C+ · Player-Coach","Band D","Band E"),"Band X · Consultant")</f>
        <v>Band A</v>
      </c>
      <c r="BI491" s="40" t="str">
        <f>IF(BG491=AY491,"• Same",IF(INDEX(B_VAL,MATCH(BG491,B_LVL,0))&gt;INDEX(B_VAL,MATCH(AY491,B_LVL,0)),"▲ Up","▼ Down"))</f>
        <v>• Same</v>
      </c>
      <c r="BJ491" s="40" t="str">
        <f>IF(OR($M491="",$M491="—",$M491="Not in this file"),"",IFERROR(INDEX($BG$7:$BG$592,MATCH($M491,$D$7:$D$592,0)),""))</f>
        <v>A3</v>
      </c>
      <c r="BK491" s="40" t="str">
        <f>IFERROR(IF(BJ491="","—",IF(OR(LEFT(BG491,1)="X",LEFT(BJ491,1)="X"),"—",IF(AND(LEFT(BG491,1)="E",LEFT(BJ491,1)="E"),"Exception · Band E",IF(AND(INDEX(B_VAL,MATCH(BJ491,B_LVL,0))&gt;=7,INDEX(B_RANK,MATCH(BG491,B_LVL,0))&gt;=INDEX(B_RANK,MATCH(BJ491,B_LVL,0))),"⚠ Same band as a head manager",IF(INDEX(B_VAL,MATCH(BG491,B_LVL,0))&gt;=INDEX(B_VAL,MATCH(BJ491,B_LVL,0)),"⚠ At or above the manager's level","OK"))))),"—")</f>
        <v>OK</v>
      </c>
      <c r="BL491" s="43" t="n"/>
      <c r="BM491" s="44">
        <f>IFERROR(INDEX(LMH_PTS,MATCH(Y491,LMH_KEY,0)),0)</f>
        <v>9</v>
      </c>
      <c r="BN491" s="38">
        <f>IFERROR(INDEX(LMH_PTS,MATCH(Z491,LMH_KEY,0)),0)</f>
        <v>3</v>
      </c>
      <c r="BO491" s="38">
        <f>IFERROR(INDEX(LMH_PTS,MATCH(AA491,LMH_KEY,0)),0)</f>
        <v>1</v>
      </c>
      <c r="BP491" s="38">
        <f>IFERROR(INDEX(LMH_PTS,MATCH(AB491,LMH_KEY,0)),0)</f>
        <v>1</v>
      </c>
      <c r="BQ491" s="38">
        <f>IFERROR(INDEX(LMH_PTS,MATCH(AC491,LMH_KEY,0)),0)</f>
        <v>1</v>
      </c>
      <c r="BR491" s="38">
        <f>IFERROR(INDEX(LMH_PTS,MATCH(AD491,LMH_KEY,0)),0)</f>
        <v>1</v>
      </c>
      <c r="BS491" s="38">
        <f>IFERROR(INDEX(LMH_PTS,MATCH(AE491,LMH_KEY,0)),0)</f>
        <v>1</v>
      </c>
      <c r="BT491" s="38">
        <f>IFERROR(INDEX(LMH_STEP,MATCH(AF491,LMH_KEY,0)),0)</f>
        <v>0</v>
      </c>
      <c r="BU491" s="38">
        <f>IFERROR(INDEX(LMH_STEP,MATCH(AG491,LMH_KEY,0)),0)</f>
        <v>0</v>
      </c>
      <c r="BV491" s="38">
        <f>IFERROR(INDEX(LMH_STEP,MATCH(AH491,LMH_KEY,0)),0)</f>
        <v>0</v>
      </c>
      <c r="BW491" s="38">
        <f>IFERROR(INDEX(LMH_STEP,MATCH(AI491,LMH_KEY,0)),0)</f>
        <v>0</v>
      </c>
      <c r="BX491" s="38">
        <f>IFERROR(INDEX(LMH_STEP,MATCH(AJ491,LMH_KEY,0)),0)</f>
        <v>0</v>
      </c>
      <c r="BY491" s="38">
        <f>IFERROR(INDEX(LMH_STEP,MATCH(AK491,LMH_KEY,0)),0)</f>
        <v>0</v>
      </c>
      <c r="BZ491" s="38">
        <f>IFERROR(INDEX(LMH_STEP,MATCH(AL491,LMH_KEY,0)),0)</f>
        <v>0</v>
      </c>
      <c r="CA491" s="38" t="inlineStr">
        <is>
          <t>CARBON|Technology|UI Developer|A2|A</t>
        </is>
      </c>
    </row>
    <row r="492" ht="110" customHeight="1">
      <c r="A492" s="28" t="inlineStr">
        <is>
          <t>CARBON</t>
        </is>
      </c>
      <c r="B492" s="29" t="inlineStr">
        <is>
          <t>Technology</t>
        </is>
      </c>
      <c r="C492" s="29" t="n">
        <v>3</v>
      </c>
      <c r="D492" s="29" t="inlineStr">
        <is>
          <t>IRIS2109</t>
        </is>
      </c>
      <c r="E492" s="29" t="inlineStr">
        <is>
          <t>Jayshiv Patel</t>
        </is>
      </c>
      <c r="F492" s="29" t="inlineStr">
        <is>
          <t>Software Engineer</t>
        </is>
      </c>
      <c r="G492" s="29" t="inlineStr">
        <is>
          <t>Senior Software Engineer</t>
        </is>
      </c>
      <c r="H492" s="29" t="inlineStr">
        <is>
          <t>Engineering &amp; Development</t>
        </is>
      </c>
      <c r="I492" s="29" t="inlineStr">
        <is>
          <t>Full-Stack Development</t>
        </is>
      </c>
      <c r="J492" s="29" t="inlineStr">
        <is>
          <t>IC</t>
        </is>
      </c>
      <c r="K492" s="29" t="inlineStr">
        <is>
          <t>RC-085</t>
        </is>
      </c>
      <c r="L492" s="29" t="inlineStr">
        <is>
          <t>Chetan Kotwal</t>
        </is>
      </c>
      <c r="M492" s="29" t="inlineStr">
        <is>
          <t>IRIS1832</t>
        </is>
      </c>
      <c r="N492" s="29" t="n">
        <v>3.5</v>
      </c>
      <c r="O492" s="29" t="n">
        <v>3.5</v>
      </c>
      <c r="P492" s="29" t="inlineStr">
        <is>
          <t>Msc</t>
        </is>
      </c>
      <c r="Q492" s="29" t="inlineStr">
        <is>
          <t>L3 – Professional / Associate</t>
        </is>
      </c>
      <c r="R492" s="29" t="inlineStr">
        <is>
          <t>A3</t>
        </is>
      </c>
      <c r="S492" s="30" t="inlineStr">
        <is>
          <t>20 of 20</t>
        </is>
      </c>
      <c r="T492" s="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t>
        </is>
      </c>
      <c r="U492" s="31" t="inlineStr">
        <is>
          <t>Received · manager annual · 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t>
        </is>
      </c>
      <c r="V492" s="31" t="inlineStr">
        <is>
          <t>Latest rating: Not rated · manager · 9-box: Not placed · manager · Readiness: No rating data</t>
        </is>
      </c>
      <c r="W492" s="31" t="inlineStr">
        <is>
          <t>C L · Au L · Ac M · L M · BI M · Exp L · 3.5 yrs vs 4–7 yrs · Edu H · Msc</t>
        </is>
      </c>
      <c r="X492" s="33" t="inlineStr">
        <is>
          <t>Open ▸</t>
        </is>
      </c>
      <c r="Y492" s="34" t="str">
        <f>IFERROR(INDEX(DL_C,MATCH($CA492,DL_KEY,0)),"M")</f>
        <v>H</v>
      </c>
      <c r="Z492" s="35" t="str">
        <f>IFERROR(INDEX(DL_Au,MATCH($CA492,DL_KEY,0)),"M")</f>
        <v>M</v>
      </c>
      <c r="AA492" s="35" t="str">
        <f>IFERROR(INDEX(DL_Ac,MATCH($CA492,DL_KEY,0)),"M")</f>
        <v>L</v>
      </c>
      <c r="AB492" s="35" t="str">
        <f>IFERROR(INDEX(DL_L,MATCH($CA492,DL_KEY,0)),"M")</f>
        <v>L</v>
      </c>
      <c r="AC492" s="35" t="str">
        <f>IFERROR(INDEX(DL_BI,MATCH($CA492,DL_KEY,0)),"M")</f>
        <v>L</v>
      </c>
      <c r="AD492" s="35" t="str">
        <f>IFERROR(INDEX(DL_Exp,MATCH($CA492,DL_KEY,0)),"M")</f>
        <v>L</v>
      </c>
      <c r="AE492" s="35" t="str">
        <f>IFERROR(INDEX(DL_Edu,MATCH($CA492,DL_KEY,0)),"M")</f>
        <v>L</v>
      </c>
      <c r="AF492" s="34" t="inlineStr">
        <is>
          <t>M</t>
        </is>
      </c>
      <c r="AG492" s="35" t="inlineStr">
        <is>
          <t>M</t>
        </is>
      </c>
      <c r="AH492" s="35" t="inlineStr">
        <is>
          <t>M</t>
        </is>
      </c>
      <c r="AI492" s="35" t="inlineStr">
        <is>
          <t>M</t>
        </is>
      </c>
      <c r="AJ492" s="35" t="inlineStr">
        <is>
          <t>M</t>
        </is>
      </c>
      <c r="AK492" s="35" t="inlineStr">
        <is>
          <t>M</t>
        </is>
      </c>
      <c r="AL492" s="35" t="inlineStr">
        <is>
          <t>M</t>
        </is>
      </c>
      <c r="AM492" s="36" t="n">
        <v>0.513</v>
      </c>
      <c r="AN492" s="37" t="n">
        <v>0.173</v>
      </c>
      <c r="AO492" s="37" t="n">
        <v>0.09699999999999999</v>
      </c>
      <c r="AP492" s="37" t="n">
        <v>0.05</v>
      </c>
      <c r="AQ492" s="37" t="n">
        <v>0.07000000000000001</v>
      </c>
      <c r="AR492" s="37" t="n">
        <v>0.06</v>
      </c>
      <c r="AS492" s="37" t="n">
        <v>0.04</v>
      </c>
      <c r="AT492" s="38" t="inlineStr">
        <is>
          <t>4–8</t>
        </is>
      </c>
      <c r="AU492" s="38" t="inlineStr">
        <is>
          <t>Graduate + relevant qualification or certification preferred</t>
        </is>
      </c>
      <c r="AV492" s="38" t="inlineStr">
        <is>
          <t>IC: none · Team Lead: 3–5</t>
        </is>
      </c>
      <c r="AW492" s="38" t="inlineStr">
        <is>
          <t>P3 / M2 · SFIA 4 Enable</t>
        </is>
      </c>
      <c r="AX4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2" s="39" t="inlineStr">
        <is>
          <t>B1</t>
        </is>
      </c>
      <c r="AZ492" s="40" t="inlineStr">
        <is>
          <t>Band B · Specialist / Manager · Specialist</t>
        </is>
      </c>
      <c r="BA492" s="40" t="inlineStr">
        <is>
          <t>Model A3 from the six ratings, the market-derived weights and rules R1–R13 · then Leads people at or above their own level · A3 → B1 Team Lead</t>
        </is>
      </c>
      <c r="BB492" s="41" t="inlineStr">
        <is>
          <t>A3</t>
        </is>
      </c>
      <c r="BC492" s="40" t="inlineStr">
        <is>
          <t>The six ratings on the market-average weights of Band B · Specialist / POD Lead score 2.82 → A3 · Hay, Mercer IPE and public plans · experience 3.5 yrs vs the A3 market range 2–5</t>
        </is>
      </c>
      <c r="BD492" s="42">
        <f>IF(SUM(BM492,BN492,BO492,BP492,BQ492,BR492,BS492)=0,0,(BM492*BT492+BN492*BU492+BO492*BV492+BP492*BW492+BQ492*BX492+BR492*BY492+BS492*BZ492)/SUM(BM492,BN492,BO492,BP492,BQ492,BR492,BS492))</f>
        <v>0</v>
      </c>
      <c r="BE492" s="41" t="str">
        <f>IF(LEFT(AY492,1)="X",AY492,IF(OR(AY492="B+",AY492="C+"),INDEX(LAD_PC,MAX(1,MIN(14,MATCH(AY492,LAD_PC,0)+IF(BD492&gt;=0.5,1,IF(BD492&lt;=-0.5,-1,0))))),INDEX(LAD_STD,MAX(1,MIN(12,MATCH(AY492,LAD_STD,0)+IF(BD492&gt;=0.5,1,IF(BD492&lt;=-0.5,-1,0)))))))</f>
        <v>B1</v>
      </c>
      <c r="BF492" s="43" t="n"/>
      <c r="BG492" s="41" t="str">
        <f>IF(BF492&lt;&gt;"",BF492,BE492)</f>
        <v>B1</v>
      </c>
      <c r="BH492" s="40" t="str">
        <f>IFERROR(CHOOSE(INDEX(B_RANK,MATCH(BG492,B_LVL,0)),"Band A","Band B","B+ · Player-Coach","Band C","C+ · Player-Coach","Band D","Band E"),"Band X · Consultant")</f>
        <v>Band B</v>
      </c>
      <c r="BI492" s="40" t="str">
        <f>IF(BG492=AY492,"• Same",IF(INDEX(B_VAL,MATCH(BG492,B_LVL,0))&gt;INDEX(B_VAL,MATCH(AY492,B_LVL,0)),"▲ Up","▼ Down"))</f>
        <v>• Same</v>
      </c>
      <c r="BJ492" s="40" t="str">
        <f>IF(OR($M492="",$M492="—",$M492="Not in this file"),"",IFERROR(INDEX($BG$7:$BG$592,MATCH($M492,$D$7:$D$592,0)),""))</f>
        <v>B3</v>
      </c>
      <c r="BK492" s="40" t="str">
        <f>IFERROR(IF(BJ492="","—",IF(OR(LEFT(BG492,1)="X",LEFT(BJ492,1)="X"),"—",IF(AND(LEFT(BG492,1)="E",LEFT(BJ492,1)="E"),"Exception · Band E",IF(AND(INDEX(B_VAL,MATCH(BJ492,B_LVL,0))&gt;=7,INDEX(B_RANK,MATCH(BG492,B_LVL,0))&gt;=INDEX(B_RANK,MATCH(BJ492,B_LVL,0))),"⚠ Same band as a head manager",IF(INDEX(B_VAL,MATCH(BG492,B_LVL,0))&gt;=INDEX(B_VAL,MATCH(BJ492,B_LVL,0)),"⚠ At or above the manager's level","OK"))))),"—")</f>
        <v>OK</v>
      </c>
      <c r="BL492" s="43" t="n"/>
      <c r="BM492" s="44">
        <f>IFERROR(INDEX(LMH_PTS,MATCH(Y492,LMH_KEY,0)),0)</f>
        <v>9</v>
      </c>
      <c r="BN492" s="38">
        <f>IFERROR(INDEX(LMH_PTS,MATCH(Z492,LMH_KEY,0)),0)</f>
        <v>3</v>
      </c>
      <c r="BO492" s="38">
        <f>IFERROR(INDEX(LMH_PTS,MATCH(AA492,LMH_KEY,0)),0)</f>
        <v>1</v>
      </c>
      <c r="BP492" s="38">
        <f>IFERROR(INDEX(LMH_PTS,MATCH(AB492,LMH_KEY,0)),0)</f>
        <v>1</v>
      </c>
      <c r="BQ492" s="38">
        <f>IFERROR(INDEX(LMH_PTS,MATCH(AC492,LMH_KEY,0)),0)</f>
        <v>1</v>
      </c>
      <c r="BR492" s="38">
        <f>IFERROR(INDEX(LMH_PTS,MATCH(AD492,LMH_KEY,0)),0)</f>
        <v>1</v>
      </c>
      <c r="BS492" s="38">
        <f>IFERROR(INDEX(LMH_PTS,MATCH(AE492,LMH_KEY,0)),0)</f>
        <v>1</v>
      </c>
      <c r="BT492" s="38">
        <f>IFERROR(INDEX(LMH_STEP,MATCH(AF492,LMH_KEY,0)),0)</f>
        <v>0</v>
      </c>
      <c r="BU492" s="38">
        <f>IFERROR(INDEX(LMH_STEP,MATCH(AG492,LMH_KEY,0)),0)</f>
        <v>0</v>
      </c>
      <c r="BV492" s="38">
        <f>IFERROR(INDEX(LMH_STEP,MATCH(AH492,LMH_KEY,0)),0)</f>
        <v>0</v>
      </c>
      <c r="BW492" s="38">
        <f>IFERROR(INDEX(LMH_STEP,MATCH(AI492,LMH_KEY,0)),0)</f>
        <v>0</v>
      </c>
      <c r="BX492" s="38">
        <f>IFERROR(INDEX(LMH_STEP,MATCH(AJ492,LMH_KEY,0)),0)</f>
        <v>0</v>
      </c>
      <c r="BY492" s="38">
        <f>IFERROR(INDEX(LMH_STEP,MATCH(AK492,LMH_KEY,0)),0)</f>
        <v>0</v>
      </c>
      <c r="BZ492" s="38">
        <f>IFERROR(INDEX(LMH_STEP,MATCH(AL492,LMH_KEY,0)),0)</f>
        <v>0</v>
      </c>
      <c r="CA492" s="38" t="inlineStr">
        <is>
          <t>CARBON|Technology|Senior Software Engineer|B1|B-IC</t>
        </is>
      </c>
    </row>
    <row r="493" ht="110" customHeight="1">
      <c r="A493" s="28" t="inlineStr">
        <is>
          <t>CARBON</t>
        </is>
      </c>
      <c r="B493" s="29" t="inlineStr">
        <is>
          <t>Support</t>
        </is>
      </c>
      <c r="C493" s="29" t="n">
        <v>4</v>
      </c>
      <c r="D493" s="29" t="inlineStr">
        <is>
          <t>IRIS2048</t>
        </is>
      </c>
      <c r="E493" s="29" t="inlineStr">
        <is>
          <t>Gajanan Vadekar</t>
        </is>
      </c>
      <c r="F493" s="29" t="inlineStr">
        <is>
          <t>Software Engineer</t>
        </is>
      </c>
      <c r="G493" s="29" t="inlineStr">
        <is>
          <t>Senior Software Engineer</t>
        </is>
      </c>
      <c r="H493" s="29" t="inlineStr">
        <is>
          <t>Engineering &amp; Development</t>
        </is>
      </c>
      <c r="I493" s="29" t="inlineStr">
        <is>
          <t>Application Maintenance &amp; Production Support</t>
        </is>
      </c>
      <c r="J493" s="29" t="inlineStr">
        <is>
          <t>IC</t>
        </is>
      </c>
      <c r="K493" s="29" t="inlineStr">
        <is>
          <t>RC-062</t>
        </is>
      </c>
      <c r="L493" s="29" t="inlineStr">
        <is>
          <t>Jayshiv Patel</t>
        </is>
      </c>
      <c r="M493" s="29" t="inlineStr">
        <is>
          <t>IRIS2109</t>
        </is>
      </c>
      <c r="N493" s="29" t="n">
        <v>4.1</v>
      </c>
      <c r="O493" s="29" t="n">
        <v>4.1</v>
      </c>
      <c r="P493" s="29" t="inlineStr">
        <is>
          <t>B.Tech</t>
        </is>
      </c>
      <c r="Q493" s="29" t="inlineStr">
        <is>
          <t>L3 – Professional / Associate</t>
        </is>
      </c>
      <c r="R493" s="29" t="inlineStr">
        <is>
          <t>A3</t>
        </is>
      </c>
      <c r="S493" s="30" t="inlineStr">
        <is>
          <t>20 of 20</t>
        </is>
      </c>
      <c r="T493" s="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t>
        </is>
      </c>
      <c r="U493" s="31" t="inlineStr">
        <is>
          <t>Received · manager annual · 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t>
        </is>
      </c>
      <c r="V493" s="31" t="inlineStr">
        <is>
          <t>Latest rating: Not rated · manager · 9-box: Trusted Professional · Readiness: No rating data</t>
        </is>
      </c>
      <c r="W493" s="31" t="inlineStr">
        <is>
          <t>C L · Au L · Ac M · L L · BI M · Exp H · 4.1 yrs vs 2–4 yrs · Edu M · B.Tech</t>
        </is>
      </c>
      <c r="X493" s="33" t="inlineStr">
        <is>
          <t>Open ▸</t>
        </is>
      </c>
      <c r="Y493" s="34" t="str">
        <f>IFERROR(INDEX(DL_C,MATCH($CA493,DL_KEY,0)),"M")</f>
        <v>H</v>
      </c>
      <c r="Z493" s="35" t="str">
        <f>IFERROR(INDEX(DL_Au,MATCH($CA493,DL_KEY,0)),"M")</f>
        <v>M</v>
      </c>
      <c r="AA493" s="35" t="str">
        <f>IFERROR(INDEX(DL_Ac,MATCH($CA493,DL_KEY,0)),"M")</f>
        <v>L</v>
      </c>
      <c r="AB493" s="35" t="str">
        <f>IFERROR(INDEX(DL_L,MATCH($CA493,DL_KEY,0)),"M")</f>
        <v>L</v>
      </c>
      <c r="AC493" s="35" t="str">
        <f>IFERROR(INDEX(DL_BI,MATCH($CA493,DL_KEY,0)),"M")</f>
        <v>L</v>
      </c>
      <c r="AD493" s="35" t="str">
        <f>IFERROR(INDEX(DL_Exp,MATCH($CA493,DL_KEY,0)),"M")</f>
        <v>L</v>
      </c>
      <c r="AE493" s="35" t="str">
        <f>IFERROR(INDEX(DL_Edu,MATCH($CA493,DL_KEY,0)),"M")</f>
        <v>L</v>
      </c>
      <c r="AF493" s="34" t="inlineStr">
        <is>
          <t>M</t>
        </is>
      </c>
      <c r="AG493" s="35" t="inlineStr">
        <is>
          <t>M</t>
        </is>
      </c>
      <c r="AH493" s="35" t="inlineStr">
        <is>
          <t>M</t>
        </is>
      </c>
      <c r="AI493" s="35" t="inlineStr">
        <is>
          <t>M</t>
        </is>
      </c>
      <c r="AJ493" s="35" t="inlineStr">
        <is>
          <t>M</t>
        </is>
      </c>
      <c r="AK493" s="35" t="inlineStr">
        <is>
          <t>M</t>
        </is>
      </c>
      <c r="AL493" s="35" t="inlineStr">
        <is>
          <t>M</t>
        </is>
      </c>
      <c r="AM493" s="36" t="n">
        <v>0.583</v>
      </c>
      <c r="AN493" s="37" t="n">
        <v>0.16</v>
      </c>
      <c r="AO493" s="37" t="n">
        <v>0.09</v>
      </c>
      <c r="AP493" s="37" t="n">
        <v>0</v>
      </c>
      <c r="AQ493" s="37" t="n">
        <v>0.063</v>
      </c>
      <c r="AR493" s="37" t="n">
        <v>0.06</v>
      </c>
      <c r="AS493" s="37" t="n">
        <v>0.04</v>
      </c>
      <c r="AT493" s="38" t="inlineStr">
        <is>
          <t>2–5</t>
        </is>
      </c>
      <c r="AU493" s="38" t="inlineStr">
        <is>
          <t>Graduate; relevant certification preferred</t>
        </is>
      </c>
      <c r="AV493" s="38" t="inlineStr">
        <is>
          <t>None · guides 1–3 juniors informally</t>
        </is>
      </c>
      <c r="AW493" s="38" t="inlineStr">
        <is>
          <t>P2 · SFIA 3 Apply</t>
        </is>
      </c>
      <c r="AX4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3" s="39" t="inlineStr">
        <is>
          <t>A3</t>
        </is>
      </c>
      <c r="AZ493" s="40" t="inlineStr">
        <is>
          <t>Band A · Practitioner · Senior Associate</t>
        </is>
      </c>
      <c r="BA493" s="40" t="inlineStr">
        <is>
          <t>Model A3 from the six ratings, the market-derived weights and rules R1–R13 · then No change · already below the manager</t>
        </is>
      </c>
      <c r="BB493" s="41" t="inlineStr">
        <is>
          <t>A2</t>
        </is>
      </c>
      <c r="BC493" s="40" t="inlineStr">
        <is>
          <t>The six ratings on the market-average weights of Band A · all tracks score 2.23 → A2 · Hay, Mercer IPE and public plans · experience 4.1 yrs vs the A2 market range 0–3</t>
        </is>
      </c>
      <c r="BD493" s="42">
        <f>IF(SUM(BM493,BN493,BO493,BP493,BQ493,BR493,BS493)=0,0,(BM493*BT493+BN493*BU493+BO493*BV493+BP493*BW493+BQ493*BX493+BR493*BY493+BS493*BZ493)/SUM(BM493,BN493,BO493,BP493,BQ493,BR493,BS493))</f>
        <v>0</v>
      </c>
      <c r="BE493" s="41" t="str">
        <f>IF(LEFT(AY493,1)="X",AY493,IF(OR(AY493="B+",AY493="C+"),INDEX(LAD_PC,MAX(1,MIN(14,MATCH(AY493,LAD_PC,0)+IF(BD493&gt;=0.5,1,IF(BD493&lt;=-0.5,-1,0))))),INDEX(LAD_STD,MAX(1,MIN(12,MATCH(AY493,LAD_STD,0)+IF(BD493&gt;=0.5,1,IF(BD493&lt;=-0.5,-1,0)))))))</f>
        <v>A3</v>
      </c>
      <c r="BF493" s="43" t="n"/>
      <c r="BG493" s="41" t="str">
        <f>IF(BF493&lt;&gt;"",BF493,BE493)</f>
        <v>A3</v>
      </c>
      <c r="BH493" s="40" t="str">
        <f>IFERROR(CHOOSE(INDEX(B_RANK,MATCH(BG493,B_LVL,0)),"Band A","Band B","B+ · Player-Coach","Band C","C+ · Player-Coach","Band D","Band E"),"Band X · Consultant")</f>
        <v>Band A</v>
      </c>
      <c r="BI493" s="40" t="str">
        <f>IF(BG493=AY493,"• Same",IF(INDEX(B_VAL,MATCH(BG493,B_LVL,0))&gt;INDEX(B_VAL,MATCH(AY493,B_LVL,0)),"▲ Up","▼ Down"))</f>
        <v>• Same</v>
      </c>
      <c r="BJ493" s="40" t="str">
        <f>IF(OR($M493="",$M493="—",$M493="Not in this file"),"",IFERROR(INDEX($BG$7:$BG$592,MATCH($M493,$D$7:$D$592,0)),""))</f>
        <v>B1</v>
      </c>
      <c r="BK493" s="40" t="str">
        <f>IFERROR(IF(BJ493="","—",IF(OR(LEFT(BG493,1)="X",LEFT(BJ493,1)="X"),"—",IF(AND(LEFT(BG493,1)="E",LEFT(BJ493,1)="E"),"Exception · Band E",IF(AND(INDEX(B_VAL,MATCH(BJ493,B_LVL,0))&gt;=7,INDEX(B_RANK,MATCH(BG493,B_LVL,0))&gt;=INDEX(B_RANK,MATCH(BJ493,B_LVL,0))),"⚠ Same band as a head manager",IF(INDEX(B_VAL,MATCH(BG493,B_LVL,0))&gt;=INDEX(B_VAL,MATCH(BJ493,B_LVL,0)),"⚠ At or above the manager's level","OK"))))),"—")</f>
        <v>OK</v>
      </c>
      <c r="BL493" s="43" t="n"/>
      <c r="BM493" s="44">
        <f>IFERROR(INDEX(LMH_PTS,MATCH(Y493,LMH_KEY,0)),0)</f>
        <v>9</v>
      </c>
      <c r="BN493" s="38">
        <f>IFERROR(INDEX(LMH_PTS,MATCH(Z493,LMH_KEY,0)),0)</f>
        <v>3</v>
      </c>
      <c r="BO493" s="38">
        <f>IFERROR(INDEX(LMH_PTS,MATCH(AA493,LMH_KEY,0)),0)</f>
        <v>1</v>
      </c>
      <c r="BP493" s="38">
        <f>IFERROR(INDEX(LMH_PTS,MATCH(AB493,LMH_KEY,0)),0)</f>
        <v>1</v>
      </c>
      <c r="BQ493" s="38">
        <f>IFERROR(INDEX(LMH_PTS,MATCH(AC493,LMH_KEY,0)),0)</f>
        <v>1</v>
      </c>
      <c r="BR493" s="38">
        <f>IFERROR(INDEX(LMH_PTS,MATCH(AD493,LMH_KEY,0)),0)</f>
        <v>1</v>
      </c>
      <c r="BS493" s="38">
        <f>IFERROR(INDEX(LMH_PTS,MATCH(AE493,LMH_KEY,0)),0)</f>
        <v>1</v>
      </c>
      <c r="BT493" s="38">
        <f>IFERROR(INDEX(LMH_STEP,MATCH(AF493,LMH_KEY,0)),0)</f>
        <v>0</v>
      </c>
      <c r="BU493" s="38">
        <f>IFERROR(INDEX(LMH_STEP,MATCH(AG493,LMH_KEY,0)),0)</f>
        <v>0</v>
      </c>
      <c r="BV493" s="38">
        <f>IFERROR(INDEX(LMH_STEP,MATCH(AH493,LMH_KEY,0)),0)</f>
        <v>0</v>
      </c>
      <c r="BW493" s="38">
        <f>IFERROR(INDEX(LMH_STEP,MATCH(AI493,LMH_KEY,0)),0)</f>
        <v>0</v>
      </c>
      <c r="BX493" s="38">
        <f>IFERROR(INDEX(LMH_STEP,MATCH(AJ493,LMH_KEY,0)),0)</f>
        <v>0</v>
      </c>
      <c r="BY493" s="38">
        <f>IFERROR(INDEX(LMH_STEP,MATCH(AK493,LMH_KEY,0)),0)</f>
        <v>0</v>
      </c>
      <c r="BZ493" s="38">
        <f>IFERROR(INDEX(LMH_STEP,MATCH(AL493,LMH_KEY,0)),0)</f>
        <v>0</v>
      </c>
      <c r="CA493" s="38" t="inlineStr">
        <is>
          <t>CARBON|Support|Senior Software Engineer|A3|A</t>
        </is>
      </c>
    </row>
    <row r="494" ht="110" customHeight="1">
      <c r="A494" s="28" t="inlineStr">
        <is>
          <t>CARBON</t>
        </is>
      </c>
      <c r="B494" s="29" t="inlineStr">
        <is>
          <t>Technology</t>
        </is>
      </c>
      <c r="C494" s="29" t="n">
        <v>4</v>
      </c>
      <c r="D494" s="29" t="inlineStr">
        <is>
          <t>IRIS2171</t>
        </is>
      </c>
      <c r="E494" s="29" t="inlineStr">
        <is>
          <t>Kush Govani</t>
        </is>
      </c>
      <c r="F494" s="29" t="inlineStr">
        <is>
          <t>Software Engineer</t>
        </is>
      </c>
      <c r="G494" s="29" t="inlineStr">
        <is>
          <t>Senior UI Developer</t>
        </is>
      </c>
      <c r="H494" s="29" t="inlineStr">
        <is>
          <t>Engineering &amp; Development</t>
        </is>
      </c>
      <c r="I494" s="29" t="inlineStr">
        <is>
          <t>Front-End / UI Development</t>
        </is>
      </c>
      <c r="J494" s="29" t="inlineStr">
        <is>
          <t>IC</t>
        </is>
      </c>
      <c r="K494" s="29" t="inlineStr">
        <is>
          <t>RC-081</t>
        </is>
      </c>
      <c r="L494" s="29" t="inlineStr">
        <is>
          <t>Jayshiv Patel</t>
        </is>
      </c>
      <c r="M494" s="29" t="inlineStr">
        <is>
          <t>IRIS2109</t>
        </is>
      </c>
      <c r="N494" s="29" t="n">
        <v>3.1</v>
      </c>
      <c r="O494" s="29" t="n">
        <v>3.1</v>
      </c>
      <c r="P494" s="29" t="inlineStr">
        <is>
          <t>B.Com</t>
        </is>
      </c>
      <c r="Q494" s="29" t="inlineStr">
        <is>
          <t>L3 – Professional / Associate</t>
        </is>
      </c>
      <c r="R494" s="29" t="inlineStr">
        <is>
          <t>A3</t>
        </is>
      </c>
      <c r="S494" s="30" t="inlineStr">
        <is>
          <t>20 of 20</t>
        </is>
      </c>
      <c r="T494" s="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t>
        </is>
      </c>
      <c r="U494" s="31" t="inlineStr">
        <is>
          <t>Received · manager annual · 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t>
        </is>
      </c>
      <c r="V494" s="31" t="inlineStr">
        <is>
          <t>Latest rating: Not rated · manager · 9-box: Trusted Professional · Readiness: No rating data</t>
        </is>
      </c>
      <c r="W494" s="31" t="inlineStr">
        <is>
          <t>C L · Au L · Ac L · L L · BI L · Exp M · 3.1 yrs vs 2–4 yrs · Edu M · B.Com</t>
        </is>
      </c>
      <c r="X494" s="33" t="inlineStr">
        <is>
          <t>Open ▸</t>
        </is>
      </c>
      <c r="Y494" s="34" t="str">
        <f>IFERROR(INDEX(DL_C,MATCH($CA494,DL_KEY,0)),"M")</f>
        <v>H</v>
      </c>
      <c r="Z494" s="35" t="str">
        <f>IFERROR(INDEX(DL_Au,MATCH($CA494,DL_KEY,0)),"M")</f>
        <v>M</v>
      </c>
      <c r="AA494" s="35" t="str">
        <f>IFERROR(INDEX(DL_Ac,MATCH($CA494,DL_KEY,0)),"M")</f>
        <v>L</v>
      </c>
      <c r="AB494" s="35" t="str">
        <f>IFERROR(INDEX(DL_L,MATCH($CA494,DL_KEY,0)),"M")</f>
        <v>L</v>
      </c>
      <c r="AC494" s="35" t="str">
        <f>IFERROR(INDEX(DL_BI,MATCH($CA494,DL_KEY,0)),"M")</f>
        <v>L</v>
      </c>
      <c r="AD494" s="35" t="str">
        <f>IFERROR(INDEX(DL_Exp,MATCH($CA494,DL_KEY,0)),"M")</f>
        <v>L</v>
      </c>
      <c r="AE494" s="35" t="str">
        <f>IFERROR(INDEX(DL_Edu,MATCH($CA494,DL_KEY,0)),"M")</f>
        <v>L</v>
      </c>
      <c r="AF494" s="34" t="inlineStr">
        <is>
          <t>M</t>
        </is>
      </c>
      <c r="AG494" s="35" t="inlineStr">
        <is>
          <t>M</t>
        </is>
      </c>
      <c r="AH494" s="35" t="inlineStr">
        <is>
          <t>M</t>
        </is>
      </c>
      <c r="AI494" s="35" t="inlineStr">
        <is>
          <t>M</t>
        </is>
      </c>
      <c r="AJ494" s="35" t="inlineStr">
        <is>
          <t>M</t>
        </is>
      </c>
      <c r="AK494" s="35" t="inlineStr">
        <is>
          <t>M</t>
        </is>
      </c>
      <c r="AL494" s="35" t="inlineStr">
        <is>
          <t>M</t>
        </is>
      </c>
      <c r="AM494" s="36" t="n">
        <v>0.583</v>
      </c>
      <c r="AN494" s="37" t="n">
        <v>0.16</v>
      </c>
      <c r="AO494" s="37" t="n">
        <v>0.09</v>
      </c>
      <c r="AP494" s="37" t="n">
        <v>0</v>
      </c>
      <c r="AQ494" s="37" t="n">
        <v>0.063</v>
      </c>
      <c r="AR494" s="37" t="n">
        <v>0.06</v>
      </c>
      <c r="AS494" s="37" t="n">
        <v>0.04</v>
      </c>
      <c r="AT494" s="38" t="inlineStr">
        <is>
          <t>2–5</t>
        </is>
      </c>
      <c r="AU494" s="38" t="inlineStr">
        <is>
          <t>Graduate; relevant certification preferred</t>
        </is>
      </c>
      <c r="AV494" s="38" t="inlineStr">
        <is>
          <t>None · guides 1–3 juniors informally</t>
        </is>
      </c>
      <c r="AW494" s="38" t="inlineStr">
        <is>
          <t>P2 · SFIA 3 Apply</t>
        </is>
      </c>
      <c r="AX4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4" s="39" t="inlineStr">
        <is>
          <t>A3</t>
        </is>
      </c>
      <c r="AZ494" s="40" t="inlineStr">
        <is>
          <t>Band A · Practitioner · Senior Associate</t>
        </is>
      </c>
      <c r="BA494" s="40" t="inlineStr">
        <is>
          <t>Model A3 from the six ratings, the market-derived weights and rules R1–R13 · then No change · already below the manager</t>
        </is>
      </c>
      <c r="BB494" s="41" t="inlineStr">
        <is>
          <t>A2</t>
        </is>
      </c>
      <c r="BC494" s="40" t="inlineStr">
        <is>
          <t>The six ratings on the market-average weights of Band A · all tracks score 2.10 → A2 · Hay, Mercer IPE and public plans · experience 3.1 yrs vs the A2 market range 0–3</t>
        </is>
      </c>
      <c r="BD494" s="42">
        <f>IF(SUM(BM494,BN494,BO494,BP494,BQ494,BR494,BS494)=0,0,(BM494*BT494+BN494*BU494+BO494*BV494+BP494*BW494+BQ494*BX494+BR494*BY494+BS494*BZ494)/SUM(BM494,BN494,BO494,BP494,BQ494,BR494,BS494))</f>
        <v>0</v>
      </c>
      <c r="BE494" s="41" t="str">
        <f>IF(LEFT(AY494,1)="X",AY494,IF(OR(AY494="B+",AY494="C+"),INDEX(LAD_PC,MAX(1,MIN(14,MATCH(AY494,LAD_PC,0)+IF(BD494&gt;=0.5,1,IF(BD494&lt;=-0.5,-1,0))))),INDEX(LAD_STD,MAX(1,MIN(12,MATCH(AY494,LAD_STD,0)+IF(BD494&gt;=0.5,1,IF(BD494&lt;=-0.5,-1,0)))))))</f>
        <v>A3</v>
      </c>
      <c r="BF494" s="43" t="n"/>
      <c r="BG494" s="41" t="str">
        <f>IF(BF494&lt;&gt;"",BF494,BE494)</f>
        <v>A3</v>
      </c>
      <c r="BH494" s="40" t="str">
        <f>IFERROR(CHOOSE(INDEX(B_RANK,MATCH(BG494,B_LVL,0)),"Band A","Band B","B+ · Player-Coach","Band C","C+ · Player-Coach","Band D","Band E"),"Band X · Consultant")</f>
        <v>Band A</v>
      </c>
      <c r="BI494" s="40" t="str">
        <f>IF(BG494=AY494,"• Same",IF(INDEX(B_VAL,MATCH(BG494,B_LVL,0))&gt;INDEX(B_VAL,MATCH(AY494,B_LVL,0)),"▲ Up","▼ Down"))</f>
        <v>• Same</v>
      </c>
      <c r="BJ494" s="40" t="str">
        <f>IF(OR($M494="",$M494="—",$M494="Not in this file"),"",IFERROR(INDEX($BG$7:$BG$592,MATCH($M494,$D$7:$D$592,0)),""))</f>
        <v>B1</v>
      </c>
      <c r="BK494" s="40" t="str">
        <f>IFERROR(IF(BJ494="","—",IF(OR(LEFT(BG494,1)="X",LEFT(BJ494,1)="X"),"—",IF(AND(LEFT(BG494,1)="E",LEFT(BJ494,1)="E"),"Exception · Band E",IF(AND(INDEX(B_VAL,MATCH(BJ494,B_LVL,0))&gt;=7,INDEX(B_RANK,MATCH(BG494,B_LVL,0))&gt;=INDEX(B_RANK,MATCH(BJ494,B_LVL,0))),"⚠ Same band as a head manager",IF(INDEX(B_VAL,MATCH(BG494,B_LVL,0))&gt;=INDEX(B_VAL,MATCH(BJ494,B_LVL,0)),"⚠ At or above the manager's level","OK"))))),"—")</f>
        <v>OK</v>
      </c>
      <c r="BL494" s="43" t="n"/>
      <c r="BM494" s="44">
        <f>IFERROR(INDEX(LMH_PTS,MATCH(Y494,LMH_KEY,0)),0)</f>
        <v>9</v>
      </c>
      <c r="BN494" s="38">
        <f>IFERROR(INDEX(LMH_PTS,MATCH(Z494,LMH_KEY,0)),0)</f>
        <v>3</v>
      </c>
      <c r="BO494" s="38">
        <f>IFERROR(INDEX(LMH_PTS,MATCH(AA494,LMH_KEY,0)),0)</f>
        <v>1</v>
      </c>
      <c r="BP494" s="38">
        <f>IFERROR(INDEX(LMH_PTS,MATCH(AB494,LMH_KEY,0)),0)</f>
        <v>1</v>
      </c>
      <c r="BQ494" s="38">
        <f>IFERROR(INDEX(LMH_PTS,MATCH(AC494,LMH_KEY,0)),0)</f>
        <v>1</v>
      </c>
      <c r="BR494" s="38">
        <f>IFERROR(INDEX(LMH_PTS,MATCH(AD494,LMH_KEY,0)),0)</f>
        <v>1</v>
      </c>
      <c r="BS494" s="38">
        <f>IFERROR(INDEX(LMH_PTS,MATCH(AE494,LMH_KEY,0)),0)</f>
        <v>1</v>
      </c>
      <c r="BT494" s="38">
        <f>IFERROR(INDEX(LMH_STEP,MATCH(AF494,LMH_KEY,0)),0)</f>
        <v>0</v>
      </c>
      <c r="BU494" s="38">
        <f>IFERROR(INDEX(LMH_STEP,MATCH(AG494,LMH_KEY,0)),0)</f>
        <v>0</v>
      </c>
      <c r="BV494" s="38">
        <f>IFERROR(INDEX(LMH_STEP,MATCH(AH494,LMH_KEY,0)),0)</f>
        <v>0</v>
      </c>
      <c r="BW494" s="38">
        <f>IFERROR(INDEX(LMH_STEP,MATCH(AI494,LMH_KEY,0)),0)</f>
        <v>0</v>
      </c>
      <c r="BX494" s="38">
        <f>IFERROR(INDEX(LMH_STEP,MATCH(AJ494,LMH_KEY,0)),0)</f>
        <v>0</v>
      </c>
      <c r="BY494" s="38">
        <f>IFERROR(INDEX(LMH_STEP,MATCH(AK494,LMH_KEY,0)),0)</f>
        <v>0</v>
      </c>
      <c r="BZ494" s="38">
        <f>IFERROR(INDEX(LMH_STEP,MATCH(AL494,LMH_KEY,0)),0)</f>
        <v>0</v>
      </c>
      <c r="CA494" s="38" t="inlineStr">
        <is>
          <t>CARBON|Technology|Senior UI Developer|A3|A</t>
        </is>
      </c>
    </row>
    <row r="495" ht="110" customHeight="1">
      <c r="A495" s="28" t="inlineStr">
        <is>
          <t>CARBON</t>
        </is>
      </c>
      <c r="B495" s="29" t="inlineStr">
        <is>
          <t>Technology</t>
        </is>
      </c>
      <c r="C495" s="29" t="n">
        <v>3</v>
      </c>
      <c r="D495" s="29" t="inlineStr">
        <is>
          <t>IRIS2054</t>
        </is>
      </c>
      <c r="E495" s="29" t="inlineStr">
        <is>
          <t>Raj Chauhan</t>
        </is>
      </c>
      <c r="F495" s="29" t="inlineStr">
        <is>
          <t>Software Engineer</t>
        </is>
      </c>
      <c r="G495" s="29" t="inlineStr">
        <is>
          <t>Senior Software Engineer</t>
        </is>
      </c>
      <c r="H495" s="29" t="inlineStr">
        <is>
          <t>Engineering &amp; Development</t>
        </is>
      </c>
      <c r="I495" s="29" t="inlineStr">
        <is>
          <t>Backend Development</t>
        </is>
      </c>
      <c r="J495" s="29" t="inlineStr">
        <is>
          <t>IC</t>
        </is>
      </c>
      <c r="K495" s="29" t="inlineStr">
        <is>
          <t>RC-067</t>
        </is>
      </c>
      <c r="L495" s="29" t="inlineStr">
        <is>
          <t>Chetan Kotwal</t>
        </is>
      </c>
      <c r="M495" s="29" t="inlineStr">
        <is>
          <t>IRIS1832</t>
        </is>
      </c>
      <c r="N495" s="29" t="n">
        <v>4.6</v>
      </c>
      <c r="O495" s="29" t="n">
        <v>4.1</v>
      </c>
      <c r="P495" s="29" t="inlineStr">
        <is>
          <t>MSc</t>
        </is>
      </c>
      <c r="Q495" s="29" t="inlineStr">
        <is>
          <t>L3 – Professional / Associate</t>
        </is>
      </c>
      <c r="R495" s="29" t="inlineStr">
        <is>
          <t>A3</t>
        </is>
      </c>
      <c r="S495" s="30" t="inlineStr">
        <is>
          <t>20 of 20</t>
        </is>
      </c>
      <c r="T495" s="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t>
        </is>
      </c>
      <c r="U495" s="31" t="inlineStr">
        <is>
          <t>Received · manager annual · 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t>
        </is>
      </c>
      <c r="V495" s="31" t="inlineStr">
        <is>
          <t>Latest rating: Not rated · manager · 9-box: Not placed · manager · Readiness: No rating data</t>
        </is>
      </c>
      <c r="W495" s="31" t="inlineStr">
        <is>
          <t>C L · Au L · Ac M · L M · BI M · Exp M · 4.6 yrs vs 4–7 yrs · Edu H · MSc</t>
        </is>
      </c>
      <c r="X495" s="33" t="inlineStr">
        <is>
          <t>Open ▸</t>
        </is>
      </c>
      <c r="Y495" s="34" t="str">
        <f>IFERROR(INDEX(DL_C,MATCH($CA495,DL_KEY,0)),"M")</f>
        <v>H</v>
      </c>
      <c r="Z495" s="35" t="str">
        <f>IFERROR(INDEX(DL_Au,MATCH($CA495,DL_KEY,0)),"M")</f>
        <v>M</v>
      </c>
      <c r="AA495" s="35" t="str">
        <f>IFERROR(INDEX(DL_Ac,MATCH($CA495,DL_KEY,0)),"M")</f>
        <v>L</v>
      </c>
      <c r="AB495" s="35" t="str">
        <f>IFERROR(INDEX(DL_L,MATCH($CA495,DL_KEY,0)),"M")</f>
        <v>L</v>
      </c>
      <c r="AC495" s="35" t="str">
        <f>IFERROR(INDEX(DL_BI,MATCH($CA495,DL_KEY,0)),"M")</f>
        <v>L</v>
      </c>
      <c r="AD495" s="35" t="str">
        <f>IFERROR(INDEX(DL_Exp,MATCH($CA495,DL_KEY,0)),"M")</f>
        <v>L</v>
      </c>
      <c r="AE495" s="35" t="str">
        <f>IFERROR(INDEX(DL_Edu,MATCH($CA495,DL_KEY,0)),"M")</f>
        <v>L</v>
      </c>
      <c r="AF495" s="34" t="inlineStr">
        <is>
          <t>M</t>
        </is>
      </c>
      <c r="AG495" s="35" t="inlineStr">
        <is>
          <t>M</t>
        </is>
      </c>
      <c r="AH495" s="35" t="inlineStr">
        <is>
          <t>M</t>
        </is>
      </c>
      <c r="AI495" s="35" t="inlineStr">
        <is>
          <t>M</t>
        </is>
      </c>
      <c r="AJ495" s="35" t="inlineStr">
        <is>
          <t>M</t>
        </is>
      </c>
      <c r="AK495" s="35" t="inlineStr">
        <is>
          <t>M</t>
        </is>
      </c>
      <c r="AL495" s="35" t="inlineStr">
        <is>
          <t>M</t>
        </is>
      </c>
      <c r="AM495" s="36" t="n">
        <v>0.513</v>
      </c>
      <c r="AN495" s="37" t="n">
        <v>0.173</v>
      </c>
      <c r="AO495" s="37" t="n">
        <v>0.09699999999999999</v>
      </c>
      <c r="AP495" s="37" t="n">
        <v>0.05</v>
      </c>
      <c r="AQ495" s="37" t="n">
        <v>0.07000000000000001</v>
      </c>
      <c r="AR495" s="37" t="n">
        <v>0.06</v>
      </c>
      <c r="AS495" s="37" t="n">
        <v>0.04</v>
      </c>
      <c r="AT495" s="38" t="inlineStr">
        <is>
          <t>4–8</t>
        </is>
      </c>
      <c r="AU495" s="38" t="inlineStr">
        <is>
          <t>Graduate + relevant qualification or certification preferred</t>
        </is>
      </c>
      <c r="AV495" s="38" t="inlineStr">
        <is>
          <t>IC: none · Team Lead: 3–5</t>
        </is>
      </c>
      <c r="AW495" s="38" t="inlineStr">
        <is>
          <t>P3 / M2 · SFIA 4 Enable</t>
        </is>
      </c>
      <c r="AX4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5" s="39" t="inlineStr">
        <is>
          <t>B1</t>
        </is>
      </c>
      <c r="AZ495" s="40" t="inlineStr">
        <is>
          <t>Band B · Specialist / Manager · Specialist</t>
        </is>
      </c>
      <c r="BA495" s="40" t="inlineStr">
        <is>
          <t>Model A3 from the six ratings, the market-derived weights and rules R1–R13 · then Leads people at or above their own level · A3 → B1 Team Lead</t>
        </is>
      </c>
      <c r="BB495" s="41" t="inlineStr">
        <is>
          <t>A3</t>
        </is>
      </c>
      <c r="BC495" s="40" t="inlineStr">
        <is>
          <t>The six ratings on the market-average weights of Band B · Specialist / POD Lead score 2.95 → A3 · Hay, Mercer IPE and public plans · experience 4.6 yrs vs the A3 market range 2–5</t>
        </is>
      </c>
      <c r="BD495" s="42">
        <f>IF(SUM(BM495,BN495,BO495,BP495,BQ495,BR495,BS495)=0,0,(BM495*BT495+BN495*BU495+BO495*BV495+BP495*BW495+BQ495*BX495+BR495*BY495+BS495*BZ495)/SUM(BM495,BN495,BO495,BP495,BQ495,BR495,BS495))</f>
        <v>0</v>
      </c>
      <c r="BE495" s="41" t="str">
        <f>IF(LEFT(AY495,1)="X",AY495,IF(OR(AY495="B+",AY495="C+"),INDEX(LAD_PC,MAX(1,MIN(14,MATCH(AY495,LAD_PC,0)+IF(BD495&gt;=0.5,1,IF(BD495&lt;=-0.5,-1,0))))),INDEX(LAD_STD,MAX(1,MIN(12,MATCH(AY495,LAD_STD,0)+IF(BD495&gt;=0.5,1,IF(BD495&lt;=-0.5,-1,0)))))))</f>
        <v>B1</v>
      </c>
      <c r="BF495" s="43" t="n"/>
      <c r="BG495" s="41" t="str">
        <f>IF(BF495&lt;&gt;"",BF495,BE495)</f>
        <v>B1</v>
      </c>
      <c r="BH495" s="40" t="str">
        <f>IFERROR(CHOOSE(INDEX(B_RANK,MATCH(BG495,B_LVL,0)),"Band A","Band B","B+ · Player-Coach","Band C","C+ · Player-Coach","Band D","Band E"),"Band X · Consultant")</f>
        <v>Band B</v>
      </c>
      <c r="BI495" s="40" t="str">
        <f>IF(BG495=AY495,"• Same",IF(INDEX(B_VAL,MATCH(BG495,B_LVL,0))&gt;INDEX(B_VAL,MATCH(AY495,B_LVL,0)),"▲ Up","▼ Down"))</f>
        <v>• Same</v>
      </c>
      <c r="BJ495" s="40" t="str">
        <f>IF(OR($M495="",$M495="—",$M495="Not in this file"),"",IFERROR(INDEX($BG$7:$BG$592,MATCH($M495,$D$7:$D$592,0)),""))</f>
        <v>B3</v>
      </c>
      <c r="BK495" s="40" t="str">
        <f>IFERROR(IF(BJ495="","—",IF(OR(LEFT(BG495,1)="X",LEFT(BJ495,1)="X"),"—",IF(AND(LEFT(BG495,1)="E",LEFT(BJ495,1)="E"),"Exception · Band E",IF(AND(INDEX(B_VAL,MATCH(BJ495,B_LVL,0))&gt;=7,INDEX(B_RANK,MATCH(BG495,B_LVL,0))&gt;=INDEX(B_RANK,MATCH(BJ495,B_LVL,0))),"⚠ Same band as a head manager",IF(INDEX(B_VAL,MATCH(BG495,B_LVL,0))&gt;=INDEX(B_VAL,MATCH(BJ495,B_LVL,0)),"⚠ At or above the manager's level","OK"))))),"—")</f>
        <v>OK</v>
      </c>
      <c r="BL495" s="43" t="n"/>
      <c r="BM495" s="44">
        <f>IFERROR(INDEX(LMH_PTS,MATCH(Y495,LMH_KEY,0)),0)</f>
        <v>9</v>
      </c>
      <c r="BN495" s="38">
        <f>IFERROR(INDEX(LMH_PTS,MATCH(Z495,LMH_KEY,0)),0)</f>
        <v>3</v>
      </c>
      <c r="BO495" s="38">
        <f>IFERROR(INDEX(LMH_PTS,MATCH(AA495,LMH_KEY,0)),0)</f>
        <v>1</v>
      </c>
      <c r="BP495" s="38">
        <f>IFERROR(INDEX(LMH_PTS,MATCH(AB495,LMH_KEY,0)),0)</f>
        <v>1</v>
      </c>
      <c r="BQ495" s="38">
        <f>IFERROR(INDEX(LMH_PTS,MATCH(AC495,LMH_KEY,0)),0)</f>
        <v>1</v>
      </c>
      <c r="BR495" s="38">
        <f>IFERROR(INDEX(LMH_PTS,MATCH(AD495,LMH_KEY,0)),0)</f>
        <v>1</v>
      </c>
      <c r="BS495" s="38">
        <f>IFERROR(INDEX(LMH_PTS,MATCH(AE495,LMH_KEY,0)),0)</f>
        <v>1</v>
      </c>
      <c r="BT495" s="38">
        <f>IFERROR(INDEX(LMH_STEP,MATCH(AF495,LMH_KEY,0)),0)</f>
        <v>0</v>
      </c>
      <c r="BU495" s="38">
        <f>IFERROR(INDEX(LMH_STEP,MATCH(AG495,LMH_KEY,0)),0)</f>
        <v>0</v>
      </c>
      <c r="BV495" s="38">
        <f>IFERROR(INDEX(LMH_STEP,MATCH(AH495,LMH_KEY,0)),0)</f>
        <v>0</v>
      </c>
      <c r="BW495" s="38">
        <f>IFERROR(INDEX(LMH_STEP,MATCH(AI495,LMH_KEY,0)),0)</f>
        <v>0</v>
      </c>
      <c r="BX495" s="38">
        <f>IFERROR(INDEX(LMH_STEP,MATCH(AJ495,LMH_KEY,0)),0)</f>
        <v>0</v>
      </c>
      <c r="BY495" s="38">
        <f>IFERROR(INDEX(LMH_STEP,MATCH(AK495,LMH_KEY,0)),0)</f>
        <v>0</v>
      </c>
      <c r="BZ495" s="38">
        <f>IFERROR(INDEX(LMH_STEP,MATCH(AL495,LMH_KEY,0)),0)</f>
        <v>0</v>
      </c>
      <c r="CA495" s="38" t="inlineStr">
        <is>
          <t>CARBON|Technology|Senior Software Engineer|B1|B-IC</t>
        </is>
      </c>
    </row>
    <row r="496" ht="110" customHeight="1">
      <c r="A496" s="28" t="inlineStr">
        <is>
          <t>CARBON</t>
        </is>
      </c>
      <c r="B496" s="29" t="inlineStr">
        <is>
          <t>Technology</t>
        </is>
      </c>
      <c r="C496" s="29" t="n">
        <v>4</v>
      </c>
      <c r="D496" s="29" t="inlineStr">
        <is>
          <t>IRIS2032</t>
        </is>
      </c>
      <c r="E496" s="29" t="inlineStr">
        <is>
          <t>Kinjal Rathod</t>
        </is>
      </c>
      <c r="F496" s="29" t="inlineStr">
        <is>
          <t>Software Engineer</t>
        </is>
      </c>
      <c r="G496" s="29" t="inlineStr">
        <is>
          <t>Senior Software Engineer</t>
        </is>
      </c>
      <c r="H496" s="29" t="inlineStr">
        <is>
          <t>Engineering &amp; Development</t>
        </is>
      </c>
      <c r="I496" s="29" t="inlineStr">
        <is>
          <t>Backend Development</t>
        </is>
      </c>
      <c r="J496" s="29" t="inlineStr">
        <is>
          <t>IC</t>
        </is>
      </c>
      <c r="K496" s="29" t="inlineStr">
        <is>
          <t>RC-067</t>
        </is>
      </c>
      <c r="L496" s="29" t="inlineStr">
        <is>
          <t>Raj Chauhan</t>
        </is>
      </c>
      <c r="M496" s="29" t="inlineStr">
        <is>
          <t>IRIS2054</t>
        </is>
      </c>
      <c r="N496" s="29" t="n">
        <v>4.2</v>
      </c>
      <c r="O496" s="29" t="n">
        <v>4.2</v>
      </c>
      <c r="P496" s="29" t="inlineStr">
        <is>
          <t>MSc</t>
        </is>
      </c>
      <c r="Q496" s="29" t="inlineStr">
        <is>
          <t>L3 – Professional / Associate</t>
        </is>
      </c>
      <c r="R496" s="29" t="inlineStr">
        <is>
          <t>A3</t>
        </is>
      </c>
      <c r="S496" s="30" t="inlineStr">
        <is>
          <t>20 of 20</t>
        </is>
      </c>
      <c r="T496" s="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t>
        </is>
      </c>
      <c r="U496" s="31" t="inlineStr">
        <is>
          <t>Received · manager annual · 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t>
        </is>
      </c>
      <c r="V496" s="31" t="inlineStr">
        <is>
          <t>Latest rating: Not rated · manager · 9-box: Future Leader · Readiness: No rating data</t>
        </is>
      </c>
      <c r="W496" s="31" t="inlineStr">
        <is>
          <t>C L · Au L · Ac L · L L · BI L · Exp H · 4.2 yrs vs 2–4 yrs · Edu H · MSc</t>
        </is>
      </c>
      <c r="X496" s="33" t="inlineStr">
        <is>
          <t>Open ▸</t>
        </is>
      </c>
      <c r="Y496" s="34" t="str">
        <f>IFERROR(INDEX(DL_C,MATCH($CA496,DL_KEY,0)),"M")</f>
        <v>H</v>
      </c>
      <c r="Z496" s="35" t="str">
        <f>IFERROR(INDEX(DL_Au,MATCH($CA496,DL_KEY,0)),"M")</f>
        <v>M</v>
      </c>
      <c r="AA496" s="35" t="str">
        <f>IFERROR(INDEX(DL_Ac,MATCH($CA496,DL_KEY,0)),"M")</f>
        <v>L</v>
      </c>
      <c r="AB496" s="35" t="str">
        <f>IFERROR(INDEX(DL_L,MATCH($CA496,DL_KEY,0)),"M")</f>
        <v>L</v>
      </c>
      <c r="AC496" s="35" t="str">
        <f>IFERROR(INDEX(DL_BI,MATCH($CA496,DL_KEY,0)),"M")</f>
        <v>L</v>
      </c>
      <c r="AD496" s="35" t="str">
        <f>IFERROR(INDEX(DL_Exp,MATCH($CA496,DL_KEY,0)),"M")</f>
        <v>L</v>
      </c>
      <c r="AE496" s="35" t="str">
        <f>IFERROR(INDEX(DL_Edu,MATCH($CA496,DL_KEY,0)),"M")</f>
        <v>L</v>
      </c>
      <c r="AF496" s="34" t="inlineStr">
        <is>
          <t>M</t>
        </is>
      </c>
      <c r="AG496" s="35" t="inlineStr">
        <is>
          <t>M</t>
        </is>
      </c>
      <c r="AH496" s="35" t="inlineStr">
        <is>
          <t>M</t>
        </is>
      </c>
      <c r="AI496" s="35" t="inlineStr">
        <is>
          <t>M</t>
        </is>
      </c>
      <c r="AJ496" s="35" t="inlineStr">
        <is>
          <t>M</t>
        </is>
      </c>
      <c r="AK496" s="35" t="inlineStr">
        <is>
          <t>M</t>
        </is>
      </c>
      <c r="AL496" s="35" t="inlineStr">
        <is>
          <t>M</t>
        </is>
      </c>
      <c r="AM496" s="36" t="n">
        <v>0.583</v>
      </c>
      <c r="AN496" s="37" t="n">
        <v>0.16</v>
      </c>
      <c r="AO496" s="37" t="n">
        <v>0.09</v>
      </c>
      <c r="AP496" s="37" t="n">
        <v>0</v>
      </c>
      <c r="AQ496" s="37" t="n">
        <v>0.063</v>
      </c>
      <c r="AR496" s="37" t="n">
        <v>0.06</v>
      </c>
      <c r="AS496" s="37" t="n">
        <v>0.04</v>
      </c>
      <c r="AT496" s="38" t="inlineStr">
        <is>
          <t>2–5</t>
        </is>
      </c>
      <c r="AU496" s="38" t="inlineStr">
        <is>
          <t>Graduate; relevant certification preferred</t>
        </is>
      </c>
      <c r="AV496" s="38" t="inlineStr">
        <is>
          <t>None · guides 1–3 juniors informally</t>
        </is>
      </c>
      <c r="AW496" s="38" t="inlineStr">
        <is>
          <t>P2 · SFIA 3 Apply</t>
        </is>
      </c>
      <c r="AX4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6" s="39" t="inlineStr">
        <is>
          <t>A3</t>
        </is>
      </c>
      <c r="AZ496" s="40" t="inlineStr">
        <is>
          <t>Band A · Practitioner · Senior Associate</t>
        </is>
      </c>
      <c r="BA496" s="40" t="inlineStr">
        <is>
          <t>Model A3 from the six ratings, the market-derived weights and rules R1–R13 · then No change · already below the manager</t>
        </is>
      </c>
      <c r="BB496" s="41" t="inlineStr">
        <is>
          <t>A2</t>
        </is>
      </c>
      <c r="BC496" s="40" t="inlineStr">
        <is>
          <t>The six ratings on the market-average weights of Band A · all tracks score 2.20 → A2 · Hay, Mercer IPE and public plans · experience 4.2 yrs vs the A2 market range 0–3</t>
        </is>
      </c>
      <c r="BD496" s="42">
        <f>IF(SUM(BM496,BN496,BO496,BP496,BQ496,BR496,BS496)=0,0,(BM496*BT496+BN496*BU496+BO496*BV496+BP496*BW496+BQ496*BX496+BR496*BY496+BS496*BZ496)/SUM(BM496,BN496,BO496,BP496,BQ496,BR496,BS496))</f>
        <v>0</v>
      </c>
      <c r="BE496" s="41" t="str">
        <f>IF(LEFT(AY496,1)="X",AY496,IF(OR(AY496="B+",AY496="C+"),INDEX(LAD_PC,MAX(1,MIN(14,MATCH(AY496,LAD_PC,0)+IF(BD496&gt;=0.5,1,IF(BD496&lt;=-0.5,-1,0))))),INDEX(LAD_STD,MAX(1,MIN(12,MATCH(AY496,LAD_STD,0)+IF(BD496&gt;=0.5,1,IF(BD496&lt;=-0.5,-1,0)))))))</f>
        <v>A3</v>
      </c>
      <c r="BF496" s="43" t="n"/>
      <c r="BG496" s="41" t="str">
        <f>IF(BF496&lt;&gt;"",BF496,BE496)</f>
        <v>A3</v>
      </c>
      <c r="BH496" s="40" t="str">
        <f>IFERROR(CHOOSE(INDEX(B_RANK,MATCH(BG496,B_LVL,0)),"Band A","Band B","B+ · Player-Coach","Band C","C+ · Player-Coach","Band D","Band E"),"Band X · Consultant")</f>
        <v>Band A</v>
      </c>
      <c r="BI496" s="40" t="str">
        <f>IF(BG496=AY496,"• Same",IF(INDEX(B_VAL,MATCH(BG496,B_LVL,0))&gt;INDEX(B_VAL,MATCH(AY496,B_LVL,0)),"▲ Up","▼ Down"))</f>
        <v>• Same</v>
      </c>
      <c r="BJ496" s="40" t="str">
        <f>IF(OR($M496="",$M496="—",$M496="Not in this file"),"",IFERROR(INDEX($BG$7:$BG$592,MATCH($M496,$D$7:$D$592,0)),""))</f>
        <v>B1</v>
      </c>
      <c r="BK496" s="40" t="str">
        <f>IFERROR(IF(BJ496="","—",IF(OR(LEFT(BG496,1)="X",LEFT(BJ496,1)="X"),"—",IF(AND(LEFT(BG496,1)="E",LEFT(BJ496,1)="E"),"Exception · Band E",IF(AND(INDEX(B_VAL,MATCH(BJ496,B_LVL,0))&gt;=7,INDEX(B_RANK,MATCH(BG496,B_LVL,0))&gt;=INDEX(B_RANK,MATCH(BJ496,B_LVL,0))),"⚠ Same band as a head manager",IF(INDEX(B_VAL,MATCH(BG496,B_LVL,0))&gt;=INDEX(B_VAL,MATCH(BJ496,B_LVL,0)),"⚠ At or above the manager's level","OK"))))),"—")</f>
        <v>OK</v>
      </c>
      <c r="BL496" s="43" t="n"/>
      <c r="BM496" s="44">
        <f>IFERROR(INDEX(LMH_PTS,MATCH(Y496,LMH_KEY,0)),0)</f>
        <v>9</v>
      </c>
      <c r="BN496" s="38">
        <f>IFERROR(INDEX(LMH_PTS,MATCH(Z496,LMH_KEY,0)),0)</f>
        <v>3</v>
      </c>
      <c r="BO496" s="38">
        <f>IFERROR(INDEX(LMH_PTS,MATCH(AA496,LMH_KEY,0)),0)</f>
        <v>1</v>
      </c>
      <c r="BP496" s="38">
        <f>IFERROR(INDEX(LMH_PTS,MATCH(AB496,LMH_KEY,0)),0)</f>
        <v>1</v>
      </c>
      <c r="BQ496" s="38">
        <f>IFERROR(INDEX(LMH_PTS,MATCH(AC496,LMH_KEY,0)),0)</f>
        <v>1</v>
      </c>
      <c r="BR496" s="38">
        <f>IFERROR(INDEX(LMH_PTS,MATCH(AD496,LMH_KEY,0)),0)</f>
        <v>1</v>
      </c>
      <c r="BS496" s="38">
        <f>IFERROR(INDEX(LMH_PTS,MATCH(AE496,LMH_KEY,0)),0)</f>
        <v>1</v>
      </c>
      <c r="BT496" s="38">
        <f>IFERROR(INDEX(LMH_STEP,MATCH(AF496,LMH_KEY,0)),0)</f>
        <v>0</v>
      </c>
      <c r="BU496" s="38">
        <f>IFERROR(INDEX(LMH_STEP,MATCH(AG496,LMH_KEY,0)),0)</f>
        <v>0</v>
      </c>
      <c r="BV496" s="38">
        <f>IFERROR(INDEX(LMH_STEP,MATCH(AH496,LMH_KEY,0)),0)</f>
        <v>0</v>
      </c>
      <c r="BW496" s="38">
        <f>IFERROR(INDEX(LMH_STEP,MATCH(AI496,LMH_KEY,0)),0)</f>
        <v>0</v>
      </c>
      <c r="BX496" s="38">
        <f>IFERROR(INDEX(LMH_STEP,MATCH(AJ496,LMH_KEY,0)),0)</f>
        <v>0</v>
      </c>
      <c r="BY496" s="38">
        <f>IFERROR(INDEX(LMH_STEP,MATCH(AK496,LMH_KEY,0)),0)</f>
        <v>0</v>
      </c>
      <c r="BZ496" s="38">
        <f>IFERROR(INDEX(LMH_STEP,MATCH(AL496,LMH_KEY,0)),0)</f>
        <v>0</v>
      </c>
      <c r="CA496" s="38" t="inlineStr">
        <is>
          <t>CARBON|Technology|Senior Software Engineer|A3|A</t>
        </is>
      </c>
    </row>
    <row r="497" ht="110" customHeight="1">
      <c r="A497" s="28" t="inlineStr">
        <is>
          <t>CARBON</t>
        </is>
      </c>
      <c r="B497" s="29" t="inlineStr">
        <is>
          <t>Technology</t>
        </is>
      </c>
      <c r="C497" s="29" t="n">
        <v>4</v>
      </c>
      <c r="D497" s="29" t="inlineStr">
        <is>
          <t>IRIS2455</t>
        </is>
      </c>
      <c r="E497" s="29" t="inlineStr">
        <is>
          <t>Soniya Paliwal</t>
        </is>
      </c>
      <c r="F497" s="29" t="inlineStr">
        <is>
          <t>Trainee Software Engineer</t>
        </is>
      </c>
      <c r="G497" s="29" t="inlineStr">
        <is>
          <t>Trainee Software Engineer</t>
        </is>
      </c>
      <c r="H497" s="29" t="inlineStr">
        <is>
          <t>Engineering &amp; Development</t>
        </is>
      </c>
      <c r="I497" s="29" t="inlineStr">
        <is>
          <t>Full-Stack Development</t>
        </is>
      </c>
      <c r="J497" s="29" t="inlineStr">
        <is>
          <t>IC</t>
        </is>
      </c>
      <c r="K497" s="29" t="inlineStr">
        <is>
          <t>RC-083</t>
        </is>
      </c>
      <c r="L497" s="29" t="inlineStr">
        <is>
          <t>Raj Chauhan</t>
        </is>
      </c>
      <c r="M497" s="29" t="inlineStr">
        <is>
          <t>IRIS2054</t>
        </is>
      </c>
      <c r="N497" s="29" t="n">
        <v>0.8</v>
      </c>
      <c r="O497" s="29" t="n">
        <v>0.8</v>
      </c>
      <c r="P497" s="29" t="inlineStr">
        <is>
          <t>B.Com</t>
        </is>
      </c>
      <c r="Q497" s="29" t="inlineStr">
        <is>
          <t>L2 – Trainee</t>
        </is>
      </c>
      <c r="R497" s="29" t="inlineStr">
        <is>
          <t>A1</t>
        </is>
      </c>
      <c r="S497" s="30" t="inlineStr">
        <is>
          <t>20 of 20</t>
        </is>
      </c>
      <c r="T497" s="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t>
        </is>
      </c>
      <c r="U497" s="31" t="inlineStr">
        <is>
          <t>Received · manager annual · 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t>
        </is>
      </c>
      <c r="V497" s="31" t="inlineStr">
        <is>
          <t>Latest rating: Not rated · manager · 9-box: Future Leader · Readiness: No rating data</t>
        </is>
      </c>
      <c r="W497" s="31" t="inlineStr">
        <is>
          <t>C — · Au — · Ac — · L — · BI — · Exp H · 0.8 yrs vs 0 yrs · fresher / intern · Edu M · B.Com</t>
        </is>
      </c>
      <c r="X497" s="33" t="inlineStr">
        <is>
          <t>Open ▸</t>
        </is>
      </c>
      <c r="Y497" s="34" t="str">
        <f>IFERROR(INDEX(DL_C,MATCH($CA497,DL_KEY,0)),"M")</f>
        <v>H</v>
      </c>
      <c r="Z497" s="35" t="str">
        <f>IFERROR(INDEX(DL_Au,MATCH($CA497,DL_KEY,0)),"M")</f>
        <v>M</v>
      </c>
      <c r="AA497" s="35" t="str">
        <f>IFERROR(INDEX(DL_Ac,MATCH($CA497,DL_KEY,0)),"M")</f>
        <v>L</v>
      </c>
      <c r="AB497" s="35" t="str">
        <f>IFERROR(INDEX(DL_L,MATCH($CA497,DL_KEY,0)),"M")</f>
        <v>L</v>
      </c>
      <c r="AC497" s="35" t="str">
        <f>IFERROR(INDEX(DL_BI,MATCH($CA497,DL_KEY,0)),"M")</f>
        <v>L</v>
      </c>
      <c r="AD497" s="35" t="str">
        <f>IFERROR(INDEX(DL_Exp,MATCH($CA497,DL_KEY,0)),"M")</f>
        <v>L</v>
      </c>
      <c r="AE497" s="35" t="str">
        <f>IFERROR(INDEX(DL_Edu,MATCH($CA497,DL_KEY,0)),"M")</f>
        <v>L</v>
      </c>
      <c r="AF497" s="34" t="inlineStr">
        <is>
          <t>M</t>
        </is>
      </c>
      <c r="AG497" s="35" t="inlineStr">
        <is>
          <t>M</t>
        </is>
      </c>
      <c r="AH497" s="35" t="inlineStr">
        <is>
          <t>M</t>
        </is>
      </c>
      <c r="AI497" s="35" t="inlineStr">
        <is>
          <t>M</t>
        </is>
      </c>
      <c r="AJ497" s="35" t="inlineStr">
        <is>
          <t>M</t>
        </is>
      </c>
      <c r="AK497" s="35" t="inlineStr">
        <is>
          <t>M</t>
        </is>
      </c>
      <c r="AL497" s="35" t="inlineStr">
        <is>
          <t>M</t>
        </is>
      </c>
      <c r="AM497" s="36" t="n">
        <v>0.583</v>
      </c>
      <c r="AN497" s="37" t="n">
        <v>0.16</v>
      </c>
      <c r="AO497" s="37" t="n">
        <v>0.09</v>
      </c>
      <c r="AP497" s="37" t="n">
        <v>0</v>
      </c>
      <c r="AQ497" s="37" t="n">
        <v>0.063</v>
      </c>
      <c r="AR497" s="37" t="n">
        <v>0.06</v>
      </c>
      <c r="AS497" s="37" t="n">
        <v>0.04</v>
      </c>
      <c r="AT497" s="38" t="inlineStr">
        <is>
          <t>0 yrs · fresher / intern</t>
        </is>
      </c>
      <c r="AU497" s="38" t="inlineStr">
        <is>
          <t>Pursuing or completed graduation / diploma</t>
        </is>
      </c>
      <c r="AV497" s="38" t="inlineStr">
        <is>
          <t>No direct reports</t>
        </is>
      </c>
      <c r="AW497" s="38" t="inlineStr">
        <is>
          <t>Entry / P1 · intern · SFIA 1 Follow</t>
        </is>
      </c>
      <c r="AX4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7" s="39" t="inlineStr">
        <is>
          <t>A1</t>
        </is>
      </c>
      <c r="AZ497" s="40" t="inlineStr">
        <is>
          <t>Band A · Practitioner · Intern / Trainee</t>
        </is>
      </c>
      <c r="BA497" s="40" t="inlineStr">
        <is>
          <t>Model A1 from the six ratings, the market-derived weights and rules R1–R13 · then No change · already below the manager</t>
        </is>
      </c>
      <c r="BB497" s="41" t="inlineStr">
        <is>
          <t>A1</t>
        </is>
      </c>
      <c r="BC497" s="40" t="inlineStr">
        <is>
          <t>Placed by a category rule — no full set of ratings · benchmark follows the HR proposed level</t>
        </is>
      </c>
      <c r="BD497" s="42">
        <f>IF(SUM(BM497,BN497,BO497,BP497,BQ497,BR497,BS497)=0,0,(BM497*BT497+BN497*BU497+BO497*BV497+BP497*BW497+BQ497*BX497+BR497*BY497+BS497*BZ497)/SUM(BM497,BN497,BO497,BP497,BQ497,BR497,BS497))</f>
        <v>0</v>
      </c>
      <c r="BE497" s="41" t="str">
        <f>IF(LEFT(AY497,1)="X",AY497,IF(OR(AY497="B+",AY497="C+"),INDEX(LAD_PC,MAX(1,MIN(14,MATCH(AY497,LAD_PC,0)+IF(BD497&gt;=0.5,1,IF(BD497&lt;=-0.5,-1,0))))),INDEX(LAD_STD,MAX(1,MIN(12,MATCH(AY497,LAD_STD,0)+IF(BD497&gt;=0.5,1,IF(BD497&lt;=-0.5,-1,0)))))))</f>
        <v>A1</v>
      </c>
      <c r="BF497" s="43" t="n"/>
      <c r="BG497" s="41" t="str">
        <f>IF(BF497&lt;&gt;"",BF497,BE497)</f>
        <v>A1</v>
      </c>
      <c r="BH497" s="40" t="str">
        <f>IFERROR(CHOOSE(INDEX(B_RANK,MATCH(BG497,B_LVL,0)),"Band A","Band B","B+ · Player-Coach","Band C","C+ · Player-Coach","Band D","Band E"),"Band X · Consultant")</f>
        <v>Band A</v>
      </c>
      <c r="BI497" s="40" t="str">
        <f>IF(BG497=AY497,"• Same",IF(INDEX(B_VAL,MATCH(BG497,B_LVL,0))&gt;INDEX(B_VAL,MATCH(AY497,B_LVL,0)),"▲ Up","▼ Down"))</f>
        <v>• Same</v>
      </c>
      <c r="BJ497" s="40" t="str">
        <f>IF(OR($M497="",$M497="—",$M497="Not in this file"),"",IFERROR(INDEX($BG$7:$BG$592,MATCH($M497,$D$7:$D$592,0)),""))</f>
        <v>B1</v>
      </c>
      <c r="BK497" s="40" t="str">
        <f>IFERROR(IF(BJ497="","—",IF(OR(LEFT(BG497,1)="X",LEFT(BJ497,1)="X"),"—",IF(AND(LEFT(BG497,1)="E",LEFT(BJ497,1)="E"),"Exception · Band E",IF(AND(INDEX(B_VAL,MATCH(BJ497,B_LVL,0))&gt;=7,INDEX(B_RANK,MATCH(BG497,B_LVL,0))&gt;=INDEX(B_RANK,MATCH(BJ497,B_LVL,0))),"⚠ Same band as a head manager",IF(INDEX(B_VAL,MATCH(BG497,B_LVL,0))&gt;=INDEX(B_VAL,MATCH(BJ497,B_LVL,0)),"⚠ At or above the manager's level","OK"))))),"—")</f>
        <v>OK</v>
      </c>
      <c r="BL497" s="43" t="n"/>
      <c r="BM497" s="44">
        <f>IFERROR(INDEX(LMH_PTS,MATCH(Y497,LMH_KEY,0)),0)</f>
        <v>9</v>
      </c>
      <c r="BN497" s="38">
        <f>IFERROR(INDEX(LMH_PTS,MATCH(Z497,LMH_KEY,0)),0)</f>
        <v>3</v>
      </c>
      <c r="BO497" s="38">
        <f>IFERROR(INDEX(LMH_PTS,MATCH(AA497,LMH_KEY,0)),0)</f>
        <v>1</v>
      </c>
      <c r="BP497" s="38">
        <f>IFERROR(INDEX(LMH_PTS,MATCH(AB497,LMH_KEY,0)),0)</f>
        <v>1</v>
      </c>
      <c r="BQ497" s="38">
        <f>IFERROR(INDEX(LMH_PTS,MATCH(AC497,LMH_KEY,0)),0)</f>
        <v>1</v>
      </c>
      <c r="BR497" s="38">
        <f>IFERROR(INDEX(LMH_PTS,MATCH(AD497,LMH_KEY,0)),0)</f>
        <v>1</v>
      </c>
      <c r="BS497" s="38">
        <f>IFERROR(INDEX(LMH_PTS,MATCH(AE497,LMH_KEY,0)),0)</f>
        <v>1</v>
      </c>
      <c r="BT497" s="38">
        <f>IFERROR(INDEX(LMH_STEP,MATCH(AF497,LMH_KEY,0)),0)</f>
        <v>0</v>
      </c>
      <c r="BU497" s="38">
        <f>IFERROR(INDEX(LMH_STEP,MATCH(AG497,LMH_KEY,0)),0)</f>
        <v>0</v>
      </c>
      <c r="BV497" s="38">
        <f>IFERROR(INDEX(LMH_STEP,MATCH(AH497,LMH_KEY,0)),0)</f>
        <v>0</v>
      </c>
      <c r="BW497" s="38">
        <f>IFERROR(INDEX(LMH_STEP,MATCH(AI497,LMH_KEY,0)),0)</f>
        <v>0</v>
      </c>
      <c r="BX497" s="38">
        <f>IFERROR(INDEX(LMH_STEP,MATCH(AJ497,LMH_KEY,0)),0)</f>
        <v>0</v>
      </c>
      <c r="BY497" s="38">
        <f>IFERROR(INDEX(LMH_STEP,MATCH(AK497,LMH_KEY,0)),0)</f>
        <v>0</v>
      </c>
      <c r="BZ497" s="38">
        <f>IFERROR(INDEX(LMH_STEP,MATCH(AL497,LMH_KEY,0)),0)</f>
        <v>0</v>
      </c>
      <c r="CA497" s="38" t="inlineStr">
        <is>
          <t>CARBON|Technology|Trainee Software Engineer|A1|A</t>
        </is>
      </c>
    </row>
    <row r="498" ht="110" customHeight="1">
      <c r="A498" s="28" t="inlineStr">
        <is>
          <t>CARBON</t>
        </is>
      </c>
      <c r="B498" s="29" t="inlineStr">
        <is>
          <t>Technology</t>
        </is>
      </c>
      <c r="C498" s="29" t="n">
        <v>2</v>
      </c>
      <c r="D498" s="29" t="inlineStr">
        <is>
          <t>IRIS1477</t>
        </is>
      </c>
      <c r="E498" s="29" t="inlineStr">
        <is>
          <t>Dhiraj Suryawanshi</t>
        </is>
      </c>
      <c r="F498" s="29" t="inlineStr">
        <is>
          <t>Lead Software Engineer</t>
        </is>
      </c>
      <c r="G498" s="29" t="inlineStr">
        <is>
          <t>Lead Software Engineer – POD Lead</t>
        </is>
      </c>
      <c r="H498" s="29" t="inlineStr">
        <is>
          <t>Engineering &amp; Development</t>
        </is>
      </c>
      <c r="I498" s="29" t="inlineStr">
        <is>
          <t>Full-Stack Development</t>
        </is>
      </c>
      <c r="J498" s="29" t="inlineStr">
        <is>
          <t>POD Lead</t>
        </is>
      </c>
      <c r="K498" s="29" t="inlineStr">
        <is>
          <t>RC-087</t>
        </is>
      </c>
      <c r="L498" s="29" t="inlineStr">
        <is>
          <t>Ashish Singhvi</t>
        </is>
      </c>
      <c r="M498" s="29" t="inlineStr">
        <is>
          <t>IRIS0249</t>
        </is>
      </c>
      <c r="N498" s="29" t="n">
        <v>14.4</v>
      </c>
      <c r="O498" s="29" t="n">
        <v>12.1</v>
      </c>
      <c r="P498" s="29" t="inlineStr">
        <is>
          <t>B.E</t>
        </is>
      </c>
      <c r="Q498" s="29" t="inlineStr">
        <is>
          <t>L5 – Lead · IC</t>
        </is>
      </c>
      <c r="R498" s="29" t="inlineStr">
        <is>
          <t>B2</t>
        </is>
      </c>
      <c r="S498" s="30" t="inlineStr">
        <is>
          <t>20 of 20</t>
        </is>
      </c>
      <c r="T498" s="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t>
        </is>
      </c>
      <c r="U498" s="31" t="inlineStr">
        <is>
          <t>Received · manager annual · 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t>
        </is>
      </c>
      <c r="V498" s="31" t="inlineStr">
        <is>
          <t>Latest rating: Not rated · manager · 9-box: Underperformer / Exit Risk · Readiness: No rating data</t>
        </is>
      </c>
      <c r="W498" s="31" t="inlineStr">
        <is>
          <t>C M · Au M · Ac M · L M · BI M · Exp H · 14.4 yrs vs 6–9 yrs · Edu M · B.E</t>
        </is>
      </c>
      <c r="X498" s="33" t="inlineStr">
        <is>
          <t>Open ▸</t>
        </is>
      </c>
      <c r="Y498" s="34" t="str">
        <f>IFERROR(INDEX(DL_C,MATCH($CA498,DL_KEY,0)),"M")</f>
        <v>H</v>
      </c>
      <c r="Z498" s="35" t="str">
        <f>IFERROR(INDEX(DL_Au,MATCH($CA498,DL_KEY,0)),"M")</f>
        <v>M</v>
      </c>
      <c r="AA498" s="35" t="str">
        <f>IFERROR(INDEX(DL_Ac,MATCH($CA498,DL_KEY,0)),"M")</f>
        <v>L</v>
      </c>
      <c r="AB498" s="35" t="str">
        <f>IFERROR(INDEX(DL_L,MATCH($CA498,DL_KEY,0)),"M")</f>
        <v>L</v>
      </c>
      <c r="AC498" s="35" t="str">
        <f>IFERROR(INDEX(DL_BI,MATCH($CA498,DL_KEY,0)),"M")</f>
        <v>L</v>
      </c>
      <c r="AD498" s="35" t="str">
        <f>IFERROR(INDEX(DL_Exp,MATCH($CA498,DL_KEY,0)),"M")</f>
        <v>L</v>
      </c>
      <c r="AE498" s="35" t="str">
        <f>IFERROR(INDEX(DL_Edu,MATCH($CA498,DL_KEY,0)),"M")</f>
        <v>L</v>
      </c>
      <c r="AF498" s="34" t="inlineStr">
        <is>
          <t>M</t>
        </is>
      </c>
      <c r="AG498" s="35" t="inlineStr">
        <is>
          <t>M</t>
        </is>
      </c>
      <c r="AH498" s="35" t="inlineStr">
        <is>
          <t>M</t>
        </is>
      </c>
      <c r="AI498" s="35" t="inlineStr">
        <is>
          <t>M</t>
        </is>
      </c>
      <c r="AJ498" s="35" t="inlineStr">
        <is>
          <t>M</t>
        </is>
      </c>
      <c r="AK498" s="35" t="inlineStr">
        <is>
          <t>M</t>
        </is>
      </c>
      <c r="AL498" s="35" t="inlineStr">
        <is>
          <t>M</t>
        </is>
      </c>
      <c r="AM498" s="36" t="n">
        <v>0.513</v>
      </c>
      <c r="AN498" s="37" t="n">
        <v>0.173</v>
      </c>
      <c r="AO498" s="37" t="n">
        <v>0.09699999999999999</v>
      </c>
      <c r="AP498" s="37" t="n">
        <v>0.05</v>
      </c>
      <c r="AQ498" s="37" t="n">
        <v>0.07000000000000001</v>
      </c>
      <c r="AR498" s="37" t="n">
        <v>0.06</v>
      </c>
      <c r="AS498" s="37" t="n">
        <v>0.04</v>
      </c>
      <c r="AT498" s="38" t="inlineStr">
        <is>
          <t>6–10</t>
        </is>
      </c>
      <c r="AU498" s="38" t="inlineStr">
        <is>
          <t>Graduate or postgraduate; professional qualification preferred</t>
        </is>
      </c>
      <c r="AV498" s="38" t="inlineStr">
        <is>
          <t>IC: none · People: 6–8 knowledge work, 8–12 standardised delivery</t>
        </is>
      </c>
      <c r="AW498" s="38" t="inlineStr">
        <is>
          <t>P4 / M3 · SFIA 4–5</t>
        </is>
      </c>
      <c r="AX4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8" s="39" t="inlineStr">
        <is>
          <t>B2</t>
        </is>
      </c>
      <c r="AZ498" s="40" t="inlineStr">
        <is>
          <t>Band B · Specialist / Manager · Manager</t>
        </is>
      </c>
      <c r="BA498" s="40" t="inlineStr">
        <is>
          <t>Model B2 from the six ratings, the market-derived weights and rules R1–R13 · then No change · already below the manager</t>
        </is>
      </c>
      <c r="BB498" s="41" t="inlineStr">
        <is>
          <t>B2</t>
        </is>
      </c>
      <c r="BC498" s="40" t="inlineStr">
        <is>
          <t>The six ratings on the market-average weights of Band B · Specialist / POD Lead score 5.45 → B2 · Hay, Mercer IPE and public plans · experience 14.4 yrs vs the B2 market range 6–10</t>
        </is>
      </c>
      <c r="BD498" s="42">
        <f>IF(SUM(BM498,BN498,BO498,BP498,BQ498,BR498,BS498)=0,0,(BM498*BT498+BN498*BU498+BO498*BV498+BP498*BW498+BQ498*BX498+BR498*BY498+BS498*BZ498)/SUM(BM498,BN498,BO498,BP498,BQ498,BR498,BS498))</f>
        <v>0</v>
      </c>
      <c r="BE498" s="41" t="str">
        <f>IF(LEFT(AY498,1)="X",AY498,IF(OR(AY498="B+",AY498="C+"),INDEX(LAD_PC,MAX(1,MIN(14,MATCH(AY498,LAD_PC,0)+IF(BD498&gt;=0.5,1,IF(BD498&lt;=-0.5,-1,0))))),INDEX(LAD_STD,MAX(1,MIN(12,MATCH(AY498,LAD_STD,0)+IF(BD498&gt;=0.5,1,IF(BD498&lt;=-0.5,-1,0)))))))</f>
        <v>B2</v>
      </c>
      <c r="BF498" s="43" t="n"/>
      <c r="BG498" s="41" t="str">
        <f>IF(BF498&lt;&gt;"",BF498,BE498)</f>
        <v>B2</v>
      </c>
      <c r="BH498" s="40" t="str">
        <f>IFERROR(CHOOSE(INDEX(B_RANK,MATCH(BG498,B_LVL,0)),"Band A","Band B","B+ · Player-Coach","Band C","C+ · Player-Coach","Band D","Band E"),"Band X · Consultant")</f>
        <v>Band B</v>
      </c>
      <c r="BI498" s="40" t="str">
        <f>IF(BG498=AY498,"• Same",IF(INDEX(B_VAL,MATCH(BG498,B_LVL,0))&gt;INDEX(B_VAL,MATCH(AY498,B_LVL,0)),"▲ Up","▼ Down"))</f>
        <v>• Same</v>
      </c>
      <c r="BJ498" s="40" t="str">
        <f>IF(OR($M498="",$M498="—",$M498="Not in this file"),"",IFERROR(INDEX($BG$7:$BG$592,MATCH($M498,$D$7:$D$592,0)),""))</f>
        <v>C2</v>
      </c>
      <c r="BK498" s="40" t="str">
        <f>IFERROR(IF(BJ498="","—",IF(OR(LEFT(BG498,1)="X",LEFT(BJ498,1)="X"),"—",IF(AND(LEFT(BG498,1)="E",LEFT(BJ498,1)="E"),"Exception · Band E",IF(AND(INDEX(B_VAL,MATCH(BJ498,B_LVL,0))&gt;=7,INDEX(B_RANK,MATCH(BG498,B_LVL,0))&gt;=INDEX(B_RANK,MATCH(BJ498,B_LVL,0))),"⚠ Same band as a head manager",IF(INDEX(B_VAL,MATCH(BG498,B_LVL,0))&gt;=INDEX(B_VAL,MATCH(BJ498,B_LVL,0)),"⚠ At or above the manager's level","OK"))))),"—")</f>
        <v>OK</v>
      </c>
      <c r="BL498" s="43" t="n"/>
      <c r="BM498" s="44">
        <f>IFERROR(INDEX(LMH_PTS,MATCH(Y498,LMH_KEY,0)),0)</f>
        <v>9</v>
      </c>
      <c r="BN498" s="38">
        <f>IFERROR(INDEX(LMH_PTS,MATCH(Z498,LMH_KEY,0)),0)</f>
        <v>3</v>
      </c>
      <c r="BO498" s="38">
        <f>IFERROR(INDEX(LMH_PTS,MATCH(AA498,LMH_KEY,0)),0)</f>
        <v>1</v>
      </c>
      <c r="BP498" s="38">
        <f>IFERROR(INDEX(LMH_PTS,MATCH(AB498,LMH_KEY,0)),0)</f>
        <v>1</v>
      </c>
      <c r="BQ498" s="38">
        <f>IFERROR(INDEX(LMH_PTS,MATCH(AC498,LMH_KEY,0)),0)</f>
        <v>1</v>
      </c>
      <c r="BR498" s="38">
        <f>IFERROR(INDEX(LMH_PTS,MATCH(AD498,LMH_KEY,0)),0)</f>
        <v>1</v>
      </c>
      <c r="BS498" s="38">
        <f>IFERROR(INDEX(LMH_PTS,MATCH(AE498,LMH_KEY,0)),0)</f>
        <v>1</v>
      </c>
      <c r="BT498" s="38">
        <f>IFERROR(INDEX(LMH_STEP,MATCH(AF498,LMH_KEY,0)),0)</f>
        <v>0</v>
      </c>
      <c r="BU498" s="38">
        <f>IFERROR(INDEX(LMH_STEP,MATCH(AG498,LMH_KEY,0)),0)</f>
        <v>0</v>
      </c>
      <c r="BV498" s="38">
        <f>IFERROR(INDEX(LMH_STEP,MATCH(AH498,LMH_KEY,0)),0)</f>
        <v>0</v>
      </c>
      <c r="BW498" s="38">
        <f>IFERROR(INDEX(LMH_STEP,MATCH(AI498,LMH_KEY,0)),0)</f>
        <v>0</v>
      </c>
      <c r="BX498" s="38">
        <f>IFERROR(INDEX(LMH_STEP,MATCH(AJ498,LMH_KEY,0)),0)</f>
        <v>0</v>
      </c>
      <c r="BY498" s="38">
        <f>IFERROR(INDEX(LMH_STEP,MATCH(AK498,LMH_KEY,0)),0)</f>
        <v>0</v>
      </c>
      <c r="BZ498" s="38">
        <f>IFERROR(INDEX(LMH_STEP,MATCH(AL498,LMH_KEY,0)),0)</f>
        <v>0</v>
      </c>
      <c r="CA498" s="38" t="inlineStr">
        <is>
          <t>CARBON|Technology|Lead Software Engineer – POD Lead|B2|B-IC</t>
        </is>
      </c>
    </row>
    <row r="499" ht="110" customHeight="1">
      <c r="A499" s="28" t="inlineStr">
        <is>
          <t>CARBON</t>
        </is>
      </c>
      <c r="B499" s="29" t="inlineStr">
        <is>
          <t>Technology</t>
        </is>
      </c>
      <c r="C499" s="29" t="n">
        <v>3</v>
      </c>
      <c r="D499" s="29" t="inlineStr">
        <is>
          <t>IRIS2021</t>
        </is>
      </c>
      <c r="E499" s="29" t="inlineStr">
        <is>
          <t>Alpesh Chaudhari</t>
        </is>
      </c>
      <c r="F499" s="29" t="inlineStr">
        <is>
          <t>Software Engineer</t>
        </is>
      </c>
      <c r="G499" s="29" t="inlineStr">
        <is>
          <t>Senior Software Engineer</t>
        </is>
      </c>
      <c r="H499" s="29" t="inlineStr">
        <is>
          <t>Engineering &amp; Development</t>
        </is>
      </c>
      <c r="I499" s="29" t="inlineStr">
        <is>
          <t>Backend Development</t>
        </is>
      </c>
      <c r="J499" s="29" t="inlineStr">
        <is>
          <t>IC</t>
        </is>
      </c>
      <c r="K499" s="29" t="inlineStr">
        <is>
          <t>RC-067</t>
        </is>
      </c>
      <c r="L499" s="29" t="inlineStr">
        <is>
          <t>Dhiraj Suryawanshi</t>
        </is>
      </c>
      <c r="M499" s="29" t="inlineStr">
        <is>
          <t>IRIS1477</t>
        </is>
      </c>
      <c r="N499" s="29" t="n">
        <v>4.6</v>
      </c>
      <c r="O499" s="29" t="n">
        <v>4.3</v>
      </c>
      <c r="P499" s="29" t="inlineStr">
        <is>
          <t>MCA</t>
        </is>
      </c>
      <c r="Q499" s="29" t="inlineStr">
        <is>
          <t>L3 – Professional / Associate</t>
        </is>
      </c>
      <c r="R499" s="29" t="inlineStr">
        <is>
          <t>A3</t>
        </is>
      </c>
      <c r="S499" s="30" t="inlineStr">
        <is>
          <t>20 of 20</t>
        </is>
      </c>
      <c r="T499" s="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t>
        </is>
      </c>
      <c r="U499" s="31" t="inlineStr">
        <is>
          <t>Received · manager annual · 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t>
        </is>
      </c>
      <c r="V499" s="31" t="inlineStr">
        <is>
          <t>Latest rating: Not rated · manager · 9-box: Not placed · manager · Readiness: No rating data</t>
        </is>
      </c>
      <c r="W499" s="31" t="inlineStr">
        <is>
          <t>C M · Au M · Ac M · L H · BI M · Exp H · 4.6 yrs vs 2–4 yrs · Edu H · MCA</t>
        </is>
      </c>
      <c r="X499" s="33" t="inlineStr">
        <is>
          <t>Open ▸</t>
        </is>
      </c>
      <c r="Y499" s="34" t="str">
        <f>IFERROR(INDEX(DL_C,MATCH($CA499,DL_KEY,0)),"M")</f>
        <v>H</v>
      </c>
      <c r="Z499" s="35" t="str">
        <f>IFERROR(INDEX(DL_Au,MATCH($CA499,DL_KEY,0)),"M")</f>
        <v>M</v>
      </c>
      <c r="AA499" s="35" t="str">
        <f>IFERROR(INDEX(DL_Ac,MATCH($CA499,DL_KEY,0)),"M")</f>
        <v>L</v>
      </c>
      <c r="AB499" s="35" t="str">
        <f>IFERROR(INDEX(DL_L,MATCH($CA499,DL_KEY,0)),"M")</f>
        <v>L</v>
      </c>
      <c r="AC499" s="35" t="str">
        <f>IFERROR(INDEX(DL_BI,MATCH($CA499,DL_KEY,0)),"M")</f>
        <v>L</v>
      </c>
      <c r="AD499" s="35" t="str">
        <f>IFERROR(INDEX(DL_Exp,MATCH($CA499,DL_KEY,0)),"M")</f>
        <v>L</v>
      </c>
      <c r="AE499" s="35" t="str">
        <f>IFERROR(INDEX(DL_Edu,MATCH($CA499,DL_KEY,0)),"M")</f>
        <v>L</v>
      </c>
      <c r="AF499" s="34" t="inlineStr">
        <is>
          <t>M</t>
        </is>
      </c>
      <c r="AG499" s="35" t="inlineStr">
        <is>
          <t>M</t>
        </is>
      </c>
      <c r="AH499" s="35" t="inlineStr">
        <is>
          <t>M</t>
        </is>
      </c>
      <c r="AI499" s="35" t="inlineStr">
        <is>
          <t>M</t>
        </is>
      </c>
      <c r="AJ499" s="35" t="inlineStr">
        <is>
          <t>M</t>
        </is>
      </c>
      <c r="AK499" s="35" t="inlineStr">
        <is>
          <t>M</t>
        </is>
      </c>
      <c r="AL499" s="35" t="inlineStr">
        <is>
          <t>M</t>
        </is>
      </c>
      <c r="AM499" s="36" t="n">
        <v>0.583</v>
      </c>
      <c r="AN499" s="37" t="n">
        <v>0.16</v>
      </c>
      <c r="AO499" s="37" t="n">
        <v>0.09</v>
      </c>
      <c r="AP499" s="37" t="n">
        <v>0</v>
      </c>
      <c r="AQ499" s="37" t="n">
        <v>0.063</v>
      </c>
      <c r="AR499" s="37" t="n">
        <v>0.06</v>
      </c>
      <c r="AS499" s="37" t="n">
        <v>0.04</v>
      </c>
      <c r="AT499" s="38" t="inlineStr">
        <is>
          <t>2–5</t>
        </is>
      </c>
      <c r="AU499" s="38" t="inlineStr">
        <is>
          <t>Graduate; relevant certification preferred</t>
        </is>
      </c>
      <c r="AV499" s="38" t="inlineStr">
        <is>
          <t>None · guides 1–3 juniors informally</t>
        </is>
      </c>
      <c r="AW499" s="38" t="inlineStr">
        <is>
          <t>P2 · SFIA 3 Apply</t>
        </is>
      </c>
      <c r="AX4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9" s="39" t="inlineStr">
        <is>
          <t>A3</t>
        </is>
      </c>
      <c r="AZ499" s="40" t="inlineStr">
        <is>
          <t>Band A · Practitioner · Senior Associate</t>
        </is>
      </c>
      <c r="BA499" s="40" t="inlineStr">
        <is>
          <t>Model A3 from the six ratings, the market-derived weights and rules R1–R13 · then No change · already below the manager</t>
        </is>
      </c>
      <c r="BB499" s="41" t="inlineStr">
        <is>
          <t>A3</t>
        </is>
      </c>
      <c r="BC499" s="40" t="inlineStr">
        <is>
          <t>The six ratings on the market-average weights of Band A · all tracks score 3.18 → A3 · Hay, Mercer IPE and public plans · experience 4.6 yrs vs the A3 market range 2–5</t>
        </is>
      </c>
      <c r="BD499" s="42">
        <f>IF(SUM(BM499,BN499,BO499,BP499,BQ499,BR499,BS499)=0,0,(BM499*BT499+BN499*BU499+BO499*BV499+BP499*BW499+BQ499*BX499+BR499*BY499+BS499*BZ499)/SUM(BM499,BN499,BO499,BP499,BQ499,BR499,BS499))</f>
        <v>0</v>
      </c>
      <c r="BE499" s="41" t="str">
        <f>IF(LEFT(AY499,1)="X",AY499,IF(OR(AY499="B+",AY499="C+"),INDEX(LAD_PC,MAX(1,MIN(14,MATCH(AY499,LAD_PC,0)+IF(BD499&gt;=0.5,1,IF(BD499&lt;=-0.5,-1,0))))),INDEX(LAD_STD,MAX(1,MIN(12,MATCH(AY499,LAD_STD,0)+IF(BD499&gt;=0.5,1,IF(BD499&lt;=-0.5,-1,0)))))))</f>
        <v>A3</v>
      </c>
      <c r="BF499" s="43" t="n"/>
      <c r="BG499" s="41" t="str">
        <f>IF(BF499&lt;&gt;"",BF499,BE499)</f>
        <v>A3</v>
      </c>
      <c r="BH499" s="40" t="str">
        <f>IFERROR(CHOOSE(INDEX(B_RANK,MATCH(BG499,B_LVL,0)),"Band A","Band B","B+ · Player-Coach","Band C","C+ · Player-Coach","Band D","Band E"),"Band X · Consultant")</f>
        <v>Band A</v>
      </c>
      <c r="BI499" s="40" t="str">
        <f>IF(BG499=AY499,"• Same",IF(INDEX(B_VAL,MATCH(BG499,B_LVL,0))&gt;INDEX(B_VAL,MATCH(AY499,B_LVL,0)),"▲ Up","▼ Down"))</f>
        <v>• Same</v>
      </c>
      <c r="BJ499" s="40" t="str">
        <f>IF(OR($M499="",$M499="—",$M499="Not in this file"),"",IFERROR(INDEX($BG$7:$BG$592,MATCH($M499,$D$7:$D$592,0)),""))</f>
        <v>B2</v>
      </c>
      <c r="BK499" s="40" t="str">
        <f>IFERROR(IF(BJ499="","—",IF(OR(LEFT(BG499,1)="X",LEFT(BJ499,1)="X"),"—",IF(AND(LEFT(BG499,1)="E",LEFT(BJ499,1)="E"),"Exception · Band E",IF(AND(INDEX(B_VAL,MATCH(BJ499,B_LVL,0))&gt;=7,INDEX(B_RANK,MATCH(BG499,B_LVL,0))&gt;=INDEX(B_RANK,MATCH(BJ499,B_LVL,0))),"⚠ Same band as a head manager",IF(INDEX(B_VAL,MATCH(BG499,B_LVL,0))&gt;=INDEX(B_VAL,MATCH(BJ499,B_LVL,0)),"⚠ At or above the manager's level","OK"))))),"—")</f>
        <v>OK</v>
      </c>
      <c r="BL499" s="43" t="n"/>
      <c r="BM499" s="44">
        <f>IFERROR(INDEX(LMH_PTS,MATCH(Y499,LMH_KEY,0)),0)</f>
        <v>9</v>
      </c>
      <c r="BN499" s="38">
        <f>IFERROR(INDEX(LMH_PTS,MATCH(Z499,LMH_KEY,0)),0)</f>
        <v>3</v>
      </c>
      <c r="BO499" s="38">
        <f>IFERROR(INDEX(LMH_PTS,MATCH(AA499,LMH_KEY,0)),0)</f>
        <v>1</v>
      </c>
      <c r="BP499" s="38">
        <f>IFERROR(INDEX(LMH_PTS,MATCH(AB499,LMH_KEY,0)),0)</f>
        <v>1</v>
      </c>
      <c r="BQ499" s="38">
        <f>IFERROR(INDEX(LMH_PTS,MATCH(AC499,LMH_KEY,0)),0)</f>
        <v>1</v>
      </c>
      <c r="BR499" s="38">
        <f>IFERROR(INDEX(LMH_PTS,MATCH(AD499,LMH_KEY,0)),0)</f>
        <v>1</v>
      </c>
      <c r="BS499" s="38">
        <f>IFERROR(INDEX(LMH_PTS,MATCH(AE499,LMH_KEY,0)),0)</f>
        <v>1</v>
      </c>
      <c r="BT499" s="38">
        <f>IFERROR(INDEX(LMH_STEP,MATCH(AF499,LMH_KEY,0)),0)</f>
        <v>0</v>
      </c>
      <c r="BU499" s="38">
        <f>IFERROR(INDEX(LMH_STEP,MATCH(AG499,LMH_KEY,0)),0)</f>
        <v>0</v>
      </c>
      <c r="BV499" s="38">
        <f>IFERROR(INDEX(LMH_STEP,MATCH(AH499,LMH_KEY,0)),0)</f>
        <v>0</v>
      </c>
      <c r="BW499" s="38">
        <f>IFERROR(INDEX(LMH_STEP,MATCH(AI499,LMH_KEY,0)),0)</f>
        <v>0</v>
      </c>
      <c r="BX499" s="38">
        <f>IFERROR(INDEX(LMH_STEP,MATCH(AJ499,LMH_KEY,0)),0)</f>
        <v>0</v>
      </c>
      <c r="BY499" s="38">
        <f>IFERROR(INDEX(LMH_STEP,MATCH(AK499,LMH_KEY,0)),0)</f>
        <v>0</v>
      </c>
      <c r="BZ499" s="38">
        <f>IFERROR(INDEX(LMH_STEP,MATCH(AL499,LMH_KEY,0)),0)</f>
        <v>0</v>
      </c>
      <c r="CA499" s="38" t="inlineStr">
        <is>
          <t>CARBON|Technology|Senior Software Engineer|A3|A</t>
        </is>
      </c>
    </row>
    <row r="500" ht="110" customHeight="1">
      <c r="A500" s="28" t="inlineStr">
        <is>
          <t>CARBON</t>
        </is>
      </c>
      <c r="B500" s="29" t="inlineStr">
        <is>
          <t>Technology</t>
        </is>
      </c>
      <c r="C500" s="29" t="n">
        <v>4</v>
      </c>
      <c r="D500" s="29" t="inlineStr">
        <is>
          <t>IRIS2444</t>
        </is>
      </c>
      <c r="E500" s="29" t="inlineStr">
        <is>
          <t>Dev Hinged</t>
        </is>
      </c>
      <c r="F500" s="29" t="inlineStr">
        <is>
          <t>Trainee AI Engineer</t>
        </is>
      </c>
      <c r="G500" s="29" t="inlineStr">
        <is>
          <t>AI/ML Engineer</t>
        </is>
      </c>
      <c r="H500" s="29" t="inlineStr">
        <is>
          <t>Engineering &amp; Development</t>
        </is>
      </c>
      <c r="I500" s="29" t="inlineStr">
        <is>
          <t>AI / ML &amp; GenAI Engineering</t>
        </is>
      </c>
      <c r="J500" s="29" t="inlineStr">
        <is>
          <t>IC</t>
        </is>
      </c>
      <c r="K500" s="29" t="inlineStr">
        <is>
          <t>RC-059</t>
        </is>
      </c>
      <c r="L500" s="29" t="inlineStr">
        <is>
          <t>Alpesh Chaudhari</t>
        </is>
      </c>
      <c r="M500" s="29" t="inlineStr">
        <is>
          <t>IRIS2021</t>
        </is>
      </c>
      <c r="N500" s="29" t="n">
        <v>1.5</v>
      </c>
      <c r="O500" s="29" t="n">
        <v>0.9</v>
      </c>
      <c r="P500" s="29" t="inlineStr">
        <is>
          <t>B.Tech</t>
        </is>
      </c>
      <c r="Q500" s="29" t="inlineStr">
        <is>
          <t>L2 – Trainee</t>
        </is>
      </c>
      <c r="R500" s="29" t="inlineStr">
        <is>
          <t>A2</t>
        </is>
      </c>
      <c r="S500" s="30" t="inlineStr">
        <is>
          <t>20 of 20</t>
        </is>
      </c>
      <c r="T500" s="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t>
        </is>
      </c>
      <c r="U500" s="31" t="inlineStr">
        <is>
          <t>Received · manager annual · 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t>
        </is>
      </c>
      <c r="V500" s="31" t="inlineStr">
        <is>
          <t>Latest rating: Not rated · manager · 9-box: Future Leader · Readiness: No rating data</t>
        </is>
      </c>
      <c r="W500" s="31" t="inlineStr">
        <is>
          <t>C M · Au M · Ac M · L L · BI M · Exp M · 1.5 yrs vs 0–2 yrs · Edu M · B.Tech</t>
        </is>
      </c>
      <c r="X500" s="33" t="inlineStr">
        <is>
          <t>Open ▸</t>
        </is>
      </c>
      <c r="Y500" s="34" t="str">
        <f>IFERROR(INDEX(DL_C,MATCH($CA500,DL_KEY,0)),"M")</f>
        <v>H</v>
      </c>
      <c r="Z500" s="35" t="str">
        <f>IFERROR(INDEX(DL_Au,MATCH($CA500,DL_KEY,0)),"M")</f>
        <v>M</v>
      </c>
      <c r="AA500" s="35" t="str">
        <f>IFERROR(INDEX(DL_Ac,MATCH($CA500,DL_KEY,0)),"M")</f>
        <v>L</v>
      </c>
      <c r="AB500" s="35" t="str">
        <f>IFERROR(INDEX(DL_L,MATCH($CA500,DL_KEY,0)),"M")</f>
        <v>L</v>
      </c>
      <c r="AC500" s="35" t="str">
        <f>IFERROR(INDEX(DL_BI,MATCH($CA500,DL_KEY,0)),"M")</f>
        <v>L</v>
      </c>
      <c r="AD500" s="35" t="str">
        <f>IFERROR(INDEX(DL_Exp,MATCH($CA500,DL_KEY,0)),"M")</f>
        <v>L</v>
      </c>
      <c r="AE500" s="35" t="str">
        <f>IFERROR(INDEX(DL_Edu,MATCH($CA500,DL_KEY,0)),"M")</f>
        <v>L</v>
      </c>
      <c r="AF500" s="34" t="inlineStr">
        <is>
          <t>M</t>
        </is>
      </c>
      <c r="AG500" s="35" t="inlineStr">
        <is>
          <t>M</t>
        </is>
      </c>
      <c r="AH500" s="35" t="inlineStr">
        <is>
          <t>M</t>
        </is>
      </c>
      <c r="AI500" s="35" t="inlineStr">
        <is>
          <t>M</t>
        </is>
      </c>
      <c r="AJ500" s="35" t="inlineStr">
        <is>
          <t>M</t>
        </is>
      </c>
      <c r="AK500" s="35" t="inlineStr">
        <is>
          <t>M</t>
        </is>
      </c>
      <c r="AL500" s="35" t="inlineStr">
        <is>
          <t>M</t>
        </is>
      </c>
      <c r="AM500" s="36" t="n">
        <v>0.583</v>
      </c>
      <c r="AN500" s="37" t="n">
        <v>0.16</v>
      </c>
      <c r="AO500" s="37" t="n">
        <v>0.09</v>
      </c>
      <c r="AP500" s="37" t="n">
        <v>0</v>
      </c>
      <c r="AQ500" s="37" t="n">
        <v>0.063</v>
      </c>
      <c r="AR500" s="37" t="n">
        <v>0.06</v>
      </c>
      <c r="AS500" s="37" t="n">
        <v>0.04</v>
      </c>
      <c r="AT500" s="38" t="inlineStr">
        <is>
          <t>0–3</t>
        </is>
      </c>
      <c r="AU500" s="38" t="inlineStr">
        <is>
          <t>Graduate · or diploma with experience</t>
        </is>
      </c>
      <c r="AV500" s="38" t="inlineStr">
        <is>
          <t>No direct reports</t>
        </is>
      </c>
      <c r="AW500" s="38" t="inlineStr">
        <is>
          <t>P1–P2 · SFIA 2 Assist</t>
        </is>
      </c>
      <c r="AX5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0" s="39" t="inlineStr">
        <is>
          <t>A2</t>
        </is>
      </c>
      <c r="AZ500" s="40" t="inlineStr">
        <is>
          <t>Band A · Practitioner · Associate</t>
        </is>
      </c>
      <c r="BA500" s="40" t="inlineStr">
        <is>
          <t>Model A2 from the six ratings, the market-derived weights and rules R1–R13 · then No change · already below the manager</t>
        </is>
      </c>
      <c r="BB500" s="41" t="inlineStr">
        <is>
          <t>A2</t>
        </is>
      </c>
      <c r="BC500" s="40" t="inlineStr">
        <is>
          <t>The six ratings on the market-average weights of Band A · all tracks score 1.84 → A2 · Hay, Mercer IPE and public plans · experience 1.5 yrs vs the A2 market range 0–3</t>
        </is>
      </c>
      <c r="BD500" s="42">
        <f>IF(SUM(BM500,BN500,BO500,BP500,BQ500,BR500,BS500)=0,0,(BM500*BT500+BN500*BU500+BO500*BV500+BP500*BW500+BQ500*BX500+BR500*BY500+BS500*BZ500)/SUM(BM500,BN500,BO500,BP500,BQ500,BR500,BS500))</f>
        <v>0</v>
      </c>
      <c r="BE500" s="41" t="str">
        <f>IF(LEFT(AY500,1)="X",AY500,IF(OR(AY500="B+",AY500="C+"),INDEX(LAD_PC,MAX(1,MIN(14,MATCH(AY500,LAD_PC,0)+IF(BD500&gt;=0.5,1,IF(BD500&lt;=-0.5,-1,0))))),INDEX(LAD_STD,MAX(1,MIN(12,MATCH(AY500,LAD_STD,0)+IF(BD500&gt;=0.5,1,IF(BD500&lt;=-0.5,-1,0)))))))</f>
        <v>A2</v>
      </c>
      <c r="BF500" s="43" t="n"/>
      <c r="BG500" s="41" t="str">
        <f>IF(BF500&lt;&gt;"",BF500,BE500)</f>
        <v>A2</v>
      </c>
      <c r="BH500" s="40" t="str">
        <f>IFERROR(CHOOSE(INDEX(B_RANK,MATCH(BG500,B_LVL,0)),"Band A","Band B","B+ · Player-Coach","Band C","C+ · Player-Coach","Band D","Band E"),"Band X · Consultant")</f>
        <v>Band A</v>
      </c>
      <c r="BI500" s="40" t="str">
        <f>IF(BG500=AY500,"• Same",IF(INDEX(B_VAL,MATCH(BG500,B_LVL,0))&gt;INDEX(B_VAL,MATCH(AY500,B_LVL,0)),"▲ Up","▼ Down"))</f>
        <v>• Same</v>
      </c>
      <c r="BJ500" s="40" t="str">
        <f>IF(OR($M500="",$M500="—",$M500="Not in this file"),"",IFERROR(INDEX($BG$7:$BG$592,MATCH($M500,$D$7:$D$592,0)),""))</f>
        <v>A3</v>
      </c>
      <c r="BK500" s="40" t="str">
        <f>IFERROR(IF(BJ500="","—",IF(OR(LEFT(BG500,1)="X",LEFT(BJ500,1)="X"),"—",IF(AND(LEFT(BG500,1)="E",LEFT(BJ500,1)="E"),"Exception · Band E",IF(AND(INDEX(B_VAL,MATCH(BJ500,B_LVL,0))&gt;=7,INDEX(B_RANK,MATCH(BG500,B_LVL,0))&gt;=INDEX(B_RANK,MATCH(BJ500,B_LVL,0))),"⚠ Same band as a head manager",IF(INDEX(B_VAL,MATCH(BG500,B_LVL,0))&gt;=INDEX(B_VAL,MATCH(BJ500,B_LVL,0)),"⚠ At or above the manager's level","OK"))))),"—")</f>
        <v>OK</v>
      </c>
      <c r="BL500" s="43" t="n"/>
      <c r="BM500" s="44">
        <f>IFERROR(INDEX(LMH_PTS,MATCH(Y500,LMH_KEY,0)),0)</f>
        <v>9</v>
      </c>
      <c r="BN500" s="38">
        <f>IFERROR(INDEX(LMH_PTS,MATCH(Z500,LMH_KEY,0)),0)</f>
        <v>3</v>
      </c>
      <c r="BO500" s="38">
        <f>IFERROR(INDEX(LMH_PTS,MATCH(AA500,LMH_KEY,0)),0)</f>
        <v>1</v>
      </c>
      <c r="BP500" s="38">
        <f>IFERROR(INDEX(LMH_PTS,MATCH(AB500,LMH_KEY,0)),0)</f>
        <v>1</v>
      </c>
      <c r="BQ500" s="38">
        <f>IFERROR(INDEX(LMH_PTS,MATCH(AC500,LMH_KEY,0)),0)</f>
        <v>1</v>
      </c>
      <c r="BR500" s="38">
        <f>IFERROR(INDEX(LMH_PTS,MATCH(AD500,LMH_KEY,0)),0)</f>
        <v>1</v>
      </c>
      <c r="BS500" s="38">
        <f>IFERROR(INDEX(LMH_PTS,MATCH(AE500,LMH_KEY,0)),0)</f>
        <v>1</v>
      </c>
      <c r="BT500" s="38">
        <f>IFERROR(INDEX(LMH_STEP,MATCH(AF500,LMH_KEY,0)),0)</f>
        <v>0</v>
      </c>
      <c r="BU500" s="38">
        <f>IFERROR(INDEX(LMH_STEP,MATCH(AG500,LMH_KEY,0)),0)</f>
        <v>0</v>
      </c>
      <c r="BV500" s="38">
        <f>IFERROR(INDEX(LMH_STEP,MATCH(AH500,LMH_KEY,0)),0)</f>
        <v>0</v>
      </c>
      <c r="BW500" s="38">
        <f>IFERROR(INDEX(LMH_STEP,MATCH(AI500,LMH_KEY,0)),0)</f>
        <v>0</v>
      </c>
      <c r="BX500" s="38">
        <f>IFERROR(INDEX(LMH_STEP,MATCH(AJ500,LMH_KEY,0)),0)</f>
        <v>0</v>
      </c>
      <c r="BY500" s="38">
        <f>IFERROR(INDEX(LMH_STEP,MATCH(AK500,LMH_KEY,0)),0)</f>
        <v>0</v>
      </c>
      <c r="BZ500" s="38">
        <f>IFERROR(INDEX(LMH_STEP,MATCH(AL500,LMH_KEY,0)),0)</f>
        <v>0</v>
      </c>
      <c r="CA500" s="38" t="inlineStr">
        <is>
          <t>CARBON|Technology|AI/ML Engineer|A2|A</t>
        </is>
      </c>
    </row>
    <row r="501" ht="110" customHeight="1">
      <c r="A501" s="28" t="inlineStr">
        <is>
          <t>CARBON</t>
        </is>
      </c>
      <c r="B501" s="29" t="inlineStr">
        <is>
          <t>Technology</t>
        </is>
      </c>
      <c r="C501" s="29" t="n">
        <v>4</v>
      </c>
      <c r="D501" s="29" t="inlineStr">
        <is>
          <t>IRIS2394</t>
        </is>
      </c>
      <c r="E501" s="29" t="inlineStr">
        <is>
          <t>Meet Patel</t>
        </is>
      </c>
      <c r="F501" s="29" t="inlineStr">
        <is>
          <t>Trainee Software Engineer</t>
        </is>
      </c>
      <c r="G501" s="29" t="inlineStr">
        <is>
          <t>Software Engineer</t>
        </is>
      </c>
      <c r="H501" s="29" t="inlineStr">
        <is>
          <t>Engineering &amp; Development</t>
        </is>
      </c>
      <c r="I501" s="29" t="inlineStr">
        <is>
          <t>Backend Development</t>
        </is>
      </c>
      <c r="J501" s="29" t="inlineStr">
        <is>
          <t>IC</t>
        </is>
      </c>
      <c r="K501" s="29" t="inlineStr">
        <is>
          <t>RC-066</t>
        </is>
      </c>
      <c r="L501" s="29" t="inlineStr">
        <is>
          <t>Alpesh Chaudhari</t>
        </is>
      </c>
      <c r="M501" s="29" t="inlineStr">
        <is>
          <t>IRIS2021</t>
        </is>
      </c>
      <c r="N501" s="29" t="n">
        <v>1.2</v>
      </c>
      <c r="O501" s="29" t="n">
        <v>1.2</v>
      </c>
      <c r="P501" s="29" t="inlineStr">
        <is>
          <t>B.Sc</t>
        </is>
      </c>
      <c r="Q501" s="29" t="inlineStr">
        <is>
          <t>L2 – Trainee</t>
        </is>
      </c>
      <c r="R501" s="29" t="inlineStr">
        <is>
          <t>A2</t>
        </is>
      </c>
      <c r="S501" s="30" t="inlineStr">
        <is>
          <t>20 of 20</t>
        </is>
      </c>
      <c r="T501" s="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t>
        </is>
      </c>
      <c r="U501" s="31" t="inlineStr">
        <is>
          <t>Received · manager annual · 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t>
        </is>
      </c>
      <c r="V501" s="31" t="inlineStr">
        <is>
          <t>Latest rating: Not rated · manager · 9-box: Future Leader · Readiness: No rating data</t>
        </is>
      </c>
      <c r="W501" s="31" t="inlineStr">
        <is>
          <t>C M · Au M · Ac M · L M · BI M · Exp M · 1.2 yrs vs 0–2 yrs · Edu M · B.Sc</t>
        </is>
      </c>
      <c r="X501" s="33" t="inlineStr">
        <is>
          <t>Open ▸</t>
        </is>
      </c>
      <c r="Y501" s="34" t="str">
        <f>IFERROR(INDEX(DL_C,MATCH($CA501,DL_KEY,0)),"M")</f>
        <v>H</v>
      </c>
      <c r="Z501" s="35" t="str">
        <f>IFERROR(INDEX(DL_Au,MATCH($CA501,DL_KEY,0)),"M")</f>
        <v>M</v>
      </c>
      <c r="AA501" s="35" t="str">
        <f>IFERROR(INDEX(DL_Ac,MATCH($CA501,DL_KEY,0)),"M")</f>
        <v>L</v>
      </c>
      <c r="AB501" s="35" t="str">
        <f>IFERROR(INDEX(DL_L,MATCH($CA501,DL_KEY,0)),"M")</f>
        <v>L</v>
      </c>
      <c r="AC501" s="35" t="str">
        <f>IFERROR(INDEX(DL_BI,MATCH($CA501,DL_KEY,0)),"M")</f>
        <v>L</v>
      </c>
      <c r="AD501" s="35" t="str">
        <f>IFERROR(INDEX(DL_Exp,MATCH($CA501,DL_KEY,0)),"M")</f>
        <v>L</v>
      </c>
      <c r="AE501" s="35" t="str">
        <f>IFERROR(INDEX(DL_Edu,MATCH($CA501,DL_KEY,0)),"M")</f>
        <v>L</v>
      </c>
      <c r="AF501" s="34" t="inlineStr">
        <is>
          <t>M</t>
        </is>
      </c>
      <c r="AG501" s="35" t="inlineStr">
        <is>
          <t>M</t>
        </is>
      </c>
      <c r="AH501" s="35" t="inlineStr">
        <is>
          <t>M</t>
        </is>
      </c>
      <c r="AI501" s="35" t="inlineStr">
        <is>
          <t>M</t>
        </is>
      </c>
      <c r="AJ501" s="35" t="inlineStr">
        <is>
          <t>M</t>
        </is>
      </c>
      <c r="AK501" s="35" t="inlineStr">
        <is>
          <t>M</t>
        </is>
      </c>
      <c r="AL501" s="35" t="inlineStr">
        <is>
          <t>M</t>
        </is>
      </c>
      <c r="AM501" s="36" t="n">
        <v>0.583</v>
      </c>
      <c r="AN501" s="37" t="n">
        <v>0.16</v>
      </c>
      <c r="AO501" s="37" t="n">
        <v>0.09</v>
      </c>
      <c r="AP501" s="37" t="n">
        <v>0</v>
      </c>
      <c r="AQ501" s="37" t="n">
        <v>0.063</v>
      </c>
      <c r="AR501" s="37" t="n">
        <v>0.06</v>
      </c>
      <c r="AS501" s="37" t="n">
        <v>0.04</v>
      </c>
      <c r="AT501" s="38" t="inlineStr">
        <is>
          <t>0–3</t>
        </is>
      </c>
      <c r="AU501" s="38" t="inlineStr">
        <is>
          <t>Graduate · or diploma with experience</t>
        </is>
      </c>
      <c r="AV501" s="38" t="inlineStr">
        <is>
          <t>No direct reports</t>
        </is>
      </c>
      <c r="AW501" s="38" t="inlineStr">
        <is>
          <t>P1–P2 · SFIA 2 Assist</t>
        </is>
      </c>
      <c r="AX5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1" s="39" t="inlineStr">
        <is>
          <t>A2</t>
        </is>
      </c>
      <c r="AZ501" s="40" t="inlineStr">
        <is>
          <t>Band A · Practitioner · Associate</t>
        </is>
      </c>
      <c r="BA501" s="40" t="inlineStr">
        <is>
          <t>Model A2 from the six ratings, the market-derived weights and rules R1–R13 · then No change · already below the manager</t>
        </is>
      </c>
      <c r="BB501" s="41" t="inlineStr">
        <is>
          <t>A2</t>
        </is>
      </c>
      <c r="BC501" s="40" t="inlineStr">
        <is>
          <t>The six ratings on the market-average weights of Band A · all tracks score 1.55 → A2 · Hay, Mercer IPE and public plans · experience 1.2 yrs vs the A2 market range 0–3</t>
        </is>
      </c>
      <c r="BD501" s="42">
        <f>IF(SUM(BM501,BN501,BO501,BP501,BQ501,BR501,BS501)=0,0,(BM501*BT501+BN501*BU501+BO501*BV501+BP501*BW501+BQ501*BX501+BR501*BY501+BS501*BZ501)/SUM(BM501,BN501,BO501,BP501,BQ501,BR501,BS501))</f>
        <v>0</v>
      </c>
      <c r="BE501" s="41" t="str">
        <f>IF(LEFT(AY501,1)="X",AY501,IF(OR(AY501="B+",AY501="C+"),INDEX(LAD_PC,MAX(1,MIN(14,MATCH(AY501,LAD_PC,0)+IF(BD501&gt;=0.5,1,IF(BD501&lt;=-0.5,-1,0))))),INDEX(LAD_STD,MAX(1,MIN(12,MATCH(AY501,LAD_STD,0)+IF(BD501&gt;=0.5,1,IF(BD501&lt;=-0.5,-1,0)))))))</f>
        <v>A2</v>
      </c>
      <c r="BF501" s="43" t="n"/>
      <c r="BG501" s="41" t="str">
        <f>IF(BF501&lt;&gt;"",BF501,BE501)</f>
        <v>A2</v>
      </c>
      <c r="BH501" s="40" t="str">
        <f>IFERROR(CHOOSE(INDEX(B_RANK,MATCH(BG501,B_LVL,0)),"Band A","Band B","B+ · Player-Coach","Band C","C+ · Player-Coach","Band D","Band E"),"Band X · Consultant")</f>
        <v>Band A</v>
      </c>
      <c r="BI501" s="40" t="str">
        <f>IF(BG501=AY501,"• Same",IF(INDEX(B_VAL,MATCH(BG501,B_LVL,0))&gt;INDEX(B_VAL,MATCH(AY501,B_LVL,0)),"▲ Up","▼ Down"))</f>
        <v>• Same</v>
      </c>
      <c r="BJ501" s="40" t="str">
        <f>IF(OR($M501="",$M501="—",$M501="Not in this file"),"",IFERROR(INDEX($BG$7:$BG$592,MATCH($M501,$D$7:$D$592,0)),""))</f>
        <v>A3</v>
      </c>
      <c r="BK501" s="40" t="str">
        <f>IFERROR(IF(BJ501="","—",IF(OR(LEFT(BG501,1)="X",LEFT(BJ501,1)="X"),"—",IF(AND(LEFT(BG501,1)="E",LEFT(BJ501,1)="E"),"Exception · Band E",IF(AND(INDEX(B_VAL,MATCH(BJ501,B_LVL,0))&gt;=7,INDEX(B_RANK,MATCH(BG501,B_LVL,0))&gt;=INDEX(B_RANK,MATCH(BJ501,B_LVL,0))),"⚠ Same band as a head manager",IF(INDEX(B_VAL,MATCH(BG501,B_LVL,0))&gt;=INDEX(B_VAL,MATCH(BJ501,B_LVL,0)),"⚠ At or above the manager's level","OK"))))),"—")</f>
        <v>OK</v>
      </c>
      <c r="BL501" s="43" t="n"/>
      <c r="BM501" s="44">
        <f>IFERROR(INDEX(LMH_PTS,MATCH(Y501,LMH_KEY,0)),0)</f>
        <v>9</v>
      </c>
      <c r="BN501" s="38">
        <f>IFERROR(INDEX(LMH_PTS,MATCH(Z501,LMH_KEY,0)),0)</f>
        <v>3</v>
      </c>
      <c r="BO501" s="38">
        <f>IFERROR(INDEX(LMH_PTS,MATCH(AA501,LMH_KEY,0)),0)</f>
        <v>1</v>
      </c>
      <c r="BP501" s="38">
        <f>IFERROR(INDEX(LMH_PTS,MATCH(AB501,LMH_KEY,0)),0)</f>
        <v>1</v>
      </c>
      <c r="BQ501" s="38">
        <f>IFERROR(INDEX(LMH_PTS,MATCH(AC501,LMH_KEY,0)),0)</f>
        <v>1</v>
      </c>
      <c r="BR501" s="38">
        <f>IFERROR(INDEX(LMH_PTS,MATCH(AD501,LMH_KEY,0)),0)</f>
        <v>1</v>
      </c>
      <c r="BS501" s="38">
        <f>IFERROR(INDEX(LMH_PTS,MATCH(AE501,LMH_KEY,0)),0)</f>
        <v>1</v>
      </c>
      <c r="BT501" s="38">
        <f>IFERROR(INDEX(LMH_STEP,MATCH(AF501,LMH_KEY,0)),0)</f>
        <v>0</v>
      </c>
      <c r="BU501" s="38">
        <f>IFERROR(INDEX(LMH_STEP,MATCH(AG501,LMH_KEY,0)),0)</f>
        <v>0</v>
      </c>
      <c r="BV501" s="38">
        <f>IFERROR(INDEX(LMH_STEP,MATCH(AH501,LMH_KEY,0)),0)</f>
        <v>0</v>
      </c>
      <c r="BW501" s="38">
        <f>IFERROR(INDEX(LMH_STEP,MATCH(AI501,LMH_KEY,0)),0)</f>
        <v>0</v>
      </c>
      <c r="BX501" s="38">
        <f>IFERROR(INDEX(LMH_STEP,MATCH(AJ501,LMH_KEY,0)),0)</f>
        <v>0</v>
      </c>
      <c r="BY501" s="38">
        <f>IFERROR(INDEX(LMH_STEP,MATCH(AK501,LMH_KEY,0)),0)</f>
        <v>0</v>
      </c>
      <c r="BZ501" s="38">
        <f>IFERROR(INDEX(LMH_STEP,MATCH(AL501,LMH_KEY,0)),0)</f>
        <v>0</v>
      </c>
      <c r="CA501" s="38" t="inlineStr">
        <is>
          <t>CARBON|Technology|Software Engineer|A2|A</t>
        </is>
      </c>
    </row>
    <row r="502" ht="110" customHeight="1">
      <c r="A502" s="28" t="inlineStr">
        <is>
          <t>CARBON</t>
        </is>
      </c>
      <c r="B502" s="29" t="inlineStr">
        <is>
          <t>Technology</t>
        </is>
      </c>
      <c r="C502" s="29" t="n">
        <v>4</v>
      </c>
      <c r="D502" s="29" t="inlineStr">
        <is>
          <t>IRIS2454</t>
        </is>
      </c>
      <c r="E502" s="29" t="inlineStr">
        <is>
          <t>Ayush Sharma</t>
        </is>
      </c>
      <c r="F502" s="29" t="inlineStr">
        <is>
          <t>Trainee Software Engineer</t>
        </is>
      </c>
      <c r="G502" s="29" t="inlineStr">
        <is>
          <t>Trainee Software Engineer</t>
        </is>
      </c>
      <c r="H502" s="29" t="inlineStr">
        <is>
          <t>Engineering &amp; Development</t>
        </is>
      </c>
      <c r="I502" s="29" t="inlineStr">
        <is>
          <t>Backend Development</t>
        </is>
      </c>
      <c r="J502" s="29" t="inlineStr">
        <is>
          <t>IC</t>
        </is>
      </c>
      <c r="K502" s="29" t="inlineStr">
        <is>
          <t>RC-065</t>
        </is>
      </c>
      <c r="L502" s="29" t="inlineStr">
        <is>
          <t>Alpesh Chaudhari</t>
        </is>
      </c>
      <c r="M502" s="29" t="inlineStr">
        <is>
          <t>IRIS2021</t>
        </is>
      </c>
      <c r="N502" s="29" t="n">
        <v>0.8</v>
      </c>
      <c r="O502" s="29" t="n">
        <v>0.8</v>
      </c>
      <c r="P502" s="29" t="inlineStr">
        <is>
          <t>B.Tech</t>
        </is>
      </c>
      <c r="Q502" s="29" t="inlineStr">
        <is>
          <t>L2 – Trainee</t>
        </is>
      </c>
      <c r="R502" s="29" t="inlineStr">
        <is>
          <t>A1</t>
        </is>
      </c>
      <c r="S502" s="30" t="inlineStr">
        <is>
          <t>20 of 20</t>
        </is>
      </c>
      <c r="T502" s="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U502" s="31" t="inlineStr">
        <is>
          <t>Received · manager annual · 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t>
        </is>
      </c>
      <c r="V502" s="31" t="inlineStr">
        <is>
          <t>Latest rating: Not rated · manager · 9-box: Trusted Professional · Readiness: No rating data</t>
        </is>
      </c>
      <c r="W502" s="31" t="inlineStr">
        <is>
          <t>C — · Au — · Ac — · L — · BI — · Exp H · 0.8 yrs vs 0 yrs · fresher / intern · Edu M · B.Tech</t>
        </is>
      </c>
      <c r="X502" s="33" t="inlineStr">
        <is>
          <t>Open ▸</t>
        </is>
      </c>
      <c r="Y502" s="34" t="str">
        <f>IFERROR(INDEX(DL_C,MATCH($CA502,DL_KEY,0)),"M")</f>
        <v>H</v>
      </c>
      <c r="Z502" s="35" t="str">
        <f>IFERROR(INDEX(DL_Au,MATCH($CA502,DL_KEY,0)),"M")</f>
        <v>M</v>
      </c>
      <c r="AA502" s="35" t="str">
        <f>IFERROR(INDEX(DL_Ac,MATCH($CA502,DL_KEY,0)),"M")</f>
        <v>L</v>
      </c>
      <c r="AB502" s="35" t="str">
        <f>IFERROR(INDEX(DL_L,MATCH($CA502,DL_KEY,0)),"M")</f>
        <v>L</v>
      </c>
      <c r="AC502" s="35" t="str">
        <f>IFERROR(INDEX(DL_BI,MATCH($CA502,DL_KEY,0)),"M")</f>
        <v>L</v>
      </c>
      <c r="AD502" s="35" t="str">
        <f>IFERROR(INDEX(DL_Exp,MATCH($CA502,DL_KEY,0)),"M")</f>
        <v>L</v>
      </c>
      <c r="AE502" s="35" t="str">
        <f>IFERROR(INDEX(DL_Edu,MATCH($CA502,DL_KEY,0)),"M")</f>
        <v>L</v>
      </c>
      <c r="AF502" s="34" t="inlineStr">
        <is>
          <t>M</t>
        </is>
      </c>
      <c r="AG502" s="35" t="inlineStr">
        <is>
          <t>M</t>
        </is>
      </c>
      <c r="AH502" s="35" t="inlineStr">
        <is>
          <t>M</t>
        </is>
      </c>
      <c r="AI502" s="35" t="inlineStr">
        <is>
          <t>M</t>
        </is>
      </c>
      <c r="AJ502" s="35" t="inlineStr">
        <is>
          <t>M</t>
        </is>
      </c>
      <c r="AK502" s="35" t="inlineStr">
        <is>
          <t>M</t>
        </is>
      </c>
      <c r="AL502" s="35" t="inlineStr">
        <is>
          <t>M</t>
        </is>
      </c>
      <c r="AM502" s="36" t="n">
        <v>0.583</v>
      </c>
      <c r="AN502" s="37" t="n">
        <v>0.16</v>
      </c>
      <c r="AO502" s="37" t="n">
        <v>0.09</v>
      </c>
      <c r="AP502" s="37" t="n">
        <v>0</v>
      </c>
      <c r="AQ502" s="37" t="n">
        <v>0.063</v>
      </c>
      <c r="AR502" s="37" t="n">
        <v>0.06</v>
      </c>
      <c r="AS502" s="37" t="n">
        <v>0.04</v>
      </c>
      <c r="AT502" s="38" t="inlineStr">
        <is>
          <t>0 yrs · fresher / intern</t>
        </is>
      </c>
      <c r="AU502" s="38" t="inlineStr">
        <is>
          <t>Pursuing or completed graduation / diploma</t>
        </is>
      </c>
      <c r="AV502" s="38" t="inlineStr">
        <is>
          <t>No direct reports</t>
        </is>
      </c>
      <c r="AW502" s="38" t="inlineStr">
        <is>
          <t>Entry / P1 · intern · SFIA 1 Follow</t>
        </is>
      </c>
      <c r="AX5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2" s="39" t="inlineStr">
        <is>
          <t>A1</t>
        </is>
      </c>
      <c r="AZ502" s="40" t="inlineStr">
        <is>
          <t>Band A · Practitioner · Intern / Trainee</t>
        </is>
      </c>
      <c r="BA502" s="40" t="inlineStr">
        <is>
          <t>Model A1 from the six ratings, the market-derived weights and rules R1–R13 · then No change · already below the manager</t>
        </is>
      </c>
      <c r="BB502" s="41" t="inlineStr">
        <is>
          <t>A1</t>
        </is>
      </c>
      <c r="BC502" s="40" t="inlineStr">
        <is>
          <t>Placed by a category rule — no full set of ratings · benchmark follows the HR proposed level</t>
        </is>
      </c>
      <c r="BD502" s="42">
        <f>IF(SUM(BM502,BN502,BO502,BP502,BQ502,BR502,BS502)=0,0,(BM502*BT502+BN502*BU502+BO502*BV502+BP502*BW502+BQ502*BX502+BR502*BY502+BS502*BZ502)/SUM(BM502,BN502,BO502,BP502,BQ502,BR502,BS502))</f>
        <v>0</v>
      </c>
      <c r="BE502" s="41" t="str">
        <f>IF(LEFT(AY502,1)="X",AY502,IF(OR(AY502="B+",AY502="C+"),INDEX(LAD_PC,MAX(1,MIN(14,MATCH(AY502,LAD_PC,0)+IF(BD502&gt;=0.5,1,IF(BD502&lt;=-0.5,-1,0))))),INDEX(LAD_STD,MAX(1,MIN(12,MATCH(AY502,LAD_STD,0)+IF(BD502&gt;=0.5,1,IF(BD502&lt;=-0.5,-1,0)))))))</f>
        <v>A1</v>
      </c>
      <c r="BF502" s="43" t="n"/>
      <c r="BG502" s="41" t="str">
        <f>IF(BF502&lt;&gt;"",BF502,BE502)</f>
        <v>A1</v>
      </c>
      <c r="BH502" s="40" t="str">
        <f>IFERROR(CHOOSE(INDEX(B_RANK,MATCH(BG502,B_LVL,0)),"Band A","Band B","B+ · Player-Coach","Band C","C+ · Player-Coach","Band D","Band E"),"Band X · Consultant")</f>
        <v>Band A</v>
      </c>
      <c r="BI502" s="40" t="str">
        <f>IF(BG502=AY502,"• Same",IF(INDEX(B_VAL,MATCH(BG502,B_LVL,0))&gt;INDEX(B_VAL,MATCH(AY502,B_LVL,0)),"▲ Up","▼ Down"))</f>
        <v>• Same</v>
      </c>
      <c r="BJ502" s="40" t="str">
        <f>IF(OR($M502="",$M502="—",$M502="Not in this file"),"",IFERROR(INDEX($BG$7:$BG$592,MATCH($M502,$D$7:$D$592,0)),""))</f>
        <v>A3</v>
      </c>
      <c r="BK502" s="40" t="str">
        <f>IFERROR(IF(BJ502="","—",IF(OR(LEFT(BG502,1)="X",LEFT(BJ502,1)="X"),"—",IF(AND(LEFT(BG502,1)="E",LEFT(BJ502,1)="E"),"Exception · Band E",IF(AND(INDEX(B_VAL,MATCH(BJ502,B_LVL,0))&gt;=7,INDEX(B_RANK,MATCH(BG502,B_LVL,0))&gt;=INDEX(B_RANK,MATCH(BJ502,B_LVL,0))),"⚠ Same band as a head manager",IF(INDEX(B_VAL,MATCH(BG502,B_LVL,0))&gt;=INDEX(B_VAL,MATCH(BJ502,B_LVL,0)),"⚠ At or above the manager's level","OK"))))),"—")</f>
        <v>OK</v>
      </c>
      <c r="BL502" s="43" t="n"/>
      <c r="BM502" s="44">
        <f>IFERROR(INDEX(LMH_PTS,MATCH(Y502,LMH_KEY,0)),0)</f>
        <v>9</v>
      </c>
      <c r="BN502" s="38">
        <f>IFERROR(INDEX(LMH_PTS,MATCH(Z502,LMH_KEY,0)),0)</f>
        <v>3</v>
      </c>
      <c r="BO502" s="38">
        <f>IFERROR(INDEX(LMH_PTS,MATCH(AA502,LMH_KEY,0)),0)</f>
        <v>1</v>
      </c>
      <c r="BP502" s="38">
        <f>IFERROR(INDEX(LMH_PTS,MATCH(AB502,LMH_KEY,0)),0)</f>
        <v>1</v>
      </c>
      <c r="BQ502" s="38">
        <f>IFERROR(INDEX(LMH_PTS,MATCH(AC502,LMH_KEY,0)),0)</f>
        <v>1</v>
      </c>
      <c r="BR502" s="38">
        <f>IFERROR(INDEX(LMH_PTS,MATCH(AD502,LMH_KEY,0)),0)</f>
        <v>1</v>
      </c>
      <c r="BS502" s="38">
        <f>IFERROR(INDEX(LMH_PTS,MATCH(AE502,LMH_KEY,0)),0)</f>
        <v>1</v>
      </c>
      <c r="BT502" s="38">
        <f>IFERROR(INDEX(LMH_STEP,MATCH(AF502,LMH_KEY,0)),0)</f>
        <v>0</v>
      </c>
      <c r="BU502" s="38">
        <f>IFERROR(INDEX(LMH_STEP,MATCH(AG502,LMH_KEY,0)),0)</f>
        <v>0</v>
      </c>
      <c r="BV502" s="38">
        <f>IFERROR(INDEX(LMH_STEP,MATCH(AH502,LMH_KEY,0)),0)</f>
        <v>0</v>
      </c>
      <c r="BW502" s="38">
        <f>IFERROR(INDEX(LMH_STEP,MATCH(AI502,LMH_KEY,0)),0)</f>
        <v>0</v>
      </c>
      <c r="BX502" s="38">
        <f>IFERROR(INDEX(LMH_STEP,MATCH(AJ502,LMH_KEY,0)),0)</f>
        <v>0</v>
      </c>
      <c r="BY502" s="38">
        <f>IFERROR(INDEX(LMH_STEP,MATCH(AK502,LMH_KEY,0)),0)</f>
        <v>0</v>
      </c>
      <c r="BZ502" s="38">
        <f>IFERROR(INDEX(LMH_STEP,MATCH(AL502,LMH_KEY,0)),0)</f>
        <v>0</v>
      </c>
      <c r="CA502" s="38" t="inlineStr">
        <is>
          <t>CARBON|Technology|Trainee Software Engineer|A1|A</t>
        </is>
      </c>
    </row>
    <row r="503" ht="110" customHeight="1">
      <c r="A503" s="28" t="inlineStr">
        <is>
          <t>CARBON</t>
        </is>
      </c>
      <c r="B503" s="29" t="inlineStr">
        <is>
          <t>Technology</t>
        </is>
      </c>
      <c r="C503" s="29" t="n">
        <v>3</v>
      </c>
      <c r="D503" s="29" t="inlineStr">
        <is>
          <t>IRIS2024</t>
        </is>
      </c>
      <c r="E503" s="29" t="inlineStr">
        <is>
          <t>Imtiyaz Pathan</t>
        </is>
      </c>
      <c r="F503" s="29" t="inlineStr">
        <is>
          <t>Software Engineer</t>
        </is>
      </c>
      <c r="G503" s="29" t="inlineStr">
        <is>
          <t>Senior Software Engineer</t>
        </is>
      </c>
      <c r="H503" s="29" t="inlineStr">
        <is>
          <t>Engineering &amp; Development</t>
        </is>
      </c>
      <c r="I503" s="29" t="inlineStr">
        <is>
          <t>Backend Development</t>
        </is>
      </c>
      <c r="J503" s="29" t="inlineStr">
        <is>
          <t>IC</t>
        </is>
      </c>
      <c r="K503" s="29" t="inlineStr">
        <is>
          <t>RC-067</t>
        </is>
      </c>
      <c r="L503" s="29" t="inlineStr">
        <is>
          <t>Dhiraj Suryawanshi</t>
        </is>
      </c>
      <c r="M503" s="29" t="inlineStr">
        <is>
          <t>IRIS1477</t>
        </is>
      </c>
      <c r="N503" s="29" t="n">
        <v>4.3</v>
      </c>
      <c r="O503" s="29" t="n">
        <v>4.3</v>
      </c>
      <c r="P503" s="29" t="inlineStr">
        <is>
          <t>MCA</t>
        </is>
      </c>
      <c r="Q503" s="29" t="inlineStr">
        <is>
          <t>L3 – Professional / Associate</t>
        </is>
      </c>
      <c r="R503" s="29" t="inlineStr">
        <is>
          <t>A3</t>
        </is>
      </c>
      <c r="S503" s="30" t="inlineStr">
        <is>
          <t>20 of 20</t>
        </is>
      </c>
      <c r="T503" s="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t>
        </is>
      </c>
      <c r="U503" s="31" t="inlineStr">
        <is>
          <t>Received · manager annual · 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t>
        </is>
      </c>
      <c r="V503" s="31" t="inlineStr">
        <is>
          <t>Latest rating: Not rated · manager · 9-box: Trusted Professional · Readiness: No rating data</t>
        </is>
      </c>
      <c r="W503" s="31" t="inlineStr">
        <is>
          <t>C L · Au L · Ac L · L L · BI L · Exp H · 4.3 yrs vs 2–4 yrs · Edu H · MCA</t>
        </is>
      </c>
      <c r="X503" s="33" t="inlineStr">
        <is>
          <t>Open ▸</t>
        </is>
      </c>
      <c r="Y503" s="34" t="str">
        <f>IFERROR(INDEX(DL_C,MATCH($CA503,DL_KEY,0)),"M")</f>
        <v>H</v>
      </c>
      <c r="Z503" s="35" t="str">
        <f>IFERROR(INDEX(DL_Au,MATCH($CA503,DL_KEY,0)),"M")</f>
        <v>M</v>
      </c>
      <c r="AA503" s="35" t="str">
        <f>IFERROR(INDEX(DL_Ac,MATCH($CA503,DL_KEY,0)),"M")</f>
        <v>L</v>
      </c>
      <c r="AB503" s="35" t="str">
        <f>IFERROR(INDEX(DL_L,MATCH($CA503,DL_KEY,0)),"M")</f>
        <v>L</v>
      </c>
      <c r="AC503" s="35" t="str">
        <f>IFERROR(INDEX(DL_BI,MATCH($CA503,DL_KEY,0)),"M")</f>
        <v>L</v>
      </c>
      <c r="AD503" s="35" t="str">
        <f>IFERROR(INDEX(DL_Exp,MATCH($CA503,DL_KEY,0)),"M")</f>
        <v>L</v>
      </c>
      <c r="AE503" s="35" t="str">
        <f>IFERROR(INDEX(DL_Edu,MATCH($CA503,DL_KEY,0)),"M")</f>
        <v>L</v>
      </c>
      <c r="AF503" s="34" t="inlineStr">
        <is>
          <t>M</t>
        </is>
      </c>
      <c r="AG503" s="35" t="inlineStr">
        <is>
          <t>M</t>
        </is>
      </c>
      <c r="AH503" s="35" t="inlineStr">
        <is>
          <t>M</t>
        </is>
      </c>
      <c r="AI503" s="35" t="inlineStr">
        <is>
          <t>M</t>
        </is>
      </c>
      <c r="AJ503" s="35" t="inlineStr">
        <is>
          <t>M</t>
        </is>
      </c>
      <c r="AK503" s="35" t="inlineStr">
        <is>
          <t>M</t>
        </is>
      </c>
      <c r="AL503" s="35" t="inlineStr">
        <is>
          <t>M</t>
        </is>
      </c>
      <c r="AM503" s="36" t="n">
        <v>0.583</v>
      </c>
      <c r="AN503" s="37" t="n">
        <v>0.16</v>
      </c>
      <c r="AO503" s="37" t="n">
        <v>0.09</v>
      </c>
      <c r="AP503" s="37" t="n">
        <v>0</v>
      </c>
      <c r="AQ503" s="37" t="n">
        <v>0.063</v>
      </c>
      <c r="AR503" s="37" t="n">
        <v>0.06</v>
      </c>
      <c r="AS503" s="37" t="n">
        <v>0.04</v>
      </c>
      <c r="AT503" s="38" t="inlineStr">
        <is>
          <t>2–5</t>
        </is>
      </c>
      <c r="AU503" s="38" t="inlineStr">
        <is>
          <t>Graduate; relevant certification preferred</t>
        </is>
      </c>
      <c r="AV503" s="38" t="inlineStr">
        <is>
          <t>None · guides 1–3 juniors informally</t>
        </is>
      </c>
      <c r="AW503" s="38" t="inlineStr">
        <is>
          <t>P2 · SFIA 3 Apply</t>
        </is>
      </c>
      <c r="AX5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3" s="39" t="inlineStr">
        <is>
          <t>A3</t>
        </is>
      </c>
      <c r="AZ503" s="40" t="inlineStr">
        <is>
          <t>Band A · Practitioner · Senior Associate</t>
        </is>
      </c>
      <c r="BA503" s="40" t="inlineStr">
        <is>
          <t>Model A3 from the six ratings, the market-derived weights and rules R1–R13 · then No change · already below the manager</t>
        </is>
      </c>
      <c r="BB503" s="41" t="inlineStr">
        <is>
          <t>A2</t>
        </is>
      </c>
      <c r="BC503" s="40" t="inlineStr">
        <is>
          <t>The six ratings on the market-average weights of Band A · all tracks score 2.20 → A2 · Hay, Mercer IPE and public plans · experience 4.3 yrs vs the A2 market range 0–3</t>
        </is>
      </c>
      <c r="BD503" s="42">
        <f>IF(SUM(BM503,BN503,BO503,BP503,BQ503,BR503,BS503)=0,0,(BM503*BT503+BN503*BU503+BO503*BV503+BP503*BW503+BQ503*BX503+BR503*BY503+BS503*BZ503)/SUM(BM503,BN503,BO503,BP503,BQ503,BR503,BS503))</f>
        <v>0</v>
      </c>
      <c r="BE503" s="41" t="str">
        <f>IF(LEFT(AY503,1)="X",AY503,IF(OR(AY503="B+",AY503="C+"),INDEX(LAD_PC,MAX(1,MIN(14,MATCH(AY503,LAD_PC,0)+IF(BD503&gt;=0.5,1,IF(BD503&lt;=-0.5,-1,0))))),INDEX(LAD_STD,MAX(1,MIN(12,MATCH(AY503,LAD_STD,0)+IF(BD503&gt;=0.5,1,IF(BD503&lt;=-0.5,-1,0)))))))</f>
        <v>A3</v>
      </c>
      <c r="BF503" s="43" t="n"/>
      <c r="BG503" s="41" t="str">
        <f>IF(BF503&lt;&gt;"",BF503,BE503)</f>
        <v>A3</v>
      </c>
      <c r="BH503" s="40" t="str">
        <f>IFERROR(CHOOSE(INDEX(B_RANK,MATCH(BG503,B_LVL,0)),"Band A","Band B","B+ · Player-Coach","Band C","C+ · Player-Coach","Band D","Band E"),"Band X · Consultant")</f>
        <v>Band A</v>
      </c>
      <c r="BI503" s="40" t="str">
        <f>IF(BG503=AY503,"• Same",IF(INDEX(B_VAL,MATCH(BG503,B_LVL,0))&gt;INDEX(B_VAL,MATCH(AY503,B_LVL,0)),"▲ Up","▼ Down"))</f>
        <v>• Same</v>
      </c>
      <c r="BJ503" s="40" t="str">
        <f>IF(OR($M503="",$M503="—",$M503="Not in this file"),"",IFERROR(INDEX($BG$7:$BG$592,MATCH($M503,$D$7:$D$592,0)),""))</f>
        <v>B2</v>
      </c>
      <c r="BK503" s="40" t="str">
        <f>IFERROR(IF(BJ503="","—",IF(OR(LEFT(BG503,1)="X",LEFT(BJ503,1)="X"),"—",IF(AND(LEFT(BG503,1)="E",LEFT(BJ503,1)="E"),"Exception · Band E",IF(AND(INDEX(B_VAL,MATCH(BJ503,B_LVL,0))&gt;=7,INDEX(B_RANK,MATCH(BG503,B_LVL,0))&gt;=INDEX(B_RANK,MATCH(BJ503,B_LVL,0))),"⚠ Same band as a head manager",IF(INDEX(B_VAL,MATCH(BG503,B_LVL,0))&gt;=INDEX(B_VAL,MATCH(BJ503,B_LVL,0)),"⚠ At or above the manager's level","OK"))))),"—")</f>
        <v>OK</v>
      </c>
      <c r="BL503" s="43" t="n"/>
      <c r="BM503" s="44">
        <f>IFERROR(INDEX(LMH_PTS,MATCH(Y503,LMH_KEY,0)),0)</f>
        <v>9</v>
      </c>
      <c r="BN503" s="38">
        <f>IFERROR(INDEX(LMH_PTS,MATCH(Z503,LMH_KEY,0)),0)</f>
        <v>3</v>
      </c>
      <c r="BO503" s="38">
        <f>IFERROR(INDEX(LMH_PTS,MATCH(AA503,LMH_KEY,0)),0)</f>
        <v>1</v>
      </c>
      <c r="BP503" s="38">
        <f>IFERROR(INDEX(LMH_PTS,MATCH(AB503,LMH_KEY,0)),0)</f>
        <v>1</v>
      </c>
      <c r="BQ503" s="38">
        <f>IFERROR(INDEX(LMH_PTS,MATCH(AC503,LMH_KEY,0)),0)</f>
        <v>1</v>
      </c>
      <c r="BR503" s="38">
        <f>IFERROR(INDEX(LMH_PTS,MATCH(AD503,LMH_KEY,0)),0)</f>
        <v>1</v>
      </c>
      <c r="BS503" s="38">
        <f>IFERROR(INDEX(LMH_PTS,MATCH(AE503,LMH_KEY,0)),0)</f>
        <v>1</v>
      </c>
      <c r="BT503" s="38">
        <f>IFERROR(INDEX(LMH_STEP,MATCH(AF503,LMH_KEY,0)),0)</f>
        <v>0</v>
      </c>
      <c r="BU503" s="38">
        <f>IFERROR(INDEX(LMH_STEP,MATCH(AG503,LMH_KEY,0)),0)</f>
        <v>0</v>
      </c>
      <c r="BV503" s="38">
        <f>IFERROR(INDEX(LMH_STEP,MATCH(AH503,LMH_KEY,0)),0)</f>
        <v>0</v>
      </c>
      <c r="BW503" s="38">
        <f>IFERROR(INDEX(LMH_STEP,MATCH(AI503,LMH_KEY,0)),0)</f>
        <v>0</v>
      </c>
      <c r="BX503" s="38">
        <f>IFERROR(INDEX(LMH_STEP,MATCH(AJ503,LMH_KEY,0)),0)</f>
        <v>0</v>
      </c>
      <c r="BY503" s="38">
        <f>IFERROR(INDEX(LMH_STEP,MATCH(AK503,LMH_KEY,0)),0)</f>
        <v>0</v>
      </c>
      <c r="BZ503" s="38">
        <f>IFERROR(INDEX(LMH_STEP,MATCH(AL503,LMH_KEY,0)),0)</f>
        <v>0</v>
      </c>
      <c r="CA503" s="38" t="inlineStr">
        <is>
          <t>CARBON|Technology|Senior Software Engineer|A3|A</t>
        </is>
      </c>
    </row>
    <row r="504" ht="110" customHeight="1">
      <c r="A504" s="28" t="inlineStr">
        <is>
          <t>CARBON</t>
        </is>
      </c>
      <c r="B504" s="29" t="inlineStr">
        <is>
          <t>Technology</t>
        </is>
      </c>
      <c r="C504" s="29" t="n">
        <v>3</v>
      </c>
      <c r="D504" s="29" t="inlineStr">
        <is>
          <t>IRIS1920</t>
        </is>
      </c>
      <c r="E504" s="29" t="inlineStr">
        <is>
          <t>Pritesh Wani</t>
        </is>
      </c>
      <c r="F504" s="29" t="inlineStr">
        <is>
          <t>Software Engineer</t>
        </is>
      </c>
      <c r="G504" s="29" t="inlineStr">
        <is>
          <t>Senior Software Engineer</t>
        </is>
      </c>
      <c r="H504" s="29" t="inlineStr">
        <is>
          <t>Engineering &amp; Development</t>
        </is>
      </c>
      <c r="I504" s="29" t="inlineStr">
        <is>
          <t>Backend Development</t>
        </is>
      </c>
      <c r="J504" s="29" t="inlineStr">
        <is>
          <t>IC</t>
        </is>
      </c>
      <c r="K504" s="29" t="inlineStr">
        <is>
          <t>RC-067</t>
        </is>
      </c>
      <c r="L504" s="29" t="inlineStr">
        <is>
          <t>Dhiraj Suryawanshi</t>
        </is>
      </c>
      <c r="M504" s="29" t="inlineStr">
        <is>
          <t>IRIS1477</t>
        </is>
      </c>
      <c r="N504" s="29" t="n">
        <v>5.3</v>
      </c>
      <c r="O504" s="29" t="n">
        <v>5.3</v>
      </c>
      <c r="P504" s="29" t="inlineStr">
        <is>
          <t>MCA</t>
        </is>
      </c>
      <c r="Q504" s="29" t="inlineStr">
        <is>
          <t>L3 – Professional / Associate</t>
        </is>
      </c>
      <c r="R504" s="29" t="inlineStr">
        <is>
          <t>A3</t>
        </is>
      </c>
      <c r="S504" s="30" t="inlineStr">
        <is>
          <t>20 of 20</t>
        </is>
      </c>
      <c r="T504" s="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t>
        </is>
      </c>
      <c r="U504" s="31" t="inlineStr">
        <is>
          <t>Received · manager annual · 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t>
        </is>
      </c>
      <c r="V504" s="31" t="inlineStr">
        <is>
          <t>Latest rating: Not rated · manager · 9-box: Not placed · manager · Readiness: No rating data</t>
        </is>
      </c>
      <c r="W504" s="31" t="inlineStr">
        <is>
          <t>C M · Au M · Ac M · L L · BI M · Exp H · 5.3 yrs vs 2–4 yrs · Edu H · MCA</t>
        </is>
      </c>
      <c r="X504" s="33" t="inlineStr">
        <is>
          <t>Open ▸</t>
        </is>
      </c>
      <c r="Y504" s="34" t="str">
        <f>IFERROR(INDEX(DL_C,MATCH($CA504,DL_KEY,0)),"M")</f>
        <v>H</v>
      </c>
      <c r="Z504" s="35" t="str">
        <f>IFERROR(INDEX(DL_Au,MATCH($CA504,DL_KEY,0)),"M")</f>
        <v>M</v>
      </c>
      <c r="AA504" s="35" t="str">
        <f>IFERROR(INDEX(DL_Ac,MATCH($CA504,DL_KEY,0)),"M")</f>
        <v>L</v>
      </c>
      <c r="AB504" s="35" t="str">
        <f>IFERROR(INDEX(DL_L,MATCH($CA504,DL_KEY,0)),"M")</f>
        <v>L</v>
      </c>
      <c r="AC504" s="35" t="str">
        <f>IFERROR(INDEX(DL_BI,MATCH($CA504,DL_KEY,0)),"M")</f>
        <v>L</v>
      </c>
      <c r="AD504" s="35" t="str">
        <f>IFERROR(INDEX(DL_Exp,MATCH($CA504,DL_KEY,0)),"M")</f>
        <v>L</v>
      </c>
      <c r="AE504" s="35" t="str">
        <f>IFERROR(INDEX(DL_Edu,MATCH($CA504,DL_KEY,0)),"M")</f>
        <v>L</v>
      </c>
      <c r="AF504" s="34" t="inlineStr">
        <is>
          <t>M</t>
        </is>
      </c>
      <c r="AG504" s="35" t="inlineStr">
        <is>
          <t>M</t>
        </is>
      </c>
      <c r="AH504" s="35" t="inlineStr">
        <is>
          <t>M</t>
        </is>
      </c>
      <c r="AI504" s="35" t="inlineStr">
        <is>
          <t>M</t>
        </is>
      </c>
      <c r="AJ504" s="35" t="inlineStr">
        <is>
          <t>M</t>
        </is>
      </c>
      <c r="AK504" s="35" t="inlineStr">
        <is>
          <t>M</t>
        </is>
      </c>
      <c r="AL504" s="35" t="inlineStr">
        <is>
          <t>M</t>
        </is>
      </c>
      <c r="AM504" s="36" t="n">
        <v>0.583</v>
      </c>
      <c r="AN504" s="37" t="n">
        <v>0.16</v>
      </c>
      <c r="AO504" s="37" t="n">
        <v>0.09</v>
      </c>
      <c r="AP504" s="37" t="n">
        <v>0</v>
      </c>
      <c r="AQ504" s="37" t="n">
        <v>0.063</v>
      </c>
      <c r="AR504" s="37" t="n">
        <v>0.06</v>
      </c>
      <c r="AS504" s="37" t="n">
        <v>0.04</v>
      </c>
      <c r="AT504" s="38" t="inlineStr">
        <is>
          <t>2–5</t>
        </is>
      </c>
      <c r="AU504" s="38" t="inlineStr">
        <is>
          <t>Graduate; relevant certification preferred</t>
        </is>
      </c>
      <c r="AV504" s="38" t="inlineStr">
        <is>
          <t>None · guides 1–3 juniors informally</t>
        </is>
      </c>
      <c r="AW504" s="38" t="inlineStr">
        <is>
          <t>P2 · SFIA 3 Apply</t>
        </is>
      </c>
      <c r="AX5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4" s="39" t="inlineStr">
        <is>
          <t>A3</t>
        </is>
      </c>
      <c r="AZ504" s="40" t="inlineStr">
        <is>
          <t>Band A · Practitioner · Senior Associate</t>
        </is>
      </c>
      <c r="BA504" s="40" t="inlineStr">
        <is>
          <t>Model A3 from the six ratings, the market-derived weights and rules R1–R13 · then No change · already below the manager</t>
        </is>
      </c>
      <c r="BB504" s="41" t="inlineStr">
        <is>
          <t>A3</t>
        </is>
      </c>
      <c r="BC504" s="40" t="inlineStr">
        <is>
          <t>The six ratings on the market-average weights of Band A · all tracks score 2.78 → A3 · Hay, Mercer IPE and public plans · experience 5.3 yrs vs the A3 market range 2–5</t>
        </is>
      </c>
      <c r="BD504" s="42">
        <f>IF(SUM(BM504,BN504,BO504,BP504,BQ504,BR504,BS504)=0,0,(BM504*BT504+BN504*BU504+BO504*BV504+BP504*BW504+BQ504*BX504+BR504*BY504+BS504*BZ504)/SUM(BM504,BN504,BO504,BP504,BQ504,BR504,BS504))</f>
        <v>0</v>
      </c>
      <c r="BE504" s="41" t="str">
        <f>IF(LEFT(AY504,1)="X",AY504,IF(OR(AY504="B+",AY504="C+"),INDEX(LAD_PC,MAX(1,MIN(14,MATCH(AY504,LAD_PC,0)+IF(BD504&gt;=0.5,1,IF(BD504&lt;=-0.5,-1,0))))),INDEX(LAD_STD,MAX(1,MIN(12,MATCH(AY504,LAD_STD,0)+IF(BD504&gt;=0.5,1,IF(BD504&lt;=-0.5,-1,0)))))))</f>
        <v>A3</v>
      </c>
      <c r="BF504" s="43" t="n"/>
      <c r="BG504" s="41" t="str">
        <f>IF(BF504&lt;&gt;"",BF504,BE504)</f>
        <v>A3</v>
      </c>
      <c r="BH504" s="40" t="str">
        <f>IFERROR(CHOOSE(INDEX(B_RANK,MATCH(BG504,B_LVL,0)),"Band A","Band B","B+ · Player-Coach","Band C","C+ · Player-Coach","Band D","Band E"),"Band X · Consultant")</f>
        <v>Band A</v>
      </c>
      <c r="BI504" s="40" t="str">
        <f>IF(BG504=AY504,"• Same",IF(INDEX(B_VAL,MATCH(BG504,B_LVL,0))&gt;INDEX(B_VAL,MATCH(AY504,B_LVL,0)),"▲ Up","▼ Down"))</f>
        <v>• Same</v>
      </c>
      <c r="BJ504" s="40" t="str">
        <f>IF(OR($M504="",$M504="—",$M504="Not in this file"),"",IFERROR(INDEX($BG$7:$BG$592,MATCH($M504,$D$7:$D$592,0)),""))</f>
        <v>B2</v>
      </c>
      <c r="BK504" s="40" t="str">
        <f>IFERROR(IF(BJ504="","—",IF(OR(LEFT(BG504,1)="X",LEFT(BJ504,1)="X"),"—",IF(AND(LEFT(BG504,1)="E",LEFT(BJ504,1)="E"),"Exception · Band E",IF(AND(INDEX(B_VAL,MATCH(BJ504,B_LVL,0))&gt;=7,INDEX(B_RANK,MATCH(BG504,B_LVL,0))&gt;=INDEX(B_RANK,MATCH(BJ504,B_LVL,0))),"⚠ Same band as a head manager",IF(INDEX(B_VAL,MATCH(BG504,B_LVL,0))&gt;=INDEX(B_VAL,MATCH(BJ504,B_LVL,0)),"⚠ At or above the manager's level","OK"))))),"—")</f>
        <v>OK</v>
      </c>
      <c r="BL504" s="43" t="n"/>
      <c r="BM504" s="44">
        <f>IFERROR(INDEX(LMH_PTS,MATCH(Y504,LMH_KEY,0)),0)</f>
        <v>9</v>
      </c>
      <c r="BN504" s="38">
        <f>IFERROR(INDEX(LMH_PTS,MATCH(Z504,LMH_KEY,0)),0)</f>
        <v>3</v>
      </c>
      <c r="BO504" s="38">
        <f>IFERROR(INDEX(LMH_PTS,MATCH(AA504,LMH_KEY,0)),0)</f>
        <v>1</v>
      </c>
      <c r="BP504" s="38">
        <f>IFERROR(INDEX(LMH_PTS,MATCH(AB504,LMH_KEY,0)),0)</f>
        <v>1</v>
      </c>
      <c r="BQ504" s="38">
        <f>IFERROR(INDEX(LMH_PTS,MATCH(AC504,LMH_KEY,0)),0)</f>
        <v>1</v>
      </c>
      <c r="BR504" s="38">
        <f>IFERROR(INDEX(LMH_PTS,MATCH(AD504,LMH_KEY,0)),0)</f>
        <v>1</v>
      </c>
      <c r="BS504" s="38">
        <f>IFERROR(INDEX(LMH_PTS,MATCH(AE504,LMH_KEY,0)),0)</f>
        <v>1</v>
      </c>
      <c r="BT504" s="38">
        <f>IFERROR(INDEX(LMH_STEP,MATCH(AF504,LMH_KEY,0)),0)</f>
        <v>0</v>
      </c>
      <c r="BU504" s="38">
        <f>IFERROR(INDEX(LMH_STEP,MATCH(AG504,LMH_KEY,0)),0)</f>
        <v>0</v>
      </c>
      <c r="BV504" s="38">
        <f>IFERROR(INDEX(LMH_STEP,MATCH(AH504,LMH_KEY,0)),0)</f>
        <v>0</v>
      </c>
      <c r="BW504" s="38">
        <f>IFERROR(INDEX(LMH_STEP,MATCH(AI504,LMH_KEY,0)),0)</f>
        <v>0</v>
      </c>
      <c r="BX504" s="38">
        <f>IFERROR(INDEX(LMH_STEP,MATCH(AJ504,LMH_KEY,0)),0)</f>
        <v>0</v>
      </c>
      <c r="BY504" s="38">
        <f>IFERROR(INDEX(LMH_STEP,MATCH(AK504,LMH_KEY,0)),0)</f>
        <v>0</v>
      </c>
      <c r="BZ504" s="38">
        <f>IFERROR(INDEX(LMH_STEP,MATCH(AL504,LMH_KEY,0)),0)</f>
        <v>0</v>
      </c>
      <c r="CA504" s="38" t="inlineStr">
        <is>
          <t>CARBON|Technology|Senior Software Engineer|A3|A</t>
        </is>
      </c>
    </row>
    <row r="505" ht="110" customHeight="1">
      <c r="A505" s="28" t="inlineStr">
        <is>
          <t>CARBON</t>
        </is>
      </c>
      <c r="B505" s="29" t="inlineStr">
        <is>
          <t>Technology</t>
        </is>
      </c>
      <c r="C505" s="29" t="n">
        <v>2</v>
      </c>
      <c r="D505" s="29" t="inlineStr">
        <is>
          <t>IRIS0622</t>
        </is>
      </c>
      <c r="E505" s="29" t="inlineStr">
        <is>
          <t>Prasad Shirke</t>
        </is>
      </c>
      <c r="F505" s="29" t="inlineStr">
        <is>
          <t>Senior Business Analyst</t>
        </is>
      </c>
      <c r="G505" s="29" t="inlineStr">
        <is>
          <t>Senior Business Analysis Specialist – POD Lead</t>
        </is>
      </c>
      <c r="H505" s="29" t="inlineStr">
        <is>
          <t>Business Analysis</t>
        </is>
      </c>
      <c r="I505" s="29" t="inlineStr">
        <is>
          <t>Business Analysis</t>
        </is>
      </c>
      <c r="J505" s="29" t="inlineStr">
        <is>
          <t>POD Lead</t>
        </is>
      </c>
      <c r="K505" s="29" t="inlineStr">
        <is>
          <t>RC-012</t>
        </is>
      </c>
      <c r="L505" s="29" t="inlineStr">
        <is>
          <t>Ashish Singhvi</t>
        </is>
      </c>
      <c r="M505" s="29" t="inlineStr">
        <is>
          <t>IRIS0249</t>
        </is>
      </c>
      <c r="N505" s="29" t="n">
        <v>15.4</v>
      </c>
      <c r="O505" s="29" t="n">
        <v>15.4</v>
      </c>
      <c r="P505" s="29" t="inlineStr">
        <is>
          <t>B.Com</t>
        </is>
      </c>
      <c r="Q505" s="29" t="inlineStr">
        <is>
          <t>L4 – Senior</t>
        </is>
      </c>
      <c r="R505" s="29" t="inlineStr">
        <is>
          <t>B2</t>
        </is>
      </c>
      <c r="S505" s="30" t="inlineStr">
        <is>
          <t>20 of 20</t>
        </is>
      </c>
      <c r="T505" s="31" t="inlineStr">
        <is>
          <t>To bridge business needs and product development by turning requirements into valuable, user-focused solutions.; Requirements priorities</t>
        </is>
      </c>
      <c r="U505" s="31" t="inlineStr">
        <is>
          <t>Received · manager annual · 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t>
        </is>
      </c>
      <c r="V505" s="31" t="inlineStr">
        <is>
          <t>Latest rating: Not rated · manager · 9-box: Underperformer / Exit Risk · Readiness: No rating data</t>
        </is>
      </c>
      <c r="W505" s="31" t="inlineStr">
        <is>
          <t>C L · Au M · Ac M · L M · BI M · Exp H · 15.4 yrs vs 6–9 yrs · Edu M · B.Com</t>
        </is>
      </c>
      <c r="X505" s="33" t="inlineStr">
        <is>
          <t>Open ▸</t>
        </is>
      </c>
      <c r="Y505" s="34" t="str">
        <f>IFERROR(INDEX(DL_C,MATCH($CA505,DL_KEY,0)),"M")</f>
        <v>H</v>
      </c>
      <c r="Z505" s="35" t="str">
        <f>IFERROR(INDEX(DL_Au,MATCH($CA505,DL_KEY,0)),"M")</f>
        <v>M</v>
      </c>
      <c r="AA505" s="35" t="str">
        <f>IFERROR(INDEX(DL_Ac,MATCH($CA505,DL_KEY,0)),"M")</f>
        <v>L</v>
      </c>
      <c r="AB505" s="35" t="str">
        <f>IFERROR(INDEX(DL_L,MATCH($CA505,DL_KEY,0)),"M")</f>
        <v>L</v>
      </c>
      <c r="AC505" s="35" t="str">
        <f>IFERROR(INDEX(DL_BI,MATCH($CA505,DL_KEY,0)),"M")</f>
        <v>L</v>
      </c>
      <c r="AD505" s="35" t="str">
        <f>IFERROR(INDEX(DL_Exp,MATCH($CA505,DL_KEY,0)),"M")</f>
        <v>L</v>
      </c>
      <c r="AE505" s="35" t="str">
        <f>IFERROR(INDEX(DL_Edu,MATCH($CA505,DL_KEY,0)),"M")</f>
        <v>L</v>
      </c>
      <c r="AF505" s="34" t="inlineStr">
        <is>
          <t>M</t>
        </is>
      </c>
      <c r="AG505" s="35" t="inlineStr">
        <is>
          <t>M</t>
        </is>
      </c>
      <c r="AH505" s="35" t="inlineStr">
        <is>
          <t>M</t>
        </is>
      </c>
      <c r="AI505" s="35" t="inlineStr">
        <is>
          <t>M</t>
        </is>
      </c>
      <c r="AJ505" s="35" t="inlineStr">
        <is>
          <t>M</t>
        </is>
      </c>
      <c r="AK505" s="35" t="inlineStr">
        <is>
          <t>M</t>
        </is>
      </c>
      <c r="AL505" s="35" t="inlineStr">
        <is>
          <t>M</t>
        </is>
      </c>
      <c r="AM505" s="36" t="n">
        <v>0.513</v>
      </c>
      <c r="AN505" s="37" t="n">
        <v>0.173</v>
      </c>
      <c r="AO505" s="37" t="n">
        <v>0.09699999999999999</v>
      </c>
      <c r="AP505" s="37" t="n">
        <v>0.05</v>
      </c>
      <c r="AQ505" s="37" t="n">
        <v>0.07000000000000001</v>
      </c>
      <c r="AR505" s="37" t="n">
        <v>0.06</v>
      </c>
      <c r="AS505" s="37" t="n">
        <v>0.04</v>
      </c>
      <c r="AT505" s="38" t="inlineStr">
        <is>
          <t>6–10</t>
        </is>
      </c>
      <c r="AU505" s="38" t="inlineStr">
        <is>
          <t>Graduate or postgraduate; professional qualification preferred</t>
        </is>
      </c>
      <c r="AV505" s="38" t="inlineStr">
        <is>
          <t>IC: none · People: 6–8 knowledge work, 8–12 standardised delivery</t>
        </is>
      </c>
      <c r="AW505" s="38" t="inlineStr">
        <is>
          <t>P4 / M3 · SFIA 4–5</t>
        </is>
      </c>
      <c r="AX5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5" s="39" t="inlineStr">
        <is>
          <t>B2</t>
        </is>
      </c>
      <c r="AZ505" s="40" t="inlineStr">
        <is>
          <t>Band B · Specialist / Manager · Manager</t>
        </is>
      </c>
      <c r="BA505" s="40" t="inlineStr">
        <is>
          <t>Model B2 from the six ratings, the market-derived weights and rules R1–R13 · then No change · already below the manager</t>
        </is>
      </c>
      <c r="BB505" s="41" t="inlineStr">
        <is>
          <t>B2</t>
        </is>
      </c>
      <c r="BC505" s="40" t="inlineStr">
        <is>
          <t>The six ratings on the market-average weights of Band B · Specialist / POD Lead score 4.60 → B2 · Hay, Mercer IPE and public plans · experience 15.4 yrs vs the B2 market range 6–10</t>
        </is>
      </c>
      <c r="BD505" s="42">
        <f>IF(SUM(BM505,BN505,BO505,BP505,BQ505,BR505,BS505)=0,0,(BM505*BT505+BN505*BU505+BO505*BV505+BP505*BW505+BQ505*BX505+BR505*BY505+BS505*BZ505)/SUM(BM505,BN505,BO505,BP505,BQ505,BR505,BS505))</f>
        <v>0</v>
      </c>
      <c r="BE505" s="41" t="str">
        <f>IF(LEFT(AY505,1)="X",AY505,IF(OR(AY505="B+",AY505="C+"),INDEX(LAD_PC,MAX(1,MIN(14,MATCH(AY505,LAD_PC,0)+IF(BD505&gt;=0.5,1,IF(BD505&lt;=-0.5,-1,0))))),INDEX(LAD_STD,MAX(1,MIN(12,MATCH(AY505,LAD_STD,0)+IF(BD505&gt;=0.5,1,IF(BD505&lt;=-0.5,-1,0)))))))</f>
        <v>B2</v>
      </c>
      <c r="BF505" s="43" t="n"/>
      <c r="BG505" s="41" t="str">
        <f>IF(BF505&lt;&gt;"",BF505,BE505)</f>
        <v>B2</v>
      </c>
      <c r="BH505" s="40" t="str">
        <f>IFERROR(CHOOSE(INDEX(B_RANK,MATCH(BG505,B_LVL,0)),"Band A","Band B","B+ · Player-Coach","Band C","C+ · Player-Coach","Band D","Band E"),"Band X · Consultant")</f>
        <v>Band B</v>
      </c>
      <c r="BI505" s="40" t="str">
        <f>IF(BG505=AY505,"• Same",IF(INDEX(B_VAL,MATCH(BG505,B_LVL,0))&gt;INDEX(B_VAL,MATCH(AY505,B_LVL,0)),"▲ Up","▼ Down"))</f>
        <v>• Same</v>
      </c>
      <c r="BJ505" s="40" t="str">
        <f>IF(OR($M505="",$M505="—",$M505="Not in this file"),"",IFERROR(INDEX($BG$7:$BG$592,MATCH($M505,$D$7:$D$592,0)),""))</f>
        <v>C2</v>
      </c>
      <c r="BK505" s="40" t="str">
        <f>IFERROR(IF(BJ505="","—",IF(OR(LEFT(BG505,1)="X",LEFT(BJ505,1)="X"),"—",IF(AND(LEFT(BG505,1)="E",LEFT(BJ505,1)="E"),"Exception · Band E",IF(AND(INDEX(B_VAL,MATCH(BJ505,B_LVL,0))&gt;=7,INDEX(B_RANK,MATCH(BG505,B_LVL,0))&gt;=INDEX(B_RANK,MATCH(BJ505,B_LVL,0))),"⚠ Same band as a head manager",IF(INDEX(B_VAL,MATCH(BG505,B_LVL,0))&gt;=INDEX(B_VAL,MATCH(BJ505,B_LVL,0)),"⚠ At or above the manager's level","OK"))))),"—")</f>
        <v>OK</v>
      </c>
      <c r="BL505" s="43" t="n"/>
      <c r="BM505" s="44">
        <f>IFERROR(INDEX(LMH_PTS,MATCH(Y505,LMH_KEY,0)),0)</f>
        <v>9</v>
      </c>
      <c r="BN505" s="38">
        <f>IFERROR(INDEX(LMH_PTS,MATCH(Z505,LMH_KEY,0)),0)</f>
        <v>3</v>
      </c>
      <c r="BO505" s="38">
        <f>IFERROR(INDEX(LMH_PTS,MATCH(AA505,LMH_KEY,0)),0)</f>
        <v>1</v>
      </c>
      <c r="BP505" s="38">
        <f>IFERROR(INDEX(LMH_PTS,MATCH(AB505,LMH_KEY,0)),0)</f>
        <v>1</v>
      </c>
      <c r="BQ505" s="38">
        <f>IFERROR(INDEX(LMH_PTS,MATCH(AC505,LMH_KEY,0)),0)</f>
        <v>1</v>
      </c>
      <c r="BR505" s="38">
        <f>IFERROR(INDEX(LMH_PTS,MATCH(AD505,LMH_KEY,0)),0)</f>
        <v>1</v>
      </c>
      <c r="BS505" s="38">
        <f>IFERROR(INDEX(LMH_PTS,MATCH(AE505,LMH_KEY,0)),0)</f>
        <v>1</v>
      </c>
      <c r="BT505" s="38">
        <f>IFERROR(INDEX(LMH_STEP,MATCH(AF505,LMH_KEY,0)),0)</f>
        <v>0</v>
      </c>
      <c r="BU505" s="38">
        <f>IFERROR(INDEX(LMH_STEP,MATCH(AG505,LMH_KEY,0)),0)</f>
        <v>0</v>
      </c>
      <c r="BV505" s="38">
        <f>IFERROR(INDEX(LMH_STEP,MATCH(AH505,LMH_KEY,0)),0)</f>
        <v>0</v>
      </c>
      <c r="BW505" s="38">
        <f>IFERROR(INDEX(LMH_STEP,MATCH(AI505,LMH_KEY,0)),0)</f>
        <v>0</v>
      </c>
      <c r="BX505" s="38">
        <f>IFERROR(INDEX(LMH_STEP,MATCH(AJ505,LMH_KEY,0)),0)</f>
        <v>0</v>
      </c>
      <c r="BY505" s="38">
        <f>IFERROR(INDEX(LMH_STEP,MATCH(AK505,LMH_KEY,0)),0)</f>
        <v>0</v>
      </c>
      <c r="BZ505" s="38">
        <f>IFERROR(INDEX(LMH_STEP,MATCH(AL505,LMH_KEY,0)),0)</f>
        <v>0</v>
      </c>
      <c r="CA505" s="38" t="inlineStr">
        <is>
          <t>CARBON|Technology|Senior Business Analysis Specialist – POD Lead|B2|B-IC</t>
        </is>
      </c>
    </row>
    <row r="506" ht="110" customHeight="1">
      <c r="A506" s="28" t="inlineStr">
        <is>
          <t>CARBON</t>
        </is>
      </c>
      <c r="B506" s="29" t="inlineStr">
        <is>
          <t>Quality Assurance</t>
        </is>
      </c>
      <c r="C506" s="29" t="n">
        <v>3</v>
      </c>
      <c r="D506" s="29" t="inlineStr">
        <is>
          <t>IRIS0591</t>
        </is>
      </c>
      <c r="E506" s="29" t="inlineStr">
        <is>
          <t>Vinod Katekar</t>
        </is>
      </c>
      <c r="F506" s="29" t="inlineStr">
        <is>
          <t>QA-Lead</t>
        </is>
      </c>
      <c r="G506" s="29" t="inlineStr">
        <is>
          <t>QA Manager</t>
        </is>
      </c>
      <c r="H506" s="29" t="inlineStr">
        <is>
          <t>Quality Assurance</t>
        </is>
      </c>
      <c r="I506" s="29" t="inlineStr">
        <is>
          <t>Test Management &amp; QA Leadership</t>
        </is>
      </c>
      <c r="J506" s="29" t="inlineStr">
        <is>
          <t>People Manager</t>
        </is>
      </c>
      <c r="K506" s="29" t="inlineStr">
        <is>
          <t>RC-148</t>
        </is>
      </c>
      <c r="L506" s="29" t="inlineStr">
        <is>
          <t>Prasad Shirke</t>
        </is>
      </c>
      <c r="M506" s="29" t="inlineStr">
        <is>
          <t>IRIS0622</t>
        </is>
      </c>
      <c r="N506" s="29" t="n">
        <v>15.5</v>
      </c>
      <c r="O506" s="29" t="n">
        <v>15.5</v>
      </c>
      <c r="P506" s="29" t="inlineStr">
        <is>
          <t>B.Com</t>
        </is>
      </c>
      <c r="Q506" s="29" t="inlineStr">
        <is>
          <t>L5 – Lead · IC</t>
        </is>
      </c>
      <c r="R506" s="29" t="inlineStr">
        <is>
          <t>B2</t>
        </is>
      </c>
      <c r="S506" s="30" t="inlineStr">
        <is>
          <t>20 of 20</t>
        </is>
      </c>
      <c r="T506" s="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t>
        </is>
      </c>
      <c r="U506" s="31" t="inlineStr">
        <is>
          <t>Received · manager annual · 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
        </is>
      </c>
      <c r="V506" s="31" t="inlineStr">
        <is>
          <t>Latest rating: Not rated · manager · 9-box: Underperformer / Exit Risk · Readiness: No rating data</t>
        </is>
      </c>
      <c r="W506" s="31" t="inlineStr">
        <is>
          <t>C M · Au M · Ac H · L H · BI H · Exp H · 15.5 yrs vs 4–7 yrs · Edu M · B.Com</t>
        </is>
      </c>
      <c r="X506" s="33" t="inlineStr">
        <is>
          <t>Open ▸</t>
        </is>
      </c>
      <c r="Y506" s="34" t="str">
        <f>IFERROR(INDEX(DL_C,MATCH($CA506,DL_KEY,0)),"M")</f>
        <v>H</v>
      </c>
      <c r="Z506" s="35" t="str">
        <f>IFERROR(INDEX(DL_Au,MATCH($CA506,DL_KEY,0)),"M")</f>
        <v>M</v>
      </c>
      <c r="AA506" s="35" t="str">
        <f>IFERROR(INDEX(DL_Ac,MATCH($CA506,DL_KEY,0)),"M")</f>
        <v>L</v>
      </c>
      <c r="AB506" s="35" t="str">
        <f>IFERROR(INDEX(DL_L,MATCH($CA506,DL_KEY,0)),"M")</f>
        <v>M</v>
      </c>
      <c r="AC506" s="35" t="str">
        <f>IFERROR(INDEX(DL_BI,MATCH($CA506,DL_KEY,0)),"M")</f>
        <v>L</v>
      </c>
      <c r="AD506" s="35" t="str">
        <f>IFERROR(INDEX(DL_Exp,MATCH($CA506,DL_KEY,0)),"M")</f>
        <v>L</v>
      </c>
      <c r="AE506" s="35" t="str">
        <f>IFERROR(INDEX(DL_Edu,MATCH($CA506,DL_KEY,0)),"M")</f>
        <v>L</v>
      </c>
      <c r="AF506" s="34" t="inlineStr">
        <is>
          <t>M</t>
        </is>
      </c>
      <c r="AG506" s="35" t="inlineStr">
        <is>
          <t>M</t>
        </is>
      </c>
      <c r="AH506" s="35" t="inlineStr">
        <is>
          <t>M</t>
        </is>
      </c>
      <c r="AI506" s="35" t="inlineStr">
        <is>
          <t>M</t>
        </is>
      </c>
      <c r="AJ506" s="35" t="inlineStr">
        <is>
          <t>M</t>
        </is>
      </c>
      <c r="AK506" s="35" t="inlineStr">
        <is>
          <t>M</t>
        </is>
      </c>
      <c r="AL506" s="35" t="inlineStr">
        <is>
          <t>M</t>
        </is>
      </c>
      <c r="AM506" s="36" t="n">
        <v>0.37</v>
      </c>
      <c r="AN506" s="37" t="n">
        <v>0.183</v>
      </c>
      <c r="AO506" s="37" t="n">
        <v>0.113</v>
      </c>
      <c r="AP506" s="37" t="n">
        <v>0.15</v>
      </c>
      <c r="AQ506" s="37" t="n">
        <v>0.08699999999999999</v>
      </c>
      <c r="AR506" s="37" t="n">
        <v>0.06</v>
      </c>
      <c r="AS506" s="37" t="n">
        <v>0.04</v>
      </c>
      <c r="AT506" s="38" t="inlineStr">
        <is>
          <t>4–8</t>
        </is>
      </c>
      <c r="AU506" s="38" t="inlineStr">
        <is>
          <t>Graduate + relevant qualification or certification preferred</t>
        </is>
      </c>
      <c r="AV506" s="38" t="inlineStr">
        <is>
          <t>IC: none · Team Lead: 3–5</t>
        </is>
      </c>
      <c r="AW506" s="38" t="inlineStr">
        <is>
          <t>P3 / M2 · SFIA 4 Enable</t>
        </is>
      </c>
      <c r="AX5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6" s="39" t="inlineStr">
        <is>
          <t>B1</t>
        </is>
      </c>
      <c r="AZ506" s="40" t="inlineStr">
        <is>
          <t>Band B · Specialist / Manager · Team Lead / Asst Manager</t>
        </is>
      </c>
      <c r="BA506" s="40" t="inlineStr">
        <is>
          <t>Model B2 from the six ratings, the market-derived weights and rules R1–R13 · then Level rule: manager B2; a reportee sits at least one level below · B2 → B1 · move down · pay and title protected for one cycle</t>
        </is>
      </c>
      <c r="BB506" s="41" t="inlineStr">
        <is>
          <t>B2</t>
        </is>
      </c>
      <c r="BC506" s="40" t="inlineStr">
        <is>
          <t>The six ratings on the market-average weights of Band B · People Manager score 4.89 → B2 · Hay, Mercer IPE and public plans · experience 15.5 yrs vs the B2 market range 6–10</t>
        </is>
      </c>
      <c r="BD506" s="42">
        <f>IF(SUM(BM506,BN506,BO506,BP506,BQ506,BR506,BS506)=0,0,(BM506*BT506+BN506*BU506+BO506*BV506+BP506*BW506+BQ506*BX506+BR506*BY506+BS506*BZ506)/SUM(BM506,BN506,BO506,BP506,BQ506,BR506,BS506))</f>
        <v>0</v>
      </c>
      <c r="BE506" s="41" t="str">
        <f>IF(LEFT(AY506,1)="X",AY506,IF(OR(AY506="B+",AY506="C+"),INDEX(LAD_PC,MAX(1,MIN(14,MATCH(AY506,LAD_PC,0)+IF(BD506&gt;=0.5,1,IF(BD506&lt;=-0.5,-1,0))))),INDEX(LAD_STD,MAX(1,MIN(12,MATCH(AY506,LAD_STD,0)+IF(BD506&gt;=0.5,1,IF(BD506&lt;=-0.5,-1,0)))))))</f>
        <v>B1</v>
      </c>
      <c r="BF506" s="43" t="n"/>
      <c r="BG506" s="41" t="str">
        <f>IF(BF506&lt;&gt;"",BF506,BE506)</f>
        <v>B1</v>
      </c>
      <c r="BH506" s="40" t="str">
        <f>IFERROR(CHOOSE(INDEX(B_RANK,MATCH(BG506,B_LVL,0)),"Band A","Band B","B+ · Player-Coach","Band C","C+ · Player-Coach","Band D","Band E"),"Band X · Consultant")</f>
        <v>Band B</v>
      </c>
      <c r="BI506" s="40" t="str">
        <f>IF(BG506=AY506,"• Same",IF(INDEX(B_VAL,MATCH(BG506,B_LVL,0))&gt;INDEX(B_VAL,MATCH(AY506,B_LVL,0)),"▲ Up","▼ Down"))</f>
        <v>• Same</v>
      </c>
      <c r="BJ506" s="40" t="str">
        <f>IF(OR($M506="",$M506="—",$M506="Not in this file"),"",IFERROR(INDEX($BG$7:$BG$592,MATCH($M506,$D$7:$D$592,0)),""))</f>
        <v>B2</v>
      </c>
      <c r="BK506" s="40" t="str">
        <f>IFERROR(IF(BJ506="","—",IF(OR(LEFT(BG506,1)="X",LEFT(BJ506,1)="X"),"—",IF(AND(LEFT(BG506,1)="E",LEFT(BJ506,1)="E"),"Exception · Band E",IF(AND(INDEX(B_VAL,MATCH(BJ506,B_LVL,0))&gt;=7,INDEX(B_RANK,MATCH(BG506,B_LVL,0))&gt;=INDEX(B_RANK,MATCH(BJ506,B_LVL,0))),"⚠ Same band as a head manager",IF(INDEX(B_VAL,MATCH(BG506,B_LVL,0))&gt;=INDEX(B_VAL,MATCH(BJ506,B_LVL,0)),"⚠ At or above the manager's level","OK"))))),"—")</f>
        <v>OK</v>
      </c>
      <c r="BL506" s="43" t="n"/>
      <c r="BM506" s="44">
        <f>IFERROR(INDEX(LMH_PTS,MATCH(Y506,LMH_KEY,0)),0)</f>
        <v>9</v>
      </c>
      <c r="BN506" s="38">
        <f>IFERROR(INDEX(LMH_PTS,MATCH(Z506,LMH_KEY,0)),0)</f>
        <v>3</v>
      </c>
      <c r="BO506" s="38">
        <f>IFERROR(INDEX(LMH_PTS,MATCH(AA506,LMH_KEY,0)),0)</f>
        <v>1</v>
      </c>
      <c r="BP506" s="38">
        <f>IFERROR(INDEX(LMH_PTS,MATCH(AB506,LMH_KEY,0)),0)</f>
        <v>3</v>
      </c>
      <c r="BQ506" s="38">
        <f>IFERROR(INDEX(LMH_PTS,MATCH(AC506,LMH_KEY,0)),0)</f>
        <v>1</v>
      </c>
      <c r="BR506" s="38">
        <f>IFERROR(INDEX(LMH_PTS,MATCH(AD506,LMH_KEY,0)),0)</f>
        <v>1</v>
      </c>
      <c r="BS506" s="38">
        <f>IFERROR(INDEX(LMH_PTS,MATCH(AE506,LMH_KEY,0)),0)</f>
        <v>1</v>
      </c>
      <c r="BT506" s="38">
        <f>IFERROR(INDEX(LMH_STEP,MATCH(AF506,LMH_KEY,0)),0)</f>
        <v>0</v>
      </c>
      <c r="BU506" s="38">
        <f>IFERROR(INDEX(LMH_STEP,MATCH(AG506,LMH_KEY,0)),0)</f>
        <v>0</v>
      </c>
      <c r="BV506" s="38">
        <f>IFERROR(INDEX(LMH_STEP,MATCH(AH506,LMH_KEY,0)),0)</f>
        <v>0</v>
      </c>
      <c r="BW506" s="38">
        <f>IFERROR(INDEX(LMH_STEP,MATCH(AI506,LMH_KEY,0)),0)</f>
        <v>0</v>
      </c>
      <c r="BX506" s="38">
        <f>IFERROR(INDEX(LMH_STEP,MATCH(AJ506,LMH_KEY,0)),0)</f>
        <v>0</v>
      </c>
      <c r="BY506" s="38">
        <f>IFERROR(INDEX(LMH_STEP,MATCH(AK506,LMH_KEY,0)),0)</f>
        <v>0</v>
      </c>
      <c r="BZ506" s="38">
        <f>IFERROR(INDEX(LMH_STEP,MATCH(AL506,LMH_KEY,0)),0)</f>
        <v>0</v>
      </c>
      <c r="CA506" s="38" t="inlineStr">
        <is>
          <t>CARBON|Quality Assurance|QA Manager|B1|B-M</t>
        </is>
      </c>
    </row>
    <row r="507" ht="110" customHeight="1">
      <c r="A507" s="28" t="inlineStr">
        <is>
          <t>CARBON</t>
        </is>
      </c>
      <c r="B507" s="29" t="inlineStr">
        <is>
          <t>Technology</t>
        </is>
      </c>
      <c r="C507" s="29" t="n">
        <v>4</v>
      </c>
      <c r="D507" s="29" t="inlineStr">
        <is>
          <t>IRIS2374</t>
        </is>
      </c>
      <c r="E507" s="29" t="inlineStr">
        <is>
          <t>Huzefa Petit</t>
        </is>
      </c>
      <c r="F507" s="29" t="inlineStr">
        <is>
          <t>Technical Support Lead</t>
        </is>
      </c>
      <c r="G507" s="29" t="inlineStr">
        <is>
          <t>Technical Specialist</t>
        </is>
      </c>
      <c r="H507" s="29" t="inlineStr">
        <is>
          <t>Engineering &amp; Development</t>
        </is>
      </c>
      <c r="I507" s="29" t="inlineStr">
        <is>
          <t>Backend Development</t>
        </is>
      </c>
      <c r="J507" s="29" t="inlineStr">
        <is>
          <t>IC</t>
        </is>
      </c>
      <c r="K507" s="29" t="inlineStr">
        <is>
          <t>RC-068</t>
        </is>
      </c>
      <c r="L507" s="29" t="inlineStr">
        <is>
          <t>Vinod Katekar</t>
        </is>
      </c>
      <c r="M507" s="29" t="inlineStr">
        <is>
          <t>IRIS0591</t>
        </is>
      </c>
      <c r="N507" s="29" t="n">
        <v>16.4</v>
      </c>
      <c r="O507" s="29" t="n">
        <v>1.4</v>
      </c>
      <c r="P507" s="29" t="inlineStr">
        <is>
          <t>MCA</t>
        </is>
      </c>
      <c r="Q507" s="29" t="inlineStr">
        <is>
          <t>L5 – Lead · IC</t>
        </is>
      </c>
      <c r="R507" s="29" t="inlineStr">
        <is>
          <t>B1</t>
        </is>
      </c>
      <c r="S507" s="30" t="inlineStr">
        <is>
          <t>20 of 20</t>
        </is>
      </c>
      <c r="T507" s="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t>
        </is>
      </c>
      <c r="U507" s="31" t="inlineStr">
        <is>
          <t>Received · manager annual · 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t>
        </is>
      </c>
      <c r="V507" s="31" t="inlineStr">
        <is>
          <t>Latest rating: Not rated · manager · 9-box: Trusted Professional · Readiness: No rating data</t>
        </is>
      </c>
      <c r="W507" s="31" t="inlineStr">
        <is>
          <t>C M · Au M · Ac M · L M · BI M · Exp H · 16.4 yrs vs 2–4 yrs · Edu H · MCA</t>
        </is>
      </c>
      <c r="X507" s="33" t="inlineStr">
        <is>
          <t>Open ▸</t>
        </is>
      </c>
      <c r="Y507" s="34" t="str">
        <f>IFERROR(INDEX(DL_C,MATCH($CA507,DL_KEY,0)),"M")</f>
        <v>H</v>
      </c>
      <c r="Z507" s="35" t="str">
        <f>IFERROR(INDEX(DL_Au,MATCH($CA507,DL_KEY,0)),"M")</f>
        <v>M</v>
      </c>
      <c r="AA507" s="35" t="str">
        <f>IFERROR(INDEX(DL_Ac,MATCH($CA507,DL_KEY,0)),"M")</f>
        <v>L</v>
      </c>
      <c r="AB507" s="35" t="str">
        <f>IFERROR(INDEX(DL_L,MATCH($CA507,DL_KEY,0)),"M")</f>
        <v>L</v>
      </c>
      <c r="AC507" s="35" t="str">
        <f>IFERROR(INDEX(DL_BI,MATCH($CA507,DL_KEY,0)),"M")</f>
        <v>L</v>
      </c>
      <c r="AD507" s="35" t="str">
        <f>IFERROR(INDEX(DL_Exp,MATCH($CA507,DL_KEY,0)),"M")</f>
        <v>L</v>
      </c>
      <c r="AE507" s="35" t="str">
        <f>IFERROR(INDEX(DL_Edu,MATCH($CA507,DL_KEY,0)),"M")</f>
        <v>L</v>
      </c>
      <c r="AF507" s="34" t="inlineStr">
        <is>
          <t>M</t>
        </is>
      </c>
      <c r="AG507" s="35" t="inlineStr">
        <is>
          <t>M</t>
        </is>
      </c>
      <c r="AH507" s="35" t="inlineStr">
        <is>
          <t>M</t>
        </is>
      </c>
      <c r="AI507" s="35" t="inlineStr">
        <is>
          <t>M</t>
        </is>
      </c>
      <c r="AJ507" s="35" t="inlineStr">
        <is>
          <t>M</t>
        </is>
      </c>
      <c r="AK507" s="35" t="inlineStr">
        <is>
          <t>M</t>
        </is>
      </c>
      <c r="AL507" s="35" t="inlineStr">
        <is>
          <t>M</t>
        </is>
      </c>
      <c r="AM507" s="36" t="n">
        <v>0.583</v>
      </c>
      <c r="AN507" s="37" t="n">
        <v>0.16</v>
      </c>
      <c r="AO507" s="37" t="n">
        <v>0.09</v>
      </c>
      <c r="AP507" s="37" t="n">
        <v>0</v>
      </c>
      <c r="AQ507" s="37" t="n">
        <v>0.063</v>
      </c>
      <c r="AR507" s="37" t="n">
        <v>0.06</v>
      </c>
      <c r="AS507" s="37" t="n">
        <v>0.04</v>
      </c>
      <c r="AT507" s="38" t="inlineStr">
        <is>
          <t>2–5</t>
        </is>
      </c>
      <c r="AU507" s="38" t="inlineStr">
        <is>
          <t>Graduate; relevant certification preferred</t>
        </is>
      </c>
      <c r="AV507" s="38" t="inlineStr">
        <is>
          <t>None · guides 1–3 juniors informally</t>
        </is>
      </c>
      <c r="AW507" s="38" t="inlineStr">
        <is>
          <t>P2 · SFIA 3 Apply</t>
        </is>
      </c>
      <c r="AX5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7" s="39" t="inlineStr">
        <is>
          <t>A3</t>
        </is>
      </c>
      <c r="AZ507" s="40" t="inlineStr">
        <is>
          <t>Band A · Practitioner · Senior Associate</t>
        </is>
      </c>
      <c r="BA507" s="40" t="inlineStr">
        <is>
          <t>Model B1 from the six ratings, the market-derived weights and rules R1–R13 · then Level rule: manager B1; a reportee sits at least one level below · B1 → A3 · move down · pay and title protected for one cycle</t>
        </is>
      </c>
      <c r="BB507" s="41" t="inlineStr">
        <is>
          <t>B1</t>
        </is>
      </c>
      <c r="BC507" s="40" t="inlineStr">
        <is>
          <t>The six ratings on the market-average weights of Band A · all tracks score 4.05 → B1 · Hay, Mercer IPE and public plans · experience 16.4 yrs vs the B1 market range 4–8</t>
        </is>
      </c>
      <c r="BD507" s="42">
        <f>IF(SUM(BM507,BN507,BO507,BP507,BQ507,BR507,BS507)=0,0,(BM507*BT507+BN507*BU507+BO507*BV507+BP507*BW507+BQ507*BX507+BR507*BY507+BS507*BZ507)/SUM(BM507,BN507,BO507,BP507,BQ507,BR507,BS507))</f>
        <v>0</v>
      </c>
      <c r="BE507" s="41" t="str">
        <f>IF(LEFT(AY507,1)="X",AY507,IF(OR(AY507="B+",AY507="C+"),INDEX(LAD_PC,MAX(1,MIN(14,MATCH(AY507,LAD_PC,0)+IF(BD507&gt;=0.5,1,IF(BD507&lt;=-0.5,-1,0))))),INDEX(LAD_STD,MAX(1,MIN(12,MATCH(AY507,LAD_STD,0)+IF(BD507&gt;=0.5,1,IF(BD507&lt;=-0.5,-1,0)))))))</f>
        <v>A3</v>
      </c>
      <c r="BF507" s="43" t="n"/>
      <c r="BG507" s="41" t="str">
        <f>IF(BF507&lt;&gt;"",BF507,BE507)</f>
        <v>A3</v>
      </c>
      <c r="BH507" s="40" t="str">
        <f>IFERROR(CHOOSE(INDEX(B_RANK,MATCH(BG507,B_LVL,0)),"Band A","Band B","B+ · Player-Coach","Band C","C+ · Player-Coach","Band D","Band E"),"Band X · Consultant")</f>
        <v>Band A</v>
      </c>
      <c r="BI507" s="40" t="str">
        <f>IF(BG507=AY507,"• Same",IF(INDEX(B_VAL,MATCH(BG507,B_LVL,0))&gt;INDEX(B_VAL,MATCH(AY507,B_LVL,0)),"▲ Up","▼ Down"))</f>
        <v>• Same</v>
      </c>
      <c r="BJ507" s="40" t="str">
        <f>IF(OR($M507="",$M507="—",$M507="Not in this file"),"",IFERROR(INDEX($BG$7:$BG$592,MATCH($M507,$D$7:$D$592,0)),""))</f>
        <v>B1</v>
      </c>
      <c r="BK507" s="40" t="str">
        <f>IFERROR(IF(BJ507="","—",IF(OR(LEFT(BG507,1)="X",LEFT(BJ507,1)="X"),"—",IF(AND(LEFT(BG507,1)="E",LEFT(BJ507,1)="E"),"Exception · Band E",IF(AND(INDEX(B_VAL,MATCH(BJ507,B_LVL,0))&gt;=7,INDEX(B_RANK,MATCH(BG507,B_LVL,0))&gt;=INDEX(B_RANK,MATCH(BJ507,B_LVL,0))),"⚠ Same band as a head manager",IF(INDEX(B_VAL,MATCH(BG507,B_LVL,0))&gt;=INDEX(B_VAL,MATCH(BJ507,B_LVL,0)),"⚠ At or above the manager's level","OK"))))),"—")</f>
        <v>OK</v>
      </c>
      <c r="BL507" s="43" t="n"/>
      <c r="BM507" s="44">
        <f>IFERROR(INDEX(LMH_PTS,MATCH(Y507,LMH_KEY,0)),0)</f>
        <v>9</v>
      </c>
      <c r="BN507" s="38">
        <f>IFERROR(INDEX(LMH_PTS,MATCH(Z507,LMH_KEY,0)),0)</f>
        <v>3</v>
      </c>
      <c r="BO507" s="38">
        <f>IFERROR(INDEX(LMH_PTS,MATCH(AA507,LMH_KEY,0)),0)</f>
        <v>1</v>
      </c>
      <c r="BP507" s="38">
        <f>IFERROR(INDEX(LMH_PTS,MATCH(AB507,LMH_KEY,0)),0)</f>
        <v>1</v>
      </c>
      <c r="BQ507" s="38">
        <f>IFERROR(INDEX(LMH_PTS,MATCH(AC507,LMH_KEY,0)),0)</f>
        <v>1</v>
      </c>
      <c r="BR507" s="38">
        <f>IFERROR(INDEX(LMH_PTS,MATCH(AD507,LMH_KEY,0)),0)</f>
        <v>1</v>
      </c>
      <c r="BS507" s="38">
        <f>IFERROR(INDEX(LMH_PTS,MATCH(AE507,LMH_KEY,0)),0)</f>
        <v>1</v>
      </c>
      <c r="BT507" s="38">
        <f>IFERROR(INDEX(LMH_STEP,MATCH(AF507,LMH_KEY,0)),0)</f>
        <v>0</v>
      </c>
      <c r="BU507" s="38">
        <f>IFERROR(INDEX(LMH_STEP,MATCH(AG507,LMH_KEY,0)),0)</f>
        <v>0</v>
      </c>
      <c r="BV507" s="38">
        <f>IFERROR(INDEX(LMH_STEP,MATCH(AH507,LMH_KEY,0)),0)</f>
        <v>0</v>
      </c>
      <c r="BW507" s="38">
        <f>IFERROR(INDEX(LMH_STEP,MATCH(AI507,LMH_KEY,0)),0)</f>
        <v>0</v>
      </c>
      <c r="BX507" s="38">
        <f>IFERROR(INDEX(LMH_STEP,MATCH(AJ507,LMH_KEY,0)),0)</f>
        <v>0</v>
      </c>
      <c r="BY507" s="38">
        <f>IFERROR(INDEX(LMH_STEP,MATCH(AK507,LMH_KEY,0)),0)</f>
        <v>0</v>
      </c>
      <c r="BZ507" s="38">
        <f>IFERROR(INDEX(LMH_STEP,MATCH(AL507,LMH_KEY,0)),0)</f>
        <v>0</v>
      </c>
      <c r="CA507" s="38" t="inlineStr">
        <is>
          <t>CARBON|Technology|Technical Specialist|A3|A</t>
        </is>
      </c>
    </row>
    <row r="508" ht="110" customHeight="1">
      <c r="A508" s="28" t="inlineStr">
        <is>
          <t>CARBON</t>
        </is>
      </c>
      <c r="B508" s="29" t="inlineStr">
        <is>
          <t>Quality Assurance</t>
        </is>
      </c>
      <c r="C508" s="29" t="n">
        <v>4</v>
      </c>
      <c r="D508" s="29" t="inlineStr">
        <is>
          <t>IRIS1672</t>
        </is>
      </c>
      <c r="E508" s="29" t="inlineStr">
        <is>
          <t>Brehmjit Gopalkrishnan</t>
        </is>
      </c>
      <c r="F508" s="29" t="inlineStr">
        <is>
          <t>Client Solutions Executive</t>
        </is>
      </c>
      <c r="G508" s="29" t="inlineStr">
        <is>
          <t>Senior QA Engineer</t>
        </is>
      </c>
      <c r="H508" s="29" t="inlineStr">
        <is>
          <t>Quality Assurance</t>
        </is>
      </c>
      <c r="I508" s="29" t="inlineStr">
        <is>
          <t>Functional &amp; Domain Testing</t>
        </is>
      </c>
      <c r="J508" s="29" t="inlineStr">
        <is>
          <t>IC</t>
        </is>
      </c>
      <c r="K508" s="29" t="inlineStr">
        <is>
          <t>RC-141</t>
        </is>
      </c>
      <c r="L508" s="29" t="inlineStr">
        <is>
          <t>Vinod Katekar</t>
        </is>
      </c>
      <c r="M508" s="29" t="inlineStr">
        <is>
          <t>IRIS0591</t>
        </is>
      </c>
      <c r="N508" s="29" t="n">
        <v>17</v>
      </c>
      <c r="O508" s="29" t="n">
        <v>9</v>
      </c>
      <c r="P508" s="29" t="inlineStr">
        <is>
          <t>B.Com</t>
        </is>
      </c>
      <c r="Q508" s="29" t="inlineStr">
        <is>
          <t>L3 – Professional / Associate</t>
        </is>
      </c>
      <c r="R508" s="29" t="inlineStr">
        <is>
          <t>A3</t>
        </is>
      </c>
      <c r="S508" s="30" t="inlineStr">
        <is>
          <t>20 of 20</t>
        </is>
      </c>
      <c r="T508" s="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t>
        </is>
      </c>
      <c r="U508" s="31" t="inlineStr">
        <is>
          <t>Received · manager annual · 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t>
        </is>
      </c>
      <c r="V508" s="31" t="inlineStr">
        <is>
          <t>Latest rating: Not rated · manager · 9-box: Future Leader · Readiness: No rating data</t>
        </is>
      </c>
      <c r="W508" s="31" t="inlineStr">
        <is>
          <t>C L · Au L · Ac M · L L · BI M · Exp H · 17 yrs vs 2–4 yrs · Edu M · B.Com</t>
        </is>
      </c>
      <c r="X508" s="33" t="inlineStr">
        <is>
          <t>Open ▸</t>
        </is>
      </c>
      <c r="Y508" s="34" t="str">
        <f>IFERROR(INDEX(DL_C,MATCH($CA508,DL_KEY,0)),"M")</f>
        <v>H</v>
      </c>
      <c r="Z508" s="35" t="str">
        <f>IFERROR(INDEX(DL_Au,MATCH($CA508,DL_KEY,0)),"M")</f>
        <v>M</v>
      </c>
      <c r="AA508" s="35" t="str">
        <f>IFERROR(INDEX(DL_Ac,MATCH($CA508,DL_KEY,0)),"M")</f>
        <v>L</v>
      </c>
      <c r="AB508" s="35" t="str">
        <f>IFERROR(INDEX(DL_L,MATCH($CA508,DL_KEY,0)),"M")</f>
        <v>L</v>
      </c>
      <c r="AC508" s="35" t="str">
        <f>IFERROR(INDEX(DL_BI,MATCH($CA508,DL_KEY,0)),"M")</f>
        <v>L</v>
      </c>
      <c r="AD508" s="35" t="str">
        <f>IFERROR(INDEX(DL_Exp,MATCH($CA508,DL_KEY,0)),"M")</f>
        <v>L</v>
      </c>
      <c r="AE508" s="35" t="str">
        <f>IFERROR(INDEX(DL_Edu,MATCH($CA508,DL_KEY,0)),"M")</f>
        <v>L</v>
      </c>
      <c r="AF508" s="34" t="inlineStr">
        <is>
          <t>M</t>
        </is>
      </c>
      <c r="AG508" s="35" t="inlineStr">
        <is>
          <t>M</t>
        </is>
      </c>
      <c r="AH508" s="35" t="inlineStr">
        <is>
          <t>M</t>
        </is>
      </c>
      <c r="AI508" s="35" t="inlineStr">
        <is>
          <t>M</t>
        </is>
      </c>
      <c r="AJ508" s="35" t="inlineStr">
        <is>
          <t>M</t>
        </is>
      </c>
      <c r="AK508" s="35" t="inlineStr">
        <is>
          <t>M</t>
        </is>
      </c>
      <c r="AL508" s="35" t="inlineStr">
        <is>
          <t>M</t>
        </is>
      </c>
      <c r="AM508" s="36" t="n">
        <v>0.583</v>
      </c>
      <c r="AN508" s="37" t="n">
        <v>0.16</v>
      </c>
      <c r="AO508" s="37" t="n">
        <v>0.09</v>
      </c>
      <c r="AP508" s="37" t="n">
        <v>0</v>
      </c>
      <c r="AQ508" s="37" t="n">
        <v>0.063</v>
      </c>
      <c r="AR508" s="37" t="n">
        <v>0.06</v>
      </c>
      <c r="AS508" s="37" t="n">
        <v>0.04</v>
      </c>
      <c r="AT508" s="38" t="inlineStr">
        <is>
          <t>2–5</t>
        </is>
      </c>
      <c r="AU508" s="38" t="inlineStr">
        <is>
          <t>Graduate; relevant certification preferred</t>
        </is>
      </c>
      <c r="AV508" s="38" t="inlineStr">
        <is>
          <t>None · guides 1–3 juniors informally</t>
        </is>
      </c>
      <c r="AW508" s="38" t="inlineStr">
        <is>
          <t>P2 · SFIA 3 Apply</t>
        </is>
      </c>
      <c r="AX5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8" s="39" t="inlineStr">
        <is>
          <t>A3</t>
        </is>
      </c>
      <c r="AZ508" s="40" t="inlineStr">
        <is>
          <t>Band A · Practitioner · Senior Associate</t>
        </is>
      </c>
      <c r="BA508" s="40" t="inlineStr">
        <is>
          <t>Model A3 from the six ratings, the market-derived weights and rules R1–R13 · then No change · already below the manager</t>
        </is>
      </c>
      <c r="BB508" s="41" t="inlineStr">
        <is>
          <t>A3</t>
        </is>
      </c>
      <c r="BC508" s="40" t="inlineStr">
        <is>
          <t>The six ratings on the market-average weights of Band A · all tracks score 2.78 → A3 · Hay, Mercer IPE and public plans · experience 17 yrs vs the A3 market range 2–5</t>
        </is>
      </c>
      <c r="BD508" s="42">
        <f>IF(SUM(BM508,BN508,BO508,BP508,BQ508,BR508,BS508)=0,0,(BM508*BT508+BN508*BU508+BO508*BV508+BP508*BW508+BQ508*BX508+BR508*BY508+BS508*BZ508)/SUM(BM508,BN508,BO508,BP508,BQ508,BR508,BS508))</f>
        <v>0</v>
      </c>
      <c r="BE508" s="41" t="str">
        <f>IF(LEFT(AY508,1)="X",AY508,IF(OR(AY508="B+",AY508="C+"),INDEX(LAD_PC,MAX(1,MIN(14,MATCH(AY508,LAD_PC,0)+IF(BD508&gt;=0.5,1,IF(BD508&lt;=-0.5,-1,0))))),INDEX(LAD_STD,MAX(1,MIN(12,MATCH(AY508,LAD_STD,0)+IF(BD508&gt;=0.5,1,IF(BD508&lt;=-0.5,-1,0)))))))</f>
        <v>A3</v>
      </c>
      <c r="BF508" s="43" t="n"/>
      <c r="BG508" s="41" t="str">
        <f>IF(BF508&lt;&gt;"",BF508,BE508)</f>
        <v>A3</v>
      </c>
      <c r="BH508" s="40" t="str">
        <f>IFERROR(CHOOSE(INDEX(B_RANK,MATCH(BG508,B_LVL,0)),"Band A","Band B","B+ · Player-Coach","Band C","C+ · Player-Coach","Band D","Band E"),"Band X · Consultant")</f>
        <v>Band A</v>
      </c>
      <c r="BI508" s="40" t="str">
        <f>IF(BG508=AY508,"• Same",IF(INDEX(B_VAL,MATCH(BG508,B_LVL,0))&gt;INDEX(B_VAL,MATCH(AY508,B_LVL,0)),"▲ Up","▼ Down"))</f>
        <v>• Same</v>
      </c>
      <c r="BJ508" s="40" t="str">
        <f>IF(OR($M508="",$M508="—",$M508="Not in this file"),"",IFERROR(INDEX($BG$7:$BG$592,MATCH($M508,$D$7:$D$592,0)),""))</f>
        <v>B1</v>
      </c>
      <c r="BK508" s="40" t="str">
        <f>IFERROR(IF(BJ508="","—",IF(OR(LEFT(BG508,1)="X",LEFT(BJ508,1)="X"),"—",IF(AND(LEFT(BG508,1)="E",LEFT(BJ508,1)="E"),"Exception · Band E",IF(AND(INDEX(B_VAL,MATCH(BJ508,B_LVL,0))&gt;=7,INDEX(B_RANK,MATCH(BG508,B_LVL,0))&gt;=INDEX(B_RANK,MATCH(BJ508,B_LVL,0))),"⚠ Same band as a head manager",IF(INDEX(B_VAL,MATCH(BG508,B_LVL,0))&gt;=INDEX(B_VAL,MATCH(BJ508,B_LVL,0)),"⚠ At or above the manager's level","OK"))))),"—")</f>
        <v>OK</v>
      </c>
      <c r="BL508" s="43" t="n"/>
      <c r="BM508" s="44">
        <f>IFERROR(INDEX(LMH_PTS,MATCH(Y508,LMH_KEY,0)),0)</f>
        <v>9</v>
      </c>
      <c r="BN508" s="38">
        <f>IFERROR(INDEX(LMH_PTS,MATCH(Z508,LMH_KEY,0)),0)</f>
        <v>3</v>
      </c>
      <c r="BO508" s="38">
        <f>IFERROR(INDEX(LMH_PTS,MATCH(AA508,LMH_KEY,0)),0)</f>
        <v>1</v>
      </c>
      <c r="BP508" s="38">
        <f>IFERROR(INDEX(LMH_PTS,MATCH(AB508,LMH_KEY,0)),0)</f>
        <v>1</v>
      </c>
      <c r="BQ508" s="38">
        <f>IFERROR(INDEX(LMH_PTS,MATCH(AC508,LMH_KEY,0)),0)</f>
        <v>1</v>
      </c>
      <c r="BR508" s="38">
        <f>IFERROR(INDEX(LMH_PTS,MATCH(AD508,LMH_KEY,0)),0)</f>
        <v>1</v>
      </c>
      <c r="BS508" s="38">
        <f>IFERROR(INDEX(LMH_PTS,MATCH(AE508,LMH_KEY,0)),0)</f>
        <v>1</v>
      </c>
      <c r="BT508" s="38">
        <f>IFERROR(INDEX(LMH_STEP,MATCH(AF508,LMH_KEY,0)),0)</f>
        <v>0</v>
      </c>
      <c r="BU508" s="38">
        <f>IFERROR(INDEX(LMH_STEP,MATCH(AG508,LMH_KEY,0)),0)</f>
        <v>0</v>
      </c>
      <c r="BV508" s="38">
        <f>IFERROR(INDEX(LMH_STEP,MATCH(AH508,LMH_KEY,0)),0)</f>
        <v>0</v>
      </c>
      <c r="BW508" s="38">
        <f>IFERROR(INDEX(LMH_STEP,MATCH(AI508,LMH_KEY,0)),0)</f>
        <v>0</v>
      </c>
      <c r="BX508" s="38">
        <f>IFERROR(INDEX(LMH_STEP,MATCH(AJ508,LMH_KEY,0)),0)</f>
        <v>0</v>
      </c>
      <c r="BY508" s="38">
        <f>IFERROR(INDEX(LMH_STEP,MATCH(AK508,LMH_KEY,0)),0)</f>
        <v>0</v>
      </c>
      <c r="BZ508" s="38">
        <f>IFERROR(INDEX(LMH_STEP,MATCH(AL508,LMH_KEY,0)),0)</f>
        <v>0</v>
      </c>
      <c r="CA508" s="38" t="inlineStr">
        <is>
          <t>CARBON|Quality Assurance|Senior QA Engineer|A3|A</t>
        </is>
      </c>
    </row>
    <row r="509" ht="110" customHeight="1">
      <c r="A509" s="28" t="inlineStr">
        <is>
          <t>CARBON</t>
        </is>
      </c>
      <c r="B509" s="29" t="inlineStr">
        <is>
          <t>Quality Assurance</t>
        </is>
      </c>
      <c r="C509" s="29" t="n">
        <v>4</v>
      </c>
      <c r="D509" s="29" t="inlineStr">
        <is>
          <t>IRIS0625</t>
        </is>
      </c>
      <c r="E509" s="29" t="inlineStr">
        <is>
          <t>Pooja Gawas</t>
        </is>
      </c>
      <c r="F509" s="29" t="inlineStr">
        <is>
          <t>QA Engineer</t>
        </is>
      </c>
      <c r="G509" s="29" t="inlineStr">
        <is>
          <t>Senior QA Engineer</t>
        </is>
      </c>
      <c r="H509" s="29" t="inlineStr">
        <is>
          <t>Quality Assurance</t>
        </is>
      </c>
      <c r="I509" s="29" t="inlineStr">
        <is>
          <t>Functional &amp; Domain Testing</t>
        </is>
      </c>
      <c r="J509" s="29" t="inlineStr">
        <is>
          <t>IC</t>
        </is>
      </c>
      <c r="K509" s="29" t="inlineStr">
        <is>
          <t>RC-141</t>
        </is>
      </c>
      <c r="L509" s="29" t="inlineStr">
        <is>
          <t>Vinod Katekar</t>
        </is>
      </c>
      <c r="M509" s="29" t="inlineStr">
        <is>
          <t>IRIS0591</t>
        </is>
      </c>
      <c r="N509" s="29" t="n">
        <v>15.4</v>
      </c>
      <c r="O509" s="29" t="n">
        <v>15.4</v>
      </c>
      <c r="P509" s="29" t="inlineStr">
        <is>
          <t>B.Com</t>
        </is>
      </c>
      <c r="Q509" s="29" t="inlineStr">
        <is>
          <t>L3 – Professional / Associate</t>
        </is>
      </c>
      <c r="R509" s="29" t="inlineStr">
        <is>
          <t>A3</t>
        </is>
      </c>
      <c r="S509" s="30" t="inlineStr">
        <is>
          <t>20 of 20</t>
        </is>
      </c>
      <c r="T509" s="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t>
        </is>
      </c>
      <c r="U509" s="31" t="inlineStr">
        <is>
          <t>Received · manager annual · 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t>
        </is>
      </c>
      <c r="V509" s="31" t="inlineStr">
        <is>
          <t>Latest rating: Not rated · manager · 9-box: Not placed · manager · Readiness: No rating data</t>
        </is>
      </c>
      <c r="W509" s="31" t="inlineStr">
        <is>
          <t>C L · Au L · Ac M · L M · BI M · Exp H · 15.4 yrs vs 2–4 yrs · Edu M · B.Com</t>
        </is>
      </c>
      <c r="X509" s="33" t="inlineStr">
        <is>
          <t>Open ▸</t>
        </is>
      </c>
      <c r="Y509" s="34" t="str">
        <f>IFERROR(INDEX(DL_C,MATCH($CA509,DL_KEY,0)),"M")</f>
        <v>H</v>
      </c>
      <c r="Z509" s="35" t="str">
        <f>IFERROR(INDEX(DL_Au,MATCH($CA509,DL_KEY,0)),"M")</f>
        <v>M</v>
      </c>
      <c r="AA509" s="35" t="str">
        <f>IFERROR(INDEX(DL_Ac,MATCH($CA509,DL_KEY,0)),"M")</f>
        <v>L</v>
      </c>
      <c r="AB509" s="35" t="str">
        <f>IFERROR(INDEX(DL_L,MATCH($CA509,DL_KEY,0)),"M")</f>
        <v>L</v>
      </c>
      <c r="AC509" s="35" t="str">
        <f>IFERROR(INDEX(DL_BI,MATCH($CA509,DL_KEY,0)),"M")</f>
        <v>L</v>
      </c>
      <c r="AD509" s="35" t="str">
        <f>IFERROR(INDEX(DL_Exp,MATCH($CA509,DL_KEY,0)),"M")</f>
        <v>L</v>
      </c>
      <c r="AE509" s="35" t="str">
        <f>IFERROR(INDEX(DL_Edu,MATCH($CA509,DL_KEY,0)),"M")</f>
        <v>L</v>
      </c>
      <c r="AF509" s="34" t="inlineStr">
        <is>
          <t>M</t>
        </is>
      </c>
      <c r="AG509" s="35" t="inlineStr">
        <is>
          <t>M</t>
        </is>
      </c>
      <c r="AH509" s="35" t="inlineStr">
        <is>
          <t>M</t>
        </is>
      </c>
      <c r="AI509" s="35" t="inlineStr">
        <is>
          <t>M</t>
        </is>
      </c>
      <c r="AJ509" s="35" t="inlineStr">
        <is>
          <t>M</t>
        </is>
      </c>
      <c r="AK509" s="35" t="inlineStr">
        <is>
          <t>M</t>
        </is>
      </c>
      <c r="AL509" s="35" t="inlineStr">
        <is>
          <t>M</t>
        </is>
      </c>
      <c r="AM509" s="36" t="n">
        <v>0.583</v>
      </c>
      <c r="AN509" s="37" t="n">
        <v>0.16</v>
      </c>
      <c r="AO509" s="37" t="n">
        <v>0.09</v>
      </c>
      <c r="AP509" s="37" t="n">
        <v>0</v>
      </c>
      <c r="AQ509" s="37" t="n">
        <v>0.063</v>
      </c>
      <c r="AR509" s="37" t="n">
        <v>0.06</v>
      </c>
      <c r="AS509" s="37" t="n">
        <v>0.04</v>
      </c>
      <c r="AT509" s="38" t="inlineStr">
        <is>
          <t>2–5</t>
        </is>
      </c>
      <c r="AU509" s="38" t="inlineStr">
        <is>
          <t>Graduate; relevant certification preferred</t>
        </is>
      </c>
      <c r="AV509" s="38" t="inlineStr">
        <is>
          <t>None · guides 1–3 juniors informally</t>
        </is>
      </c>
      <c r="AW509" s="38" t="inlineStr">
        <is>
          <t>P2 · SFIA 3 Apply</t>
        </is>
      </c>
      <c r="AX5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9" s="39" t="inlineStr">
        <is>
          <t>A3</t>
        </is>
      </c>
      <c r="AZ509" s="40" t="inlineStr">
        <is>
          <t>Band A · Practitioner · Senior Associate</t>
        </is>
      </c>
      <c r="BA509" s="40" t="inlineStr">
        <is>
          <t>Model A3 from the six ratings, the market-derived weights and rules R1–R13 · then No change · already below the manager</t>
        </is>
      </c>
      <c r="BB509" s="41" t="inlineStr">
        <is>
          <t>A3</t>
        </is>
      </c>
      <c r="BC509" s="40" t="inlineStr">
        <is>
          <t>The six ratings on the market-average weights of Band A · all tracks score 2.84 → A3 · Hay, Mercer IPE and public plans · experience 15.4 yrs vs the A3 market range 2–5</t>
        </is>
      </c>
      <c r="BD509" s="42">
        <f>IF(SUM(BM509,BN509,BO509,BP509,BQ509,BR509,BS509)=0,0,(BM509*BT509+BN509*BU509+BO509*BV509+BP509*BW509+BQ509*BX509+BR509*BY509+BS509*BZ509)/SUM(BM509,BN509,BO509,BP509,BQ509,BR509,BS509))</f>
        <v>0</v>
      </c>
      <c r="BE509" s="41" t="str">
        <f>IF(LEFT(AY509,1)="X",AY509,IF(OR(AY509="B+",AY509="C+"),INDEX(LAD_PC,MAX(1,MIN(14,MATCH(AY509,LAD_PC,0)+IF(BD509&gt;=0.5,1,IF(BD509&lt;=-0.5,-1,0))))),INDEX(LAD_STD,MAX(1,MIN(12,MATCH(AY509,LAD_STD,0)+IF(BD509&gt;=0.5,1,IF(BD509&lt;=-0.5,-1,0)))))))</f>
        <v>A3</v>
      </c>
      <c r="BF509" s="43" t="n"/>
      <c r="BG509" s="41" t="str">
        <f>IF(BF509&lt;&gt;"",BF509,BE509)</f>
        <v>A3</v>
      </c>
      <c r="BH509" s="40" t="str">
        <f>IFERROR(CHOOSE(INDEX(B_RANK,MATCH(BG509,B_LVL,0)),"Band A","Band B","B+ · Player-Coach","Band C","C+ · Player-Coach","Band D","Band E"),"Band X · Consultant")</f>
        <v>Band A</v>
      </c>
      <c r="BI509" s="40" t="str">
        <f>IF(BG509=AY509,"• Same",IF(INDEX(B_VAL,MATCH(BG509,B_LVL,0))&gt;INDEX(B_VAL,MATCH(AY509,B_LVL,0)),"▲ Up","▼ Down"))</f>
        <v>• Same</v>
      </c>
      <c r="BJ509" s="40" t="str">
        <f>IF(OR($M509="",$M509="—",$M509="Not in this file"),"",IFERROR(INDEX($BG$7:$BG$592,MATCH($M509,$D$7:$D$592,0)),""))</f>
        <v>B1</v>
      </c>
      <c r="BK509" s="40" t="str">
        <f>IFERROR(IF(BJ509="","—",IF(OR(LEFT(BG509,1)="X",LEFT(BJ509,1)="X"),"—",IF(AND(LEFT(BG509,1)="E",LEFT(BJ509,1)="E"),"Exception · Band E",IF(AND(INDEX(B_VAL,MATCH(BJ509,B_LVL,0))&gt;=7,INDEX(B_RANK,MATCH(BG509,B_LVL,0))&gt;=INDEX(B_RANK,MATCH(BJ509,B_LVL,0))),"⚠ Same band as a head manager",IF(INDEX(B_VAL,MATCH(BG509,B_LVL,0))&gt;=INDEX(B_VAL,MATCH(BJ509,B_LVL,0)),"⚠ At or above the manager's level","OK"))))),"—")</f>
        <v>OK</v>
      </c>
      <c r="BL509" s="43" t="n"/>
      <c r="BM509" s="44">
        <f>IFERROR(INDEX(LMH_PTS,MATCH(Y509,LMH_KEY,0)),0)</f>
        <v>9</v>
      </c>
      <c r="BN509" s="38">
        <f>IFERROR(INDEX(LMH_PTS,MATCH(Z509,LMH_KEY,0)),0)</f>
        <v>3</v>
      </c>
      <c r="BO509" s="38">
        <f>IFERROR(INDEX(LMH_PTS,MATCH(AA509,LMH_KEY,0)),0)</f>
        <v>1</v>
      </c>
      <c r="BP509" s="38">
        <f>IFERROR(INDEX(LMH_PTS,MATCH(AB509,LMH_KEY,0)),0)</f>
        <v>1</v>
      </c>
      <c r="BQ509" s="38">
        <f>IFERROR(INDEX(LMH_PTS,MATCH(AC509,LMH_KEY,0)),0)</f>
        <v>1</v>
      </c>
      <c r="BR509" s="38">
        <f>IFERROR(INDEX(LMH_PTS,MATCH(AD509,LMH_KEY,0)),0)</f>
        <v>1</v>
      </c>
      <c r="BS509" s="38">
        <f>IFERROR(INDEX(LMH_PTS,MATCH(AE509,LMH_KEY,0)),0)</f>
        <v>1</v>
      </c>
      <c r="BT509" s="38">
        <f>IFERROR(INDEX(LMH_STEP,MATCH(AF509,LMH_KEY,0)),0)</f>
        <v>0</v>
      </c>
      <c r="BU509" s="38">
        <f>IFERROR(INDEX(LMH_STEP,MATCH(AG509,LMH_KEY,0)),0)</f>
        <v>0</v>
      </c>
      <c r="BV509" s="38">
        <f>IFERROR(INDEX(LMH_STEP,MATCH(AH509,LMH_KEY,0)),0)</f>
        <v>0</v>
      </c>
      <c r="BW509" s="38">
        <f>IFERROR(INDEX(LMH_STEP,MATCH(AI509,LMH_KEY,0)),0)</f>
        <v>0</v>
      </c>
      <c r="BX509" s="38">
        <f>IFERROR(INDEX(LMH_STEP,MATCH(AJ509,LMH_KEY,0)),0)</f>
        <v>0</v>
      </c>
      <c r="BY509" s="38">
        <f>IFERROR(INDEX(LMH_STEP,MATCH(AK509,LMH_KEY,0)),0)</f>
        <v>0</v>
      </c>
      <c r="BZ509" s="38">
        <f>IFERROR(INDEX(LMH_STEP,MATCH(AL509,LMH_KEY,0)),0)</f>
        <v>0</v>
      </c>
      <c r="CA509" s="38" t="inlineStr">
        <is>
          <t>CARBON|Quality Assurance|Senior QA Engineer|A3|A</t>
        </is>
      </c>
    </row>
    <row r="510" ht="110" customHeight="1">
      <c r="A510" s="28" t="inlineStr">
        <is>
          <t>CARBON</t>
        </is>
      </c>
      <c r="B510" s="29" t="inlineStr">
        <is>
          <t>Quality Assurance</t>
        </is>
      </c>
      <c r="C510" s="29" t="n">
        <v>5</v>
      </c>
      <c r="D510" s="29" t="inlineStr">
        <is>
          <t>IRIS2405</t>
        </is>
      </c>
      <c r="E510" s="29" t="inlineStr">
        <is>
          <t>Tasmiyah Patni</t>
        </is>
      </c>
      <c r="F510" s="29" t="inlineStr">
        <is>
          <t>QA Engineer</t>
        </is>
      </c>
      <c r="G510" s="29" t="inlineStr">
        <is>
          <t>Senior QA Engineer</t>
        </is>
      </c>
      <c r="H510" s="29" t="inlineStr">
        <is>
          <t>Quality Assurance</t>
        </is>
      </c>
      <c r="I510" s="29" t="inlineStr">
        <is>
          <t>Functional &amp; Domain Testing</t>
        </is>
      </c>
      <c r="J510" s="29" t="inlineStr">
        <is>
          <t>IC</t>
        </is>
      </c>
      <c r="K510" s="29" t="inlineStr">
        <is>
          <t>RC-141</t>
        </is>
      </c>
      <c r="L510" s="29" t="inlineStr">
        <is>
          <t>Pooja Gawas</t>
        </is>
      </c>
      <c r="M510" s="29" t="inlineStr">
        <is>
          <t>IRIS0625</t>
        </is>
      </c>
      <c r="N510" s="29" t="n">
        <v>4.4</v>
      </c>
      <c r="O510" s="29" t="n">
        <v>1.2</v>
      </c>
      <c r="P510" s="29" t="inlineStr">
        <is>
          <t>B.Sc</t>
        </is>
      </c>
      <c r="Q510" s="29" t="inlineStr">
        <is>
          <t>L3 – Professional / Associate</t>
        </is>
      </c>
      <c r="R510" s="29" t="inlineStr">
        <is>
          <t>A3</t>
        </is>
      </c>
      <c r="S510" s="30" t="inlineStr">
        <is>
          <t>20 of 20</t>
        </is>
      </c>
      <c r="T510" s="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t>
        </is>
      </c>
      <c r="U510" s="31" t="inlineStr">
        <is>
          <t>Received · manager annual · 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t>
        </is>
      </c>
      <c r="V510" s="31" t="inlineStr">
        <is>
          <t>Latest rating: Not rated · manager · 9-box: Trusted Professional · Readiness: No rating data</t>
        </is>
      </c>
      <c r="W510" s="31" t="inlineStr">
        <is>
          <t>C M · Au M · Ac M · L L · BI M · Exp H · 4.4 yrs vs 0–2 yrs · Edu M · B.Sc</t>
        </is>
      </c>
      <c r="X510" s="33" t="inlineStr">
        <is>
          <t>Open ▸</t>
        </is>
      </c>
      <c r="Y510" s="34" t="str">
        <f>IFERROR(INDEX(DL_C,MATCH($CA510,DL_KEY,0)),"M")</f>
        <v>H</v>
      </c>
      <c r="Z510" s="35" t="str">
        <f>IFERROR(INDEX(DL_Au,MATCH($CA510,DL_KEY,0)),"M")</f>
        <v>M</v>
      </c>
      <c r="AA510" s="35" t="str">
        <f>IFERROR(INDEX(DL_Ac,MATCH($CA510,DL_KEY,0)),"M")</f>
        <v>L</v>
      </c>
      <c r="AB510" s="35" t="str">
        <f>IFERROR(INDEX(DL_L,MATCH($CA510,DL_KEY,0)),"M")</f>
        <v>L</v>
      </c>
      <c r="AC510" s="35" t="str">
        <f>IFERROR(INDEX(DL_BI,MATCH($CA510,DL_KEY,0)),"M")</f>
        <v>L</v>
      </c>
      <c r="AD510" s="35" t="str">
        <f>IFERROR(INDEX(DL_Exp,MATCH($CA510,DL_KEY,0)),"M")</f>
        <v>L</v>
      </c>
      <c r="AE510" s="35" t="str">
        <f>IFERROR(INDEX(DL_Edu,MATCH($CA510,DL_KEY,0)),"M")</f>
        <v>L</v>
      </c>
      <c r="AF510" s="34" t="inlineStr">
        <is>
          <t>M</t>
        </is>
      </c>
      <c r="AG510" s="35" t="inlineStr">
        <is>
          <t>M</t>
        </is>
      </c>
      <c r="AH510" s="35" t="inlineStr">
        <is>
          <t>M</t>
        </is>
      </c>
      <c r="AI510" s="35" t="inlineStr">
        <is>
          <t>M</t>
        </is>
      </c>
      <c r="AJ510" s="35" t="inlineStr">
        <is>
          <t>M</t>
        </is>
      </c>
      <c r="AK510" s="35" t="inlineStr">
        <is>
          <t>M</t>
        </is>
      </c>
      <c r="AL510" s="35" t="inlineStr">
        <is>
          <t>M</t>
        </is>
      </c>
      <c r="AM510" s="36" t="n">
        <v>0.583</v>
      </c>
      <c r="AN510" s="37" t="n">
        <v>0.16</v>
      </c>
      <c r="AO510" s="37" t="n">
        <v>0.09</v>
      </c>
      <c r="AP510" s="37" t="n">
        <v>0</v>
      </c>
      <c r="AQ510" s="37" t="n">
        <v>0.063</v>
      </c>
      <c r="AR510" s="37" t="n">
        <v>0.06</v>
      </c>
      <c r="AS510" s="37" t="n">
        <v>0.04</v>
      </c>
      <c r="AT510" s="38" t="inlineStr">
        <is>
          <t>0–3</t>
        </is>
      </c>
      <c r="AU510" s="38" t="inlineStr">
        <is>
          <t>Graduate · or diploma with experience</t>
        </is>
      </c>
      <c r="AV510" s="38" t="inlineStr">
        <is>
          <t>No direct reports</t>
        </is>
      </c>
      <c r="AW510" s="38" t="inlineStr">
        <is>
          <t>P1–P2 · SFIA 2 Assist</t>
        </is>
      </c>
      <c r="AX5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0" s="39" t="inlineStr">
        <is>
          <t>A2</t>
        </is>
      </c>
      <c r="AZ510" s="40" t="inlineStr">
        <is>
          <t>Band A · Practitioner · Associate</t>
        </is>
      </c>
      <c r="BA510" s="40" t="inlineStr">
        <is>
          <t>Model A3 from the six ratings, the market-derived weights and rules R1–R13 · then Level rule: manager A3; a reportee sits at least one level below · A3 → A2 · move down · pay and title protected for one cycle</t>
        </is>
      </c>
      <c r="BB510" s="41" t="inlineStr">
        <is>
          <t>A2</t>
        </is>
      </c>
      <c r="BC510" s="40" t="inlineStr">
        <is>
          <t>The six ratings on the market-average weights of Band A · all tracks score 2.15 → A2 · Hay, Mercer IPE and public plans · experience 4.4 yrs vs the A2 market range 0–3</t>
        </is>
      </c>
      <c r="BD510" s="42">
        <f>IF(SUM(BM510,BN510,BO510,BP510,BQ510,BR510,BS510)=0,0,(BM510*BT510+BN510*BU510+BO510*BV510+BP510*BW510+BQ510*BX510+BR510*BY510+BS510*BZ510)/SUM(BM510,BN510,BO510,BP510,BQ510,BR510,BS510))</f>
        <v>0</v>
      </c>
      <c r="BE510" s="41" t="str">
        <f>IF(LEFT(AY510,1)="X",AY510,IF(OR(AY510="B+",AY510="C+"),INDEX(LAD_PC,MAX(1,MIN(14,MATCH(AY510,LAD_PC,0)+IF(BD510&gt;=0.5,1,IF(BD510&lt;=-0.5,-1,0))))),INDEX(LAD_STD,MAX(1,MIN(12,MATCH(AY510,LAD_STD,0)+IF(BD510&gt;=0.5,1,IF(BD510&lt;=-0.5,-1,0)))))))</f>
        <v>A2</v>
      </c>
      <c r="BF510" s="43" t="n"/>
      <c r="BG510" s="41" t="str">
        <f>IF(BF510&lt;&gt;"",BF510,BE510)</f>
        <v>A2</v>
      </c>
      <c r="BH510" s="40" t="str">
        <f>IFERROR(CHOOSE(INDEX(B_RANK,MATCH(BG510,B_LVL,0)),"Band A","Band B","B+ · Player-Coach","Band C","C+ · Player-Coach","Band D","Band E"),"Band X · Consultant")</f>
        <v>Band A</v>
      </c>
      <c r="BI510" s="40" t="str">
        <f>IF(BG510=AY510,"• Same",IF(INDEX(B_VAL,MATCH(BG510,B_LVL,0))&gt;INDEX(B_VAL,MATCH(AY510,B_LVL,0)),"▲ Up","▼ Down"))</f>
        <v>• Same</v>
      </c>
      <c r="BJ510" s="40" t="str">
        <f>IF(OR($M510="",$M510="—",$M510="Not in this file"),"",IFERROR(INDEX($BG$7:$BG$592,MATCH($M510,$D$7:$D$592,0)),""))</f>
        <v>A3</v>
      </c>
      <c r="BK510" s="40" t="str">
        <f>IFERROR(IF(BJ510="","—",IF(OR(LEFT(BG510,1)="X",LEFT(BJ510,1)="X"),"—",IF(AND(LEFT(BG510,1)="E",LEFT(BJ510,1)="E"),"Exception · Band E",IF(AND(INDEX(B_VAL,MATCH(BJ510,B_LVL,0))&gt;=7,INDEX(B_RANK,MATCH(BG510,B_LVL,0))&gt;=INDEX(B_RANK,MATCH(BJ510,B_LVL,0))),"⚠ Same band as a head manager",IF(INDEX(B_VAL,MATCH(BG510,B_LVL,0))&gt;=INDEX(B_VAL,MATCH(BJ510,B_LVL,0)),"⚠ At or above the manager's level","OK"))))),"—")</f>
        <v>OK</v>
      </c>
      <c r="BL510" s="43" t="n"/>
      <c r="BM510" s="44">
        <f>IFERROR(INDEX(LMH_PTS,MATCH(Y510,LMH_KEY,0)),0)</f>
        <v>9</v>
      </c>
      <c r="BN510" s="38">
        <f>IFERROR(INDEX(LMH_PTS,MATCH(Z510,LMH_KEY,0)),0)</f>
        <v>3</v>
      </c>
      <c r="BO510" s="38">
        <f>IFERROR(INDEX(LMH_PTS,MATCH(AA510,LMH_KEY,0)),0)</f>
        <v>1</v>
      </c>
      <c r="BP510" s="38">
        <f>IFERROR(INDEX(LMH_PTS,MATCH(AB510,LMH_KEY,0)),0)</f>
        <v>1</v>
      </c>
      <c r="BQ510" s="38">
        <f>IFERROR(INDEX(LMH_PTS,MATCH(AC510,LMH_KEY,0)),0)</f>
        <v>1</v>
      </c>
      <c r="BR510" s="38">
        <f>IFERROR(INDEX(LMH_PTS,MATCH(AD510,LMH_KEY,0)),0)</f>
        <v>1</v>
      </c>
      <c r="BS510" s="38">
        <f>IFERROR(INDEX(LMH_PTS,MATCH(AE510,LMH_KEY,0)),0)</f>
        <v>1</v>
      </c>
      <c r="BT510" s="38">
        <f>IFERROR(INDEX(LMH_STEP,MATCH(AF510,LMH_KEY,0)),0)</f>
        <v>0</v>
      </c>
      <c r="BU510" s="38">
        <f>IFERROR(INDEX(LMH_STEP,MATCH(AG510,LMH_KEY,0)),0)</f>
        <v>0</v>
      </c>
      <c r="BV510" s="38">
        <f>IFERROR(INDEX(LMH_STEP,MATCH(AH510,LMH_KEY,0)),0)</f>
        <v>0</v>
      </c>
      <c r="BW510" s="38">
        <f>IFERROR(INDEX(LMH_STEP,MATCH(AI510,LMH_KEY,0)),0)</f>
        <v>0</v>
      </c>
      <c r="BX510" s="38">
        <f>IFERROR(INDEX(LMH_STEP,MATCH(AJ510,LMH_KEY,0)),0)</f>
        <v>0</v>
      </c>
      <c r="BY510" s="38">
        <f>IFERROR(INDEX(LMH_STEP,MATCH(AK510,LMH_KEY,0)),0)</f>
        <v>0</v>
      </c>
      <c r="BZ510" s="38">
        <f>IFERROR(INDEX(LMH_STEP,MATCH(AL510,LMH_KEY,0)),0)</f>
        <v>0</v>
      </c>
      <c r="CA510" s="38" t="inlineStr">
        <is>
          <t>CARBON|Quality Assurance|Senior QA Engineer|A2|A</t>
        </is>
      </c>
    </row>
    <row r="511" ht="110" customHeight="1">
      <c r="A511" s="28" t="inlineStr">
        <is>
          <t>CARBON</t>
        </is>
      </c>
      <c r="B511" s="29" t="inlineStr">
        <is>
          <t>Quality Assurance</t>
        </is>
      </c>
      <c r="C511" s="29" t="n">
        <v>4</v>
      </c>
      <c r="D511" s="29" t="inlineStr">
        <is>
          <t>IRIS2014</t>
        </is>
      </c>
      <c r="E511" s="29" t="inlineStr">
        <is>
          <t>Vishal Panchal</t>
        </is>
      </c>
      <c r="F511" s="29" t="inlineStr">
        <is>
          <t>QA Engineer</t>
        </is>
      </c>
      <c r="G511" s="29" t="inlineStr">
        <is>
          <t>Senior QA Engineer</t>
        </is>
      </c>
      <c r="H511" s="29" t="inlineStr">
        <is>
          <t>Quality Assurance</t>
        </is>
      </c>
      <c r="I511" s="29" t="inlineStr">
        <is>
          <t>Functional &amp; Domain Testing</t>
        </is>
      </c>
      <c r="J511" s="29" t="inlineStr">
        <is>
          <t>IC</t>
        </is>
      </c>
      <c r="K511" s="29" t="inlineStr">
        <is>
          <t>RC-141</t>
        </is>
      </c>
      <c r="L511" s="29" t="inlineStr">
        <is>
          <t>Vinod Katekar</t>
        </is>
      </c>
      <c r="M511" s="29" t="inlineStr">
        <is>
          <t>IRIS0591</t>
        </is>
      </c>
      <c r="N511" s="29" t="n">
        <v>8.4</v>
      </c>
      <c r="O511" s="29" t="n">
        <v>4.4</v>
      </c>
      <c r="P511" s="29" t="inlineStr">
        <is>
          <t>B.E</t>
        </is>
      </c>
      <c r="Q511" s="29" t="inlineStr">
        <is>
          <t>L3 – Professional / Associate</t>
        </is>
      </c>
      <c r="R511" s="29" t="inlineStr">
        <is>
          <t>A3</t>
        </is>
      </c>
      <c r="S511" s="30" t="inlineStr">
        <is>
          <t>20 of 20</t>
        </is>
      </c>
      <c r="T511" s="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t>
        </is>
      </c>
      <c r="U511" s="31" t="inlineStr">
        <is>
          <t>Received · manager annual · 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t>
        </is>
      </c>
      <c r="V511" s="31" t="inlineStr">
        <is>
          <t>Latest rating: Not rated · manager · 9-box: Not placed · manager · Readiness: No rating data</t>
        </is>
      </c>
      <c r="W511" s="31" t="inlineStr">
        <is>
          <t>C M · Au M · Ac M · L M · BI M · Exp H · 8.4 yrs vs 2–4 yrs · Edu M · B.E</t>
        </is>
      </c>
      <c r="X511" s="33" t="inlineStr">
        <is>
          <t>Open ▸</t>
        </is>
      </c>
      <c r="Y511" s="34" t="str">
        <f>IFERROR(INDEX(DL_C,MATCH($CA511,DL_KEY,0)),"M")</f>
        <v>H</v>
      </c>
      <c r="Z511" s="35" t="str">
        <f>IFERROR(INDEX(DL_Au,MATCH($CA511,DL_KEY,0)),"M")</f>
        <v>M</v>
      </c>
      <c r="AA511" s="35" t="str">
        <f>IFERROR(INDEX(DL_Ac,MATCH($CA511,DL_KEY,0)),"M")</f>
        <v>L</v>
      </c>
      <c r="AB511" s="35" t="str">
        <f>IFERROR(INDEX(DL_L,MATCH($CA511,DL_KEY,0)),"M")</f>
        <v>L</v>
      </c>
      <c r="AC511" s="35" t="str">
        <f>IFERROR(INDEX(DL_BI,MATCH($CA511,DL_KEY,0)),"M")</f>
        <v>L</v>
      </c>
      <c r="AD511" s="35" t="str">
        <f>IFERROR(INDEX(DL_Exp,MATCH($CA511,DL_KEY,0)),"M")</f>
        <v>L</v>
      </c>
      <c r="AE511" s="35" t="str">
        <f>IFERROR(INDEX(DL_Edu,MATCH($CA511,DL_KEY,0)),"M")</f>
        <v>L</v>
      </c>
      <c r="AF511" s="34" t="inlineStr">
        <is>
          <t>M</t>
        </is>
      </c>
      <c r="AG511" s="35" t="inlineStr">
        <is>
          <t>M</t>
        </is>
      </c>
      <c r="AH511" s="35" t="inlineStr">
        <is>
          <t>M</t>
        </is>
      </c>
      <c r="AI511" s="35" t="inlineStr">
        <is>
          <t>M</t>
        </is>
      </c>
      <c r="AJ511" s="35" t="inlineStr">
        <is>
          <t>M</t>
        </is>
      </c>
      <c r="AK511" s="35" t="inlineStr">
        <is>
          <t>M</t>
        </is>
      </c>
      <c r="AL511" s="35" t="inlineStr">
        <is>
          <t>M</t>
        </is>
      </c>
      <c r="AM511" s="36" t="n">
        <v>0.583</v>
      </c>
      <c r="AN511" s="37" t="n">
        <v>0.16</v>
      </c>
      <c r="AO511" s="37" t="n">
        <v>0.09</v>
      </c>
      <c r="AP511" s="37" t="n">
        <v>0</v>
      </c>
      <c r="AQ511" s="37" t="n">
        <v>0.063</v>
      </c>
      <c r="AR511" s="37" t="n">
        <v>0.06</v>
      </c>
      <c r="AS511" s="37" t="n">
        <v>0.04</v>
      </c>
      <c r="AT511" s="38" t="inlineStr">
        <is>
          <t>2–5</t>
        </is>
      </c>
      <c r="AU511" s="38" t="inlineStr">
        <is>
          <t>Graduate; relevant certification preferred</t>
        </is>
      </c>
      <c r="AV511" s="38" t="inlineStr">
        <is>
          <t>None · guides 1–3 juniors informally</t>
        </is>
      </c>
      <c r="AW511" s="38" t="inlineStr">
        <is>
          <t>P2 · SFIA 3 Apply</t>
        </is>
      </c>
      <c r="AX5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1" s="39" t="inlineStr">
        <is>
          <t>A3</t>
        </is>
      </c>
      <c r="AZ511" s="40" t="inlineStr">
        <is>
          <t>Band A · Practitioner · Senior Associate</t>
        </is>
      </c>
      <c r="BA511" s="40" t="inlineStr">
        <is>
          <t>Model A3 from the six ratings, the market-derived weights and rules R1–R13 · then No change · already below the manager</t>
        </is>
      </c>
      <c r="BB511" s="41" t="inlineStr">
        <is>
          <t>A3</t>
        </is>
      </c>
      <c r="BC511" s="40" t="inlineStr">
        <is>
          <t>The six ratings on the market-average weights of Band A · all tracks score 2.95 → A3 · Hay, Mercer IPE and public plans · experience 8.4 yrs vs the A3 market range 2–5</t>
        </is>
      </c>
      <c r="BD511" s="42">
        <f>IF(SUM(BM511,BN511,BO511,BP511,BQ511,BR511,BS511)=0,0,(BM511*BT511+BN511*BU511+BO511*BV511+BP511*BW511+BQ511*BX511+BR511*BY511+BS511*BZ511)/SUM(BM511,BN511,BO511,BP511,BQ511,BR511,BS511))</f>
        <v>0</v>
      </c>
      <c r="BE511" s="41" t="str">
        <f>IF(LEFT(AY511,1)="X",AY511,IF(OR(AY511="B+",AY511="C+"),INDEX(LAD_PC,MAX(1,MIN(14,MATCH(AY511,LAD_PC,0)+IF(BD511&gt;=0.5,1,IF(BD511&lt;=-0.5,-1,0))))),INDEX(LAD_STD,MAX(1,MIN(12,MATCH(AY511,LAD_STD,0)+IF(BD511&gt;=0.5,1,IF(BD511&lt;=-0.5,-1,0)))))))</f>
        <v>A3</v>
      </c>
      <c r="BF511" s="43" t="n"/>
      <c r="BG511" s="41" t="str">
        <f>IF(BF511&lt;&gt;"",BF511,BE511)</f>
        <v>A3</v>
      </c>
      <c r="BH511" s="40" t="str">
        <f>IFERROR(CHOOSE(INDEX(B_RANK,MATCH(BG511,B_LVL,0)),"Band A","Band B","B+ · Player-Coach","Band C","C+ · Player-Coach","Band D","Band E"),"Band X · Consultant")</f>
        <v>Band A</v>
      </c>
      <c r="BI511" s="40" t="str">
        <f>IF(BG511=AY511,"• Same",IF(INDEX(B_VAL,MATCH(BG511,B_LVL,0))&gt;INDEX(B_VAL,MATCH(AY511,B_LVL,0)),"▲ Up","▼ Down"))</f>
        <v>• Same</v>
      </c>
      <c r="BJ511" s="40" t="str">
        <f>IF(OR($M511="",$M511="—",$M511="Not in this file"),"",IFERROR(INDEX($BG$7:$BG$592,MATCH($M511,$D$7:$D$592,0)),""))</f>
        <v>B1</v>
      </c>
      <c r="BK511" s="40" t="str">
        <f>IFERROR(IF(BJ511="","—",IF(OR(LEFT(BG511,1)="X",LEFT(BJ511,1)="X"),"—",IF(AND(LEFT(BG511,1)="E",LEFT(BJ511,1)="E"),"Exception · Band E",IF(AND(INDEX(B_VAL,MATCH(BJ511,B_LVL,0))&gt;=7,INDEX(B_RANK,MATCH(BG511,B_LVL,0))&gt;=INDEX(B_RANK,MATCH(BJ511,B_LVL,0))),"⚠ Same band as a head manager",IF(INDEX(B_VAL,MATCH(BG511,B_LVL,0))&gt;=INDEX(B_VAL,MATCH(BJ511,B_LVL,0)),"⚠ At or above the manager's level","OK"))))),"—")</f>
        <v>OK</v>
      </c>
      <c r="BL511" s="43" t="n"/>
      <c r="BM511" s="44">
        <f>IFERROR(INDEX(LMH_PTS,MATCH(Y511,LMH_KEY,0)),0)</f>
        <v>9</v>
      </c>
      <c r="BN511" s="38">
        <f>IFERROR(INDEX(LMH_PTS,MATCH(Z511,LMH_KEY,0)),0)</f>
        <v>3</v>
      </c>
      <c r="BO511" s="38">
        <f>IFERROR(INDEX(LMH_PTS,MATCH(AA511,LMH_KEY,0)),0)</f>
        <v>1</v>
      </c>
      <c r="BP511" s="38">
        <f>IFERROR(INDEX(LMH_PTS,MATCH(AB511,LMH_KEY,0)),0)</f>
        <v>1</v>
      </c>
      <c r="BQ511" s="38">
        <f>IFERROR(INDEX(LMH_PTS,MATCH(AC511,LMH_KEY,0)),0)</f>
        <v>1</v>
      </c>
      <c r="BR511" s="38">
        <f>IFERROR(INDEX(LMH_PTS,MATCH(AD511,LMH_KEY,0)),0)</f>
        <v>1</v>
      </c>
      <c r="BS511" s="38">
        <f>IFERROR(INDEX(LMH_PTS,MATCH(AE511,LMH_KEY,0)),0)</f>
        <v>1</v>
      </c>
      <c r="BT511" s="38">
        <f>IFERROR(INDEX(LMH_STEP,MATCH(AF511,LMH_KEY,0)),0)</f>
        <v>0</v>
      </c>
      <c r="BU511" s="38">
        <f>IFERROR(INDEX(LMH_STEP,MATCH(AG511,LMH_KEY,0)),0)</f>
        <v>0</v>
      </c>
      <c r="BV511" s="38">
        <f>IFERROR(INDEX(LMH_STEP,MATCH(AH511,LMH_KEY,0)),0)</f>
        <v>0</v>
      </c>
      <c r="BW511" s="38">
        <f>IFERROR(INDEX(LMH_STEP,MATCH(AI511,LMH_KEY,0)),0)</f>
        <v>0</v>
      </c>
      <c r="BX511" s="38">
        <f>IFERROR(INDEX(LMH_STEP,MATCH(AJ511,LMH_KEY,0)),0)</f>
        <v>0</v>
      </c>
      <c r="BY511" s="38">
        <f>IFERROR(INDEX(LMH_STEP,MATCH(AK511,LMH_KEY,0)),0)</f>
        <v>0</v>
      </c>
      <c r="BZ511" s="38">
        <f>IFERROR(INDEX(LMH_STEP,MATCH(AL511,LMH_KEY,0)),0)</f>
        <v>0</v>
      </c>
      <c r="CA511" s="38" t="inlineStr">
        <is>
          <t>CARBON|Quality Assurance|Senior QA Engineer|A3|A</t>
        </is>
      </c>
    </row>
    <row r="512" ht="110" customHeight="1">
      <c r="A512" s="28" t="inlineStr">
        <is>
          <t>CARBON</t>
        </is>
      </c>
      <c r="B512" s="29" t="inlineStr">
        <is>
          <t>Quality Assurance</t>
        </is>
      </c>
      <c r="C512" s="29" t="n">
        <v>5</v>
      </c>
      <c r="D512" s="29" t="inlineStr">
        <is>
          <t>IRIS2388</t>
        </is>
      </c>
      <c r="E512" s="29" t="inlineStr">
        <is>
          <t>Hrishikesh Thombare</t>
        </is>
      </c>
      <c r="F512" s="29" t="inlineStr">
        <is>
          <t>QA Engineer</t>
        </is>
      </c>
      <c r="G512" s="29" t="inlineStr">
        <is>
          <t>Senior QA Engineer</t>
        </is>
      </c>
      <c r="H512" s="29" t="inlineStr">
        <is>
          <t>Quality Assurance</t>
        </is>
      </c>
      <c r="I512" s="29" t="inlineStr">
        <is>
          <t>Functional &amp; Domain Testing</t>
        </is>
      </c>
      <c r="J512" s="29" t="inlineStr">
        <is>
          <t>IC</t>
        </is>
      </c>
      <c r="K512" s="29" t="inlineStr">
        <is>
          <t>RC-141</t>
        </is>
      </c>
      <c r="L512" s="29" t="inlineStr">
        <is>
          <t>Vishal Panchal</t>
        </is>
      </c>
      <c r="M512" s="29" t="inlineStr">
        <is>
          <t>IRIS2014</t>
        </is>
      </c>
      <c r="N512" s="29" t="n">
        <v>4.1</v>
      </c>
      <c r="O512" s="29" t="n">
        <v>1.3</v>
      </c>
      <c r="P512" s="29" t="inlineStr">
        <is>
          <t>B.Com</t>
        </is>
      </c>
      <c r="Q512" s="29" t="inlineStr">
        <is>
          <t>L3 – Professional / Associate</t>
        </is>
      </c>
      <c r="R512" s="29" t="inlineStr">
        <is>
          <t>A3</t>
        </is>
      </c>
      <c r="S512" s="30" t="inlineStr">
        <is>
          <t>20 of 20</t>
        </is>
      </c>
      <c r="T512" s="31"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t>
        </is>
      </c>
      <c r="U512" s="31" t="inlineStr">
        <is>
          <t>Received · manager annual · 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t>
        </is>
      </c>
      <c r="V512" s="31" t="inlineStr">
        <is>
          <t>Latest rating: Not rated · manager · 9-box: Reliable Specialist · Readiness: No rating data</t>
        </is>
      </c>
      <c r="W512" s="31" t="inlineStr">
        <is>
          <t>C M · Au M · Ac M · L L · BI M · Exp H · 4.1 yrs vs 0–2 yrs · Edu M · B.Com</t>
        </is>
      </c>
      <c r="X512" s="33" t="inlineStr">
        <is>
          <t>Open ▸</t>
        </is>
      </c>
      <c r="Y512" s="34" t="str">
        <f>IFERROR(INDEX(DL_C,MATCH($CA512,DL_KEY,0)),"M")</f>
        <v>H</v>
      </c>
      <c r="Z512" s="35" t="str">
        <f>IFERROR(INDEX(DL_Au,MATCH($CA512,DL_KEY,0)),"M")</f>
        <v>M</v>
      </c>
      <c r="AA512" s="35" t="str">
        <f>IFERROR(INDEX(DL_Ac,MATCH($CA512,DL_KEY,0)),"M")</f>
        <v>L</v>
      </c>
      <c r="AB512" s="35" t="str">
        <f>IFERROR(INDEX(DL_L,MATCH($CA512,DL_KEY,0)),"M")</f>
        <v>L</v>
      </c>
      <c r="AC512" s="35" t="str">
        <f>IFERROR(INDEX(DL_BI,MATCH($CA512,DL_KEY,0)),"M")</f>
        <v>L</v>
      </c>
      <c r="AD512" s="35" t="str">
        <f>IFERROR(INDEX(DL_Exp,MATCH($CA512,DL_KEY,0)),"M")</f>
        <v>L</v>
      </c>
      <c r="AE512" s="35" t="str">
        <f>IFERROR(INDEX(DL_Edu,MATCH($CA512,DL_KEY,0)),"M")</f>
        <v>L</v>
      </c>
      <c r="AF512" s="34" t="inlineStr">
        <is>
          <t>M</t>
        </is>
      </c>
      <c r="AG512" s="35" t="inlineStr">
        <is>
          <t>M</t>
        </is>
      </c>
      <c r="AH512" s="35" t="inlineStr">
        <is>
          <t>M</t>
        </is>
      </c>
      <c r="AI512" s="35" t="inlineStr">
        <is>
          <t>M</t>
        </is>
      </c>
      <c r="AJ512" s="35" t="inlineStr">
        <is>
          <t>M</t>
        </is>
      </c>
      <c r="AK512" s="35" t="inlineStr">
        <is>
          <t>M</t>
        </is>
      </c>
      <c r="AL512" s="35" t="inlineStr">
        <is>
          <t>M</t>
        </is>
      </c>
      <c r="AM512" s="36" t="n">
        <v>0.583</v>
      </c>
      <c r="AN512" s="37" t="n">
        <v>0.16</v>
      </c>
      <c r="AO512" s="37" t="n">
        <v>0.09</v>
      </c>
      <c r="AP512" s="37" t="n">
        <v>0</v>
      </c>
      <c r="AQ512" s="37" t="n">
        <v>0.063</v>
      </c>
      <c r="AR512" s="37" t="n">
        <v>0.06</v>
      </c>
      <c r="AS512" s="37" t="n">
        <v>0.04</v>
      </c>
      <c r="AT512" s="38" t="inlineStr">
        <is>
          <t>0–3</t>
        </is>
      </c>
      <c r="AU512" s="38" t="inlineStr">
        <is>
          <t>Graduate · or diploma with experience</t>
        </is>
      </c>
      <c r="AV512" s="38" t="inlineStr">
        <is>
          <t>No direct reports</t>
        </is>
      </c>
      <c r="AW512" s="38" t="inlineStr">
        <is>
          <t>P1–P2 · SFIA 2 Assist</t>
        </is>
      </c>
      <c r="AX5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2" s="39" t="inlineStr">
        <is>
          <t>A2</t>
        </is>
      </c>
      <c r="AZ512" s="40" t="inlineStr">
        <is>
          <t>Band A · Practitioner · Associate</t>
        </is>
      </c>
      <c r="BA512" s="40" t="inlineStr">
        <is>
          <t>Model A3 from the six ratings, the market-derived weights and rules R1–R13 · then Level rule: manager A3; a reportee sits at least one level below · A3 → A2 · move down · pay and title protected for one cycle</t>
        </is>
      </c>
      <c r="BB512" s="41" t="inlineStr">
        <is>
          <t>A2</t>
        </is>
      </c>
      <c r="BC512" s="40" t="inlineStr">
        <is>
          <t>The six ratings on the market-average weights of Band A · all tracks score 2.15 → A2 · Hay, Mercer IPE and public plans · experience 4.1 yrs vs the A2 market range 0–3</t>
        </is>
      </c>
      <c r="BD512" s="42">
        <f>IF(SUM(BM512,BN512,BO512,BP512,BQ512,BR512,BS512)=0,0,(BM512*BT512+BN512*BU512+BO512*BV512+BP512*BW512+BQ512*BX512+BR512*BY512+BS512*BZ512)/SUM(BM512,BN512,BO512,BP512,BQ512,BR512,BS512))</f>
        <v>0</v>
      </c>
      <c r="BE512" s="41" t="str">
        <f>IF(LEFT(AY512,1)="X",AY512,IF(OR(AY512="B+",AY512="C+"),INDEX(LAD_PC,MAX(1,MIN(14,MATCH(AY512,LAD_PC,0)+IF(BD512&gt;=0.5,1,IF(BD512&lt;=-0.5,-1,0))))),INDEX(LAD_STD,MAX(1,MIN(12,MATCH(AY512,LAD_STD,0)+IF(BD512&gt;=0.5,1,IF(BD512&lt;=-0.5,-1,0)))))))</f>
        <v>A2</v>
      </c>
      <c r="BF512" s="43" t="n"/>
      <c r="BG512" s="41" t="str">
        <f>IF(BF512&lt;&gt;"",BF512,BE512)</f>
        <v>A2</v>
      </c>
      <c r="BH512" s="40" t="str">
        <f>IFERROR(CHOOSE(INDEX(B_RANK,MATCH(BG512,B_LVL,0)),"Band A","Band B","B+ · Player-Coach","Band C","C+ · Player-Coach","Band D","Band E"),"Band X · Consultant")</f>
        <v>Band A</v>
      </c>
      <c r="BI512" s="40" t="str">
        <f>IF(BG512=AY512,"• Same",IF(INDEX(B_VAL,MATCH(BG512,B_LVL,0))&gt;INDEX(B_VAL,MATCH(AY512,B_LVL,0)),"▲ Up","▼ Down"))</f>
        <v>• Same</v>
      </c>
      <c r="BJ512" s="40" t="str">
        <f>IF(OR($M512="",$M512="—",$M512="Not in this file"),"",IFERROR(INDEX($BG$7:$BG$592,MATCH($M512,$D$7:$D$592,0)),""))</f>
        <v>A3</v>
      </c>
      <c r="BK512" s="40" t="str">
        <f>IFERROR(IF(BJ512="","—",IF(OR(LEFT(BG512,1)="X",LEFT(BJ512,1)="X"),"—",IF(AND(LEFT(BG512,1)="E",LEFT(BJ512,1)="E"),"Exception · Band E",IF(AND(INDEX(B_VAL,MATCH(BJ512,B_LVL,0))&gt;=7,INDEX(B_RANK,MATCH(BG512,B_LVL,0))&gt;=INDEX(B_RANK,MATCH(BJ512,B_LVL,0))),"⚠ Same band as a head manager",IF(INDEX(B_VAL,MATCH(BG512,B_LVL,0))&gt;=INDEX(B_VAL,MATCH(BJ512,B_LVL,0)),"⚠ At or above the manager's level","OK"))))),"—")</f>
        <v>OK</v>
      </c>
      <c r="BL512" s="43" t="n"/>
      <c r="BM512" s="44">
        <f>IFERROR(INDEX(LMH_PTS,MATCH(Y512,LMH_KEY,0)),0)</f>
        <v>9</v>
      </c>
      <c r="BN512" s="38">
        <f>IFERROR(INDEX(LMH_PTS,MATCH(Z512,LMH_KEY,0)),0)</f>
        <v>3</v>
      </c>
      <c r="BO512" s="38">
        <f>IFERROR(INDEX(LMH_PTS,MATCH(AA512,LMH_KEY,0)),0)</f>
        <v>1</v>
      </c>
      <c r="BP512" s="38">
        <f>IFERROR(INDEX(LMH_PTS,MATCH(AB512,LMH_KEY,0)),0)</f>
        <v>1</v>
      </c>
      <c r="BQ512" s="38">
        <f>IFERROR(INDEX(LMH_PTS,MATCH(AC512,LMH_KEY,0)),0)</f>
        <v>1</v>
      </c>
      <c r="BR512" s="38">
        <f>IFERROR(INDEX(LMH_PTS,MATCH(AD512,LMH_KEY,0)),0)</f>
        <v>1</v>
      </c>
      <c r="BS512" s="38">
        <f>IFERROR(INDEX(LMH_PTS,MATCH(AE512,LMH_KEY,0)),0)</f>
        <v>1</v>
      </c>
      <c r="BT512" s="38">
        <f>IFERROR(INDEX(LMH_STEP,MATCH(AF512,LMH_KEY,0)),0)</f>
        <v>0</v>
      </c>
      <c r="BU512" s="38">
        <f>IFERROR(INDEX(LMH_STEP,MATCH(AG512,LMH_KEY,0)),0)</f>
        <v>0</v>
      </c>
      <c r="BV512" s="38">
        <f>IFERROR(INDEX(LMH_STEP,MATCH(AH512,LMH_KEY,0)),0)</f>
        <v>0</v>
      </c>
      <c r="BW512" s="38">
        <f>IFERROR(INDEX(LMH_STEP,MATCH(AI512,LMH_KEY,0)),0)</f>
        <v>0</v>
      </c>
      <c r="BX512" s="38">
        <f>IFERROR(INDEX(LMH_STEP,MATCH(AJ512,LMH_KEY,0)),0)</f>
        <v>0</v>
      </c>
      <c r="BY512" s="38">
        <f>IFERROR(INDEX(LMH_STEP,MATCH(AK512,LMH_KEY,0)),0)</f>
        <v>0</v>
      </c>
      <c r="BZ512" s="38">
        <f>IFERROR(INDEX(LMH_STEP,MATCH(AL512,LMH_KEY,0)),0)</f>
        <v>0</v>
      </c>
      <c r="CA512" s="38" t="inlineStr">
        <is>
          <t>CARBON|Quality Assurance|Senior QA Engineer|A2|A</t>
        </is>
      </c>
    </row>
    <row r="513" ht="110" customHeight="1">
      <c r="A513" s="28" t="inlineStr">
        <is>
          <t>CARBON</t>
        </is>
      </c>
      <c r="B513" s="29" t="inlineStr">
        <is>
          <t>Quality Assurance</t>
        </is>
      </c>
      <c r="C513" s="29" t="n">
        <v>5</v>
      </c>
      <c r="D513" s="29" t="inlineStr">
        <is>
          <t>IRIS2107</t>
        </is>
      </c>
      <c r="E513" s="29" t="inlineStr">
        <is>
          <t>Pratikkumar Mistry</t>
        </is>
      </c>
      <c r="F513" s="29" t="inlineStr">
        <is>
          <t>QA Engineer</t>
        </is>
      </c>
      <c r="G513" s="29" t="inlineStr">
        <is>
          <t>Senior QA Engineer</t>
        </is>
      </c>
      <c r="H513" s="29" t="inlineStr">
        <is>
          <t>Quality Assurance</t>
        </is>
      </c>
      <c r="I513" s="29" t="inlineStr">
        <is>
          <t>Functional &amp; Domain Testing</t>
        </is>
      </c>
      <c r="J513" s="29" t="inlineStr">
        <is>
          <t>IC</t>
        </is>
      </c>
      <c r="K513" s="29" t="inlineStr">
        <is>
          <t>RC-141</t>
        </is>
      </c>
      <c r="L513" s="29" t="inlineStr">
        <is>
          <t>Vishal Panchal</t>
        </is>
      </c>
      <c r="M513" s="29" t="inlineStr">
        <is>
          <t>IRIS2014</t>
        </is>
      </c>
      <c r="N513" s="29" t="n">
        <v>6.9</v>
      </c>
      <c r="O513" s="29" t="n">
        <v>3.5</v>
      </c>
      <c r="P513" s="29" t="inlineStr">
        <is>
          <t>B.E</t>
        </is>
      </c>
      <c r="Q513" s="29" t="inlineStr">
        <is>
          <t>L3 – Professional / Associate</t>
        </is>
      </c>
      <c r="R513" s="29" t="inlineStr">
        <is>
          <t>A3</t>
        </is>
      </c>
      <c r="S513" s="30" t="inlineStr">
        <is>
          <t>20 of 20</t>
        </is>
      </c>
      <c r="T513" s="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t>
        </is>
      </c>
      <c r="U513" s="31" t="inlineStr">
        <is>
          <t>Received · manager annual · 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t>
        </is>
      </c>
      <c r="V513" s="31" t="inlineStr">
        <is>
          <t>Latest rating: Not rated · manager · 9-box: Reliable Specialist · Readiness: No rating data</t>
        </is>
      </c>
      <c r="W513" s="31" t="inlineStr">
        <is>
          <t>C M · Au M · Ac M · L L · BI M · Exp H · 6.9 yrs vs 0–2 yrs · Edu M · B.E</t>
        </is>
      </c>
      <c r="X513" s="33" t="inlineStr">
        <is>
          <t>Open ▸</t>
        </is>
      </c>
      <c r="Y513" s="34" t="str">
        <f>IFERROR(INDEX(DL_C,MATCH($CA513,DL_KEY,0)),"M")</f>
        <v>H</v>
      </c>
      <c r="Z513" s="35" t="str">
        <f>IFERROR(INDEX(DL_Au,MATCH($CA513,DL_KEY,0)),"M")</f>
        <v>M</v>
      </c>
      <c r="AA513" s="35" t="str">
        <f>IFERROR(INDEX(DL_Ac,MATCH($CA513,DL_KEY,0)),"M")</f>
        <v>L</v>
      </c>
      <c r="AB513" s="35" t="str">
        <f>IFERROR(INDEX(DL_L,MATCH($CA513,DL_KEY,0)),"M")</f>
        <v>L</v>
      </c>
      <c r="AC513" s="35" t="str">
        <f>IFERROR(INDEX(DL_BI,MATCH($CA513,DL_KEY,0)),"M")</f>
        <v>L</v>
      </c>
      <c r="AD513" s="35" t="str">
        <f>IFERROR(INDEX(DL_Exp,MATCH($CA513,DL_KEY,0)),"M")</f>
        <v>L</v>
      </c>
      <c r="AE513" s="35" t="str">
        <f>IFERROR(INDEX(DL_Edu,MATCH($CA513,DL_KEY,0)),"M")</f>
        <v>L</v>
      </c>
      <c r="AF513" s="34" t="inlineStr">
        <is>
          <t>M</t>
        </is>
      </c>
      <c r="AG513" s="35" t="inlineStr">
        <is>
          <t>M</t>
        </is>
      </c>
      <c r="AH513" s="35" t="inlineStr">
        <is>
          <t>M</t>
        </is>
      </c>
      <c r="AI513" s="35" t="inlineStr">
        <is>
          <t>M</t>
        </is>
      </c>
      <c r="AJ513" s="35" t="inlineStr">
        <is>
          <t>M</t>
        </is>
      </c>
      <c r="AK513" s="35" t="inlineStr">
        <is>
          <t>M</t>
        </is>
      </c>
      <c r="AL513" s="35" t="inlineStr">
        <is>
          <t>M</t>
        </is>
      </c>
      <c r="AM513" s="36" t="n">
        <v>0.583</v>
      </c>
      <c r="AN513" s="37" t="n">
        <v>0.16</v>
      </c>
      <c r="AO513" s="37" t="n">
        <v>0.09</v>
      </c>
      <c r="AP513" s="37" t="n">
        <v>0</v>
      </c>
      <c r="AQ513" s="37" t="n">
        <v>0.063</v>
      </c>
      <c r="AR513" s="37" t="n">
        <v>0.06</v>
      </c>
      <c r="AS513" s="37" t="n">
        <v>0.04</v>
      </c>
      <c r="AT513" s="38" t="inlineStr">
        <is>
          <t>0–3</t>
        </is>
      </c>
      <c r="AU513" s="38" t="inlineStr">
        <is>
          <t>Graduate · or diploma with experience</t>
        </is>
      </c>
      <c r="AV513" s="38" t="inlineStr">
        <is>
          <t>No direct reports</t>
        </is>
      </c>
      <c r="AW513" s="38" t="inlineStr">
        <is>
          <t>P1–P2 · SFIA 2 Assist</t>
        </is>
      </c>
      <c r="AX5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3" s="39" t="inlineStr">
        <is>
          <t>A2</t>
        </is>
      </c>
      <c r="AZ513" s="40" t="inlineStr">
        <is>
          <t>Band A · Practitioner · Associate</t>
        </is>
      </c>
      <c r="BA513" s="40" t="inlineStr">
        <is>
          <t>Model A3 from the six ratings, the market-derived weights and rules R1–R13 · then Level rule: manager A3; a reportee sits at least one level below · A3 → A2 · move down · pay and title protected for one cycle</t>
        </is>
      </c>
      <c r="BB513" s="41" t="inlineStr">
        <is>
          <t>A2</t>
        </is>
      </c>
      <c r="BC513" s="40" t="inlineStr">
        <is>
          <t>The six ratings on the market-average weights of Band A · all tracks score 2.25 → A2 · Hay, Mercer IPE and public plans · experience 6.9 yrs vs the A2 market range 0–3</t>
        </is>
      </c>
      <c r="BD513" s="42">
        <f>IF(SUM(BM513,BN513,BO513,BP513,BQ513,BR513,BS513)=0,0,(BM513*BT513+BN513*BU513+BO513*BV513+BP513*BW513+BQ513*BX513+BR513*BY513+BS513*BZ513)/SUM(BM513,BN513,BO513,BP513,BQ513,BR513,BS513))</f>
        <v>0</v>
      </c>
      <c r="BE513" s="41" t="str">
        <f>IF(LEFT(AY513,1)="X",AY513,IF(OR(AY513="B+",AY513="C+"),INDEX(LAD_PC,MAX(1,MIN(14,MATCH(AY513,LAD_PC,0)+IF(BD513&gt;=0.5,1,IF(BD513&lt;=-0.5,-1,0))))),INDEX(LAD_STD,MAX(1,MIN(12,MATCH(AY513,LAD_STD,0)+IF(BD513&gt;=0.5,1,IF(BD513&lt;=-0.5,-1,0)))))))</f>
        <v>A2</v>
      </c>
      <c r="BF513" s="43" t="n"/>
      <c r="BG513" s="41" t="str">
        <f>IF(BF513&lt;&gt;"",BF513,BE513)</f>
        <v>A2</v>
      </c>
      <c r="BH513" s="40" t="str">
        <f>IFERROR(CHOOSE(INDEX(B_RANK,MATCH(BG513,B_LVL,0)),"Band A","Band B","B+ · Player-Coach","Band C","C+ · Player-Coach","Band D","Band E"),"Band X · Consultant")</f>
        <v>Band A</v>
      </c>
      <c r="BI513" s="40" t="str">
        <f>IF(BG513=AY513,"• Same",IF(INDEX(B_VAL,MATCH(BG513,B_LVL,0))&gt;INDEX(B_VAL,MATCH(AY513,B_LVL,0)),"▲ Up","▼ Down"))</f>
        <v>• Same</v>
      </c>
      <c r="BJ513" s="40" t="str">
        <f>IF(OR($M513="",$M513="—",$M513="Not in this file"),"",IFERROR(INDEX($BG$7:$BG$592,MATCH($M513,$D$7:$D$592,0)),""))</f>
        <v>A3</v>
      </c>
      <c r="BK513" s="40" t="str">
        <f>IFERROR(IF(BJ513="","—",IF(OR(LEFT(BG513,1)="X",LEFT(BJ513,1)="X"),"—",IF(AND(LEFT(BG513,1)="E",LEFT(BJ513,1)="E"),"Exception · Band E",IF(AND(INDEX(B_VAL,MATCH(BJ513,B_LVL,0))&gt;=7,INDEX(B_RANK,MATCH(BG513,B_LVL,0))&gt;=INDEX(B_RANK,MATCH(BJ513,B_LVL,0))),"⚠ Same band as a head manager",IF(INDEX(B_VAL,MATCH(BG513,B_LVL,0))&gt;=INDEX(B_VAL,MATCH(BJ513,B_LVL,0)),"⚠ At or above the manager's level","OK"))))),"—")</f>
        <v>OK</v>
      </c>
      <c r="BL513" s="43" t="n"/>
      <c r="BM513" s="44">
        <f>IFERROR(INDEX(LMH_PTS,MATCH(Y513,LMH_KEY,0)),0)</f>
        <v>9</v>
      </c>
      <c r="BN513" s="38">
        <f>IFERROR(INDEX(LMH_PTS,MATCH(Z513,LMH_KEY,0)),0)</f>
        <v>3</v>
      </c>
      <c r="BO513" s="38">
        <f>IFERROR(INDEX(LMH_PTS,MATCH(AA513,LMH_KEY,0)),0)</f>
        <v>1</v>
      </c>
      <c r="BP513" s="38">
        <f>IFERROR(INDEX(LMH_PTS,MATCH(AB513,LMH_KEY,0)),0)</f>
        <v>1</v>
      </c>
      <c r="BQ513" s="38">
        <f>IFERROR(INDEX(LMH_PTS,MATCH(AC513,LMH_KEY,0)),0)</f>
        <v>1</v>
      </c>
      <c r="BR513" s="38">
        <f>IFERROR(INDEX(LMH_PTS,MATCH(AD513,LMH_KEY,0)),0)</f>
        <v>1</v>
      </c>
      <c r="BS513" s="38">
        <f>IFERROR(INDEX(LMH_PTS,MATCH(AE513,LMH_KEY,0)),0)</f>
        <v>1</v>
      </c>
      <c r="BT513" s="38">
        <f>IFERROR(INDEX(LMH_STEP,MATCH(AF513,LMH_KEY,0)),0)</f>
        <v>0</v>
      </c>
      <c r="BU513" s="38">
        <f>IFERROR(INDEX(LMH_STEP,MATCH(AG513,LMH_KEY,0)),0)</f>
        <v>0</v>
      </c>
      <c r="BV513" s="38">
        <f>IFERROR(INDEX(LMH_STEP,MATCH(AH513,LMH_KEY,0)),0)</f>
        <v>0</v>
      </c>
      <c r="BW513" s="38">
        <f>IFERROR(INDEX(LMH_STEP,MATCH(AI513,LMH_KEY,0)),0)</f>
        <v>0</v>
      </c>
      <c r="BX513" s="38">
        <f>IFERROR(INDEX(LMH_STEP,MATCH(AJ513,LMH_KEY,0)),0)</f>
        <v>0</v>
      </c>
      <c r="BY513" s="38">
        <f>IFERROR(INDEX(LMH_STEP,MATCH(AK513,LMH_KEY,0)),0)</f>
        <v>0</v>
      </c>
      <c r="BZ513" s="38">
        <f>IFERROR(INDEX(LMH_STEP,MATCH(AL513,LMH_KEY,0)),0)</f>
        <v>0</v>
      </c>
      <c r="CA513" s="38" t="inlineStr">
        <is>
          <t>CARBON|Quality Assurance|Senior QA Engineer|A2|A</t>
        </is>
      </c>
    </row>
    <row r="514" ht="110" customHeight="1">
      <c r="A514" s="28" t="inlineStr">
        <is>
          <t>CARBON</t>
        </is>
      </c>
      <c r="B514" s="29" t="inlineStr">
        <is>
          <t>Quality Assurance</t>
        </is>
      </c>
      <c r="C514" s="29" t="n">
        <v>4</v>
      </c>
      <c r="D514" s="29" t="inlineStr">
        <is>
          <t>IRIS2112</t>
        </is>
      </c>
      <c r="E514" s="29" t="inlineStr">
        <is>
          <t>Vitiksha Gamit</t>
        </is>
      </c>
      <c r="F514" s="29" t="inlineStr">
        <is>
          <t>QA Automation Engineer</t>
        </is>
      </c>
      <c r="G514" s="29" t="inlineStr">
        <is>
          <t>Senior QA Automation Engineer</t>
        </is>
      </c>
      <c r="H514" s="29" t="inlineStr">
        <is>
          <t>Quality Assurance</t>
        </is>
      </c>
      <c r="I514" s="29" t="inlineStr">
        <is>
          <t>Test Automation</t>
        </is>
      </c>
      <c r="J514" s="29" t="inlineStr">
        <is>
          <t>IC</t>
        </is>
      </c>
      <c r="K514" s="29" t="inlineStr">
        <is>
          <t>RC-146</t>
        </is>
      </c>
      <c r="L514" s="29" t="inlineStr">
        <is>
          <t>Vinod Katekar</t>
        </is>
      </c>
      <c r="M514" s="29" t="inlineStr">
        <is>
          <t>IRIS0591</t>
        </is>
      </c>
      <c r="N514" s="29" t="n">
        <v>3.5</v>
      </c>
      <c r="O514" s="29" t="n">
        <v>3.5</v>
      </c>
      <c r="P514" s="29" t="inlineStr">
        <is>
          <t>MSC</t>
        </is>
      </c>
      <c r="Q514" s="29" t="inlineStr">
        <is>
          <t>L3 – Professional / Associate</t>
        </is>
      </c>
      <c r="R514" s="29" t="inlineStr">
        <is>
          <t>A3</t>
        </is>
      </c>
      <c r="S514" s="30" t="inlineStr">
        <is>
          <t>20 of 20</t>
        </is>
      </c>
      <c r="T514" s="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t>
        </is>
      </c>
      <c r="U514" s="31" t="inlineStr">
        <is>
          <t>Received · manager annual · 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t>
        </is>
      </c>
      <c r="V514" s="31" t="inlineStr">
        <is>
          <t>Latest rating: Not rated · manager · 9-box: Trusted Professional · Readiness: No rating data</t>
        </is>
      </c>
      <c r="W514" s="31" t="inlineStr">
        <is>
          <t>C M · Au M · Ac M · L L · BI M · Exp M · 3.5 yrs vs 2–4 yrs · Edu H · MSC</t>
        </is>
      </c>
      <c r="X514" s="33" t="inlineStr">
        <is>
          <t>Open ▸</t>
        </is>
      </c>
      <c r="Y514" s="34" t="str">
        <f>IFERROR(INDEX(DL_C,MATCH($CA514,DL_KEY,0)),"M")</f>
        <v>H</v>
      </c>
      <c r="Z514" s="35" t="str">
        <f>IFERROR(INDEX(DL_Au,MATCH($CA514,DL_KEY,0)),"M")</f>
        <v>M</v>
      </c>
      <c r="AA514" s="35" t="str">
        <f>IFERROR(INDEX(DL_Ac,MATCH($CA514,DL_KEY,0)),"M")</f>
        <v>L</v>
      </c>
      <c r="AB514" s="35" t="str">
        <f>IFERROR(INDEX(DL_L,MATCH($CA514,DL_KEY,0)),"M")</f>
        <v>L</v>
      </c>
      <c r="AC514" s="35" t="str">
        <f>IFERROR(INDEX(DL_BI,MATCH($CA514,DL_KEY,0)),"M")</f>
        <v>L</v>
      </c>
      <c r="AD514" s="35" t="str">
        <f>IFERROR(INDEX(DL_Exp,MATCH($CA514,DL_KEY,0)),"M")</f>
        <v>L</v>
      </c>
      <c r="AE514" s="35" t="str">
        <f>IFERROR(INDEX(DL_Edu,MATCH($CA514,DL_KEY,0)),"M")</f>
        <v>L</v>
      </c>
      <c r="AF514" s="34" t="inlineStr">
        <is>
          <t>M</t>
        </is>
      </c>
      <c r="AG514" s="35" t="inlineStr">
        <is>
          <t>M</t>
        </is>
      </c>
      <c r="AH514" s="35" t="inlineStr">
        <is>
          <t>M</t>
        </is>
      </c>
      <c r="AI514" s="35" t="inlineStr">
        <is>
          <t>M</t>
        </is>
      </c>
      <c r="AJ514" s="35" t="inlineStr">
        <is>
          <t>M</t>
        </is>
      </c>
      <c r="AK514" s="35" t="inlineStr">
        <is>
          <t>M</t>
        </is>
      </c>
      <c r="AL514" s="35" t="inlineStr">
        <is>
          <t>M</t>
        </is>
      </c>
      <c r="AM514" s="36" t="n">
        <v>0.583</v>
      </c>
      <c r="AN514" s="37" t="n">
        <v>0.16</v>
      </c>
      <c r="AO514" s="37" t="n">
        <v>0.09</v>
      </c>
      <c r="AP514" s="37" t="n">
        <v>0</v>
      </c>
      <c r="AQ514" s="37" t="n">
        <v>0.063</v>
      </c>
      <c r="AR514" s="37" t="n">
        <v>0.06</v>
      </c>
      <c r="AS514" s="37" t="n">
        <v>0.04</v>
      </c>
      <c r="AT514" s="38" t="inlineStr">
        <is>
          <t>2–5</t>
        </is>
      </c>
      <c r="AU514" s="38" t="inlineStr">
        <is>
          <t>Graduate; relevant certification preferred</t>
        </is>
      </c>
      <c r="AV514" s="38" t="inlineStr">
        <is>
          <t>None · guides 1–3 juniors informally</t>
        </is>
      </c>
      <c r="AW514" s="38" t="inlineStr">
        <is>
          <t>P2 · SFIA 3 Apply</t>
        </is>
      </c>
      <c r="AX5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4" s="39" t="inlineStr">
        <is>
          <t>A3</t>
        </is>
      </c>
      <c r="AZ514" s="40" t="inlineStr">
        <is>
          <t>Band A · Practitioner · Senior Associate</t>
        </is>
      </c>
      <c r="BA514" s="40" t="inlineStr">
        <is>
          <t>Model A3 from the six ratings, the market-derived weights and rules R1–R13 · then No change · already below the manager</t>
        </is>
      </c>
      <c r="BB514" s="41" t="inlineStr">
        <is>
          <t>A3</t>
        </is>
      </c>
      <c r="BC514" s="40" t="inlineStr">
        <is>
          <t>The six ratings on the market-average weights of Band A · all tracks score 2.60 → A3 · Hay, Mercer IPE and public plans · experience 3.5 yrs vs the A3 market range 2–5</t>
        </is>
      </c>
      <c r="BD514" s="42">
        <f>IF(SUM(BM514,BN514,BO514,BP514,BQ514,BR514,BS514)=0,0,(BM514*BT514+BN514*BU514+BO514*BV514+BP514*BW514+BQ514*BX514+BR514*BY514+BS514*BZ514)/SUM(BM514,BN514,BO514,BP514,BQ514,BR514,BS514))</f>
        <v>0</v>
      </c>
      <c r="BE514" s="41" t="str">
        <f>IF(LEFT(AY514,1)="X",AY514,IF(OR(AY514="B+",AY514="C+"),INDEX(LAD_PC,MAX(1,MIN(14,MATCH(AY514,LAD_PC,0)+IF(BD514&gt;=0.5,1,IF(BD514&lt;=-0.5,-1,0))))),INDEX(LAD_STD,MAX(1,MIN(12,MATCH(AY514,LAD_STD,0)+IF(BD514&gt;=0.5,1,IF(BD514&lt;=-0.5,-1,0)))))))</f>
        <v>A3</v>
      </c>
      <c r="BF514" s="43" t="n"/>
      <c r="BG514" s="41" t="str">
        <f>IF(BF514&lt;&gt;"",BF514,BE514)</f>
        <v>A3</v>
      </c>
      <c r="BH514" s="40" t="str">
        <f>IFERROR(CHOOSE(INDEX(B_RANK,MATCH(BG514,B_LVL,0)),"Band A","Band B","B+ · Player-Coach","Band C","C+ · Player-Coach","Band D","Band E"),"Band X · Consultant")</f>
        <v>Band A</v>
      </c>
      <c r="BI514" s="40" t="str">
        <f>IF(BG514=AY514,"• Same",IF(INDEX(B_VAL,MATCH(BG514,B_LVL,0))&gt;INDEX(B_VAL,MATCH(AY514,B_LVL,0)),"▲ Up","▼ Down"))</f>
        <v>• Same</v>
      </c>
      <c r="BJ514" s="40" t="str">
        <f>IF(OR($M514="",$M514="—",$M514="Not in this file"),"",IFERROR(INDEX($BG$7:$BG$592,MATCH($M514,$D$7:$D$592,0)),""))</f>
        <v>B1</v>
      </c>
      <c r="BK514" s="40" t="str">
        <f>IFERROR(IF(BJ514="","—",IF(OR(LEFT(BG514,1)="X",LEFT(BJ514,1)="X"),"—",IF(AND(LEFT(BG514,1)="E",LEFT(BJ514,1)="E"),"Exception · Band E",IF(AND(INDEX(B_VAL,MATCH(BJ514,B_LVL,0))&gt;=7,INDEX(B_RANK,MATCH(BG514,B_LVL,0))&gt;=INDEX(B_RANK,MATCH(BJ514,B_LVL,0))),"⚠ Same band as a head manager",IF(INDEX(B_VAL,MATCH(BG514,B_LVL,0))&gt;=INDEX(B_VAL,MATCH(BJ514,B_LVL,0)),"⚠ At or above the manager's level","OK"))))),"—")</f>
        <v>OK</v>
      </c>
      <c r="BL514" s="43" t="n"/>
      <c r="BM514" s="44">
        <f>IFERROR(INDEX(LMH_PTS,MATCH(Y514,LMH_KEY,0)),0)</f>
        <v>9</v>
      </c>
      <c r="BN514" s="38">
        <f>IFERROR(INDEX(LMH_PTS,MATCH(Z514,LMH_KEY,0)),0)</f>
        <v>3</v>
      </c>
      <c r="BO514" s="38">
        <f>IFERROR(INDEX(LMH_PTS,MATCH(AA514,LMH_KEY,0)),0)</f>
        <v>1</v>
      </c>
      <c r="BP514" s="38">
        <f>IFERROR(INDEX(LMH_PTS,MATCH(AB514,LMH_KEY,0)),0)</f>
        <v>1</v>
      </c>
      <c r="BQ514" s="38">
        <f>IFERROR(INDEX(LMH_PTS,MATCH(AC514,LMH_KEY,0)),0)</f>
        <v>1</v>
      </c>
      <c r="BR514" s="38">
        <f>IFERROR(INDEX(LMH_PTS,MATCH(AD514,LMH_KEY,0)),0)</f>
        <v>1</v>
      </c>
      <c r="BS514" s="38">
        <f>IFERROR(INDEX(LMH_PTS,MATCH(AE514,LMH_KEY,0)),0)</f>
        <v>1</v>
      </c>
      <c r="BT514" s="38">
        <f>IFERROR(INDEX(LMH_STEP,MATCH(AF514,LMH_KEY,0)),0)</f>
        <v>0</v>
      </c>
      <c r="BU514" s="38">
        <f>IFERROR(INDEX(LMH_STEP,MATCH(AG514,LMH_KEY,0)),0)</f>
        <v>0</v>
      </c>
      <c r="BV514" s="38">
        <f>IFERROR(INDEX(LMH_STEP,MATCH(AH514,LMH_KEY,0)),0)</f>
        <v>0</v>
      </c>
      <c r="BW514" s="38">
        <f>IFERROR(INDEX(LMH_STEP,MATCH(AI514,LMH_KEY,0)),0)</f>
        <v>0</v>
      </c>
      <c r="BX514" s="38">
        <f>IFERROR(INDEX(LMH_STEP,MATCH(AJ514,LMH_KEY,0)),0)</f>
        <v>0</v>
      </c>
      <c r="BY514" s="38">
        <f>IFERROR(INDEX(LMH_STEP,MATCH(AK514,LMH_KEY,0)),0)</f>
        <v>0</v>
      </c>
      <c r="BZ514" s="38">
        <f>IFERROR(INDEX(LMH_STEP,MATCH(AL514,LMH_KEY,0)),0)</f>
        <v>0</v>
      </c>
      <c r="CA514" s="38" t="inlineStr">
        <is>
          <t>CARBON|Quality Assurance|Senior QA Automation Engineer|A3|A</t>
        </is>
      </c>
    </row>
    <row r="515" ht="110" customHeight="1">
      <c r="A515" s="28" t="inlineStr">
        <is>
          <t>CARBON</t>
        </is>
      </c>
      <c r="B515" s="29" t="inlineStr">
        <is>
          <t>Technology</t>
        </is>
      </c>
      <c r="C515" s="29" t="n">
        <v>3</v>
      </c>
      <c r="D515" s="29" t="inlineStr">
        <is>
          <t>IRIS2153</t>
        </is>
      </c>
      <c r="E515" s="29" t="inlineStr">
        <is>
          <t>Dhaval Lotwala</t>
        </is>
      </c>
      <c r="F515" s="29" t="inlineStr">
        <is>
          <t>Senior Business Analyst</t>
        </is>
      </c>
      <c r="G515" s="29" t="inlineStr">
        <is>
          <t>Business Analysis Specialist</t>
        </is>
      </c>
      <c r="H515" s="29" t="inlineStr">
        <is>
          <t>Business Analysis</t>
        </is>
      </c>
      <c r="I515" s="29" t="inlineStr">
        <is>
          <t>Business Analysis</t>
        </is>
      </c>
      <c r="J515" s="29" t="inlineStr">
        <is>
          <t>IC</t>
        </is>
      </c>
      <c r="K515" s="29" t="inlineStr">
        <is>
          <t>RC-010</t>
        </is>
      </c>
      <c r="L515" s="29" t="inlineStr">
        <is>
          <t>Prasad Shirke</t>
        </is>
      </c>
      <c r="M515" s="29" t="inlineStr">
        <is>
          <t>IRIS0622</t>
        </is>
      </c>
      <c r="N515" s="29" t="n">
        <v>11.6</v>
      </c>
      <c r="O515" s="29" t="n">
        <v>3.2</v>
      </c>
      <c r="P515" s="29" t="inlineStr">
        <is>
          <t>B.E</t>
        </is>
      </c>
      <c r="Q515" s="29" t="inlineStr">
        <is>
          <t>L4 – Senior</t>
        </is>
      </c>
      <c r="R515" s="29" t="inlineStr">
        <is>
          <t>B1</t>
        </is>
      </c>
      <c r="S515" s="30" t="inlineStr">
        <is>
          <t>20 of 20</t>
        </is>
      </c>
      <c r="T515" s="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t>
        </is>
      </c>
      <c r="U515" s="31" t="inlineStr">
        <is>
          <t>Received · manager annual · 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t>
        </is>
      </c>
      <c r="V515" s="31" t="inlineStr">
        <is>
          <t>Latest rating: Not rated · manager · 9-box: Underperformer / Exit Risk · Readiness: No rating data</t>
        </is>
      </c>
      <c r="W515" s="31" t="inlineStr">
        <is>
          <t>C M · Au M · Ac M · L L · BI M · Exp H · 11.6 yrs vs 4–7 yrs · Edu M · B.E</t>
        </is>
      </c>
      <c r="X515" s="33" t="inlineStr">
        <is>
          <t>Open ▸</t>
        </is>
      </c>
      <c r="Y515" s="34" t="str">
        <f>IFERROR(INDEX(DL_C,MATCH($CA515,DL_KEY,0)),"M")</f>
        <v>H</v>
      </c>
      <c r="Z515" s="35" t="str">
        <f>IFERROR(INDEX(DL_Au,MATCH($CA515,DL_KEY,0)),"M")</f>
        <v>M</v>
      </c>
      <c r="AA515" s="35" t="str">
        <f>IFERROR(INDEX(DL_Ac,MATCH($CA515,DL_KEY,0)),"M")</f>
        <v>L</v>
      </c>
      <c r="AB515" s="35" t="str">
        <f>IFERROR(INDEX(DL_L,MATCH($CA515,DL_KEY,0)),"M")</f>
        <v>L</v>
      </c>
      <c r="AC515" s="35" t="str">
        <f>IFERROR(INDEX(DL_BI,MATCH($CA515,DL_KEY,0)),"M")</f>
        <v>L</v>
      </c>
      <c r="AD515" s="35" t="str">
        <f>IFERROR(INDEX(DL_Exp,MATCH($CA515,DL_KEY,0)),"M")</f>
        <v>L</v>
      </c>
      <c r="AE515" s="35" t="str">
        <f>IFERROR(INDEX(DL_Edu,MATCH($CA515,DL_KEY,0)),"M")</f>
        <v>L</v>
      </c>
      <c r="AF515" s="34" t="inlineStr">
        <is>
          <t>M</t>
        </is>
      </c>
      <c r="AG515" s="35" t="inlineStr">
        <is>
          <t>M</t>
        </is>
      </c>
      <c r="AH515" s="35" t="inlineStr">
        <is>
          <t>M</t>
        </is>
      </c>
      <c r="AI515" s="35" t="inlineStr">
        <is>
          <t>M</t>
        </is>
      </c>
      <c r="AJ515" s="35" t="inlineStr">
        <is>
          <t>M</t>
        </is>
      </c>
      <c r="AK515" s="35" t="inlineStr">
        <is>
          <t>M</t>
        </is>
      </c>
      <c r="AL515" s="35" t="inlineStr">
        <is>
          <t>M</t>
        </is>
      </c>
      <c r="AM515" s="36" t="n">
        <v>0.513</v>
      </c>
      <c r="AN515" s="37" t="n">
        <v>0.173</v>
      </c>
      <c r="AO515" s="37" t="n">
        <v>0.09699999999999999</v>
      </c>
      <c r="AP515" s="37" t="n">
        <v>0.05</v>
      </c>
      <c r="AQ515" s="37" t="n">
        <v>0.07000000000000001</v>
      </c>
      <c r="AR515" s="37" t="n">
        <v>0.06</v>
      </c>
      <c r="AS515" s="37" t="n">
        <v>0.04</v>
      </c>
      <c r="AT515" s="38" t="inlineStr">
        <is>
          <t>4–8</t>
        </is>
      </c>
      <c r="AU515" s="38" t="inlineStr">
        <is>
          <t>Graduate + relevant qualification or certification preferred</t>
        </is>
      </c>
      <c r="AV515" s="38" t="inlineStr">
        <is>
          <t>IC: none · Team Lead: 3–5</t>
        </is>
      </c>
      <c r="AW515" s="38" t="inlineStr">
        <is>
          <t>P3 / M2 · SFIA 4 Enable</t>
        </is>
      </c>
      <c r="AX5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5" s="39" t="inlineStr">
        <is>
          <t>B1</t>
        </is>
      </c>
      <c r="AZ515" s="40" t="inlineStr">
        <is>
          <t>Band B · Specialist / Manager · Specialist</t>
        </is>
      </c>
      <c r="BA515" s="40" t="inlineStr">
        <is>
          <t>Model B1 from the six ratings, the market-derived weights and rules R1–R13 · then No change · already below the manager</t>
        </is>
      </c>
      <c r="BB515" s="41" t="inlineStr">
        <is>
          <t>B1</t>
        </is>
      </c>
      <c r="BC515" s="40" t="inlineStr">
        <is>
          <t>The six ratings on the market-average weights of Band B · Specialist / POD Lead score 3.80 → B1 · Hay, Mercer IPE and public plans · experience 11.6 yrs vs the B1 market range 4–8</t>
        </is>
      </c>
      <c r="BD515" s="42">
        <f>IF(SUM(BM515,BN515,BO515,BP515,BQ515,BR515,BS515)=0,0,(BM515*BT515+BN515*BU515+BO515*BV515+BP515*BW515+BQ515*BX515+BR515*BY515+BS515*BZ515)/SUM(BM515,BN515,BO515,BP515,BQ515,BR515,BS515))</f>
        <v>0</v>
      </c>
      <c r="BE515" s="41" t="str">
        <f>IF(LEFT(AY515,1)="X",AY515,IF(OR(AY515="B+",AY515="C+"),INDEX(LAD_PC,MAX(1,MIN(14,MATCH(AY515,LAD_PC,0)+IF(BD515&gt;=0.5,1,IF(BD515&lt;=-0.5,-1,0))))),INDEX(LAD_STD,MAX(1,MIN(12,MATCH(AY515,LAD_STD,0)+IF(BD515&gt;=0.5,1,IF(BD515&lt;=-0.5,-1,0)))))))</f>
        <v>B1</v>
      </c>
      <c r="BF515" s="43" t="n"/>
      <c r="BG515" s="41" t="str">
        <f>IF(BF515&lt;&gt;"",BF515,BE515)</f>
        <v>B1</v>
      </c>
      <c r="BH515" s="40" t="str">
        <f>IFERROR(CHOOSE(INDEX(B_RANK,MATCH(BG515,B_LVL,0)),"Band A","Band B","B+ · Player-Coach","Band C","C+ · Player-Coach","Band D","Band E"),"Band X · Consultant")</f>
        <v>Band B</v>
      </c>
      <c r="BI515" s="40" t="str">
        <f>IF(BG515=AY515,"• Same",IF(INDEX(B_VAL,MATCH(BG515,B_LVL,0))&gt;INDEX(B_VAL,MATCH(AY515,B_LVL,0)),"▲ Up","▼ Down"))</f>
        <v>• Same</v>
      </c>
      <c r="BJ515" s="40" t="str">
        <f>IF(OR($M515="",$M515="—",$M515="Not in this file"),"",IFERROR(INDEX($BG$7:$BG$592,MATCH($M515,$D$7:$D$592,0)),""))</f>
        <v>B2</v>
      </c>
      <c r="BK515" s="40" t="str">
        <f>IFERROR(IF(BJ515="","—",IF(OR(LEFT(BG515,1)="X",LEFT(BJ515,1)="X"),"—",IF(AND(LEFT(BG515,1)="E",LEFT(BJ515,1)="E"),"Exception · Band E",IF(AND(INDEX(B_VAL,MATCH(BJ515,B_LVL,0))&gt;=7,INDEX(B_RANK,MATCH(BG515,B_LVL,0))&gt;=INDEX(B_RANK,MATCH(BJ515,B_LVL,0))),"⚠ Same band as a head manager",IF(INDEX(B_VAL,MATCH(BG515,B_LVL,0))&gt;=INDEX(B_VAL,MATCH(BJ515,B_LVL,0)),"⚠ At or above the manager's level","OK"))))),"—")</f>
        <v>OK</v>
      </c>
      <c r="BL515" s="43" t="n"/>
      <c r="BM515" s="44">
        <f>IFERROR(INDEX(LMH_PTS,MATCH(Y515,LMH_KEY,0)),0)</f>
        <v>9</v>
      </c>
      <c r="BN515" s="38">
        <f>IFERROR(INDEX(LMH_PTS,MATCH(Z515,LMH_KEY,0)),0)</f>
        <v>3</v>
      </c>
      <c r="BO515" s="38">
        <f>IFERROR(INDEX(LMH_PTS,MATCH(AA515,LMH_KEY,0)),0)</f>
        <v>1</v>
      </c>
      <c r="BP515" s="38">
        <f>IFERROR(INDEX(LMH_PTS,MATCH(AB515,LMH_KEY,0)),0)</f>
        <v>1</v>
      </c>
      <c r="BQ515" s="38">
        <f>IFERROR(INDEX(LMH_PTS,MATCH(AC515,LMH_KEY,0)),0)</f>
        <v>1</v>
      </c>
      <c r="BR515" s="38">
        <f>IFERROR(INDEX(LMH_PTS,MATCH(AD515,LMH_KEY,0)),0)</f>
        <v>1</v>
      </c>
      <c r="BS515" s="38">
        <f>IFERROR(INDEX(LMH_PTS,MATCH(AE515,LMH_KEY,0)),0)</f>
        <v>1</v>
      </c>
      <c r="BT515" s="38">
        <f>IFERROR(INDEX(LMH_STEP,MATCH(AF515,LMH_KEY,0)),0)</f>
        <v>0</v>
      </c>
      <c r="BU515" s="38">
        <f>IFERROR(INDEX(LMH_STEP,MATCH(AG515,LMH_KEY,0)),0)</f>
        <v>0</v>
      </c>
      <c r="BV515" s="38">
        <f>IFERROR(INDEX(LMH_STEP,MATCH(AH515,LMH_KEY,0)),0)</f>
        <v>0</v>
      </c>
      <c r="BW515" s="38">
        <f>IFERROR(INDEX(LMH_STEP,MATCH(AI515,LMH_KEY,0)),0)</f>
        <v>0</v>
      </c>
      <c r="BX515" s="38">
        <f>IFERROR(INDEX(LMH_STEP,MATCH(AJ515,LMH_KEY,0)),0)</f>
        <v>0</v>
      </c>
      <c r="BY515" s="38">
        <f>IFERROR(INDEX(LMH_STEP,MATCH(AK515,LMH_KEY,0)),0)</f>
        <v>0</v>
      </c>
      <c r="BZ515" s="38">
        <f>IFERROR(INDEX(LMH_STEP,MATCH(AL515,LMH_KEY,0)),0)</f>
        <v>0</v>
      </c>
      <c r="CA515" s="38" t="inlineStr">
        <is>
          <t>CARBON|Technology|Business Analysis Specialist|B1|B-IC</t>
        </is>
      </c>
    </row>
    <row r="516" ht="110" customHeight="1">
      <c r="A516" s="28" t="inlineStr">
        <is>
          <t>CARBON</t>
        </is>
      </c>
      <c r="B516" s="29" t="inlineStr">
        <is>
          <t>Technology</t>
        </is>
      </c>
      <c r="C516" s="29" t="n">
        <v>3</v>
      </c>
      <c r="D516" s="29" t="inlineStr">
        <is>
          <t>IRIS2284</t>
        </is>
      </c>
      <c r="E516" s="29" t="inlineStr">
        <is>
          <t>Saniya Baxi</t>
        </is>
      </c>
      <c r="F516" s="29" t="inlineStr">
        <is>
          <t>Trainee Business Analyst</t>
        </is>
      </c>
      <c r="G516" s="29" t="inlineStr">
        <is>
          <t>Business Analyst</t>
        </is>
      </c>
      <c r="H516" s="29" t="inlineStr">
        <is>
          <t>Business Analysis</t>
        </is>
      </c>
      <c r="I516" s="29" t="inlineStr">
        <is>
          <t>Business Analysis</t>
        </is>
      </c>
      <c r="J516" s="29" t="inlineStr">
        <is>
          <t>IC</t>
        </is>
      </c>
      <c r="K516" s="29" t="inlineStr">
        <is>
          <t>RC-008</t>
        </is>
      </c>
      <c r="L516" s="29" t="inlineStr">
        <is>
          <t>Prasad Shirke</t>
        </is>
      </c>
      <c r="M516" s="29" t="inlineStr">
        <is>
          <t>IRIS0622</t>
        </is>
      </c>
      <c r="N516" s="29" t="n">
        <v>2.2</v>
      </c>
      <c r="O516" s="29" t="n">
        <v>2.2</v>
      </c>
      <c r="P516" s="29" t="inlineStr">
        <is>
          <t>Bachelor of Science</t>
        </is>
      </c>
      <c r="Q516" s="29" t="inlineStr">
        <is>
          <t>L2 – Trainee</t>
        </is>
      </c>
      <c r="R516" s="29" t="inlineStr">
        <is>
          <t>A2</t>
        </is>
      </c>
      <c r="S516" s="30" t="inlineStr">
        <is>
          <t>20 of 20</t>
        </is>
      </c>
      <c r="T516" s="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
        </is>
      </c>
      <c r="U516" s="31" t="inlineStr">
        <is>
          <t>Received · manager annual · 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t>
        </is>
      </c>
      <c r="V516" s="31" t="inlineStr">
        <is>
          <t>Latest rating: Not rated · manager · 9-box: Future Leader · Readiness: No rating data</t>
        </is>
      </c>
      <c r="W516" s="31" t="inlineStr">
        <is>
          <t>C M · Au M · Ac M · L L · BI M · Exp H · 2.2 yrs vs 0–2 yrs · Edu M · Bachelor of Science</t>
        </is>
      </c>
      <c r="X516" s="33" t="inlineStr">
        <is>
          <t>Open ▸</t>
        </is>
      </c>
      <c r="Y516" s="34" t="str">
        <f>IFERROR(INDEX(DL_C,MATCH($CA516,DL_KEY,0)),"M")</f>
        <v>H</v>
      </c>
      <c r="Z516" s="35" t="str">
        <f>IFERROR(INDEX(DL_Au,MATCH($CA516,DL_KEY,0)),"M")</f>
        <v>M</v>
      </c>
      <c r="AA516" s="35" t="str">
        <f>IFERROR(INDEX(DL_Ac,MATCH($CA516,DL_KEY,0)),"M")</f>
        <v>L</v>
      </c>
      <c r="AB516" s="35" t="str">
        <f>IFERROR(INDEX(DL_L,MATCH($CA516,DL_KEY,0)),"M")</f>
        <v>L</v>
      </c>
      <c r="AC516" s="35" t="str">
        <f>IFERROR(INDEX(DL_BI,MATCH($CA516,DL_KEY,0)),"M")</f>
        <v>L</v>
      </c>
      <c r="AD516" s="35" t="str">
        <f>IFERROR(INDEX(DL_Exp,MATCH($CA516,DL_KEY,0)),"M")</f>
        <v>L</v>
      </c>
      <c r="AE516" s="35" t="str">
        <f>IFERROR(INDEX(DL_Edu,MATCH($CA516,DL_KEY,0)),"M")</f>
        <v>L</v>
      </c>
      <c r="AF516" s="34" t="inlineStr">
        <is>
          <t>M</t>
        </is>
      </c>
      <c r="AG516" s="35" t="inlineStr">
        <is>
          <t>M</t>
        </is>
      </c>
      <c r="AH516" s="35" t="inlineStr">
        <is>
          <t>M</t>
        </is>
      </c>
      <c r="AI516" s="35" t="inlineStr">
        <is>
          <t>M</t>
        </is>
      </c>
      <c r="AJ516" s="35" t="inlineStr">
        <is>
          <t>M</t>
        </is>
      </c>
      <c r="AK516" s="35" t="inlineStr">
        <is>
          <t>M</t>
        </is>
      </c>
      <c r="AL516" s="35" t="inlineStr">
        <is>
          <t>M</t>
        </is>
      </c>
      <c r="AM516" s="36" t="n">
        <v>0.583</v>
      </c>
      <c r="AN516" s="37" t="n">
        <v>0.16</v>
      </c>
      <c r="AO516" s="37" t="n">
        <v>0.09</v>
      </c>
      <c r="AP516" s="37" t="n">
        <v>0</v>
      </c>
      <c r="AQ516" s="37" t="n">
        <v>0.063</v>
      </c>
      <c r="AR516" s="37" t="n">
        <v>0.06</v>
      </c>
      <c r="AS516" s="37" t="n">
        <v>0.04</v>
      </c>
      <c r="AT516" s="38" t="inlineStr">
        <is>
          <t>0–3</t>
        </is>
      </c>
      <c r="AU516" s="38" t="inlineStr">
        <is>
          <t>Graduate · or diploma with experience</t>
        </is>
      </c>
      <c r="AV516" s="38" t="inlineStr">
        <is>
          <t>No direct reports</t>
        </is>
      </c>
      <c r="AW516" s="38" t="inlineStr">
        <is>
          <t>P1–P2 · SFIA 2 Assist</t>
        </is>
      </c>
      <c r="AX5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6" s="39" t="inlineStr">
        <is>
          <t>A2</t>
        </is>
      </c>
      <c r="AZ516" s="40" t="inlineStr">
        <is>
          <t>Band A · Practitioner · Associate</t>
        </is>
      </c>
      <c r="BA516" s="40" t="inlineStr">
        <is>
          <t>Model A2 from the six ratings, the market-derived weights and rules R1–R13 · then No change · already below the manager</t>
        </is>
      </c>
      <c r="BB516" s="41" t="inlineStr">
        <is>
          <t>A2</t>
        </is>
      </c>
      <c r="BC516" s="40" t="inlineStr">
        <is>
          <t>The six ratings on the market-average weights of Band A · all tracks score 1.89 → A2 · Hay, Mercer IPE and public plans · experience 2.2 yrs vs the A2 market range 0–3</t>
        </is>
      </c>
      <c r="BD516" s="42">
        <f>IF(SUM(BM516,BN516,BO516,BP516,BQ516,BR516,BS516)=0,0,(BM516*BT516+BN516*BU516+BO516*BV516+BP516*BW516+BQ516*BX516+BR516*BY516+BS516*BZ516)/SUM(BM516,BN516,BO516,BP516,BQ516,BR516,BS516))</f>
        <v>0</v>
      </c>
      <c r="BE516" s="41" t="str">
        <f>IF(LEFT(AY516,1)="X",AY516,IF(OR(AY516="B+",AY516="C+"),INDEX(LAD_PC,MAX(1,MIN(14,MATCH(AY516,LAD_PC,0)+IF(BD516&gt;=0.5,1,IF(BD516&lt;=-0.5,-1,0))))),INDEX(LAD_STD,MAX(1,MIN(12,MATCH(AY516,LAD_STD,0)+IF(BD516&gt;=0.5,1,IF(BD516&lt;=-0.5,-1,0)))))))</f>
        <v>A2</v>
      </c>
      <c r="BF516" s="43" t="n"/>
      <c r="BG516" s="41" t="str">
        <f>IF(BF516&lt;&gt;"",BF516,BE516)</f>
        <v>A2</v>
      </c>
      <c r="BH516" s="40" t="str">
        <f>IFERROR(CHOOSE(INDEX(B_RANK,MATCH(BG516,B_LVL,0)),"Band A","Band B","B+ · Player-Coach","Band C","C+ · Player-Coach","Band D","Band E"),"Band X · Consultant")</f>
        <v>Band A</v>
      </c>
      <c r="BI516" s="40" t="str">
        <f>IF(BG516=AY516,"• Same",IF(INDEX(B_VAL,MATCH(BG516,B_LVL,0))&gt;INDEX(B_VAL,MATCH(AY516,B_LVL,0)),"▲ Up","▼ Down"))</f>
        <v>• Same</v>
      </c>
      <c r="BJ516" s="40" t="str">
        <f>IF(OR($M516="",$M516="—",$M516="Not in this file"),"",IFERROR(INDEX($BG$7:$BG$592,MATCH($M516,$D$7:$D$592,0)),""))</f>
        <v>B2</v>
      </c>
      <c r="BK516" s="40" t="str">
        <f>IFERROR(IF(BJ516="","—",IF(OR(LEFT(BG516,1)="X",LEFT(BJ516,1)="X"),"—",IF(AND(LEFT(BG516,1)="E",LEFT(BJ516,1)="E"),"Exception · Band E",IF(AND(INDEX(B_VAL,MATCH(BJ516,B_LVL,0))&gt;=7,INDEX(B_RANK,MATCH(BG516,B_LVL,0))&gt;=INDEX(B_RANK,MATCH(BJ516,B_LVL,0))),"⚠ Same band as a head manager",IF(INDEX(B_VAL,MATCH(BG516,B_LVL,0))&gt;=INDEX(B_VAL,MATCH(BJ516,B_LVL,0)),"⚠ At or above the manager's level","OK"))))),"—")</f>
        <v>OK</v>
      </c>
      <c r="BL516" s="43" t="n"/>
      <c r="BM516" s="44">
        <f>IFERROR(INDEX(LMH_PTS,MATCH(Y516,LMH_KEY,0)),0)</f>
        <v>9</v>
      </c>
      <c r="BN516" s="38">
        <f>IFERROR(INDEX(LMH_PTS,MATCH(Z516,LMH_KEY,0)),0)</f>
        <v>3</v>
      </c>
      <c r="BO516" s="38">
        <f>IFERROR(INDEX(LMH_PTS,MATCH(AA516,LMH_KEY,0)),0)</f>
        <v>1</v>
      </c>
      <c r="BP516" s="38">
        <f>IFERROR(INDEX(LMH_PTS,MATCH(AB516,LMH_KEY,0)),0)</f>
        <v>1</v>
      </c>
      <c r="BQ516" s="38">
        <f>IFERROR(INDEX(LMH_PTS,MATCH(AC516,LMH_KEY,0)),0)</f>
        <v>1</v>
      </c>
      <c r="BR516" s="38">
        <f>IFERROR(INDEX(LMH_PTS,MATCH(AD516,LMH_KEY,0)),0)</f>
        <v>1</v>
      </c>
      <c r="BS516" s="38">
        <f>IFERROR(INDEX(LMH_PTS,MATCH(AE516,LMH_KEY,0)),0)</f>
        <v>1</v>
      </c>
      <c r="BT516" s="38">
        <f>IFERROR(INDEX(LMH_STEP,MATCH(AF516,LMH_KEY,0)),0)</f>
        <v>0</v>
      </c>
      <c r="BU516" s="38">
        <f>IFERROR(INDEX(LMH_STEP,MATCH(AG516,LMH_KEY,0)),0)</f>
        <v>0</v>
      </c>
      <c r="BV516" s="38">
        <f>IFERROR(INDEX(LMH_STEP,MATCH(AH516,LMH_KEY,0)),0)</f>
        <v>0</v>
      </c>
      <c r="BW516" s="38">
        <f>IFERROR(INDEX(LMH_STEP,MATCH(AI516,LMH_KEY,0)),0)</f>
        <v>0</v>
      </c>
      <c r="BX516" s="38">
        <f>IFERROR(INDEX(LMH_STEP,MATCH(AJ516,LMH_KEY,0)),0)</f>
        <v>0</v>
      </c>
      <c r="BY516" s="38">
        <f>IFERROR(INDEX(LMH_STEP,MATCH(AK516,LMH_KEY,0)),0)</f>
        <v>0</v>
      </c>
      <c r="BZ516" s="38">
        <f>IFERROR(INDEX(LMH_STEP,MATCH(AL516,LMH_KEY,0)),0)</f>
        <v>0</v>
      </c>
      <c r="CA516" s="38" t="inlineStr">
        <is>
          <t>CARBON|Technology|Business Analyst|A2|A</t>
        </is>
      </c>
    </row>
    <row r="517" ht="110" customHeight="1">
      <c r="A517" s="28" t="inlineStr">
        <is>
          <t>CARBON</t>
        </is>
      </c>
      <c r="B517" s="29" t="inlineStr">
        <is>
          <t>Technology</t>
        </is>
      </c>
      <c r="C517" s="29" t="n">
        <v>2</v>
      </c>
      <c r="D517" s="29" t="inlineStr">
        <is>
          <t>IRIS1986</t>
        </is>
      </c>
      <c r="E517" s="29" t="inlineStr">
        <is>
          <t>Sarfaraz Badi</t>
        </is>
      </c>
      <c r="F517" s="29" t="inlineStr">
        <is>
          <t>Lead Software Engineer</t>
        </is>
      </c>
      <c r="G517" s="29" t="inlineStr">
        <is>
          <t>Lead Software Engineer – POD Lead</t>
        </is>
      </c>
      <c r="H517" s="29" t="inlineStr">
        <is>
          <t>Engineering &amp; Development</t>
        </is>
      </c>
      <c r="I517" s="29" t="inlineStr">
        <is>
          <t>Backend Development</t>
        </is>
      </c>
      <c r="J517" s="29" t="inlineStr">
        <is>
          <t>POD Lead</t>
        </is>
      </c>
      <c r="K517" s="29" t="inlineStr">
        <is>
          <t>RC-069</t>
        </is>
      </c>
      <c r="L517" s="29" t="inlineStr">
        <is>
          <t>Ashish Singhvi</t>
        </is>
      </c>
      <c r="M517" s="29" t="inlineStr">
        <is>
          <t>IRIS0249</t>
        </is>
      </c>
      <c r="N517" s="29" t="n">
        <v>13.6</v>
      </c>
      <c r="O517" s="29" t="n">
        <v>4.6</v>
      </c>
      <c r="P517" s="29" t="inlineStr">
        <is>
          <t>MCA</t>
        </is>
      </c>
      <c r="Q517" s="29" t="inlineStr">
        <is>
          <t>L5 – Lead · IC</t>
        </is>
      </c>
      <c r="R517" s="29" t="inlineStr">
        <is>
          <t>B2</t>
        </is>
      </c>
      <c r="S517" s="30" t="inlineStr">
        <is>
          <t>20 of 20</t>
        </is>
      </c>
      <c r="T517" s="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
        </is>
      </c>
      <c r="U517" s="31" t="inlineStr">
        <is>
          <t>Received · manager annual · 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
        </is>
      </c>
      <c r="V517" s="31" t="inlineStr">
        <is>
          <t>Latest rating: Not rated · manager · 9-box: Underperformer / Exit Risk · Readiness: No rating data</t>
        </is>
      </c>
      <c r="W517" s="31" t="inlineStr">
        <is>
          <t>C M · Au M · Ac M · L M · BI M · Exp H · 13.6 yrs vs 6–9 yrs · Edu H · MCA</t>
        </is>
      </c>
      <c r="X517" s="33" t="inlineStr">
        <is>
          <t>Open ▸</t>
        </is>
      </c>
      <c r="Y517" s="34" t="str">
        <f>IFERROR(INDEX(DL_C,MATCH($CA517,DL_KEY,0)),"M")</f>
        <v>H</v>
      </c>
      <c r="Z517" s="35" t="str">
        <f>IFERROR(INDEX(DL_Au,MATCH($CA517,DL_KEY,0)),"M")</f>
        <v>M</v>
      </c>
      <c r="AA517" s="35" t="str">
        <f>IFERROR(INDEX(DL_Ac,MATCH($CA517,DL_KEY,0)),"M")</f>
        <v>L</v>
      </c>
      <c r="AB517" s="35" t="str">
        <f>IFERROR(INDEX(DL_L,MATCH($CA517,DL_KEY,0)),"M")</f>
        <v>L</v>
      </c>
      <c r="AC517" s="35" t="str">
        <f>IFERROR(INDEX(DL_BI,MATCH($CA517,DL_KEY,0)),"M")</f>
        <v>L</v>
      </c>
      <c r="AD517" s="35" t="str">
        <f>IFERROR(INDEX(DL_Exp,MATCH($CA517,DL_KEY,0)),"M")</f>
        <v>L</v>
      </c>
      <c r="AE517" s="35" t="str">
        <f>IFERROR(INDEX(DL_Edu,MATCH($CA517,DL_KEY,0)),"M")</f>
        <v>L</v>
      </c>
      <c r="AF517" s="34" t="inlineStr">
        <is>
          <t>M</t>
        </is>
      </c>
      <c r="AG517" s="35" t="inlineStr">
        <is>
          <t>M</t>
        </is>
      </c>
      <c r="AH517" s="35" t="inlineStr">
        <is>
          <t>M</t>
        </is>
      </c>
      <c r="AI517" s="35" t="inlineStr">
        <is>
          <t>M</t>
        </is>
      </c>
      <c r="AJ517" s="35" t="inlineStr">
        <is>
          <t>M</t>
        </is>
      </c>
      <c r="AK517" s="35" t="inlineStr">
        <is>
          <t>M</t>
        </is>
      </c>
      <c r="AL517" s="35" t="inlineStr">
        <is>
          <t>M</t>
        </is>
      </c>
      <c r="AM517" s="36" t="n">
        <v>0.513</v>
      </c>
      <c r="AN517" s="37" t="n">
        <v>0.173</v>
      </c>
      <c r="AO517" s="37" t="n">
        <v>0.09699999999999999</v>
      </c>
      <c r="AP517" s="37" t="n">
        <v>0.05</v>
      </c>
      <c r="AQ517" s="37" t="n">
        <v>0.07000000000000001</v>
      </c>
      <c r="AR517" s="37" t="n">
        <v>0.06</v>
      </c>
      <c r="AS517" s="37" t="n">
        <v>0.04</v>
      </c>
      <c r="AT517" s="38" t="inlineStr">
        <is>
          <t>6–10</t>
        </is>
      </c>
      <c r="AU517" s="38" t="inlineStr">
        <is>
          <t>Graduate or postgraduate; professional qualification preferred</t>
        </is>
      </c>
      <c r="AV517" s="38" t="inlineStr">
        <is>
          <t>IC: none · People: 6–8 knowledge work, 8–12 standardised delivery</t>
        </is>
      </c>
      <c r="AW517" s="38" t="inlineStr">
        <is>
          <t>P4 / M3 · SFIA 4–5</t>
        </is>
      </c>
      <c r="AX5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7" s="39" t="inlineStr">
        <is>
          <t>B2</t>
        </is>
      </c>
      <c r="AZ517" s="40" t="inlineStr">
        <is>
          <t>Band B · Specialist / Manager · Manager</t>
        </is>
      </c>
      <c r="BA517" s="40" t="inlineStr">
        <is>
          <t>Model B2 from the six ratings, the market-derived weights and rules R1–R13 · then No change · already below the manager</t>
        </is>
      </c>
      <c r="BB517" s="41" t="inlineStr">
        <is>
          <t>B2</t>
        </is>
      </c>
      <c r="BC517" s="40" t="inlineStr">
        <is>
          <t>The six ratings on the market-average weights of Band B · Specialist / POD Lead score 5.45 → B2 · Hay, Mercer IPE and public plans · experience 13.6 yrs vs the B2 market range 6–10</t>
        </is>
      </c>
      <c r="BD517" s="42">
        <f>IF(SUM(BM517,BN517,BO517,BP517,BQ517,BR517,BS517)=0,0,(BM517*BT517+BN517*BU517+BO517*BV517+BP517*BW517+BQ517*BX517+BR517*BY517+BS517*BZ517)/SUM(BM517,BN517,BO517,BP517,BQ517,BR517,BS517))</f>
        <v>0</v>
      </c>
      <c r="BE517" s="41" t="str">
        <f>IF(LEFT(AY517,1)="X",AY517,IF(OR(AY517="B+",AY517="C+"),INDEX(LAD_PC,MAX(1,MIN(14,MATCH(AY517,LAD_PC,0)+IF(BD517&gt;=0.5,1,IF(BD517&lt;=-0.5,-1,0))))),INDEX(LAD_STD,MAX(1,MIN(12,MATCH(AY517,LAD_STD,0)+IF(BD517&gt;=0.5,1,IF(BD517&lt;=-0.5,-1,0)))))))</f>
        <v>B2</v>
      </c>
      <c r="BF517" s="43" t="n"/>
      <c r="BG517" s="41" t="str">
        <f>IF(BF517&lt;&gt;"",BF517,BE517)</f>
        <v>B2</v>
      </c>
      <c r="BH517" s="40" t="str">
        <f>IFERROR(CHOOSE(INDEX(B_RANK,MATCH(BG517,B_LVL,0)),"Band A","Band B","B+ · Player-Coach","Band C","C+ · Player-Coach","Band D","Band E"),"Band X · Consultant")</f>
        <v>Band B</v>
      </c>
      <c r="BI517" s="40" t="str">
        <f>IF(BG517=AY517,"• Same",IF(INDEX(B_VAL,MATCH(BG517,B_LVL,0))&gt;INDEX(B_VAL,MATCH(AY517,B_LVL,0)),"▲ Up","▼ Down"))</f>
        <v>• Same</v>
      </c>
      <c r="BJ517" s="40" t="str">
        <f>IF(OR($M517="",$M517="—",$M517="Not in this file"),"",IFERROR(INDEX($BG$7:$BG$592,MATCH($M517,$D$7:$D$592,0)),""))</f>
        <v>C2</v>
      </c>
      <c r="BK517" s="40" t="str">
        <f>IFERROR(IF(BJ517="","—",IF(OR(LEFT(BG517,1)="X",LEFT(BJ517,1)="X"),"—",IF(AND(LEFT(BG517,1)="E",LEFT(BJ517,1)="E"),"Exception · Band E",IF(AND(INDEX(B_VAL,MATCH(BJ517,B_LVL,0))&gt;=7,INDEX(B_RANK,MATCH(BG517,B_LVL,0))&gt;=INDEX(B_RANK,MATCH(BJ517,B_LVL,0))),"⚠ Same band as a head manager",IF(INDEX(B_VAL,MATCH(BG517,B_LVL,0))&gt;=INDEX(B_VAL,MATCH(BJ517,B_LVL,0)),"⚠ At or above the manager's level","OK"))))),"—")</f>
        <v>OK</v>
      </c>
      <c r="BL517" s="43" t="n"/>
      <c r="BM517" s="44">
        <f>IFERROR(INDEX(LMH_PTS,MATCH(Y517,LMH_KEY,0)),0)</f>
        <v>9</v>
      </c>
      <c r="BN517" s="38">
        <f>IFERROR(INDEX(LMH_PTS,MATCH(Z517,LMH_KEY,0)),0)</f>
        <v>3</v>
      </c>
      <c r="BO517" s="38">
        <f>IFERROR(INDEX(LMH_PTS,MATCH(AA517,LMH_KEY,0)),0)</f>
        <v>1</v>
      </c>
      <c r="BP517" s="38">
        <f>IFERROR(INDEX(LMH_PTS,MATCH(AB517,LMH_KEY,0)),0)</f>
        <v>1</v>
      </c>
      <c r="BQ517" s="38">
        <f>IFERROR(INDEX(LMH_PTS,MATCH(AC517,LMH_KEY,0)),0)</f>
        <v>1</v>
      </c>
      <c r="BR517" s="38">
        <f>IFERROR(INDEX(LMH_PTS,MATCH(AD517,LMH_KEY,0)),0)</f>
        <v>1</v>
      </c>
      <c r="BS517" s="38">
        <f>IFERROR(INDEX(LMH_PTS,MATCH(AE517,LMH_KEY,0)),0)</f>
        <v>1</v>
      </c>
      <c r="BT517" s="38">
        <f>IFERROR(INDEX(LMH_STEP,MATCH(AF517,LMH_KEY,0)),0)</f>
        <v>0</v>
      </c>
      <c r="BU517" s="38">
        <f>IFERROR(INDEX(LMH_STEP,MATCH(AG517,LMH_KEY,0)),0)</f>
        <v>0</v>
      </c>
      <c r="BV517" s="38">
        <f>IFERROR(INDEX(LMH_STEP,MATCH(AH517,LMH_KEY,0)),0)</f>
        <v>0</v>
      </c>
      <c r="BW517" s="38">
        <f>IFERROR(INDEX(LMH_STEP,MATCH(AI517,LMH_KEY,0)),0)</f>
        <v>0</v>
      </c>
      <c r="BX517" s="38">
        <f>IFERROR(INDEX(LMH_STEP,MATCH(AJ517,LMH_KEY,0)),0)</f>
        <v>0</v>
      </c>
      <c r="BY517" s="38">
        <f>IFERROR(INDEX(LMH_STEP,MATCH(AK517,LMH_KEY,0)),0)</f>
        <v>0</v>
      </c>
      <c r="BZ517" s="38">
        <f>IFERROR(INDEX(LMH_STEP,MATCH(AL517,LMH_KEY,0)),0)</f>
        <v>0</v>
      </c>
      <c r="CA517" s="38" t="inlineStr">
        <is>
          <t>CARBON|Technology|Lead Software Engineer – POD Lead|B2|B-IC</t>
        </is>
      </c>
    </row>
    <row r="518" ht="110" customHeight="1">
      <c r="A518" s="28" t="inlineStr">
        <is>
          <t>CARBON</t>
        </is>
      </c>
      <c r="B518" s="29" t="inlineStr">
        <is>
          <t>Technology</t>
        </is>
      </c>
      <c r="C518" s="29" t="n">
        <v>3</v>
      </c>
      <c r="D518" s="29" t="inlineStr">
        <is>
          <t>IRIS2440</t>
        </is>
      </c>
      <c r="E518" s="29" t="inlineStr">
        <is>
          <t>Aniket Kale</t>
        </is>
      </c>
      <c r="F518" s="29" t="inlineStr">
        <is>
          <t>Senior Software Engineer</t>
        </is>
      </c>
      <c r="G518" s="29" t="inlineStr">
        <is>
          <t>Senior Software Engineer</t>
        </is>
      </c>
      <c r="H518" s="29" t="inlineStr">
        <is>
          <t>Engineering &amp; Development</t>
        </is>
      </c>
      <c r="I518" s="29" t="inlineStr">
        <is>
          <t>Backend Development</t>
        </is>
      </c>
      <c r="J518" s="29" t="inlineStr">
        <is>
          <t>IC</t>
        </is>
      </c>
      <c r="K518" s="29" t="inlineStr">
        <is>
          <t>RC-067</t>
        </is>
      </c>
      <c r="L518" s="29" t="inlineStr">
        <is>
          <t>Sarfaraz Badi</t>
        </is>
      </c>
      <c r="M518" s="29" t="inlineStr">
        <is>
          <t>IRIS1986</t>
        </is>
      </c>
      <c r="N518" s="29" t="n">
        <v>6.9</v>
      </c>
      <c r="O518" s="29" t="n">
        <v>0.9</v>
      </c>
      <c r="P518" s="29" t="inlineStr">
        <is>
          <t>B.E</t>
        </is>
      </c>
      <c r="Q518" s="29" t="inlineStr">
        <is>
          <t>L4 – Senior</t>
        </is>
      </c>
      <c r="R518" s="29" t="inlineStr">
        <is>
          <t>A3</t>
        </is>
      </c>
      <c r="S518" s="30" t="inlineStr">
        <is>
          <t>20 of 20</t>
        </is>
      </c>
      <c r="T518" s="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t>
        </is>
      </c>
      <c r="U518" s="31" t="inlineStr">
        <is>
          <t>Received · manager annual · 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
        </is>
      </c>
      <c r="V518" s="31" t="inlineStr">
        <is>
          <t>Latest rating: Not rated · manager · 9-box: Reliable Specialist · Readiness: No rating data</t>
        </is>
      </c>
      <c r="W518" s="31" t="inlineStr">
        <is>
          <t>C M · Au M · Ac M · L M · BI M · Exp H · 6.9 yrs vs 2–4 yrs · Edu M · B.E</t>
        </is>
      </c>
      <c r="X518" s="33" t="inlineStr">
        <is>
          <t>Open ▸</t>
        </is>
      </c>
      <c r="Y518" s="34" t="str">
        <f>IFERROR(INDEX(DL_C,MATCH($CA518,DL_KEY,0)),"M")</f>
        <v>H</v>
      </c>
      <c r="Z518" s="35" t="str">
        <f>IFERROR(INDEX(DL_Au,MATCH($CA518,DL_KEY,0)),"M")</f>
        <v>M</v>
      </c>
      <c r="AA518" s="35" t="str">
        <f>IFERROR(INDEX(DL_Ac,MATCH($CA518,DL_KEY,0)),"M")</f>
        <v>L</v>
      </c>
      <c r="AB518" s="35" t="str">
        <f>IFERROR(INDEX(DL_L,MATCH($CA518,DL_KEY,0)),"M")</f>
        <v>L</v>
      </c>
      <c r="AC518" s="35" t="str">
        <f>IFERROR(INDEX(DL_BI,MATCH($CA518,DL_KEY,0)),"M")</f>
        <v>L</v>
      </c>
      <c r="AD518" s="35" t="str">
        <f>IFERROR(INDEX(DL_Exp,MATCH($CA518,DL_KEY,0)),"M")</f>
        <v>L</v>
      </c>
      <c r="AE518" s="35" t="str">
        <f>IFERROR(INDEX(DL_Edu,MATCH($CA518,DL_KEY,0)),"M")</f>
        <v>L</v>
      </c>
      <c r="AF518" s="34" t="inlineStr">
        <is>
          <t>M</t>
        </is>
      </c>
      <c r="AG518" s="35" t="inlineStr">
        <is>
          <t>M</t>
        </is>
      </c>
      <c r="AH518" s="35" t="inlineStr">
        <is>
          <t>M</t>
        </is>
      </c>
      <c r="AI518" s="35" t="inlineStr">
        <is>
          <t>M</t>
        </is>
      </c>
      <c r="AJ518" s="35" t="inlineStr">
        <is>
          <t>M</t>
        </is>
      </c>
      <c r="AK518" s="35" t="inlineStr">
        <is>
          <t>M</t>
        </is>
      </c>
      <c r="AL518" s="35" t="inlineStr">
        <is>
          <t>M</t>
        </is>
      </c>
      <c r="AM518" s="36" t="n">
        <v>0.583</v>
      </c>
      <c r="AN518" s="37" t="n">
        <v>0.16</v>
      </c>
      <c r="AO518" s="37" t="n">
        <v>0.09</v>
      </c>
      <c r="AP518" s="37" t="n">
        <v>0</v>
      </c>
      <c r="AQ518" s="37" t="n">
        <v>0.063</v>
      </c>
      <c r="AR518" s="37" t="n">
        <v>0.06</v>
      </c>
      <c r="AS518" s="37" t="n">
        <v>0.04</v>
      </c>
      <c r="AT518" s="38" t="inlineStr">
        <is>
          <t>2–5</t>
        </is>
      </c>
      <c r="AU518" s="38" t="inlineStr">
        <is>
          <t>Graduate; relevant certification preferred</t>
        </is>
      </c>
      <c r="AV518" s="38" t="inlineStr">
        <is>
          <t>None · guides 1–3 juniors informally</t>
        </is>
      </c>
      <c r="AW518" s="38" t="inlineStr">
        <is>
          <t>P2 · SFIA 3 Apply</t>
        </is>
      </c>
      <c r="AX5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8" s="39" t="inlineStr">
        <is>
          <t>A3</t>
        </is>
      </c>
      <c r="AZ518" s="40" t="inlineStr">
        <is>
          <t>Band A · Practitioner · Senior Associate</t>
        </is>
      </c>
      <c r="BA518" s="40" t="inlineStr">
        <is>
          <t>Model A3 from the six ratings, the market-derived weights and rules R1–R13 · then No change · already below the manager</t>
        </is>
      </c>
      <c r="BB518" s="41" t="inlineStr">
        <is>
          <t>A3</t>
        </is>
      </c>
      <c r="BC518" s="40" t="inlineStr">
        <is>
          <t>The six ratings on the market-average weights of Band A · all tracks score 3.15 → A3 · Hay, Mercer IPE and public plans · experience 6.9 yrs vs the A3 market range 2–5</t>
        </is>
      </c>
      <c r="BD518" s="42">
        <f>IF(SUM(BM518,BN518,BO518,BP518,BQ518,BR518,BS518)=0,0,(BM518*BT518+BN518*BU518+BO518*BV518+BP518*BW518+BQ518*BX518+BR518*BY518+BS518*BZ518)/SUM(BM518,BN518,BO518,BP518,BQ518,BR518,BS518))</f>
        <v>0</v>
      </c>
      <c r="BE518" s="41" t="str">
        <f>IF(LEFT(AY518,1)="X",AY518,IF(OR(AY518="B+",AY518="C+"),INDEX(LAD_PC,MAX(1,MIN(14,MATCH(AY518,LAD_PC,0)+IF(BD518&gt;=0.5,1,IF(BD518&lt;=-0.5,-1,0))))),INDEX(LAD_STD,MAX(1,MIN(12,MATCH(AY518,LAD_STD,0)+IF(BD518&gt;=0.5,1,IF(BD518&lt;=-0.5,-1,0)))))))</f>
        <v>A3</v>
      </c>
      <c r="BF518" s="43" t="n"/>
      <c r="BG518" s="41" t="str">
        <f>IF(BF518&lt;&gt;"",BF518,BE518)</f>
        <v>A3</v>
      </c>
      <c r="BH518" s="40" t="str">
        <f>IFERROR(CHOOSE(INDEX(B_RANK,MATCH(BG518,B_LVL,0)),"Band A","Band B","B+ · Player-Coach","Band C","C+ · Player-Coach","Band D","Band E"),"Band X · Consultant")</f>
        <v>Band A</v>
      </c>
      <c r="BI518" s="40" t="str">
        <f>IF(BG518=AY518,"• Same",IF(INDEX(B_VAL,MATCH(BG518,B_LVL,0))&gt;INDEX(B_VAL,MATCH(AY518,B_LVL,0)),"▲ Up","▼ Down"))</f>
        <v>• Same</v>
      </c>
      <c r="BJ518" s="40" t="str">
        <f>IF(OR($M518="",$M518="—",$M518="Not in this file"),"",IFERROR(INDEX($BG$7:$BG$592,MATCH($M518,$D$7:$D$592,0)),""))</f>
        <v>B2</v>
      </c>
      <c r="BK518" s="40" t="str">
        <f>IFERROR(IF(BJ518="","—",IF(OR(LEFT(BG518,1)="X",LEFT(BJ518,1)="X"),"—",IF(AND(LEFT(BG518,1)="E",LEFT(BJ518,1)="E"),"Exception · Band E",IF(AND(INDEX(B_VAL,MATCH(BJ518,B_LVL,0))&gt;=7,INDEX(B_RANK,MATCH(BG518,B_LVL,0))&gt;=INDEX(B_RANK,MATCH(BJ518,B_LVL,0))),"⚠ Same band as a head manager",IF(INDEX(B_VAL,MATCH(BG518,B_LVL,0))&gt;=INDEX(B_VAL,MATCH(BJ518,B_LVL,0)),"⚠ At or above the manager's level","OK"))))),"—")</f>
        <v>OK</v>
      </c>
      <c r="BL518" s="43" t="n"/>
      <c r="BM518" s="44">
        <f>IFERROR(INDEX(LMH_PTS,MATCH(Y518,LMH_KEY,0)),0)</f>
        <v>9</v>
      </c>
      <c r="BN518" s="38">
        <f>IFERROR(INDEX(LMH_PTS,MATCH(Z518,LMH_KEY,0)),0)</f>
        <v>3</v>
      </c>
      <c r="BO518" s="38">
        <f>IFERROR(INDEX(LMH_PTS,MATCH(AA518,LMH_KEY,0)),0)</f>
        <v>1</v>
      </c>
      <c r="BP518" s="38">
        <f>IFERROR(INDEX(LMH_PTS,MATCH(AB518,LMH_KEY,0)),0)</f>
        <v>1</v>
      </c>
      <c r="BQ518" s="38">
        <f>IFERROR(INDEX(LMH_PTS,MATCH(AC518,LMH_KEY,0)),0)</f>
        <v>1</v>
      </c>
      <c r="BR518" s="38">
        <f>IFERROR(INDEX(LMH_PTS,MATCH(AD518,LMH_KEY,0)),0)</f>
        <v>1</v>
      </c>
      <c r="BS518" s="38">
        <f>IFERROR(INDEX(LMH_PTS,MATCH(AE518,LMH_KEY,0)),0)</f>
        <v>1</v>
      </c>
      <c r="BT518" s="38">
        <f>IFERROR(INDEX(LMH_STEP,MATCH(AF518,LMH_KEY,0)),0)</f>
        <v>0</v>
      </c>
      <c r="BU518" s="38">
        <f>IFERROR(INDEX(LMH_STEP,MATCH(AG518,LMH_KEY,0)),0)</f>
        <v>0</v>
      </c>
      <c r="BV518" s="38">
        <f>IFERROR(INDEX(LMH_STEP,MATCH(AH518,LMH_KEY,0)),0)</f>
        <v>0</v>
      </c>
      <c r="BW518" s="38">
        <f>IFERROR(INDEX(LMH_STEP,MATCH(AI518,LMH_KEY,0)),0)</f>
        <v>0</v>
      </c>
      <c r="BX518" s="38">
        <f>IFERROR(INDEX(LMH_STEP,MATCH(AJ518,LMH_KEY,0)),0)</f>
        <v>0</v>
      </c>
      <c r="BY518" s="38">
        <f>IFERROR(INDEX(LMH_STEP,MATCH(AK518,LMH_KEY,0)),0)</f>
        <v>0</v>
      </c>
      <c r="BZ518" s="38">
        <f>IFERROR(INDEX(LMH_STEP,MATCH(AL518,LMH_KEY,0)),0)</f>
        <v>0</v>
      </c>
      <c r="CA518" s="38" t="inlineStr">
        <is>
          <t>CARBON|Technology|Senior Software Engineer|A3|A</t>
        </is>
      </c>
    </row>
    <row r="519" ht="110" customHeight="1">
      <c r="A519" s="28" t="inlineStr">
        <is>
          <t>CARBON</t>
        </is>
      </c>
      <c r="B519" s="29" t="inlineStr">
        <is>
          <t>Technology</t>
        </is>
      </c>
      <c r="C519" s="29" t="n">
        <v>3</v>
      </c>
      <c r="D519" s="29" t="inlineStr">
        <is>
          <t>IRIS2434</t>
        </is>
      </c>
      <c r="E519" s="29" t="inlineStr">
        <is>
          <t>Prachi Digambar Raut</t>
        </is>
      </c>
      <c r="F519" s="29" t="inlineStr">
        <is>
          <t>Software Engineer</t>
        </is>
      </c>
      <c r="G519" s="29" t="inlineStr">
        <is>
          <t>Senior Software Engineer</t>
        </is>
      </c>
      <c r="H519" s="29" t="inlineStr">
        <is>
          <t>Engineering &amp; Development</t>
        </is>
      </c>
      <c r="I519" s="29" t="inlineStr">
        <is>
          <t>Full-Stack Development</t>
        </is>
      </c>
      <c r="J519" s="29" t="inlineStr">
        <is>
          <t>IC</t>
        </is>
      </c>
      <c r="K519" s="29" t="inlineStr">
        <is>
          <t>RC-085</t>
        </is>
      </c>
      <c r="L519" s="29" t="inlineStr">
        <is>
          <t>Sarfaraz Badi</t>
        </is>
      </c>
      <c r="M519" s="29" t="inlineStr">
        <is>
          <t>IRIS1986</t>
        </is>
      </c>
      <c r="N519" s="29" t="n">
        <v>4.2</v>
      </c>
      <c r="O519" s="29" t="n">
        <v>1</v>
      </c>
      <c r="P519" s="29" t="inlineStr">
        <is>
          <t>BCA</t>
        </is>
      </c>
      <c r="Q519" s="29" t="inlineStr">
        <is>
          <t>L3 – Professional / Associate</t>
        </is>
      </c>
      <c r="R519" s="29" t="inlineStr">
        <is>
          <t>A3</t>
        </is>
      </c>
      <c r="S519" s="30" t="inlineStr">
        <is>
          <t>20 of 20</t>
        </is>
      </c>
      <c r="T519" s="31" t="inlineStr">
        <is>
          <t>My current role is Software Engineer, developing features, provide optimized solutions, brainstorming with team members for gathering ideas, Guiding team members as i m in a managerial background also; Brainstorming</t>
        </is>
      </c>
      <c r="U519" s="31" t="inlineStr">
        <is>
          <t>Received · manager annual · 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t>
        </is>
      </c>
      <c r="V519" s="31" t="inlineStr">
        <is>
          <t>Latest rating: Not rated · manager · 9-box: Not placed · manager · Readiness: No rating data</t>
        </is>
      </c>
      <c r="W519" s="31" t="inlineStr">
        <is>
          <t>C L · Au L · Ac M · L M · BI M · Exp M · 4.2 yrs vs 4–7 yrs · Edu M · BCA</t>
        </is>
      </c>
      <c r="X519" s="33" t="inlineStr">
        <is>
          <t>Open ▸</t>
        </is>
      </c>
      <c r="Y519" s="34" t="str">
        <f>IFERROR(INDEX(DL_C,MATCH($CA519,DL_KEY,0)),"M")</f>
        <v>H</v>
      </c>
      <c r="Z519" s="35" t="str">
        <f>IFERROR(INDEX(DL_Au,MATCH($CA519,DL_KEY,0)),"M")</f>
        <v>M</v>
      </c>
      <c r="AA519" s="35" t="str">
        <f>IFERROR(INDEX(DL_Ac,MATCH($CA519,DL_KEY,0)),"M")</f>
        <v>L</v>
      </c>
      <c r="AB519" s="35" t="str">
        <f>IFERROR(INDEX(DL_L,MATCH($CA519,DL_KEY,0)),"M")</f>
        <v>L</v>
      </c>
      <c r="AC519" s="35" t="str">
        <f>IFERROR(INDEX(DL_BI,MATCH($CA519,DL_KEY,0)),"M")</f>
        <v>L</v>
      </c>
      <c r="AD519" s="35" t="str">
        <f>IFERROR(INDEX(DL_Exp,MATCH($CA519,DL_KEY,0)),"M")</f>
        <v>L</v>
      </c>
      <c r="AE519" s="35" t="str">
        <f>IFERROR(INDEX(DL_Edu,MATCH($CA519,DL_KEY,0)),"M")</f>
        <v>L</v>
      </c>
      <c r="AF519" s="34" t="inlineStr">
        <is>
          <t>M</t>
        </is>
      </c>
      <c r="AG519" s="35" t="inlineStr">
        <is>
          <t>M</t>
        </is>
      </c>
      <c r="AH519" s="35" t="inlineStr">
        <is>
          <t>M</t>
        </is>
      </c>
      <c r="AI519" s="35" t="inlineStr">
        <is>
          <t>M</t>
        </is>
      </c>
      <c r="AJ519" s="35" t="inlineStr">
        <is>
          <t>M</t>
        </is>
      </c>
      <c r="AK519" s="35" t="inlineStr">
        <is>
          <t>M</t>
        </is>
      </c>
      <c r="AL519" s="35" t="inlineStr">
        <is>
          <t>M</t>
        </is>
      </c>
      <c r="AM519" s="36" t="n">
        <v>0.513</v>
      </c>
      <c r="AN519" s="37" t="n">
        <v>0.173</v>
      </c>
      <c r="AO519" s="37" t="n">
        <v>0.09699999999999999</v>
      </c>
      <c r="AP519" s="37" t="n">
        <v>0.05</v>
      </c>
      <c r="AQ519" s="37" t="n">
        <v>0.07000000000000001</v>
      </c>
      <c r="AR519" s="37" t="n">
        <v>0.06</v>
      </c>
      <c r="AS519" s="37" t="n">
        <v>0.04</v>
      </c>
      <c r="AT519" s="38" t="inlineStr">
        <is>
          <t>4–8</t>
        </is>
      </c>
      <c r="AU519" s="38" t="inlineStr">
        <is>
          <t>Graduate + relevant qualification or certification preferred</t>
        </is>
      </c>
      <c r="AV519" s="38" t="inlineStr">
        <is>
          <t>IC: none · Team Lead: 3–5</t>
        </is>
      </c>
      <c r="AW519" s="38" t="inlineStr">
        <is>
          <t>P3 / M2 · SFIA 4 Enable</t>
        </is>
      </c>
      <c r="AX5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9" s="39" t="inlineStr">
        <is>
          <t>B1</t>
        </is>
      </c>
      <c r="AZ519" s="40" t="inlineStr">
        <is>
          <t>Band B · Specialist / Manager · Specialist</t>
        </is>
      </c>
      <c r="BA519" s="40" t="inlineStr">
        <is>
          <t>Model A3 from the six ratings, the market-derived weights and rules R1–R13 · then Leads people at or above their own level · A3 → B1 Team Lead</t>
        </is>
      </c>
      <c r="BB519" s="41" t="inlineStr">
        <is>
          <t>A3</t>
        </is>
      </c>
      <c r="BC519" s="40" t="inlineStr">
        <is>
          <t>The six ratings on the market-average weights of Band B · Specialist / POD Lead score 2.60 → A3 · Hay, Mercer IPE and public plans · experience 4.2 yrs vs the A3 market range 2–5</t>
        </is>
      </c>
      <c r="BD519" s="42">
        <f>IF(SUM(BM519,BN519,BO519,BP519,BQ519,BR519,BS519)=0,0,(BM519*BT519+BN519*BU519+BO519*BV519+BP519*BW519+BQ519*BX519+BR519*BY519+BS519*BZ519)/SUM(BM519,BN519,BO519,BP519,BQ519,BR519,BS519))</f>
        <v>0</v>
      </c>
      <c r="BE519" s="41" t="str">
        <f>IF(LEFT(AY519,1)="X",AY519,IF(OR(AY519="B+",AY519="C+"),INDEX(LAD_PC,MAX(1,MIN(14,MATCH(AY519,LAD_PC,0)+IF(BD519&gt;=0.5,1,IF(BD519&lt;=-0.5,-1,0))))),INDEX(LAD_STD,MAX(1,MIN(12,MATCH(AY519,LAD_STD,0)+IF(BD519&gt;=0.5,1,IF(BD519&lt;=-0.5,-1,0)))))))</f>
        <v>B1</v>
      </c>
      <c r="BF519" s="43" t="n"/>
      <c r="BG519" s="41" t="str">
        <f>IF(BF519&lt;&gt;"",BF519,BE519)</f>
        <v>B1</v>
      </c>
      <c r="BH519" s="40" t="str">
        <f>IFERROR(CHOOSE(INDEX(B_RANK,MATCH(BG519,B_LVL,0)),"Band A","Band B","B+ · Player-Coach","Band C","C+ · Player-Coach","Band D","Band E"),"Band X · Consultant")</f>
        <v>Band B</v>
      </c>
      <c r="BI519" s="40" t="str">
        <f>IF(BG519=AY519,"• Same",IF(INDEX(B_VAL,MATCH(BG519,B_LVL,0))&gt;INDEX(B_VAL,MATCH(AY519,B_LVL,0)),"▲ Up","▼ Down"))</f>
        <v>• Same</v>
      </c>
      <c r="BJ519" s="40" t="str">
        <f>IF(OR($M519="",$M519="—",$M519="Not in this file"),"",IFERROR(INDEX($BG$7:$BG$592,MATCH($M519,$D$7:$D$592,0)),""))</f>
        <v>B2</v>
      </c>
      <c r="BK519" s="40" t="str">
        <f>IFERROR(IF(BJ519="","—",IF(OR(LEFT(BG519,1)="X",LEFT(BJ519,1)="X"),"—",IF(AND(LEFT(BG519,1)="E",LEFT(BJ519,1)="E"),"Exception · Band E",IF(AND(INDEX(B_VAL,MATCH(BJ519,B_LVL,0))&gt;=7,INDEX(B_RANK,MATCH(BG519,B_LVL,0))&gt;=INDEX(B_RANK,MATCH(BJ519,B_LVL,0))),"⚠ Same band as a head manager",IF(INDEX(B_VAL,MATCH(BG519,B_LVL,0))&gt;=INDEX(B_VAL,MATCH(BJ519,B_LVL,0)),"⚠ At or above the manager's level","OK"))))),"—")</f>
        <v>OK</v>
      </c>
      <c r="BL519" s="43" t="n"/>
      <c r="BM519" s="44">
        <f>IFERROR(INDEX(LMH_PTS,MATCH(Y519,LMH_KEY,0)),0)</f>
        <v>9</v>
      </c>
      <c r="BN519" s="38">
        <f>IFERROR(INDEX(LMH_PTS,MATCH(Z519,LMH_KEY,0)),0)</f>
        <v>3</v>
      </c>
      <c r="BO519" s="38">
        <f>IFERROR(INDEX(LMH_PTS,MATCH(AA519,LMH_KEY,0)),0)</f>
        <v>1</v>
      </c>
      <c r="BP519" s="38">
        <f>IFERROR(INDEX(LMH_PTS,MATCH(AB519,LMH_KEY,0)),0)</f>
        <v>1</v>
      </c>
      <c r="BQ519" s="38">
        <f>IFERROR(INDEX(LMH_PTS,MATCH(AC519,LMH_KEY,0)),0)</f>
        <v>1</v>
      </c>
      <c r="BR519" s="38">
        <f>IFERROR(INDEX(LMH_PTS,MATCH(AD519,LMH_KEY,0)),0)</f>
        <v>1</v>
      </c>
      <c r="BS519" s="38">
        <f>IFERROR(INDEX(LMH_PTS,MATCH(AE519,LMH_KEY,0)),0)</f>
        <v>1</v>
      </c>
      <c r="BT519" s="38">
        <f>IFERROR(INDEX(LMH_STEP,MATCH(AF519,LMH_KEY,0)),0)</f>
        <v>0</v>
      </c>
      <c r="BU519" s="38">
        <f>IFERROR(INDEX(LMH_STEP,MATCH(AG519,LMH_KEY,0)),0)</f>
        <v>0</v>
      </c>
      <c r="BV519" s="38">
        <f>IFERROR(INDEX(LMH_STEP,MATCH(AH519,LMH_KEY,0)),0)</f>
        <v>0</v>
      </c>
      <c r="BW519" s="38">
        <f>IFERROR(INDEX(LMH_STEP,MATCH(AI519,LMH_KEY,0)),0)</f>
        <v>0</v>
      </c>
      <c r="BX519" s="38">
        <f>IFERROR(INDEX(LMH_STEP,MATCH(AJ519,LMH_KEY,0)),0)</f>
        <v>0</v>
      </c>
      <c r="BY519" s="38">
        <f>IFERROR(INDEX(LMH_STEP,MATCH(AK519,LMH_KEY,0)),0)</f>
        <v>0</v>
      </c>
      <c r="BZ519" s="38">
        <f>IFERROR(INDEX(LMH_STEP,MATCH(AL519,LMH_KEY,0)),0)</f>
        <v>0</v>
      </c>
      <c r="CA519" s="38" t="inlineStr">
        <is>
          <t>CARBON|Technology|Senior Software Engineer|B1|B-IC</t>
        </is>
      </c>
    </row>
    <row r="520" ht="110" customHeight="1">
      <c r="A520" s="28" t="inlineStr">
        <is>
          <t>CARBON</t>
        </is>
      </c>
      <c r="B520" s="29" t="inlineStr">
        <is>
          <t>Technology</t>
        </is>
      </c>
      <c r="C520" s="29" t="n">
        <v>4</v>
      </c>
      <c r="D520" s="29" t="inlineStr">
        <is>
          <t>IRIS2473</t>
        </is>
      </c>
      <c r="E520" s="29" t="inlineStr">
        <is>
          <t>Anuj Pardeshi</t>
        </is>
      </c>
      <c r="F520" s="29" t="inlineStr">
        <is>
          <t>Software Engineer</t>
        </is>
      </c>
      <c r="G520" s="29" t="inlineStr">
        <is>
          <t>Senior Software Engineer</t>
        </is>
      </c>
      <c r="H520" s="29" t="inlineStr">
        <is>
          <t>Engineering &amp; Development</t>
        </is>
      </c>
      <c r="I520" s="29" t="inlineStr">
        <is>
          <t>Full-Stack Development</t>
        </is>
      </c>
      <c r="J520" s="29" t="inlineStr">
        <is>
          <t>IC</t>
        </is>
      </c>
      <c r="K520" s="29" t="inlineStr">
        <is>
          <t>RC-085</t>
        </is>
      </c>
      <c r="L520" s="29" t="inlineStr">
        <is>
          <t>Prachi Digambar Raut</t>
        </is>
      </c>
      <c r="M520" s="29" t="inlineStr">
        <is>
          <t>IRIS2434</t>
        </is>
      </c>
      <c r="N520" s="29" t="n">
        <v>4</v>
      </c>
      <c r="O520" s="29" t="n">
        <v>0.6</v>
      </c>
      <c r="P520" s="29" t="inlineStr">
        <is>
          <t>B.Tech</t>
        </is>
      </c>
      <c r="Q520" s="29" t="inlineStr">
        <is>
          <t>L3 – Professional / Associate</t>
        </is>
      </c>
      <c r="R520" s="29" t="inlineStr">
        <is>
          <t>A3</t>
        </is>
      </c>
      <c r="S520" s="30" t="inlineStr">
        <is>
          <t>20 of 20</t>
        </is>
      </c>
      <c r="T520" s="31" t="inlineStr">
        <is>
          <t>Im a software engineer at iris developing and Maintaining esg product.; I connot</t>
        </is>
      </c>
      <c r="U520" s="31" t="inlineStr">
        <is>
          <t>Received · manager annual · 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t>
        </is>
      </c>
      <c r="V520" s="31" t="inlineStr">
        <is>
          <t>Latest rating: Not rated · manager · 9-box: Trusted Professional · Readiness: No rating data</t>
        </is>
      </c>
      <c r="W520" s="31" t="inlineStr">
        <is>
          <t>C L · Au L · Ac L · L L · BI L · Exp M · 4 yrs vs 2–4 yrs · Edu M · B.Tech</t>
        </is>
      </c>
      <c r="X520" s="33" t="inlineStr">
        <is>
          <t>Open ▸</t>
        </is>
      </c>
      <c r="Y520" s="34" t="str">
        <f>IFERROR(INDEX(DL_C,MATCH($CA520,DL_KEY,0)),"M")</f>
        <v>H</v>
      </c>
      <c r="Z520" s="35" t="str">
        <f>IFERROR(INDEX(DL_Au,MATCH($CA520,DL_KEY,0)),"M")</f>
        <v>M</v>
      </c>
      <c r="AA520" s="35" t="str">
        <f>IFERROR(INDEX(DL_Ac,MATCH($CA520,DL_KEY,0)),"M")</f>
        <v>L</v>
      </c>
      <c r="AB520" s="35" t="str">
        <f>IFERROR(INDEX(DL_L,MATCH($CA520,DL_KEY,0)),"M")</f>
        <v>L</v>
      </c>
      <c r="AC520" s="35" t="str">
        <f>IFERROR(INDEX(DL_BI,MATCH($CA520,DL_KEY,0)),"M")</f>
        <v>L</v>
      </c>
      <c r="AD520" s="35" t="str">
        <f>IFERROR(INDEX(DL_Exp,MATCH($CA520,DL_KEY,0)),"M")</f>
        <v>L</v>
      </c>
      <c r="AE520" s="35" t="str">
        <f>IFERROR(INDEX(DL_Edu,MATCH($CA520,DL_KEY,0)),"M")</f>
        <v>L</v>
      </c>
      <c r="AF520" s="34" t="inlineStr">
        <is>
          <t>M</t>
        </is>
      </c>
      <c r="AG520" s="35" t="inlineStr">
        <is>
          <t>M</t>
        </is>
      </c>
      <c r="AH520" s="35" t="inlineStr">
        <is>
          <t>M</t>
        </is>
      </c>
      <c r="AI520" s="35" t="inlineStr">
        <is>
          <t>M</t>
        </is>
      </c>
      <c r="AJ520" s="35" t="inlineStr">
        <is>
          <t>M</t>
        </is>
      </c>
      <c r="AK520" s="35" t="inlineStr">
        <is>
          <t>M</t>
        </is>
      </c>
      <c r="AL520" s="35" t="inlineStr">
        <is>
          <t>M</t>
        </is>
      </c>
      <c r="AM520" s="36" t="n">
        <v>0.583</v>
      </c>
      <c r="AN520" s="37" t="n">
        <v>0.16</v>
      </c>
      <c r="AO520" s="37" t="n">
        <v>0.09</v>
      </c>
      <c r="AP520" s="37" t="n">
        <v>0</v>
      </c>
      <c r="AQ520" s="37" t="n">
        <v>0.063</v>
      </c>
      <c r="AR520" s="37" t="n">
        <v>0.06</v>
      </c>
      <c r="AS520" s="37" t="n">
        <v>0.04</v>
      </c>
      <c r="AT520" s="38" t="inlineStr">
        <is>
          <t>2–5</t>
        </is>
      </c>
      <c r="AU520" s="38" t="inlineStr">
        <is>
          <t>Graduate; relevant certification preferred</t>
        </is>
      </c>
      <c r="AV520" s="38" t="inlineStr">
        <is>
          <t>None · guides 1–3 juniors informally</t>
        </is>
      </c>
      <c r="AW520" s="38" t="inlineStr">
        <is>
          <t>P2 · SFIA 3 Apply</t>
        </is>
      </c>
      <c r="AX5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0" s="39" t="inlineStr">
        <is>
          <t>A3</t>
        </is>
      </c>
      <c r="AZ520" s="40" t="inlineStr">
        <is>
          <t>Band A · Practitioner · Senior Associate</t>
        </is>
      </c>
      <c r="BA520" s="40" t="inlineStr">
        <is>
          <t>Model A3 from the six ratings, the market-derived weights and rules R1–R13 · then No change · already below the manager</t>
        </is>
      </c>
      <c r="BB520" s="41" t="inlineStr">
        <is>
          <t>A2</t>
        </is>
      </c>
      <c r="BC520" s="40" t="inlineStr">
        <is>
          <t>The six ratings on the market-average weights of Band A · all tracks score 2.07 → A2 · Hay, Mercer IPE and public plans · experience 4 yrs vs the A2 market range 0–3</t>
        </is>
      </c>
      <c r="BD520" s="42">
        <f>IF(SUM(BM520,BN520,BO520,BP520,BQ520,BR520,BS520)=0,0,(BM520*BT520+BN520*BU520+BO520*BV520+BP520*BW520+BQ520*BX520+BR520*BY520+BS520*BZ520)/SUM(BM520,BN520,BO520,BP520,BQ520,BR520,BS520))</f>
        <v>0</v>
      </c>
      <c r="BE520" s="41" t="str">
        <f>IF(LEFT(AY520,1)="X",AY520,IF(OR(AY520="B+",AY520="C+"),INDEX(LAD_PC,MAX(1,MIN(14,MATCH(AY520,LAD_PC,0)+IF(BD520&gt;=0.5,1,IF(BD520&lt;=-0.5,-1,0))))),INDEX(LAD_STD,MAX(1,MIN(12,MATCH(AY520,LAD_STD,0)+IF(BD520&gt;=0.5,1,IF(BD520&lt;=-0.5,-1,0)))))))</f>
        <v>A3</v>
      </c>
      <c r="BF520" s="43" t="n"/>
      <c r="BG520" s="41" t="str">
        <f>IF(BF520&lt;&gt;"",BF520,BE520)</f>
        <v>A3</v>
      </c>
      <c r="BH520" s="40" t="str">
        <f>IFERROR(CHOOSE(INDEX(B_RANK,MATCH(BG520,B_LVL,0)),"Band A","Band B","B+ · Player-Coach","Band C","C+ · Player-Coach","Band D","Band E"),"Band X · Consultant")</f>
        <v>Band A</v>
      </c>
      <c r="BI520" s="40" t="str">
        <f>IF(BG520=AY520,"• Same",IF(INDEX(B_VAL,MATCH(BG520,B_LVL,0))&gt;INDEX(B_VAL,MATCH(AY520,B_LVL,0)),"▲ Up","▼ Down"))</f>
        <v>• Same</v>
      </c>
      <c r="BJ520" s="40" t="str">
        <f>IF(OR($M520="",$M520="—",$M520="Not in this file"),"",IFERROR(INDEX($BG$7:$BG$592,MATCH($M520,$D$7:$D$592,0)),""))</f>
        <v>B1</v>
      </c>
      <c r="BK520" s="40" t="str">
        <f>IFERROR(IF(BJ520="","—",IF(OR(LEFT(BG520,1)="X",LEFT(BJ520,1)="X"),"—",IF(AND(LEFT(BG520,1)="E",LEFT(BJ520,1)="E"),"Exception · Band E",IF(AND(INDEX(B_VAL,MATCH(BJ520,B_LVL,0))&gt;=7,INDEX(B_RANK,MATCH(BG520,B_LVL,0))&gt;=INDEX(B_RANK,MATCH(BJ520,B_LVL,0))),"⚠ Same band as a head manager",IF(INDEX(B_VAL,MATCH(BG520,B_LVL,0))&gt;=INDEX(B_VAL,MATCH(BJ520,B_LVL,0)),"⚠ At or above the manager's level","OK"))))),"—")</f>
        <v>OK</v>
      </c>
      <c r="BL520" s="43" t="n"/>
      <c r="BM520" s="44">
        <f>IFERROR(INDEX(LMH_PTS,MATCH(Y520,LMH_KEY,0)),0)</f>
        <v>9</v>
      </c>
      <c r="BN520" s="38">
        <f>IFERROR(INDEX(LMH_PTS,MATCH(Z520,LMH_KEY,0)),0)</f>
        <v>3</v>
      </c>
      <c r="BO520" s="38">
        <f>IFERROR(INDEX(LMH_PTS,MATCH(AA520,LMH_KEY,0)),0)</f>
        <v>1</v>
      </c>
      <c r="BP520" s="38">
        <f>IFERROR(INDEX(LMH_PTS,MATCH(AB520,LMH_KEY,0)),0)</f>
        <v>1</v>
      </c>
      <c r="BQ520" s="38">
        <f>IFERROR(INDEX(LMH_PTS,MATCH(AC520,LMH_KEY,0)),0)</f>
        <v>1</v>
      </c>
      <c r="BR520" s="38">
        <f>IFERROR(INDEX(LMH_PTS,MATCH(AD520,LMH_KEY,0)),0)</f>
        <v>1</v>
      </c>
      <c r="BS520" s="38">
        <f>IFERROR(INDEX(LMH_PTS,MATCH(AE520,LMH_KEY,0)),0)</f>
        <v>1</v>
      </c>
      <c r="BT520" s="38">
        <f>IFERROR(INDEX(LMH_STEP,MATCH(AF520,LMH_KEY,0)),0)</f>
        <v>0</v>
      </c>
      <c r="BU520" s="38">
        <f>IFERROR(INDEX(LMH_STEP,MATCH(AG520,LMH_KEY,0)),0)</f>
        <v>0</v>
      </c>
      <c r="BV520" s="38">
        <f>IFERROR(INDEX(LMH_STEP,MATCH(AH520,LMH_KEY,0)),0)</f>
        <v>0</v>
      </c>
      <c r="BW520" s="38">
        <f>IFERROR(INDEX(LMH_STEP,MATCH(AI520,LMH_KEY,0)),0)</f>
        <v>0</v>
      </c>
      <c r="BX520" s="38">
        <f>IFERROR(INDEX(LMH_STEP,MATCH(AJ520,LMH_KEY,0)),0)</f>
        <v>0</v>
      </c>
      <c r="BY520" s="38">
        <f>IFERROR(INDEX(LMH_STEP,MATCH(AK520,LMH_KEY,0)),0)</f>
        <v>0</v>
      </c>
      <c r="BZ520" s="38">
        <f>IFERROR(INDEX(LMH_STEP,MATCH(AL520,LMH_KEY,0)),0)</f>
        <v>0</v>
      </c>
      <c r="CA520" s="38" t="inlineStr">
        <is>
          <t>CARBON|Technology|Senior Software Engineer|A3|A</t>
        </is>
      </c>
    </row>
    <row r="521" ht="110" customHeight="1">
      <c r="A521" s="28" t="inlineStr">
        <is>
          <t>CARBON</t>
        </is>
      </c>
      <c r="B521" s="29" t="inlineStr">
        <is>
          <t>Technology</t>
        </is>
      </c>
      <c r="C521" s="29" t="n">
        <v>4</v>
      </c>
      <c r="D521" s="29" t="inlineStr">
        <is>
          <t>IRIS2472</t>
        </is>
      </c>
      <c r="E521" s="29" t="inlineStr">
        <is>
          <t>Karan Kapadia</t>
        </is>
      </c>
      <c r="F521" s="29" t="inlineStr">
        <is>
          <t>Software Engineer</t>
        </is>
      </c>
      <c r="G521" s="29" t="inlineStr">
        <is>
          <t>Senior Software Engineer</t>
        </is>
      </c>
      <c r="H521" s="29" t="inlineStr">
        <is>
          <t>Engineering &amp; Development</t>
        </is>
      </c>
      <c r="I521" s="29" t="inlineStr">
        <is>
          <t>Full-Stack Development</t>
        </is>
      </c>
      <c r="J521" s="29" t="inlineStr">
        <is>
          <t>IC</t>
        </is>
      </c>
      <c r="K521" s="29" t="inlineStr">
        <is>
          <t>RC-085</t>
        </is>
      </c>
      <c r="L521" s="29" t="inlineStr">
        <is>
          <t>Prachi Digambar Raut</t>
        </is>
      </c>
      <c r="M521" s="29" t="inlineStr">
        <is>
          <t>IRIS2434</t>
        </is>
      </c>
      <c r="N521" s="29" t="n">
        <v>4.4</v>
      </c>
      <c r="O521" s="29" t="n">
        <v>0.6</v>
      </c>
      <c r="P521" s="29" t="inlineStr">
        <is>
          <t>MCA</t>
        </is>
      </c>
      <c r="Q521" s="29" t="inlineStr">
        <is>
          <t>L3 – Professional / Associate</t>
        </is>
      </c>
      <c r="R521" s="29" t="inlineStr">
        <is>
          <t>A3</t>
        </is>
      </c>
      <c r="S521" s="30" t="inlineStr">
        <is>
          <t>19 of 20</t>
        </is>
      </c>
      <c r="T521" s="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U521" s="31" t="inlineStr">
        <is>
          <t>Received · manager annual · 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t>
        </is>
      </c>
      <c r="V521" s="31" t="inlineStr">
        <is>
          <t>Latest rating: Not rated · manager · 9-box: Future Leader · Readiness: No rating data</t>
        </is>
      </c>
      <c r="W521" s="31" t="inlineStr">
        <is>
          <t>C L · Au L · Ac L · L L · BI L · Exp H · 4.4 yrs vs 2–4 yrs · Edu H · MCA</t>
        </is>
      </c>
      <c r="X521" s="33" t="inlineStr">
        <is>
          <t>Open ▸</t>
        </is>
      </c>
      <c r="Y521" s="34" t="str">
        <f>IFERROR(INDEX(DL_C,MATCH($CA521,DL_KEY,0)),"M")</f>
        <v>H</v>
      </c>
      <c r="Z521" s="35" t="str">
        <f>IFERROR(INDEX(DL_Au,MATCH($CA521,DL_KEY,0)),"M")</f>
        <v>M</v>
      </c>
      <c r="AA521" s="35" t="str">
        <f>IFERROR(INDEX(DL_Ac,MATCH($CA521,DL_KEY,0)),"M")</f>
        <v>L</v>
      </c>
      <c r="AB521" s="35" t="str">
        <f>IFERROR(INDEX(DL_L,MATCH($CA521,DL_KEY,0)),"M")</f>
        <v>L</v>
      </c>
      <c r="AC521" s="35" t="str">
        <f>IFERROR(INDEX(DL_BI,MATCH($CA521,DL_KEY,0)),"M")</f>
        <v>L</v>
      </c>
      <c r="AD521" s="35" t="str">
        <f>IFERROR(INDEX(DL_Exp,MATCH($CA521,DL_KEY,0)),"M")</f>
        <v>L</v>
      </c>
      <c r="AE521" s="35" t="str">
        <f>IFERROR(INDEX(DL_Edu,MATCH($CA521,DL_KEY,0)),"M")</f>
        <v>L</v>
      </c>
      <c r="AF521" s="34" t="inlineStr">
        <is>
          <t>M</t>
        </is>
      </c>
      <c r="AG521" s="35" t="inlineStr">
        <is>
          <t>M</t>
        </is>
      </c>
      <c r="AH521" s="35" t="inlineStr">
        <is>
          <t>M</t>
        </is>
      </c>
      <c r="AI521" s="35" t="inlineStr">
        <is>
          <t>M</t>
        </is>
      </c>
      <c r="AJ521" s="35" t="inlineStr">
        <is>
          <t>M</t>
        </is>
      </c>
      <c r="AK521" s="35" t="inlineStr">
        <is>
          <t>M</t>
        </is>
      </c>
      <c r="AL521" s="35" t="inlineStr">
        <is>
          <t>M</t>
        </is>
      </c>
      <c r="AM521" s="36" t="n">
        <v>0.583</v>
      </c>
      <c r="AN521" s="37" t="n">
        <v>0.16</v>
      </c>
      <c r="AO521" s="37" t="n">
        <v>0.09</v>
      </c>
      <c r="AP521" s="37" t="n">
        <v>0</v>
      </c>
      <c r="AQ521" s="37" t="n">
        <v>0.063</v>
      </c>
      <c r="AR521" s="37" t="n">
        <v>0.06</v>
      </c>
      <c r="AS521" s="37" t="n">
        <v>0.04</v>
      </c>
      <c r="AT521" s="38" t="inlineStr">
        <is>
          <t>2–5</t>
        </is>
      </c>
      <c r="AU521" s="38" t="inlineStr">
        <is>
          <t>Graduate; relevant certification preferred</t>
        </is>
      </c>
      <c r="AV521" s="38" t="inlineStr">
        <is>
          <t>None · guides 1–3 juniors informally</t>
        </is>
      </c>
      <c r="AW521" s="38" t="inlineStr">
        <is>
          <t>P2 · SFIA 3 Apply</t>
        </is>
      </c>
      <c r="AX5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1" s="39" t="inlineStr">
        <is>
          <t>A3</t>
        </is>
      </c>
      <c r="AZ521" s="40" t="inlineStr">
        <is>
          <t>Band A · Practitioner · Senior Associate</t>
        </is>
      </c>
      <c r="BA521" s="40" t="inlineStr">
        <is>
          <t>Model A3 from the six ratings, the market-derived weights and rules R1–R13 · then No change · already below the manager</t>
        </is>
      </c>
      <c r="BB521" s="41" t="inlineStr">
        <is>
          <t>A2</t>
        </is>
      </c>
      <c r="BC521" s="40" t="inlineStr">
        <is>
          <t>The six ratings on the market-average weights of Band A · all tracks score 2.20 → A2 · Hay, Mercer IPE and public plans · experience 4.4 yrs vs the A2 market range 0–3</t>
        </is>
      </c>
      <c r="BD521" s="42">
        <f>IF(SUM(BM521,BN521,BO521,BP521,BQ521,BR521,BS521)=0,0,(BM521*BT521+BN521*BU521+BO521*BV521+BP521*BW521+BQ521*BX521+BR521*BY521+BS521*BZ521)/SUM(BM521,BN521,BO521,BP521,BQ521,BR521,BS521))</f>
        <v>0</v>
      </c>
      <c r="BE521" s="41" t="str">
        <f>IF(LEFT(AY521,1)="X",AY521,IF(OR(AY521="B+",AY521="C+"),INDEX(LAD_PC,MAX(1,MIN(14,MATCH(AY521,LAD_PC,0)+IF(BD521&gt;=0.5,1,IF(BD521&lt;=-0.5,-1,0))))),INDEX(LAD_STD,MAX(1,MIN(12,MATCH(AY521,LAD_STD,0)+IF(BD521&gt;=0.5,1,IF(BD521&lt;=-0.5,-1,0)))))))</f>
        <v>A3</v>
      </c>
      <c r="BF521" s="43" t="n"/>
      <c r="BG521" s="41" t="str">
        <f>IF(BF521&lt;&gt;"",BF521,BE521)</f>
        <v>A3</v>
      </c>
      <c r="BH521" s="40" t="str">
        <f>IFERROR(CHOOSE(INDEX(B_RANK,MATCH(BG521,B_LVL,0)),"Band A","Band B","B+ · Player-Coach","Band C","C+ · Player-Coach","Band D","Band E"),"Band X · Consultant")</f>
        <v>Band A</v>
      </c>
      <c r="BI521" s="40" t="str">
        <f>IF(BG521=AY521,"• Same",IF(INDEX(B_VAL,MATCH(BG521,B_LVL,0))&gt;INDEX(B_VAL,MATCH(AY521,B_LVL,0)),"▲ Up","▼ Down"))</f>
        <v>• Same</v>
      </c>
      <c r="BJ521" s="40" t="str">
        <f>IF(OR($M521="",$M521="—",$M521="Not in this file"),"",IFERROR(INDEX($BG$7:$BG$592,MATCH($M521,$D$7:$D$592,0)),""))</f>
        <v>B1</v>
      </c>
      <c r="BK521" s="40" t="str">
        <f>IFERROR(IF(BJ521="","—",IF(OR(LEFT(BG521,1)="X",LEFT(BJ521,1)="X"),"—",IF(AND(LEFT(BG521,1)="E",LEFT(BJ521,1)="E"),"Exception · Band E",IF(AND(INDEX(B_VAL,MATCH(BJ521,B_LVL,0))&gt;=7,INDEX(B_RANK,MATCH(BG521,B_LVL,0))&gt;=INDEX(B_RANK,MATCH(BJ521,B_LVL,0))),"⚠ Same band as a head manager",IF(INDEX(B_VAL,MATCH(BG521,B_LVL,0))&gt;=INDEX(B_VAL,MATCH(BJ521,B_LVL,0)),"⚠ At or above the manager's level","OK"))))),"—")</f>
        <v>OK</v>
      </c>
      <c r="BL521" s="43" t="n"/>
      <c r="BM521" s="44">
        <f>IFERROR(INDEX(LMH_PTS,MATCH(Y521,LMH_KEY,0)),0)</f>
        <v>9</v>
      </c>
      <c r="BN521" s="38">
        <f>IFERROR(INDEX(LMH_PTS,MATCH(Z521,LMH_KEY,0)),0)</f>
        <v>3</v>
      </c>
      <c r="BO521" s="38">
        <f>IFERROR(INDEX(LMH_PTS,MATCH(AA521,LMH_KEY,0)),0)</f>
        <v>1</v>
      </c>
      <c r="BP521" s="38">
        <f>IFERROR(INDEX(LMH_PTS,MATCH(AB521,LMH_KEY,0)),0)</f>
        <v>1</v>
      </c>
      <c r="BQ521" s="38">
        <f>IFERROR(INDEX(LMH_PTS,MATCH(AC521,LMH_KEY,0)),0)</f>
        <v>1</v>
      </c>
      <c r="BR521" s="38">
        <f>IFERROR(INDEX(LMH_PTS,MATCH(AD521,LMH_KEY,0)),0)</f>
        <v>1</v>
      </c>
      <c r="BS521" s="38">
        <f>IFERROR(INDEX(LMH_PTS,MATCH(AE521,LMH_KEY,0)),0)</f>
        <v>1</v>
      </c>
      <c r="BT521" s="38">
        <f>IFERROR(INDEX(LMH_STEP,MATCH(AF521,LMH_KEY,0)),0)</f>
        <v>0</v>
      </c>
      <c r="BU521" s="38">
        <f>IFERROR(INDEX(LMH_STEP,MATCH(AG521,LMH_KEY,0)),0)</f>
        <v>0</v>
      </c>
      <c r="BV521" s="38">
        <f>IFERROR(INDEX(LMH_STEP,MATCH(AH521,LMH_KEY,0)),0)</f>
        <v>0</v>
      </c>
      <c r="BW521" s="38">
        <f>IFERROR(INDEX(LMH_STEP,MATCH(AI521,LMH_KEY,0)),0)</f>
        <v>0</v>
      </c>
      <c r="BX521" s="38">
        <f>IFERROR(INDEX(LMH_STEP,MATCH(AJ521,LMH_KEY,0)),0)</f>
        <v>0</v>
      </c>
      <c r="BY521" s="38">
        <f>IFERROR(INDEX(LMH_STEP,MATCH(AK521,LMH_KEY,0)),0)</f>
        <v>0</v>
      </c>
      <c r="BZ521" s="38">
        <f>IFERROR(INDEX(LMH_STEP,MATCH(AL521,LMH_KEY,0)),0)</f>
        <v>0</v>
      </c>
      <c r="CA521" s="38" t="inlineStr">
        <is>
          <t>CARBON|Technology|Senior Software Engineer|A3|A</t>
        </is>
      </c>
    </row>
    <row r="522" ht="110" customHeight="1">
      <c r="A522" s="28" t="inlineStr">
        <is>
          <t>CARBON</t>
        </is>
      </c>
      <c r="B522" s="29" t="inlineStr">
        <is>
          <t>Technology</t>
        </is>
      </c>
      <c r="C522" s="29" t="n">
        <v>4</v>
      </c>
      <c r="D522" s="29" t="inlineStr">
        <is>
          <t>IRIS2418</t>
        </is>
      </c>
      <c r="E522" s="29" t="inlineStr">
        <is>
          <t>Omkar Dhumal</t>
        </is>
      </c>
      <c r="F522" s="29" t="inlineStr">
        <is>
          <t>Software Engineer</t>
        </is>
      </c>
      <c r="G522" s="29" t="inlineStr">
        <is>
          <t>Senior UI Developer</t>
        </is>
      </c>
      <c r="H522" s="29" t="inlineStr">
        <is>
          <t>Engineering &amp; Development</t>
        </is>
      </c>
      <c r="I522" s="29" t="inlineStr">
        <is>
          <t>Front-End / UI Development</t>
        </is>
      </c>
      <c r="J522" s="29" t="inlineStr">
        <is>
          <t>IC</t>
        </is>
      </c>
      <c r="K522" s="29" t="inlineStr">
        <is>
          <t>RC-081</t>
        </is>
      </c>
      <c r="L522" s="29" t="inlineStr">
        <is>
          <t>Prachi Digambar Raut</t>
        </is>
      </c>
      <c r="M522" s="29" t="inlineStr">
        <is>
          <t>IRIS2434</t>
        </is>
      </c>
      <c r="N522" s="29" t="n">
        <v>3.3</v>
      </c>
      <c r="O522" s="29" t="n">
        <v>1.1</v>
      </c>
      <c r="P522" s="29" t="inlineStr">
        <is>
          <t>M.Sc</t>
        </is>
      </c>
      <c r="Q522" s="29" t="inlineStr">
        <is>
          <t>L3 – Professional / Associate</t>
        </is>
      </c>
      <c r="R522" s="29" t="inlineStr">
        <is>
          <t>A3</t>
        </is>
      </c>
      <c r="S522" s="30" t="inlineStr">
        <is>
          <t>20 of 20</t>
        </is>
      </c>
      <c r="T522" s="31" t="inlineStr">
        <is>
          <t>• Role / sub-team: Technology — Software Engineer.
• Core purpose: Input not given by Participant.
• Decision-making autonomy: Input not given by Participant.
• Is this something only they do: Input not given by Participant.</t>
        </is>
      </c>
      <c r="U522" s="31" t="inlineStr">
        <is>
          <t>Received · manager annual · 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t>
        </is>
      </c>
      <c r="V522" s="31" t="inlineStr">
        <is>
          <t>Latest rating: Not rated · manager · 9-box: Reliable Specialist · Readiness: No rating data</t>
        </is>
      </c>
      <c r="W522" s="31" t="inlineStr">
        <is>
          <t>C M · Au L · Ac L · L L · BI L · Exp M · 3.3 yrs vs 2–4 yrs · Edu H · M.Sc</t>
        </is>
      </c>
      <c r="X522" s="33" t="inlineStr">
        <is>
          <t>Open ▸</t>
        </is>
      </c>
      <c r="Y522" s="34" t="str">
        <f>IFERROR(INDEX(DL_C,MATCH($CA522,DL_KEY,0)),"M")</f>
        <v>H</v>
      </c>
      <c r="Z522" s="35" t="str">
        <f>IFERROR(INDEX(DL_Au,MATCH($CA522,DL_KEY,0)),"M")</f>
        <v>M</v>
      </c>
      <c r="AA522" s="35" t="str">
        <f>IFERROR(INDEX(DL_Ac,MATCH($CA522,DL_KEY,0)),"M")</f>
        <v>L</v>
      </c>
      <c r="AB522" s="35" t="str">
        <f>IFERROR(INDEX(DL_L,MATCH($CA522,DL_KEY,0)),"M")</f>
        <v>L</v>
      </c>
      <c r="AC522" s="35" t="str">
        <f>IFERROR(INDEX(DL_BI,MATCH($CA522,DL_KEY,0)),"M")</f>
        <v>L</v>
      </c>
      <c r="AD522" s="35" t="str">
        <f>IFERROR(INDEX(DL_Exp,MATCH($CA522,DL_KEY,0)),"M")</f>
        <v>L</v>
      </c>
      <c r="AE522" s="35" t="str">
        <f>IFERROR(INDEX(DL_Edu,MATCH($CA522,DL_KEY,0)),"M")</f>
        <v>L</v>
      </c>
      <c r="AF522" s="34" t="inlineStr">
        <is>
          <t>M</t>
        </is>
      </c>
      <c r="AG522" s="35" t="inlineStr">
        <is>
          <t>M</t>
        </is>
      </c>
      <c r="AH522" s="35" t="inlineStr">
        <is>
          <t>M</t>
        </is>
      </c>
      <c r="AI522" s="35" t="inlineStr">
        <is>
          <t>M</t>
        </is>
      </c>
      <c r="AJ522" s="35" t="inlineStr">
        <is>
          <t>M</t>
        </is>
      </c>
      <c r="AK522" s="35" t="inlineStr">
        <is>
          <t>M</t>
        </is>
      </c>
      <c r="AL522" s="35" t="inlineStr">
        <is>
          <t>M</t>
        </is>
      </c>
      <c r="AM522" s="36" t="n">
        <v>0.583</v>
      </c>
      <c r="AN522" s="37" t="n">
        <v>0.16</v>
      </c>
      <c r="AO522" s="37" t="n">
        <v>0.09</v>
      </c>
      <c r="AP522" s="37" t="n">
        <v>0</v>
      </c>
      <c r="AQ522" s="37" t="n">
        <v>0.063</v>
      </c>
      <c r="AR522" s="37" t="n">
        <v>0.06</v>
      </c>
      <c r="AS522" s="37" t="n">
        <v>0.04</v>
      </c>
      <c r="AT522" s="38" t="inlineStr">
        <is>
          <t>2–5</t>
        </is>
      </c>
      <c r="AU522" s="38" t="inlineStr">
        <is>
          <t>Graduate; relevant certification preferred</t>
        </is>
      </c>
      <c r="AV522" s="38" t="inlineStr">
        <is>
          <t>None · guides 1–3 juniors informally</t>
        </is>
      </c>
      <c r="AW522" s="38" t="inlineStr">
        <is>
          <t>P2 · SFIA 3 Apply</t>
        </is>
      </c>
      <c r="AX5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2" s="39" t="inlineStr">
        <is>
          <t>A3</t>
        </is>
      </c>
      <c r="AZ522" s="40" t="inlineStr">
        <is>
          <t>Band A · Practitioner · Senior Associate</t>
        </is>
      </c>
      <c r="BA522" s="40" t="inlineStr">
        <is>
          <t>Model A3 from the six ratings, the market-derived weights and rules R1–R13 · then No change · already below the manager</t>
        </is>
      </c>
      <c r="BB522" s="41" t="inlineStr">
        <is>
          <t>A2</t>
        </is>
      </c>
      <c r="BC522" s="40" t="inlineStr">
        <is>
          <t>The six ratings on the market-average weights of Band A · all tracks score 2.44 → A2 · Hay, Mercer IPE and public plans · experience 3.3 yrs vs the A2 market range 0–3</t>
        </is>
      </c>
      <c r="BD522" s="42">
        <f>IF(SUM(BM522,BN522,BO522,BP522,BQ522,BR522,BS522)=0,0,(BM522*BT522+BN522*BU522+BO522*BV522+BP522*BW522+BQ522*BX522+BR522*BY522+BS522*BZ522)/SUM(BM522,BN522,BO522,BP522,BQ522,BR522,BS522))</f>
        <v>0</v>
      </c>
      <c r="BE522" s="41" t="str">
        <f>IF(LEFT(AY522,1)="X",AY522,IF(OR(AY522="B+",AY522="C+"),INDEX(LAD_PC,MAX(1,MIN(14,MATCH(AY522,LAD_PC,0)+IF(BD522&gt;=0.5,1,IF(BD522&lt;=-0.5,-1,0))))),INDEX(LAD_STD,MAX(1,MIN(12,MATCH(AY522,LAD_STD,0)+IF(BD522&gt;=0.5,1,IF(BD522&lt;=-0.5,-1,0)))))))</f>
        <v>A3</v>
      </c>
      <c r="BF522" s="43" t="n"/>
      <c r="BG522" s="41" t="str">
        <f>IF(BF522&lt;&gt;"",BF522,BE522)</f>
        <v>A3</v>
      </c>
      <c r="BH522" s="40" t="str">
        <f>IFERROR(CHOOSE(INDEX(B_RANK,MATCH(BG522,B_LVL,0)),"Band A","Band B","B+ · Player-Coach","Band C","C+ · Player-Coach","Band D","Band E"),"Band X · Consultant")</f>
        <v>Band A</v>
      </c>
      <c r="BI522" s="40" t="str">
        <f>IF(BG522=AY522,"• Same",IF(INDEX(B_VAL,MATCH(BG522,B_LVL,0))&gt;INDEX(B_VAL,MATCH(AY522,B_LVL,0)),"▲ Up","▼ Down"))</f>
        <v>• Same</v>
      </c>
      <c r="BJ522" s="40" t="str">
        <f>IF(OR($M522="",$M522="—",$M522="Not in this file"),"",IFERROR(INDEX($BG$7:$BG$592,MATCH($M522,$D$7:$D$592,0)),""))</f>
        <v>B1</v>
      </c>
      <c r="BK522" s="40" t="str">
        <f>IFERROR(IF(BJ522="","—",IF(OR(LEFT(BG522,1)="X",LEFT(BJ522,1)="X"),"—",IF(AND(LEFT(BG522,1)="E",LEFT(BJ522,1)="E"),"Exception · Band E",IF(AND(INDEX(B_VAL,MATCH(BJ522,B_LVL,0))&gt;=7,INDEX(B_RANK,MATCH(BG522,B_LVL,0))&gt;=INDEX(B_RANK,MATCH(BJ522,B_LVL,0))),"⚠ Same band as a head manager",IF(INDEX(B_VAL,MATCH(BG522,B_LVL,0))&gt;=INDEX(B_VAL,MATCH(BJ522,B_LVL,0)),"⚠ At or above the manager's level","OK"))))),"—")</f>
        <v>OK</v>
      </c>
      <c r="BL522" s="43" t="n"/>
      <c r="BM522" s="44">
        <f>IFERROR(INDEX(LMH_PTS,MATCH(Y522,LMH_KEY,0)),0)</f>
        <v>9</v>
      </c>
      <c r="BN522" s="38">
        <f>IFERROR(INDEX(LMH_PTS,MATCH(Z522,LMH_KEY,0)),0)</f>
        <v>3</v>
      </c>
      <c r="BO522" s="38">
        <f>IFERROR(INDEX(LMH_PTS,MATCH(AA522,LMH_KEY,0)),0)</f>
        <v>1</v>
      </c>
      <c r="BP522" s="38">
        <f>IFERROR(INDEX(LMH_PTS,MATCH(AB522,LMH_KEY,0)),0)</f>
        <v>1</v>
      </c>
      <c r="BQ522" s="38">
        <f>IFERROR(INDEX(LMH_PTS,MATCH(AC522,LMH_KEY,0)),0)</f>
        <v>1</v>
      </c>
      <c r="BR522" s="38">
        <f>IFERROR(INDEX(LMH_PTS,MATCH(AD522,LMH_KEY,0)),0)</f>
        <v>1</v>
      </c>
      <c r="BS522" s="38">
        <f>IFERROR(INDEX(LMH_PTS,MATCH(AE522,LMH_KEY,0)),0)</f>
        <v>1</v>
      </c>
      <c r="BT522" s="38">
        <f>IFERROR(INDEX(LMH_STEP,MATCH(AF522,LMH_KEY,0)),0)</f>
        <v>0</v>
      </c>
      <c r="BU522" s="38">
        <f>IFERROR(INDEX(LMH_STEP,MATCH(AG522,LMH_KEY,0)),0)</f>
        <v>0</v>
      </c>
      <c r="BV522" s="38">
        <f>IFERROR(INDEX(LMH_STEP,MATCH(AH522,LMH_KEY,0)),0)</f>
        <v>0</v>
      </c>
      <c r="BW522" s="38">
        <f>IFERROR(INDEX(LMH_STEP,MATCH(AI522,LMH_KEY,0)),0)</f>
        <v>0</v>
      </c>
      <c r="BX522" s="38">
        <f>IFERROR(INDEX(LMH_STEP,MATCH(AJ522,LMH_KEY,0)),0)</f>
        <v>0</v>
      </c>
      <c r="BY522" s="38">
        <f>IFERROR(INDEX(LMH_STEP,MATCH(AK522,LMH_KEY,0)),0)</f>
        <v>0</v>
      </c>
      <c r="BZ522" s="38">
        <f>IFERROR(INDEX(LMH_STEP,MATCH(AL522,LMH_KEY,0)),0)</f>
        <v>0</v>
      </c>
      <c r="CA522" s="38" t="inlineStr">
        <is>
          <t>CARBON|Technology|Senior UI Developer|A3|A</t>
        </is>
      </c>
    </row>
    <row r="523" ht="110" customHeight="1">
      <c r="A523" s="28" t="inlineStr">
        <is>
          <t>CARBON</t>
        </is>
      </c>
      <c r="B523" s="29" t="inlineStr">
        <is>
          <t>Technology</t>
        </is>
      </c>
      <c r="C523" s="29" t="n">
        <v>4</v>
      </c>
      <c r="D523" s="29" t="inlineStr">
        <is>
          <t>IRIS2375</t>
        </is>
      </c>
      <c r="E523" s="29" t="inlineStr">
        <is>
          <t>Shubham Baban Jagtap</t>
        </is>
      </c>
      <c r="F523" s="29" t="inlineStr">
        <is>
          <t>Software Engineer</t>
        </is>
      </c>
      <c r="G523" s="29" t="inlineStr">
        <is>
          <t>Senior UI Developer</t>
        </is>
      </c>
      <c r="H523" s="29" t="inlineStr">
        <is>
          <t>Engineering &amp; Development</t>
        </is>
      </c>
      <c r="I523" s="29" t="inlineStr">
        <is>
          <t>Front-End / UI Development</t>
        </is>
      </c>
      <c r="J523" s="29" t="inlineStr">
        <is>
          <t>IC</t>
        </is>
      </c>
      <c r="K523" s="29" t="inlineStr">
        <is>
          <t>RC-081</t>
        </is>
      </c>
      <c r="L523" s="29" t="inlineStr">
        <is>
          <t>Prachi Digambar Raut</t>
        </is>
      </c>
      <c r="M523" s="29" t="inlineStr">
        <is>
          <t>IRIS2434</t>
        </is>
      </c>
      <c r="N523" s="29" t="n">
        <v>5.1</v>
      </c>
      <c r="O523" s="29" t="n">
        <v>1.4</v>
      </c>
      <c r="P523" s="29" t="inlineStr">
        <is>
          <t>B.E</t>
        </is>
      </c>
      <c r="Q523" s="29" t="inlineStr">
        <is>
          <t>L3 – Professional / Associate</t>
        </is>
      </c>
      <c r="R523" s="29" t="inlineStr">
        <is>
          <t>A3</t>
        </is>
      </c>
      <c r="S523" s="30" t="inlineStr">
        <is>
          <t>19 of 20</t>
        </is>
      </c>
      <c r="T523" s="31" t="inlineStr">
        <is>
          <t>Here my role is a software engineer basically a full stack development; shared reusable component</t>
        </is>
      </c>
      <c r="U523" s="31" t="inlineStr">
        <is>
          <t>Received · manager annual · 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t>
        </is>
      </c>
      <c r="V523" s="31" t="inlineStr">
        <is>
          <t>Latest rating: Not rated · manager · 9-box: Future Leader · Readiness: No rating data</t>
        </is>
      </c>
      <c r="W523" s="31" t="inlineStr">
        <is>
          <t>C M · Au L · Ac M · L L · BI M · Exp H · 5.1 yrs vs 2–4 yrs · Edu M · B.E</t>
        </is>
      </c>
      <c r="X523" s="33" t="inlineStr">
        <is>
          <t>Open ▸</t>
        </is>
      </c>
      <c r="Y523" s="34" t="str">
        <f>IFERROR(INDEX(DL_C,MATCH($CA523,DL_KEY,0)),"M")</f>
        <v>H</v>
      </c>
      <c r="Z523" s="35" t="str">
        <f>IFERROR(INDEX(DL_Au,MATCH($CA523,DL_KEY,0)),"M")</f>
        <v>M</v>
      </c>
      <c r="AA523" s="35" t="str">
        <f>IFERROR(INDEX(DL_Ac,MATCH($CA523,DL_KEY,0)),"M")</f>
        <v>L</v>
      </c>
      <c r="AB523" s="35" t="str">
        <f>IFERROR(INDEX(DL_L,MATCH($CA523,DL_KEY,0)),"M")</f>
        <v>L</v>
      </c>
      <c r="AC523" s="35" t="str">
        <f>IFERROR(INDEX(DL_BI,MATCH($CA523,DL_KEY,0)),"M")</f>
        <v>L</v>
      </c>
      <c r="AD523" s="35" t="str">
        <f>IFERROR(INDEX(DL_Exp,MATCH($CA523,DL_KEY,0)),"M")</f>
        <v>L</v>
      </c>
      <c r="AE523" s="35" t="str">
        <f>IFERROR(INDEX(DL_Edu,MATCH($CA523,DL_KEY,0)),"M")</f>
        <v>L</v>
      </c>
      <c r="AF523" s="34" t="inlineStr">
        <is>
          <t>M</t>
        </is>
      </c>
      <c r="AG523" s="35" t="inlineStr">
        <is>
          <t>M</t>
        </is>
      </c>
      <c r="AH523" s="35" t="inlineStr">
        <is>
          <t>M</t>
        </is>
      </c>
      <c r="AI523" s="35" t="inlineStr">
        <is>
          <t>M</t>
        </is>
      </c>
      <c r="AJ523" s="35" t="inlineStr">
        <is>
          <t>M</t>
        </is>
      </c>
      <c r="AK523" s="35" t="inlineStr">
        <is>
          <t>M</t>
        </is>
      </c>
      <c r="AL523" s="35" t="inlineStr">
        <is>
          <t>M</t>
        </is>
      </c>
      <c r="AM523" s="36" t="n">
        <v>0.583</v>
      </c>
      <c r="AN523" s="37" t="n">
        <v>0.16</v>
      </c>
      <c r="AO523" s="37" t="n">
        <v>0.09</v>
      </c>
      <c r="AP523" s="37" t="n">
        <v>0</v>
      </c>
      <c r="AQ523" s="37" t="n">
        <v>0.063</v>
      </c>
      <c r="AR523" s="37" t="n">
        <v>0.06</v>
      </c>
      <c r="AS523" s="37" t="n">
        <v>0.04</v>
      </c>
      <c r="AT523" s="38" t="inlineStr">
        <is>
          <t>2–5</t>
        </is>
      </c>
      <c r="AU523" s="38" t="inlineStr">
        <is>
          <t>Graduate; relevant certification preferred</t>
        </is>
      </c>
      <c r="AV523" s="38" t="inlineStr">
        <is>
          <t>None · guides 1–3 juniors informally</t>
        </is>
      </c>
      <c r="AW523" s="38" t="inlineStr">
        <is>
          <t>P2 · SFIA 3 Apply</t>
        </is>
      </c>
      <c r="AX5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3" s="39" t="inlineStr">
        <is>
          <t>A3</t>
        </is>
      </c>
      <c r="AZ523" s="40" t="inlineStr">
        <is>
          <t>Band A · Practitioner · Senior Associate</t>
        </is>
      </c>
      <c r="BA523" s="40" t="inlineStr">
        <is>
          <t>Model A3 from the six ratings, the market-derived weights and rules R1–R13 · then No change · already below the manager</t>
        </is>
      </c>
      <c r="BB523" s="41" t="inlineStr">
        <is>
          <t>A3</t>
        </is>
      </c>
      <c r="BC523" s="40" t="inlineStr">
        <is>
          <t>The six ratings on the market-average weights of Band A · all tracks score 2.57 → A3 · Hay, Mercer IPE and public plans · experience 5.1 yrs vs the A3 market range 2–5</t>
        </is>
      </c>
      <c r="BD523" s="42">
        <f>IF(SUM(BM523,BN523,BO523,BP523,BQ523,BR523,BS523)=0,0,(BM523*BT523+BN523*BU523+BO523*BV523+BP523*BW523+BQ523*BX523+BR523*BY523+BS523*BZ523)/SUM(BM523,BN523,BO523,BP523,BQ523,BR523,BS523))</f>
        <v>0</v>
      </c>
      <c r="BE523" s="41" t="str">
        <f>IF(LEFT(AY523,1)="X",AY523,IF(OR(AY523="B+",AY523="C+"),INDEX(LAD_PC,MAX(1,MIN(14,MATCH(AY523,LAD_PC,0)+IF(BD523&gt;=0.5,1,IF(BD523&lt;=-0.5,-1,0))))),INDEX(LAD_STD,MAX(1,MIN(12,MATCH(AY523,LAD_STD,0)+IF(BD523&gt;=0.5,1,IF(BD523&lt;=-0.5,-1,0)))))))</f>
        <v>A3</v>
      </c>
      <c r="BF523" s="43" t="n"/>
      <c r="BG523" s="41" t="str">
        <f>IF(BF523&lt;&gt;"",BF523,BE523)</f>
        <v>A3</v>
      </c>
      <c r="BH523" s="40" t="str">
        <f>IFERROR(CHOOSE(INDEX(B_RANK,MATCH(BG523,B_LVL,0)),"Band A","Band B","B+ · Player-Coach","Band C","C+ · Player-Coach","Band D","Band E"),"Band X · Consultant")</f>
        <v>Band A</v>
      </c>
      <c r="BI523" s="40" t="str">
        <f>IF(BG523=AY523,"• Same",IF(INDEX(B_VAL,MATCH(BG523,B_LVL,0))&gt;INDEX(B_VAL,MATCH(AY523,B_LVL,0)),"▲ Up","▼ Down"))</f>
        <v>• Same</v>
      </c>
      <c r="BJ523" s="40" t="str">
        <f>IF(OR($M523="",$M523="—",$M523="Not in this file"),"",IFERROR(INDEX($BG$7:$BG$592,MATCH($M523,$D$7:$D$592,0)),""))</f>
        <v>B1</v>
      </c>
      <c r="BK523" s="40" t="str">
        <f>IFERROR(IF(BJ523="","—",IF(OR(LEFT(BG523,1)="X",LEFT(BJ523,1)="X"),"—",IF(AND(LEFT(BG523,1)="E",LEFT(BJ523,1)="E"),"Exception · Band E",IF(AND(INDEX(B_VAL,MATCH(BJ523,B_LVL,0))&gt;=7,INDEX(B_RANK,MATCH(BG523,B_LVL,0))&gt;=INDEX(B_RANK,MATCH(BJ523,B_LVL,0))),"⚠ Same band as a head manager",IF(INDEX(B_VAL,MATCH(BG523,B_LVL,0))&gt;=INDEX(B_VAL,MATCH(BJ523,B_LVL,0)),"⚠ At or above the manager's level","OK"))))),"—")</f>
        <v>OK</v>
      </c>
      <c r="BL523" s="43" t="n"/>
      <c r="BM523" s="44">
        <f>IFERROR(INDEX(LMH_PTS,MATCH(Y523,LMH_KEY,0)),0)</f>
        <v>9</v>
      </c>
      <c r="BN523" s="38">
        <f>IFERROR(INDEX(LMH_PTS,MATCH(Z523,LMH_KEY,0)),0)</f>
        <v>3</v>
      </c>
      <c r="BO523" s="38">
        <f>IFERROR(INDEX(LMH_PTS,MATCH(AA523,LMH_KEY,0)),0)</f>
        <v>1</v>
      </c>
      <c r="BP523" s="38">
        <f>IFERROR(INDEX(LMH_PTS,MATCH(AB523,LMH_KEY,0)),0)</f>
        <v>1</v>
      </c>
      <c r="BQ523" s="38">
        <f>IFERROR(INDEX(LMH_PTS,MATCH(AC523,LMH_KEY,0)),0)</f>
        <v>1</v>
      </c>
      <c r="BR523" s="38">
        <f>IFERROR(INDEX(LMH_PTS,MATCH(AD523,LMH_KEY,0)),0)</f>
        <v>1</v>
      </c>
      <c r="BS523" s="38">
        <f>IFERROR(INDEX(LMH_PTS,MATCH(AE523,LMH_KEY,0)),0)</f>
        <v>1</v>
      </c>
      <c r="BT523" s="38">
        <f>IFERROR(INDEX(LMH_STEP,MATCH(AF523,LMH_KEY,0)),0)</f>
        <v>0</v>
      </c>
      <c r="BU523" s="38">
        <f>IFERROR(INDEX(LMH_STEP,MATCH(AG523,LMH_KEY,0)),0)</f>
        <v>0</v>
      </c>
      <c r="BV523" s="38">
        <f>IFERROR(INDEX(LMH_STEP,MATCH(AH523,LMH_KEY,0)),0)</f>
        <v>0</v>
      </c>
      <c r="BW523" s="38">
        <f>IFERROR(INDEX(LMH_STEP,MATCH(AI523,LMH_KEY,0)),0)</f>
        <v>0</v>
      </c>
      <c r="BX523" s="38">
        <f>IFERROR(INDEX(LMH_STEP,MATCH(AJ523,LMH_KEY,0)),0)</f>
        <v>0</v>
      </c>
      <c r="BY523" s="38">
        <f>IFERROR(INDEX(LMH_STEP,MATCH(AK523,LMH_KEY,0)),0)</f>
        <v>0</v>
      </c>
      <c r="BZ523" s="38">
        <f>IFERROR(INDEX(LMH_STEP,MATCH(AL523,LMH_KEY,0)),0)</f>
        <v>0</v>
      </c>
      <c r="CA523" s="38" t="inlineStr">
        <is>
          <t>CARBON|Technology|Senior UI Developer|A3|A</t>
        </is>
      </c>
    </row>
    <row r="524" ht="110" customHeight="1">
      <c r="A524" s="28" t="inlineStr">
        <is>
          <t>CARBON</t>
        </is>
      </c>
      <c r="B524" s="29" t="inlineStr">
        <is>
          <t>Technology</t>
        </is>
      </c>
      <c r="C524" s="29" t="n">
        <v>3</v>
      </c>
      <c r="D524" s="29" t="inlineStr">
        <is>
          <t>IRIS1797</t>
        </is>
      </c>
      <c r="E524" s="29" t="inlineStr">
        <is>
          <t>Rahul Mejari</t>
        </is>
      </c>
      <c r="F524" s="29" t="inlineStr">
        <is>
          <t>Senior UI Developer</t>
        </is>
      </c>
      <c r="G524" s="29" t="inlineStr">
        <is>
          <t>Senior UI Developer</t>
        </is>
      </c>
      <c r="H524" s="29" t="inlineStr">
        <is>
          <t>Engineering &amp; Development</t>
        </is>
      </c>
      <c r="I524" s="29" t="inlineStr">
        <is>
          <t>Front-End / UI Development</t>
        </is>
      </c>
      <c r="J524" s="29" t="inlineStr">
        <is>
          <t>IC</t>
        </is>
      </c>
      <c r="K524" s="29" t="inlineStr">
        <is>
          <t>RC-081</t>
        </is>
      </c>
      <c r="L524" s="29" t="inlineStr">
        <is>
          <t>Sarfaraz Badi</t>
        </is>
      </c>
      <c r="M524" s="29" t="inlineStr">
        <is>
          <t>IRIS1986</t>
        </is>
      </c>
      <c r="N524" s="29" t="n">
        <v>14</v>
      </c>
      <c r="O524" s="29" t="n">
        <v>7.2</v>
      </c>
      <c r="P524" s="29" t="inlineStr">
        <is>
          <t>B.E</t>
        </is>
      </c>
      <c r="Q524" s="29" t="inlineStr">
        <is>
          <t>L4 – Senior</t>
        </is>
      </c>
      <c r="R524" s="29" t="inlineStr">
        <is>
          <t>A3</t>
        </is>
      </c>
      <c r="S524" s="30" t="inlineStr">
        <is>
          <t>20 of 20</t>
        </is>
      </c>
      <c r="T524" s="31" t="inlineStr">
        <is>
          <t>The core purpose of my role is to translate business and user requirements into scalable, high-quality, and user-friendly frontend solutions.; Decide code approach</t>
        </is>
      </c>
      <c r="U524" s="31" t="inlineStr">
        <is>
          <t>Received · manager annual · 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t>
        </is>
      </c>
      <c r="V524" s="31" t="inlineStr">
        <is>
          <t>Latest rating: Not rated · manager · 9-box: Underperformer / Exit Risk · Readiness: No rating data</t>
        </is>
      </c>
      <c r="W524" s="31" t="inlineStr">
        <is>
          <t>C M · Au M · Ac M · L L · BI M · Exp H · 14 yrs vs 2–4 yrs · Edu M · B.E</t>
        </is>
      </c>
      <c r="X524" s="33" t="inlineStr">
        <is>
          <t>Open ▸</t>
        </is>
      </c>
      <c r="Y524" s="34" t="str">
        <f>IFERROR(INDEX(DL_C,MATCH($CA524,DL_KEY,0)),"M")</f>
        <v>H</v>
      </c>
      <c r="Z524" s="35" t="str">
        <f>IFERROR(INDEX(DL_Au,MATCH($CA524,DL_KEY,0)),"M")</f>
        <v>M</v>
      </c>
      <c r="AA524" s="35" t="str">
        <f>IFERROR(INDEX(DL_Ac,MATCH($CA524,DL_KEY,0)),"M")</f>
        <v>L</v>
      </c>
      <c r="AB524" s="35" t="str">
        <f>IFERROR(INDEX(DL_L,MATCH($CA524,DL_KEY,0)),"M")</f>
        <v>L</v>
      </c>
      <c r="AC524" s="35" t="str">
        <f>IFERROR(INDEX(DL_BI,MATCH($CA524,DL_KEY,0)),"M")</f>
        <v>L</v>
      </c>
      <c r="AD524" s="35" t="str">
        <f>IFERROR(INDEX(DL_Exp,MATCH($CA524,DL_KEY,0)),"M")</f>
        <v>L</v>
      </c>
      <c r="AE524" s="35" t="str">
        <f>IFERROR(INDEX(DL_Edu,MATCH($CA524,DL_KEY,0)),"M")</f>
        <v>L</v>
      </c>
      <c r="AF524" s="34" t="inlineStr">
        <is>
          <t>M</t>
        </is>
      </c>
      <c r="AG524" s="35" t="inlineStr">
        <is>
          <t>M</t>
        </is>
      </c>
      <c r="AH524" s="35" t="inlineStr">
        <is>
          <t>M</t>
        </is>
      </c>
      <c r="AI524" s="35" t="inlineStr">
        <is>
          <t>M</t>
        </is>
      </c>
      <c r="AJ524" s="35" t="inlineStr">
        <is>
          <t>M</t>
        </is>
      </c>
      <c r="AK524" s="35" t="inlineStr">
        <is>
          <t>M</t>
        </is>
      </c>
      <c r="AL524" s="35" t="inlineStr">
        <is>
          <t>M</t>
        </is>
      </c>
      <c r="AM524" s="36" t="n">
        <v>0.583</v>
      </c>
      <c r="AN524" s="37" t="n">
        <v>0.16</v>
      </c>
      <c r="AO524" s="37" t="n">
        <v>0.09</v>
      </c>
      <c r="AP524" s="37" t="n">
        <v>0</v>
      </c>
      <c r="AQ524" s="37" t="n">
        <v>0.063</v>
      </c>
      <c r="AR524" s="37" t="n">
        <v>0.06</v>
      </c>
      <c r="AS524" s="37" t="n">
        <v>0.04</v>
      </c>
      <c r="AT524" s="38" t="inlineStr">
        <is>
          <t>2–5</t>
        </is>
      </c>
      <c r="AU524" s="38" t="inlineStr">
        <is>
          <t>Graduate; relevant certification preferred</t>
        </is>
      </c>
      <c r="AV524" s="38" t="inlineStr">
        <is>
          <t>None · guides 1–3 juniors informally</t>
        </is>
      </c>
      <c r="AW524" s="38" t="inlineStr">
        <is>
          <t>P2 · SFIA 3 Apply</t>
        </is>
      </c>
      <c r="AX5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4" s="39" t="inlineStr">
        <is>
          <t>A3</t>
        </is>
      </c>
      <c r="AZ524" s="40" t="inlineStr">
        <is>
          <t>Band A · Practitioner · Senior Associate</t>
        </is>
      </c>
      <c r="BA524" s="40" t="inlineStr">
        <is>
          <t>Model A3 from the six ratings, the market-derived weights and rules R1–R13 · then No change · already below the manager</t>
        </is>
      </c>
      <c r="BB524" s="41" t="inlineStr">
        <is>
          <t>A3</t>
        </is>
      </c>
      <c r="BC524" s="40" t="inlineStr">
        <is>
          <t>The six ratings on the market-average weights of Band A · all tracks score 3.05 → A3 · Hay, Mercer IPE and public plans · experience 14 yrs vs the A3 market range 2–5</t>
        </is>
      </c>
      <c r="BD524" s="42">
        <f>IF(SUM(BM524,BN524,BO524,BP524,BQ524,BR524,BS524)=0,0,(BM524*BT524+BN524*BU524+BO524*BV524+BP524*BW524+BQ524*BX524+BR524*BY524+BS524*BZ524)/SUM(BM524,BN524,BO524,BP524,BQ524,BR524,BS524))</f>
        <v>0</v>
      </c>
      <c r="BE524" s="41" t="str">
        <f>IF(LEFT(AY524,1)="X",AY524,IF(OR(AY524="B+",AY524="C+"),INDEX(LAD_PC,MAX(1,MIN(14,MATCH(AY524,LAD_PC,0)+IF(BD524&gt;=0.5,1,IF(BD524&lt;=-0.5,-1,0))))),INDEX(LAD_STD,MAX(1,MIN(12,MATCH(AY524,LAD_STD,0)+IF(BD524&gt;=0.5,1,IF(BD524&lt;=-0.5,-1,0)))))))</f>
        <v>A3</v>
      </c>
      <c r="BF524" s="43" t="n"/>
      <c r="BG524" s="41" t="str">
        <f>IF(BF524&lt;&gt;"",BF524,BE524)</f>
        <v>A3</v>
      </c>
      <c r="BH524" s="40" t="str">
        <f>IFERROR(CHOOSE(INDEX(B_RANK,MATCH(BG524,B_LVL,0)),"Band A","Band B","B+ · Player-Coach","Band C","C+ · Player-Coach","Band D","Band E"),"Band X · Consultant")</f>
        <v>Band A</v>
      </c>
      <c r="BI524" s="40" t="str">
        <f>IF(BG524=AY524,"• Same",IF(INDEX(B_VAL,MATCH(BG524,B_LVL,0))&gt;INDEX(B_VAL,MATCH(AY524,B_LVL,0)),"▲ Up","▼ Down"))</f>
        <v>• Same</v>
      </c>
      <c r="BJ524" s="40" t="str">
        <f>IF(OR($M524="",$M524="—",$M524="Not in this file"),"",IFERROR(INDEX($BG$7:$BG$592,MATCH($M524,$D$7:$D$592,0)),""))</f>
        <v>B2</v>
      </c>
      <c r="BK524" s="40" t="str">
        <f>IFERROR(IF(BJ524="","—",IF(OR(LEFT(BG524,1)="X",LEFT(BJ524,1)="X"),"—",IF(AND(LEFT(BG524,1)="E",LEFT(BJ524,1)="E"),"Exception · Band E",IF(AND(INDEX(B_VAL,MATCH(BJ524,B_LVL,0))&gt;=7,INDEX(B_RANK,MATCH(BG524,B_LVL,0))&gt;=INDEX(B_RANK,MATCH(BJ524,B_LVL,0))),"⚠ Same band as a head manager",IF(INDEX(B_VAL,MATCH(BG524,B_LVL,0))&gt;=INDEX(B_VAL,MATCH(BJ524,B_LVL,0)),"⚠ At or above the manager's level","OK"))))),"—")</f>
        <v>OK</v>
      </c>
      <c r="BL524" s="43" t="n"/>
      <c r="BM524" s="44">
        <f>IFERROR(INDEX(LMH_PTS,MATCH(Y524,LMH_KEY,0)),0)</f>
        <v>9</v>
      </c>
      <c r="BN524" s="38">
        <f>IFERROR(INDEX(LMH_PTS,MATCH(Z524,LMH_KEY,0)),0)</f>
        <v>3</v>
      </c>
      <c r="BO524" s="38">
        <f>IFERROR(INDEX(LMH_PTS,MATCH(AA524,LMH_KEY,0)),0)</f>
        <v>1</v>
      </c>
      <c r="BP524" s="38">
        <f>IFERROR(INDEX(LMH_PTS,MATCH(AB524,LMH_KEY,0)),0)</f>
        <v>1</v>
      </c>
      <c r="BQ524" s="38">
        <f>IFERROR(INDEX(LMH_PTS,MATCH(AC524,LMH_KEY,0)),0)</f>
        <v>1</v>
      </c>
      <c r="BR524" s="38">
        <f>IFERROR(INDEX(LMH_PTS,MATCH(AD524,LMH_KEY,0)),0)</f>
        <v>1</v>
      </c>
      <c r="BS524" s="38">
        <f>IFERROR(INDEX(LMH_PTS,MATCH(AE524,LMH_KEY,0)),0)</f>
        <v>1</v>
      </c>
      <c r="BT524" s="38">
        <f>IFERROR(INDEX(LMH_STEP,MATCH(AF524,LMH_KEY,0)),0)</f>
        <v>0</v>
      </c>
      <c r="BU524" s="38">
        <f>IFERROR(INDEX(LMH_STEP,MATCH(AG524,LMH_KEY,0)),0)</f>
        <v>0</v>
      </c>
      <c r="BV524" s="38">
        <f>IFERROR(INDEX(LMH_STEP,MATCH(AH524,LMH_KEY,0)),0)</f>
        <v>0</v>
      </c>
      <c r="BW524" s="38">
        <f>IFERROR(INDEX(LMH_STEP,MATCH(AI524,LMH_KEY,0)),0)</f>
        <v>0</v>
      </c>
      <c r="BX524" s="38">
        <f>IFERROR(INDEX(LMH_STEP,MATCH(AJ524,LMH_KEY,0)),0)</f>
        <v>0</v>
      </c>
      <c r="BY524" s="38">
        <f>IFERROR(INDEX(LMH_STEP,MATCH(AK524,LMH_KEY,0)),0)</f>
        <v>0</v>
      </c>
      <c r="BZ524" s="38">
        <f>IFERROR(INDEX(LMH_STEP,MATCH(AL524,LMH_KEY,0)),0)</f>
        <v>0</v>
      </c>
      <c r="CA524" s="38" t="inlineStr">
        <is>
          <t>CARBON|Technology|Senior UI Developer|A3|A</t>
        </is>
      </c>
    </row>
    <row r="525" ht="110" customHeight="1">
      <c r="A525" s="28" t="inlineStr">
        <is>
          <t>CARBON</t>
        </is>
      </c>
      <c r="B525" s="29" t="inlineStr">
        <is>
          <t>Technology</t>
        </is>
      </c>
      <c r="C525" s="29" t="n">
        <v>2</v>
      </c>
      <c r="D525" s="29" t="inlineStr">
        <is>
          <t>IRIS1535</t>
        </is>
      </c>
      <c r="E525" s="29" t="inlineStr">
        <is>
          <t>Siddhesh Kadam</t>
        </is>
      </c>
      <c r="F525" s="29" t="inlineStr">
        <is>
          <t>Senior Software Engineer</t>
        </is>
      </c>
      <c r="G525" s="29" t="inlineStr">
        <is>
          <t>Senior Technical Specialist – POD Lead</t>
        </is>
      </c>
      <c r="H525" s="29" t="inlineStr">
        <is>
          <t>Engineering &amp; Development</t>
        </is>
      </c>
      <c r="I525" s="29" t="inlineStr">
        <is>
          <t>Backend Development</t>
        </is>
      </c>
      <c r="J525" s="29" t="inlineStr">
        <is>
          <t>POD Lead</t>
        </is>
      </c>
      <c r="K525" s="29" t="inlineStr">
        <is>
          <t>RC-069</t>
        </is>
      </c>
      <c r="L525" s="29" t="inlineStr">
        <is>
          <t>Ashish Singhvi</t>
        </is>
      </c>
      <c r="M525" s="29" t="inlineStr">
        <is>
          <t>IRIS0249</t>
        </is>
      </c>
      <c r="N525" s="29" t="n">
        <v>11.4</v>
      </c>
      <c r="O525" s="29" t="n">
        <v>11.4</v>
      </c>
      <c r="P525" s="29" t="inlineStr">
        <is>
          <t>B.E</t>
        </is>
      </c>
      <c r="Q525" s="29" t="inlineStr">
        <is>
          <t>L4 – Senior</t>
        </is>
      </c>
      <c r="R525" s="29" t="inlineStr">
        <is>
          <t>B2</t>
        </is>
      </c>
      <c r="S525" s="30" t="inlineStr">
        <is>
          <t>20 of 20</t>
        </is>
      </c>
      <c r="T525" s="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t>
        </is>
      </c>
      <c r="U525" s="31" t="inlineStr">
        <is>
          <t>Received · manager annual · 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
        </is>
      </c>
      <c r="V525" s="31" t="inlineStr">
        <is>
          <t>Latest rating: Not rated · manager · 9-box: Not placed · manager · Readiness: No rating data</t>
        </is>
      </c>
      <c r="W525" s="31" t="inlineStr">
        <is>
          <t>C L · Au M · Ac H · L H · BI H · Exp H · 11.4 yrs vs 6–9 yrs · Edu M · B.E</t>
        </is>
      </c>
      <c r="X525" s="33" t="inlineStr">
        <is>
          <t>Open ▸</t>
        </is>
      </c>
      <c r="Y525" s="34" t="str">
        <f>IFERROR(INDEX(DL_C,MATCH($CA525,DL_KEY,0)),"M")</f>
        <v>H</v>
      </c>
      <c r="Z525" s="35" t="str">
        <f>IFERROR(INDEX(DL_Au,MATCH($CA525,DL_KEY,0)),"M")</f>
        <v>M</v>
      </c>
      <c r="AA525" s="35" t="str">
        <f>IFERROR(INDEX(DL_Ac,MATCH($CA525,DL_KEY,0)),"M")</f>
        <v>L</v>
      </c>
      <c r="AB525" s="35" t="str">
        <f>IFERROR(INDEX(DL_L,MATCH($CA525,DL_KEY,0)),"M")</f>
        <v>L</v>
      </c>
      <c r="AC525" s="35" t="str">
        <f>IFERROR(INDEX(DL_BI,MATCH($CA525,DL_KEY,0)),"M")</f>
        <v>L</v>
      </c>
      <c r="AD525" s="35" t="str">
        <f>IFERROR(INDEX(DL_Exp,MATCH($CA525,DL_KEY,0)),"M")</f>
        <v>L</v>
      </c>
      <c r="AE525" s="35" t="str">
        <f>IFERROR(INDEX(DL_Edu,MATCH($CA525,DL_KEY,0)),"M")</f>
        <v>L</v>
      </c>
      <c r="AF525" s="34" t="inlineStr">
        <is>
          <t>M</t>
        </is>
      </c>
      <c r="AG525" s="35" t="inlineStr">
        <is>
          <t>M</t>
        </is>
      </c>
      <c r="AH525" s="35" t="inlineStr">
        <is>
          <t>M</t>
        </is>
      </c>
      <c r="AI525" s="35" t="inlineStr">
        <is>
          <t>M</t>
        </is>
      </c>
      <c r="AJ525" s="35" t="inlineStr">
        <is>
          <t>M</t>
        </is>
      </c>
      <c r="AK525" s="35" t="inlineStr">
        <is>
          <t>M</t>
        </is>
      </c>
      <c r="AL525" s="35" t="inlineStr">
        <is>
          <t>M</t>
        </is>
      </c>
      <c r="AM525" s="36" t="n">
        <v>0.513</v>
      </c>
      <c r="AN525" s="37" t="n">
        <v>0.173</v>
      </c>
      <c r="AO525" s="37" t="n">
        <v>0.09699999999999999</v>
      </c>
      <c r="AP525" s="37" t="n">
        <v>0.05</v>
      </c>
      <c r="AQ525" s="37" t="n">
        <v>0.07000000000000001</v>
      </c>
      <c r="AR525" s="37" t="n">
        <v>0.06</v>
      </c>
      <c r="AS525" s="37" t="n">
        <v>0.04</v>
      </c>
      <c r="AT525" s="38" t="inlineStr">
        <is>
          <t>6–10</t>
        </is>
      </c>
      <c r="AU525" s="38" t="inlineStr">
        <is>
          <t>Graduate or postgraduate; professional qualification preferred</t>
        </is>
      </c>
      <c r="AV525" s="38" t="inlineStr">
        <is>
          <t>IC: none · People: 6–8 knowledge work, 8–12 standardised delivery</t>
        </is>
      </c>
      <c r="AW525" s="38" t="inlineStr">
        <is>
          <t>P4 / M3 · SFIA 4–5</t>
        </is>
      </c>
      <c r="AX5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5" s="39" t="inlineStr">
        <is>
          <t>B2</t>
        </is>
      </c>
      <c r="AZ525" s="40" t="inlineStr">
        <is>
          <t>Band B · Specialist / Manager · Manager</t>
        </is>
      </c>
      <c r="BA525" s="40" t="inlineStr">
        <is>
          <t>Model B2 from the six ratings, the market-derived weights and rules R1–R13 · then No change · already below the manager</t>
        </is>
      </c>
      <c r="BB525" s="41" t="inlineStr">
        <is>
          <t>B2</t>
        </is>
      </c>
      <c r="BC525" s="40" t="inlineStr">
        <is>
          <t>The six ratings on the market-average weights of Band B · Specialist / POD Lead score 4.85 → B2 · Hay, Mercer IPE and public plans · experience 11.4 yrs vs the B2 market range 6–10</t>
        </is>
      </c>
      <c r="BD525" s="42">
        <f>IF(SUM(BM525,BN525,BO525,BP525,BQ525,BR525,BS525)=0,0,(BM525*BT525+BN525*BU525+BO525*BV525+BP525*BW525+BQ525*BX525+BR525*BY525+BS525*BZ525)/SUM(BM525,BN525,BO525,BP525,BQ525,BR525,BS525))</f>
        <v>0</v>
      </c>
      <c r="BE525" s="41" t="str">
        <f>IF(LEFT(AY525,1)="X",AY525,IF(OR(AY525="B+",AY525="C+"),INDEX(LAD_PC,MAX(1,MIN(14,MATCH(AY525,LAD_PC,0)+IF(BD525&gt;=0.5,1,IF(BD525&lt;=-0.5,-1,0))))),INDEX(LAD_STD,MAX(1,MIN(12,MATCH(AY525,LAD_STD,0)+IF(BD525&gt;=0.5,1,IF(BD525&lt;=-0.5,-1,0)))))))</f>
        <v>B2</v>
      </c>
      <c r="BF525" s="43" t="n"/>
      <c r="BG525" s="41" t="str">
        <f>IF(BF525&lt;&gt;"",BF525,BE525)</f>
        <v>B2</v>
      </c>
      <c r="BH525" s="40" t="str">
        <f>IFERROR(CHOOSE(INDEX(B_RANK,MATCH(BG525,B_LVL,0)),"Band A","Band B","B+ · Player-Coach","Band C","C+ · Player-Coach","Band D","Band E"),"Band X · Consultant")</f>
        <v>Band B</v>
      </c>
      <c r="BI525" s="40" t="str">
        <f>IF(BG525=AY525,"• Same",IF(INDEX(B_VAL,MATCH(BG525,B_LVL,0))&gt;INDEX(B_VAL,MATCH(AY525,B_LVL,0)),"▲ Up","▼ Down"))</f>
        <v>• Same</v>
      </c>
      <c r="BJ525" s="40" t="str">
        <f>IF(OR($M525="",$M525="—",$M525="Not in this file"),"",IFERROR(INDEX($BG$7:$BG$592,MATCH($M525,$D$7:$D$592,0)),""))</f>
        <v>C2</v>
      </c>
      <c r="BK525" s="40" t="str">
        <f>IFERROR(IF(BJ525="","—",IF(OR(LEFT(BG525,1)="X",LEFT(BJ525,1)="X"),"—",IF(AND(LEFT(BG525,1)="E",LEFT(BJ525,1)="E"),"Exception · Band E",IF(AND(INDEX(B_VAL,MATCH(BJ525,B_LVL,0))&gt;=7,INDEX(B_RANK,MATCH(BG525,B_LVL,0))&gt;=INDEX(B_RANK,MATCH(BJ525,B_LVL,0))),"⚠ Same band as a head manager",IF(INDEX(B_VAL,MATCH(BG525,B_LVL,0))&gt;=INDEX(B_VAL,MATCH(BJ525,B_LVL,0)),"⚠ At or above the manager's level","OK"))))),"—")</f>
        <v>OK</v>
      </c>
      <c r="BL525" s="43" t="n"/>
      <c r="BM525" s="44">
        <f>IFERROR(INDEX(LMH_PTS,MATCH(Y525,LMH_KEY,0)),0)</f>
        <v>9</v>
      </c>
      <c r="BN525" s="38">
        <f>IFERROR(INDEX(LMH_PTS,MATCH(Z525,LMH_KEY,0)),0)</f>
        <v>3</v>
      </c>
      <c r="BO525" s="38">
        <f>IFERROR(INDEX(LMH_PTS,MATCH(AA525,LMH_KEY,0)),0)</f>
        <v>1</v>
      </c>
      <c r="BP525" s="38">
        <f>IFERROR(INDEX(LMH_PTS,MATCH(AB525,LMH_KEY,0)),0)</f>
        <v>1</v>
      </c>
      <c r="BQ525" s="38">
        <f>IFERROR(INDEX(LMH_PTS,MATCH(AC525,LMH_KEY,0)),0)</f>
        <v>1</v>
      </c>
      <c r="BR525" s="38">
        <f>IFERROR(INDEX(LMH_PTS,MATCH(AD525,LMH_KEY,0)),0)</f>
        <v>1</v>
      </c>
      <c r="BS525" s="38">
        <f>IFERROR(INDEX(LMH_PTS,MATCH(AE525,LMH_KEY,0)),0)</f>
        <v>1</v>
      </c>
      <c r="BT525" s="38">
        <f>IFERROR(INDEX(LMH_STEP,MATCH(AF525,LMH_KEY,0)),0)</f>
        <v>0</v>
      </c>
      <c r="BU525" s="38">
        <f>IFERROR(INDEX(LMH_STEP,MATCH(AG525,LMH_KEY,0)),0)</f>
        <v>0</v>
      </c>
      <c r="BV525" s="38">
        <f>IFERROR(INDEX(LMH_STEP,MATCH(AH525,LMH_KEY,0)),0)</f>
        <v>0</v>
      </c>
      <c r="BW525" s="38">
        <f>IFERROR(INDEX(LMH_STEP,MATCH(AI525,LMH_KEY,0)),0)</f>
        <v>0</v>
      </c>
      <c r="BX525" s="38">
        <f>IFERROR(INDEX(LMH_STEP,MATCH(AJ525,LMH_KEY,0)),0)</f>
        <v>0</v>
      </c>
      <c r="BY525" s="38">
        <f>IFERROR(INDEX(LMH_STEP,MATCH(AK525,LMH_KEY,0)),0)</f>
        <v>0</v>
      </c>
      <c r="BZ525" s="38">
        <f>IFERROR(INDEX(LMH_STEP,MATCH(AL525,LMH_KEY,0)),0)</f>
        <v>0</v>
      </c>
      <c r="CA525" s="38" t="inlineStr">
        <is>
          <t>CARBON|Technology|Senior Technical Specialist – POD Lead|B2|B-IC</t>
        </is>
      </c>
    </row>
    <row r="526" ht="110" customHeight="1">
      <c r="A526" s="28" t="inlineStr">
        <is>
          <t>CARBON</t>
        </is>
      </c>
      <c r="B526" s="29" t="inlineStr">
        <is>
          <t>Technology</t>
        </is>
      </c>
      <c r="C526" s="29" t="n">
        <v>3</v>
      </c>
      <c r="D526" s="29" t="inlineStr">
        <is>
          <t>IRIS1890</t>
        </is>
      </c>
      <c r="E526" s="29" t="inlineStr">
        <is>
          <t>Hetal Chauhan</t>
        </is>
      </c>
      <c r="F526" s="29" t="inlineStr">
        <is>
          <t>Software Engineer</t>
        </is>
      </c>
      <c r="G526" s="29" t="inlineStr">
        <is>
          <t>Technical Specialist – POD Lead</t>
        </is>
      </c>
      <c r="H526" s="29" t="inlineStr">
        <is>
          <t>Engineering &amp; Development</t>
        </is>
      </c>
      <c r="I526" s="29" t="inlineStr">
        <is>
          <t>Backend Development</t>
        </is>
      </c>
      <c r="J526" s="29" t="inlineStr">
        <is>
          <t>POD Lead</t>
        </is>
      </c>
      <c r="K526" s="29" t="inlineStr">
        <is>
          <t>RC-068</t>
        </is>
      </c>
      <c r="L526" s="29" t="inlineStr">
        <is>
          <t>Siddhesh Kadam</t>
        </is>
      </c>
      <c r="M526" s="29" t="inlineStr">
        <is>
          <t>IRIS1535</t>
        </is>
      </c>
      <c r="N526" s="29" t="n">
        <v>16.8</v>
      </c>
      <c r="O526" s="29" t="n">
        <v>5.7</v>
      </c>
      <c r="P526" s="29" t="inlineStr">
        <is>
          <t>MCA</t>
        </is>
      </c>
      <c r="Q526" s="29" t="inlineStr">
        <is>
          <t>L3 – Professional / Associate</t>
        </is>
      </c>
      <c r="R526" s="29" t="inlineStr">
        <is>
          <t>B1</t>
        </is>
      </c>
      <c r="S526" s="30" t="inlineStr">
        <is>
          <t>19 of 20</t>
        </is>
      </c>
      <c r="T526" s="31" t="inlineStr">
        <is>
          <t>• Role / sub-team: Technology — Software Engineer.
• Core purpose: Input not given by Participant.
• Decision-making autonomy: Input not given by Participant.
• Is this something only they do: Input not given by Participant.</t>
        </is>
      </c>
      <c r="U526" s="31" t="inlineStr">
        <is>
          <t>Received · manager annual · 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
        </is>
      </c>
      <c r="V526" s="31" t="inlineStr">
        <is>
          <t>Latest rating: Not rated · manager · 9-box: Underperformer / Exit Risk · Readiness: No rating data</t>
        </is>
      </c>
      <c r="W526" s="31" t="inlineStr">
        <is>
          <t>C L · Au L · Ac M · L M · BI M · Exp H · 16.8 yrs vs 4–7 yrs · Edu H · MCA</t>
        </is>
      </c>
      <c r="X526" s="33" t="inlineStr">
        <is>
          <t>Open ▸</t>
        </is>
      </c>
      <c r="Y526" s="34" t="str">
        <f>IFERROR(INDEX(DL_C,MATCH($CA526,DL_KEY,0)),"M")</f>
        <v>H</v>
      </c>
      <c r="Z526" s="35" t="str">
        <f>IFERROR(INDEX(DL_Au,MATCH($CA526,DL_KEY,0)),"M")</f>
        <v>M</v>
      </c>
      <c r="AA526" s="35" t="str">
        <f>IFERROR(INDEX(DL_Ac,MATCH($CA526,DL_KEY,0)),"M")</f>
        <v>L</v>
      </c>
      <c r="AB526" s="35" t="str">
        <f>IFERROR(INDEX(DL_L,MATCH($CA526,DL_KEY,0)),"M")</f>
        <v>L</v>
      </c>
      <c r="AC526" s="35" t="str">
        <f>IFERROR(INDEX(DL_BI,MATCH($CA526,DL_KEY,0)),"M")</f>
        <v>L</v>
      </c>
      <c r="AD526" s="35" t="str">
        <f>IFERROR(INDEX(DL_Exp,MATCH($CA526,DL_KEY,0)),"M")</f>
        <v>L</v>
      </c>
      <c r="AE526" s="35" t="str">
        <f>IFERROR(INDEX(DL_Edu,MATCH($CA526,DL_KEY,0)),"M")</f>
        <v>L</v>
      </c>
      <c r="AF526" s="34" t="inlineStr">
        <is>
          <t>M</t>
        </is>
      </c>
      <c r="AG526" s="35" t="inlineStr">
        <is>
          <t>M</t>
        </is>
      </c>
      <c r="AH526" s="35" t="inlineStr">
        <is>
          <t>M</t>
        </is>
      </c>
      <c r="AI526" s="35" t="inlineStr">
        <is>
          <t>M</t>
        </is>
      </c>
      <c r="AJ526" s="35" t="inlineStr">
        <is>
          <t>M</t>
        </is>
      </c>
      <c r="AK526" s="35" t="inlineStr">
        <is>
          <t>M</t>
        </is>
      </c>
      <c r="AL526" s="35" t="inlineStr">
        <is>
          <t>M</t>
        </is>
      </c>
      <c r="AM526" s="36" t="n">
        <v>0.513</v>
      </c>
      <c r="AN526" s="37" t="n">
        <v>0.173</v>
      </c>
      <c r="AO526" s="37" t="n">
        <v>0.09699999999999999</v>
      </c>
      <c r="AP526" s="37" t="n">
        <v>0.05</v>
      </c>
      <c r="AQ526" s="37" t="n">
        <v>0.07000000000000001</v>
      </c>
      <c r="AR526" s="37" t="n">
        <v>0.06</v>
      </c>
      <c r="AS526" s="37" t="n">
        <v>0.04</v>
      </c>
      <c r="AT526" s="38" t="inlineStr">
        <is>
          <t>4–8</t>
        </is>
      </c>
      <c r="AU526" s="38" t="inlineStr">
        <is>
          <t>Graduate + relevant qualification or certification preferred</t>
        </is>
      </c>
      <c r="AV526" s="38" t="inlineStr">
        <is>
          <t>IC: none · Team Lead: 3–5</t>
        </is>
      </c>
      <c r="AW526" s="38" t="inlineStr">
        <is>
          <t>P3 / M2 · SFIA 4 Enable</t>
        </is>
      </c>
      <c r="AX5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6" s="39" t="inlineStr">
        <is>
          <t>B1</t>
        </is>
      </c>
      <c r="AZ526" s="40" t="inlineStr">
        <is>
          <t>Band B · Specialist / Manager · Team Lead / Asst Manager</t>
        </is>
      </c>
      <c r="BA526" s="40" t="inlineStr">
        <is>
          <t>Model B1 from the six ratings, the market-derived weights and rules R1–R13 · then No change · already below the manager</t>
        </is>
      </c>
      <c r="BB526" s="41" t="inlineStr">
        <is>
          <t>B1</t>
        </is>
      </c>
      <c r="BC526" s="40" t="inlineStr">
        <is>
          <t>The six ratings on the market-average weights of Band B · Specialist / POD Lead score 3.50 → B1 · Hay, Mercer IPE and public plans · experience 16.8 yrs vs the B1 market range 4–8</t>
        </is>
      </c>
      <c r="BD526" s="42">
        <f>IF(SUM(BM526,BN526,BO526,BP526,BQ526,BR526,BS526)=0,0,(BM526*BT526+BN526*BU526+BO526*BV526+BP526*BW526+BQ526*BX526+BR526*BY526+BS526*BZ526)/SUM(BM526,BN526,BO526,BP526,BQ526,BR526,BS526))</f>
        <v>0</v>
      </c>
      <c r="BE526" s="41" t="str">
        <f>IF(LEFT(AY526,1)="X",AY526,IF(OR(AY526="B+",AY526="C+"),INDEX(LAD_PC,MAX(1,MIN(14,MATCH(AY526,LAD_PC,0)+IF(BD526&gt;=0.5,1,IF(BD526&lt;=-0.5,-1,0))))),INDEX(LAD_STD,MAX(1,MIN(12,MATCH(AY526,LAD_STD,0)+IF(BD526&gt;=0.5,1,IF(BD526&lt;=-0.5,-1,0)))))))</f>
        <v>B1</v>
      </c>
      <c r="BF526" s="43" t="n"/>
      <c r="BG526" s="41" t="str">
        <f>IF(BF526&lt;&gt;"",BF526,BE526)</f>
        <v>B1</v>
      </c>
      <c r="BH526" s="40" t="str">
        <f>IFERROR(CHOOSE(INDEX(B_RANK,MATCH(BG526,B_LVL,0)),"Band A","Band B","B+ · Player-Coach","Band C","C+ · Player-Coach","Band D","Band E"),"Band X · Consultant")</f>
        <v>Band B</v>
      </c>
      <c r="BI526" s="40" t="str">
        <f>IF(BG526=AY526,"• Same",IF(INDEX(B_VAL,MATCH(BG526,B_LVL,0))&gt;INDEX(B_VAL,MATCH(AY526,B_LVL,0)),"▲ Up","▼ Down"))</f>
        <v>• Same</v>
      </c>
      <c r="BJ526" s="40" t="str">
        <f>IF(OR($M526="",$M526="—",$M526="Not in this file"),"",IFERROR(INDEX($BG$7:$BG$592,MATCH($M526,$D$7:$D$592,0)),""))</f>
        <v>B2</v>
      </c>
      <c r="BK526" s="40" t="str">
        <f>IFERROR(IF(BJ526="","—",IF(OR(LEFT(BG526,1)="X",LEFT(BJ526,1)="X"),"—",IF(AND(LEFT(BG526,1)="E",LEFT(BJ526,1)="E"),"Exception · Band E",IF(AND(INDEX(B_VAL,MATCH(BJ526,B_LVL,0))&gt;=7,INDEX(B_RANK,MATCH(BG526,B_LVL,0))&gt;=INDEX(B_RANK,MATCH(BJ526,B_LVL,0))),"⚠ Same band as a head manager",IF(INDEX(B_VAL,MATCH(BG526,B_LVL,0))&gt;=INDEX(B_VAL,MATCH(BJ526,B_LVL,0)),"⚠ At or above the manager's level","OK"))))),"—")</f>
        <v>OK</v>
      </c>
      <c r="BL526" s="43" t="n"/>
      <c r="BM526" s="44">
        <f>IFERROR(INDEX(LMH_PTS,MATCH(Y526,LMH_KEY,0)),0)</f>
        <v>9</v>
      </c>
      <c r="BN526" s="38">
        <f>IFERROR(INDEX(LMH_PTS,MATCH(Z526,LMH_KEY,0)),0)</f>
        <v>3</v>
      </c>
      <c r="BO526" s="38">
        <f>IFERROR(INDEX(LMH_PTS,MATCH(AA526,LMH_KEY,0)),0)</f>
        <v>1</v>
      </c>
      <c r="BP526" s="38">
        <f>IFERROR(INDEX(LMH_PTS,MATCH(AB526,LMH_KEY,0)),0)</f>
        <v>1</v>
      </c>
      <c r="BQ526" s="38">
        <f>IFERROR(INDEX(LMH_PTS,MATCH(AC526,LMH_KEY,0)),0)</f>
        <v>1</v>
      </c>
      <c r="BR526" s="38">
        <f>IFERROR(INDEX(LMH_PTS,MATCH(AD526,LMH_KEY,0)),0)</f>
        <v>1</v>
      </c>
      <c r="BS526" s="38">
        <f>IFERROR(INDEX(LMH_PTS,MATCH(AE526,LMH_KEY,0)),0)</f>
        <v>1</v>
      </c>
      <c r="BT526" s="38">
        <f>IFERROR(INDEX(LMH_STEP,MATCH(AF526,LMH_KEY,0)),0)</f>
        <v>0</v>
      </c>
      <c r="BU526" s="38">
        <f>IFERROR(INDEX(LMH_STEP,MATCH(AG526,LMH_KEY,0)),0)</f>
        <v>0</v>
      </c>
      <c r="BV526" s="38">
        <f>IFERROR(INDEX(LMH_STEP,MATCH(AH526,LMH_KEY,0)),0)</f>
        <v>0</v>
      </c>
      <c r="BW526" s="38">
        <f>IFERROR(INDEX(LMH_STEP,MATCH(AI526,LMH_KEY,0)),0)</f>
        <v>0</v>
      </c>
      <c r="BX526" s="38">
        <f>IFERROR(INDEX(LMH_STEP,MATCH(AJ526,LMH_KEY,0)),0)</f>
        <v>0</v>
      </c>
      <c r="BY526" s="38">
        <f>IFERROR(INDEX(LMH_STEP,MATCH(AK526,LMH_KEY,0)),0)</f>
        <v>0</v>
      </c>
      <c r="BZ526" s="38">
        <f>IFERROR(INDEX(LMH_STEP,MATCH(AL526,LMH_KEY,0)),0)</f>
        <v>0</v>
      </c>
      <c r="CA526" s="38" t="inlineStr">
        <is>
          <t>CARBON|Technology|Technical Specialist – POD Lead|B1|B-IC</t>
        </is>
      </c>
    </row>
    <row r="527" ht="110" customHeight="1">
      <c r="A527" s="28" t="inlineStr">
        <is>
          <t>CARBON</t>
        </is>
      </c>
      <c r="B527" s="29" t="inlineStr">
        <is>
          <t>Technology</t>
        </is>
      </c>
      <c r="C527" s="29" t="n">
        <v>4</v>
      </c>
      <c r="D527" s="29" t="inlineStr">
        <is>
          <t>IRIS2280</t>
        </is>
      </c>
      <c r="E527" s="29" t="inlineStr">
        <is>
          <t>Harsh Borad</t>
        </is>
      </c>
      <c r="F527" s="29" t="inlineStr">
        <is>
          <t>Software Engineer</t>
        </is>
      </c>
      <c r="G527" s="29" t="inlineStr">
        <is>
          <t>Senior Software Engineer</t>
        </is>
      </c>
      <c r="H527" s="29" t="inlineStr">
        <is>
          <t>Engineering &amp; Development</t>
        </is>
      </c>
      <c r="I527" s="29" t="inlineStr">
        <is>
          <t>Full-Stack Development</t>
        </is>
      </c>
      <c r="J527" s="29" t="inlineStr">
        <is>
          <t>IC</t>
        </is>
      </c>
      <c r="K527" s="29" t="inlineStr">
        <is>
          <t>RC-085</t>
        </is>
      </c>
      <c r="L527" s="29" t="inlineStr">
        <is>
          <t>Hetal Chauhan</t>
        </is>
      </c>
      <c r="M527" s="29" t="inlineStr">
        <is>
          <t>IRIS1890</t>
        </is>
      </c>
      <c r="N527" s="29" t="n">
        <v>2.4</v>
      </c>
      <c r="O527" s="29" t="n">
        <v>2.2</v>
      </c>
      <c r="P527" s="29" t="inlineStr">
        <is>
          <t>B.Tech</t>
        </is>
      </c>
      <c r="Q527" s="29" t="inlineStr">
        <is>
          <t>L3 – Professional / Associate</t>
        </is>
      </c>
      <c r="R527" s="29" t="inlineStr">
        <is>
          <t>A3</t>
        </is>
      </c>
      <c r="S527" s="30" t="inlineStr">
        <is>
          <t>20 of 20</t>
        </is>
      </c>
      <c r="T527" s="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t>
        </is>
      </c>
      <c r="U527" s="31" t="inlineStr">
        <is>
          <t>Received · manager annual · 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t>
        </is>
      </c>
      <c r="V527" s="31" t="inlineStr">
        <is>
          <t>Latest rating: Not rated · manager · 9-box: Trusted Professional · Readiness: No rating data</t>
        </is>
      </c>
      <c r="W527" s="31" t="inlineStr">
        <is>
          <t>C M · Au M · Ac L · L L · BI L · Exp M · 2.4 yrs vs 2–4 yrs · Edu M · B.Tech</t>
        </is>
      </c>
      <c r="X527" s="33" t="inlineStr">
        <is>
          <t>Open ▸</t>
        </is>
      </c>
      <c r="Y527" s="34" t="str">
        <f>IFERROR(INDEX(DL_C,MATCH($CA527,DL_KEY,0)),"M")</f>
        <v>H</v>
      </c>
      <c r="Z527" s="35" t="str">
        <f>IFERROR(INDEX(DL_Au,MATCH($CA527,DL_KEY,0)),"M")</f>
        <v>M</v>
      </c>
      <c r="AA527" s="35" t="str">
        <f>IFERROR(INDEX(DL_Ac,MATCH($CA527,DL_KEY,0)),"M")</f>
        <v>L</v>
      </c>
      <c r="AB527" s="35" t="str">
        <f>IFERROR(INDEX(DL_L,MATCH($CA527,DL_KEY,0)),"M")</f>
        <v>L</v>
      </c>
      <c r="AC527" s="35" t="str">
        <f>IFERROR(INDEX(DL_BI,MATCH($CA527,DL_KEY,0)),"M")</f>
        <v>L</v>
      </c>
      <c r="AD527" s="35" t="str">
        <f>IFERROR(INDEX(DL_Exp,MATCH($CA527,DL_KEY,0)),"M")</f>
        <v>L</v>
      </c>
      <c r="AE527" s="35" t="str">
        <f>IFERROR(INDEX(DL_Edu,MATCH($CA527,DL_KEY,0)),"M")</f>
        <v>L</v>
      </c>
      <c r="AF527" s="34" t="inlineStr">
        <is>
          <t>M</t>
        </is>
      </c>
      <c r="AG527" s="35" t="inlineStr">
        <is>
          <t>M</t>
        </is>
      </c>
      <c r="AH527" s="35" t="inlineStr">
        <is>
          <t>M</t>
        </is>
      </c>
      <c r="AI527" s="35" t="inlineStr">
        <is>
          <t>M</t>
        </is>
      </c>
      <c r="AJ527" s="35" t="inlineStr">
        <is>
          <t>M</t>
        </is>
      </c>
      <c r="AK527" s="35" t="inlineStr">
        <is>
          <t>M</t>
        </is>
      </c>
      <c r="AL527" s="35" t="inlineStr">
        <is>
          <t>M</t>
        </is>
      </c>
      <c r="AM527" s="36" t="n">
        <v>0.583</v>
      </c>
      <c r="AN527" s="37" t="n">
        <v>0.16</v>
      </c>
      <c r="AO527" s="37" t="n">
        <v>0.09</v>
      </c>
      <c r="AP527" s="37" t="n">
        <v>0</v>
      </c>
      <c r="AQ527" s="37" t="n">
        <v>0.063</v>
      </c>
      <c r="AR527" s="37" t="n">
        <v>0.06</v>
      </c>
      <c r="AS527" s="37" t="n">
        <v>0.04</v>
      </c>
      <c r="AT527" s="38" t="inlineStr">
        <is>
          <t>2–5</t>
        </is>
      </c>
      <c r="AU527" s="38" t="inlineStr">
        <is>
          <t>Graduate; relevant certification preferred</t>
        </is>
      </c>
      <c r="AV527" s="38" t="inlineStr">
        <is>
          <t>None · guides 1–3 juniors informally</t>
        </is>
      </c>
      <c r="AW527" s="38" t="inlineStr">
        <is>
          <t>P2 · SFIA 3 Apply</t>
        </is>
      </c>
      <c r="AX5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7" s="39" t="inlineStr">
        <is>
          <t>A3</t>
        </is>
      </c>
      <c r="AZ527" s="40" t="inlineStr">
        <is>
          <t>Band A · Practitioner · Senior Associate</t>
        </is>
      </c>
      <c r="BA527" s="40" t="inlineStr">
        <is>
          <t>Model A3 from the six ratings, the market-derived weights and rules R1–R13 · then No change · already below the manager</t>
        </is>
      </c>
      <c r="BB527" s="41" t="inlineStr">
        <is>
          <t>A2</t>
        </is>
      </c>
      <c r="BC527" s="40" t="inlineStr">
        <is>
          <t>The six ratings on the market-average weights of Band A · all tracks score 2.42 → A2 · Hay, Mercer IPE and public plans · experience 2.4 yrs vs the A2 market range 0–3</t>
        </is>
      </c>
      <c r="BD527" s="42">
        <f>IF(SUM(BM527,BN527,BO527,BP527,BQ527,BR527,BS527)=0,0,(BM527*BT527+BN527*BU527+BO527*BV527+BP527*BW527+BQ527*BX527+BR527*BY527+BS527*BZ527)/SUM(BM527,BN527,BO527,BP527,BQ527,BR527,BS527))</f>
        <v>0</v>
      </c>
      <c r="BE527" s="41" t="str">
        <f>IF(LEFT(AY527,1)="X",AY527,IF(OR(AY527="B+",AY527="C+"),INDEX(LAD_PC,MAX(1,MIN(14,MATCH(AY527,LAD_PC,0)+IF(BD527&gt;=0.5,1,IF(BD527&lt;=-0.5,-1,0))))),INDEX(LAD_STD,MAX(1,MIN(12,MATCH(AY527,LAD_STD,0)+IF(BD527&gt;=0.5,1,IF(BD527&lt;=-0.5,-1,0)))))))</f>
        <v>A3</v>
      </c>
      <c r="BF527" s="43" t="n"/>
      <c r="BG527" s="41" t="str">
        <f>IF(BF527&lt;&gt;"",BF527,BE527)</f>
        <v>A3</v>
      </c>
      <c r="BH527" s="40" t="str">
        <f>IFERROR(CHOOSE(INDEX(B_RANK,MATCH(BG527,B_LVL,0)),"Band A","Band B","B+ · Player-Coach","Band C","C+ · Player-Coach","Band D","Band E"),"Band X · Consultant")</f>
        <v>Band A</v>
      </c>
      <c r="BI527" s="40" t="str">
        <f>IF(BG527=AY527,"• Same",IF(INDEX(B_VAL,MATCH(BG527,B_LVL,0))&gt;INDEX(B_VAL,MATCH(AY527,B_LVL,0)),"▲ Up","▼ Down"))</f>
        <v>• Same</v>
      </c>
      <c r="BJ527" s="40" t="str">
        <f>IF(OR($M527="",$M527="—",$M527="Not in this file"),"",IFERROR(INDEX($BG$7:$BG$592,MATCH($M527,$D$7:$D$592,0)),""))</f>
        <v>B1</v>
      </c>
      <c r="BK527" s="40" t="str">
        <f>IFERROR(IF(BJ527="","—",IF(OR(LEFT(BG527,1)="X",LEFT(BJ527,1)="X"),"—",IF(AND(LEFT(BG527,1)="E",LEFT(BJ527,1)="E"),"Exception · Band E",IF(AND(INDEX(B_VAL,MATCH(BJ527,B_LVL,0))&gt;=7,INDEX(B_RANK,MATCH(BG527,B_LVL,0))&gt;=INDEX(B_RANK,MATCH(BJ527,B_LVL,0))),"⚠ Same band as a head manager",IF(INDEX(B_VAL,MATCH(BG527,B_LVL,0))&gt;=INDEX(B_VAL,MATCH(BJ527,B_LVL,0)),"⚠ At or above the manager's level","OK"))))),"—")</f>
        <v>OK</v>
      </c>
      <c r="BL527" s="43" t="n"/>
      <c r="BM527" s="44">
        <f>IFERROR(INDEX(LMH_PTS,MATCH(Y527,LMH_KEY,0)),0)</f>
        <v>9</v>
      </c>
      <c r="BN527" s="38">
        <f>IFERROR(INDEX(LMH_PTS,MATCH(Z527,LMH_KEY,0)),0)</f>
        <v>3</v>
      </c>
      <c r="BO527" s="38">
        <f>IFERROR(INDEX(LMH_PTS,MATCH(AA527,LMH_KEY,0)),0)</f>
        <v>1</v>
      </c>
      <c r="BP527" s="38">
        <f>IFERROR(INDEX(LMH_PTS,MATCH(AB527,LMH_KEY,0)),0)</f>
        <v>1</v>
      </c>
      <c r="BQ527" s="38">
        <f>IFERROR(INDEX(LMH_PTS,MATCH(AC527,LMH_KEY,0)),0)</f>
        <v>1</v>
      </c>
      <c r="BR527" s="38">
        <f>IFERROR(INDEX(LMH_PTS,MATCH(AD527,LMH_KEY,0)),0)</f>
        <v>1</v>
      </c>
      <c r="BS527" s="38">
        <f>IFERROR(INDEX(LMH_PTS,MATCH(AE527,LMH_KEY,0)),0)</f>
        <v>1</v>
      </c>
      <c r="BT527" s="38">
        <f>IFERROR(INDEX(LMH_STEP,MATCH(AF527,LMH_KEY,0)),0)</f>
        <v>0</v>
      </c>
      <c r="BU527" s="38">
        <f>IFERROR(INDEX(LMH_STEP,MATCH(AG527,LMH_KEY,0)),0)</f>
        <v>0</v>
      </c>
      <c r="BV527" s="38">
        <f>IFERROR(INDEX(LMH_STEP,MATCH(AH527,LMH_KEY,0)),0)</f>
        <v>0</v>
      </c>
      <c r="BW527" s="38">
        <f>IFERROR(INDEX(LMH_STEP,MATCH(AI527,LMH_KEY,0)),0)</f>
        <v>0</v>
      </c>
      <c r="BX527" s="38">
        <f>IFERROR(INDEX(LMH_STEP,MATCH(AJ527,LMH_KEY,0)),0)</f>
        <v>0</v>
      </c>
      <c r="BY527" s="38">
        <f>IFERROR(INDEX(LMH_STEP,MATCH(AK527,LMH_KEY,0)),0)</f>
        <v>0</v>
      </c>
      <c r="BZ527" s="38">
        <f>IFERROR(INDEX(LMH_STEP,MATCH(AL527,LMH_KEY,0)),0)</f>
        <v>0</v>
      </c>
      <c r="CA527" s="38" t="inlineStr">
        <is>
          <t>CARBON|Technology|Senior Software Engineer|A3|A</t>
        </is>
      </c>
    </row>
    <row r="528" ht="110" customHeight="1">
      <c r="A528" s="28" t="inlineStr">
        <is>
          <t>CARBON</t>
        </is>
      </c>
      <c r="B528" s="29" t="inlineStr">
        <is>
          <t>Technology</t>
        </is>
      </c>
      <c r="C528" s="29" t="n">
        <v>4</v>
      </c>
      <c r="D528" s="29" t="inlineStr">
        <is>
          <t>IRIS2160</t>
        </is>
      </c>
      <c r="E528" s="29" t="inlineStr">
        <is>
          <t>Parth Jitendrabhai Parmar</t>
        </is>
      </c>
      <c r="F528" s="29" t="inlineStr">
        <is>
          <t>Software Engineer</t>
        </is>
      </c>
      <c r="G528" s="29" t="inlineStr">
        <is>
          <t>Senior Software Engineer</t>
        </is>
      </c>
      <c r="H528" s="29" t="inlineStr">
        <is>
          <t>Engineering &amp; Development</t>
        </is>
      </c>
      <c r="I528" s="29" t="inlineStr">
        <is>
          <t>Full-Stack Development</t>
        </is>
      </c>
      <c r="J528" s="29" t="inlineStr">
        <is>
          <t>IC</t>
        </is>
      </c>
      <c r="K528" s="29" t="inlineStr">
        <is>
          <t>RC-085</t>
        </is>
      </c>
      <c r="L528" s="29" t="inlineStr">
        <is>
          <t>Hetal Chauhan</t>
        </is>
      </c>
      <c r="M528" s="29" t="inlineStr">
        <is>
          <t>IRIS1890</t>
        </is>
      </c>
      <c r="N528" s="29" t="n">
        <v>4.4</v>
      </c>
      <c r="O528" s="29" t="n">
        <v>3.2</v>
      </c>
      <c r="P528" s="29" t="inlineStr">
        <is>
          <t>B.SC</t>
        </is>
      </c>
      <c r="Q528" s="29" t="inlineStr">
        <is>
          <t>L3 – Professional / Associate</t>
        </is>
      </c>
      <c r="R528" s="29" t="inlineStr">
        <is>
          <t>A3</t>
        </is>
      </c>
      <c r="S528" s="30" t="inlineStr">
        <is>
          <t>20 of 20</t>
        </is>
      </c>
      <c r="T528" s="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t>
        </is>
      </c>
      <c r="U528" s="31" t="inlineStr">
        <is>
          <t>Received · manager annual · 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
        </is>
      </c>
      <c r="V528" s="31" t="inlineStr">
        <is>
          <t>Latest rating: Not rated · manager · 9-box: Not placed · manager · Readiness: No rating data</t>
        </is>
      </c>
      <c r="W528" s="31" t="inlineStr">
        <is>
          <t>C M · Au M · Ac M · L M · BI M · Exp H · 4.4 yrs vs 2–4 yrs · Edu M · B.SC</t>
        </is>
      </c>
      <c r="X528" s="33" t="inlineStr">
        <is>
          <t>Open ▸</t>
        </is>
      </c>
      <c r="Y528" s="34" t="str">
        <f>IFERROR(INDEX(DL_C,MATCH($CA528,DL_KEY,0)),"M")</f>
        <v>H</v>
      </c>
      <c r="Z528" s="35" t="str">
        <f>IFERROR(INDEX(DL_Au,MATCH($CA528,DL_KEY,0)),"M")</f>
        <v>M</v>
      </c>
      <c r="AA528" s="35" t="str">
        <f>IFERROR(INDEX(DL_Ac,MATCH($CA528,DL_KEY,0)),"M")</f>
        <v>L</v>
      </c>
      <c r="AB528" s="35" t="str">
        <f>IFERROR(INDEX(DL_L,MATCH($CA528,DL_KEY,0)),"M")</f>
        <v>L</v>
      </c>
      <c r="AC528" s="35" t="str">
        <f>IFERROR(INDEX(DL_BI,MATCH($CA528,DL_KEY,0)),"M")</f>
        <v>L</v>
      </c>
      <c r="AD528" s="35" t="str">
        <f>IFERROR(INDEX(DL_Exp,MATCH($CA528,DL_KEY,0)),"M")</f>
        <v>L</v>
      </c>
      <c r="AE528" s="35" t="str">
        <f>IFERROR(INDEX(DL_Edu,MATCH($CA528,DL_KEY,0)),"M")</f>
        <v>L</v>
      </c>
      <c r="AF528" s="34" t="inlineStr">
        <is>
          <t>M</t>
        </is>
      </c>
      <c r="AG528" s="35" t="inlineStr">
        <is>
          <t>M</t>
        </is>
      </c>
      <c r="AH528" s="35" t="inlineStr">
        <is>
          <t>M</t>
        </is>
      </c>
      <c r="AI528" s="35" t="inlineStr">
        <is>
          <t>M</t>
        </is>
      </c>
      <c r="AJ528" s="35" t="inlineStr">
        <is>
          <t>M</t>
        </is>
      </c>
      <c r="AK528" s="35" t="inlineStr">
        <is>
          <t>M</t>
        </is>
      </c>
      <c r="AL528" s="35" t="inlineStr">
        <is>
          <t>M</t>
        </is>
      </c>
      <c r="AM528" s="36" t="n">
        <v>0.583</v>
      </c>
      <c r="AN528" s="37" t="n">
        <v>0.16</v>
      </c>
      <c r="AO528" s="37" t="n">
        <v>0.09</v>
      </c>
      <c r="AP528" s="37" t="n">
        <v>0</v>
      </c>
      <c r="AQ528" s="37" t="n">
        <v>0.063</v>
      </c>
      <c r="AR528" s="37" t="n">
        <v>0.06</v>
      </c>
      <c r="AS528" s="37" t="n">
        <v>0.04</v>
      </c>
      <c r="AT528" s="38" t="inlineStr">
        <is>
          <t>2–5</t>
        </is>
      </c>
      <c r="AU528" s="38" t="inlineStr">
        <is>
          <t>Graduate; relevant certification preferred</t>
        </is>
      </c>
      <c r="AV528" s="38" t="inlineStr">
        <is>
          <t>None · guides 1–3 juniors informally</t>
        </is>
      </c>
      <c r="AW528" s="38" t="inlineStr">
        <is>
          <t>P2 · SFIA 3 Apply</t>
        </is>
      </c>
      <c r="AX5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8" s="39" t="inlineStr">
        <is>
          <t>A3</t>
        </is>
      </c>
      <c r="AZ528" s="40" t="inlineStr">
        <is>
          <t>Band A · Practitioner · Senior Associate</t>
        </is>
      </c>
      <c r="BA528" s="40" t="inlineStr">
        <is>
          <t>Model A3 from the six ratings, the market-derived weights and rules R1–R13 · then No change · already below the manager</t>
        </is>
      </c>
      <c r="BB528" s="41" t="inlineStr">
        <is>
          <t>A3</t>
        </is>
      </c>
      <c r="BC528" s="40" t="inlineStr">
        <is>
          <t>The six ratings on the market-average weights of Band A · all tracks score 2.83 → A3 · Hay, Mercer IPE and public plans · experience 4.4 yrs vs the A3 market range 2–5</t>
        </is>
      </c>
      <c r="BD528" s="42">
        <f>IF(SUM(BM528,BN528,BO528,BP528,BQ528,BR528,BS528)=0,0,(BM528*BT528+BN528*BU528+BO528*BV528+BP528*BW528+BQ528*BX528+BR528*BY528+BS528*BZ528)/SUM(BM528,BN528,BO528,BP528,BQ528,BR528,BS528))</f>
        <v>0</v>
      </c>
      <c r="BE528" s="41" t="str">
        <f>IF(LEFT(AY528,1)="X",AY528,IF(OR(AY528="B+",AY528="C+"),INDEX(LAD_PC,MAX(1,MIN(14,MATCH(AY528,LAD_PC,0)+IF(BD528&gt;=0.5,1,IF(BD528&lt;=-0.5,-1,0))))),INDEX(LAD_STD,MAX(1,MIN(12,MATCH(AY528,LAD_STD,0)+IF(BD528&gt;=0.5,1,IF(BD528&lt;=-0.5,-1,0)))))))</f>
        <v>A3</v>
      </c>
      <c r="BF528" s="43" t="n"/>
      <c r="BG528" s="41" t="str">
        <f>IF(BF528&lt;&gt;"",BF528,BE528)</f>
        <v>A3</v>
      </c>
      <c r="BH528" s="40" t="str">
        <f>IFERROR(CHOOSE(INDEX(B_RANK,MATCH(BG528,B_LVL,0)),"Band A","Band B","B+ · Player-Coach","Band C","C+ · Player-Coach","Band D","Band E"),"Band X · Consultant")</f>
        <v>Band A</v>
      </c>
      <c r="BI528" s="40" t="str">
        <f>IF(BG528=AY528,"• Same",IF(INDEX(B_VAL,MATCH(BG528,B_LVL,0))&gt;INDEX(B_VAL,MATCH(AY528,B_LVL,0)),"▲ Up","▼ Down"))</f>
        <v>• Same</v>
      </c>
      <c r="BJ528" s="40" t="str">
        <f>IF(OR($M528="",$M528="—",$M528="Not in this file"),"",IFERROR(INDEX($BG$7:$BG$592,MATCH($M528,$D$7:$D$592,0)),""))</f>
        <v>B1</v>
      </c>
      <c r="BK528" s="40" t="str">
        <f>IFERROR(IF(BJ528="","—",IF(OR(LEFT(BG528,1)="X",LEFT(BJ528,1)="X"),"—",IF(AND(LEFT(BG528,1)="E",LEFT(BJ528,1)="E"),"Exception · Band E",IF(AND(INDEX(B_VAL,MATCH(BJ528,B_LVL,0))&gt;=7,INDEX(B_RANK,MATCH(BG528,B_LVL,0))&gt;=INDEX(B_RANK,MATCH(BJ528,B_LVL,0))),"⚠ Same band as a head manager",IF(INDEX(B_VAL,MATCH(BG528,B_LVL,0))&gt;=INDEX(B_VAL,MATCH(BJ528,B_LVL,0)),"⚠ At or above the manager's level","OK"))))),"—")</f>
        <v>OK</v>
      </c>
      <c r="BL528" s="43" t="n"/>
      <c r="BM528" s="44">
        <f>IFERROR(INDEX(LMH_PTS,MATCH(Y528,LMH_KEY,0)),0)</f>
        <v>9</v>
      </c>
      <c r="BN528" s="38">
        <f>IFERROR(INDEX(LMH_PTS,MATCH(Z528,LMH_KEY,0)),0)</f>
        <v>3</v>
      </c>
      <c r="BO528" s="38">
        <f>IFERROR(INDEX(LMH_PTS,MATCH(AA528,LMH_KEY,0)),0)</f>
        <v>1</v>
      </c>
      <c r="BP528" s="38">
        <f>IFERROR(INDEX(LMH_PTS,MATCH(AB528,LMH_KEY,0)),0)</f>
        <v>1</v>
      </c>
      <c r="BQ528" s="38">
        <f>IFERROR(INDEX(LMH_PTS,MATCH(AC528,LMH_KEY,0)),0)</f>
        <v>1</v>
      </c>
      <c r="BR528" s="38">
        <f>IFERROR(INDEX(LMH_PTS,MATCH(AD528,LMH_KEY,0)),0)</f>
        <v>1</v>
      </c>
      <c r="BS528" s="38">
        <f>IFERROR(INDEX(LMH_PTS,MATCH(AE528,LMH_KEY,0)),0)</f>
        <v>1</v>
      </c>
      <c r="BT528" s="38">
        <f>IFERROR(INDEX(LMH_STEP,MATCH(AF528,LMH_KEY,0)),0)</f>
        <v>0</v>
      </c>
      <c r="BU528" s="38">
        <f>IFERROR(INDEX(LMH_STEP,MATCH(AG528,LMH_KEY,0)),0)</f>
        <v>0</v>
      </c>
      <c r="BV528" s="38">
        <f>IFERROR(INDEX(LMH_STEP,MATCH(AH528,LMH_KEY,0)),0)</f>
        <v>0</v>
      </c>
      <c r="BW528" s="38">
        <f>IFERROR(INDEX(LMH_STEP,MATCH(AI528,LMH_KEY,0)),0)</f>
        <v>0</v>
      </c>
      <c r="BX528" s="38">
        <f>IFERROR(INDEX(LMH_STEP,MATCH(AJ528,LMH_KEY,0)),0)</f>
        <v>0</v>
      </c>
      <c r="BY528" s="38">
        <f>IFERROR(INDEX(LMH_STEP,MATCH(AK528,LMH_KEY,0)),0)</f>
        <v>0</v>
      </c>
      <c r="BZ528" s="38">
        <f>IFERROR(INDEX(LMH_STEP,MATCH(AL528,LMH_KEY,0)),0)</f>
        <v>0</v>
      </c>
      <c r="CA528" s="38" t="inlineStr">
        <is>
          <t>CARBON|Technology|Senior Software Engineer|A3|A</t>
        </is>
      </c>
    </row>
    <row r="529" ht="110" customHeight="1">
      <c r="A529" s="28" t="inlineStr">
        <is>
          <t>CARBON</t>
        </is>
      </c>
      <c r="B529" s="29" t="inlineStr">
        <is>
          <t>Technology</t>
        </is>
      </c>
      <c r="C529" s="29" t="n">
        <v>5</v>
      </c>
      <c r="D529" s="29" t="inlineStr">
        <is>
          <t>IRIS2031</t>
        </is>
      </c>
      <c r="E529" s="29" t="inlineStr">
        <is>
          <t>Bansi Amipara</t>
        </is>
      </c>
      <c r="F529" s="29" t="inlineStr">
        <is>
          <t>Software Engineer</t>
        </is>
      </c>
      <c r="G529" s="29" t="inlineStr">
        <is>
          <t>Senior Software Engineer</t>
        </is>
      </c>
      <c r="H529" s="29" t="inlineStr">
        <is>
          <t>Engineering &amp; Development</t>
        </is>
      </c>
      <c r="I529" s="29" t="inlineStr">
        <is>
          <t>Backend Development</t>
        </is>
      </c>
      <c r="J529" s="29" t="inlineStr">
        <is>
          <t>IC</t>
        </is>
      </c>
      <c r="K529" s="29" t="inlineStr">
        <is>
          <t>RC-067</t>
        </is>
      </c>
      <c r="L529" s="29" t="inlineStr">
        <is>
          <t>Parth Jitendrabhai Parmar</t>
        </is>
      </c>
      <c r="M529" s="29" t="inlineStr">
        <is>
          <t>IRIS2160</t>
        </is>
      </c>
      <c r="N529" s="29" t="n">
        <v>4.2</v>
      </c>
      <c r="O529" s="29" t="n">
        <v>4.2</v>
      </c>
      <c r="P529" s="29" t="inlineStr">
        <is>
          <t>MSC-ICT</t>
        </is>
      </c>
      <c r="Q529" s="29" t="inlineStr">
        <is>
          <t>L3 – Professional / Associate</t>
        </is>
      </c>
      <c r="R529" s="29" t="inlineStr">
        <is>
          <t>A3</t>
        </is>
      </c>
      <c r="S529" s="30" t="inlineStr">
        <is>
          <t>20 of 20</t>
        </is>
      </c>
      <c r="T529" s="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U529" s="31" t="inlineStr">
        <is>
          <t>Received · manager annual · 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t>
        </is>
      </c>
      <c r="V529" s="31" t="inlineStr">
        <is>
          <t>Latest rating: Not rated · manager · 9-box: Trusted Professional · Readiness: No rating data</t>
        </is>
      </c>
      <c r="W529" s="31" t="inlineStr">
        <is>
          <t>C M · Au M · Ac M · L L · BI M · Exp H · 4.2 yrs vs 0–2 yrs · Edu H · MSC-ICT</t>
        </is>
      </c>
      <c r="X529" s="33" t="inlineStr">
        <is>
          <t>Open ▸</t>
        </is>
      </c>
      <c r="Y529" s="34" t="str">
        <f>IFERROR(INDEX(DL_C,MATCH($CA529,DL_KEY,0)),"M")</f>
        <v>H</v>
      </c>
      <c r="Z529" s="35" t="str">
        <f>IFERROR(INDEX(DL_Au,MATCH($CA529,DL_KEY,0)),"M")</f>
        <v>M</v>
      </c>
      <c r="AA529" s="35" t="str">
        <f>IFERROR(INDEX(DL_Ac,MATCH($CA529,DL_KEY,0)),"M")</f>
        <v>L</v>
      </c>
      <c r="AB529" s="35" t="str">
        <f>IFERROR(INDEX(DL_L,MATCH($CA529,DL_KEY,0)),"M")</f>
        <v>L</v>
      </c>
      <c r="AC529" s="35" t="str">
        <f>IFERROR(INDEX(DL_BI,MATCH($CA529,DL_KEY,0)),"M")</f>
        <v>L</v>
      </c>
      <c r="AD529" s="35" t="str">
        <f>IFERROR(INDEX(DL_Exp,MATCH($CA529,DL_KEY,0)),"M")</f>
        <v>L</v>
      </c>
      <c r="AE529" s="35" t="str">
        <f>IFERROR(INDEX(DL_Edu,MATCH($CA529,DL_KEY,0)),"M")</f>
        <v>L</v>
      </c>
      <c r="AF529" s="34" t="inlineStr">
        <is>
          <t>M</t>
        </is>
      </c>
      <c r="AG529" s="35" t="inlineStr">
        <is>
          <t>M</t>
        </is>
      </c>
      <c r="AH529" s="35" t="inlineStr">
        <is>
          <t>M</t>
        </is>
      </c>
      <c r="AI529" s="35" t="inlineStr">
        <is>
          <t>M</t>
        </is>
      </c>
      <c r="AJ529" s="35" t="inlineStr">
        <is>
          <t>M</t>
        </is>
      </c>
      <c r="AK529" s="35" t="inlineStr">
        <is>
          <t>M</t>
        </is>
      </c>
      <c r="AL529" s="35" t="inlineStr">
        <is>
          <t>M</t>
        </is>
      </c>
      <c r="AM529" s="36" t="n">
        <v>0.583</v>
      </c>
      <c r="AN529" s="37" t="n">
        <v>0.16</v>
      </c>
      <c r="AO529" s="37" t="n">
        <v>0.09</v>
      </c>
      <c r="AP529" s="37" t="n">
        <v>0</v>
      </c>
      <c r="AQ529" s="37" t="n">
        <v>0.063</v>
      </c>
      <c r="AR529" s="37" t="n">
        <v>0.06</v>
      </c>
      <c r="AS529" s="37" t="n">
        <v>0.04</v>
      </c>
      <c r="AT529" s="38" t="inlineStr">
        <is>
          <t>0–3</t>
        </is>
      </c>
      <c r="AU529" s="38" t="inlineStr">
        <is>
          <t>Graduate · or diploma with experience</t>
        </is>
      </c>
      <c r="AV529" s="38" t="inlineStr">
        <is>
          <t>No direct reports</t>
        </is>
      </c>
      <c r="AW529" s="38" t="inlineStr">
        <is>
          <t>P1–P2 · SFIA 2 Assist</t>
        </is>
      </c>
      <c r="AX5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9" s="39" t="inlineStr">
        <is>
          <t>A2</t>
        </is>
      </c>
      <c r="AZ529" s="40" t="inlineStr">
        <is>
          <t>Band A · Practitioner · Associate</t>
        </is>
      </c>
      <c r="BA529" s="40" t="inlineStr">
        <is>
          <t>Model A3 from the six ratings, the market-derived weights and rules R1–R13 · then Level rule: manager A3; a reportee sits at least one level below · A3 → A2 · move down · pay and title protected for one cycle</t>
        </is>
      </c>
      <c r="BB529" s="41" t="inlineStr">
        <is>
          <t>A2</t>
        </is>
      </c>
      <c r="BC529" s="40" t="inlineStr">
        <is>
          <t>The six ratings on the market-average weights of Band A · all tracks score 2.20 → A2 · Hay, Mercer IPE and public plans · experience 4.2 yrs vs the A2 market range 0–3</t>
        </is>
      </c>
      <c r="BD529" s="42">
        <f>IF(SUM(BM529,BN529,BO529,BP529,BQ529,BR529,BS529)=0,0,(BM529*BT529+BN529*BU529+BO529*BV529+BP529*BW529+BQ529*BX529+BR529*BY529+BS529*BZ529)/SUM(BM529,BN529,BO529,BP529,BQ529,BR529,BS529))</f>
        <v>0</v>
      </c>
      <c r="BE529" s="41" t="str">
        <f>IF(LEFT(AY529,1)="X",AY529,IF(OR(AY529="B+",AY529="C+"),INDEX(LAD_PC,MAX(1,MIN(14,MATCH(AY529,LAD_PC,0)+IF(BD529&gt;=0.5,1,IF(BD529&lt;=-0.5,-1,0))))),INDEX(LAD_STD,MAX(1,MIN(12,MATCH(AY529,LAD_STD,0)+IF(BD529&gt;=0.5,1,IF(BD529&lt;=-0.5,-1,0)))))))</f>
        <v>A2</v>
      </c>
      <c r="BF529" s="43" t="n"/>
      <c r="BG529" s="41" t="str">
        <f>IF(BF529&lt;&gt;"",BF529,BE529)</f>
        <v>A2</v>
      </c>
      <c r="BH529" s="40" t="str">
        <f>IFERROR(CHOOSE(INDEX(B_RANK,MATCH(BG529,B_LVL,0)),"Band A","Band B","B+ · Player-Coach","Band C","C+ · Player-Coach","Band D","Band E"),"Band X · Consultant")</f>
        <v>Band A</v>
      </c>
      <c r="BI529" s="40" t="str">
        <f>IF(BG529=AY529,"• Same",IF(INDEX(B_VAL,MATCH(BG529,B_LVL,0))&gt;INDEX(B_VAL,MATCH(AY529,B_LVL,0)),"▲ Up","▼ Down"))</f>
        <v>• Same</v>
      </c>
      <c r="BJ529" s="40" t="str">
        <f>IF(OR($M529="",$M529="—",$M529="Not in this file"),"",IFERROR(INDEX($BG$7:$BG$592,MATCH($M529,$D$7:$D$592,0)),""))</f>
        <v>A3</v>
      </c>
      <c r="BK529" s="40" t="str">
        <f>IFERROR(IF(BJ529="","—",IF(OR(LEFT(BG529,1)="X",LEFT(BJ529,1)="X"),"—",IF(AND(LEFT(BG529,1)="E",LEFT(BJ529,1)="E"),"Exception · Band E",IF(AND(INDEX(B_VAL,MATCH(BJ529,B_LVL,0))&gt;=7,INDEX(B_RANK,MATCH(BG529,B_LVL,0))&gt;=INDEX(B_RANK,MATCH(BJ529,B_LVL,0))),"⚠ Same band as a head manager",IF(INDEX(B_VAL,MATCH(BG529,B_LVL,0))&gt;=INDEX(B_VAL,MATCH(BJ529,B_LVL,0)),"⚠ At or above the manager's level","OK"))))),"—")</f>
        <v>OK</v>
      </c>
      <c r="BL529" s="43" t="n"/>
      <c r="BM529" s="44">
        <f>IFERROR(INDEX(LMH_PTS,MATCH(Y529,LMH_KEY,0)),0)</f>
        <v>9</v>
      </c>
      <c r="BN529" s="38">
        <f>IFERROR(INDEX(LMH_PTS,MATCH(Z529,LMH_KEY,0)),0)</f>
        <v>3</v>
      </c>
      <c r="BO529" s="38">
        <f>IFERROR(INDEX(LMH_PTS,MATCH(AA529,LMH_KEY,0)),0)</f>
        <v>1</v>
      </c>
      <c r="BP529" s="38">
        <f>IFERROR(INDEX(LMH_PTS,MATCH(AB529,LMH_KEY,0)),0)</f>
        <v>1</v>
      </c>
      <c r="BQ529" s="38">
        <f>IFERROR(INDEX(LMH_PTS,MATCH(AC529,LMH_KEY,0)),0)</f>
        <v>1</v>
      </c>
      <c r="BR529" s="38">
        <f>IFERROR(INDEX(LMH_PTS,MATCH(AD529,LMH_KEY,0)),0)</f>
        <v>1</v>
      </c>
      <c r="BS529" s="38">
        <f>IFERROR(INDEX(LMH_PTS,MATCH(AE529,LMH_KEY,0)),0)</f>
        <v>1</v>
      </c>
      <c r="BT529" s="38">
        <f>IFERROR(INDEX(LMH_STEP,MATCH(AF529,LMH_KEY,0)),0)</f>
        <v>0</v>
      </c>
      <c r="BU529" s="38">
        <f>IFERROR(INDEX(LMH_STEP,MATCH(AG529,LMH_KEY,0)),0)</f>
        <v>0</v>
      </c>
      <c r="BV529" s="38">
        <f>IFERROR(INDEX(LMH_STEP,MATCH(AH529,LMH_KEY,0)),0)</f>
        <v>0</v>
      </c>
      <c r="BW529" s="38">
        <f>IFERROR(INDEX(LMH_STEP,MATCH(AI529,LMH_KEY,0)),0)</f>
        <v>0</v>
      </c>
      <c r="BX529" s="38">
        <f>IFERROR(INDEX(LMH_STEP,MATCH(AJ529,LMH_KEY,0)),0)</f>
        <v>0</v>
      </c>
      <c r="BY529" s="38">
        <f>IFERROR(INDEX(LMH_STEP,MATCH(AK529,LMH_KEY,0)),0)</f>
        <v>0</v>
      </c>
      <c r="BZ529" s="38">
        <f>IFERROR(INDEX(LMH_STEP,MATCH(AL529,LMH_KEY,0)),0)</f>
        <v>0</v>
      </c>
      <c r="CA529" s="38" t="inlineStr">
        <is>
          <t>CARBON|Technology|Senior Software Engineer|A2|A</t>
        </is>
      </c>
    </row>
    <row r="530" ht="110" customHeight="1">
      <c r="A530" s="28" t="inlineStr">
        <is>
          <t>CARBON</t>
        </is>
      </c>
      <c r="B530" s="29" t="inlineStr">
        <is>
          <t>Technology</t>
        </is>
      </c>
      <c r="C530" s="29" t="n">
        <v>5</v>
      </c>
      <c r="D530" s="29" t="inlineStr">
        <is>
          <t>IRIS2159</t>
        </is>
      </c>
      <c r="E530" s="29" t="inlineStr">
        <is>
          <t>Rushali Patel</t>
        </is>
      </c>
      <c r="F530" s="29" t="inlineStr">
        <is>
          <t>Software Engineer</t>
        </is>
      </c>
      <c r="G530" s="29" t="inlineStr">
        <is>
          <t>Senior UI Developer</t>
        </is>
      </c>
      <c r="H530" s="29" t="inlineStr">
        <is>
          <t>Engineering &amp; Development</t>
        </is>
      </c>
      <c r="I530" s="29" t="inlineStr">
        <is>
          <t>Front-End / UI Development</t>
        </is>
      </c>
      <c r="J530" s="29" t="inlineStr">
        <is>
          <t>IC</t>
        </is>
      </c>
      <c r="K530" s="29" t="inlineStr">
        <is>
          <t>RC-081</t>
        </is>
      </c>
      <c r="L530" s="29" t="inlineStr">
        <is>
          <t>Parth Jitendrabhai Parmar</t>
        </is>
      </c>
      <c r="M530" s="29" t="inlineStr">
        <is>
          <t>IRIS2160</t>
        </is>
      </c>
      <c r="N530" s="29" t="n">
        <v>3.2</v>
      </c>
      <c r="O530" s="29" t="n">
        <v>3.2</v>
      </c>
      <c r="P530" s="29" t="inlineStr">
        <is>
          <t>MSc</t>
        </is>
      </c>
      <c r="Q530" s="29" t="inlineStr">
        <is>
          <t>L3 – Professional / Associate</t>
        </is>
      </c>
      <c r="R530" s="29" t="inlineStr">
        <is>
          <t>A3</t>
        </is>
      </c>
      <c r="S530" s="30" t="inlineStr">
        <is>
          <t>20 of 20</t>
        </is>
      </c>
      <c r="T530" s="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
        </is>
      </c>
      <c r="U530" s="31" t="inlineStr">
        <is>
          <t>Received · manager annual · 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t>
        </is>
      </c>
      <c r="V530" s="31" t="inlineStr">
        <is>
          <t>Latest rating: Not rated · manager · 9-box: Future Leader · Readiness: No rating data</t>
        </is>
      </c>
      <c r="W530" s="31" t="inlineStr">
        <is>
          <t>C M · Au M · Ac M · L L · BI M · Exp H · 3.2 yrs vs 0–2 yrs · Edu H · MSc</t>
        </is>
      </c>
      <c r="X530" s="33" t="inlineStr">
        <is>
          <t>Open ▸</t>
        </is>
      </c>
      <c r="Y530" s="34" t="str">
        <f>IFERROR(INDEX(DL_C,MATCH($CA530,DL_KEY,0)),"M")</f>
        <v>H</v>
      </c>
      <c r="Z530" s="35" t="str">
        <f>IFERROR(INDEX(DL_Au,MATCH($CA530,DL_KEY,0)),"M")</f>
        <v>M</v>
      </c>
      <c r="AA530" s="35" t="str">
        <f>IFERROR(INDEX(DL_Ac,MATCH($CA530,DL_KEY,0)),"M")</f>
        <v>L</v>
      </c>
      <c r="AB530" s="35" t="str">
        <f>IFERROR(INDEX(DL_L,MATCH($CA530,DL_KEY,0)),"M")</f>
        <v>L</v>
      </c>
      <c r="AC530" s="35" t="str">
        <f>IFERROR(INDEX(DL_BI,MATCH($CA530,DL_KEY,0)),"M")</f>
        <v>L</v>
      </c>
      <c r="AD530" s="35" t="str">
        <f>IFERROR(INDEX(DL_Exp,MATCH($CA530,DL_KEY,0)),"M")</f>
        <v>L</v>
      </c>
      <c r="AE530" s="35" t="str">
        <f>IFERROR(INDEX(DL_Edu,MATCH($CA530,DL_KEY,0)),"M")</f>
        <v>L</v>
      </c>
      <c r="AF530" s="34" t="inlineStr">
        <is>
          <t>M</t>
        </is>
      </c>
      <c r="AG530" s="35" t="inlineStr">
        <is>
          <t>M</t>
        </is>
      </c>
      <c r="AH530" s="35" t="inlineStr">
        <is>
          <t>M</t>
        </is>
      </c>
      <c r="AI530" s="35" t="inlineStr">
        <is>
          <t>M</t>
        </is>
      </c>
      <c r="AJ530" s="35" t="inlineStr">
        <is>
          <t>M</t>
        </is>
      </c>
      <c r="AK530" s="35" t="inlineStr">
        <is>
          <t>M</t>
        </is>
      </c>
      <c r="AL530" s="35" t="inlineStr">
        <is>
          <t>M</t>
        </is>
      </c>
      <c r="AM530" s="36" t="n">
        <v>0.583</v>
      </c>
      <c r="AN530" s="37" t="n">
        <v>0.16</v>
      </c>
      <c r="AO530" s="37" t="n">
        <v>0.09</v>
      </c>
      <c r="AP530" s="37" t="n">
        <v>0</v>
      </c>
      <c r="AQ530" s="37" t="n">
        <v>0.063</v>
      </c>
      <c r="AR530" s="37" t="n">
        <v>0.06</v>
      </c>
      <c r="AS530" s="37" t="n">
        <v>0.04</v>
      </c>
      <c r="AT530" s="38" t="inlineStr">
        <is>
          <t>0–3</t>
        </is>
      </c>
      <c r="AU530" s="38" t="inlineStr">
        <is>
          <t>Graduate · or diploma with experience</t>
        </is>
      </c>
      <c r="AV530" s="38" t="inlineStr">
        <is>
          <t>No direct reports</t>
        </is>
      </c>
      <c r="AW530" s="38" t="inlineStr">
        <is>
          <t>P1–P2 · SFIA 2 Assist</t>
        </is>
      </c>
      <c r="AX5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0" s="39" t="inlineStr">
        <is>
          <t>A2</t>
        </is>
      </c>
      <c r="AZ530" s="40" t="inlineStr">
        <is>
          <t>Band A · Practitioner · Associate</t>
        </is>
      </c>
      <c r="BA530" s="40" t="inlineStr">
        <is>
          <t>Model A3 from the six ratings, the market-derived weights and rules R1–R13 · then Level rule: manager A3; a reportee sits at least one level below · A3 → A2 · move down · pay and title protected for one cycle</t>
        </is>
      </c>
      <c r="BB530" s="41" t="inlineStr">
        <is>
          <t>A2</t>
        </is>
      </c>
      <c r="BC530" s="40" t="inlineStr">
        <is>
          <t>The six ratings on the market-average weights of Band A · all tracks score 2.15 → A2 · Hay, Mercer IPE and public plans · experience 3.2 yrs vs the A2 market range 0–3</t>
        </is>
      </c>
      <c r="BD530" s="42">
        <f>IF(SUM(BM530,BN530,BO530,BP530,BQ530,BR530,BS530)=0,0,(BM530*BT530+BN530*BU530+BO530*BV530+BP530*BW530+BQ530*BX530+BR530*BY530+BS530*BZ530)/SUM(BM530,BN530,BO530,BP530,BQ530,BR530,BS530))</f>
        <v>0</v>
      </c>
      <c r="BE530" s="41" t="str">
        <f>IF(LEFT(AY530,1)="X",AY530,IF(OR(AY530="B+",AY530="C+"),INDEX(LAD_PC,MAX(1,MIN(14,MATCH(AY530,LAD_PC,0)+IF(BD530&gt;=0.5,1,IF(BD530&lt;=-0.5,-1,0))))),INDEX(LAD_STD,MAX(1,MIN(12,MATCH(AY530,LAD_STD,0)+IF(BD530&gt;=0.5,1,IF(BD530&lt;=-0.5,-1,0)))))))</f>
        <v>A2</v>
      </c>
      <c r="BF530" s="43" t="n"/>
      <c r="BG530" s="41" t="str">
        <f>IF(BF530&lt;&gt;"",BF530,BE530)</f>
        <v>A2</v>
      </c>
      <c r="BH530" s="40" t="str">
        <f>IFERROR(CHOOSE(INDEX(B_RANK,MATCH(BG530,B_LVL,0)),"Band A","Band B","B+ · Player-Coach","Band C","C+ · Player-Coach","Band D","Band E"),"Band X · Consultant")</f>
        <v>Band A</v>
      </c>
      <c r="BI530" s="40" t="str">
        <f>IF(BG530=AY530,"• Same",IF(INDEX(B_VAL,MATCH(BG530,B_LVL,0))&gt;INDEX(B_VAL,MATCH(AY530,B_LVL,0)),"▲ Up","▼ Down"))</f>
        <v>• Same</v>
      </c>
      <c r="BJ530" s="40" t="str">
        <f>IF(OR($M530="",$M530="—",$M530="Not in this file"),"",IFERROR(INDEX($BG$7:$BG$592,MATCH($M530,$D$7:$D$592,0)),""))</f>
        <v>A3</v>
      </c>
      <c r="BK530" s="40" t="str">
        <f>IFERROR(IF(BJ530="","—",IF(OR(LEFT(BG530,1)="X",LEFT(BJ530,1)="X"),"—",IF(AND(LEFT(BG530,1)="E",LEFT(BJ530,1)="E"),"Exception · Band E",IF(AND(INDEX(B_VAL,MATCH(BJ530,B_LVL,0))&gt;=7,INDEX(B_RANK,MATCH(BG530,B_LVL,0))&gt;=INDEX(B_RANK,MATCH(BJ530,B_LVL,0))),"⚠ Same band as a head manager",IF(INDEX(B_VAL,MATCH(BG530,B_LVL,0))&gt;=INDEX(B_VAL,MATCH(BJ530,B_LVL,0)),"⚠ At or above the manager's level","OK"))))),"—")</f>
        <v>OK</v>
      </c>
      <c r="BL530" s="43" t="n"/>
      <c r="BM530" s="44">
        <f>IFERROR(INDEX(LMH_PTS,MATCH(Y530,LMH_KEY,0)),0)</f>
        <v>9</v>
      </c>
      <c r="BN530" s="38">
        <f>IFERROR(INDEX(LMH_PTS,MATCH(Z530,LMH_KEY,0)),0)</f>
        <v>3</v>
      </c>
      <c r="BO530" s="38">
        <f>IFERROR(INDEX(LMH_PTS,MATCH(AA530,LMH_KEY,0)),0)</f>
        <v>1</v>
      </c>
      <c r="BP530" s="38">
        <f>IFERROR(INDEX(LMH_PTS,MATCH(AB530,LMH_KEY,0)),0)</f>
        <v>1</v>
      </c>
      <c r="BQ530" s="38">
        <f>IFERROR(INDEX(LMH_PTS,MATCH(AC530,LMH_KEY,0)),0)</f>
        <v>1</v>
      </c>
      <c r="BR530" s="38">
        <f>IFERROR(INDEX(LMH_PTS,MATCH(AD530,LMH_KEY,0)),0)</f>
        <v>1</v>
      </c>
      <c r="BS530" s="38">
        <f>IFERROR(INDEX(LMH_PTS,MATCH(AE530,LMH_KEY,0)),0)</f>
        <v>1</v>
      </c>
      <c r="BT530" s="38">
        <f>IFERROR(INDEX(LMH_STEP,MATCH(AF530,LMH_KEY,0)),0)</f>
        <v>0</v>
      </c>
      <c r="BU530" s="38">
        <f>IFERROR(INDEX(LMH_STEP,MATCH(AG530,LMH_KEY,0)),0)</f>
        <v>0</v>
      </c>
      <c r="BV530" s="38">
        <f>IFERROR(INDEX(LMH_STEP,MATCH(AH530,LMH_KEY,0)),0)</f>
        <v>0</v>
      </c>
      <c r="BW530" s="38">
        <f>IFERROR(INDEX(LMH_STEP,MATCH(AI530,LMH_KEY,0)),0)</f>
        <v>0</v>
      </c>
      <c r="BX530" s="38">
        <f>IFERROR(INDEX(LMH_STEP,MATCH(AJ530,LMH_KEY,0)),0)</f>
        <v>0</v>
      </c>
      <c r="BY530" s="38">
        <f>IFERROR(INDEX(LMH_STEP,MATCH(AK530,LMH_KEY,0)),0)</f>
        <v>0</v>
      </c>
      <c r="BZ530" s="38">
        <f>IFERROR(INDEX(LMH_STEP,MATCH(AL530,LMH_KEY,0)),0)</f>
        <v>0</v>
      </c>
      <c r="CA530" s="38" t="inlineStr">
        <is>
          <t>CARBON|Technology|Senior UI Developer|A2|A</t>
        </is>
      </c>
    </row>
    <row r="531" ht="110" customHeight="1">
      <c r="A531" s="28" t="inlineStr">
        <is>
          <t>CARBON</t>
        </is>
      </c>
      <c r="B531" s="29" t="inlineStr">
        <is>
          <t>Technology</t>
        </is>
      </c>
      <c r="C531" s="29" t="n">
        <v>4</v>
      </c>
      <c r="D531" s="29" t="inlineStr">
        <is>
          <t>IRIS2281</t>
        </is>
      </c>
      <c r="E531" s="29" t="inlineStr">
        <is>
          <t>Riya Parekh</t>
        </is>
      </c>
      <c r="F531" s="29" t="inlineStr">
        <is>
          <t>Software Engineer</t>
        </is>
      </c>
      <c r="G531" s="29" t="inlineStr">
        <is>
          <t>Senior Software Engineer</t>
        </is>
      </c>
      <c r="H531" s="29" t="inlineStr">
        <is>
          <t>Engineering &amp; Development</t>
        </is>
      </c>
      <c r="I531" s="29" t="inlineStr">
        <is>
          <t>Full-Stack Development</t>
        </is>
      </c>
      <c r="J531" s="29" t="inlineStr">
        <is>
          <t>IC</t>
        </is>
      </c>
      <c r="K531" s="29" t="inlineStr">
        <is>
          <t>RC-085</t>
        </is>
      </c>
      <c r="L531" s="29" t="inlineStr">
        <is>
          <t>Hetal Chauhan</t>
        </is>
      </c>
      <c r="M531" s="29" t="inlineStr">
        <is>
          <t>IRIS1890</t>
        </is>
      </c>
      <c r="N531" s="29" t="n">
        <v>2.2</v>
      </c>
      <c r="O531" s="29" t="n">
        <v>2.2</v>
      </c>
      <c r="P531" s="29" t="inlineStr">
        <is>
          <t>Bachelor of Science</t>
        </is>
      </c>
      <c r="Q531" s="29" t="inlineStr">
        <is>
          <t>L3 – Professional / Associate</t>
        </is>
      </c>
      <c r="R531" s="29" t="inlineStr">
        <is>
          <t>A3</t>
        </is>
      </c>
      <c r="S531" s="30" t="inlineStr">
        <is>
          <t>20 of 20</t>
        </is>
      </c>
      <c r="T531" s="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t>
        </is>
      </c>
      <c r="U531" s="31" t="inlineStr">
        <is>
          <t>Received · manager annual · 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t>
        </is>
      </c>
      <c r="V531" s="31" t="inlineStr">
        <is>
          <t>Latest rating: Not rated · manager · 9-box: Not placed · manager · Readiness: No rating data</t>
        </is>
      </c>
      <c r="W531" s="31" t="inlineStr">
        <is>
          <t>C M · Au L · Ac M · L L · BI M · Exp M · 2.2 yrs vs 2–4 yrs · Edu M · Bachelor of Science</t>
        </is>
      </c>
      <c r="X531" s="33" t="inlineStr">
        <is>
          <t>Open ▸</t>
        </is>
      </c>
      <c r="Y531" s="34" t="str">
        <f>IFERROR(INDEX(DL_C,MATCH($CA531,DL_KEY,0)),"M")</f>
        <v>H</v>
      </c>
      <c r="Z531" s="35" t="str">
        <f>IFERROR(INDEX(DL_Au,MATCH($CA531,DL_KEY,0)),"M")</f>
        <v>M</v>
      </c>
      <c r="AA531" s="35" t="str">
        <f>IFERROR(INDEX(DL_Ac,MATCH($CA531,DL_KEY,0)),"M")</f>
        <v>L</v>
      </c>
      <c r="AB531" s="35" t="str">
        <f>IFERROR(INDEX(DL_L,MATCH($CA531,DL_KEY,0)),"M")</f>
        <v>L</v>
      </c>
      <c r="AC531" s="35" t="str">
        <f>IFERROR(INDEX(DL_BI,MATCH($CA531,DL_KEY,0)),"M")</f>
        <v>L</v>
      </c>
      <c r="AD531" s="35" t="str">
        <f>IFERROR(INDEX(DL_Exp,MATCH($CA531,DL_KEY,0)),"M")</f>
        <v>L</v>
      </c>
      <c r="AE531" s="35" t="str">
        <f>IFERROR(INDEX(DL_Edu,MATCH($CA531,DL_KEY,0)),"M")</f>
        <v>L</v>
      </c>
      <c r="AF531" s="34" t="inlineStr">
        <is>
          <t>M</t>
        </is>
      </c>
      <c r="AG531" s="35" t="inlineStr">
        <is>
          <t>M</t>
        </is>
      </c>
      <c r="AH531" s="35" t="inlineStr">
        <is>
          <t>M</t>
        </is>
      </c>
      <c r="AI531" s="35" t="inlineStr">
        <is>
          <t>M</t>
        </is>
      </c>
      <c r="AJ531" s="35" t="inlineStr">
        <is>
          <t>M</t>
        </is>
      </c>
      <c r="AK531" s="35" t="inlineStr">
        <is>
          <t>M</t>
        </is>
      </c>
      <c r="AL531" s="35" t="inlineStr">
        <is>
          <t>M</t>
        </is>
      </c>
      <c r="AM531" s="36" t="n">
        <v>0.583</v>
      </c>
      <c r="AN531" s="37" t="n">
        <v>0.16</v>
      </c>
      <c r="AO531" s="37" t="n">
        <v>0.09</v>
      </c>
      <c r="AP531" s="37" t="n">
        <v>0</v>
      </c>
      <c r="AQ531" s="37" t="n">
        <v>0.063</v>
      </c>
      <c r="AR531" s="37" t="n">
        <v>0.06</v>
      </c>
      <c r="AS531" s="37" t="n">
        <v>0.04</v>
      </c>
      <c r="AT531" s="38" t="inlineStr">
        <is>
          <t>2–5</t>
        </is>
      </c>
      <c r="AU531" s="38" t="inlineStr">
        <is>
          <t>Graduate; relevant certification preferred</t>
        </is>
      </c>
      <c r="AV531" s="38" t="inlineStr">
        <is>
          <t>None · guides 1–3 juniors informally</t>
        </is>
      </c>
      <c r="AW531" s="38" t="inlineStr">
        <is>
          <t>P2 · SFIA 3 Apply</t>
        </is>
      </c>
      <c r="AX5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1" s="39" t="inlineStr">
        <is>
          <t>A3</t>
        </is>
      </c>
      <c r="AZ531" s="40" t="inlineStr">
        <is>
          <t>Band A · Practitioner · Senior Associate</t>
        </is>
      </c>
      <c r="BA531" s="40" t="inlineStr">
        <is>
          <t>Model A3 from the six ratings, the market-derived weights and rules R1–R13 · then No change · already below the manager</t>
        </is>
      </c>
      <c r="BB531" s="41" t="inlineStr">
        <is>
          <t>A2</t>
        </is>
      </c>
      <c r="BC531" s="40" t="inlineStr">
        <is>
          <t>The six ratings on the market-average weights of Band A · all tracks score 2.42 → A2 · Hay, Mercer IPE and public plans · experience 2.2 yrs vs the A2 market range 0–3</t>
        </is>
      </c>
      <c r="BD531" s="42">
        <f>IF(SUM(BM531,BN531,BO531,BP531,BQ531,BR531,BS531)=0,0,(BM531*BT531+BN531*BU531+BO531*BV531+BP531*BW531+BQ531*BX531+BR531*BY531+BS531*BZ531)/SUM(BM531,BN531,BO531,BP531,BQ531,BR531,BS531))</f>
        <v>0</v>
      </c>
      <c r="BE531" s="41" t="str">
        <f>IF(LEFT(AY531,1)="X",AY531,IF(OR(AY531="B+",AY531="C+"),INDEX(LAD_PC,MAX(1,MIN(14,MATCH(AY531,LAD_PC,0)+IF(BD531&gt;=0.5,1,IF(BD531&lt;=-0.5,-1,0))))),INDEX(LAD_STD,MAX(1,MIN(12,MATCH(AY531,LAD_STD,0)+IF(BD531&gt;=0.5,1,IF(BD531&lt;=-0.5,-1,0)))))))</f>
        <v>A3</v>
      </c>
      <c r="BF531" s="43" t="n"/>
      <c r="BG531" s="41" t="str">
        <f>IF(BF531&lt;&gt;"",BF531,BE531)</f>
        <v>A3</v>
      </c>
      <c r="BH531" s="40" t="str">
        <f>IFERROR(CHOOSE(INDEX(B_RANK,MATCH(BG531,B_LVL,0)),"Band A","Band B","B+ · Player-Coach","Band C","C+ · Player-Coach","Band D","Band E"),"Band X · Consultant")</f>
        <v>Band A</v>
      </c>
      <c r="BI531" s="40" t="str">
        <f>IF(BG531=AY531,"• Same",IF(INDEX(B_VAL,MATCH(BG531,B_LVL,0))&gt;INDEX(B_VAL,MATCH(AY531,B_LVL,0)),"▲ Up","▼ Down"))</f>
        <v>• Same</v>
      </c>
      <c r="BJ531" s="40" t="str">
        <f>IF(OR($M531="",$M531="—",$M531="Not in this file"),"",IFERROR(INDEX($BG$7:$BG$592,MATCH($M531,$D$7:$D$592,0)),""))</f>
        <v>B1</v>
      </c>
      <c r="BK531" s="40" t="str">
        <f>IFERROR(IF(BJ531="","—",IF(OR(LEFT(BG531,1)="X",LEFT(BJ531,1)="X"),"—",IF(AND(LEFT(BG531,1)="E",LEFT(BJ531,1)="E"),"Exception · Band E",IF(AND(INDEX(B_VAL,MATCH(BJ531,B_LVL,0))&gt;=7,INDEX(B_RANK,MATCH(BG531,B_LVL,0))&gt;=INDEX(B_RANK,MATCH(BJ531,B_LVL,0))),"⚠ Same band as a head manager",IF(INDEX(B_VAL,MATCH(BG531,B_LVL,0))&gt;=INDEX(B_VAL,MATCH(BJ531,B_LVL,0)),"⚠ At or above the manager's level","OK"))))),"—")</f>
        <v>OK</v>
      </c>
      <c r="BL531" s="43" t="n"/>
      <c r="BM531" s="44">
        <f>IFERROR(INDEX(LMH_PTS,MATCH(Y531,LMH_KEY,0)),0)</f>
        <v>9</v>
      </c>
      <c r="BN531" s="38">
        <f>IFERROR(INDEX(LMH_PTS,MATCH(Z531,LMH_KEY,0)),0)</f>
        <v>3</v>
      </c>
      <c r="BO531" s="38">
        <f>IFERROR(INDEX(LMH_PTS,MATCH(AA531,LMH_KEY,0)),0)</f>
        <v>1</v>
      </c>
      <c r="BP531" s="38">
        <f>IFERROR(INDEX(LMH_PTS,MATCH(AB531,LMH_KEY,0)),0)</f>
        <v>1</v>
      </c>
      <c r="BQ531" s="38">
        <f>IFERROR(INDEX(LMH_PTS,MATCH(AC531,LMH_KEY,0)),0)</f>
        <v>1</v>
      </c>
      <c r="BR531" s="38">
        <f>IFERROR(INDEX(LMH_PTS,MATCH(AD531,LMH_KEY,0)),0)</f>
        <v>1</v>
      </c>
      <c r="BS531" s="38">
        <f>IFERROR(INDEX(LMH_PTS,MATCH(AE531,LMH_KEY,0)),0)</f>
        <v>1</v>
      </c>
      <c r="BT531" s="38">
        <f>IFERROR(INDEX(LMH_STEP,MATCH(AF531,LMH_KEY,0)),0)</f>
        <v>0</v>
      </c>
      <c r="BU531" s="38">
        <f>IFERROR(INDEX(LMH_STEP,MATCH(AG531,LMH_KEY,0)),0)</f>
        <v>0</v>
      </c>
      <c r="BV531" s="38">
        <f>IFERROR(INDEX(LMH_STEP,MATCH(AH531,LMH_KEY,0)),0)</f>
        <v>0</v>
      </c>
      <c r="BW531" s="38">
        <f>IFERROR(INDEX(LMH_STEP,MATCH(AI531,LMH_KEY,0)),0)</f>
        <v>0</v>
      </c>
      <c r="BX531" s="38">
        <f>IFERROR(INDEX(LMH_STEP,MATCH(AJ531,LMH_KEY,0)),0)</f>
        <v>0</v>
      </c>
      <c r="BY531" s="38">
        <f>IFERROR(INDEX(LMH_STEP,MATCH(AK531,LMH_KEY,0)),0)</f>
        <v>0</v>
      </c>
      <c r="BZ531" s="38">
        <f>IFERROR(INDEX(LMH_STEP,MATCH(AL531,LMH_KEY,0)),0)</f>
        <v>0</v>
      </c>
      <c r="CA531" s="38" t="inlineStr">
        <is>
          <t>CARBON|Technology|Senior Software Engineer|A3|A</t>
        </is>
      </c>
    </row>
    <row r="532" ht="110" customHeight="1">
      <c r="A532" s="28" t="inlineStr">
        <is>
          <t>CARBON</t>
        </is>
      </c>
      <c r="B532" s="29" t="inlineStr">
        <is>
          <t>Technology</t>
        </is>
      </c>
      <c r="C532" s="29" t="n">
        <v>3</v>
      </c>
      <c r="D532" s="29" t="inlineStr">
        <is>
          <t>IRIS2544</t>
        </is>
      </c>
      <c r="E532" s="29" t="inlineStr">
        <is>
          <t>Harsh Icecreamwala</t>
        </is>
      </c>
      <c r="F532" s="29" t="inlineStr">
        <is>
          <t>Software Engineer</t>
        </is>
      </c>
      <c r="G532" s="29" t="inlineStr">
        <is>
          <t>Senior Software Engineer</t>
        </is>
      </c>
      <c r="H532" s="29" t="inlineStr">
        <is>
          <t>Engineering &amp; Development</t>
        </is>
      </c>
      <c r="I532" s="29" t="inlineStr">
        <is>
          <t>Backend Development</t>
        </is>
      </c>
      <c r="J532" s="29" t="inlineStr">
        <is>
          <t>IC</t>
        </is>
      </c>
      <c r="K532" s="29" t="inlineStr">
        <is>
          <t>RC-067</t>
        </is>
      </c>
      <c r="L532" s="29" t="inlineStr">
        <is>
          <t>Siddhesh Kadam</t>
        </is>
      </c>
      <c r="M532" s="29" t="inlineStr">
        <is>
          <t>IRIS1535</t>
        </is>
      </c>
      <c r="N532" s="29" t="n">
        <v>2.9</v>
      </c>
      <c r="O532" s="29" t="n">
        <v>0.2</v>
      </c>
      <c r="P532" s="29" t="inlineStr">
        <is>
          <t>Master of Science</t>
        </is>
      </c>
      <c r="Q532" s="29" t="inlineStr">
        <is>
          <t>Not in current mapping files</t>
        </is>
      </c>
      <c r="R532" s="29" t="inlineStr">
        <is>
          <t>A3</t>
        </is>
      </c>
      <c r="S532" s="30" t="inlineStr">
        <is>
          <t>20 of 20</t>
        </is>
      </c>
      <c r="T532" s="31"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t>
        </is>
      </c>
      <c r="U532" s="32" t="inlineStr">
        <is>
          <t>KRAs not received · manager to supply</t>
        </is>
      </c>
      <c r="V532" s="31" t="inlineStr">
        <is>
          <t>Latest rating: Not rated · manager · 9-box: Not placed · manager · Readiness: No rating data</t>
        </is>
      </c>
      <c r="W532" s="31" t="inlineStr">
        <is>
          <t>C L · Au L · Ac L · L L · BI L · Exp M · 2.9 yrs vs 2–4 yrs · Edu H · Master of Science</t>
        </is>
      </c>
      <c r="X532" s="33" t="inlineStr">
        <is>
          <t>Open ▸</t>
        </is>
      </c>
      <c r="Y532" s="34" t="str">
        <f>IFERROR(INDEX(DL_C,MATCH($CA532,DL_KEY,0)),"M")</f>
        <v>H</v>
      </c>
      <c r="Z532" s="35" t="str">
        <f>IFERROR(INDEX(DL_Au,MATCH($CA532,DL_KEY,0)),"M")</f>
        <v>M</v>
      </c>
      <c r="AA532" s="35" t="str">
        <f>IFERROR(INDEX(DL_Ac,MATCH($CA532,DL_KEY,0)),"M")</f>
        <v>L</v>
      </c>
      <c r="AB532" s="35" t="str">
        <f>IFERROR(INDEX(DL_L,MATCH($CA532,DL_KEY,0)),"M")</f>
        <v>L</v>
      </c>
      <c r="AC532" s="35" t="str">
        <f>IFERROR(INDEX(DL_BI,MATCH($CA532,DL_KEY,0)),"M")</f>
        <v>L</v>
      </c>
      <c r="AD532" s="35" t="str">
        <f>IFERROR(INDEX(DL_Exp,MATCH($CA532,DL_KEY,0)),"M")</f>
        <v>L</v>
      </c>
      <c r="AE532" s="35" t="str">
        <f>IFERROR(INDEX(DL_Edu,MATCH($CA532,DL_KEY,0)),"M")</f>
        <v>L</v>
      </c>
      <c r="AF532" s="34" t="inlineStr">
        <is>
          <t>M</t>
        </is>
      </c>
      <c r="AG532" s="35" t="inlineStr">
        <is>
          <t>M</t>
        </is>
      </c>
      <c r="AH532" s="35" t="inlineStr">
        <is>
          <t>M</t>
        </is>
      </c>
      <c r="AI532" s="35" t="inlineStr">
        <is>
          <t>M</t>
        </is>
      </c>
      <c r="AJ532" s="35" t="inlineStr">
        <is>
          <t>M</t>
        </is>
      </c>
      <c r="AK532" s="35" t="inlineStr">
        <is>
          <t>M</t>
        </is>
      </c>
      <c r="AL532" s="35" t="inlineStr">
        <is>
          <t>M</t>
        </is>
      </c>
      <c r="AM532" s="36" t="n">
        <v>0.583</v>
      </c>
      <c r="AN532" s="37" t="n">
        <v>0.16</v>
      </c>
      <c r="AO532" s="37" t="n">
        <v>0.09</v>
      </c>
      <c r="AP532" s="37" t="n">
        <v>0</v>
      </c>
      <c r="AQ532" s="37" t="n">
        <v>0.063</v>
      </c>
      <c r="AR532" s="37" t="n">
        <v>0.06</v>
      </c>
      <c r="AS532" s="37" t="n">
        <v>0.04</v>
      </c>
      <c r="AT532" s="38" t="inlineStr">
        <is>
          <t>2–5</t>
        </is>
      </c>
      <c r="AU532" s="38" t="inlineStr">
        <is>
          <t>Graduate; relevant certification preferred</t>
        </is>
      </c>
      <c r="AV532" s="38" t="inlineStr">
        <is>
          <t>None · guides 1–3 juniors informally</t>
        </is>
      </c>
      <c r="AW532" s="38" t="inlineStr">
        <is>
          <t>P2 · SFIA 3 Apply</t>
        </is>
      </c>
      <c r="AX5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2" s="39" t="inlineStr">
        <is>
          <t>A3</t>
        </is>
      </c>
      <c r="AZ532" s="40" t="inlineStr">
        <is>
          <t>Band A · Practitioner · Senior Associate</t>
        </is>
      </c>
      <c r="BA532" s="40" t="inlineStr">
        <is>
          <t>Model A3 from the six ratings, the market-derived weights and rules R1–R13 · then No change · already below the manager</t>
        </is>
      </c>
      <c r="BB532" s="41" t="inlineStr">
        <is>
          <t>A2</t>
        </is>
      </c>
      <c r="BC532" s="40" t="inlineStr">
        <is>
          <t>The six ratings on the market-average weights of Band A · all tracks score 2.15 → A2 · Hay, Mercer IPE and public plans · experience 2.9 yrs vs the A2 market range 0–3</t>
        </is>
      </c>
      <c r="BD532" s="42">
        <f>IF(SUM(BM532,BN532,BO532,BP532,BQ532,BR532,BS532)=0,0,(BM532*BT532+BN532*BU532+BO532*BV532+BP532*BW532+BQ532*BX532+BR532*BY532+BS532*BZ532)/SUM(BM532,BN532,BO532,BP532,BQ532,BR532,BS532))</f>
        <v>0</v>
      </c>
      <c r="BE532" s="41" t="str">
        <f>IF(LEFT(AY532,1)="X",AY532,IF(OR(AY532="B+",AY532="C+"),INDEX(LAD_PC,MAX(1,MIN(14,MATCH(AY532,LAD_PC,0)+IF(BD532&gt;=0.5,1,IF(BD532&lt;=-0.5,-1,0))))),INDEX(LAD_STD,MAX(1,MIN(12,MATCH(AY532,LAD_STD,0)+IF(BD532&gt;=0.5,1,IF(BD532&lt;=-0.5,-1,0)))))))</f>
        <v>A3</v>
      </c>
      <c r="BF532" s="43" t="n"/>
      <c r="BG532" s="41" t="str">
        <f>IF(BF532&lt;&gt;"",BF532,BE532)</f>
        <v>A3</v>
      </c>
      <c r="BH532" s="40" t="str">
        <f>IFERROR(CHOOSE(INDEX(B_RANK,MATCH(BG532,B_LVL,0)),"Band A","Band B","B+ · Player-Coach","Band C","C+ · Player-Coach","Band D","Band E"),"Band X · Consultant")</f>
        <v>Band A</v>
      </c>
      <c r="BI532" s="40" t="str">
        <f>IF(BG532=AY532,"• Same",IF(INDEX(B_VAL,MATCH(BG532,B_LVL,0))&gt;INDEX(B_VAL,MATCH(AY532,B_LVL,0)),"▲ Up","▼ Down"))</f>
        <v>• Same</v>
      </c>
      <c r="BJ532" s="40" t="str">
        <f>IF(OR($M532="",$M532="—",$M532="Not in this file"),"",IFERROR(INDEX($BG$7:$BG$592,MATCH($M532,$D$7:$D$592,0)),""))</f>
        <v>B2</v>
      </c>
      <c r="BK532" s="40" t="str">
        <f>IFERROR(IF(BJ532="","—",IF(OR(LEFT(BG532,1)="X",LEFT(BJ532,1)="X"),"—",IF(AND(LEFT(BG532,1)="E",LEFT(BJ532,1)="E"),"Exception · Band E",IF(AND(INDEX(B_VAL,MATCH(BJ532,B_LVL,0))&gt;=7,INDEX(B_RANK,MATCH(BG532,B_LVL,0))&gt;=INDEX(B_RANK,MATCH(BJ532,B_LVL,0))),"⚠ Same band as a head manager",IF(INDEX(B_VAL,MATCH(BG532,B_LVL,0))&gt;=INDEX(B_VAL,MATCH(BJ532,B_LVL,0)),"⚠ At or above the manager's level","OK"))))),"—")</f>
        <v>OK</v>
      </c>
      <c r="BL532" s="43" t="n"/>
      <c r="BM532" s="44">
        <f>IFERROR(INDEX(LMH_PTS,MATCH(Y532,LMH_KEY,0)),0)</f>
        <v>9</v>
      </c>
      <c r="BN532" s="38">
        <f>IFERROR(INDEX(LMH_PTS,MATCH(Z532,LMH_KEY,0)),0)</f>
        <v>3</v>
      </c>
      <c r="BO532" s="38">
        <f>IFERROR(INDEX(LMH_PTS,MATCH(AA532,LMH_KEY,0)),0)</f>
        <v>1</v>
      </c>
      <c r="BP532" s="38">
        <f>IFERROR(INDEX(LMH_PTS,MATCH(AB532,LMH_KEY,0)),0)</f>
        <v>1</v>
      </c>
      <c r="BQ532" s="38">
        <f>IFERROR(INDEX(LMH_PTS,MATCH(AC532,LMH_KEY,0)),0)</f>
        <v>1</v>
      </c>
      <c r="BR532" s="38">
        <f>IFERROR(INDEX(LMH_PTS,MATCH(AD532,LMH_KEY,0)),0)</f>
        <v>1</v>
      </c>
      <c r="BS532" s="38">
        <f>IFERROR(INDEX(LMH_PTS,MATCH(AE532,LMH_KEY,0)),0)</f>
        <v>1</v>
      </c>
      <c r="BT532" s="38">
        <f>IFERROR(INDEX(LMH_STEP,MATCH(AF532,LMH_KEY,0)),0)</f>
        <v>0</v>
      </c>
      <c r="BU532" s="38">
        <f>IFERROR(INDEX(LMH_STEP,MATCH(AG532,LMH_KEY,0)),0)</f>
        <v>0</v>
      </c>
      <c r="BV532" s="38">
        <f>IFERROR(INDEX(LMH_STEP,MATCH(AH532,LMH_KEY,0)),0)</f>
        <v>0</v>
      </c>
      <c r="BW532" s="38">
        <f>IFERROR(INDEX(LMH_STEP,MATCH(AI532,LMH_KEY,0)),0)</f>
        <v>0</v>
      </c>
      <c r="BX532" s="38">
        <f>IFERROR(INDEX(LMH_STEP,MATCH(AJ532,LMH_KEY,0)),0)</f>
        <v>0</v>
      </c>
      <c r="BY532" s="38">
        <f>IFERROR(INDEX(LMH_STEP,MATCH(AK532,LMH_KEY,0)),0)</f>
        <v>0</v>
      </c>
      <c r="BZ532" s="38">
        <f>IFERROR(INDEX(LMH_STEP,MATCH(AL532,LMH_KEY,0)),0)</f>
        <v>0</v>
      </c>
      <c r="CA532" s="38" t="inlineStr">
        <is>
          <t>CARBON|Technology|Senior Software Engineer|A3|A</t>
        </is>
      </c>
    </row>
    <row r="533" ht="110" customHeight="1">
      <c r="A533" s="28" t="inlineStr">
        <is>
          <t>CARBON</t>
        </is>
      </c>
      <c r="B533" s="29" t="inlineStr">
        <is>
          <t>Technology</t>
        </is>
      </c>
      <c r="C533" s="29" t="n">
        <v>3</v>
      </c>
      <c r="D533" s="29" t="inlineStr">
        <is>
          <t>IRIS2146</t>
        </is>
      </c>
      <c r="E533" s="29" t="inlineStr">
        <is>
          <t>Parthviben Mistry</t>
        </is>
      </c>
      <c r="F533" s="29" t="inlineStr">
        <is>
          <t>Software Engineer</t>
        </is>
      </c>
      <c r="G533" s="29" t="inlineStr">
        <is>
          <t>Senior Software Engineer</t>
        </is>
      </c>
      <c r="H533" s="29" t="inlineStr">
        <is>
          <t>Engineering &amp; Development</t>
        </is>
      </c>
      <c r="I533" s="29" t="inlineStr">
        <is>
          <t>Full-Stack Development</t>
        </is>
      </c>
      <c r="J533" s="29" t="inlineStr">
        <is>
          <t>IC</t>
        </is>
      </c>
      <c r="K533" s="29" t="inlineStr">
        <is>
          <t>RC-085</t>
        </is>
      </c>
      <c r="L533" s="29" t="inlineStr">
        <is>
          <t>Siddhesh Kadam</t>
        </is>
      </c>
      <c r="M533" s="29" t="inlineStr">
        <is>
          <t>IRIS1535</t>
        </is>
      </c>
      <c r="N533" s="29" t="n">
        <v>4.3</v>
      </c>
      <c r="O533" s="29" t="n">
        <v>3.3</v>
      </c>
      <c r="P533" s="29" t="inlineStr">
        <is>
          <t>B.Tech</t>
        </is>
      </c>
      <c r="Q533" s="29" t="inlineStr">
        <is>
          <t>L3 – Professional / Associate</t>
        </is>
      </c>
      <c r="R533" s="29" t="inlineStr">
        <is>
          <t>A3</t>
        </is>
      </c>
      <c r="S533" s="30" t="inlineStr">
        <is>
          <t>20 of 20</t>
        </is>
      </c>
      <c r="T533" s="31" t="inlineStr">
        <is>
          <t>• Role / sub-team: Technology — Software Engineer.
• Core purpose: Input not given by Participant.
• Decision-making autonomy: Input not given by Participant.
• Is this something only they do: Input not given by Participant.</t>
        </is>
      </c>
      <c r="U533" s="31" t="inlineStr">
        <is>
          <t>Received · manager annual · 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t>
        </is>
      </c>
      <c r="V533" s="31" t="inlineStr">
        <is>
          <t>Latest rating: Not rated · manager · 9-box: Trusted Professional · Readiness: No rating data</t>
        </is>
      </c>
      <c r="W533" s="31" t="inlineStr">
        <is>
          <t>C M · Au M · Ac M · L L · BI M · Exp H · 4.3 yrs vs 2–4 yrs · Edu M · B.Tech</t>
        </is>
      </c>
      <c r="X533" s="33" t="inlineStr">
        <is>
          <t>Open ▸</t>
        </is>
      </c>
      <c r="Y533" s="34" t="str">
        <f>IFERROR(INDEX(DL_C,MATCH($CA533,DL_KEY,0)),"M")</f>
        <v>H</v>
      </c>
      <c r="Z533" s="35" t="str">
        <f>IFERROR(INDEX(DL_Au,MATCH($CA533,DL_KEY,0)),"M")</f>
        <v>M</v>
      </c>
      <c r="AA533" s="35" t="str">
        <f>IFERROR(INDEX(DL_Ac,MATCH($CA533,DL_KEY,0)),"M")</f>
        <v>L</v>
      </c>
      <c r="AB533" s="35" t="str">
        <f>IFERROR(INDEX(DL_L,MATCH($CA533,DL_KEY,0)),"M")</f>
        <v>L</v>
      </c>
      <c r="AC533" s="35" t="str">
        <f>IFERROR(INDEX(DL_BI,MATCH($CA533,DL_KEY,0)),"M")</f>
        <v>L</v>
      </c>
      <c r="AD533" s="35" t="str">
        <f>IFERROR(INDEX(DL_Exp,MATCH($CA533,DL_KEY,0)),"M")</f>
        <v>L</v>
      </c>
      <c r="AE533" s="35" t="str">
        <f>IFERROR(INDEX(DL_Edu,MATCH($CA533,DL_KEY,0)),"M")</f>
        <v>L</v>
      </c>
      <c r="AF533" s="34" t="inlineStr">
        <is>
          <t>M</t>
        </is>
      </c>
      <c r="AG533" s="35" t="inlineStr">
        <is>
          <t>M</t>
        </is>
      </c>
      <c r="AH533" s="35" t="inlineStr">
        <is>
          <t>M</t>
        </is>
      </c>
      <c r="AI533" s="35" t="inlineStr">
        <is>
          <t>M</t>
        </is>
      </c>
      <c r="AJ533" s="35" t="inlineStr">
        <is>
          <t>M</t>
        </is>
      </c>
      <c r="AK533" s="35" t="inlineStr">
        <is>
          <t>M</t>
        </is>
      </c>
      <c r="AL533" s="35" t="inlineStr">
        <is>
          <t>M</t>
        </is>
      </c>
      <c r="AM533" s="36" t="n">
        <v>0.583</v>
      </c>
      <c r="AN533" s="37" t="n">
        <v>0.16</v>
      </c>
      <c r="AO533" s="37" t="n">
        <v>0.09</v>
      </c>
      <c r="AP533" s="37" t="n">
        <v>0</v>
      </c>
      <c r="AQ533" s="37" t="n">
        <v>0.063</v>
      </c>
      <c r="AR533" s="37" t="n">
        <v>0.06</v>
      </c>
      <c r="AS533" s="37" t="n">
        <v>0.04</v>
      </c>
      <c r="AT533" s="38" t="inlineStr">
        <is>
          <t>2–5</t>
        </is>
      </c>
      <c r="AU533" s="38" t="inlineStr">
        <is>
          <t>Graduate; relevant certification preferred</t>
        </is>
      </c>
      <c r="AV533" s="38" t="inlineStr">
        <is>
          <t>None · guides 1–3 juniors informally</t>
        </is>
      </c>
      <c r="AW533" s="38" t="inlineStr">
        <is>
          <t>P2 · SFIA 3 Apply</t>
        </is>
      </c>
      <c r="AX5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3" s="39" t="inlineStr">
        <is>
          <t>A3</t>
        </is>
      </c>
      <c r="AZ533" s="40" t="inlineStr">
        <is>
          <t>Band A · Practitioner · Senior Associate</t>
        </is>
      </c>
      <c r="BA533" s="40" t="inlineStr">
        <is>
          <t>Model A3 from the six ratings, the market-derived weights and rules R1–R13 · then No change · already below the manager</t>
        </is>
      </c>
      <c r="BB533" s="41" t="inlineStr">
        <is>
          <t>A3</t>
        </is>
      </c>
      <c r="BC533" s="40" t="inlineStr">
        <is>
          <t>The six ratings on the market-average weights of Band A · all tracks score 3.05 → A3 · Hay, Mercer IPE and public plans · experience 4.3 yrs vs the A3 market range 2–5</t>
        </is>
      </c>
      <c r="BD533" s="42">
        <f>IF(SUM(BM533,BN533,BO533,BP533,BQ533,BR533,BS533)=0,0,(BM533*BT533+BN533*BU533+BO533*BV533+BP533*BW533+BQ533*BX533+BR533*BY533+BS533*BZ533)/SUM(BM533,BN533,BO533,BP533,BQ533,BR533,BS533))</f>
        <v>0</v>
      </c>
      <c r="BE533" s="41" t="str">
        <f>IF(LEFT(AY533,1)="X",AY533,IF(OR(AY533="B+",AY533="C+"),INDEX(LAD_PC,MAX(1,MIN(14,MATCH(AY533,LAD_PC,0)+IF(BD533&gt;=0.5,1,IF(BD533&lt;=-0.5,-1,0))))),INDEX(LAD_STD,MAX(1,MIN(12,MATCH(AY533,LAD_STD,0)+IF(BD533&gt;=0.5,1,IF(BD533&lt;=-0.5,-1,0)))))))</f>
        <v>A3</v>
      </c>
      <c r="BF533" s="43" t="n"/>
      <c r="BG533" s="41" t="str">
        <f>IF(BF533&lt;&gt;"",BF533,BE533)</f>
        <v>A3</v>
      </c>
      <c r="BH533" s="40" t="str">
        <f>IFERROR(CHOOSE(INDEX(B_RANK,MATCH(BG533,B_LVL,0)),"Band A","Band B","B+ · Player-Coach","Band C","C+ · Player-Coach","Band D","Band E"),"Band X · Consultant")</f>
        <v>Band A</v>
      </c>
      <c r="BI533" s="40" t="str">
        <f>IF(BG533=AY533,"• Same",IF(INDEX(B_VAL,MATCH(BG533,B_LVL,0))&gt;INDEX(B_VAL,MATCH(AY533,B_LVL,0)),"▲ Up","▼ Down"))</f>
        <v>• Same</v>
      </c>
      <c r="BJ533" s="40" t="str">
        <f>IF(OR($M533="",$M533="—",$M533="Not in this file"),"",IFERROR(INDEX($BG$7:$BG$592,MATCH($M533,$D$7:$D$592,0)),""))</f>
        <v>B2</v>
      </c>
      <c r="BK533" s="40" t="str">
        <f>IFERROR(IF(BJ533="","—",IF(OR(LEFT(BG533,1)="X",LEFT(BJ533,1)="X"),"—",IF(AND(LEFT(BG533,1)="E",LEFT(BJ533,1)="E"),"Exception · Band E",IF(AND(INDEX(B_VAL,MATCH(BJ533,B_LVL,0))&gt;=7,INDEX(B_RANK,MATCH(BG533,B_LVL,0))&gt;=INDEX(B_RANK,MATCH(BJ533,B_LVL,0))),"⚠ Same band as a head manager",IF(INDEX(B_VAL,MATCH(BG533,B_LVL,0))&gt;=INDEX(B_VAL,MATCH(BJ533,B_LVL,0)),"⚠ At or above the manager's level","OK"))))),"—")</f>
        <v>OK</v>
      </c>
      <c r="BL533" s="43" t="n"/>
      <c r="BM533" s="44">
        <f>IFERROR(INDEX(LMH_PTS,MATCH(Y533,LMH_KEY,0)),0)</f>
        <v>9</v>
      </c>
      <c r="BN533" s="38">
        <f>IFERROR(INDEX(LMH_PTS,MATCH(Z533,LMH_KEY,0)),0)</f>
        <v>3</v>
      </c>
      <c r="BO533" s="38">
        <f>IFERROR(INDEX(LMH_PTS,MATCH(AA533,LMH_KEY,0)),0)</f>
        <v>1</v>
      </c>
      <c r="BP533" s="38">
        <f>IFERROR(INDEX(LMH_PTS,MATCH(AB533,LMH_KEY,0)),0)</f>
        <v>1</v>
      </c>
      <c r="BQ533" s="38">
        <f>IFERROR(INDEX(LMH_PTS,MATCH(AC533,LMH_KEY,0)),0)</f>
        <v>1</v>
      </c>
      <c r="BR533" s="38">
        <f>IFERROR(INDEX(LMH_PTS,MATCH(AD533,LMH_KEY,0)),0)</f>
        <v>1</v>
      </c>
      <c r="BS533" s="38">
        <f>IFERROR(INDEX(LMH_PTS,MATCH(AE533,LMH_KEY,0)),0)</f>
        <v>1</v>
      </c>
      <c r="BT533" s="38">
        <f>IFERROR(INDEX(LMH_STEP,MATCH(AF533,LMH_KEY,0)),0)</f>
        <v>0</v>
      </c>
      <c r="BU533" s="38">
        <f>IFERROR(INDEX(LMH_STEP,MATCH(AG533,LMH_KEY,0)),0)</f>
        <v>0</v>
      </c>
      <c r="BV533" s="38">
        <f>IFERROR(INDEX(LMH_STEP,MATCH(AH533,LMH_KEY,0)),0)</f>
        <v>0</v>
      </c>
      <c r="BW533" s="38">
        <f>IFERROR(INDEX(LMH_STEP,MATCH(AI533,LMH_KEY,0)),0)</f>
        <v>0</v>
      </c>
      <c r="BX533" s="38">
        <f>IFERROR(INDEX(LMH_STEP,MATCH(AJ533,LMH_KEY,0)),0)</f>
        <v>0</v>
      </c>
      <c r="BY533" s="38">
        <f>IFERROR(INDEX(LMH_STEP,MATCH(AK533,LMH_KEY,0)),0)</f>
        <v>0</v>
      </c>
      <c r="BZ533" s="38">
        <f>IFERROR(INDEX(LMH_STEP,MATCH(AL533,LMH_KEY,0)),0)</f>
        <v>0</v>
      </c>
      <c r="CA533" s="38" t="inlineStr">
        <is>
          <t>CARBON|Technology|Senior Software Engineer|A3|A</t>
        </is>
      </c>
    </row>
    <row r="534" ht="110" customHeight="1">
      <c r="A534" s="28" t="inlineStr">
        <is>
          <t>CARBON</t>
        </is>
      </c>
      <c r="B534" s="29" t="inlineStr">
        <is>
          <t>Technology</t>
        </is>
      </c>
      <c r="C534" s="29" t="n">
        <v>2</v>
      </c>
      <c r="D534" s="29" t="inlineStr">
        <is>
          <t>IRIS2495</t>
        </is>
      </c>
      <c r="E534" s="29" t="inlineStr">
        <is>
          <t>Manasvi Sharma</t>
        </is>
      </c>
      <c r="F534" s="29" t="inlineStr">
        <is>
          <t>Senior Software Engineer - AI/ML</t>
        </is>
      </c>
      <c r="G534" s="29" t="inlineStr">
        <is>
          <t>AI/ML Specialist – POD Lead</t>
        </is>
      </c>
      <c r="H534" s="29" t="inlineStr">
        <is>
          <t>Engineering &amp; Development</t>
        </is>
      </c>
      <c r="I534" s="29" t="inlineStr">
        <is>
          <t>AI / ML &amp; GenAI Engineering</t>
        </is>
      </c>
      <c r="J534" s="29" t="inlineStr">
        <is>
          <t>POD Lead</t>
        </is>
      </c>
      <c r="K534" s="29" t="inlineStr">
        <is>
          <t>RC-061</t>
        </is>
      </c>
      <c r="L534" s="29" t="inlineStr">
        <is>
          <t>Ashish Singhvi</t>
        </is>
      </c>
      <c r="M534" s="29" t="inlineStr">
        <is>
          <t>IRIS0249</t>
        </is>
      </c>
      <c r="N534" s="29" t="n">
        <v>7.5</v>
      </c>
      <c r="O534" s="29" t="n">
        <v>0.5</v>
      </c>
      <c r="P534" s="29" t="inlineStr">
        <is>
          <t>B.Sc</t>
        </is>
      </c>
      <c r="Q534" s="29" t="inlineStr">
        <is>
          <t>L4 – Senior</t>
        </is>
      </c>
      <c r="R534" s="29" t="inlineStr">
        <is>
          <t>B1</t>
        </is>
      </c>
      <c r="S534" s="30" t="inlineStr">
        <is>
          <t>20 of 20</t>
        </is>
      </c>
      <c r="T534" s="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t>
        </is>
      </c>
      <c r="U534"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34" s="31" t="inlineStr">
        <is>
          <t>Latest rating: Not rated · manager · 9-box: Trusted Professional · Readiness: No rating data</t>
        </is>
      </c>
      <c r="W534" s="31" t="inlineStr">
        <is>
          <t>C M · Au L · Ac L · L L · BI M · Exp H · 7.5 yrs vs 4–7 yrs · Edu M · B.Sc</t>
        </is>
      </c>
      <c r="X534" s="33" t="inlineStr">
        <is>
          <t>Open ▸</t>
        </is>
      </c>
      <c r="Y534" s="34" t="str">
        <f>IFERROR(INDEX(DL_C,MATCH($CA534,DL_KEY,0)),"M")</f>
        <v>H</v>
      </c>
      <c r="Z534" s="35" t="str">
        <f>IFERROR(INDEX(DL_Au,MATCH($CA534,DL_KEY,0)),"M")</f>
        <v>M</v>
      </c>
      <c r="AA534" s="35" t="str">
        <f>IFERROR(INDEX(DL_Ac,MATCH($CA534,DL_KEY,0)),"M")</f>
        <v>L</v>
      </c>
      <c r="AB534" s="35" t="str">
        <f>IFERROR(INDEX(DL_L,MATCH($CA534,DL_KEY,0)),"M")</f>
        <v>L</v>
      </c>
      <c r="AC534" s="35" t="str">
        <f>IFERROR(INDEX(DL_BI,MATCH($CA534,DL_KEY,0)),"M")</f>
        <v>L</v>
      </c>
      <c r="AD534" s="35" t="str">
        <f>IFERROR(INDEX(DL_Exp,MATCH($CA534,DL_KEY,0)),"M")</f>
        <v>L</v>
      </c>
      <c r="AE534" s="35" t="str">
        <f>IFERROR(INDEX(DL_Edu,MATCH($CA534,DL_KEY,0)),"M")</f>
        <v>L</v>
      </c>
      <c r="AF534" s="34" t="inlineStr">
        <is>
          <t>M</t>
        </is>
      </c>
      <c r="AG534" s="35" t="inlineStr">
        <is>
          <t>M</t>
        </is>
      </c>
      <c r="AH534" s="35" t="inlineStr">
        <is>
          <t>M</t>
        </is>
      </c>
      <c r="AI534" s="35" t="inlineStr">
        <is>
          <t>M</t>
        </is>
      </c>
      <c r="AJ534" s="35" t="inlineStr">
        <is>
          <t>M</t>
        </is>
      </c>
      <c r="AK534" s="35" t="inlineStr">
        <is>
          <t>M</t>
        </is>
      </c>
      <c r="AL534" s="35" t="inlineStr">
        <is>
          <t>M</t>
        </is>
      </c>
      <c r="AM534" s="36" t="n">
        <v>0.513</v>
      </c>
      <c r="AN534" s="37" t="n">
        <v>0.173</v>
      </c>
      <c r="AO534" s="37" t="n">
        <v>0.09699999999999999</v>
      </c>
      <c r="AP534" s="37" t="n">
        <v>0.05</v>
      </c>
      <c r="AQ534" s="37" t="n">
        <v>0.07000000000000001</v>
      </c>
      <c r="AR534" s="37" t="n">
        <v>0.06</v>
      </c>
      <c r="AS534" s="37" t="n">
        <v>0.04</v>
      </c>
      <c r="AT534" s="38" t="inlineStr">
        <is>
          <t>4–8</t>
        </is>
      </c>
      <c r="AU534" s="38" t="inlineStr">
        <is>
          <t>Graduate + relevant qualification or certification preferred</t>
        </is>
      </c>
      <c r="AV534" s="38" t="inlineStr">
        <is>
          <t>IC: none · Team Lead: 3–5</t>
        </is>
      </c>
      <c r="AW534" s="38" t="inlineStr">
        <is>
          <t>P3 / M2 · SFIA 4 Enable</t>
        </is>
      </c>
      <c r="AX5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4" s="39" t="inlineStr">
        <is>
          <t>B1</t>
        </is>
      </c>
      <c r="AZ534" s="40" t="inlineStr">
        <is>
          <t>Band B · Specialist / Manager · Team Lead / Asst Manager</t>
        </is>
      </c>
      <c r="BA534" s="40" t="inlineStr">
        <is>
          <t>Model B1 from the six ratings, the market-derived weights and rules R1–R13 · then No change · already below the manager</t>
        </is>
      </c>
      <c r="BB534" s="41" t="inlineStr">
        <is>
          <t>A3</t>
        </is>
      </c>
      <c r="BC534" s="40" t="inlineStr">
        <is>
          <t>The six ratings on the market-average weights of Band B · Specialist / POD Lead score 3.49 → A3 · Hay, Mercer IPE and public plans · experience 7.5 yrs vs the A3 market range 2–5</t>
        </is>
      </c>
      <c r="BD534" s="42">
        <f>IF(SUM(BM534,BN534,BO534,BP534,BQ534,BR534,BS534)=0,0,(BM534*BT534+BN534*BU534+BO534*BV534+BP534*BW534+BQ534*BX534+BR534*BY534+BS534*BZ534)/SUM(BM534,BN534,BO534,BP534,BQ534,BR534,BS534))</f>
        <v>0</v>
      </c>
      <c r="BE534" s="41" t="str">
        <f>IF(LEFT(AY534,1)="X",AY534,IF(OR(AY534="B+",AY534="C+"),INDEX(LAD_PC,MAX(1,MIN(14,MATCH(AY534,LAD_PC,0)+IF(BD534&gt;=0.5,1,IF(BD534&lt;=-0.5,-1,0))))),INDEX(LAD_STD,MAX(1,MIN(12,MATCH(AY534,LAD_STD,0)+IF(BD534&gt;=0.5,1,IF(BD534&lt;=-0.5,-1,0)))))))</f>
        <v>B1</v>
      </c>
      <c r="BF534" s="43" t="n"/>
      <c r="BG534" s="41" t="str">
        <f>IF(BF534&lt;&gt;"",BF534,BE534)</f>
        <v>B1</v>
      </c>
      <c r="BH534" s="40" t="str">
        <f>IFERROR(CHOOSE(INDEX(B_RANK,MATCH(BG534,B_LVL,0)),"Band A","Band B","B+ · Player-Coach","Band C","C+ · Player-Coach","Band D","Band E"),"Band X · Consultant")</f>
        <v>Band B</v>
      </c>
      <c r="BI534" s="40" t="str">
        <f>IF(BG534=AY534,"• Same",IF(INDEX(B_VAL,MATCH(BG534,B_LVL,0))&gt;INDEX(B_VAL,MATCH(AY534,B_LVL,0)),"▲ Up","▼ Down"))</f>
        <v>• Same</v>
      </c>
      <c r="BJ534" s="40" t="str">
        <f>IF(OR($M534="",$M534="—",$M534="Not in this file"),"",IFERROR(INDEX($BG$7:$BG$592,MATCH($M534,$D$7:$D$592,0)),""))</f>
        <v>C2</v>
      </c>
      <c r="BK534" s="40" t="str">
        <f>IFERROR(IF(BJ534="","—",IF(OR(LEFT(BG534,1)="X",LEFT(BJ534,1)="X"),"—",IF(AND(LEFT(BG534,1)="E",LEFT(BJ534,1)="E"),"Exception · Band E",IF(AND(INDEX(B_VAL,MATCH(BJ534,B_LVL,0))&gt;=7,INDEX(B_RANK,MATCH(BG534,B_LVL,0))&gt;=INDEX(B_RANK,MATCH(BJ534,B_LVL,0))),"⚠ Same band as a head manager",IF(INDEX(B_VAL,MATCH(BG534,B_LVL,0))&gt;=INDEX(B_VAL,MATCH(BJ534,B_LVL,0)),"⚠ At or above the manager's level","OK"))))),"—")</f>
        <v>OK</v>
      </c>
      <c r="BL534" s="43" t="n"/>
      <c r="BM534" s="44">
        <f>IFERROR(INDEX(LMH_PTS,MATCH(Y534,LMH_KEY,0)),0)</f>
        <v>9</v>
      </c>
      <c r="BN534" s="38">
        <f>IFERROR(INDEX(LMH_PTS,MATCH(Z534,LMH_KEY,0)),0)</f>
        <v>3</v>
      </c>
      <c r="BO534" s="38">
        <f>IFERROR(INDEX(LMH_PTS,MATCH(AA534,LMH_KEY,0)),0)</f>
        <v>1</v>
      </c>
      <c r="BP534" s="38">
        <f>IFERROR(INDEX(LMH_PTS,MATCH(AB534,LMH_KEY,0)),0)</f>
        <v>1</v>
      </c>
      <c r="BQ534" s="38">
        <f>IFERROR(INDEX(LMH_PTS,MATCH(AC534,LMH_KEY,0)),0)</f>
        <v>1</v>
      </c>
      <c r="BR534" s="38">
        <f>IFERROR(INDEX(LMH_PTS,MATCH(AD534,LMH_KEY,0)),0)</f>
        <v>1</v>
      </c>
      <c r="BS534" s="38">
        <f>IFERROR(INDEX(LMH_PTS,MATCH(AE534,LMH_KEY,0)),0)</f>
        <v>1</v>
      </c>
      <c r="BT534" s="38">
        <f>IFERROR(INDEX(LMH_STEP,MATCH(AF534,LMH_KEY,0)),0)</f>
        <v>0</v>
      </c>
      <c r="BU534" s="38">
        <f>IFERROR(INDEX(LMH_STEP,MATCH(AG534,LMH_KEY,0)),0)</f>
        <v>0</v>
      </c>
      <c r="BV534" s="38">
        <f>IFERROR(INDEX(LMH_STEP,MATCH(AH534,LMH_KEY,0)),0)</f>
        <v>0</v>
      </c>
      <c r="BW534" s="38">
        <f>IFERROR(INDEX(LMH_STEP,MATCH(AI534,LMH_KEY,0)),0)</f>
        <v>0</v>
      </c>
      <c r="BX534" s="38">
        <f>IFERROR(INDEX(LMH_STEP,MATCH(AJ534,LMH_KEY,0)),0)</f>
        <v>0</v>
      </c>
      <c r="BY534" s="38">
        <f>IFERROR(INDEX(LMH_STEP,MATCH(AK534,LMH_KEY,0)),0)</f>
        <v>0</v>
      </c>
      <c r="BZ534" s="38">
        <f>IFERROR(INDEX(LMH_STEP,MATCH(AL534,LMH_KEY,0)),0)</f>
        <v>0</v>
      </c>
      <c r="CA534" s="38" t="inlineStr">
        <is>
          <t>CARBON|Technology|AI/ML Specialist – POD Lead|B1|B-IC</t>
        </is>
      </c>
    </row>
    <row r="535" ht="110" customHeight="1">
      <c r="A535" s="28" t="inlineStr">
        <is>
          <t>CARBON</t>
        </is>
      </c>
      <c r="B535" s="29" t="inlineStr">
        <is>
          <t>Technology</t>
        </is>
      </c>
      <c r="C535" s="29" t="n">
        <v>3</v>
      </c>
      <c r="D535" s="29" t="inlineStr">
        <is>
          <t>IRIS2407</t>
        </is>
      </c>
      <c r="E535" s="29" t="inlineStr">
        <is>
          <t>Ayush Dattatraya Tikone</t>
        </is>
      </c>
      <c r="F535" s="29" t="inlineStr">
        <is>
          <t>Software Engineer - AI/ML</t>
        </is>
      </c>
      <c r="G535" s="29" t="inlineStr">
        <is>
          <t>AI/ML Engineer</t>
        </is>
      </c>
      <c r="H535" s="29" t="inlineStr">
        <is>
          <t>Engineering &amp; Development</t>
        </is>
      </c>
      <c r="I535" s="29" t="inlineStr">
        <is>
          <t>AI / ML &amp; GenAI Engineering</t>
        </is>
      </c>
      <c r="J535" s="29" t="inlineStr">
        <is>
          <t>IC</t>
        </is>
      </c>
      <c r="K535" s="29" t="inlineStr">
        <is>
          <t>RC-059</t>
        </is>
      </c>
      <c r="L535" s="29" t="inlineStr">
        <is>
          <t>Manasvi Sharma</t>
        </is>
      </c>
      <c r="M535" s="29" t="inlineStr">
        <is>
          <t>IRIS2495</t>
        </is>
      </c>
      <c r="N535" s="29" t="n">
        <v>1.2</v>
      </c>
      <c r="O535" s="29" t="n">
        <v>1.2</v>
      </c>
      <c r="P535" s="29" t="inlineStr">
        <is>
          <t>B.Tech</t>
        </is>
      </c>
      <c r="Q535" s="29" t="inlineStr">
        <is>
          <t>L3 – Professional / Associate</t>
        </is>
      </c>
      <c r="R535" s="29" t="inlineStr">
        <is>
          <t>A2</t>
        </is>
      </c>
      <c r="S535" s="30" t="inlineStr">
        <is>
          <t>20 of 20</t>
        </is>
      </c>
      <c r="T535" s="31"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t>
        </is>
      </c>
      <c r="U535" s="31" t="inlineStr">
        <is>
          <t>Received · manager annual · 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
        </is>
      </c>
      <c r="V535" s="31" t="inlineStr">
        <is>
          <t>Latest rating: Not rated · manager · 9-box: Underperformer / Exit Risk · Readiness: No rating data</t>
        </is>
      </c>
      <c r="W535" s="31" t="inlineStr">
        <is>
          <t>C M · Au M · Ac M · L L · BI M · Exp M · 1.2 yrs vs 0–2 yrs · Edu M · B.Tech</t>
        </is>
      </c>
      <c r="X535" s="33" t="inlineStr">
        <is>
          <t>Open ▸</t>
        </is>
      </c>
      <c r="Y535" s="34" t="str">
        <f>IFERROR(INDEX(DL_C,MATCH($CA535,DL_KEY,0)),"M")</f>
        <v>H</v>
      </c>
      <c r="Z535" s="35" t="str">
        <f>IFERROR(INDEX(DL_Au,MATCH($CA535,DL_KEY,0)),"M")</f>
        <v>M</v>
      </c>
      <c r="AA535" s="35" t="str">
        <f>IFERROR(INDEX(DL_Ac,MATCH($CA535,DL_KEY,0)),"M")</f>
        <v>L</v>
      </c>
      <c r="AB535" s="35" t="str">
        <f>IFERROR(INDEX(DL_L,MATCH($CA535,DL_KEY,0)),"M")</f>
        <v>L</v>
      </c>
      <c r="AC535" s="35" t="str">
        <f>IFERROR(INDEX(DL_BI,MATCH($CA535,DL_KEY,0)),"M")</f>
        <v>L</v>
      </c>
      <c r="AD535" s="35" t="str">
        <f>IFERROR(INDEX(DL_Exp,MATCH($CA535,DL_KEY,0)),"M")</f>
        <v>L</v>
      </c>
      <c r="AE535" s="35" t="str">
        <f>IFERROR(INDEX(DL_Edu,MATCH($CA535,DL_KEY,0)),"M")</f>
        <v>L</v>
      </c>
      <c r="AF535" s="34" t="inlineStr">
        <is>
          <t>M</t>
        </is>
      </c>
      <c r="AG535" s="35" t="inlineStr">
        <is>
          <t>M</t>
        </is>
      </c>
      <c r="AH535" s="35" t="inlineStr">
        <is>
          <t>M</t>
        </is>
      </c>
      <c r="AI535" s="35" t="inlineStr">
        <is>
          <t>M</t>
        </is>
      </c>
      <c r="AJ535" s="35" t="inlineStr">
        <is>
          <t>M</t>
        </is>
      </c>
      <c r="AK535" s="35" t="inlineStr">
        <is>
          <t>M</t>
        </is>
      </c>
      <c r="AL535" s="35" t="inlineStr">
        <is>
          <t>M</t>
        </is>
      </c>
      <c r="AM535" s="36" t="n">
        <v>0.583</v>
      </c>
      <c r="AN535" s="37" t="n">
        <v>0.16</v>
      </c>
      <c r="AO535" s="37" t="n">
        <v>0.09</v>
      </c>
      <c r="AP535" s="37" t="n">
        <v>0</v>
      </c>
      <c r="AQ535" s="37" t="n">
        <v>0.063</v>
      </c>
      <c r="AR535" s="37" t="n">
        <v>0.06</v>
      </c>
      <c r="AS535" s="37" t="n">
        <v>0.04</v>
      </c>
      <c r="AT535" s="38" t="inlineStr">
        <is>
          <t>0–3</t>
        </is>
      </c>
      <c r="AU535" s="38" t="inlineStr">
        <is>
          <t>Graduate · or diploma with experience</t>
        </is>
      </c>
      <c r="AV535" s="38" t="inlineStr">
        <is>
          <t>No direct reports</t>
        </is>
      </c>
      <c r="AW535" s="38" t="inlineStr">
        <is>
          <t>P1–P2 · SFIA 2 Assist</t>
        </is>
      </c>
      <c r="AX5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5" s="39" t="inlineStr">
        <is>
          <t>A2</t>
        </is>
      </c>
      <c r="AZ535" s="40" t="inlineStr">
        <is>
          <t>Band A · Practitioner · Associate</t>
        </is>
      </c>
      <c r="BA535" s="40" t="inlineStr">
        <is>
          <t>Model A2 from the six ratings, the market-derived weights and rules R1–R13 · then No change · already below the manager</t>
        </is>
      </c>
      <c r="BB535" s="41" t="inlineStr">
        <is>
          <t>A2</t>
        </is>
      </c>
      <c r="BC535" s="40" t="inlineStr">
        <is>
          <t>The six ratings on the market-average weights of Band A · all tracks score 2.37 → A2 · Hay, Mercer IPE and public plans · experience 1.2 yrs vs the A2 market range 0–3</t>
        </is>
      </c>
      <c r="BD535" s="42">
        <f>IF(SUM(BM535,BN535,BO535,BP535,BQ535,BR535,BS535)=0,0,(BM535*BT535+BN535*BU535+BO535*BV535+BP535*BW535+BQ535*BX535+BR535*BY535+BS535*BZ535)/SUM(BM535,BN535,BO535,BP535,BQ535,BR535,BS535))</f>
        <v>0</v>
      </c>
      <c r="BE535" s="41" t="str">
        <f>IF(LEFT(AY535,1)="X",AY535,IF(OR(AY535="B+",AY535="C+"),INDEX(LAD_PC,MAX(1,MIN(14,MATCH(AY535,LAD_PC,0)+IF(BD535&gt;=0.5,1,IF(BD535&lt;=-0.5,-1,0))))),INDEX(LAD_STD,MAX(1,MIN(12,MATCH(AY535,LAD_STD,0)+IF(BD535&gt;=0.5,1,IF(BD535&lt;=-0.5,-1,0)))))))</f>
        <v>A2</v>
      </c>
      <c r="BF535" s="43" t="n"/>
      <c r="BG535" s="41" t="str">
        <f>IF(BF535&lt;&gt;"",BF535,BE535)</f>
        <v>A2</v>
      </c>
      <c r="BH535" s="40" t="str">
        <f>IFERROR(CHOOSE(INDEX(B_RANK,MATCH(BG535,B_LVL,0)),"Band A","Band B","B+ · Player-Coach","Band C","C+ · Player-Coach","Band D","Band E"),"Band X · Consultant")</f>
        <v>Band A</v>
      </c>
      <c r="BI535" s="40" t="str">
        <f>IF(BG535=AY535,"• Same",IF(INDEX(B_VAL,MATCH(BG535,B_LVL,0))&gt;INDEX(B_VAL,MATCH(AY535,B_LVL,0)),"▲ Up","▼ Down"))</f>
        <v>• Same</v>
      </c>
      <c r="BJ535" s="40" t="str">
        <f>IF(OR($M535="",$M535="—",$M535="Not in this file"),"",IFERROR(INDEX($BG$7:$BG$592,MATCH($M535,$D$7:$D$592,0)),""))</f>
        <v>B1</v>
      </c>
      <c r="BK535" s="40" t="str">
        <f>IFERROR(IF(BJ535="","—",IF(OR(LEFT(BG535,1)="X",LEFT(BJ535,1)="X"),"—",IF(AND(LEFT(BG535,1)="E",LEFT(BJ535,1)="E"),"Exception · Band E",IF(AND(INDEX(B_VAL,MATCH(BJ535,B_LVL,0))&gt;=7,INDEX(B_RANK,MATCH(BG535,B_LVL,0))&gt;=INDEX(B_RANK,MATCH(BJ535,B_LVL,0))),"⚠ Same band as a head manager",IF(INDEX(B_VAL,MATCH(BG535,B_LVL,0))&gt;=INDEX(B_VAL,MATCH(BJ535,B_LVL,0)),"⚠ At or above the manager's level","OK"))))),"—")</f>
        <v>OK</v>
      </c>
      <c r="BL535" s="43" t="n"/>
      <c r="BM535" s="44">
        <f>IFERROR(INDEX(LMH_PTS,MATCH(Y535,LMH_KEY,0)),0)</f>
        <v>9</v>
      </c>
      <c r="BN535" s="38">
        <f>IFERROR(INDEX(LMH_PTS,MATCH(Z535,LMH_KEY,0)),0)</f>
        <v>3</v>
      </c>
      <c r="BO535" s="38">
        <f>IFERROR(INDEX(LMH_PTS,MATCH(AA535,LMH_KEY,0)),0)</f>
        <v>1</v>
      </c>
      <c r="BP535" s="38">
        <f>IFERROR(INDEX(LMH_PTS,MATCH(AB535,LMH_KEY,0)),0)</f>
        <v>1</v>
      </c>
      <c r="BQ535" s="38">
        <f>IFERROR(INDEX(LMH_PTS,MATCH(AC535,LMH_KEY,0)),0)</f>
        <v>1</v>
      </c>
      <c r="BR535" s="38">
        <f>IFERROR(INDEX(LMH_PTS,MATCH(AD535,LMH_KEY,0)),0)</f>
        <v>1</v>
      </c>
      <c r="BS535" s="38">
        <f>IFERROR(INDEX(LMH_PTS,MATCH(AE535,LMH_KEY,0)),0)</f>
        <v>1</v>
      </c>
      <c r="BT535" s="38">
        <f>IFERROR(INDEX(LMH_STEP,MATCH(AF535,LMH_KEY,0)),0)</f>
        <v>0</v>
      </c>
      <c r="BU535" s="38">
        <f>IFERROR(INDEX(LMH_STEP,MATCH(AG535,LMH_KEY,0)),0)</f>
        <v>0</v>
      </c>
      <c r="BV535" s="38">
        <f>IFERROR(INDEX(LMH_STEP,MATCH(AH535,LMH_KEY,0)),0)</f>
        <v>0</v>
      </c>
      <c r="BW535" s="38">
        <f>IFERROR(INDEX(LMH_STEP,MATCH(AI535,LMH_KEY,0)),0)</f>
        <v>0</v>
      </c>
      <c r="BX535" s="38">
        <f>IFERROR(INDEX(LMH_STEP,MATCH(AJ535,LMH_KEY,0)),0)</f>
        <v>0</v>
      </c>
      <c r="BY535" s="38">
        <f>IFERROR(INDEX(LMH_STEP,MATCH(AK535,LMH_KEY,0)),0)</f>
        <v>0</v>
      </c>
      <c r="BZ535" s="38">
        <f>IFERROR(INDEX(LMH_STEP,MATCH(AL535,LMH_KEY,0)),0)</f>
        <v>0</v>
      </c>
      <c r="CA535" s="38" t="inlineStr">
        <is>
          <t>CARBON|Technology|AI/ML Engineer|A2|A</t>
        </is>
      </c>
    </row>
    <row r="536" ht="110" customHeight="1">
      <c r="A536" s="28" t="inlineStr">
        <is>
          <t>CARBON</t>
        </is>
      </c>
      <c r="B536" s="29" t="inlineStr">
        <is>
          <t>Technology</t>
        </is>
      </c>
      <c r="C536" s="29" t="n">
        <v>2</v>
      </c>
      <c r="D536" s="29" t="inlineStr">
        <is>
          <t>IRIS2509</t>
        </is>
      </c>
      <c r="E536" s="29" t="inlineStr">
        <is>
          <t>Mandar Ukrulkar</t>
        </is>
      </c>
      <c r="F536" s="29" t="inlineStr">
        <is>
          <t>Software Engineer - AI/ML</t>
        </is>
      </c>
      <c r="G536" s="29" t="inlineStr">
        <is>
          <t>Senior AI/ML Engineer</t>
        </is>
      </c>
      <c r="H536" s="29" t="inlineStr">
        <is>
          <t>Engineering &amp; Development</t>
        </is>
      </c>
      <c r="I536" s="29" t="inlineStr">
        <is>
          <t>AI / ML &amp; GenAI Engineering</t>
        </is>
      </c>
      <c r="J536" s="29" t="inlineStr">
        <is>
          <t>IC</t>
        </is>
      </c>
      <c r="K536" s="29" t="inlineStr">
        <is>
          <t>RC-060</t>
        </is>
      </c>
      <c r="L536" s="29" t="inlineStr">
        <is>
          <t>Ashish Singhvi</t>
        </is>
      </c>
      <c r="M536" s="29" t="inlineStr">
        <is>
          <t>IRIS0249</t>
        </is>
      </c>
      <c r="N536" s="29" t="n">
        <v>4.4</v>
      </c>
      <c r="O536" s="29" t="n">
        <v>0.4</v>
      </c>
      <c r="P536" s="29" t="inlineStr">
        <is>
          <t>B.E</t>
        </is>
      </c>
      <c r="Q536" s="29" t="inlineStr">
        <is>
          <t>L3 – Professional / Associate</t>
        </is>
      </c>
      <c r="R536" s="29" t="inlineStr">
        <is>
          <t>A3</t>
        </is>
      </c>
      <c r="S536" s="30" t="inlineStr">
        <is>
          <t>20 of 20</t>
        </is>
      </c>
      <c r="T536" s="31"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t>
        </is>
      </c>
      <c r="U536"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36" s="31" t="inlineStr">
        <is>
          <t>Latest rating: Not rated · manager · 9-box: Future Leader · Readiness: No rating data</t>
        </is>
      </c>
      <c r="W536" s="31" t="inlineStr">
        <is>
          <t>C L · Au L · Ac L · L L · BI L · Exp M · 4.4 yrs vs 4–7 yrs · Edu M · B.E</t>
        </is>
      </c>
      <c r="X536" s="33" t="inlineStr">
        <is>
          <t>Open ▸</t>
        </is>
      </c>
      <c r="Y536" s="34" t="str">
        <f>IFERROR(INDEX(DL_C,MATCH($CA536,DL_KEY,0)),"M")</f>
        <v>H</v>
      </c>
      <c r="Z536" s="35" t="str">
        <f>IFERROR(INDEX(DL_Au,MATCH($CA536,DL_KEY,0)),"M")</f>
        <v>M</v>
      </c>
      <c r="AA536" s="35" t="str">
        <f>IFERROR(INDEX(DL_Ac,MATCH($CA536,DL_KEY,0)),"M")</f>
        <v>L</v>
      </c>
      <c r="AB536" s="35" t="str">
        <f>IFERROR(INDEX(DL_L,MATCH($CA536,DL_KEY,0)),"M")</f>
        <v>L</v>
      </c>
      <c r="AC536" s="35" t="str">
        <f>IFERROR(INDEX(DL_BI,MATCH($CA536,DL_KEY,0)),"M")</f>
        <v>L</v>
      </c>
      <c r="AD536" s="35" t="str">
        <f>IFERROR(INDEX(DL_Exp,MATCH($CA536,DL_KEY,0)),"M")</f>
        <v>L</v>
      </c>
      <c r="AE536" s="35" t="str">
        <f>IFERROR(INDEX(DL_Edu,MATCH($CA536,DL_KEY,0)),"M")</f>
        <v>L</v>
      </c>
      <c r="AF536" s="34" t="inlineStr">
        <is>
          <t>M</t>
        </is>
      </c>
      <c r="AG536" s="35" t="inlineStr">
        <is>
          <t>M</t>
        </is>
      </c>
      <c r="AH536" s="35" t="inlineStr">
        <is>
          <t>M</t>
        </is>
      </c>
      <c r="AI536" s="35" t="inlineStr">
        <is>
          <t>M</t>
        </is>
      </c>
      <c r="AJ536" s="35" t="inlineStr">
        <is>
          <t>M</t>
        </is>
      </c>
      <c r="AK536" s="35" t="inlineStr">
        <is>
          <t>M</t>
        </is>
      </c>
      <c r="AL536" s="35" t="inlineStr">
        <is>
          <t>M</t>
        </is>
      </c>
      <c r="AM536" s="36" t="n">
        <v>0.513</v>
      </c>
      <c r="AN536" s="37" t="n">
        <v>0.173</v>
      </c>
      <c r="AO536" s="37" t="n">
        <v>0.09699999999999999</v>
      </c>
      <c r="AP536" s="37" t="n">
        <v>0.05</v>
      </c>
      <c r="AQ536" s="37" t="n">
        <v>0.07000000000000001</v>
      </c>
      <c r="AR536" s="37" t="n">
        <v>0.06</v>
      </c>
      <c r="AS536" s="37" t="n">
        <v>0.04</v>
      </c>
      <c r="AT536" s="38" t="inlineStr">
        <is>
          <t>4–8</t>
        </is>
      </c>
      <c r="AU536" s="38" t="inlineStr">
        <is>
          <t>Graduate + relevant qualification or certification preferred</t>
        </is>
      </c>
      <c r="AV536" s="38" t="inlineStr">
        <is>
          <t>IC: none · Team Lead: 3–5</t>
        </is>
      </c>
      <c r="AW536" s="38" t="inlineStr">
        <is>
          <t>P3 / M2 · SFIA 4 Enable</t>
        </is>
      </c>
      <c r="AX5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6" s="39" t="inlineStr">
        <is>
          <t>B1</t>
        </is>
      </c>
      <c r="AZ536" s="40" t="inlineStr">
        <is>
          <t>Band B · Specialist / Manager · Specialist</t>
        </is>
      </c>
      <c r="BA536" s="40" t="inlineStr">
        <is>
          <t>Model A3 from the six ratings, the market-derived weights and rules R1–R13 · then Leads people at or above their own level · A3 → B1 Team Lead</t>
        </is>
      </c>
      <c r="BB536" s="41" t="inlineStr">
        <is>
          <t>A2</t>
        </is>
      </c>
      <c r="BC536" s="40" t="inlineStr">
        <is>
          <t>The six ratings on the market-average weights of Band B · Specialist / POD Lead score 2.37 → A2 · Hay, Mercer IPE and public plans · experience 4.4 yrs vs the A2 market range 0–3</t>
        </is>
      </c>
      <c r="BD536" s="42">
        <f>IF(SUM(BM536,BN536,BO536,BP536,BQ536,BR536,BS536)=0,0,(BM536*BT536+BN536*BU536+BO536*BV536+BP536*BW536+BQ536*BX536+BR536*BY536+BS536*BZ536)/SUM(BM536,BN536,BO536,BP536,BQ536,BR536,BS536))</f>
        <v>0</v>
      </c>
      <c r="BE536" s="41" t="str">
        <f>IF(LEFT(AY536,1)="X",AY536,IF(OR(AY536="B+",AY536="C+"),INDEX(LAD_PC,MAX(1,MIN(14,MATCH(AY536,LAD_PC,0)+IF(BD536&gt;=0.5,1,IF(BD536&lt;=-0.5,-1,0))))),INDEX(LAD_STD,MAX(1,MIN(12,MATCH(AY536,LAD_STD,0)+IF(BD536&gt;=0.5,1,IF(BD536&lt;=-0.5,-1,0)))))))</f>
        <v>B1</v>
      </c>
      <c r="BF536" s="43" t="n"/>
      <c r="BG536" s="41" t="str">
        <f>IF(BF536&lt;&gt;"",BF536,BE536)</f>
        <v>B1</v>
      </c>
      <c r="BH536" s="40" t="str">
        <f>IFERROR(CHOOSE(INDEX(B_RANK,MATCH(BG536,B_LVL,0)),"Band A","Band B","B+ · Player-Coach","Band C","C+ · Player-Coach","Band D","Band E"),"Band X · Consultant")</f>
        <v>Band B</v>
      </c>
      <c r="BI536" s="40" t="str">
        <f>IF(BG536=AY536,"• Same",IF(INDEX(B_VAL,MATCH(BG536,B_LVL,0))&gt;INDEX(B_VAL,MATCH(AY536,B_LVL,0)),"▲ Up","▼ Down"))</f>
        <v>• Same</v>
      </c>
      <c r="BJ536" s="40" t="str">
        <f>IF(OR($M536="",$M536="—",$M536="Not in this file"),"",IFERROR(INDEX($BG$7:$BG$592,MATCH($M536,$D$7:$D$592,0)),""))</f>
        <v>C2</v>
      </c>
      <c r="BK536" s="40" t="str">
        <f>IFERROR(IF(BJ536="","—",IF(OR(LEFT(BG536,1)="X",LEFT(BJ536,1)="X"),"—",IF(AND(LEFT(BG536,1)="E",LEFT(BJ536,1)="E"),"Exception · Band E",IF(AND(INDEX(B_VAL,MATCH(BJ536,B_LVL,0))&gt;=7,INDEX(B_RANK,MATCH(BG536,B_LVL,0))&gt;=INDEX(B_RANK,MATCH(BJ536,B_LVL,0))),"⚠ Same band as a head manager",IF(INDEX(B_VAL,MATCH(BG536,B_LVL,0))&gt;=INDEX(B_VAL,MATCH(BJ536,B_LVL,0)),"⚠ At or above the manager's level","OK"))))),"—")</f>
        <v>OK</v>
      </c>
      <c r="BL536" s="43" t="n"/>
      <c r="BM536" s="44">
        <f>IFERROR(INDEX(LMH_PTS,MATCH(Y536,LMH_KEY,0)),0)</f>
        <v>9</v>
      </c>
      <c r="BN536" s="38">
        <f>IFERROR(INDEX(LMH_PTS,MATCH(Z536,LMH_KEY,0)),0)</f>
        <v>3</v>
      </c>
      <c r="BO536" s="38">
        <f>IFERROR(INDEX(LMH_PTS,MATCH(AA536,LMH_KEY,0)),0)</f>
        <v>1</v>
      </c>
      <c r="BP536" s="38">
        <f>IFERROR(INDEX(LMH_PTS,MATCH(AB536,LMH_KEY,0)),0)</f>
        <v>1</v>
      </c>
      <c r="BQ536" s="38">
        <f>IFERROR(INDEX(LMH_PTS,MATCH(AC536,LMH_KEY,0)),0)</f>
        <v>1</v>
      </c>
      <c r="BR536" s="38">
        <f>IFERROR(INDEX(LMH_PTS,MATCH(AD536,LMH_KEY,0)),0)</f>
        <v>1</v>
      </c>
      <c r="BS536" s="38">
        <f>IFERROR(INDEX(LMH_PTS,MATCH(AE536,LMH_KEY,0)),0)</f>
        <v>1</v>
      </c>
      <c r="BT536" s="38">
        <f>IFERROR(INDEX(LMH_STEP,MATCH(AF536,LMH_KEY,0)),0)</f>
        <v>0</v>
      </c>
      <c r="BU536" s="38">
        <f>IFERROR(INDEX(LMH_STEP,MATCH(AG536,LMH_KEY,0)),0)</f>
        <v>0</v>
      </c>
      <c r="BV536" s="38">
        <f>IFERROR(INDEX(LMH_STEP,MATCH(AH536,LMH_KEY,0)),0)</f>
        <v>0</v>
      </c>
      <c r="BW536" s="38">
        <f>IFERROR(INDEX(LMH_STEP,MATCH(AI536,LMH_KEY,0)),0)</f>
        <v>0</v>
      </c>
      <c r="BX536" s="38">
        <f>IFERROR(INDEX(LMH_STEP,MATCH(AJ536,LMH_KEY,0)),0)</f>
        <v>0</v>
      </c>
      <c r="BY536" s="38">
        <f>IFERROR(INDEX(LMH_STEP,MATCH(AK536,LMH_KEY,0)),0)</f>
        <v>0</v>
      </c>
      <c r="BZ536" s="38">
        <f>IFERROR(INDEX(LMH_STEP,MATCH(AL536,LMH_KEY,0)),0)</f>
        <v>0</v>
      </c>
      <c r="CA536" s="38" t="inlineStr">
        <is>
          <t>CARBON|Technology|Senior AI/ML Engineer|B1|B-IC</t>
        </is>
      </c>
    </row>
    <row r="537" ht="110" customHeight="1">
      <c r="A537" s="28" t="inlineStr">
        <is>
          <t>CARBON</t>
        </is>
      </c>
      <c r="B537" s="29" t="inlineStr">
        <is>
          <t>Technology</t>
        </is>
      </c>
      <c r="C537" s="29" t="n">
        <v>3</v>
      </c>
      <c r="D537" s="29" t="inlineStr">
        <is>
          <t>IRIS2406</t>
        </is>
      </c>
      <c r="E537" s="29" t="inlineStr">
        <is>
          <t>Saurabh Kadam</t>
        </is>
      </c>
      <c r="F537" s="29" t="inlineStr">
        <is>
          <t>Software Engineer - AI/ML</t>
        </is>
      </c>
      <c r="G537" s="29" t="inlineStr">
        <is>
          <t>Senior AI/ML Engineer</t>
        </is>
      </c>
      <c r="H537" s="29" t="inlineStr">
        <is>
          <t>Engineering &amp; Development</t>
        </is>
      </c>
      <c r="I537" s="29" t="inlineStr">
        <is>
          <t>AI / ML &amp; GenAI Engineering</t>
        </is>
      </c>
      <c r="J537" s="29" t="inlineStr">
        <is>
          <t>IC</t>
        </is>
      </c>
      <c r="K537" s="29" t="inlineStr">
        <is>
          <t>RC-060</t>
        </is>
      </c>
      <c r="L537" s="29" t="inlineStr">
        <is>
          <t>Mandar Ukrulkar</t>
        </is>
      </c>
      <c r="M537" s="29" t="inlineStr">
        <is>
          <t>IRIS2509</t>
        </is>
      </c>
      <c r="N537" s="29" t="n">
        <v>3.2</v>
      </c>
      <c r="O537" s="29" t="n">
        <v>1.2</v>
      </c>
      <c r="P537" s="29" t="inlineStr">
        <is>
          <t>M.Sc</t>
        </is>
      </c>
      <c r="Q537" s="29" t="inlineStr">
        <is>
          <t>L3 – Professional / Associate</t>
        </is>
      </c>
      <c r="R537" s="29" t="inlineStr">
        <is>
          <t>A3</t>
        </is>
      </c>
      <c r="S537" s="30" t="inlineStr">
        <is>
          <t>0 of 20</t>
        </is>
      </c>
      <c r="T53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37" s="31" t="inlineStr">
        <is>
          <t>Received · manager annual · 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
        </is>
      </c>
      <c r="V537" s="31" t="inlineStr">
        <is>
          <t>Latest rating: 4 · Potential: High · 9-box: Trusted Professional · Readiness: Ready now</t>
        </is>
      </c>
      <c r="W537" s="31" t="inlineStr">
        <is>
          <t>C L · Au L · Ac L · L L · BI L · Exp M · 3.2 yrs vs 2–4 yrs · Edu H · M.Sc</t>
        </is>
      </c>
      <c r="X537" s="33" t="inlineStr">
        <is>
          <t>Open ▸</t>
        </is>
      </c>
      <c r="Y537" s="34" t="str">
        <f>IFERROR(INDEX(DL_C,MATCH($CA537,DL_KEY,0)),"M")</f>
        <v>H</v>
      </c>
      <c r="Z537" s="35" t="str">
        <f>IFERROR(INDEX(DL_Au,MATCH($CA537,DL_KEY,0)),"M")</f>
        <v>M</v>
      </c>
      <c r="AA537" s="35" t="str">
        <f>IFERROR(INDEX(DL_Ac,MATCH($CA537,DL_KEY,0)),"M")</f>
        <v>L</v>
      </c>
      <c r="AB537" s="35" t="str">
        <f>IFERROR(INDEX(DL_L,MATCH($CA537,DL_KEY,0)),"M")</f>
        <v>L</v>
      </c>
      <c r="AC537" s="35" t="str">
        <f>IFERROR(INDEX(DL_BI,MATCH($CA537,DL_KEY,0)),"M")</f>
        <v>L</v>
      </c>
      <c r="AD537" s="35" t="str">
        <f>IFERROR(INDEX(DL_Exp,MATCH($CA537,DL_KEY,0)),"M")</f>
        <v>L</v>
      </c>
      <c r="AE537" s="35" t="str">
        <f>IFERROR(INDEX(DL_Edu,MATCH($CA537,DL_KEY,0)),"M")</f>
        <v>L</v>
      </c>
      <c r="AF537" s="34" t="inlineStr">
        <is>
          <t>M</t>
        </is>
      </c>
      <c r="AG537" s="35" t="inlineStr">
        <is>
          <t>M</t>
        </is>
      </c>
      <c r="AH537" s="35" t="inlineStr">
        <is>
          <t>M</t>
        </is>
      </c>
      <c r="AI537" s="35" t="inlineStr">
        <is>
          <t>M</t>
        </is>
      </c>
      <c r="AJ537" s="35" t="inlineStr">
        <is>
          <t>M</t>
        </is>
      </c>
      <c r="AK537" s="35" t="inlineStr">
        <is>
          <t>M</t>
        </is>
      </c>
      <c r="AL537" s="35" t="inlineStr">
        <is>
          <t>M</t>
        </is>
      </c>
      <c r="AM537" s="36" t="n">
        <v>0.583</v>
      </c>
      <c r="AN537" s="37" t="n">
        <v>0.16</v>
      </c>
      <c r="AO537" s="37" t="n">
        <v>0.09</v>
      </c>
      <c r="AP537" s="37" t="n">
        <v>0</v>
      </c>
      <c r="AQ537" s="37" t="n">
        <v>0.063</v>
      </c>
      <c r="AR537" s="37" t="n">
        <v>0.06</v>
      </c>
      <c r="AS537" s="37" t="n">
        <v>0.04</v>
      </c>
      <c r="AT537" s="38" t="inlineStr">
        <is>
          <t>2–5</t>
        </is>
      </c>
      <c r="AU537" s="38" t="inlineStr">
        <is>
          <t>Graduate; relevant certification preferred</t>
        </is>
      </c>
      <c r="AV537" s="38" t="inlineStr">
        <is>
          <t>None · guides 1–3 juniors informally</t>
        </is>
      </c>
      <c r="AW537" s="38" t="inlineStr">
        <is>
          <t>P2 · SFIA 3 Apply</t>
        </is>
      </c>
      <c r="AX5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7" s="39" t="inlineStr">
        <is>
          <t>A3</t>
        </is>
      </c>
      <c r="AZ537" s="40" t="inlineStr">
        <is>
          <t>Band A · Practitioner · Senior Associate</t>
        </is>
      </c>
      <c r="BA537" s="40" t="inlineStr">
        <is>
          <t>Model A3 from the six ratings, the market-derived weights and rules R1–R13 · then No change · already below the manager</t>
        </is>
      </c>
      <c r="BB537" s="41" t="inlineStr">
        <is>
          <t>A2</t>
        </is>
      </c>
      <c r="BC537" s="40" t="inlineStr">
        <is>
          <t>The six ratings on the market-average weights of Band A · all tracks score 2.15 → A2 · Hay, Mercer IPE and public plans · experience 3.2 yrs vs the A2 market range 0–3</t>
        </is>
      </c>
      <c r="BD537" s="42">
        <f>IF(SUM(BM537,BN537,BO537,BP537,BQ537,BR537,BS537)=0,0,(BM537*BT537+BN537*BU537+BO537*BV537+BP537*BW537+BQ537*BX537+BR537*BY537+BS537*BZ537)/SUM(BM537,BN537,BO537,BP537,BQ537,BR537,BS537))</f>
        <v>0</v>
      </c>
      <c r="BE537" s="41" t="str">
        <f>IF(LEFT(AY537,1)="X",AY537,IF(OR(AY537="B+",AY537="C+"),INDEX(LAD_PC,MAX(1,MIN(14,MATCH(AY537,LAD_PC,0)+IF(BD537&gt;=0.5,1,IF(BD537&lt;=-0.5,-1,0))))),INDEX(LAD_STD,MAX(1,MIN(12,MATCH(AY537,LAD_STD,0)+IF(BD537&gt;=0.5,1,IF(BD537&lt;=-0.5,-1,0)))))))</f>
        <v>A3</v>
      </c>
      <c r="BF537" s="43" t="n"/>
      <c r="BG537" s="41" t="str">
        <f>IF(BF537&lt;&gt;"",BF537,BE537)</f>
        <v>A3</v>
      </c>
      <c r="BH537" s="40" t="str">
        <f>IFERROR(CHOOSE(INDEX(B_RANK,MATCH(BG537,B_LVL,0)),"Band A","Band B","B+ · Player-Coach","Band C","C+ · Player-Coach","Band D","Band E"),"Band X · Consultant")</f>
        <v>Band A</v>
      </c>
      <c r="BI537" s="40" t="str">
        <f>IF(BG537=AY537,"• Same",IF(INDEX(B_VAL,MATCH(BG537,B_LVL,0))&gt;INDEX(B_VAL,MATCH(AY537,B_LVL,0)),"▲ Up","▼ Down"))</f>
        <v>• Same</v>
      </c>
      <c r="BJ537" s="40" t="str">
        <f>IF(OR($M537="",$M537="—",$M537="Not in this file"),"",IFERROR(INDEX($BG$7:$BG$592,MATCH($M537,$D$7:$D$592,0)),""))</f>
        <v>B1</v>
      </c>
      <c r="BK537" s="40" t="str">
        <f>IFERROR(IF(BJ537="","—",IF(OR(LEFT(BG537,1)="X",LEFT(BJ537,1)="X"),"—",IF(AND(LEFT(BG537,1)="E",LEFT(BJ537,1)="E"),"Exception · Band E",IF(AND(INDEX(B_VAL,MATCH(BJ537,B_LVL,0))&gt;=7,INDEX(B_RANK,MATCH(BG537,B_LVL,0))&gt;=INDEX(B_RANK,MATCH(BJ537,B_LVL,0))),"⚠ Same band as a head manager",IF(INDEX(B_VAL,MATCH(BG537,B_LVL,0))&gt;=INDEX(B_VAL,MATCH(BJ537,B_LVL,0)),"⚠ At or above the manager's level","OK"))))),"—")</f>
        <v>OK</v>
      </c>
      <c r="BL537" s="43" t="n"/>
      <c r="BM537" s="44">
        <f>IFERROR(INDEX(LMH_PTS,MATCH(Y537,LMH_KEY,0)),0)</f>
        <v>9</v>
      </c>
      <c r="BN537" s="38">
        <f>IFERROR(INDEX(LMH_PTS,MATCH(Z537,LMH_KEY,0)),0)</f>
        <v>3</v>
      </c>
      <c r="BO537" s="38">
        <f>IFERROR(INDEX(LMH_PTS,MATCH(AA537,LMH_KEY,0)),0)</f>
        <v>1</v>
      </c>
      <c r="BP537" s="38">
        <f>IFERROR(INDEX(LMH_PTS,MATCH(AB537,LMH_KEY,0)),0)</f>
        <v>1</v>
      </c>
      <c r="BQ537" s="38">
        <f>IFERROR(INDEX(LMH_PTS,MATCH(AC537,LMH_KEY,0)),0)</f>
        <v>1</v>
      </c>
      <c r="BR537" s="38">
        <f>IFERROR(INDEX(LMH_PTS,MATCH(AD537,LMH_KEY,0)),0)</f>
        <v>1</v>
      </c>
      <c r="BS537" s="38">
        <f>IFERROR(INDEX(LMH_PTS,MATCH(AE537,LMH_KEY,0)),0)</f>
        <v>1</v>
      </c>
      <c r="BT537" s="38">
        <f>IFERROR(INDEX(LMH_STEP,MATCH(AF537,LMH_KEY,0)),0)</f>
        <v>0</v>
      </c>
      <c r="BU537" s="38">
        <f>IFERROR(INDEX(LMH_STEP,MATCH(AG537,LMH_KEY,0)),0)</f>
        <v>0</v>
      </c>
      <c r="BV537" s="38">
        <f>IFERROR(INDEX(LMH_STEP,MATCH(AH537,LMH_KEY,0)),0)</f>
        <v>0</v>
      </c>
      <c r="BW537" s="38">
        <f>IFERROR(INDEX(LMH_STEP,MATCH(AI537,LMH_KEY,0)),0)</f>
        <v>0</v>
      </c>
      <c r="BX537" s="38">
        <f>IFERROR(INDEX(LMH_STEP,MATCH(AJ537,LMH_KEY,0)),0)</f>
        <v>0</v>
      </c>
      <c r="BY537" s="38">
        <f>IFERROR(INDEX(LMH_STEP,MATCH(AK537,LMH_KEY,0)),0)</f>
        <v>0</v>
      </c>
      <c r="BZ537" s="38">
        <f>IFERROR(INDEX(LMH_STEP,MATCH(AL537,LMH_KEY,0)),0)</f>
        <v>0</v>
      </c>
      <c r="CA537" s="38" t="inlineStr">
        <is>
          <t>CARBON|Technology|Senior AI/ML Engineer|A3|A</t>
        </is>
      </c>
    </row>
    <row r="538" ht="110" customHeight="1">
      <c r="A538" s="28" t="inlineStr">
        <is>
          <t>iFile</t>
        </is>
      </c>
      <c r="B538" s="29" t="inlineStr">
        <is>
          <t>Technology</t>
        </is>
      </c>
      <c r="C538" s="29" t="n">
        <v>4</v>
      </c>
      <c r="D538" s="29" t="inlineStr">
        <is>
          <t>IRIS0553</t>
        </is>
      </c>
      <c r="E538" s="29" t="inlineStr">
        <is>
          <t>Chetan Galande</t>
        </is>
      </c>
      <c r="F538" s="29" t="inlineStr">
        <is>
          <t>Business Analyst</t>
        </is>
      </c>
      <c r="G538" s="29" t="inlineStr">
        <is>
          <t>Business Analysis Specialist</t>
        </is>
      </c>
      <c r="H538" s="29" t="inlineStr">
        <is>
          <t>Business Analysis</t>
        </is>
      </c>
      <c r="I538" s="29" t="inlineStr">
        <is>
          <t>Business Analysis</t>
        </is>
      </c>
      <c r="J538" s="29" t="inlineStr">
        <is>
          <t>IC</t>
        </is>
      </c>
      <c r="K538" s="29" t="inlineStr">
        <is>
          <t>RC-009</t>
        </is>
      </c>
      <c r="L538" s="29" t="inlineStr">
        <is>
          <t>Saurabh Kadam</t>
        </is>
      </c>
      <c r="M538" s="29" t="inlineStr">
        <is>
          <t>IRIS2406</t>
        </is>
      </c>
      <c r="N538" s="29" t="n">
        <v>15.6</v>
      </c>
      <c r="O538" s="29" t="n">
        <v>15.6</v>
      </c>
      <c r="P538" s="29" t="inlineStr">
        <is>
          <t>MBA</t>
        </is>
      </c>
      <c r="Q538" s="29" t="inlineStr">
        <is>
          <t>L3 – Professional / Associate</t>
        </is>
      </c>
      <c r="R538" s="29" t="inlineStr">
        <is>
          <t>A3</t>
        </is>
      </c>
      <c r="S538" s="30" t="inlineStr">
        <is>
          <t>20 of 20</t>
        </is>
      </c>
      <c r="T538" s="31"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t>
        </is>
      </c>
      <c r="U538" s="31" t="inlineStr">
        <is>
          <t>Received · manager annual, quarterly · 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t>
        </is>
      </c>
      <c r="V538" s="31" t="inlineStr">
        <is>
          <t>Latest rating: 4 · Potential: High · 9-box: Trusted Professional · Readiness: Ready now</t>
        </is>
      </c>
      <c r="W538" s="31" t="inlineStr">
        <is>
          <t>C H · Au M · Ac H · L M · BI H · Exp H · 15.6 yrs vs 0–2 yrs · Edu H · MBA</t>
        </is>
      </c>
      <c r="X538" s="33" t="inlineStr">
        <is>
          <t>Open ▸</t>
        </is>
      </c>
      <c r="Y538" s="34" t="str">
        <f>IFERROR(INDEX(DL_C,MATCH($CA538,DL_KEY,0)),"M")</f>
        <v>H</v>
      </c>
      <c r="Z538" s="35" t="str">
        <f>IFERROR(INDEX(DL_Au,MATCH($CA538,DL_KEY,0)),"M")</f>
        <v>M</v>
      </c>
      <c r="AA538" s="35" t="str">
        <f>IFERROR(INDEX(DL_Ac,MATCH($CA538,DL_KEY,0)),"M")</f>
        <v>L</v>
      </c>
      <c r="AB538" s="35" t="str">
        <f>IFERROR(INDEX(DL_L,MATCH($CA538,DL_KEY,0)),"M")</f>
        <v>L</v>
      </c>
      <c r="AC538" s="35" t="str">
        <f>IFERROR(INDEX(DL_BI,MATCH($CA538,DL_KEY,0)),"M")</f>
        <v>L</v>
      </c>
      <c r="AD538" s="35" t="str">
        <f>IFERROR(INDEX(DL_Exp,MATCH($CA538,DL_KEY,0)),"M")</f>
        <v>L</v>
      </c>
      <c r="AE538" s="35" t="str">
        <f>IFERROR(INDEX(DL_Edu,MATCH($CA538,DL_KEY,0)),"M")</f>
        <v>L</v>
      </c>
      <c r="AF538" s="34" t="inlineStr">
        <is>
          <t>M</t>
        </is>
      </c>
      <c r="AG538" s="35" t="inlineStr">
        <is>
          <t>M</t>
        </is>
      </c>
      <c r="AH538" s="35" t="inlineStr">
        <is>
          <t>M</t>
        </is>
      </c>
      <c r="AI538" s="35" t="inlineStr">
        <is>
          <t>M</t>
        </is>
      </c>
      <c r="AJ538" s="35" t="inlineStr">
        <is>
          <t>M</t>
        </is>
      </c>
      <c r="AK538" s="35" t="inlineStr">
        <is>
          <t>M</t>
        </is>
      </c>
      <c r="AL538" s="35" t="inlineStr">
        <is>
          <t>M</t>
        </is>
      </c>
      <c r="AM538" s="36" t="n">
        <v>0.583</v>
      </c>
      <c r="AN538" s="37" t="n">
        <v>0.16</v>
      </c>
      <c r="AO538" s="37" t="n">
        <v>0.09</v>
      </c>
      <c r="AP538" s="37" t="n">
        <v>0</v>
      </c>
      <c r="AQ538" s="37" t="n">
        <v>0.063</v>
      </c>
      <c r="AR538" s="37" t="n">
        <v>0.06</v>
      </c>
      <c r="AS538" s="37" t="n">
        <v>0.04</v>
      </c>
      <c r="AT538" s="38" t="inlineStr">
        <is>
          <t>0–3</t>
        </is>
      </c>
      <c r="AU538" s="38" t="inlineStr">
        <is>
          <t>Graduate · or diploma with experience</t>
        </is>
      </c>
      <c r="AV538" s="38" t="inlineStr">
        <is>
          <t>No direct reports</t>
        </is>
      </c>
      <c r="AW538" s="38" t="inlineStr">
        <is>
          <t>P1–P2 · SFIA 2 Assist</t>
        </is>
      </c>
      <c r="AX5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8" s="39" t="inlineStr">
        <is>
          <t>A2</t>
        </is>
      </c>
      <c r="AZ538" s="40" t="inlineStr">
        <is>
          <t>Band A · Practitioner · Associate</t>
        </is>
      </c>
      <c r="BA538" s="40" t="inlineStr">
        <is>
          <t>Model A3 from the six ratings, the market-derived weights and rules R1–R13 · then Level rule: manager A3; a reportee sits at least one level below · A3 → A2 · move down · pay and title protected for one cycle</t>
        </is>
      </c>
      <c r="BB538" s="41" t="inlineStr">
        <is>
          <t>A3</t>
        </is>
      </c>
      <c r="BC538" s="40" t="inlineStr">
        <is>
          <t>The six ratings on the market-average weights of Band A · all tracks score 3.47 → A3 · Hay, Mercer IPE and public plans · experience 15.6 yrs vs the A3 market range 2–5</t>
        </is>
      </c>
      <c r="BD538" s="42">
        <f>IF(SUM(BM538,BN538,BO538,BP538,BQ538,BR538,BS538)=0,0,(BM538*BT538+BN538*BU538+BO538*BV538+BP538*BW538+BQ538*BX538+BR538*BY538+BS538*BZ538)/SUM(BM538,BN538,BO538,BP538,BQ538,BR538,BS538))</f>
        <v>0</v>
      </c>
      <c r="BE538" s="41" t="str">
        <f>IF(LEFT(AY538,1)="X",AY538,IF(OR(AY538="B+",AY538="C+"),INDEX(LAD_PC,MAX(1,MIN(14,MATCH(AY538,LAD_PC,0)+IF(BD538&gt;=0.5,1,IF(BD538&lt;=-0.5,-1,0))))),INDEX(LAD_STD,MAX(1,MIN(12,MATCH(AY538,LAD_STD,0)+IF(BD538&gt;=0.5,1,IF(BD538&lt;=-0.5,-1,0)))))))</f>
        <v>A2</v>
      </c>
      <c r="BF538" s="43" t="n"/>
      <c r="BG538" s="41" t="str">
        <f>IF(BF538&lt;&gt;"",BF538,BE538)</f>
        <v>A2</v>
      </c>
      <c r="BH538" s="40" t="str">
        <f>IFERROR(CHOOSE(INDEX(B_RANK,MATCH(BG538,B_LVL,0)),"Band A","Band B","B+ · Player-Coach","Band C","C+ · Player-Coach","Band D","Band E"),"Band X · Consultant")</f>
        <v>Band A</v>
      </c>
      <c r="BI538" s="40" t="str">
        <f>IF(BG538=AY538,"• Same",IF(INDEX(B_VAL,MATCH(BG538,B_LVL,0))&gt;INDEX(B_VAL,MATCH(AY538,B_LVL,0)),"▲ Up","▼ Down"))</f>
        <v>• Same</v>
      </c>
      <c r="BJ538" s="40" t="str">
        <f>IF(OR($M538="",$M538="—",$M538="Not in this file"),"",IFERROR(INDEX($BG$7:$BG$592,MATCH($M538,$D$7:$D$592,0)),""))</f>
        <v>A3</v>
      </c>
      <c r="BK538" s="40" t="str">
        <f>IFERROR(IF(BJ538="","—",IF(OR(LEFT(BG538,1)="X",LEFT(BJ538,1)="X"),"—",IF(AND(LEFT(BG538,1)="E",LEFT(BJ538,1)="E"),"Exception · Band E",IF(AND(INDEX(B_VAL,MATCH(BJ538,B_LVL,0))&gt;=7,INDEX(B_RANK,MATCH(BG538,B_LVL,0))&gt;=INDEX(B_RANK,MATCH(BJ538,B_LVL,0))),"⚠ Same band as a head manager",IF(INDEX(B_VAL,MATCH(BG538,B_LVL,0))&gt;=INDEX(B_VAL,MATCH(BJ538,B_LVL,0)),"⚠ At or above the manager's level","OK"))))),"—")</f>
        <v>OK</v>
      </c>
      <c r="BL538" s="43" t="n"/>
      <c r="BM538" s="44">
        <f>IFERROR(INDEX(LMH_PTS,MATCH(Y538,LMH_KEY,0)),0)</f>
        <v>9</v>
      </c>
      <c r="BN538" s="38">
        <f>IFERROR(INDEX(LMH_PTS,MATCH(Z538,LMH_KEY,0)),0)</f>
        <v>3</v>
      </c>
      <c r="BO538" s="38">
        <f>IFERROR(INDEX(LMH_PTS,MATCH(AA538,LMH_KEY,0)),0)</f>
        <v>1</v>
      </c>
      <c r="BP538" s="38">
        <f>IFERROR(INDEX(LMH_PTS,MATCH(AB538,LMH_KEY,0)),0)</f>
        <v>1</v>
      </c>
      <c r="BQ538" s="38">
        <f>IFERROR(INDEX(LMH_PTS,MATCH(AC538,LMH_KEY,0)),0)</f>
        <v>1</v>
      </c>
      <c r="BR538" s="38">
        <f>IFERROR(INDEX(LMH_PTS,MATCH(AD538,LMH_KEY,0)),0)</f>
        <v>1</v>
      </c>
      <c r="BS538" s="38">
        <f>IFERROR(INDEX(LMH_PTS,MATCH(AE538,LMH_KEY,0)),0)</f>
        <v>1</v>
      </c>
      <c r="BT538" s="38">
        <f>IFERROR(INDEX(LMH_STEP,MATCH(AF538,LMH_KEY,0)),0)</f>
        <v>0</v>
      </c>
      <c r="BU538" s="38">
        <f>IFERROR(INDEX(LMH_STEP,MATCH(AG538,LMH_KEY,0)),0)</f>
        <v>0</v>
      </c>
      <c r="BV538" s="38">
        <f>IFERROR(INDEX(LMH_STEP,MATCH(AH538,LMH_KEY,0)),0)</f>
        <v>0</v>
      </c>
      <c r="BW538" s="38">
        <f>IFERROR(INDEX(LMH_STEP,MATCH(AI538,LMH_KEY,0)),0)</f>
        <v>0</v>
      </c>
      <c r="BX538" s="38">
        <f>IFERROR(INDEX(LMH_STEP,MATCH(AJ538,LMH_KEY,0)),0)</f>
        <v>0</v>
      </c>
      <c r="BY538" s="38">
        <f>IFERROR(INDEX(LMH_STEP,MATCH(AK538,LMH_KEY,0)),0)</f>
        <v>0</v>
      </c>
      <c r="BZ538" s="38">
        <f>IFERROR(INDEX(LMH_STEP,MATCH(AL538,LMH_KEY,0)),0)</f>
        <v>0</v>
      </c>
      <c r="CA538" s="38" t="inlineStr">
        <is>
          <t>iFile|Technology|Business Analysis Specialist|A2|A</t>
        </is>
      </c>
    </row>
    <row r="539" ht="110" customHeight="1">
      <c r="A539" s="28" t="inlineStr">
        <is>
          <t>iFile</t>
        </is>
      </c>
      <c r="B539" s="29" t="inlineStr">
        <is>
          <t>Technology</t>
        </is>
      </c>
      <c r="C539" s="29" t="n">
        <v>4</v>
      </c>
      <c r="D539" s="29" t="inlineStr">
        <is>
          <t>IRIS2378</t>
        </is>
      </c>
      <c r="E539" s="29" t="inlineStr">
        <is>
          <t>Darshit Vora</t>
        </is>
      </c>
      <c r="F539" s="29" t="inlineStr">
        <is>
          <t>Business Analyst</t>
        </is>
      </c>
      <c r="G539" s="29" t="inlineStr">
        <is>
          <t>Senior Business Analyst</t>
        </is>
      </c>
      <c r="H539" s="29" t="inlineStr">
        <is>
          <t>Business Analysis</t>
        </is>
      </c>
      <c r="I539" s="29" t="inlineStr">
        <is>
          <t>Business Analysis</t>
        </is>
      </c>
      <c r="J539" s="29" t="inlineStr">
        <is>
          <t>IC</t>
        </is>
      </c>
      <c r="K539" s="29" t="inlineStr">
        <is>
          <t>RC-009</t>
        </is>
      </c>
      <c r="L539" s="29" t="inlineStr">
        <is>
          <t>Saurabh Kadam</t>
        </is>
      </c>
      <c r="M539" s="29" t="inlineStr">
        <is>
          <t>IRIS2406</t>
        </is>
      </c>
      <c r="N539" s="29" t="n">
        <v>9.199999999999999</v>
      </c>
      <c r="O539" s="29" t="n">
        <v>1.3</v>
      </c>
      <c r="P539" s="29" t="inlineStr">
        <is>
          <t>Post Graduate Program in Management</t>
        </is>
      </c>
      <c r="Q539" s="29" t="inlineStr">
        <is>
          <t>L3 – Professional / Associate</t>
        </is>
      </c>
      <c r="R539" s="29" t="inlineStr">
        <is>
          <t>A3</t>
        </is>
      </c>
      <c r="S539" s="30" t="inlineStr">
        <is>
          <t>20 of 20</t>
        </is>
      </c>
      <c r="T539" s="31"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t>
        </is>
      </c>
      <c r="U539" s="31" t="inlineStr">
        <is>
          <t>Received · manager annual, quarterly · 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t>
        </is>
      </c>
      <c r="V539" s="31" t="inlineStr">
        <is>
          <t>Latest rating: 4 · Potential: High · 9-box: High Impact / Growth Talent · Readiness: Ready now</t>
        </is>
      </c>
      <c r="W539" s="31" t="inlineStr">
        <is>
          <t>C H · Au H · Ac M · L M · BI M · Exp H · 9.2 yrs vs 0–2 yrs · Edu H · Post Graduate Program in Management</t>
        </is>
      </c>
      <c r="X539" s="33" t="inlineStr">
        <is>
          <t>Open ▸</t>
        </is>
      </c>
      <c r="Y539" s="34" t="str">
        <f>IFERROR(INDEX(DL_C,MATCH($CA539,DL_KEY,0)),"M")</f>
        <v>H</v>
      </c>
      <c r="Z539" s="35" t="str">
        <f>IFERROR(INDEX(DL_Au,MATCH($CA539,DL_KEY,0)),"M")</f>
        <v>M</v>
      </c>
      <c r="AA539" s="35" t="str">
        <f>IFERROR(INDEX(DL_Ac,MATCH($CA539,DL_KEY,0)),"M")</f>
        <v>L</v>
      </c>
      <c r="AB539" s="35" t="str">
        <f>IFERROR(INDEX(DL_L,MATCH($CA539,DL_KEY,0)),"M")</f>
        <v>L</v>
      </c>
      <c r="AC539" s="35" t="str">
        <f>IFERROR(INDEX(DL_BI,MATCH($CA539,DL_KEY,0)),"M")</f>
        <v>L</v>
      </c>
      <c r="AD539" s="35" t="str">
        <f>IFERROR(INDEX(DL_Exp,MATCH($CA539,DL_KEY,0)),"M")</f>
        <v>L</v>
      </c>
      <c r="AE539" s="35" t="str">
        <f>IFERROR(INDEX(DL_Edu,MATCH($CA539,DL_KEY,0)),"M")</f>
        <v>L</v>
      </c>
      <c r="AF539" s="34" t="inlineStr">
        <is>
          <t>M</t>
        </is>
      </c>
      <c r="AG539" s="35" t="inlineStr">
        <is>
          <t>M</t>
        </is>
      </c>
      <c r="AH539" s="35" t="inlineStr">
        <is>
          <t>M</t>
        </is>
      </c>
      <c r="AI539" s="35" t="inlineStr">
        <is>
          <t>M</t>
        </is>
      </c>
      <c r="AJ539" s="35" t="inlineStr">
        <is>
          <t>M</t>
        </is>
      </c>
      <c r="AK539" s="35" t="inlineStr">
        <is>
          <t>M</t>
        </is>
      </c>
      <c r="AL539" s="35" t="inlineStr">
        <is>
          <t>M</t>
        </is>
      </c>
      <c r="AM539" s="36" t="n">
        <v>0.583</v>
      </c>
      <c r="AN539" s="37" t="n">
        <v>0.16</v>
      </c>
      <c r="AO539" s="37" t="n">
        <v>0.09</v>
      </c>
      <c r="AP539" s="37" t="n">
        <v>0</v>
      </c>
      <c r="AQ539" s="37" t="n">
        <v>0.063</v>
      </c>
      <c r="AR539" s="37" t="n">
        <v>0.06</v>
      </c>
      <c r="AS539" s="37" t="n">
        <v>0.04</v>
      </c>
      <c r="AT539" s="38" t="inlineStr">
        <is>
          <t>0–3</t>
        </is>
      </c>
      <c r="AU539" s="38" t="inlineStr">
        <is>
          <t>Graduate · or diploma with experience</t>
        </is>
      </c>
      <c r="AV539" s="38" t="inlineStr">
        <is>
          <t>No direct reports</t>
        </is>
      </c>
      <c r="AW539" s="38" t="inlineStr">
        <is>
          <t>P1–P2 · SFIA 2 Assist</t>
        </is>
      </c>
      <c r="AX5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9" s="39" t="inlineStr">
        <is>
          <t>A2</t>
        </is>
      </c>
      <c r="AZ539" s="40" t="inlineStr">
        <is>
          <t>Band A · Practitioner · Associate</t>
        </is>
      </c>
      <c r="BA539" s="40" t="inlineStr">
        <is>
          <t>Model A3 from the six ratings, the market-derived weights and rules R1–R13 · then Level rule: manager A3; a reportee sits at least one level below · A3 → A2 · move down · pay and title protected for one cycle</t>
        </is>
      </c>
      <c r="BB539" s="41" t="inlineStr">
        <is>
          <t>A3</t>
        </is>
      </c>
      <c r="BC539" s="40" t="inlineStr">
        <is>
          <t>The six ratings on the market-average weights of Band A · all tracks score 3.17 → A3 · Hay, Mercer IPE and public plans · experience 9.2 yrs vs the A3 market range 2–5</t>
        </is>
      </c>
      <c r="BD539" s="42">
        <f>IF(SUM(BM539,BN539,BO539,BP539,BQ539,BR539,BS539)=0,0,(BM539*BT539+BN539*BU539+BO539*BV539+BP539*BW539+BQ539*BX539+BR539*BY539+BS539*BZ539)/SUM(BM539,BN539,BO539,BP539,BQ539,BR539,BS539))</f>
        <v>0</v>
      </c>
      <c r="BE539" s="41" t="str">
        <f>IF(LEFT(AY539,1)="X",AY539,IF(OR(AY539="B+",AY539="C+"),INDEX(LAD_PC,MAX(1,MIN(14,MATCH(AY539,LAD_PC,0)+IF(BD539&gt;=0.5,1,IF(BD539&lt;=-0.5,-1,0))))),INDEX(LAD_STD,MAX(1,MIN(12,MATCH(AY539,LAD_STD,0)+IF(BD539&gt;=0.5,1,IF(BD539&lt;=-0.5,-1,0)))))))</f>
        <v>A2</v>
      </c>
      <c r="BF539" s="43" t="n"/>
      <c r="BG539" s="41" t="str">
        <f>IF(BF539&lt;&gt;"",BF539,BE539)</f>
        <v>A2</v>
      </c>
      <c r="BH539" s="40" t="str">
        <f>IFERROR(CHOOSE(INDEX(B_RANK,MATCH(BG539,B_LVL,0)),"Band A","Band B","B+ · Player-Coach","Band C","C+ · Player-Coach","Band D","Band E"),"Band X · Consultant")</f>
        <v>Band A</v>
      </c>
      <c r="BI539" s="40" t="str">
        <f>IF(BG539=AY539,"• Same",IF(INDEX(B_VAL,MATCH(BG539,B_LVL,0))&gt;INDEX(B_VAL,MATCH(AY539,B_LVL,0)),"▲ Up","▼ Down"))</f>
        <v>• Same</v>
      </c>
      <c r="BJ539" s="40" t="str">
        <f>IF(OR($M539="",$M539="—",$M539="Not in this file"),"",IFERROR(INDEX($BG$7:$BG$592,MATCH($M539,$D$7:$D$592,0)),""))</f>
        <v>A3</v>
      </c>
      <c r="BK539" s="40" t="str">
        <f>IFERROR(IF(BJ539="","—",IF(OR(LEFT(BG539,1)="X",LEFT(BJ539,1)="X"),"—",IF(AND(LEFT(BG539,1)="E",LEFT(BJ539,1)="E"),"Exception · Band E",IF(AND(INDEX(B_VAL,MATCH(BJ539,B_LVL,0))&gt;=7,INDEX(B_RANK,MATCH(BG539,B_LVL,0))&gt;=INDEX(B_RANK,MATCH(BJ539,B_LVL,0))),"⚠ Same band as a head manager",IF(INDEX(B_VAL,MATCH(BG539,B_LVL,0))&gt;=INDEX(B_VAL,MATCH(BJ539,B_LVL,0)),"⚠ At or above the manager's level","OK"))))),"—")</f>
        <v>OK</v>
      </c>
      <c r="BL539" s="43" t="n"/>
      <c r="BM539" s="44">
        <f>IFERROR(INDEX(LMH_PTS,MATCH(Y539,LMH_KEY,0)),0)</f>
        <v>9</v>
      </c>
      <c r="BN539" s="38">
        <f>IFERROR(INDEX(LMH_PTS,MATCH(Z539,LMH_KEY,0)),0)</f>
        <v>3</v>
      </c>
      <c r="BO539" s="38">
        <f>IFERROR(INDEX(LMH_PTS,MATCH(AA539,LMH_KEY,0)),0)</f>
        <v>1</v>
      </c>
      <c r="BP539" s="38">
        <f>IFERROR(INDEX(LMH_PTS,MATCH(AB539,LMH_KEY,0)),0)</f>
        <v>1</v>
      </c>
      <c r="BQ539" s="38">
        <f>IFERROR(INDEX(LMH_PTS,MATCH(AC539,LMH_KEY,0)),0)</f>
        <v>1</v>
      </c>
      <c r="BR539" s="38">
        <f>IFERROR(INDEX(LMH_PTS,MATCH(AD539,LMH_KEY,0)),0)</f>
        <v>1</v>
      </c>
      <c r="BS539" s="38">
        <f>IFERROR(INDEX(LMH_PTS,MATCH(AE539,LMH_KEY,0)),0)</f>
        <v>1</v>
      </c>
      <c r="BT539" s="38">
        <f>IFERROR(INDEX(LMH_STEP,MATCH(AF539,LMH_KEY,0)),0)</f>
        <v>0</v>
      </c>
      <c r="BU539" s="38">
        <f>IFERROR(INDEX(LMH_STEP,MATCH(AG539,LMH_KEY,0)),0)</f>
        <v>0</v>
      </c>
      <c r="BV539" s="38">
        <f>IFERROR(INDEX(LMH_STEP,MATCH(AH539,LMH_KEY,0)),0)</f>
        <v>0</v>
      </c>
      <c r="BW539" s="38">
        <f>IFERROR(INDEX(LMH_STEP,MATCH(AI539,LMH_KEY,0)),0)</f>
        <v>0</v>
      </c>
      <c r="BX539" s="38">
        <f>IFERROR(INDEX(LMH_STEP,MATCH(AJ539,LMH_KEY,0)),0)</f>
        <v>0</v>
      </c>
      <c r="BY539" s="38">
        <f>IFERROR(INDEX(LMH_STEP,MATCH(AK539,LMH_KEY,0)),0)</f>
        <v>0</v>
      </c>
      <c r="BZ539" s="38">
        <f>IFERROR(INDEX(LMH_STEP,MATCH(AL539,LMH_KEY,0)),0)</f>
        <v>0</v>
      </c>
      <c r="CA539" s="38" t="inlineStr">
        <is>
          <t>iFile|Technology|Senior Business Analyst|A2|A</t>
        </is>
      </c>
    </row>
    <row r="540" ht="110" customHeight="1">
      <c r="A540" s="28" t="inlineStr">
        <is>
          <t>iFile</t>
        </is>
      </c>
      <c r="B540" s="29" t="inlineStr">
        <is>
          <t>Technology</t>
        </is>
      </c>
      <c r="C540" s="29" t="n">
        <v>4</v>
      </c>
      <c r="D540" s="29" t="inlineStr">
        <is>
          <t>IRIS2251</t>
        </is>
      </c>
      <c r="E540" s="29" t="inlineStr">
        <is>
          <t>Saurabh Dutta</t>
        </is>
      </c>
      <c r="F540" s="29" t="inlineStr">
        <is>
          <t>Business Analyst</t>
        </is>
      </c>
      <c r="G540" s="29" t="inlineStr">
        <is>
          <t>Senior Business Analyst</t>
        </is>
      </c>
      <c r="H540" s="29" t="inlineStr">
        <is>
          <t>Business Analysis</t>
        </is>
      </c>
      <c r="I540" s="29" t="inlineStr">
        <is>
          <t>Business Analysis</t>
        </is>
      </c>
      <c r="J540" s="29" t="inlineStr">
        <is>
          <t>IC</t>
        </is>
      </c>
      <c r="K540" s="29" t="inlineStr">
        <is>
          <t>RC-009</t>
        </is>
      </c>
      <c r="L540" s="29" t="inlineStr">
        <is>
          <t>Saurabh Kadam</t>
        </is>
      </c>
      <c r="M540" s="29" t="inlineStr">
        <is>
          <t>IRIS2406</t>
        </is>
      </c>
      <c r="N540" s="29" t="n">
        <v>5.4</v>
      </c>
      <c r="O540" s="29" t="n">
        <v>2.3</v>
      </c>
      <c r="P540" s="29" t="inlineStr">
        <is>
          <t>MBA</t>
        </is>
      </c>
      <c r="Q540" s="29" t="inlineStr">
        <is>
          <t>L3 – Professional / Associate</t>
        </is>
      </c>
      <c r="R540" s="29" t="inlineStr">
        <is>
          <t>A3</t>
        </is>
      </c>
      <c r="S540" s="30" t="inlineStr">
        <is>
          <t>20 of 20</t>
        </is>
      </c>
      <c r="T540" s="31"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t>
        </is>
      </c>
      <c r="U540" s="31" t="inlineStr">
        <is>
          <t>Received · manager annual, quarterly · 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t>
        </is>
      </c>
      <c r="V540" s="31" t="inlineStr">
        <is>
          <t>Latest rating: 4 · Potential: High · 9-box: Core Contributor · Readiness: Ready now</t>
        </is>
      </c>
      <c r="W540" s="31" t="inlineStr">
        <is>
          <t>C H · Au M · Ac H · L M · BI H · Exp H · 5.4 yrs vs 0–2 yrs · Edu H · MBA</t>
        </is>
      </c>
      <c r="X540" s="33" t="inlineStr">
        <is>
          <t>Open ▸</t>
        </is>
      </c>
      <c r="Y540" s="34" t="str">
        <f>IFERROR(INDEX(DL_C,MATCH($CA540,DL_KEY,0)),"M")</f>
        <v>H</v>
      </c>
      <c r="Z540" s="35" t="str">
        <f>IFERROR(INDEX(DL_Au,MATCH($CA540,DL_KEY,0)),"M")</f>
        <v>M</v>
      </c>
      <c r="AA540" s="35" t="str">
        <f>IFERROR(INDEX(DL_Ac,MATCH($CA540,DL_KEY,0)),"M")</f>
        <v>L</v>
      </c>
      <c r="AB540" s="35" t="str">
        <f>IFERROR(INDEX(DL_L,MATCH($CA540,DL_KEY,0)),"M")</f>
        <v>L</v>
      </c>
      <c r="AC540" s="35" t="str">
        <f>IFERROR(INDEX(DL_BI,MATCH($CA540,DL_KEY,0)),"M")</f>
        <v>L</v>
      </c>
      <c r="AD540" s="35" t="str">
        <f>IFERROR(INDEX(DL_Exp,MATCH($CA540,DL_KEY,0)),"M")</f>
        <v>L</v>
      </c>
      <c r="AE540" s="35" t="str">
        <f>IFERROR(INDEX(DL_Edu,MATCH($CA540,DL_KEY,0)),"M")</f>
        <v>L</v>
      </c>
      <c r="AF540" s="34" t="inlineStr">
        <is>
          <t>M</t>
        </is>
      </c>
      <c r="AG540" s="35" t="inlineStr">
        <is>
          <t>M</t>
        </is>
      </c>
      <c r="AH540" s="35" t="inlineStr">
        <is>
          <t>M</t>
        </is>
      </c>
      <c r="AI540" s="35" t="inlineStr">
        <is>
          <t>M</t>
        </is>
      </c>
      <c r="AJ540" s="35" t="inlineStr">
        <is>
          <t>M</t>
        </is>
      </c>
      <c r="AK540" s="35" t="inlineStr">
        <is>
          <t>M</t>
        </is>
      </c>
      <c r="AL540" s="35" t="inlineStr">
        <is>
          <t>M</t>
        </is>
      </c>
      <c r="AM540" s="36" t="n">
        <v>0.583</v>
      </c>
      <c r="AN540" s="37" t="n">
        <v>0.16</v>
      </c>
      <c r="AO540" s="37" t="n">
        <v>0.09</v>
      </c>
      <c r="AP540" s="37" t="n">
        <v>0</v>
      </c>
      <c r="AQ540" s="37" t="n">
        <v>0.063</v>
      </c>
      <c r="AR540" s="37" t="n">
        <v>0.06</v>
      </c>
      <c r="AS540" s="37" t="n">
        <v>0.04</v>
      </c>
      <c r="AT540" s="38" t="inlineStr">
        <is>
          <t>0–3</t>
        </is>
      </c>
      <c r="AU540" s="38" t="inlineStr">
        <is>
          <t>Graduate · or diploma with experience</t>
        </is>
      </c>
      <c r="AV540" s="38" t="inlineStr">
        <is>
          <t>No direct reports</t>
        </is>
      </c>
      <c r="AW540" s="38" t="inlineStr">
        <is>
          <t>P1–P2 · SFIA 2 Assist</t>
        </is>
      </c>
      <c r="AX5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0" s="39" t="inlineStr">
        <is>
          <t>A2</t>
        </is>
      </c>
      <c r="AZ540" s="40" t="inlineStr">
        <is>
          <t>Band A · Practitioner · Associate</t>
        </is>
      </c>
      <c r="BA540" s="40" t="inlineStr">
        <is>
          <t>Model A3 from the six ratings, the market-derived weights and rules R1–R13 · then Level rule: manager A3; a reportee sits at least one level below · A3 → A2 · move down · pay and title protected for one cycle</t>
        </is>
      </c>
      <c r="BB540" s="41" t="inlineStr">
        <is>
          <t>A3</t>
        </is>
      </c>
      <c r="BC540" s="40" t="inlineStr">
        <is>
          <t>The six ratings on the market-average weights of Band A · all tracks score 3.02 → A3 · Hay, Mercer IPE and public plans · experience 5.4 yrs vs the A3 market range 2–5</t>
        </is>
      </c>
      <c r="BD540" s="42">
        <f>IF(SUM(BM540,BN540,BO540,BP540,BQ540,BR540,BS540)=0,0,(BM540*BT540+BN540*BU540+BO540*BV540+BP540*BW540+BQ540*BX540+BR540*BY540+BS540*BZ540)/SUM(BM540,BN540,BO540,BP540,BQ540,BR540,BS540))</f>
        <v>0</v>
      </c>
      <c r="BE540" s="41" t="str">
        <f>IF(LEFT(AY540,1)="X",AY540,IF(OR(AY540="B+",AY540="C+"),INDEX(LAD_PC,MAX(1,MIN(14,MATCH(AY540,LAD_PC,0)+IF(BD540&gt;=0.5,1,IF(BD540&lt;=-0.5,-1,0))))),INDEX(LAD_STD,MAX(1,MIN(12,MATCH(AY540,LAD_STD,0)+IF(BD540&gt;=0.5,1,IF(BD540&lt;=-0.5,-1,0)))))))</f>
        <v>A2</v>
      </c>
      <c r="BF540" s="43" t="n"/>
      <c r="BG540" s="41" t="str">
        <f>IF(BF540&lt;&gt;"",BF540,BE540)</f>
        <v>A2</v>
      </c>
      <c r="BH540" s="40" t="str">
        <f>IFERROR(CHOOSE(INDEX(B_RANK,MATCH(BG540,B_LVL,0)),"Band A","Band B","B+ · Player-Coach","Band C","C+ · Player-Coach","Band D","Band E"),"Band X · Consultant")</f>
        <v>Band A</v>
      </c>
      <c r="BI540" s="40" t="str">
        <f>IF(BG540=AY540,"• Same",IF(INDEX(B_VAL,MATCH(BG540,B_LVL,0))&gt;INDEX(B_VAL,MATCH(AY540,B_LVL,0)),"▲ Up","▼ Down"))</f>
        <v>• Same</v>
      </c>
      <c r="BJ540" s="40" t="str">
        <f>IF(OR($M540="",$M540="—",$M540="Not in this file"),"",IFERROR(INDEX($BG$7:$BG$592,MATCH($M540,$D$7:$D$592,0)),""))</f>
        <v>A3</v>
      </c>
      <c r="BK540" s="40" t="str">
        <f>IFERROR(IF(BJ540="","—",IF(OR(LEFT(BG540,1)="X",LEFT(BJ540,1)="X"),"—",IF(AND(LEFT(BG540,1)="E",LEFT(BJ540,1)="E"),"Exception · Band E",IF(AND(INDEX(B_VAL,MATCH(BJ540,B_LVL,0))&gt;=7,INDEX(B_RANK,MATCH(BG540,B_LVL,0))&gt;=INDEX(B_RANK,MATCH(BJ540,B_LVL,0))),"⚠ Same band as a head manager",IF(INDEX(B_VAL,MATCH(BG540,B_LVL,0))&gt;=INDEX(B_VAL,MATCH(BJ540,B_LVL,0)),"⚠ At or above the manager's level","OK"))))),"—")</f>
        <v>OK</v>
      </c>
      <c r="BL540" s="43" t="n"/>
      <c r="BM540" s="44">
        <f>IFERROR(INDEX(LMH_PTS,MATCH(Y540,LMH_KEY,0)),0)</f>
        <v>9</v>
      </c>
      <c r="BN540" s="38">
        <f>IFERROR(INDEX(LMH_PTS,MATCH(Z540,LMH_KEY,0)),0)</f>
        <v>3</v>
      </c>
      <c r="BO540" s="38">
        <f>IFERROR(INDEX(LMH_PTS,MATCH(AA540,LMH_KEY,0)),0)</f>
        <v>1</v>
      </c>
      <c r="BP540" s="38">
        <f>IFERROR(INDEX(LMH_PTS,MATCH(AB540,LMH_KEY,0)),0)</f>
        <v>1</v>
      </c>
      <c r="BQ540" s="38">
        <f>IFERROR(INDEX(LMH_PTS,MATCH(AC540,LMH_KEY,0)),0)</f>
        <v>1</v>
      </c>
      <c r="BR540" s="38">
        <f>IFERROR(INDEX(LMH_PTS,MATCH(AD540,LMH_KEY,0)),0)</f>
        <v>1</v>
      </c>
      <c r="BS540" s="38">
        <f>IFERROR(INDEX(LMH_PTS,MATCH(AE540,LMH_KEY,0)),0)</f>
        <v>1</v>
      </c>
      <c r="BT540" s="38">
        <f>IFERROR(INDEX(LMH_STEP,MATCH(AF540,LMH_KEY,0)),0)</f>
        <v>0</v>
      </c>
      <c r="BU540" s="38">
        <f>IFERROR(INDEX(LMH_STEP,MATCH(AG540,LMH_KEY,0)),0)</f>
        <v>0</v>
      </c>
      <c r="BV540" s="38">
        <f>IFERROR(INDEX(LMH_STEP,MATCH(AH540,LMH_KEY,0)),0)</f>
        <v>0</v>
      </c>
      <c r="BW540" s="38">
        <f>IFERROR(INDEX(LMH_STEP,MATCH(AI540,LMH_KEY,0)),0)</f>
        <v>0</v>
      </c>
      <c r="BX540" s="38">
        <f>IFERROR(INDEX(LMH_STEP,MATCH(AJ540,LMH_KEY,0)),0)</f>
        <v>0</v>
      </c>
      <c r="BY540" s="38">
        <f>IFERROR(INDEX(LMH_STEP,MATCH(AK540,LMH_KEY,0)),0)</f>
        <v>0</v>
      </c>
      <c r="BZ540" s="38">
        <f>IFERROR(INDEX(LMH_STEP,MATCH(AL540,LMH_KEY,0)),0)</f>
        <v>0</v>
      </c>
      <c r="CA540" s="38" t="inlineStr">
        <is>
          <t>iFile|Technology|Senior Business Analyst|A2|A</t>
        </is>
      </c>
    </row>
    <row r="541" ht="110" customHeight="1">
      <c r="A541" s="28" t="inlineStr">
        <is>
          <t>iFile</t>
        </is>
      </c>
      <c r="B541" s="29" t="inlineStr">
        <is>
          <t>Technology</t>
        </is>
      </c>
      <c r="C541" s="29" t="n">
        <v>4</v>
      </c>
      <c r="D541" s="29" t="inlineStr">
        <is>
          <t>IRIS2542</t>
        </is>
      </c>
      <c r="E541" s="29" t="inlineStr">
        <is>
          <t>Parmesh Vala</t>
        </is>
      </c>
      <c r="F541" s="29" t="inlineStr">
        <is>
          <t>Trainee Business Analyst</t>
        </is>
      </c>
      <c r="G541" s="29" t="inlineStr">
        <is>
          <t>Trainee Business Analyst</t>
        </is>
      </c>
      <c r="H541" s="29" t="inlineStr">
        <is>
          <t>Business Analysis</t>
        </is>
      </c>
      <c r="I541" s="29" t="inlineStr">
        <is>
          <t>Business Analysis</t>
        </is>
      </c>
      <c r="J541" s="29" t="inlineStr">
        <is>
          <t>IC</t>
        </is>
      </c>
      <c r="K541" s="29" t="inlineStr">
        <is>
          <t>RC-007</t>
        </is>
      </c>
      <c r="L541" s="29" t="inlineStr">
        <is>
          <t>Saurabh Kadam</t>
        </is>
      </c>
      <c r="M541" s="29" t="inlineStr">
        <is>
          <t>IRIS2406</t>
        </is>
      </c>
      <c r="N541" s="29" t="n">
        <v>0.2</v>
      </c>
      <c r="O541" s="29" t="n">
        <v>0.2</v>
      </c>
      <c r="P541" s="29" t="inlineStr">
        <is>
          <t>B.Tech</t>
        </is>
      </c>
      <c r="Q541" s="29" t="inlineStr">
        <is>
          <t>L1 – Intern</t>
        </is>
      </c>
      <c r="R541" s="29" t="inlineStr">
        <is>
          <t>A1</t>
        </is>
      </c>
      <c r="S541" s="30" t="inlineStr">
        <is>
          <t>20 of 20</t>
        </is>
      </c>
      <c r="T541" s="32" t="inlineStr">
        <is>
          <t>Full survey answers not in the files received · How We Grow export needed · HR</t>
        </is>
      </c>
      <c r="U541" s="31" t="inlineStr">
        <is>
          <t>Received · manager annual, quarterly · 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t>
        </is>
      </c>
      <c r="V541" s="31" t="inlineStr">
        <is>
          <t>Latest rating: 4 · Potential: High · 9-box: Emerging Talent · Readiness: Ready now</t>
        </is>
      </c>
      <c r="W541" s="31" t="inlineStr">
        <is>
          <t>C — · Au — · Ac — · L — · BI — · Exp H · 0.2 yrs vs 0 yrs · fresher / intern · Edu M · B.Tech</t>
        </is>
      </c>
      <c r="X541" s="33" t="inlineStr">
        <is>
          <t>Open ▸</t>
        </is>
      </c>
      <c r="Y541" s="34" t="str">
        <f>IFERROR(INDEX(DL_C,MATCH($CA541,DL_KEY,0)),"M")</f>
        <v>H</v>
      </c>
      <c r="Z541" s="35" t="str">
        <f>IFERROR(INDEX(DL_Au,MATCH($CA541,DL_KEY,0)),"M")</f>
        <v>M</v>
      </c>
      <c r="AA541" s="35" t="str">
        <f>IFERROR(INDEX(DL_Ac,MATCH($CA541,DL_KEY,0)),"M")</f>
        <v>L</v>
      </c>
      <c r="AB541" s="35" t="str">
        <f>IFERROR(INDEX(DL_L,MATCH($CA541,DL_KEY,0)),"M")</f>
        <v>L</v>
      </c>
      <c r="AC541" s="35" t="str">
        <f>IFERROR(INDEX(DL_BI,MATCH($CA541,DL_KEY,0)),"M")</f>
        <v>L</v>
      </c>
      <c r="AD541" s="35" t="str">
        <f>IFERROR(INDEX(DL_Exp,MATCH($CA541,DL_KEY,0)),"M")</f>
        <v>L</v>
      </c>
      <c r="AE541" s="35" t="str">
        <f>IFERROR(INDEX(DL_Edu,MATCH($CA541,DL_KEY,0)),"M")</f>
        <v>L</v>
      </c>
      <c r="AF541" s="34" t="inlineStr">
        <is>
          <t>M</t>
        </is>
      </c>
      <c r="AG541" s="35" t="inlineStr">
        <is>
          <t>M</t>
        </is>
      </c>
      <c r="AH541" s="35" t="inlineStr">
        <is>
          <t>M</t>
        </is>
      </c>
      <c r="AI541" s="35" t="inlineStr">
        <is>
          <t>M</t>
        </is>
      </c>
      <c r="AJ541" s="35" t="inlineStr">
        <is>
          <t>M</t>
        </is>
      </c>
      <c r="AK541" s="35" t="inlineStr">
        <is>
          <t>M</t>
        </is>
      </c>
      <c r="AL541" s="35" t="inlineStr">
        <is>
          <t>M</t>
        </is>
      </c>
      <c r="AM541" s="36" t="n">
        <v>0.583</v>
      </c>
      <c r="AN541" s="37" t="n">
        <v>0.16</v>
      </c>
      <c r="AO541" s="37" t="n">
        <v>0.09</v>
      </c>
      <c r="AP541" s="37" t="n">
        <v>0</v>
      </c>
      <c r="AQ541" s="37" t="n">
        <v>0.063</v>
      </c>
      <c r="AR541" s="37" t="n">
        <v>0.06</v>
      </c>
      <c r="AS541" s="37" t="n">
        <v>0.04</v>
      </c>
      <c r="AT541" s="38" t="inlineStr">
        <is>
          <t>0 yrs · fresher / intern</t>
        </is>
      </c>
      <c r="AU541" s="38" t="inlineStr">
        <is>
          <t>Pursuing or completed graduation / diploma</t>
        </is>
      </c>
      <c r="AV541" s="38" t="inlineStr">
        <is>
          <t>No direct reports</t>
        </is>
      </c>
      <c r="AW541" s="38" t="inlineStr">
        <is>
          <t>Entry / P1 · intern · SFIA 1 Follow</t>
        </is>
      </c>
      <c r="AX5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1" s="39" t="inlineStr">
        <is>
          <t>A1</t>
        </is>
      </c>
      <c r="AZ541" s="40" t="inlineStr">
        <is>
          <t>Band A · Practitioner · Intern / Trainee</t>
        </is>
      </c>
      <c r="BA541" s="40" t="inlineStr">
        <is>
          <t>Model A1 from the six ratings, the market-derived weights and rules R1–R13 · then No change · already below the manager</t>
        </is>
      </c>
      <c r="BB541" s="41" t="inlineStr">
        <is>
          <t>A1</t>
        </is>
      </c>
      <c r="BC541" s="40" t="inlineStr">
        <is>
          <t>Placed by a category rule — no full set of ratings · benchmark follows the HR proposed level</t>
        </is>
      </c>
      <c r="BD541" s="42">
        <f>IF(SUM(BM541,BN541,BO541,BP541,BQ541,BR541,BS541)=0,0,(BM541*BT541+BN541*BU541+BO541*BV541+BP541*BW541+BQ541*BX541+BR541*BY541+BS541*BZ541)/SUM(BM541,BN541,BO541,BP541,BQ541,BR541,BS541))</f>
        <v>0</v>
      </c>
      <c r="BE541" s="41" t="str">
        <f>IF(LEFT(AY541,1)="X",AY541,IF(OR(AY541="B+",AY541="C+"),INDEX(LAD_PC,MAX(1,MIN(14,MATCH(AY541,LAD_PC,0)+IF(BD541&gt;=0.5,1,IF(BD541&lt;=-0.5,-1,0))))),INDEX(LAD_STD,MAX(1,MIN(12,MATCH(AY541,LAD_STD,0)+IF(BD541&gt;=0.5,1,IF(BD541&lt;=-0.5,-1,0)))))))</f>
        <v>A1</v>
      </c>
      <c r="BF541" s="43" t="n"/>
      <c r="BG541" s="41" t="str">
        <f>IF(BF541&lt;&gt;"",BF541,BE541)</f>
        <v>A1</v>
      </c>
      <c r="BH541" s="40" t="str">
        <f>IFERROR(CHOOSE(INDEX(B_RANK,MATCH(BG541,B_LVL,0)),"Band A","Band B","B+ · Player-Coach","Band C","C+ · Player-Coach","Band D","Band E"),"Band X · Consultant")</f>
        <v>Band A</v>
      </c>
      <c r="BI541" s="40" t="str">
        <f>IF(BG541=AY541,"• Same",IF(INDEX(B_VAL,MATCH(BG541,B_LVL,0))&gt;INDEX(B_VAL,MATCH(AY541,B_LVL,0)),"▲ Up","▼ Down"))</f>
        <v>• Same</v>
      </c>
      <c r="BJ541" s="40" t="str">
        <f>IF(OR($M541="",$M541="—",$M541="Not in this file"),"",IFERROR(INDEX($BG$7:$BG$592,MATCH($M541,$D$7:$D$592,0)),""))</f>
        <v>A3</v>
      </c>
      <c r="BK541" s="40" t="str">
        <f>IFERROR(IF(BJ541="","—",IF(OR(LEFT(BG541,1)="X",LEFT(BJ541,1)="X"),"—",IF(AND(LEFT(BG541,1)="E",LEFT(BJ541,1)="E"),"Exception · Band E",IF(AND(INDEX(B_VAL,MATCH(BJ541,B_LVL,0))&gt;=7,INDEX(B_RANK,MATCH(BG541,B_LVL,0))&gt;=INDEX(B_RANK,MATCH(BJ541,B_LVL,0))),"⚠ Same band as a head manager",IF(INDEX(B_VAL,MATCH(BG541,B_LVL,0))&gt;=INDEX(B_VAL,MATCH(BJ541,B_LVL,0)),"⚠ At or above the manager's level","OK"))))),"—")</f>
        <v>OK</v>
      </c>
      <c r="BL541" s="43" t="n"/>
      <c r="BM541" s="44">
        <f>IFERROR(INDEX(LMH_PTS,MATCH(Y541,LMH_KEY,0)),0)</f>
        <v>9</v>
      </c>
      <c r="BN541" s="38">
        <f>IFERROR(INDEX(LMH_PTS,MATCH(Z541,LMH_KEY,0)),0)</f>
        <v>3</v>
      </c>
      <c r="BO541" s="38">
        <f>IFERROR(INDEX(LMH_PTS,MATCH(AA541,LMH_KEY,0)),0)</f>
        <v>1</v>
      </c>
      <c r="BP541" s="38">
        <f>IFERROR(INDEX(LMH_PTS,MATCH(AB541,LMH_KEY,0)),0)</f>
        <v>1</v>
      </c>
      <c r="BQ541" s="38">
        <f>IFERROR(INDEX(LMH_PTS,MATCH(AC541,LMH_KEY,0)),0)</f>
        <v>1</v>
      </c>
      <c r="BR541" s="38">
        <f>IFERROR(INDEX(LMH_PTS,MATCH(AD541,LMH_KEY,0)),0)</f>
        <v>1</v>
      </c>
      <c r="BS541" s="38">
        <f>IFERROR(INDEX(LMH_PTS,MATCH(AE541,LMH_KEY,0)),0)</f>
        <v>1</v>
      </c>
      <c r="BT541" s="38">
        <f>IFERROR(INDEX(LMH_STEP,MATCH(AF541,LMH_KEY,0)),0)</f>
        <v>0</v>
      </c>
      <c r="BU541" s="38">
        <f>IFERROR(INDEX(LMH_STEP,MATCH(AG541,LMH_KEY,0)),0)</f>
        <v>0</v>
      </c>
      <c r="BV541" s="38">
        <f>IFERROR(INDEX(LMH_STEP,MATCH(AH541,LMH_KEY,0)),0)</f>
        <v>0</v>
      </c>
      <c r="BW541" s="38">
        <f>IFERROR(INDEX(LMH_STEP,MATCH(AI541,LMH_KEY,0)),0)</f>
        <v>0</v>
      </c>
      <c r="BX541" s="38">
        <f>IFERROR(INDEX(LMH_STEP,MATCH(AJ541,LMH_KEY,0)),0)</f>
        <v>0</v>
      </c>
      <c r="BY541" s="38">
        <f>IFERROR(INDEX(LMH_STEP,MATCH(AK541,LMH_KEY,0)),0)</f>
        <v>0</v>
      </c>
      <c r="BZ541" s="38">
        <f>IFERROR(INDEX(LMH_STEP,MATCH(AL541,LMH_KEY,0)),0)</f>
        <v>0</v>
      </c>
      <c r="CA541" s="38" t="inlineStr">
        <is>
          <t>iFile|Technology|Trainee Business Analyst|A1|A</t>
        </is>
      </c>
    </row>
    <row r="542" ht="110" customHeight="1">
      <c r="A542" s="28" t="inlineStr">
        <is>
          <t>CARBON</t>
        </is>
      </c>
      <c r="B542" s="29" t="inlineStr">
        <is>
          <t>Technology</t>
        </is>
      </c>
      <c r="C542" s="29" t="n">
        <v>2</v>
      </c>
      <c r="D542" s="29" t="inlineStr">
        <is>
          <t>IRIS2445</t>
        </is>
      </c>
      <c r="E542" s="29" t="inlineStr">
        <is>
          <t>Mohammad Irfan</t>
        </is>
      </c>
      <c r="F542" s="29" t="inlineStr">
        <is>
          <t>Senior Software Engineer - AI/ML</t>
        </is>
      </c>
      <c r="G542" s="29" t="inlineStr">
        <is>
          <t>Senior AI/ML Engineer</t>
        </is>
      </c>
      <c r="H542" s="29" t="inlineStr">
        <is>
          <t>Engineering &amp; Development</t>
        </is>
      </c>
      <c r="I542" s="29" t="inlineStr">
        <is>
          <t>AI / ML &amp; GenAI Engineering</t>
        </is>
      </c>
      <c r="J542" s="29" t="inlineStr">
        <is>
          <t>IC</t>
        </is>
      </c>
      <c r="K542" s="29" t="inlineStr">
        <is>
          <t>RC-060</t>
        </is>
      </c>
      <c r="L542" s="29" t="inlineStr">
        <is>
          <t>Ashish Singhvi</t>
        </is>
      </c>
      <c r="M542" s="29" t="inlineStr">
        <is>
          <t>IRIS0249</t>
        </is>
      </c>
      <c r="N542" s="29" t="n">
        <v>4.5</v>
      </c>
      <c r="O542" s="29" t="n">
        <v>0.8</v>
      </c>
      <c r="P542" s="29" t="inlineStr">
        <is>
          <t>M.Sc</t>
        </is>
      </c>
      <c r="Q542" s="29" t="inlineStr">
        <is>
          <t>L4 – Senior</t>
        </is>
      </c>
      <c r="R542" s="29" t="inlineStr">
        <is>
          <t>A3</t>
        </is>
      </c>
      <c r="S542" s="30" t="inlineStr">
        <is>
          <t>20 of 20</t>
        </is>
      </c>
      <c r="T542" s="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t>
        </is>
      </c>
      <c r="U542" s="31" t="inlineStr">
        <is>
          <t>Received · manager annual · 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t>
        </is>
      </c>
      <c r="V542" s="31" t="inlineStr">
        <is>
          <t>Latest rating: Not rated · manager · 9-box: Future Leader · Readiness: No rating data</t>
        </is>
      </c>
      <c r="W542" s="31" t="inlineStr">
        <is>
          <t>C M · Au M · Ac M · L L · BI M · Exp H · 4.5 yrs vs 2–4 yrs · Edu H · M.Sc</t>
        </is>
      </c>
      <c r="X542" s="33" t="inlineStr">
        <is>
          <t>Open ▸</t>
        </is>
      </c>
      <c r="Y542" s="34" t="str">
        <f>IFERROR(INDEX(DL_C,MATCH($CA542,DL_KEY,0)),"M")</f>
        <v>H</v>
      </c>
      <c r="Z542" s="35" t="str">
        <f>IFERROR(INDEX(DL_Au,MATCH($CA542,DL_KEY,0)),"M")</f>
        <v>M</v>
      </c>
      <c r="AA542" s="35" t="str">
        <f>IFERROR(INDEX(DL_Ac,MATCH($CA542,DL_KEY,0)),"M")</f>
        <v>L</v>
      </c>
      <c r="AB542" s="35" t="str">
        <f>IFERROR(INDEX(DL_L,MATCH($CA542,DL_KEY,0)),"M")</f>
        <v>L</v>
      </c>
      <c r="AC542" s="35" t="str">
        <f>IFERROR(INDEX(DL_BI,MATCH($CA542,DL_KEY,0)),"M")</f>
        <v>L</v>
      </c>
      <c r="AD542" s="35" t="str">
        <f>IFERROR(INDEX(DL_Exp,MATCH($CA542,DL_KEY,0)),"M")</f>
        <v>L</v>
      </c>
      <c r="AE542" s="35" t="str">
        <f>IFERROR(INDEX(DL_Edu,MATCH($CA542,DL_KEY,0)),"M")</f>
        <v>L</v>
      </c>
      <c r="AF542" s="34" t="inlineStr">
        <is>
          <t>M</t>
        </is>
      </c>
      <c r="AG542" s="35" t="inlineStr">
        <is>
          <t>M</t>
        </is>
      </c>
      <c r="AH542" s="35" t="inlineStr">
        <is>
          <t>M</t>
        </is>
      </c>
      <c r="AI542" s="35" t="inlineStr">
        <is>
          <t>M</t>
        </is>
      </c>
      <c r="AJ542" s="35" t="inlineStr">
        <is>
          <t>M</t>
        </is>
      </c>
      <c r="AK542" s="35" t="inlineStr">
        <is>
          <t>M</t>
        </is>
      </c>
      <c r="AL542" s="35" t="inlineStr">
        <is>
          <t>M</t>
        </is>
      </c>
      <c r="AM542" s="36" t="n">
        <v>0.583</v>
      </c>
      <c r="AN542" s="37" t="n">
        <v>0.16</v>
      </c>
      <c r="AO542" s="37" t="n">
        <v>0.09</v>
      </c>
      <c r="AP542" s="37" t="n">
        <v>0</v>
      </c>
      <c r="AQ542" s="37" t="n">
        <v>0.063</v>
      </c>
      <c r="AR542" s="37" t="n">
        <v>0.06</v>
      </c>
      <c r="AS542" s="37" t="n">
        <v>0.04</v>
      </c>
      <c r="AT542" s="38" t="inlineStr">
        <is>
          <t>2–5</t>
        </is>
      </c>
      <c r="AU542" s="38" t="inlineStr">
        <is>
          <t>Graduate; relevant certification preferred</t>
        </is>
      </c>
      <c r="AV542" s="38" t="inlineStr">
        <is>
          <t>None · guides 1–3 juniors informally</t>
        </is>
      </c>
      <c r="AW542" s="38" t="inlineStr">
        <is>
          <t>P2 · SFIA 3 Apply</t>
        </is>
      </c>
      <c r="AX5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2" s="39" t="inlineStr">
        <is>
          <t>A3</t>
        </is>
      </c>
      <c r="AZ542" s="40" t="inlineStr">
        <is>
          <t>Band A · Practitioner · Senior Associate</t>
        </is>
      </c>
      <c r="BA542" s="40" t="inlineStr">
        <is>
          <t>Model A3 from the six ratings, the market-derived weights and rules R1–R13 · then No change · already below the manager</t>
        </is>
      </c>
      <c r="BB542" s="41" t="inlineStr">
        <is>
          <t>A3</t>
        </is>
      </c>
      <c r="BC542" s="40" t="inlineStr">
        <is>
          <t>The six ratings on the market-average weights of Band A · all tracks score 3.39 → A3 · Hay, Mercer IPE and public plans · experience 4.5 yrs vs the A3 market range 2–5</t>
        </is>
      </c>
      <c r="BD542" s="42">
        <f>IF(SUM(BM542,BN542,BO542,BP542,BQ542,BR542,BS542)=0,0,(BM542*BT542+BN542*BU542+BO542*BV542+BP542*BW542+BQ542*BX542+BR542*BY542+BS542*BZ542)/SUM(BM542,BN542,BO542,BP542,BQ542,BR542,BS542))</f>
        <v>0</v>
      </c>
      <c r="BE542" s="41" t="str">
        <f>IF(LEFT(AY542,1)="X",AY542,IF(OR(AY542="B+",AY542="C+"),INDEX(LAD_PC,MAX(1,MIN(14,MATCH(AY542,LAD_PC,0)+IF(BD542&gt;=0.5,1,IF(BD542&lt;=-0.5,-1,0))))),INDEX(LAD_STD,MAX(1,MIN(12,MATCH(AY542,LAD_STD,0)+IF(BD542&gt;=0.5,1,IF(BD542&lt;=-0.5,-1,0)))))))</f>
        <v>A3</v>
      </c>
      <c r="BF542" s="43" t="n"/>
      <c r="BG542" s="41" t="str">
        <f>IF(BF542&lt;&gt;"",BF542,BE542)</f>
        <v>A3</v>
      </c>
      <c r="BH542" s="40" t="str">
        <f>IFERROR(CHOOSE(INDEX(B_RANK,MATCH(BG542,B_LVL,0)),"Band A","Band B","B+ · Player-Coach","Band C","C+ · Player-Coach","Band D","Band E"),"Band X · Consultant")</f>
        <v>Band A</v>
      </c>
      <c r="BI542" s="40" t="str">
        <f>IF(BG542=AY542,"• Same",IF(INDEX(B_VAL,MATCH(BG542,B_LVL,0))&gt;INDEX(B_VAL,MATCH(AY542,B_LVL,0)),"▲ Up","▼ Down"))</f>
        <v>• Same</v>
      </c>
      <c r="BJ542" s="40" t="str">
        <f>IF(OR($M542="",$M542="—",$M542="Not in this file"),"",IFERROR(INDEX($BG$7:$BG$592,MATCH($M542,$D$7:$D$592,0)),""))</f>
        <v>C2</v>
      </c>
      <c r="BK542" s="40" t="str">
        <f>IFERROR(IF(BJ542="","—",IF(OR(LEFT(BG542,1)="X",LEFT(BJ542,1)="X"),"—",IF(AND(LEFT(BG542,1)="E",LEFT(BJ542,1)="E"),"Exception · Band E",IF(AND(INDEX(B_VAL,MATCH(BJ542,B_LVL,0))&gt;=7,INDEX(B_RANK,MATCH(BG542,B_LVL,0))&gt;=INDEX(B_RANK,MATCH(BJ542,B_LVL,0))),"⚠ Same band as a head manager",IF(INDEX(B_VAL,MATCH(BG542,B_LVL,0))&gt;=INDEX(B_VAL,MATCH(BJ542,B_LVL,0)),"⚠ At or above the manager's level","OK"))))),"—")</f>
        <v>OK</v>
      </c>
      <c r="BL542" s="43" t="n"/>
      <c r="BM542" s="44">
        <f>IFERROR(INDEX(LMH_PTS,MATCH(Y542,LMH_KEY,0)),0)</f>
        <v>9</v>
      </c>
      <c r="BN542" s="38">
        <f>IFERROR(INDEX(LMH_PTS,MATCH(Z542,LMH_KEY,0)),0)</f>
        <v>3</v>
      </c>
      <c r="BO542" s="38">
        <f>IFERROR(INDEX(LMH_PTS,MATCH(AA542,LMH_KEY,0)),0)</f>
        <v>1</v>
      </c>
      <c r="BP542" s="38">
        <f>IFERROR(INDEX(LMH_PTS,MATCH(AB542,LMH_KEY,0)),0)</f>
        <v>1</v>
      </c>
      <c r="BQ542" s="38">
        <f>IFERROR(INDEX(LMH_PTS,MATCH(AC542,LMH_KEY,0)),0)</f>
        <v>1</v>
      </c>
      <c r="BR542" s="38">
        <f>IFERROR(INDEX(LMH_PTS,MATCH(AD542,LMH_KEY,0)),0)</f>
        <v>1</v>
      </c>
      <c r="BS542" s="38">
        <f>IFERROR(INDEX(LMH_PTS,MATCH(AE542,LMH_KEY,0)),0)</f>
        <v>1</v>
      </c>
      <c r="BT542" s="38">
        <f>IFERROR(INDEX(LMH_STEP,MATCH(AF542,LMH_KEY,0)),0)</f>
        <v>0</v>
      </c>
      <c r="BU542" s="38">
        <f>IFERROR(INDEX(LMH_STEP,MATCH(AG542,LMH_KEY,0)),0)</f>
        <v>0</v>
      </c>
      <c r="BV542" s="38">
        <f>IFERROR(INDEX(LMH_STEP,MATCH(AH542,LMH_KEY,0)),0)</f>
        <v>0</v>
      </c>
      <c r="BW542" s="38">
        <f>IFERROR(INDEX(LMH_STEP,MATCH(AI542,LMH_KEY,0)),0)</f>
        <v>0</v>
      </c>
      <c r="BX542" s="38">
        <f>IFERROR(INDEX(LMH_STEP,MATCH(AJ542,LMH_KEY,0)),0)</f>
        <v>0</v>
      </c>
      <c r="BY542" s="38">
        <f>IFERROR(INDEX(LMH_STEP,MATCH(AK542,LMH_KEY,0)),0)</f>
        <v>0</v>
      </c>
      <c r="BZ542" s="38">
        <f>IFERROR(INDEX(LMH_STEP,MATCH(AL542,LMH_KEY,0)),0)</f>
        <v>0</v>
      </c>
      <c r="CA542" s="38" t="inlineStr">
        <is>
          <t>CARBON|Technology|Senior AI/ML Engineer|A3|A</t>
        </is>
      </c>
    </row>
    <row r="543" ht="110" customHeight="1">
      <c r="A543" s="28" t="inlineStr">
        <is>
          <t>CARBON</t>
        </is>
      </c>
      <c r="B543" s="29" t="inlineStr">
        <is>
          <t>Technology</t>
        </is>
      </c>
      <c r="C543" s="29" t="n">
        <v>2</v>
      </c>
      <c r="D543" s="29" t="inlineStr">
        <is>
          <t>IRIS2500</t>
        </is>
      </c>
      <c r="E543" s="29" t="inlineStr">
        <is>
          <t>Vishal Nanaware</t>
        </is>
      </c>
      <c r="F543" s="29" t="inlineStr">
        <is>
          <t>Senior Software Engineer - AI/ML</t>
        </is>
      </c>
      <c r="G543" s="29" t="inlineStr">
        <is>
          <t>Senior AI/ML Engineer</t>
        </is>
      </c>
      <c r="H543" s="29" t="inlineStr">
        <is>
          <t>Engineering &amp; Development</t>
        </is>
      </c>
      <c r="I543" s="29" t="inlineStr">
        <is>
          <t>AI / ML &amp; GenAI Engineering</t>
        </is>
      </c>
      <c r="J543" s="29" t="inlineStr">
        <is>
          <t>IC</t>
        </is>
      </c>
      <c r="K543" s="29" t="inlineStr">
        <is>
          <t>RC-060</t>
        </is>
      </c>
      <c r="L543" s="29" t="inlineStr">
        <is>
          <t>Ashish Singhvi</t>
        </is>
      </c>
      <c r="M543" s="29" t="inlineStr">
        <is>
          <t>IRIS0249</t>
        </is>
      </c>
      <c r="N543" s="29" t="n">
        <v>4.5</v>
      </c>
      <c r="O543" s="29" t="n">
        <v>0.5</v>
      </c>
      <c r="P543" s="29" t="inlineStr">
        <is>
          <t>M.Tech</t>
        </is>
      </c>
      <c r="Q543" s="29" t="inlineStr">
        <is>
          <t>L4 – Senior</t>
        </is>
      </c>
      <c r="R543" s="29" t="inlineStr">
        <is>
          <t>A3</t>
        </is>
      </c>
      <c r="S543" s="30" t="inlineStr">
        <is>
          <t>20 of 20</t>
        </is>
      </c>
      <c r="T543" s="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t>
        </is>
      </c>
      <c r="U543"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43" s="31" t="inlineStr">
        <is>
          <t>Latest rating: Not rated · manager · 9-box: Future Leader · Readiness: No rating data</t>
        </is>
      </c>
      <c r="W543" s="31" t="inlineStr">
        <is>
          <t>C M · Au M · Ac M · L L · BI M · Exp H · 4.5 yrs vs 2–4 yrs · Edu H · M.Tech</t>
        </is>
      </c>
      <c r="X543" s="33" t="inlineStr">
        <is>
          <t>Open ▸</t>
        </is>
      </c>
      <c r="Y543" s="34" t="str">
        <f>IFERROR(INDEX(DL_C,MATCH($CA543,DL_KEY,0)),"M")</f>
        <v>H</v>
      </c>
      <c r="Z543" s="35" t="str">
        <f>IFERROR(INDEX(DL_Au,MATCH($CA543,DL_KEY,0)),"M")</f>
        <v>M</v>
      </c>
      <c r="AA543" s="35" t="str">
        <f>IFERROR(INDEX(DL_Ac,MATCH($CA543,DL_KEY,0)),"M")</f>
        <v>L</v>
      </c>
      <c r="AB543" s="35" t="str">
        <f>IFERROR(INDEX(DL_L,MATCH($CA543,DL_KEY,0)),"M")</f>
        <v>L</v>
      </c>
      <c r="AC543" s="35" t="str">
        <f>IFERROR(INDEX(DL_BI,MATCH($CA543,DL_KEY,0)),"M")</f>
        <v>L</v>
      </c>
      <c r="AD543" s="35" t="str">
        <f>IFERROR(INDEX(DL_Exp,MATCH($CA543,DL_KEY,0)),"M")</f>
        <v>L</v>
      </c>
      <c r="AE543" s="35" t="str">
        <f>IFERROR(INDEX(DL_Edu,MATCH($CA543,DL_KEY,0)),"M")</f>
        <v>L</v>
      </c>
      <c r="AF543" s="34" t="inlineStr">
        <is>
          <t>M</t>
        </is>
      </c>
      <c r="AG543" s="35" t="inlineStr">
        <is>
          <t>M</t>
        </is>
      </c>
      <c r="AH543" s="35" t="inlineStr">
        <is>
          <t>M</t>
        </is>
      </c>
      <c r="AI543" s="35" t="inlineStr">
        <is>
          <t>M</t>
        </is>
      </c>
      <c r="AJ543" s="35" t="inlineStr">
        <is>
          <t>M</t>
        </is>
      </c>
      <c r="AK543" s="35" t="inlineStr">
        <is>
          <t>M</t>
        </is>
      </c>
      <c r="AL543" s="35" t="inlineStr">
        <is>
          <t>M</t>
        </is>
      </c>
      <c r="AM543" s="36" t="n">
        <v>0.583</v>
      </c>
      <c r="AN543" s="37" t="n">
        <v>0.16</v>
      </c>
      <c r="AO543" s="37" t="n">
        <v>0.09</v>
      </c>
      <c r="AP543" s="37" t="n">
        <v>0</v>
      </c>
      <c r="AQ543" s="37" t="n">
        <v>0.063</v>
      </c>
      <c r="AR543" s="37" t="n">
        <v>0.06</v>
      </c>
      <c r="AS543" s="37" t="n">
        <v>0.04</v>
      </c>
      <c r="AT543" s="38" t="inlineStr">
        <is>
          <t>2–5</t>
        </is>
      </c>
      <c r="AU543" s="38" t="inlineStr">
        <is>
          <t>Graduate; relevant certification preferred</t>
        </is>
      </c>
      <c r="AV543" s="38" t="inlineStr">
        <is>
          <t>None · guides 1–3 juniors informally</t>
        </is>
      </c>
      <c r="AW543" s="38" t="inlineStr">
        <is>
          <t>P2 · SFIA 3 Apply</t>
        </is>
      </c>
      <c r="AX5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3" s="39" t="inlineStr">
        <is>
          <t>A3</t>
        </is>
      </c>
      <c r="AZ543" s="40" t="inlineStr">
        <is>
          <t>Band A · Practitioner · Senior Associate</t>
        </is>
      </c>
      <c r="BA543" s="40" t="inlineStr">
        <is>
          <t>Model A3 from the six ratings, the market-derived weights and rules R1–R13 · then No change · already below the manager</t>
        </is>
      </c>
      <c r="BB543" s="41" t="inlineStr">
        <is>
          <t>A3</t>
        </is>
      </c>
      <c r="BC543" s="40" t="inlineStr">
        <is>
          <t>The six ratings on the market-average weights of Band A · all tracks score 2.94 → A3 · Hay, Mercer IPE and public plans · experience 4.5 yrs vs the A3 market range 2–5</t>
        </is>
      </c>
      <c r="BD543" s="42">
        <f>IF(SUM(BM543,BN543,BO543,BP543,BQ543,BR543,BS543)=0,0,(BM543*BT543+BN543*BU543+BO543*BV543+BP543*BW543+BQ543*BX543+BR543*BY543+BS543*BZ543)/SUM(BM543,BN543,BO543,BP543,BQ543,BR543,BS543))</f>
        <v>0</v>
      </c>
      <c r="BE543" s="41" t="str">
        <f>IF(LEFT(AY543,1)="X",AY543,IF(OR(AY543="B+",AY543="C+"),INDEX(LAD_PC,MAX(1,MIN(14,MATCH(AY543,LAD_PC,0)+IF(BD543&gt;=0.5,1,IF(BD543&lt;=-0.5,-1,0))))),INDEX(LAD_STD,MAX(1,MIN(12,MATCH(AY543,LAD_STD,0)+IF(BD543&gt;=0.5,1,IF(BD543&lt;=-0.5,-1,0)))))))</f>
        <v>A3</v>
      </c>
      <c r="BF543" s="43" t="n"/>
      <c r="BG543" s="41" t="str">
        <f>IF(BF543&lt;&gt;"",BF543,BE543)</f>
        <v>A3</v>
      </c>
      <c r="BH543" s="40" t="str">
        <f>IFERROR(CHOOSE(INDEX(B_RANK,MATCH(BG543,B_LVL,0)),"Band A","Band B","B+ · Player-Coach","Band C","C+ · Player-Coach","Band D","Band E"),"Band X · Consultant")</f>
        <v>Band A</v>
      </c>
      <c r="BI543" s="40" t="str">
        <f>IF(BG543=AY543,"• Same",IF(INDEX(B_VAL,MATCH(BG543,B_LVL,0))&gt;INDEX(B_VAL,MATCH(AY543,B_LVL,0)),"▲ Up","▼ Down"))</f>
        <v>• Same</v>
      </c>
      <c r="BJ543" s="40" t="str">
        <f>IF(OR($M543="",$M543="—",$M543="Not in this file"),"",IFERROR(INDEX($BG$7:$BG$592,MATCH($M543,$D$7:$D$592,0)),""))</f>
        <v>C2</v>
      </c>
      <c r="BK543" s="40" t="str">
        <f>IFERROR(IF(BJ543="","—",IF(OR(LEFT(BG543,1)="X",LEFT(BJ543,1)="X"),"—",IF(AND(LEFT(BG543,1)="E",LEFT(BJ543,1)="E"),"Exception · Band E",IF(AND(INDEX(B_VAL,MATCH(BJ543,B_LVL,0))&gt;=7,INDEX(B_RANK,MATCH(BG543,B_LVL,0))&gt;=INDEX(B_RANK,MATCH(BJ543,B_LVL,0))),"⚠ Same band as a head manager",IF(INDEX(B_VAL,MATCH(BG543,B_LVL,0))&gt;=INDEX(B_VAL,MATCH(BJ543,B_LVL,0)),"⚠ At or above the manager's level","OK"))))),"—")</f>
        <v>OK</v>
      </c>
      <c r="BL543" s="43" t="n"/>
      <c r="BM543" s="44">
        <f>IFERROR(INDEX(LMH_PTS,MATCH(Y543,LMH_KEY,0)),0)</f>
        <v>9</v>
      </c>
      <c r="BN543" s="38">
        <f>IFERROR(INDEX(LMH_PTS,MATCH(Z543,LMH_KEY,0)),0)</f>
        <v>3</v>
      </c>
      <c r="BO543" s="38">
        <f>IFERROR(INDEX(LMH_PTS,MATCH(AA543,LMH_KEY,0)),0)</f>
        <v>1</v>
      </c>
      <c r="BP543" s="38">
        <f>IFERROR(INDEX(LMH_PTS,MATCH(AB543,LMH_KEY,0)),0)</f>
        <v>1</v>
      </c>
      <c r="BQ543" s="38">
        <f>IFERROR(INDEX(LMH_PTS,MATCH(AC543,LMH_KEY,0)),0)</f>
        <v>1</v>
      </c>
      <c r="BR543" s="38">
        <f>IFERROR(INDEX(LMH_PTS,MATCH(AD543,LMH_KEY,0)),0)</f>
        <v>1</v>
      </c>
      <c r="BS543" s="38">
        <f>IFERROR(INDEX(LMH_PTS,MATCH(AE543,LMH_KEY,0)),0)</f>
        <v>1</v>
      </c>
      <c r="BT543" s="38">
        <f>IFERROR(INDEX(LMH_STEP,MATCH(AF543,LMH_KEY,0)),0)</f>
        <v>0</v>
      </c>
      <c r="BU543" s="38">
        <f>IFERROR(INDEX(LMH_STEP,MATCH(AG543,LMH_KEY,0)),0)</f>
        <v>0</v>
      </c>
      <c r="BV543" s="38">
        <f>IFERROR(INDEX(LMH_STEP,MATCH(AH543,LMH_KEY,0)),0)</f>
        <v>0</v>
      </c>
      <c r="BW543" s="38">
        <f>IFERROR(INDEX(LMH_STEP,MATCH(AI543,LMH_KEY,0)),0)</f>
        <v>0</v>
      </c>
      <c r="BX543" s="38">
        <f>IFERROR(INDEX(LMH_STEP,MATCH(AJ543,LMH_KEY,0)),0)</f>
        <v>0</v>
      </c>
      <c r="BY543" s="38">
        <f>IFERROR(INDEX(LMH_STEP,MATCH(AK543,LMH_KEY,0)),0)</f>
        <v>0</v>
      </c>
      <c r="BZ543" s="38">
        <f>IFERROR(INDEX(LMH_STEP,MATCH(AL543,LMH_KEY,0)),0)</f>
        <v>0</v>
      </c>
      <c r="CA543" s="38" t="inlineStr">
        <is>
          <t>CARBON|Technology|Senior AI/ML Engineer|A3|A</t>
        </is>
      </c>
    </row>
    <row r="544" ht="110" customHeight="1">
      <c r="A544" s="28" t="inlineStr">
        <is>
          <t>iFile</t>
        </is>
      </c>
      <c r="B544" s="29" t="inlineStr">
        <is>
          <t>Technology</t>
        </is>
      </c>
      <c r="C544" s="29" t="n">
        <v>1</v>
      </c>
      <c r="D544" s="29" t="inlineStr">
        <is>
          <t>IRIS1689</t>
        </is>
      </c>
      <c r="E544" s="29" t="inlineStr">
        <is>
          <t>Suman Kumar</t>
        </is>
      </c>
      <c r="F544" s="29" t="inlineStr">
        <is>
          <t>Technical Architect</t>
        </is>
      </c>
      <c r="G544" s="29" t="inlineStr">
        <is>
          <t>Practice Lead – Solution &amp; Technical Architecture · Player-Coach</t>
        </is>
      </c>
      <c r="H544" s="29" t="inlineStr">
        <is>
          <t>Engineering &amp; Architecture</t>
        </is>
      </c>
      <c r="I544" s="29" t="inlineStr">
        <is>
          <t>Solution &amp; Technical Architecture</t>
        </is>
      </c>
      <c r="J544" s="29" t="inlineStr">
        <is>
          <t>Player-Coach</t>
        </is>
      </c>
      <c r="K544" s="29" t="inlineStr">
        <is>
          <t>RC-056</t>
        </is>
      </c>
      <c r="L544" s="29" t="inlineStr">
        <is>
          <t>P K X Thomas</t>
        </is>
      </c>
      <c r="M544" s="29" t="inlineStr">
        <is>
          <t>IRIS2060</t>
        </is>
      </c>
      <c r="N544" s="29" t="n">
        <v>17.2</v>
      </c>
      <c r="O544" s="29" t="n">
        <v>8.800000000000001</v>
      </c>
      <c r="P544" s="29" t="inlineStr">
        <is>
          <t>B.E</t>
        </is>
      </c>
      <c r="Q544" s="29" t="inlineStr">
        <is>
          <t>L3 – Professional / Associate</t>
        </is>
      </c>
      <c r="R544" s="29" t="inlineStr">
        <is>
          <t>B+</t>
        </is>
      </c>
      <c r="S544" s="30" t="inlineStr">
        <is>
          <t>20 of 20</t>
        </is>
      </c>
      <c r="T544" s="31"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t>
        </is>
      </c>
      <c r="U544" s="31" t="inlineStr">
        <is>
          <t>Received · manager annual, quarterly · 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t>
        </is>
      </c>
      <c r="V544" s="31" t="inlineStr">
        <is>
          <t>Latest rating: 5 · Potential: High · 9-box: Future Leader · Readiness: Ready now</t>
        </is>
      </c>
      <c r="W544" s="31" t="inlineStr">
        <is>
          <t>C M · Au M · Ac M · L L · BI M · Exp H · 17.2 yrs vs 9–14 yrs · Edu L · B.E</t>
        </is>
      </c>
      <c r="X544" s="33" t="inlineStr">
        <is>
          <t>Open ▸</t>
        </is>
      </c>
      <c r="Y544" s="34" t="str">
        <f>IFERROR(INDEX(DL_C,MATCH($CA544,DL_KEY,0)),"M")</f>
        <v>H</v>
      </c>
      <c r="Z544" s="35" t="str">
        <f>IFERROR(INDEX(DL_Au,MATCH($CA544,DL_KEY,0)),"M")</f>
        <v>M</v>
      </c>
      <c r="AA544" s="35" t="str">
        <f>IFERROR(INDEX(DL_Ac,MATCH($CA544,DL_KEY,0)),"M")</f>
        <v>L</v>
      </c>
      <c r="AB544" s="35" t="str">
        <f>IFERROR(INDEX(DL_L,MATCH($CA544,DL_KEY,0)),"M")</f>
        <v>M</v>
      </c>
      <c r="AC544" s="35" t="str">
        <f>IFERROR(INDEX(DL_BI,MATCH($CA544,DL_KEY,0)),"M")</f>
        <v>L</v>
      </c>
      <c r="AD544" s="35" t="str">
        <f>IFERROR(INDEX(DL_Exp,MATCH($CA544,DL_KEY,0)),"M")</f>
        <v>L</v>
      </c>
      <c r="AE544" s="35" t="str">
        <f>IFERROR(INDEX(DL_Edu,MATCH($CA544,DL_KEY,0)),"M")</f>
        <v>L</v>
      </c>
      <c r="AF544" s="34" t="inlineStr">
        <is>
          <t>M</t>
        </is>
      </c>
      <c r="AG544" s="35" t="inlineStr">
        <is>
          <t>M</t>
        </is>
      </c>
      <c r="AH544" s="35" t="inlineStr">
        <is>
          <t>M</t>
        </is>
      </c>
      <c r="AI544" s="35" t="inlineStr">
        <is>
          <t>M</t>
        </is>
      </c>
      <c r="AJ544" s="35" t="inlineStr">
        <is>
          <t>M</t>
        </is>
      </c>
      <c r="AK544" s="35" t="inlineStr">
        <is>
          <t>M</t>
        </is>
      </c>
      <c r="AL544" s="35" t="inlineStr">
        <is>
          <t>M</t>
        </is>
      </c>
      <c r="AM544" s="36" t="n">
        <v>0.44</v>
      </c>
      <c r="AN544" s="37" t="n">
        <v>0.177</v>
      </c>
      <c r="AO544" s="37" t="n">
        <v>0.103</v>
      </c>
      <c r="AP544" s="37" t="n">
        <v>0.1</v>
      </c>
      <c r="AQ544" s="37" t="n">
        <v>0.077</v>
      </c>
      <c r="AR544" s="37" t="n">
        <v>0.06</v>
      </c>
      <c r="AS544" s="37" t="n">
        <v>0.04</v>
      </c>
      <c r="AT544" s="38" t="inlineStr">
        <is>
          <t>9–14</t>
        </is>
      </c>
      <c r="AU544" s="38" t="inlineStr">
        <is>
          <t>Postgraduate or professional qualification preferred</t>
        </is>
      </c>
      <c r="AV544" s="38" t="inlineStr">
        <is>
          <t>3–6 direct reports with ≥ 40% of time on own delivery · McKinsey player/coach 3–5; Google Tech Lead Manager</t>
        </is>
      </c>
      <c r="AW544" s="38" t="inlineStr">
        <is>
          <t>P5–P6 / M4–M5 · SFIA 5 Ensure, advise</t>
        </is>
      </c>
      <c r="AX5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4" s="39" t="inlineStr">
        <is>
          <t>B+</t>
        </is>
      </c>
      <c r="AZ544" s="40" t="inlineStr">
        <is>
          <t>B+ · Player-Coach · Practice Lead · Player-Coach</t>
        </is>
      </c>
      <c r="BA544" s="40" t="inlineStr">
        <is>
          <t>Model B+ from the six ratings, the market-derived weights and rules R1–R13 · then No change · already below the manager</t>
        </is>
      </c>
      <c r="BB544" s="41" t="inlineStr">
        <is>
          <t>C1</t>
        </is>
      </c>
      <c r="BC544" s="40" t="inlineStr">
        <is>
          <t>The six ratings on the market-average weights of B+ · Player-Coach score 6.51 → C1 · Hay, Mercer IPE and public plans · experience 17.2 yrs vs the C1 market range 12–17</t>
        </is>
      </c>
      <c r="BD544" s="42">
        <f>IF(SUM(BM544,BN544,BO544,BP544,BQ544,BR544,BS544)=0,0,(BM544*BT544+BN544*BU544+BO544*BV544+BP544*BW544+BQ544*BX544+BR544*BY544+BS544*BZ544)/SUM(BM544,BN544,BO544,BP544,BQ544,BR544,BS544))</f>
        <v>0</v>
      </c>
      <c r="BE544" s="41" t="str">
        <f>IF(LEFT(AY544,1)="X",AY544,IF(OR(AY544="B+",AY544="C+"),INDEX(LAD_PC,MAX(1,MIN(14,MATCH(AY544,LAD_PC,0)+IF(BD544&gt;=0.5,1,IF(BD544&lt;=-0.5,-1,0))))),INDEX(LAD_STD,MAX(1,MIN(12,MATCH(AY544,LAD_STD,0)+IF(BD544&gt;=0.5,1,IF(BD544&lt;=-0.5,-1,0)))))))</f>
        <v>B+</v>
      </c>
      <c r="BF544" s="43" t="n"/>
      <c r="BG544" s="41" t="str">
        <f>IF(BF544&lt;&gt;"",BF544,BE544)</f>
        <v>B+</v>
      </c>
      <c r="BH544" s="40" t="str">
        <f>IFERROR(CHOOSE(INDEX(B_RANK,MATCH(BG544,B_LVL,0)),"Band A","Band B","B+ · Player-Coach","Band C","C+ · Player-Coach","Band D","Band E"),"Band X · Consultant")</f>
        <v>B+ · Player-Coach</v>
      </c>
      <c r="BI544" s="40" t="str">
        <f>IF(BG544=AY544,"• Same",IF(INDEX(B_VAL,MATCH(BG544,B_LVL,0))&gt;INDEX(B_VAL,MATCH(AY544,B_LVL,0)),"▲ Up","▼ Down"))</f>
        <v>• Same</v>
      </c>
      <c r="BJ544" s="40" t="str">
        <f>IF(OR($M544="",$M544="—",$M544="Not in this file"),"",IFERROR(INDEX($BG$7:$BG$592,MATCH($M544,$D$7:$D$592,0)),""))</f>
        <v>E1</v>
      </c>
      <c r="BK544" s="40" t="str">
        <f>IFERROR(IF(BJ544="","—",IF(OR(LEFT(BG544,1)="X",LEFT(BJ544,1)="X"),"—",IF(AND(LEFT(BG544,1)="E",LEFT(BJ544,1)="E"),"Exception · Band E",IF(AND(INDEX(B_VAL,MATCH(BJ544,B_LVL,0))&gt;=7,INDEX(B_RANK,MATCH(BG544,B_LVL,0))&gt;=INDEX(B_RANK,MATCH(BJ544,B_LVL,0))),"⚠ Same band as a head manager",IF(INDEX(B_VAL,MATCH(BG544,B_LVL,0))&gt;=INDEX(B_VAL,MATCH(BJ544,B_LVL,0)),"⚠ At or above the manager's level","OK"))))),"—")</f>
        <v>OK</v>
      </c>
      <c r="BL544" s="43" t="n"/>
      <c r="BM544" s="44">
        <f>IFERROR(INDEX(LMH_PTS,MATCH(Y544,LMH_KEY,0)),0)</f>
        <v>9</v>
      </c>
      <c r="BN544" s="38">
        <f>IFERROR(INDEX(LMH_PTS,MATCH(Z544,LMH_KEY,0)),0)</f>
        <v>3</v>
      </c>
      <c r="BO544" s="38">
        <f>IFERROR(INDEX(LMH_PTS,MATCH(AA544,LMH_KEY,0)),0)</f>
        <v>1</v>
      </c>
      <c r="BP544" s="38">
        <f>IFERROR(INDEX(LMH_PTS,MATCH(AB544,LMH_KEY,0)),0)</f>
        <v>3</v>
      </c>
      <c r="BQ544" s="38">
        <f>IFERROR(INDEX(LMH_PTS,MATCH(AC544,LMH_KEY,0)),0)</f>
        <v>1</v>
      </c>
      <c r="BR544" s="38">
        <f>IFERROR(INDEX(LMH_PTS,MATCH(AD544,LMH_KEY,0)),0)</f>
        <v>1</v>
      </c>
      <c r="BS544" s="38">
        <f>IFERROR(INDEX(LMH_PTS,MATCH(AE544,LMH_KEY,0)),0)</f>
        <v>1</v>
      </c>
      <c r="BT544" s="38">
        <f>IFERROR(INDEX(LMH_STEP,MATCH(AF544,LMH_KEY,0)),0)</f>
        <v>0</v>
      </c>
      <c r="BU544" s="38">
        <f>IFERROR(INDEX(LMH_STEP,MATCH(AG544,LMH_KEY,0)),0)</f>
        <v>0</v>
      </c>
      <c r="BV544" s="38">
        <f>IFERROR(INDEX(LMH_STEP,MATCH(AH544,LMH_KEY,0)),0)</f>
        <v>0</v>
      </c>
      <c r="BW544" s="38">
        <f>IFERROR(INDEX(LMH_STEP,MATCH(AI544,LMH_KEY,0)),0)</f>
        <v>0</v>
      </c>
      <c r="BX544" s="38">
        <f>IFERROR(INDEX(LMH_STEP,MATCH(AJ544,LMH_KEY,0)),0)</f>
        <v>0</v>
      </c>
      <c r="BY544" s="38">
        <f>IFERROR(INDEX(LMH_STEP,MATCH(AK544,LMH_KEY,0)),0)</f>
        <v>0</v>
      </c>
      <c r="BZ544" s="38">
        <f>IFERROR(INDEX(LMH_STEP,MATCH(AL544,LMH_KEY,0)),0)</f>
        <v>0</v>
      </c>
      <c r="CA544" s="38" t="inlineStr">
        <is>
          <t>iFile|Technology|Practice Lead – Solution &amp; Technical Architecture · Player-Coach|B+|B+</t>
        </is>
      </c>
    </row>
    <row r="545" ht="110" customHeight="1">
      <c r="A545" s="28" t="inlineStr">
        <is>
          <t>iFile</t>
        </is>
      </c>
      <c r="B545" s="29" t="inlineStr">
        <is>
          <t>Technology</t>
        </is>
      </c>
      <c r="C545" s="29" t="n">
        <v>2</v>
      </c>
      <c r="D545" s="29" t="inlineStr">
        <is>
          <t>IRIS2082</t>
        </is>
      </c>
      <c r="E545" s="29" t="inlineStr">
        <is>
          <t>Giridhar Singh</t>
        </is>
      </c>
      <c r="F545" s="29" t="inlineStr">
        <is>
          <t>Technical Architect</t>
        </is>
      </c>
      <c r="G545" s="29" t="inlineStr">
        <is>
          <t>Technical Architect</t>
        </is>
      </c>
      <c r="H545" s="29" t="inlineStr">
        <is>
          <t>Engineering &amp; Architecture</t>
        </is>
      </c>
      <c r="I545" s="29" t="inlineStr">
        <is>
          <t>Solution &amp; Technical Architecture</t>
        </is>
      </c>
      <c r="J545" s="29" t="inlineStr">
        <is>
          <t>IC</t>
        </is>
      </c>
      <c r="K545" s="29" t="inlineStr">
        <is>
          <t>RC-055</t>
        </is>
      </c>
      <c r="L545" s="29" t="inlineStr">
        <is>
          <t>Suman Kumar</t>
        </is>
      </c>
      <c r="M545" s="29" t="inlineStr">
        <is>
          <t>IRIS1689</t>
        </is>
      </c>
      <c r="N545" s="29" t="n">
        <v>17.9</v>
      </c>
      <c r="O545" s="29" t="n">
        <v>3.8</v>
      </c>
      <c r="P545" s="29" t="inlineStr">
        <is>
          <t>B.SC</t>
        </is>
      </c>
      <c r="Q545" s="29" t="inlineStr">
        <is>
          <t>L3 – Professional / Associate</t>
        </is>
      </c>
      <c r="R545" s="29" t="inlineStr">
        <is>
          <t>B3</t>
        </is>
      </c>
      <c r="S545" s="30" t="inlineStr">
        <is>
          <t>20 of 20</t>
        </is>
      </c>
      <c r="T545" s="31"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t>
        </is>
      </c>
      <c r="U54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5" s="31" t="inlineStr">
        <is>
          <t>Latest rating: 2 · Potential: Low · 9-box: Performance Risk · Readiness: Performance first</t>
        </is>
      </c>
      <c r="W545" s="31" t="inlineStr">
        <is>
          <t>C M · Au M · Ac M · L L · BI M · Exp H · 17.9 yrs vs 8–12 yrs · Edu L · B.SC</t>
        </is>
      </c>
      <c r="X545" s="33" t="inlineStr">
        <is>
          <t>Open ▸</t>
        </is>
      </c>
      <c r="Y545" s="34" t="str">
        <f>IFERROR(INDEX(DL_C,MATCH($CA545,DL_KEY,0)),"M")</f>
        <v>H</v>
      </c>
      <c r="Z545" s="35" t="str">
        <f>IFERROR(INDEX(DL_Au,MATCH($CA545,DL_KEY,0)),"M")</f>
        <v>M</v>
      </c>
      <c r="AA545" s="35" t="str">
        <f>IFERROR(INDEX(DL_Ac,MATCH($CA545,DL_KEY,0)),"M")</f>
        <v>L</v>
      </c>
      <c r="AB545" s="35" t="str">
        <f>IFERROR(INDEX(DL_L,MATCH($CA545,DL_KEY,0)),"M")</f>
        <v>L</v>
      </c>
      <c r="AC545" s="35" t="str">
        <f>IFERROR(INDEX(DL_BI,MATCH($CA545,DL_KEY,0)),"M")</f>
        <v>L</v>
      </c>
      <c r="AD545" s="35" t="str">
        <f>IFERROR(INDEX(DL_Exp,MATCH($CA545,DL_KEY,0)),"M")</f>
        <v>L</v>
      </c>
      <c r="AE545" s="35" t="str">
        <f>IFERROR(INDEX(DL_Edu,MATCH($CA545,DL_KEY,0)),"M")</f>
        <v>L</v>
      </c>
      <c r="AF545" s="34" t="inlineStr">
        <is>
          <t>M</t>
        </is>
      </c>
      <c r="AG545" s="35" t="inlineStr">
        <is>
          <t>M</t>
        </is>
      </c>
      <c r="AH545" s="35" t="inlineStr">
        <is>
          <t>M</t>
        </is>
      </c>
      <c r="AI545" s="35" t="inlineStr">
        <is>
          <t>M</t>
        </is>
      </c>
      <c r="AJ545" s="35" t="inlineStr">
        <is>
          <t>M</t>
        </is>
      </c>
      <c r="AK545" s="35" t="inlineStr">
        <is>
          <t>M</t>
        </is>
      </c>
      <c r="AL545" s="35" t="inlineStr">
        <is>
          <t>M</t>
        </is>
      </c>
      <c r="AM545" s="36" t="n">
        <v>0.513</v>
      </c>
      <c r="AN545" s="37" t="n">
        <v>0.173</v>
      </c>
      <c r="AO545" s="37" t="n">
        <v>0.09699999999999999</v>
      </c>
      <c r="AP545" s="37" t="n">
        <v>0.05</v>
      </c>
      <c r="AQ545" s="37" t="n">
        <v>0.07000000000000001</v>
      </c>
      <c r="AR545" s="37" t="n">
        <v>0.06</v>
      </c>
      <c r="AS545" s="37" t="n">
        <v>0.04</v>
      </c>
      <c r="AT545" s="38" t="inlineStr">
        <is>
          <t>8–13</t>
        </is>
      </c>
      <c r="AU545" s="38" t="inlineStr">
        <is>
          <t>Postgraduate or professional qualification preferred</t>
        </is>
      </c>
      <c r="AV545" s="38" t="inlineStr">
        <is>
          <t>IC: none · People: 5–8 incl. team leads</t>
        </is>
      </c>
      <c r="AW545" s="38" t="inlineStr">
        <is>
          <t>P5 / M4 · SFIA 5 Ensure, advise</t>
        </is>
      </c>
      <c r="AX5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5" s="39" t="inlineStr">
        <is>
          <t>B3</t>
        </is>
      </c>
      <c r="AZ545" s="40" t="inlineStr">
        <is>
          <t>Band B · Specialist / Manager · Lead Specialist</t>
        </is>
      </c>
      <c r="BA545" s="40" t="inlineStr">
        <is>
          <t>Model B3 from the six ratings, the market-derived weights and rules R1–R13 · then No change · already below the manager</t>
        </is>
      </c>
      <c r="BB545" s="41" t="inlineStr">
        <is>
          <t>C1</t>
        </is>
      </c>
      <c r="BC545" s="40" t="inlineStr">
        <is>
          <t>The six ratings on the market-average weights of Band B · Specialist / POD Lead score 6.54 → C1 · Hay, Mercer IPE and public plans · experience 17.9 yrs vs the C1 market range 12–17</t>
        </is>
      </c>
      <c r="BD545" s="42">
        <f>IF(SUM(BM545,BN545,BO545,BP545,BQ545,BR545,BS545)=0,0,(BM545*BT545+BN545*BU545+BO545*BV545+BP545*BW545+BQ545*BX545+BR545*BY545+BS545*BZ545)/SUM(BM545,BN545,BO545,BP545,BQ545,BR545,BS545))</f>
        <v>0</v>
      </c>
      <c r="BE545" s="41" t="str">
        <f>IF(LEFT(AY545,1)="X",AY545,IF(OR(AY545="B+",AY545="C+"),INDEX(LAD_PC,MAX(1,MIN(14,MATCH(AY545,LAD_PC,0)+IF(BD545&gt;=0.5,1,IF(BD545&lt;=-0.5,-1,0))))),INDEX(LAD_STD,MAX(1,MIN(12,MATCH(AY545,LAD_STD,0)+IF(BD545&gt;=0.5,1,IF(BD545&lt;=-0.5,-1,0)))))))</f>
        <v>B3</v>
      </c>
      <c r="BF545" s="43" t="n"/>
      <c r="BG545" s="41" t="str">
        <f>IF(BF545&lt;&gt;"",BF545,BE545)</f>
        <v>B3</v>
      </c>
      <c r="BH545" s="40" t="str">
        <f>IFERROR(CHOOSE(INDEX(B_RANK,MATCH(BG545,B_LVL,0)),"Band A","Band B","B+ · Player-Coach","Band C","C+ · Player-Coach","Band D","Band E"),"Band X · Consultant")</f>
        <v>Band B</v>
      </c>
      <c r="BI545" s="40" t="str">
        <f>IF(BG545=AY545,"• Same",IF(INDEX(B_VAL,MATCH(BG545,B_LVL,0))&gt;INDEX(B_VAL,MATCH(AY545,B_LVL,0)),"▲ Up","▼ Down"))</f>
        <v>• Same</v>
      </c>
      <c r="BJ545" s="40" t="str">
        <f>IF(OR($M545="",$M545="—",$M545="Not in this file"),"",IFERROR(INDEX($BG$7:$BG$592,MATCH($M545,$D$7:$D$592,0)),""))</f>
        <v>B+</v>
      </c>
      <c r="BK545" s="40" t="str">
        <f>IFERROR(IF(BJ545="","—",IF(OR(LEFT(BG545,1)="X",LEFT(BJ545,1)="X"),"—",IF(AND(LEFT(BG545,1)="E",LEFT(BJ545,1)="E"),"Exception · Band E",IF(AND(INDEX(B_VAL,MATCH(BJ545,B_LVL,0))&gt;=7,INDEX(B_RANK,MATCH(BG545,B_LVL,0))&gt;=INDEX(B_RANK,MATCH(BJ545,B_LVL,0))),"⚠ Same band as a head manager",IF(INDEX(B_VAL,MATCH(BG545,B_LVL,0))&gt;=INDEX(B_VAL,MATCH(BJ545,B_LVL,0)),"⚠ At or above the manager's level","OK"))))),"—")</f>
        <v>OK</v>
      </c>
      <c r="BL545" s="43" t="n"/>
      <c r="BM545" s="44">
        <f>IFERROR(INDEX(LMH_PTS,MATCH(Y545,LMH_KEY,0)),0)</f>
        <v>9</v>
      </c>
      <c r="BN545" s="38">
        <f>IFERROR(INDEX(LMH_PTS,MATCH(Z545,LMH_KEY,0)),0)</f>
        <v>3</v>
      </c>
      <c r="BO545" s="38">
        <f>IFERROR(INDEX(LMH_PTS,MATCH(AA545,LMH_KEY,0)),0)</f>
        <v>1</v>
      </c>
      <c r="BP545" s="38">
        <f>IFERROR(INDEX(LMH_PTS,MATCH(AB545,LMH_KEY,0)),0)</f>
        <v>1</v>
      </c>
      <c r="BQ545" s="38">
        <f>IFERROR(INDEX(LMH_PTS,MATCH(AC545,LMH_KEY,0)),0)</f>
        <v>1</v>
      </c>
      <c r="BR545" s="38">
        <f>IFERROR(INDEX(LMH_PTS,MATCH(AD545,LMH_KEY,0)),0)</f>
        <v>1</v>
      </c>
      <c r="BS545" s="38">
        <f>IFERROR(INDEX(LMH_PTS,MATCH(AE545,LMH_KEY,0)),0)</f>
        <v>1</v>
      </c>
      <c r="BT545" s="38">
        <f>IFERROR(INDEX(LMH_STEP,MATCH(AF545,LMH_KEY,0)),0)</f>
        <v>0</v>
      </c>
      <c r="BU545" s="38">
        <f>IFERROR(INDEX(LMH_STEP,MATCH(AG545,LMH_KEY,0)),0)</f>
        <v>0</v>
      </c>
      <c r="BV545" s="38">
        <f>IFERROR(INDEX(LMH_STEP,MATCH(AH545,LMH_KEY,0)),0)</f>
        <v>0</v>
      </c>
      <c r="BW545" s="38">
        <f>IFERROR(INDEX(LMH_STEP,MATCH(AI545,LMH_KEY,0)),0)</f>
        <v>0</v>
      </c>
      <c r="BX545" s="38">
        <f>IFERROR(INDEX(LMH_STEP,MATCH(AJ545,LMH_KEY,0)),0)</f>
        <v>0</v>
      </c>
      <c r="BY545" s="38">
        <f>IFERROR(INDEX(LMH_STEP,MATCH(AK545,LMH_KEY,0)),0)</f>
        <v>0</v>
      </c>
      <c r="BZ545" s="38">
        <f>IFERROR(INDEX(LMH_STEP,MATCH(AL545,LMH_KEY,0)),0)</f>
        <v>0</v>
      </c>
      <c r="CA545" s="38" t="inlineStr">
        <is>
          <t>iFile|Technology|Technical Architect|B3|B-IC</t>
        </is>
      </c>
    </row>
    <row r="546" ht="110" customHeight="1">
      <c r="A546" s="28" t="inlineStr">
        <is>
          <t>iFile</t>
        </is>
      </c>
      <c r="B546" s="29" t="inlineStr">
        <is>
          <t>Technology</t>
        </is>
      </c>
      <c r="C546" s="29" t="n">
        <v>2</v>
      </c>
      <c r="D546" s="29" t="inlineStr">
        <is>
          <t>IRIS2465</t>
        </is>
      </c>
      <c r="E546" s="29" t="inlineStr">
        <is>
          <t>Monisha Ubriani</t>
        </is>
      </c>
      <c r="F546" s="29" t="inlineStr">
        <is>
          <t>Lead Software Engineer</t>
        </is>
      </c>
      <c r="G546" s="29" t="inlineStr">
        <is>
          <t>Senior Technical Specialist</t>
        </is>
      </c>
      <c r="H546" s="29" t="inlineStr">
        <is>
          <t>Engineering &amp; Development</t>
        </is>
      </c>
      <c r="I546" s="29" t="inlineStr">
        <is>
          <t>Backend Development</t>
        </is>
      </c>
      <c r="J546" s="29" t="inlineStr">
        <is>
          <t>IC</t>
        </is>
      </c>
      <c r="K546" s="29" t="inlineStr">
        <is>
          <t>RC-069</t>
        </is>
      </c>
      <c r="L546" s="29" t="inlineStr">
        <is>
          <t>Suman Kumar</t>
        </is>
      </c>
      <c r="M546" s="29" t="inlineStr">
        <is>
          <t>IRIS1689</t>
        </is>
      </c>
      <c r="N546" s="29" t="n">
        <v>11.7</v>
      </c>
      <c r="O546" s="29" t="n">
        <v>0.7</v>
      </c>
      <c r="P546" s="29" t="inlineStr">
        <is>
          <t>B.E</t>
        </is>
      </c>
      <c r="Q546" s="29" t="inlineStr">
        <is>
          <t>L5 – Lead · IC</t>
        </is>
      </c>
      <c r="R546" s="29" t="inlineStr">
        <is>
          <t>B2</t>
        </is>
      </c>
      <c r="S546" s="30" t="inlineStr">
        <is>
          <t>20 of 20</t>
        </is>
      </c>
      <c r="T546" s="31"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t>
        </is>
      </c>
      <c r="U54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6" s="31" t="inlineStr">
        <is>
          <t>Latest rating: 4 · Potential: High · 9-box: High Impact / Growth Talent · Readiness: Ready now</t>
        </is>
      </c>
      <c r="W546" s="31" t="inlineStr">
        <is>
          <t>C M · Au M · Ac M · L L · BI M · Exp H · 11.7 yrs vs 6–9 yrs · Edu M · B.E</t>
        </is>
      </c>
      <c r="X546" s="33" t="inlineStr">
        <is>
          <t>Open ▸</t>
        </is>
      </c>
      <c r="Y546" s="34" t="str">
        <f>IFERROR(INDEX(DL_C,MATCH($CA546,DL_KEY,0)),"M")</f>
        <v>H</v>
      </c>
      <c r="Z546" s="35" t="str">
        <f>IFERROR(INDEX(DL_Au,MATCH($CA546,DL_KEY,0)),"M")</f>
        <v>M</v>
      </c>
      <c r="AA546" s="35" t="str">
        <f>IFERROR(INDEX(DL_Ac,MATCH($CA546,DL_KEY,0)),"M")</f>
        <v>L</v>
      </c>
      <c r="AB546" s="35" t="str">
        <f>IFERROR(INDEX(DL_L,MATCH($CA546,DL_KEY,0)),"M")</f>
        <v>L</v>
      </c>
      <c r="AC546" s="35" t="str">
        <f>IFERROR(INDEX(DL_BI,MATCH($CA546,DL_KEY,0)),"M")</f>
        <v>L</v>
      </c>
      <c r="AD546" s="35" t="str">
        <f>IFERROR(INDEX(DL_Exp,MATCH($CA546,DL_KEY,0)),"M")</f>
        <v>L</v>
      </c>
      <c r="AE546" s="35" t="str">
        <f>IFERROR(INDEX(DL_Edu,MATCH($CA546,DL_KEY,0)),"M")</f>
        <v>L</v>
      </c>
      <c r="AF546" s="34" t="inlineStr">
        <is>
          <t>M</t>
        </is>
      </c>
      <c r="AG546" s="35" t="inlineStr">
        <is>
          <t>M</t>
        </is>
      </c>
      <c r="AH546" s="35" t="inlineStr">
        <is>
          <t>M</t>
        </is>
      </c>
      <c r="AI546" s="35" t="inlineStr">
        <is>
          <t>M</t>
        </is>
      </c>
      <c r="AJ546" s="35" t="inlineStr">
        <is>
          <t>M</t>
        </is>
      </c>
      <c r="AK546" s="35" t="inlineStr">
        <is>
          <t>M</t>
        </is>
      </c>
      <c r="AL546" s="35" t="inlineStr">
        <is>
          <t>M</t>
        </is>
      </c>
      <c r="AM546" s="36" t="n">
        <v>0.513</v>
      </c>
      <c r="AN546" s="37" t="n">
        <v>0.173</v>
      </c>
      <c r="AO546" s="37" t="n">
        <v>0.09699999999999999</v>
      </c>
      <c r="AP546" s="37" t="n">
        <v>0.05</v>
      </c>
      <c r="AQ546" s="37" t="n">
        <v>0.07000000000000001</v>
      </c>
      <c r="AR546" s="37" t="n">
        <v>0.06</v>
      </c>
      <c r="AS546" s="37" t="n">
        <v>0.04</v>
      </c>
      <c r="AT546" s="38" t="inlineStr">
        <is>
          <t>6–10</t>
        </is>
      </c>
      <c r="AU546" s="38" t="inlineStr">
        <is>
          <t>Graduate or postgraduate; professional qualification preferred</t>
        </is>
      </c>
      <c r="AV546" s="38" t="inlineStr">
        <is>
          <t>IC: none · People: 6–8 knowledge work, 8–12 standardised delivery</t>
        </is>
      </c>
      <c r="AW546" s="38" t="inlineStr">
        <is>
          <t>P4 / M3 · SFIA 4–5</t>
        </is>
      </c>
      <c r="AX5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6" s="39" t="inlineStr">
        <is>
          <t>B2</t>
        </is>
      </c>
      <c r="AZ546" s="40" t="inlineStr">
        <is>
          <t>Band B · Specialist / Manager · Senior Specialist</t>
        </is>
      </c>
      <c r="BA546" s="40" t="inlineStr">
        <is>
          <t>Model B2 from the six ratings, the market-derived weights and rules R1–R13 · then No change · already below the manager</t>
        </is>
      </c>
      <c r="BB546" s="41" t="inlineStr">
        <is>
          <t>B2</t>
        </is>
      </c>
      <c r="BC546" s="40" t="inlineStr">
        <is>
          <t>The six ratings on the market-average weights of Band B · Specialist / POD Lead score 5.18 → B2 · Hay, Mercer IPE and public plans · experience 11.7 yrs vs the B2 market range 6–10</t>
        </is>
      </c>
      <c r="BD546" s="42">
        <f>IF(SUM(BM546,BN546,BO546,BP546,BQ546,BR546,BS546)=0,0,(BM546*BT546+BN546*BU546+BO546*BV546+BP546*BW546+BQ546*BX546+BR546*BY546+BS546*BZ546)/SUM(BM546,BN546,BO546,BP546,BQ546,BR546,BS546))</f>
        <v>0</v>
      </c>
      <c r="BE546" s="41" t="str">
        <f>IF(LEFT(AY546,1)="X",AY546,IF(OR(AY546="B+",AY546="C+"),INDEX(LAD_PC,MAX(1,MIN(14,MATCH(AY546,LAD_PC,0)+IF(BD546&gt;=0.5,1,IF(BD546&lt;=-0.5,-1,0))))),INDEX(LAD_STD,MAX(1,MIN(12,MATCH(AY546,LAD_STD,0)+IF(BD546&gt;=0.5,1,IF(BD546&lt;=-0.5,-1,0)))))))</f>
        <v>B2</v>
      </c>
      <c r="BF546" s="43" t="n"/>
      <c r="BG546" s="41" t="str">
        <f>IF(BF546&lt;&gt;"",BF546,BE546)</f>
        <v>B2</v>
      </c>
      <c r="BH546" s="40" t="str">
        <f>IFERROR(CHOOSE(INDEX(B_RANK,MATCH(BG546,B_LVL,0)),"Band A","Band B","B+ · Player-Coach","Band C","C+ · Player-Coach","Band D","Band E"),"Band X · Consultant")</f>
        <v>Band B</v>
      </c>
      <c r="BI546" s="40" t="str">
        <f>IF(BG546=AY546,"• Same",IF(INDEX(B_VAL,MATCH(BG546,B_LVL,0))&gt;INDEX(B_VAL,MATCH(AY546,B_LVL,0)),"▲ Up","▼ Down"))</f>
        <v>• Same</v>
      </c>
      <c r="BJ546" s="40" t="str">
        <f>IF(OR($M546="",$M546="—",$M546="Not in this file"),"",IFERROR(INDEX($BG$7:$BG$592,MATCH($M546,$D$7:$D$592,0)),""))</f>
        <v>B+</v>
      </c>
      <c r="BK546" s="40" t="str">
        <f>IFERROR(IF(BJ546="","—",IF(OR(LEFT(BG546,1)="X",LEFT(BJ546,1)="X"),"—",IF(AND(LEFT(BG546,1)="E",LEFT(BJ546,1)="E"),"Exception · Band E",IF(AND(INDEX(B_VAL,MATCH(BJ546,B_LVL,0))&gt;=7,INDEX(B_RANK,MATCH(BG546,B_LVL,0))&gt;=INDEX(B_RANK,MATCH(BJ546,B_LVL,0))),"⚠ Same band as a head manager",IF(INDEX(B_VAL,MATCH(BG546,B_LVL,0))&gt;=INDEX(B_VAL,MATCH(BJ546,B_LVL,0)),"⚠ At or above the manager's level","OK"))))),"—")</f>
        <v>OK</v>
      </c>
      <c r="BL546" s="43" t="n"/>
      <c r="BM546" s="44">
        <f>IFERROR(INDEX(LMH_PTS,MATCH(Y546,LMH_KEY,0)),0)</f>
        <v>9</v>
      </c>
      <c r="BN546" s="38">
        <f>IFERROR(INDEX(LMH_PTS,MATCH(Z546,LMH_KEY,0)),0)</f>
        <v>3</v>
      </c>
      <c r="BO546" s="38">
        <f>IFERROR(INDEX(LMH_PTS,MATCH(AA546,LMH_KEY,0)),0)</f>
        <v>1</v>
      </c>
      <c r="BP546" s="38">
        <f>IFERROR(INDEX(LMH_PTS,MATCH(AB546,LMH_KEY,0)),0)</f>
        <v>1</v>
      </c>
      <c r="BQ546" s="38">
        <f>IFERROR(INDEX(LMH_PTS,MATCH(AC546,LMH_KEY,0)),0)</f>
        <v>1</v>
      </c>
      <c r="BR546" s="38">
        <f>IFERROR(INDEX(LMH_PTS,MATCH(AD546,LMH_KEY,0)),0)</f>
        <v>1</v>
      </c>
      <c r="BS546" s="38">
        <f>IFERROR(INDEX(LMH_PTS,MATCH(AE546,LMH_KEY,0)),0)</f>
        <v>1</v>
      </c>
      <c r="BT546" s="38">
        <f>IFERROR(INDEX(LMH_STEP,MATCH(AF546,LMH_KEY,0)),0)</f>
        <v>0</v>
      </c>
      <c r="BU546" s="38">
        <f>IFERROR(INDEX(LMH_STEP,MATCH(AG546,LMH_KEY,0)),0)</f>
        <v>0</v>
      </c>
      <c r="BV546" s="38">
        <f>IFERROR(INDEX(LMH_STEP,MATCH(AH546,LMH_KEY,0)),0)</f>
        <v>0</v>
      </c>
      <c r="BW546" s="38">
        <f>IFERROR(INDEX(LMH_STEP,MATCH(AI546,LMH_KEY,0)),0)</f>
        <v>0</v>
      </c>
      <c r="BX546" s="38">
        <f>IFERROR(INDEX(LMH_STEP,MATCH(AJ546,LMH_KEY,0)),0)</f>
        <v>0</v>
      </c>
      <c r="BY546" s="38">
        <f>IFERROR(INDEX(LMH_STEP,MATCH(AK546,LMH_KEY,0)),0)</f>
        <v>0</v>
      </c>
      <c r="BZ546" s="38">
        <f>IFERROR(INDEX(LMH_STEP,MATCH(AL546,LMH_KEY,0)),0)</f>
        <v>0</v>
      </c>
      <c r="CA546" s="38" t="inlineStr">
        <is>
          <t>iFile|Technology|Senior Technical Specialist|B2|B-IC</t>
        </is>
      </c>
    </row>
    <row r="547" ht="110" customHeight="1">
      <c r="A547" s="28" t="inlineStr">
        <is>
          <t>iFile</t>
        </is>
      </c>
      <c r="B547" s="29" t="inlineStr">
        <is>
          <t>Technology</t>
        </is>
      </c>
      <c r="C547" s="29" t="n">
        <v>2</v>
      </c>
      <c r="D547" s="29" t="inlineStr">
        <is>
          <t>IRIS1804</t>
        </is>
      </c>
      <c r="E547" s="29" t="inlineStr">
        <is>
          <t>Sagar Jadhav</t>
        </is>
      </c>
      <c r="F547" s="29" t="inlineStr">
        <is>
          <t>Lead Software Engineer</t>
        </is>
      </c>
      <c r="G547" s="29" t="inlineStr">
        <is>
          <t>Engineering Manager</t>
        </is>
      </c>
      <c r="H547" s="29" t="inlineStr">
        <is>
          <t>Engineering &amp; Development</t>
        </is>
      </c>
      <c r="I547" s="29" t="inlineStr">
        <is>
          <t>Full-Stack Development</t>
        </is>
      </c>
      <c r="J547" s="29" t="inlineStr">
        <is>
          <t>People Manager</t>
        </is>
      </c>
      <c r="K547" s="29" t="inlineStr">
        <is>
          <t>RC-088</t>
        </is>
      </c>
      <c r="L547" s="29" t="inlineStr">
        <is>
          <t>Suman Kumar</t>
        </is>
      </c>
      <c r="M547" s="29" t="inlineStr">
        <is>
          <t>IRIS1689</t>
        </is>
      </c>
      <c r="N547" s="29" t="n">
        <v>13.1</v>
      </c>
      <c r="O547" s="29" t="n">
        <v>7.1</v>
      </c>
      <c r="P547" s="29" t="inlineStr">
        <is>
          <t>B.E</t>
        </is>
      </c>
      <c r="Q547" s="29" t="inlineStr">
        <is>
          <t>L5 – Lead · IC</t>
        </is>
      </c>
      <c r="R547" s="29" t="inlineStr">
        <is>
          <t>B2</t>
        </is>
      </c>
      <c r="S547" s="30" t="inlineStr">
        <is>
          <t>20 of 20</t>
        </is>
      </c>
      <c r="T547" s="31" t="inlineStr">
        <is>
          <t>Business Impact: Moved +0.5: the survey / manager mapping marks it business-critical.</t>
        </is>
      </c>
      <c r="U547"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547" s="31" t="inlineStr">
        <is>
          <t>Latest rating: 4 · Potential: High · 9-box: High Impact / Growth Talent · Readiness: Ready now</t>
        </is>
      </c>
      <c r="W547" s="31" t="inlineStr">
        <is>
          <t>C M · Au M · Ac M · L M · BI M · Exp H · 13.1 yrs vs 6–9 yrs · Edu M · B.E</t>
        </is>
      </c>
      <c r="X547" s="33" t="inlineStr">
        <is>
          <t>Open ▸</t>
        </is>
      </c>
      <c r="Y547" s="34" t="str">
        <f>IFERROR(INDEX(DL_C,MATCH($CA547,DL_KEY,0)),"M")</f>
        <v>H</v>
      </c>
      <c r="Z547" s="35" t="str">
        <f>IFERROR(INDEX(DL_Au,MATCH($CA547,DL_KEY,0)),"M")</f>
        <v>M</v>
      </c>
      <c r="AA547" s="35" t="str">
        <f>IFERROR(INDEX(DL_Ac,MATCH($CA547,DL_KEY,0)),"M")</f>
        <v>L</v>
      </c>
      <c r="AB547" s="35" t="str">
        <f>IFERROR(INDEX(DL_L,MATCH($CA547,DL_KEY,0)),"M")</f>
        <v>M</v>
      </c>
      <c r="AC547" s="35" t="str">
        <f>IFERROR(INDEX(DL_BI,MATCH($CA547,DL_KEY,0)),"M")</f>
        <v>L</v>
      </c>
      <c r="AD547" s="35" t="str">
        <f>IFERROR(INDEX(DL_Exp,MATCH($CA547,DL_KEY,0)),"M")</f>
        <v>L</v>
      </c>
      <c r="AE547" s="35" t="str">
        <f>IFERROR(INDEX(DL_Edu,MATCH($CA547,DL_KEY,0)),"M")</f>
        <v>L</v>
      </c>
      <c r="AF547" s="34" t="inlineStr">
        <is>
          <t>M</t>
        </is>
      </c>
      <c r="AG547" s="35" t="inlineStr">
        <is>
          <t>M</t>
        </is>
      </c>
      <c r="AH547" s="35" t="inlineStr">
        <is>
          <t>M</t>
        </is>
      </c>
      <c r="AI547" s="35" t="inlineStr">
        <is>
          <t>M</t>
        </is>
      </c>
      <c r="AJ547" s="35" t="inlineStr">
        <is>
          <t>M</t>
        </is>
      </c>
      <c r="AK547" s="35" t="inlineStr">
        <is>
          <t>M</t>
        </is>
      </c>
      <c r="AL547" s="35" t="inlineStr">
        <is>
          <t>M</t>
        </is>
      </c>
      <c r="AM547" s="36" t="n">
        <v>0.37</v>
      </c>
      <c r="AN547" s="37" t="n">
        <v>0.183</v>
      </c>
      <c r="AO547" s="37" t="n">
        <v>0.113</v>
      </c>
      <c r="AP547" s="37" t="n">
        <v>0.15</v>
      </c>
      <c r="AQ547" s="37" t="n">
        <v>0.08699999999999999</v>
      </c>
      <c r="AR547" s="37" t="n">
        <v>0.06</v>
      </c>
      <c r="AS547" s="37" t="n">
        <v>0.04</v>
      </c>
      <c r="AT547" s="38" t="inlineStr">
        <is>
          <t>6–10</t>
        </is>
      </c>
      <c r="AU547" s="38" t="inlineStr">
        <is>
          <t>Graduate or postgraduate; professional qualification preferred</t>
        </is>
      </c>
      <c r="AV547" s="38" t="inlineStr">
        <is>
          <t>IC: none · People: 6–8 knowledge work, 8–12 standardised delivery</t>
        </is>
      </c>
      <c r="AW547" s="38" t="inlineStr">
        <is>
          <t>P4 / M3 · SFIA 4–5</t>
        </is>
      </c>
      <c r="AX5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7" s="39" t="inlineStr">
        <is>
          <t>B2</t>
        </is>
      </c>
      <c r="AZ547" s="40" t="inlineStr">
        <is>
          <t>Band B · Specialist / Manager · Manager</t>
        </is>
      </c>
      <c r="BA547" s="40" t="inlineStr">
        <is>
          <t>Model B2 from the six ratings, the market-derived weights and rules R1–R13 · then No change · already below the manager</t>
        </is>
      </c>
      <c r="BB547" s="41" t="inlineStr">
        <is>
          <t>B2</t>
        </is>
      </c>
      <c r="BC547" s="40" t="inlineStr">
        <is>
          <t>The six ratings on the market-average weights of Band B · People Manager score 5.12 → B2 · Hay, Mercer IPE and public plans · experience 13.1 yrs vs the B2 market range 6–10</t>
        </is>
      </c>
      <c r="BD547" s="42">
        <f>IF(SUM(BM547,BN547,BO547,BP547,BQ547,BR547,BS547)=0,0,(BM547*BT547+BN547*BU547+BO547*BV547+BP547*BW547+BQ547*BX547+BR547*BY547+BS547*BZ547)/SUM(BM547,BN547,BO547,BP547,BQ547,BR547,BS547))</f>
        <v>0</v>
      </c>
      <c r="BE547" s="41" t="str">
        <f>IF(LEFT(AY547,1)="X",AY547,IF(OR(AY547="B+",AY547="C+"),INDEX(LAD_PC,MAX(1,MIN(14,MATCH(AY547,LAD_PC,0)+IF(BD547&gt;=0.5,1,IF(BD547&lt;=-0.5,-1,0))))),INDEX(LAD_STD,MAX(1,MIN(12,MATCH(AY547,LAD_STD,0)+IF(BD547&gt;=0.5,1,IF(BD547&lt;=-0.5,-1,0)))))))</f>
        <v>B2</v>
      </c>
      <c r="BF547" s="43" t="n"/>
      <c r="BG547" s="41" t="str">
        <f>IF(BF547&lt;&gt;"",BF547,BE547)</f>
        <v>B2</v>
      </c>
      <c r="BH547" s="40" t="str">
        <f>IFERROR(CHOOSE(INDEX(B_RANK,MATCH(BG547,B_LVL,0)),"Band A","Band B","B+ · Player-Coach","Band C","C+ · Player-Coach","Band D","Band E"),"Band X · Consultant")</f>
        <v>Band B</v>
      </c>
      <c r="BI547" s="40" t="str">
        <f>IF(BG547=AY547,"• Same",IF(INDEX(B_VAL,MATCH(BG547,B_LVL,0))&gt;INDEX(B_VAL,MATCH(AY547,B_LVL,0)),"▲ Up","▼ Down"))</f>
        <v>• Same</v>
      </c>
      <c r="BJ547" s="40" t="str">
        <f>IF(OR($M547="",$M547="—",$M547="Not in this file"),"",IFERROR(INDEX($BG$7:$BG$592,MATCH($M547,$D$7:$D$592,0)),""))</f>
        <v>B+</v>
      </c>
      <c r="BK547" s="40" t="str">
        <f>IFERROR(IF(BJ547="","—",IF(OR(LEFT(BG547,1)="X",LEFT(BJ547,1)="X"),"—",IF(AND(LEFT(BG547,1)="E",LEFT(BJ547,1)="E"),"Exception · Band E",IF(AND(INDEX(B_VAL,MATCH(BJ547,B_LVL,0))&gt;=7,INDEX(B_RANK,MATCH(BG547,B_LVL,0))&gt;=INDEX(B_RANK,MATCH(BJ547,B_LVL,0))),"⚠ Same band as a head manager",IF(INDEX(B_VAL,MATCH(BG547,B_LVL,0))&gt;=INDEX(B_VAL,MATCH(BJ547,B_LVL,0)),"⚠ At or above the manager's level","OK"))))),"—")</f>
        <v>OK</v>
      </c>
      <c r="BL547" s="43" t="n"/>
      <c r="BM547" s="44">
        <f>IFERROR(INDEX(LMH_PTS,MATCH(Y547,LMH_KEY,0)),0)</f>
        <v>9</v>
      </c>
      <c r="BN547" s="38">
        <f>IFERROR(INDEX(LMH_PTS,MATCH(Z547,LMH_KEY,0)),0)</f>
        <v>3</v>
      </c>
      <c r="BO547" s="38">
        <f>IFERROR(INDEX(LMH_PTS,MATCH(AA547,LMH_KEY,0)),0)</f>
        <v>1</v>
      </c>
      <c r="BP547" s="38">
        <f>IFERROR(INDEX(LMH_PTS,MATCH(AB547,LMH_KEY,0)),0)</f>
        <v>3</v>
      </c>
      <c r="BQ547" s="38">
        <f>IFERROR(INDEX(LMH_PTS,MATCH(AC547,LMH_KEY,0)),0)</f>
        <v>1</v>
      </c>
      <c r="BR547" s="38">
        <f>IFERROR(INDEX(LMH_PTS,MATCH(AD547,LMH_KEY,0)),0)</f>
        <v>1</v>
      </c>
      <c r="BS547" s="38">
        <f>IFERROR(INDEX(LMH_PTS,MATCH(AE547,LMH_KEY,0)),0)</f>
        <v>1</v>
      </c>
      <c r="BT547" s="38">
        <f>IFERROR(INDEX(LMH_STEP,MATCH(AF547,LMH_KEY,0)),0)</f>
        <v>0</v>
      </c>
      <c r="BU547" s="38">
        <f>IFERROR(INDEX(LMH_STEP,MATCH(AG547,LMH_KEY,0)),0)</f>
        <v>0</v>
      </c>
      <c r="BV547" s="38">
        <f>IFERROR(INDEX(LMH_STEP,MATCH(AH547,LMH_KEY,0)),0)</f>
        <v>0</v>
      </c>
      <c r="BW547" s="38">
        <f>IFERROR(INDEX(LMH_STEP,MATCH(AI547,LMH_KEY,0)),0)</f>
        <v>0</v>
      </c>
      <c r="BX547" s="38">
        <f>IFERROR(INDEX(LMH_STEP,MATCH(AJ547,LMH_KEY,0)),0)</f>
        <v>0</v>
      </c>
      <c r="BY547" s="38">
        <f>IFERROR(INDEX(LMH_STEP,MATCH(AK547,LMH_KEY,0)),0)</f>
        <v>0</v>
      </c>
      <c r="BZ547" s="38">
        <f>IFERROR(INDEX(LMH_STEP,MATCH(AL547,LMH_KEY,0)),0)</f>
        <v>0</v>
      </c>
      <c r="CA547" s="38" t="inlineStr">
        <is>
          <t>iFile|Technology|Engineering Manager|B2|B-M</t>
        </is>
      </c>
    </row>
    <row r="548" ht="110" customHeight="1">
      <c r="A548" s="28" t="inlineStr">
        <is>
          <t>iFile</t>
        </is>
      </c>
      <c r="B548" s="29" t="inlineStr">
        <is>
          <t>Technology</t>
        </is>
      </c>
      <c r="C548" s="29" t="n">
        <v>3</v>
      </c>
      <c r="D548" s="29" t="inlineStr">
        <is>
          <t>IRIS2293</t>
        </is>
      </c>
      <c r="E548" s="29" t="inlineStr">
        <is>
          <t>Chetan Yerpude</t>
        </is>
      </c>
      <c r="F548" s="29" t="inlineStr">
        <is>
          <t>Software Engineer</t>
        </is>
      </c>
      <c r="G548" s="29" t="inlineStr">
        <is>
          <t>Senior Software Engineer</t>
        </is>
      </c>
      <c r="H548" s="29" t="inlineStr">
        <is>
          <t>Engineering &amp; Development</t>
        </is>
      </c>
      <c r="I548" s="29" t="inlineStr">
        <is>
          <t>Backend Development</t>
        </is>
      </c>
      <c r="J548" s="29" t="inlineStr">
        <is>
          <t>IC</t>
        </is>
      </c>
      <c r="K548" s="29" t="inlineStr">
        <is>
          <t>RC-067</t>
        </is>
      </c>
      <c r="L548" s="29" t="inlineStr">
        <is>
          <t>Sagar Jadhav</t>
        </is>
      </c>
      <c r="M548" s="29" t="inlineStr">
        <is>
          <t>IRIS1804</t>
        </is>
      </c>
      <c r="N548" s="29" t="n">
        <v>6.2</v>
      </c>
      <c r="O548" s="29" t="n">
        <v>2.2</v>
      </c>
      <c r="P548" s="29" t="inlineStr">
        <is>
          <t>B.Tech + PG diploma in Advance Computing · CDAC</t>
        </is>
      </c>
      <c r="Q548" s="29" t="inlineStr">
        <is>
          <t>L3 – Professional / Associate</t>
        </is>
      </c>
      <c r="R548" s="29" t="inlineStr">
        <is>
          <t>A3</t>
        </is>
      </c>
      <c r="S548" s="30" t="inlineStr">
        <is>
          <t>20 of 20</t>
        </is>
      </c>
      <c r="T548" s="31" t="inlineStr">
        <is>
          <t>Business Impact: Moved +0.5: the survey / manager mapping marks it business-critical.</t>
        </is>
      </c>
      <c r="U54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8" s="31" t="inlineStr">
        <is>
          <t>Latest rating: 3 · Potential: Medium · 9-box: Core Contributor · Readiness: Develop in role</t>
        </is>
      </c>
      <c r="W548" s="31" t="inlineStr">
        <is>
          <t>C M · Au L · Ac M · L L · BI M · Exp H · 6.2 yrs vs 2–4 yrs · Edu H · B.Tech + PG diploma in Advance Computing · CDAC</t>
        </is>
      </c>
      <c r="X548" s="33" t="inlineStr">
        <is>
          <t>Open ▸</t>
        </is>
      </c>
      <c r="Y548" s="34" t="str">
        <f>IFERROR(INDEX(DL_C,MATCH($CA548,DL_KEY,0)),"M")</f>
        <v>H</v>
      </c>
      <c r="Z548" s="35" t="str">
        <f>IFERROR(INDEX(DL_Au,MATCH($CA548,DL_KEY,0)),"M")</f>
        <v>M</v>
      </c>
      <c r="AA548" s="35" t="str">
        <f>IFERROR(INDEX(DL_Ac,MATCH($CA548,DL_KEY,0)),"M")</f>
        <v>L</v>
      </c>
      <c r="AB548" s="35" t="str">
        <f>IFERROR(INDEX(DL_L,MATCH($CA548,DL_KEY,0)),"M")</f>
        <v>L</v>
      </c>
      <c r="AC548" s="35" t="str">
        <f>IFERROR(INDEX(DL_BI,MATCH($CA548,DL_KEY,0)),"M")</f>
        <v>L</v>
      </c>
      <c r="AD548" s="35" t="str">
        <f>IFERROR(INDEX(DL_Exp,MATCH($CA548,DL_KEY,0)),"M")</f>
        <v>L</v>
      </c>
      <c r="AE548" s="35" t="str">
        <f>IFERROR(INDEX(DL_Edu,MATCH($CA548,DL_KEY,0)),"M")</f>
        <v>L</v>
      </c>
      <c r="AF548" s="34" t="inlineStr">
        <is>
          <t>M</t>
        </is>
      </c>
      <c r="AG548" s="35" t="inlineStr">
        <is>
          <t>M</t>
        </is>
      </c>
      <c r="AH548" s="35" t="inlineStr">
        <is>
          <t>M</t>
        </is>
      </c>
      <c r="AI548" s="35" t="inlineStr">
        <is>
          <t>M</t>
        </is>
      </c>
      <c r="AJ548" s="35" t="inlineStr">
        <is>
          <t>M</t>
        </is>
      </c>
      <c r="AK548" s="35" t="inlineStr">
        <is>
          <t>M</t>
        </is>
      </c>
      <c r="AL548" s="35" t="inlineStr">
        <is>
          <t>M</t>
        </is>
      </c>
      <c r="AM548" s="36" t="n">
        <v>0.583</v>
      </c>
      <c r="AN548" s="37" t="n">
        <v>0.16</v>
      </c>
      <c r="AO548" s="37" t="n">
        <v>0.09</v>
      </c>
      <c r="AP548" s="37" t="n">
        <v>0</v>
      </c>
      <c r="AQ548" s="37" t="n">
        <v>0.063</v>
      </c>
      <c r="AR548" s="37" t="n">
        <v>0.06</v>
      </c>
      <c r="AS548" s="37" t="n">
        <v>0.04</v>
      </c>
      <c r="AT548" s="38" t="inlineStr">
        <is>
          <t>2–5</t>
        </is>
      </c>
      <c r="AU548" s="38" t="inlineStr">
        <is>
          <t>Graduate; relevant certification preferred</t>
        </is>
      </c>
      <c r="AV548" s="38" t="inlineStr">
        <is>
          <t>None · guides 1–3 juniors informally</t>
        </is>
      </c>
      <c r="AW548" s="38" t="inlineStr">
        <is>
          <t>P2 · SFIA 3 Apply</t>
        </is>
      </c>
      <c r="AX5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8" s="39" t="inlineStr">
        <is>
          <t>A3</t>
        </is>
      </c>
      <c r="AZ548" s="40" t="inlineStr">
        <is>
          <t>Band A · Practitioner · Senior Associate</t>
        </is>
      </c>
      <c r="BA548" s="40" t="inlineStr">
        <is>
          <t>Model A3 from the six ratings, the market-derived weights and rules R1–R13 · then No change · already below the manager</t>
        </is>
      </c>
      <c r="BB548" s="41" t="inlineStr">
        <is>
          <t>A3</t>
        </is>
      </c>
      <c r="BC548" s="40" t="inlineStr">
        <is>
          <t>The six ratings on the market-average weights of Band A · all tracks score 2.70 → A3 · Hay, Mercer IPE and public plans · experience 6.2 yrs vs the A3 market range 2–5</t>
        </is>
      </c>
      <c r="BD548" s="42">
        <f>IF(SUM(BM548,BN548,BO548,BP548,BQ548,BR548,BS548)=0,0,(BM548*BT548+BN548*BU548+BO548*BV548+BP548*BW548+BQ548*BX548+BR548*BY548+BS548*BZ548)/SUM(BM548,BN548,BO548,BP548,BQ548,BR548,BS548))</f>
        <v>0</v>
      </c>
      <c r="BE548" s="41" t="str">
        <f>IF(LEFT(AY548,1)="X",AY548,IF(OR(AY548="B+",AY548="C+"),INDEX(LAD_PC,MAX(1,MIN(14,MATCH(AY548,LAD_PC,0)+IF(BD548&gt;=0.5,1,IF(BD548&lt;=-0.5,-1,0))))),INDEX(LAD_STD,MAX(1,MIN(12,MATCH(AY548,LAD_STD,0)+IF(BD548&gt;=0.5,1,IF(BD548&lt;=-0.5,-1,0)))))))</f>
        <v>A3</v>
      </c>
      <c r="BF548" s="43" t="n"/>
      <c r="BG548" s="41" t="str">
        <f>IF(BF548&lt;&gt;"",BF548,BE548)</f>
        <v>A3</v>
      </c>
      <c r="BH548" s="40" t="str">
        <f>IFERROR(CHOOSE(INDEX(B_RANK,MATCH(BG548,B_LVL,0)),"Band A","Band B","B+ · Player-Coach","Band C","C+ · Player-Coach","Band D","Band E"),"Band X · Consultant")</f>
        <v>Band A</v>
      </c>
      <c r="BI548" s="40" t="str">
        <f>IF(BG548=AY548,"• Same",IF(INDEX(B_VAL,MATCH(BG548,B_LVL,0))&gt;INDEX(B_VAL,MATCH(AY548,B_LVL,0)),"▲ Up","▼ Down"))</f>
        <v>• Same</v>
      </c>
      <c r="BJ548" s="40" t="str">
        <f>IF(OR($M548="",$M548="—",$M548="Not in this file"),"",IFERROR(INDEX($BG$7:$BG$592,MATCH($M548,$D$7:$D$592,0)),""))</f>
        <v>B2</v>
      </c>
      <c r="BK548" s="40" t="str">
        <f>IFERROR(IF(BJ548="","—",IF(OR(LEFT(BG548,1)="X",LEFT(BJ548,1)="X"),"—",IF(AND(LEFT(BG548,1)="E",LEFT(BJ548,1)="E"),"Exception · Band E",IF(AND(INDEX(B_VAL,MATCH(BJ548,B_LVL,0))&gt;=7,INDEX(B_RANK,MATCH(BG548,B_LVL,0))&gt;=INDEX(B_RANK,MATCH(BJ548,B_LVL,0))),"⚠ Same band as a head manager",IF(INDEX(B_VAL,MATCH(BG548,B_LVL,0))&gt;=INDEX(B_VAL,MATCH(BJ548,B_LVL,0)),"⚠ At or above the manager's level","OK"))))),"—")</f>
        <v>OK</v>
      </c>
      <c r="BL548" s="43" t="n"/>
      <c r="BM548" s="44">
        <f>IFERROR(INDEX(LMH_PTS,MATCH(Y548,LMH_KEY,0)),0)</f>
        <v>9</v>
      </c>
      <c r="BN548" s="38">
        <f>IFERROR(INDEX(LMH_PTS,MATCH(Z548,LMH_KEY,0)),0)</f>
        <v>3</v>
      </c>
      <c r="BO548" s="38">
        <f>IFERROR(INDEX(LMH_PTS,MATCH(AA548,LMH_KEY,0)),0)</f>
        <v>1</v>
      </c>
      <c r="BP548" s="38">
        <f>IFERROR(INDEX(LMH_PTS,MATCH(AB548,LMH_KEY,0)),0)</f>
        <v>1</v>
      </c>
      <c r="BQ548" s="38">
        <f>IFERROR(INDEX(LMH_PTS,MATCH(AC548,LMH_KEY,0)),0)</f>
        <v>1</v>
      </c>
      <c r="BR548" s="38">
        <f>IFERROR(INDEX(LMH_PTS,MATCH(AD548,LMH_KEY,0)),0)</f>
        <v>1</v>
      </c>
      <c r="BS548" s="38">
        <f>IFERROR(INDEX(LMH_PTS,MATCH(AE548,LMH_KEY,0)),0)</f>
        <v>1</v>
      </c>
      <c r="BT548" s="38">
        <f>IFERROR(INDEX(LMH_STEP,MATCH(AF548,LMH_KEY,0)),0)</f>
        <v>0</v>
      </c>
      <c r="BU548" s="38">
        <f>IFERROR(INDEX(LMH_STEP,MATCH(AG548,LMH_KEY,0)),0)</f>
        <v>0</v>
      </c>
      <c r="BV548" s="38">
        <f>IFERROR(INDEX(LMH_STEP,MATCH(AH548,LMH_KEY,0)),0)</f>
        <v>0</v>
      </c>
      <c r="BW548" s="38">
        <f>IFERROR(INDEX(LMH_STEP,MATCH(AI548,LMH_KEY,0)),0)</f>
        <v>0</v>
      </c>
      <c r="BX548" s="38">
        <f>IFERROR(INDEX(LMH_STEP,MATCH(AJ548,LMH_KEY,0)),0)</f>
        <v>0</v>
      </c>
      <c r="BY548" s="38">
        <f>IFERROR(INDEX(LMH_STEP,MATCH(AK548,LMH_KEY,0)),0)</f>
        <v>0</v>
      </c>
      <c r="BZ548" s="38">
        <f>IFERROR(INDEX(LMH_STEP,MATCH(AL548,LMH_KEY,0)),0)</f>
        <v>0</v>
      </c>
      <c r="CA548" s="38" t="inlineStr">
        <is>
          <t>iFile|Technology|Senior Software Engineer|A3|A</t>
        </is>
      </c>
    </row>
    <row r="549" ht="110" customHeight="1">
      <c r="A549" s="28" t="inlineStr">
        <is>
          <t>iFile</t>
        </is>
      </c>
      <c r="B549" s="29" t="inlineStr">
        <is>
          <t>Technology</t>
        </is>
      </c>
      <c r="C549" s="29" t="n">
        <v>3</v>
      </c>
      <c r="D549" s="29" t="inlineStr">
        <is>
          <t>IRIS2221</t>
        </is>
      </c>
      <c r="E549" s="29" t="inlineStr">
        <is>
          <t>Rajshree Bhosale</t>
        </is>
      </c>
      <c r="F549" s="29" t="inlineStr">
        <is>
          <t>Software Engineer</t>
        </is>
      </c>
      <c r="G549" s="29" t="inlineStr">
        <is>
          <t>Senior UI Developer</t>
        </is>
      </c>
      <c r="H549" s="29" t="inlineStr">
        <is>
          <t>Engineering &amp; Development</t>
        </is>
      </c>
      <c r="I549" s="29" t="inlineStr">
        <is>
          <t>Front-End / UI Development</t>
        </is>
      </c>
      <c r="J549" s="29" t="inlineStr">
        <is>
          <t>IC</t>
        </is>
      </c>
      <c r="K549" s="29" t="inlineStr">
        <is>
          <t>RC-081</t>
        </is>
      </c>
      <c r="L549" s="29" t="inlineStr">
        <is>
          <t>Sagar Jadhav</t>
        </is>
      </c>
      <c r="M549" s="29" t="inlineStr">
        <is>
          <t>IRIS1804</t>
        </is>
      </c>
      <c r="N549" s="29" t="n">
        <v>6.2</v>
      </c>
      <c r="O549" s="29" t="n">
        <v>2.7</v>
      </c>
      <c r="P549" s="29" t="inlineStr">
        <is>
          <t>MCA</t>
        </is>
      </c>
      <c r="Q549" s="29" t="inlineStr">
        <is>
          <t>L3 – Professional / Associate</t>
        </is>
      </c>
      <c r="R549" s="29" t="inlineStr">
        <is>
          <t>A3</t>
        </is>
      </c>
      <c r="S549" s="30" t="inlineStr">
        <is>
          <t>20 of 20</t>
        </is>
      </c>
      <c r="T549" s="31"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
        </is>
      </c>
      <c r="U54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9" s="31" t="inlineStr">
        <is>
          <t>Latest rating: 4 · Potential: High · 9-box: High Impact / Growth Talent · Readiness: Ready now</t>
        </is>
      </c>
      <c r="W549" s="31" t="inlineStr">
        <is>
          <t>C M · Au M · Ac M · L L · BI M · Exp H · 6.2 yrs vs 2–4 yrs · Edu H · MCA</t>
        </is>
      </c>
      <c r="X549" s="33" t="inlineStr">
        <is>
          <t>Open ▸</t>
        </is>
      </c>
      <c r="Y549" s="34" t="str">
        <f>IFERROR(INDEX(DL_C,MATCH($CA549,DL_KEY,0)),"M")</f>
        <v>H</v>
      </c>
      <c r="Z549" s="35" t="str">
        <f>IFERROR(INDEX(DL_Au,MATCH($CA549,DL_KEY,0)),"M")</f>
        <v>M</v>
      </c>
      <c r="AA549" s="35" t="str">
        <f>IFERROR(INDEX(DL_Ac,MATCH($CA549,DL_KEY,0)),"M")</f>
        <v>L</v>
      </c>
      <c r="AB549" s="35" t="str">
        <f>IFERROR(INDEX(DL_L,MATCH($CA549,DL_KEY,0)),"M")</f>
        <v>L</v>
      </c>
      <c r="AC549" s="35" t="str">
        <f>IFERROR(INDEX(DL_BI,MATCH($CA549,DL_KEY,0)),"M")</f>
        <v>L</v>
      </c>
      <c r="AD549" s="35" t="str">
        <f>IFERROR(INDEX(DL_Exp,MATCH($CA549,DL_KEY,0)),"M")</f>
        <v>L</v>
      </c>
      <c r="AE549" s="35" t="str">
        <f>IFERROR(INDEX(DL_Edu,MATCH($CA549,DL_KEY,0)),"M")</f>
        <v>L</v>
      </c>
      <c r="AF549" s="34" t="inlineStr">
        <is>
          <t>M</t>
        </is>
      </c>
      <c r="AG549" s="35" t="inlineStr">
        <is>
          <t>M</t>
        </is>
      </c>
      <c r="AH549" s="35" t="inlineStr">
        <is>
          <t>M</t>
        </is>
      </c>
      <c r="AI549" s="35" t="inlineStr">
        <is>
          <t>M</t>
        </is>
      </c>
      <c r="AJ549" s="35" t="inlineStr">
        <is>
          <t>M</t>
        </is>
      </c>
      <c r="AK549" s="35" t="inlineStr">
        <is>
          <t>M</t>
        </is>
      </c>
      <c r="AL549" s="35" t="inlineStr">
        <is>
          <t>M</t>
        </is>
      </c>
      <c r="AM549" s="36" t="n">
        <v>0.583</v>
      </c>
      <c r="AN549" s="37" t="n">
        <v>0.16</v>
      </c>
      <c r="AO549" s="37" t="n">
        <v>0.09</v>
      </c>
      <c r="AP549" s="37" t="n">
        <v>0</v>
      </c>
      <c r="AQ549" s="37" t="n">
        <v>0.063</v>
      </c>
      <c r="AR549" s="37" t="n">
        <v>0.06</v>
      </c>
      <c r="AS549" s="37" t="n">
        <v>0.04</v>
      </c>
      <c r="AT549" s="38" t="inlineStr">
        <is>
          <t>2–5</t>
        </is>
      </c>
      <c r="AU549" s="38" t="inlineStr">
        <is>
          <t>Graduate; relevant certification preferred</t>
        </is>
      </c>
      <c r="AV549" s="38" t="inlineStr">
        <is>
          <t>None · guides 1–3 juniors informally</t>
        </is>
      </c>
      <c r="AW549" s="38" t="inlineStr">
        <is>
          <t>P2 · SFIA 3 Apply</t>
        </is>
      </c>
      <c r="AX5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9" s="39" t="inlineStr">
        <is>
          <t>A3</t>
        </is>
      </c>
      <c r="AZ549" s="40" t="inlineStr">
        <is>
          <t>Band A · Practitioner · Senior Associate</t>
        </is>
      </c>
      <c r="BA549" s="40" t="inlineStr">
        <is>
          <t>Model A3 from the six ratings, the market-derived weights and rules R1–R13 · then No change · already below the manager</t>
        </is>
      </c>
      <c r="BB549" s="41" t="inlineStr">
        <is>
          <t>A3</t>
        </is>
      </c>
      <c r="BC549" s="40" t="inlineStr">
        <is>
          <t>The six ratings on the market-average weights of Band A · all tracks score 2.78 → A3 · Hay, Mercer IPE and public plans · experience 6.2 yrs vs the A3 market range 2–5</t>
        </is>
      </c>
      <c r="BD549" s="42">
        <f>IF(SUM(BM549,BN549,BO549,BP549,BQ549,BR549,BS549)=0,0,(BM549*BT549+BN549*BU549+BO549*BV549+BP549*BW549+BQ549*BX549+BR549*BY549+BS549*BZ549)/SUM(BM549,BN549,BO549,BP549,BQ549,BR549,BS549))</f>
        <v>0</v>
      </c>
      <c r="BE549" s="41" t="str">
        <f>IF(LEFT(AY549,1)="X",AY549,IF(OR(AY549="B+",AY549="C+"),INDEX(LAD_PC,MAX(1,MIN(14,MATCH(AY549,LAD_PC,0)+IF(BD549&gt;=0.5,1,IF(BD549&lt;=-0.5,-1,0))))),INDEX(LAD_STD,MAX(1,MIN(12,MATCH(AY549,LAD_STD,0)+IF(BD549&gt;=0.5,1,IF(BD549&lt;=-0.5,-1,0)))))))</f>
        <v>A3</v>
      </c>
      <c r="BF549" s="43" t="n"/>
      <c r="BG549" s="41" t="str">
        <f>IF(BF549&lt;&gt;"",BF549,BE549)</f>
        <v>A3</v>
      </c>
      <c r="BH549" s="40" t="str">
        <f>IFERROR(CHOOSE(INDEX(B_RANK,MATCH(BG549,B_LVL,0)),"Band A","Band B","B+ · Player-Coach","Band C","C+ · Player-Coach","Band D","Band E"),"Band X · Consultant")</f>
        <v>Band A</v>
      </c>
      <c r="BI549" s="40" t="str">
        <f>IF(BG549=AY549,"• Same",IF(INDEX(B_VAL,MATCH(BG549,B_LVL,0))&gt;INDEX(B_VAL,MATCH(AY549,B_LVL,0)),"▲ Up","▼ Down"))</f>
        <v>• Same</v>
      </c>
      <c r="BJ549" s="40" t="str">
        <f>IF(OR($M549="",$M549="—",$M549="Not in this file"),"",IFERROR(INDEX($BG$7:$BG$592,MATCH($M549,$D$7:$D$592,0)),""))</f>
        <v>B2</v>
      </c>
      <c r="BK549" s="40" t="str">
        <f>IFERROR(IF(BJ549="","—",IF(OR(LEFT(BG549,1)="X",LEFT(BJ549,1)="X"),"—",IF(AND(LEFT(BG549,1)="E",LEFT(BJ549,1)="E"),"Exception · Band E",IF(AND(INDEX(B_VAL,MATCH(BJ549,B_LVL,0))&gt;=7,INDEX(B_RANK,MATCH(BG549,B_LVL,0))&gt;=INDEX(B_RANK,MATCH(BJ549,B_LVL,0))),"⚠ Same band as a head manager",IF(INDEX(B_VAL,MATCH(BG549,B_LVL,0))&gt;=INDEX(B_VAL,MATCH(BJ549,B_LVL,0)),"⚠ At or above the manager's level","OK"))))),"—")</f>
        <v>OK</v>
      </c>
      <c r="BL549" s="43" t="n"/>
      <c r="BM549" s="44">
        <f>IFERROR(INDEX(LMH_PTS,MATCH(Y549,LMH_KEY,0)),0)</f>
        <v>9</v>
      </c>
      <c r="BN549" s="38">
        <f>IFERROR(INDEX(LMH_PTS,MATCH(Z549,LMH_KEY,0)),0)</f>
        <v>3</v>
      </c>
      <c r="BO549" s="38">
        <f>IFERROR(INDEX(LMH_PTS,MATCH(AA549,LMH_KEY,0)),0)</f>
        <v>1</v>
      </c>
      <c r="BP549" s="38">
        <f>IFERROR(INDEX(LMH_PTS,MATCH(AB549,LMH_KEY,0)),0)</f>
        <v>1</v>
      </c>
      <c r="BQ549" s="38">
        <f>IFERROR(INDEX(LMH_PTS,MATCH(AC549,LMH_KEY,0)),0)</f>
        <v>1</v>
      </c>
      <c r="BR549" s="38">
        <f>IFERROR(INDEX(LMH_PTS,MATCH(AD549,LMH_KEY,0)),0)</f>
        <v>1</v>
      </c>
      <c r="BS549" s="38">
        <f>IFERROR(INDEX(LMH_PTS,MATCH(AE549,LMH_KEY,0)),0)</f>
        <v>1</v>
      </c>
      <c r="BT549" s="38">
        <f>IFERROR(INDEX(LMH_STEP,MATCH(AF549,LMH_KEY,0)),0)</f>
        <v>0</v>
      </c>
      <c r="BU549" s="38">
        <f>IFERROR(INDEX(LMH_STEP,MATCH(AG549,LMH_KEY,0)),0)</f>
        <v>0</v>
      </c>
      <c r="BV549" s="38">
        <f>IFERROR(INDEX(LMH_STEP,MATCH(AH549,LMH_KEY,0)),0)</f>
        <v>0</v>
      </c>
      <c r="BW549" s="38">
        <f>IFERROR(INDEX(LMH_STEP,MATCH(AI549,LMH_KEY,0)),0)</f>
        <v>0</v>
      </c>
      <c r="BX549" s="38">
        <f>IFERROR(INDEX(LMH_STEP,MATCH(AJ549,LMH_KEY,0)),0)</f>
        <v>0</v>
      </c>
      <c r="BY549" s="38">
        <f>IFERROR(INDEX(LMH_STEP,MATCH(AK549,LMH_KEY,0)),0)</f>
        <v>0</v>
      </c>
      <c r="BZ549" s="38">
        <f>IFERROR(INDEX(LMH_STEP,MATCH(AL549,LMH_KEY,0)),0)</f>
        <v>0</v>
      </c>
      <c r="CA549" s="38" t="inlineStr">
        <is>
          <t>iFile|Technology|Senior UI Developer|A3|A</t>
        </is>
      </c>
    </row>
    <row r="550" ht="110" customHeight="1">
      <c r="A550" s="28" t="inlineStr">
        <is>
          <t>iFile</t>
        </is>
      </c>
      <c r="B550" s="29" t="inlineStr">
        <is>
          <t>Technology</t>
        </is>
      </c>
      <c r="C550" s="29" t="n">
        <v>3</v>
      </c>
      <c r="D550" s="29" t="inlineStr">
        <is>
          <t>IRIS2321</t>
        </is>
      </c>
      <c r="E550" s="29" t="inlineStr">
        <is>
          <t>Chandani Gusain</t>
        </is>
      </c>
      <c r="F550" s="29" t="inlineStr">
        <is>
          <t>Software Engineer</t>
        </is>
      </c>
      <c r="G550" s="29" t="inlineStr">
        <is>
          <t>UI Developer</t>
        </is>
      </c>
      <c r="H550" s="29" t="inlineStr">
        <is>
          <t>Engineering &amp; Development</t>
        </is>
      </c>
      <c r="I550" s="29" t="inlineStr">
        <is>
          <t>Front-End / UI Development</t>
        </is>
      </c>
      <c r="J550" s="29" t="inlineStr">
        <is>
          <t>IC</t>
        </is>
      </c>
      <c r="K550" s="29" t="inlineStr">
        <is>
          <t>RC-080</t>
        </is>
      </c>
      <c r="L550" s="29" t="inlineStr">
        <is>
          <t>Sagar Jadhav</t>
        </is>
      </c>
      <c r="M550" s="29" t="inlineStr">
        <is>
          <t>IRIS1804</t>
        </is>
      </c>
      <c r="N550" s="29" t="n">
        <v>1.9</v>
      </c>
      <c r="O550" s="29" t="n">
        <v>1.9</v>
      </c>
      <c r="P550" s="29" t="inlineStr">
        <is>
          <t>B.SC</t>
        </is>
      </c>
      <c r="Q550" s="29" t="inlineStr">
        <is>
          <t>L3 – Professional / Associate</t>
        </is>
      </c>
      <c r="R550" s="29" t="inlineStr">
        <is>
          <t>A2</t>
        </is>
      </c>
      <c r="S550" s="30" t="inlineStr">
        <is>
          <t>20 of 20</t>
        </is>
      </c>
      <c r="T550" s="31"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t>
        </is>
      </c>
      <c r="U550"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0" s="31" t="inlineStr">
        <is>
          <t>Latest rating: 3 · Potential: High · 9-box: Trusted Professional · Readiness: Ready in 6–12 months</t>
        </is>
      </c>
      <c r="W550" s="31" t="inlineStr">
        <is>
          <t>C M · Au M · Ac M · L L · BI M · Exp M · 1.9 yrs vs 0–2 yrs · Edu M · B.SC</t>
        </is>
      </c>
      <c r="X550" s="33" t="inlineStr">
        <is>
          <t>Open ▸</t>
        </is>
      </c>
      <c r="Y550" s="34" t="str">
        <f>IFERROR(INDEX(DL_C,MATCH($CA550,DL_KEY,0)),"M")</f>
        <v>H</v>
      </c>
      <c r="Z550" s="35" t="str">
        <f>IFERROR(INDEX(DL_Au,MATCH($CA550,DL_KEY,0)),"M")</f>
        <v>M</v>
      </c>
      <c r="AA550" s="35" t="str">
        <f>IFERROR(INDEX(DL_Ac,MATCH($CA550,DL_KEY,0)),"M")</f>
        <v>L</v>
      </c>
      <c r="AB550" s="35" t="str">
        <f>IFERROR(INDEX(DL_L,MATCH($CA550,DL_KEY,0)),"M")</f>
        <v>L</v>
      </c>
      <c r="AC550" s="35" t="str">
        <f>IFERROR(INDEX(DL_BI,MATCH($CA550,DL_KEY,0)),"M")</f>
        <v>L</v>
      </c>
      <c r="AD550" s="35" t="str">
        <f>IFERROR(INDEX(DL_Exp,MATCH($CA550,DL_KEY,0)),"M")</f>
        <v>L</v>
      </c>
      <c r="AE550" s="35" t="str">
        <f>IFERROR(INDEX(DL_Edu,MATCH($CA550,DL_KEY,0)),"M")</f>
        <v>L</v>
      </c>
      <c r="AF550" s="34" t="inlineStr">
        <is>
          <t>M</t>
        </is>
      </c>
      <c r="AG550" s="35" t="inlineStr">
        <is>
          <t>M</t>
        </is>
      </c>
      <c r="AH550" s="35" t="inlineStr">
        <is>
          <t>M</t>
        </is>
      </c>
      <c r="AI550" s="35" t="inlineStr">
        <is>
          <t>M</t>
        </is>
      </c>
      <c r="AJ550" s="35" t="inlineStr">
        <is>
          <t>M</t>
        </is>
      </c>
      <c r="AK550" s="35" t="inlineStr">
        <is>
          <t>M</t>
        </is>
      </c>
      <c r="AL550" s="35" t="inlineStr">
        <is>
          <t>M</t>
        </is>
      </c>
      <c r="AM550" s="36" t="n">
        <v>0.583</v>
      </c>
      <c r="AN550" s="37" t="n">
        <v>0.16</v>
      </c>
      <c r="AO550" s="37" t="n">
        <v>0.09</v>
      </c>
      <c r="AP550" s="37" t="n">
        <v>0</v>
      </c>
      <c r="AQ550" s="37" t="n">
        <v>0.063</v>
      </c>
      <c r="AR550" s="37" t="n">
        <v>0.06</v>
      </c>
      <c r="AS550" s="37" t="n">
        <v>0.04</v>
      </c>
      <c r="AT550" s="38" t="inlineStr">
        <is>
          <t>0–3</t>
        </is>
      </c>
      <c r="AU550" s="38" t="inlineStr">
        <is>
          <t>Graduate · or diploma with experience</t>
        </is>
      </c>
      <c r="AV550" s="38" t="inlineStr">
        <is>
          <t>No direct reports</t>
        </is>
      </c>
      <c r="AW550" s="38" t="inlineStr">
        <is>
          <t>P1–P2 · SFIA 2 Assist</t>
        </is>
      </c>
      <c r="AX5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0" s="39" t="inlineStr">
        <is>
          <t>A2</t>
        </is>
      </c>
      <c r="AZ550" s="40" t="inlineStr">
        <is>
          <t>Band A · Practitioner · Associate</t>
        </is>
      </c>
      <c r="BA550" s="40" t="inlineStr">
        <is>
          <t>Model A2 from the six ratings, the market-derived weights and rules R1–R13 · then No change · already below the manager</t>
        </is>
      </c>
      <c r="BB550" s="41" t="inlineStr">
        <is>
          <t>A2</t>
        </is>
      </c>
      <c r="BC550" s="40" t="inlineStr">
        <is>
          <t>The six ratings on the market-average weights of Band A · all tracks score 2.08 → A2 · Hay, Mercer IPE and public plans · experience 1.9 yrs vs the A2 market range 0–3</t>
        </is>
      </c>
      <c r="BD550" s="42">
        <f>IF(SUM(BM550,BN550,BO550,BP550,BQ550,BR550,BS550)=0,0,(BM550*BT550+BN550*BU550+BO550*BV550+BP550*BW550+BQ550*BX550+BR550*BY550+BS550*BZ550)/SUM(BM550,BN550,BO550,BP550,BQ550,BR550,BS550))</f>
        <v>0</v>
      </c>
      <c r="BE550" s="41" t="str">
        <f>IF(LEFT(AY550,1)="X",AY550,IF(OR(AY550="B+",AY550="C+"),INDEX(LAD_PC,MAX(1,MIN(14,MATCH(AY550,LAD_PC,0)+IF(BD550&gt;=0.5,1,IF(BD550&lt;=-0.5,-1,0))))),INDEX(LAD_STD,MAX(1,MIN(12,MATCH(AY550,LAD_STD,0)+IF(BD550&gt;=0.5,1,IF(BD550&lt;=-0.5,-1,0)))))))</f>
        <v>A2</v>
      </c>
      <c r="BF550" s="43" t="n"/>
      <c r="BG550" s="41" t="str">
        <f>IF(BF550&lt;&gt;"",BF550,BE550)</f>
        <v>A2</v>
      </c>
      <c r="BH550" s="40" t="str">
        <f>IFERROR(CHOOSE(INDEX(B_RANK,MATCH(BG550,B_LVL,0)),"Band A","Band B","B+ · Player-Coach","Band C","C+ · Player-Coach","Band D","Band E"),"Band X · Consultant")</f>
        <v>Band A</v>
      </c>
      <c r="BI550" s="40" t="str">
        <f>IF(BG550=AY550,"• Same",IF(INDEX(B_VAL,MATCH(BG550,B_LVL,0))&gt;INDEX(B_VAL,MATCH(AY550,B_LVL,0)),"▲ Up","▼ Down"))</f>
        <v>• Same</v>
      </c>
      <c r="BJ550" s="40" t="str">
        <f>IF(OR($M550="",$M550="—",$M550="Not in this file"),"",IFERROR(INDEX($BG$7:$BG$592,MATCH($M550,$D$7:$D$592,0)),""))</f>
        <v>B2</v>
      </c>
      <c r="BK550" s="40" t="str">
        <f>IFERROR(IF(BJ550="","—",IF(OR(LEFT(BG550,1)="X",LEFT(BJ550,1)="X"),"—",IF(AND(LEFT(BG550,1)="E",LEFT(BJ550,1)="E"),"Exception · Band E",IF(AND(INDEX(B_VAL,MATCH(BJ550,B_LVL,0))&gt;=7,INDEX(B_RANK,MATCH(BG550,B_LVL,0))&gt;=INDEX(B_RANK,MATCH(BJ550,B_LVL,0))),"⚠ Same band as a head manager",IF(INDEX(B_VAL,MATCH(BG550,B_LVL,0))&gt;=INDEX(B_VAL,MATCH(BJ550,B_LVL,0)),"⚠ At or above the manager's level","OK"))))),"—")</f>
        <v>OK</v>
      </c>
      <c r="BL550" s="43" t="n"/>
      <c r="BM550" s="44">
        <f>IFERROR(INDEX(LMH_PTS,MATCH(Y550,LMH_KEY,0)),0)</f>
        <v>9</v>
      </c>
      <c r="BN550" s="38">
        <f>IFERROR(INDEX(LMH_PTS,MATCH(Z550,LMH_KEY,0)),0)</f>
        <v>3</v>
      </c>
      <c r="BO550" s="38">
        <f>IFERROR(INDEX(LMH_PTS,MATCH(AA550,LMH_KEY,0)),0)</f>
        <v>1</v>
      </c>
      <c r="BP550" s="38">
        <f>IFERROR(INDEX(LMH_PTS,MATCH(AB550,LMH_KEY,0)),0)</f>
        <v>1</v>
      </c>
      <c r="BQ550" s="38">
        <f>IFERROR(INDEX(LMH_PTS,MATCH(AC550,LMH_KEY,0)),0)</f>
        <v>1</v>
      </c>
      <c r="BR550" s="38">
        <f>IFERROR(INDEX(LMH_PTS,MATCH(AD550,LMH_KEY,0)),0)</f>
        <v>1</v>
      </c>
      <c r="BS550" s="38">
        <f>IFERROR(INDEX(LMH_PTS,MATCH(AE550,LMH_KEY,0)),0)</f>
        <v>1</v>
      </c>
      <c r="BT550" s="38">
        <f>IFERROR(INDEX(LMH_STEP,MATCH(AF550,LMH_KEY,0)),0)</f>
        <v>0</v>
      </c>
      <c r="BU550" s="38">
        <f>IFERROR(INDEX(LMH_STEP,MATCH(AG550,LMH_KEY,0)),0)</f>
        <v>0</v>
      </c>
      <c r="BV550" s="38">
        <f>IFERROR(INDEX(LMH_STEP,MATCH(AH550,LMH_KEY,0)),0)</f>
        <v>0</v>
      </c>
      <c r="BW550" s="38">
        <f>IFERROR(INDEX(LMH_STEP,MATCH(AI550,LMH_KEY,0)),0)</f>
        <v>0</v>
      </c>
      <c r="BX550" s="38">
        <f>IFERROR(INDEX(LMH_STEP,MATCH(AJ550,LMH_KEY,0)),0)</f>
        <v>0</v>
      </c>
      <c r="BY550" s="38">
        <f>IFERROR(INDEX(LMH_STEP,MATCH(AK550,LMH_KEY,0)),0)</f>
        <v>0</v>
      </c>
      <c r="BZ550" s="38">
        <f>IFERROR(INDEX(LMH_STEP,MATCH(AL550,LMH_KEY,0)),0)</f>
        <v>0</v>
      </c>
      <c r="CA550" s="38" t="inlineStr">
        <is>
          <t>iFile|Technology|UI Developer|A2|A</t>
        </is>
      </c>
    </row>
    <row r="551" ht="110" customHeight="1">
      <c r="A551" s="28" t="inlineStr">
        <is>
          <t>iFile</t>
        </is>
      </c>
      <c r="B551" s="29" t="inlineStr">
        <is>
          <t>Technology</t>
        </is>
      </c>
      <c r="C551" s="29" t="n">
        <v>3</v>
      </c>
      <c r="D551" s="29" t="inlineStr">
        <is>
          <t>IRIS2320</t>
        </is>
      </c>
      <c r="E551" s="29" t="inlineStr">
        <is>
          <t>Faisal Pathan</t>
        </is>
      </c>
      <c r="F551" s="29" t="inlineStr">
        <is>
          <t>Software Engineer</t>
        </is>
      </c>
      <c r="G551" s="29" t="inlineStr">
        <is>
          <t>UI Developer</t>
        </is>
      </c>
      <c r="H551" s="29" t="inlineStr">
        <is>
          <t>Engineering &amp; Development</t>
        </is>
      </c>
      <c r="I551" s="29" t="inlineStr">
        <is>
          <t>Front-End / UI Development</t>
        </is>
      </c>
      <c r="J551" s="29" t="inlineStr">
        <is>
          <t>IC</t>
        </is>
      </c>
      <c r="K551" s="29" t="inlineStr">
        <is>
          <t>RC-080</t>
        </is>
      </c>
      <c r="L551" s="29" t="inlineStr">
        <is>
          <t>Sagar Jadhav</t>
        </is>
      </c>
      <c r="M551" s="29" t="inlineStr">
        <is>
          <t>IRIS1804</t>
        </is>
      </c>
      <c r="N551" s="29" t="n">
        <v>1.9</v>
      </c>
      <c r="O551" s="29" t="n">
        <v>1.9</v>
      </c>
      <c r="P551" s="29" t="inlineStr">
        <is>
          <t>B.SC</t>
        </is>
      </c>
      <c r="Q551" s="29" t="inlineStr">
        <is>
          <t>L3 – Professional / Associate</t>
        </is>
      </c>
      <c r="R551" s="29" t="inlineStr">
        <is>
          <t>A2</t>
        </is>
      </c>
      <c r="S551" s="30" t="inlineStr">
        <is>
          <t>20 of 20</t>
        </is>
      </c>
      <c r="T551" s="31" t="inlineStr">
        <is>
          <t>Business Impact: Moved +0.5: the survey / manager mapping marks it business-critical.</t>
        </is>
      </c>
      <c r="U55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1" s="31" t="inlineStr">
        <is>
          <t>Latest rating: 4 · Potential: High · 9-box: High Impact / Growth Talent · Readiness: Ready now</t>
        </is>
      </c>
      <c r="W551" s="31" t="inlineStr">
        <is>
          <t>C M · Au M · Ac M · L L · BI H · Exp M · 1.9 yrs vs 0–2 yrs · Edu M · B.SC</t>
        </is>
      </c>
      <c r="X551" s="33" t="inlineStr">
        <is>
          <t>Open ▸</t>
        </is>
      </c>
      <c r="Y551" s="34" t="str">
        <f>IFERROR(INDEX(DL_C,MATCH($CA551,DL_KEY,0)),"M")</f>
        <v>H</v>
      </c>
      <c r="Z551" s="35" t="str">
        <f>IFERROR(INDEX(DL_Au,MATCH($CA551,DL_KEY,0)),"M")</f>
        <v>M</v>
      </c>
      <c r="AA551" s="35" t="str">
        <f>IFERROR(INDEX(DL_Ac,MATCH($CA551,DL_KEY,0)),"M")</f>
        <v>L</v>
      </c>
      <c r="AB551" s="35" t="str">
        <f>IFERROR(INDEX(DL_L,MATCH($CA551,DL_KEY,0)),"M")</f>
        <v>L</v>
      </c>
      <c r="AC551" s="35" t="str">
        <f>IFERROR(INDEX(DL_BI,MATCH($CA551,DL_KEY,0)),"M")</f>
        <v>L</v>
      </c>
      <c r="AD551" s="35" t="str">
        <f>IFERROR(INDEX(DL_Exp,MATCH($CA551,DL_KEY,0)),"M")</f>
        <v>L</v>
      </c>
      <c r="AE551" s="35" t="str">
        <f>IFERROR(INDEX(DL_Edu,MATCH($CA551,DL_KEY,0)),"M")</f>
        <v>L</v>
      </c>
      <c r="AF551" s="34" t="inlineStr">
        <is>
          <t>M</t>
        </is>
      </c>
      <c r="AG551" s="35" t="inlineStr">
        <is>
          <t>M</t>
        </is>
      </c>
      <c r="AH551" s="35" t="inlineStr">
        <is>
          <t>M</t>
        </is>
      </c>
      <c r="AI551" s="35" t="inlineStr">
        <is>
          <t>M</t>
        </is>
      </c>
      <c r="AJ551" s="35" t="inlineStr">
        <is>
          <t>M</t>
        </is>
      </c>
      <c r="AK551" s="35" t="inlineStr">
        <is>
          <t>M</t>
        </is>
      </c>
      <c r="AL551" s="35" t="inlineStr">
        <is>
          <t>M</t>
        </is>
      </c>
      <c r="AM551" s="36" t="n">
        <v>0.583</v>
      </c>
      <c r="AN551" s="37" t="n">
        <v>0.16</v>
      </c>
      <c r="AO551" s="37" t="n">
        <v>0.09</v>
      </c>
      <c r="AP551" s="37" t="n">
        <v>0</v>
      </c>
      <c r="AQ551" s="37" t="n">
        <v>0.063</v>
      </c>
      <c r="AR551" s="37" t="n">
        <v>0.06</v>
      </c>
      <c r="AS551" s="37" t="n">
        <v>0.04</v>
      </c>
      <c r="AT551" s="38" t="inlineStr">
        <is>
          <t>0–3</t>
        </is>
      </c>
      <c r="AU551" s="38" t="inlineStr">
        <is>
          <t>Graduate · or diploma with experience</t>
        </is>
      </c>
      <c r="AV551" s="38" t="inlineStr">
        <is>
          <t>No direct reports</t>
        </is>
      </c>
      <c r="AW551" s="38" t="inlineStr">
        <is>
          <t>P1–P2 · SFIA 2 Assist</t>
        </is>
      </c>
      <c r="AX5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1" s="39" t="inlineStr">
        <is>
          <t>A2</t>
        </is>
      </c>
      <c r="AZ551" s="40" t="inlineStr">
        <is>
          <t>Band A · Practitioner · Associate</t>
        </is>
      </c>
      <c r="BA551" s="40" t="inlineStr">
        <is>
          <t>Model A2 from the six ratings, the market-derived weights and rules R1–R13 · then No change · already below the manager</t>
        </is>
      </c>
      <c r="BB551" s="41" t="inlineStr">
        <is>
          <t>A2</t>
        </is>
      </c>
      <c r="BC551" s="40" t="inlineStr">
        <is>
          <t>The six ratings on the market-average weights of Band A · all tracks score 2.45 → A2 · Hay, Mercer IPE and public plans · experience 1.9 yrs vs the A2 market range 0–3</t>
        </is>
      </c>
      <c r="BD551" s="42">
        <f>IF(SUM(BM551,BN551,BO551,BP551,BQ551,BR551,BS551)=0,0,(BM551*BT551+BN551*BU551+BO551*BV551+BP551*BW551+BQ551*BX551+BR551*BY551+BS551*BZ551)/SUM(BM551,BN551,BO551,BP551,BQ551,BR551,BS551))</f>
        <v>0</v>
      </c>
      <c r="BE551" s="41" t="str">
        <f>IF(LEFT(AY551,1)="X",AY551,IF(OR(AY551="B+",AY551="C+"),INDEX(LAD_PC,MAX(1,MIN(14,MATCH(AY551,LAD_PC,0)+IF(BD551&gt;=0.5,1,IF(BD551&lt;=-0.5,-1,0))))),INDEX(LAD_STD,MAX(1,MIN(12,MATCH(AY551,LAD_STD,0)+IF(BD551&gt;=0.5,1,IF(BD551&lt;=-0.5,-1,0)))))))</f>
        <v>A2</v>
      </c>
      <c r="BF551" s="43" t="n"/>
      <c r="BG551" s="41" t="str">
        <f>IF(BF551&lt;&gt;"",BF551,BE551)</f>
        <v>A2</v>
      </c>
      <c r="BH551" s="40" t="str">
        <f>IFERROR(CHOOSE(INDEX(B_RANK,MATCH(BG551,B_LVL,0)),"Band A","Band B","B+ · Player-Coach","Band C","C+ · Player-Coach","Band D","Band E"),"Band X · Consultant")</f>
        <v>Band A</v>
      </c>
      <c r="BI551" s="40" t="str">
        <f>IF(BG551=AY551,"• Same",IF(INDEX(B_VAL,MATCH(BG551,B_LVL,0))&gt;INDEX(B_VAL,MATCH(AY551,B_LVL,0)),"▲ Up","▼ Down"))</f>
        <v>• Same</v>
      </c>
      <c r="BJ551" s="40" t="str">
        <f>IF(OR($M551="",$M551="—",$M551="Not in this file"),"",IFERROR(INDEX($BG$7:$BG$592,MATCH($M551,$D$7:$D$592,0)),""))</f>
        <v>B2</v>
      </c>
      <c r="BK551" s="40" t="str">
        <f>IFERROR(IF(BJ551="","—",IF(OR(LEFT(BG551,1)="X",LEFT(BJ551,1)="X"),"—",IF(AND(LEFT(BG551,1)="E",LEFT(BJ551,1)="E"),"Exception · Band E",IF(AND(INDEX(B_VAL,MATCH(BJ551,B_LVL,0))&gt;=7,INDEX(B_RANK,MATCH(BG551,B_LVL,0))&gt;=INDEX(B_RANK,MATCH(BJ551,B_LVL,0))),"⚠ Same band as a head manager",IF(INDEX(B_VAL,MATCH(BG551,B_LVL,0))&gt;=INDEX(B_VAL,MATCH(BJ551,B_LVL,0)),"⚠ At or above the manager's level","OK"))))),"—")</f>
        <v>OK</v>
      </c>
      <c r="BL551" s="43" t="n"/>
      <c r="BM551" s="44">
        <f>IFERROR(INDEX(LMH_PTS,MATCH(Y551,LMH_KEY,0)),0)</f>
        <v>9</v>
      </c>
      <c r="BN551" s="38">
        <f>IFERROR(INDEX(LMH_PTS,MATCH(Z551,LMH_KEY,0)),0)</f>
        <v>3</v>
      </c>
      <c r="BO551" s="38">
        <f>IFERROR(INDEX(LMH_PTS,MATCH(AA551,LMH_KEY,0)),0)</f>
        <v>1</v>
      </c>
      <c r="BP551" s="38">
        <f>IFERROR(INDEX(LMH_PTS,MATCH(AB551,LMH_KEY,0)),0)</f>
        <v>1</v>
      </c>
      <c r="BQ551" s="38">
        <f>IFERROR(INDEX(LMH_PTS,MATCH(AC551,LMH_KEY,0)),0)</f>
        <v>1</v>
      </c>
      <c r="BR551" s="38">
        <f>IFERROR(INDEX(LMH_PTS,MATCH(AD551,LMH_KEY,0)),0)</f>
        <v>1</v>
      </c>
      <c r="BS551" s="38">
        <f>IFERROR(INDEX(LMH_PTS,MATCH(AE551,LMH_KEY,0)),0)</f>
        <v>1</v>
      </c>
      <c r="BT551" s="38">
        <f>IFERROR(INDEX(LMH_STEP,MATCH(AF551,LMH_KEY,0)),0)</f>
        <v>0</v>
      </c>
      <c r="BU551" s="38">
        <f>IFERROR(INDEX(LMH_STEP,MATCH(AG551,LMH_KEY,0)),0)</f>
        <v>0</v>
      </c>
      <c r="BV551" s="38">
        <f>IFERROR(INDEX(LMH_STEP,MATCH(AH551,LMH_KEY,0)),0)</f>
        <v>0</v>
      </c>
      <c r="BW551" s="38">
        <f>IFERROR(INDEX(LMH_STEP,MATCH(AI551,LMH_KEY,0)),0)</f>
        <v>0</v>
      </c>
      <c r="BX551" s="38">
        <f>IFERROR(INDEX(LMH_STEP,MATCH(AJ551,LMH_KEY,0)),0)</f>
        <v>0</v>
      </c>
      <c r="BY551" s="38">
        <f>IFERROR(INDEX(LMH_STEP,MATCH(AK551,LMH_KEY,0)),0)</f>
        <v>0</v>
      </c>
      <c r="BZ551" s="38">
        <f>IFERROR(INDEX(LMH_STEP,MATCH(AL551,LMH_KEY,0)),0)</f>
        <v>0</v>
      </c>
      <c r="CA551" s="38" t="inlineStr">
        <is>
          <t>iFile|Technology|UI Developer|A2|A</t>
        </is>
      </c>
    </row>
    <row r="552" ht="110" customHeight="1">
      <c r="A552" s="28" t="inlineStr">
        <is>
          <t>iFile</t>
        </is>
      </c>
      <c r="B552" s="29" t="inlineStr">
        <is>
          <t>Technology</t>
        </is>
      </c>
      <c r="C552" s="29" t="n">
        <v>3</v>
      </c>
      <c r="D552" s="29" t="inlineStr">
        <is>
          <t>IRIS2322</t>
        </is>
      </c>
      <c r="E552" s="29" t="inlineStr">
        <is>
          <t>Lalita Dixit</t>
        </is>
      </c>
      <c r="F552" s="29" t="inlineStr">
        <is>
          <t>Software Engineer</t>
        </is>
      </c>
      <c r="G552" s="29" t="inlineStr">
        <is>
          <t>UI Developer</t>
        </is>
      </c>
      <c r="H552" s="29" t="inlineStr">
        <is>
          <t>Engineering &amp; Development</t>
        </is>
      </c>
      <c r="I552" s="29" t="inlineStr">
        <is>
          <t>Front-End / UI Development</t>
        </is>
      </c>
      <c r="J552" s="29" t="inlineStr">
        <is>
          <t>IC</t>
        </is>
      </c>
      <c r="K552" s="29" t="inlineStr">
        <is>
          <t>RC-080</t>
        </is>
      </c>
      <c r="L552" s="29" t="inlineStr">
        <is>
          <t>Sagar Jadhav</t>
        </is>
      </c>
      <c r="M552" s="29" t="inlineStr">
        <is>
          <t>IRIS1804</t>
        </is>
      </c>
      <c r="N552" s="29" t="n">
        <v>1.9</v>
      </c>
      <c r="O552" s="29" t="n">
        <v>1.9</v>
      </c>
      <c r="P552" s="29" t="inlineStr">
        <is>
          <t>B.SC</t>
        </is>
      </c>
      <c r="Q552" s="29" t="inlineStr">
        <is>
          <t>L3 – Professional / Associate</t>
        </is>
      </c>
      <c r="R552" s="29" t="inlineStr">
        <is>
          <t>A2</t>
        </is>
      </c>
      <c r="S552" s="30" t="inlineStr">
        <is>
          <t>20 of 20</t>
        </is>
      </c>
      <c r="T552" s="31" t="inlineStr">
        <is>
          <t>Business Impact: Moved +0.5: the survey / manager mapping marks it business-critical.</t>
        </is>
      </c>
      <c r="U55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2" s="31" t="inlineStr">
        <is>
          <t>Latest rating: 3 · Potential: Medium · 9-box: Reliable Specialist · Readiness: Develop in role</t>
        </is>
      </c>
      <c r="W552" s="31" t="inlineStr">
        <is>
          <t>C M · Au M · Ac M · L L · BI H · Exp M · 1.9 yrs vs 0–2 yrs · Edu M · B.SC</t>
        </is>
      </c>
      <c r="X552" s="33" t="inlineStr">
        <is>
          <t>Open ▸</t>
        </is>
      </c>
      <c r="Y552" s="34" t="str">
        <f>IFERROR(INDEX(DL_C,MATCH($CA552,DL_KEY,0)),"M")</f>
        <v>H</v>
      </c>
      <c r="Z552" s="35" t="str">
        <f>IFERROR(INDEX(DL_Au,MATCH($CA552,DL_KEY,0)),"M")</f>
        <v>M</v>
      </c>
      <c r="AA552" s="35" t="str">
        <f>IFERROR(INDEX(DL_Ac,MATCH($CA552,DL_KEY,0)),"M")</f>
        <v>L</v>
      </c>
      <c r="AB552" s="35" t="str">
        <f>IFERROR(INDEX(DL_L,MATCH($CA552,DL_KEY,0)),"M")</f>
        <v>L</v>
      </c>
      <c r="AC552" s="35" t="str">
        <f>IFERROR(INDEX(DL_BI,MATCH($CA552,DL_KEY,0)),"M")</f>
        <v>L</v>
      </c>
      <c r="AD552" s="35" t="str">
        <f>IFERROR(INDEX(DL_Exp,MATCH($CA552,DL_KEY,0)),"M")</f>
        <v>L</v>
      </c>
      <c r="AE552" s="35" t="str">
        <f>IFERROR(INDEX(DL_Edu,MATCH($CA552,DL_KEY,0)),"M")</f>
        <v>L</v>
      </c>
      <c r="AF552" s="34" t="inlineStr">
        <is>
          <t>M</t>
        </is>
      </c>
      <c r="AG552" s="35" t="inlineStr">
        <is>
          <t>M</t>
        </is>
      </c>
      <c r="AH552" s="35" t="inlineStr">
        <is>
          <t>M</t>
        </is>
      </c>
      <c r="AI552" s="35" t="inlineStr">
        <is>
          <t>M</t>
        </is>
      </c>
      <c r="AJ552" s="35" t="inlineStr">
        <is>
          <t>M</t>
        </is>
      </c>
      <c r="AK552" s="35" t="inlineStr">
        <is>
          <t>M</t>
        </is>
      </c>
      <c r="AL552" s="35" t="inlineStr">
        <is>
          <t>M</t>
        </is>
      </c>
      <c r="AM552" s="36" t="n">
        <v>0.583</v>
      </c>
      <c r="AN552" s="37" t="n">
        <v>0.16</v>
      </c>
      <c r="AO552" s="37" t="n">
        <v>0.09</v>
      </c>
      <c r="AP552" s="37" t="n">
        <v>0</v>
      </c>
      <c r="AQ552" s="37" t="n">
        <v>0.063</v>
      </c>
      <c r="AR552" s="37" t="n">
        <v>0.06</v>
      </c>
      <c r="AS552" s="37" t="n">
        <v>0.04</v>
      </c>
      <c r="AT552" s="38" t="inlineStr">
        <is>
          <t>0–3</t>
        </is>
      </c>
      <c r="AU552" s="38" t="inlineStr">
        <is>
          <t>Graduate · or diploma with experience</t>
        </is>
      </c>
      <c r="AV552" s="38" t="inlineStr">
        <is>
          <t>No direct reports</t>
        </is>
      </c>
      <c r="AW552" s="38" t="inlineStr">
        <is>
          <t>P1–P2 · SFIA 2 Assist</t>
        </is>
      </c>
      <c r="AX5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2" s="39" t="inlineStr">
        <is>
          <t>A2</t>
        </is>
      </c>
      <c r="AZ552" s="40" t="inlineStr">
        <is>
          <t>Band A · Practitioner · Associate</t>
        </is>
      </c>
      <c r="BA552" s="40" t="inlineStr">
        <is>
          <t>Model A2 from the six ratings, the market-derived weights and rules R1–R13 · then No change · already below the manager</t>
        </is>
      </c>
      <c r="BB552" s="41" t="inlineStr">
        <is>
          <t>A2</t>
        </is>
      </c>
      <c r="BC552" s="40" t="inlineStr">
        <is>
          <t>The six ratings on the market-average weights of Band A · all tracks score 2.45 → A2 · Hay, Mercer IPE and public plans · experience 1.9 yrs vs the A2 market range 0–3</t>
        </is>
      </c>
      <c r="BD552" s="42">
        <f>IF(SUM(BM552,BN552,BO552,BP552,BQ552,BR552,BS552)=0,0,(BM552*BT552+BN552*BU552+BO552*BV552+BP552*BW552+BQ552*BX552+BR552*BY552+BS552*BZ552)/SUM(BM552,BN552,BO552,BP552,BQ552,BR552,BS552))</f>
        <v>0</v>
      </c>
      <c r="BE552" s="41" t="str">
        <f>IF(LEFT(AY552,1)="X",AY552,IF(OR(AY552="B+",AY552="C+"),INDEX(LAD_PC,MAX(1,MIN(14,MATCH(AY552,LAD_PC,0)+IF(BD552&gt;=0.5,1,IF(BD552&lt;=-0.5,-1,0))))),INDEX(LAD_STD,MAX(1,MIN(12,MATCH(AY552,LAD_STD,0)+IF(BD552&gt;=0.5,1,IF(BD552&lt;=-0.5,-1,0)))))))</f>
        <v>A2</v>
      </c>
      <c r="BF552" s="43" t="n"/>
      <c r="BG552" s="41" t="str">
        <f>IF(BF552&lt;&gt;"",BF552,BE552)</f>
        <v>A2</v>
      </c>
      <c r="BH552" s="40" t="str">
        <f>IFERROR(CHOOSE(INDEX(B_RANK,MATCH(BG552,B_LVL,0)),"Band A","Band B","B+ · Player-Coach","Band C","C+ · Player-Coach","Band D","Band E"),"Band X · Consultant")</f>
        <v>Band A</v>
      </c>
      <c r="BI552" s="40" t="str">
        <f>IF(BG552=AY552,"• Same",IF(INDEX(B_VAL,MATCH(BG552,B_LVL,0))&gt;INDEX(B_VAL,MATCH(AY552,B_LVL,0)),"▲ Up","▼ Down"))</f>
        <v>• Same</v>
      </c>
      <c r="BJ552" s="40" t="str">
        <f>IF(OR($M552="",$M552="—",$M552="Not in this file"),"",IFERROR(INDEX($BG$7:$BG$592,MATCH($M552,$D$7:$D$592,0)),""))</f>
        <v>B2</v>
      </c>
      <c r="BK552" s="40" t="str">
        <f>IFERROR(IF(BJ552="","—",IF(OR(LEFT(BG552,1)="X",LEFT(BJ552,1)="X"),"—",IF(AND(LEFT(BG552,1)="E",LEFT(BJ552,1)="E"),"Exception · Band E",IF(AND(INDEX(B_VAL,MATCH(BJ552,B_LVL,0))&gt;=7,INDEX(B_RANK,MATCH(BG552,B_LVL,0))&gt;=INDEX(B_RANK,MATCH(BJ552,B_LVL,0))),"⚠ Same band as a head manager",IF(INDEX(B_VAL,MATCH(BG552,B_LVL,0))&gt;=INDEX(B_VAL,MATCH(BJ552,B_LVL,0)),"⚠ At or above the manager's level","OK"))))),"—")</f>
        <v>OK</v>
      </c>
      <c r="BL552" s="43" t="n"/>
      <c r="BM552" s="44">
        <f>IFERROR(INDEX(LMH_PTS,MATCH(Y552,LMH_KEY,0)),0)</f>
        <v>9</v>
      </c>
      <c r="BN552" s="38">
        <f>IFERROR(INDEX(LMH_PTS,MATCH(Z552,LMH_KEY,0)),0)</f>
        <v>3</v>
      </c>
      <c r="BO552" s="38">
        <f>IFERROR(INDEX(LMH_PTS,MATCH(AA552,LMH_KEY,0)),0)</f>
        <v>1</v>
      </c>
      <c r="BP552" s="38">
        <f>IFERROR(INDEX(LMH_PTS,MATCH(AB552,LMH_KEY,0)),0)</f>
        <v>1</v>
      </c>
      <c r="BQ552" s="38">
        <f>IFERROR(INDEX(LMH_PTS,MATCH(AC552,LMH_KEY,0)),0)</f>
        <v>1</v>
      </c>
      <c r="BR552" s="38">
        <f>IFERROR(INDEX(LMH_PTS,MATCH(AD552,LMH_KEY,0)),0)</f>
        <v>1</v>
      </c>
      <c r="BS552" s="38">
        <f>IFERROR(INDEX(LMH_PTS,MATCH(AE552,LMH_KEY,0)),0)</f>
        <v>1</v>
      </c>
      <c r="BT552" s="38">
        <f>IFERROR(INDEX(LMH_STEP,MATCH(AF552,LMH_KEY,0)),0)</f>
        <v>0</v>
      </c>
      <c r="BU552" s="38">
        <f>IFERROR(INDEX(LMH_STEP,MATCH(AG552,LMH_KEY,0)),0)</f>
        <v>0</v>
      </c>
      <c r="BV552" s="38">
        <f>IFERROR(INDEX(LMH_STEP,MATCH(AH552,LMH_KEY,0)),0)</f>
        <v>0</v>
      </c>
      <c r="BW552" s="38">
        <f>IFERROR(INDEX(LMH_STEP,MATCH(AI552,LMH_KEY,0)),0)</f>
        <v>0</v>
      </c>
      <c r="BX552" s="38">
        <f>IFERROR(INDEX(LMH_STEP,MATCH(AJ552,LMH_KEY,0)),0)</f>
        <v>0</v>
      </c>
      <c r="BY552" s="38">
        <f>IFERROR(INDEX(LMH_STEP,MATCH(AK552,LMH_KEY,0)),0)</f>
        <v>0</v>
      </c>
      <c r="BZ552" s="38">
        <f>IFERROR(INDEX(LMH_STEP,MATCH(AL552,LMH_KEY,0)),0)</f>
        <v>0</v>
      </c>
      <c r="CA552" s="38" t="inlineStr">
        <is>
          <t>iFile|Technology|UI Developer|A2|A</t>
        </is>
      </c>
    </row>
    <row r="553" ht="110" customHeight="1">
      <c r="A553" s="28" t="inlineStr">
        <is>
          <t>iFile</t>
        </is>
      </c>
      <c r="B553" s="29" t="inlineStr">
        <is>
          <t>Technology</t>
        </is>
      </c>
      <c r="C553" s="29" t="n">
        <v>2</v>
      </c>
      <c r="D553" s="29" t="inlineStr">
        <is>
          <t>IRIS1640</t>
        </is>
      </c>
      <c r="E553" s="29" t="inlineStr">
        <is>
          <t>Vivek Shinde</t>
        </is>
      </c>
      <c r="F553" s="29" t="inlineStr">
        <is>
          <t>Senior Software Engineer</t>
        </is>
      </c>
      <c r="G553" s="29" t="inlineStr">
        <is>
          <t>Technical Specialist – POD Lead</t>
        </is>
      </c>
      <c r="H553" s="29" t="inlineStr">
        <is>
          <t>Engineering &amp; Development</t>
        </is>
      </c>
      <c r="I553" s="29" t="inlineStr">
        <is>
          <t>Backend Development</t>
        </is>
      </c>
      <c r="J553" s="29" t="inlineStr">
        <is>
          <t>POD Lead</t>
        </is>
      </c>
      <c r="K553" s="29" t="inlineStr">
        <is>
          <t>RC-068</t>
        </is>
      </c>
      <c r="L553" s="29" t="inlineStr">
        <is>
          <t>Suman Kumar</t>
        </is>
      </c>
      <c r="M553" s="29" t="inlineStr">
        <is>
          <t>IRIS1689</t>
        </is>
      </c>
      <c r="N553" s="29" t="n">
        <v>9.4</v>
      </c>
      <c r="O553" s="29" t="n">
        <v>9.4</v>
      </c>
      <c r="P553" s="29" t="inlineStr">
        <is>
          <t>MMS</t>
        </is>
      </c>
      <c r="Q553" s="29" t="inlineStr">
        <is>
          <t>L4 – Senior</t>
        </is>
      </c>
      <c r="R553" s="29" t="inlineStr">
        <is>
          <t>B1</t>
        </is>
      </c>
      <c r="S553" s="30" t="inlineStr">
        <is>
          <t>20 of 20</t>
        </is>
      </c>
      <c r="T553" s="31"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t>
        </is>
      </c>
      <c r="U553"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553" s="31" t="inlineStr">
        <is>
          <t>Latest rating: 3 · Potential: Low · 9-box: Reliable Specialist · Readiness: Develop in role</t>
        </is>
      </c>
      <c r="W553" s="31" t="inlineStr">
        <is>
          <t>C M · Au M · Ac M · L M · BI M · Exp H · 9.4 yrs vs 4–7 yrs · Edu H · MMS</t>
        </is>
      </c>
      <c r="X553" s="33" t="inlineStr">
        <is>
          <t>Open ▸</t>
        </is>
      </c>
      <c r="Y553" s="34" t="str">
        <f>IFERROR(INDEX(DL_C,MATCH($CA553,DL_KEY,0)),"M")</f>
        <v>H</v>
      </c>
      <c r="Z553" s="35" t="str">
        <f>IFERROR(INDEX(DL_Au,MATCH($CA553,DL_KEY,0)),"M")</f>
        <v>M</v>
      </c>
      <c r="AA553" s="35" t="str">
        <f>IFERROR(INDEX(DL_Ac,MATCH($CA553,DL_KEY,0)),"M")</f>
        <v>L</v>
      </c>
      <c r="AB553" s="35" t="str">
        <f>IFERROR(INDEX(DL_L,MATCH($CA553,DL_KEY,0)),"M")</f>
        <v>L</v>
      </c>
      <c r="AC553" s="35" t="str">
        <f>IFERROR(INDEX(DL_BI,MATCH($CA553,DL_KEY,0)),"M")</f>
        <v>L</v>
      </c>
      <c r="AD553" s="35" t="str">
        <f>IFERROR(INDEX(DL_Exp,MATCH($CA553,DL_KEY,0)),"M")</f>
        <v>L</v>
      </c>
      <c r="AE553" s="35" t="str">
        <f>IFERROR(INDEX(DL_Edu,MATCH($CA553,DL_KEY,0)),"M")</f>
        <v>L</v>
      </c>
      <c r="AF553" s="34" t="inlineStr">
        <is>
          <t>M</t>
        </is>
      </c>
      <c r="AG553" s="35" t="inlineStr">
        <is>
          <t>M</t>
        </is>
      </c>
      <c r="AH553" s="35" t="inlineStr">
        <is>
          <t>M</t>
        </is>
      </c>
      <c r="AI553" s="35" t="inlineStr">
        <is>
          <t>M</t>
        </is>
      </c>
      <c r="AJ553" s="35" t="inlineStr">
        <is>
          <t>M</t>
        </is>
      </c>
      <c r="AK553" s="35" t="inlineStr">
        <is>
          <t>M</t>
        </is>
      </c>
      <c r="AL553" s="35" t="inlineStr">
        <is>
          <t>M</t>
        </is>
      </c>
      <c r="AM553" s="36" t="n">
        <v>0.513</v>
      </c>
      <c r="AN553" s="37" t="n">
        <v>0.173</v>
      </c>
      <c r="AO553" s="37" t="n">
        <v>0.09699999999999999</v>
      </c>
      <c r="AP553" s="37" t="n">
        <v>0.05</v>
      </c>
      <c r="AQ553" s="37" t="n">
        <v>0.07000000000000001</v>
      </c>
      <c r="AR553" s="37" t="n">
        <v>0.06</v>
      </c>
      <c r="AS553" s="37" t="n">
        <v>0.04</v>
      </c>
      <c r="AT553" s="38" t="inlineStr">
        <is>
          <t>4–8</t>
        </is>
      </c>
      <c r="AU553" s="38" t="inlineStr">
        <is>
          <t>Graduate + relevant qualification or certification preferred</t>
        </is>
      </c>
      <c r="AV553" s="38" t="inlineStr">
        <is>
          <t>IC: none · Team Lead: 3–5</t>
        </is>
      </c>
      <c r="AW553" s="38" t="inlineStr">
        <is>
          <t>P3 / M2 · SFIA 4 Enable</t>
        </is>
      </c>
      <c r="AX5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3" s="39" t="inlineStr">
        <is>
          <t>B1</t>
        </is>
      </c>
      <c r="AZ553" s="40" t="inlineStr">
        <is>
          <t>Band B · Specialist / Manager · Team Lead / Asst Manager</t>
        </is>
      </c>
      <c r="BA553" s="40" t="inlineStr">
        <is>
          <t>Model B1 from the six ratings, the market-derived weights and rules R1–R13 · then No change · already below the manager</t>
        </is>
      </c>
      <c r="BB553" s="41" t="inlineStr">
        <is>
          <t>B1</t>
        </is>
      </c>
      <c r="BC553" s="40" t="inlineStr">
        <is>
          <t>The six ratings on the market-average weights of Band B · Specialist / POD Lead score 3.89 → B1 · Hay, Mercer IPE and public plans · experience 9.4 yrs vs the B1 market range 4–8</t>
        </is>
      </c>
      <c r="BD553" s="42">
        <f>IF(SUM(BM553,BN553,BO553,BP553,BQ553,BR553,BS553)=0,0,(BM553*BT553+BN553*BU553+BO553*BV553+BP553*BW553+BQ553*BX553+BR553*BY553+BS553*BZ553)/SUM(BM553,BN553,BO553,BP553,BQ553,BR553,BS553))</f>
        <v>0</v>
      </c>
      <c r="BE553" s="41" t="str">
        <f>IF(LEFT(AY553,1)="X",AY553,IF(OR(AY553="B+",AY553="C+"),INDEX(LAD_PC,MAX(1,MIN(14,MATCH(AY553,LAD_PC,0)+IF(BD553&gt;=0.5,1,IF(BD553&lt;=-0.5,-1,0))))),INDEX(LAD_STD,MAX(1,MIN(12,MATCH(AY553,LAD_STD,0)+IF(BD553&gt;=0.5,1,IF(BD553&lt;=-0.5,-1,0)))))))</f>
        <v>B1</v>
      </c>
      <c r="BF553" s="43" t="n"/>
      <c r="BG553" s="41" t="str">
        <f>IF(BF553&lt;&gt;"",BF553,BE553)</f>
        <v>B1</v>
      </c>
      <c r="BH553" s="40" t="str">
        <f>IFERROR(CHOOSE(INDEX(B_RANK,MATCH(BG553,B_LVL,0)),"Band A","Band B","B+ · Player-Coach","Band C","C+ · Player-Coach","Band D","Band E"),"Band X · Consultant")</f>
        <v>Band B</v>
      </c>
      <c r="BI553" s="40" t="str">
        <f>IF(BG553=AY553,"• Same",IF(INDEX(B_VAL,MATCH(BG553,B_LVL,0))&gt;INDEX(B_VAL,MATCH(AY553,B_LVL,0)),"▲ Up","▼ Down"))</f>
        <v>• Same</v>
      </c>
      <c r="BJ553" s="40" t="str">
        <f>IF(OR($M553="",$M553="—",$M553="Not in this file"),"",IFERROR(INDEX($BG$7:$BG$592,MATCH($M553,$D$7:$D$592,0)),""))</f>
        <v>B+</v>
      </c>
      <c r="BK553" s="40" t="str">
        <f>IFERROR(IF(BJ553="","—",IF(OR(LEFT(BG553,1)="X",LEFT(BJ553,1)="X"),"—",IF(AND(LEFT(BG553,1)="E",LEFT(BJ553,1)="E"),"Exception · Band E",IF(AND(INDEX(B_VAL,MATCH(BJ553,B_LVL,0))&gt;=7,INDEX(B_RANK,MATCH(BG553,B_LVL,0))&gt;=INDEX(B_RANK,MATCH(BJ553,B_LVL,0))),"⚠ Same band as a head manager",IF(INDEX(B_VAL,MATCH(BG553,B_LVL,0))&gt;=INDEX(B_VAL,MATCH(BJ553,B_LVL,0)),"⚠ At or above the manager's level","OK"))))),"—")</f>
        <v>OK</v>
      </c>
      <c r="BL553" s="43" t="n"/>
      <c r="BM553" s="44">
        <f>IFERROR(INDEX(LMH_PTS,MATCH(Y553,LMH_KEY,0)),0)</f>
        <v>9</v>
      </c>
      <c r="BN553" s="38">
        <f>IFERROR(INDEX(LMH_PTS,MATCH(Z553,LMH_KEY,0)),0)</f>
        <v>3</v>
      </c>
      <c r="BO553" s="38">
        <f>IFERROR(INDEX(LMH_PTS,MATCH(AA553,LMH_KEY,0)),0)</f>
        <v>1</v>
      </c>
      <c r="BP553" s="38">
        <f>IFERROR(INDEX(LMH_PTS,MATCH(AB553,LMH_KEY,0)),0)</f>
        <v>1</v>
      </c>
      <c r="BQ553" s="38">
        <f>IFERROR(INDEX(LMH_PTS,MATCH(AC553,LMH_KEY,0)),0)</f>
        <v>1</v>
      </c>
      <c r="BR553" s="38">
        <f>IFERROR(INDEX(LMH_PTS,MATCH(AD553,LMH_KEY,0)),0)</f>
        <v>1</v>
      </c>
      <c r="BS553" s="38">
        <f>IFERROR(INDEX(LMH_PTS,MATCH(AE553,LMH_KEY,0)),0)</f>
        <v>1</v>
      </c>
      <c r="BT553" s="38">
        <f>IFERROR(INDEX(LMH_STEP,MATCH(AF553,LMH_KEY,0)),0)</f>
        <v>0</v>
      </c>
      <c r="BU553" s="38">
        <f>IFERROR(INDEX(LMH_STEP,MATCH(AG553,LMH_KEY,0)),0)</f>
        <v>0</v>
      </c>
      <c r="BV553" s="38">
        <f>IFERROR(INDEX(LMH_STEP,MATCH(AH553,LMH_KEY,0)),0)</f>
        <v>0</v>
      </c>
      <c r="BW553" s="38">
        <f>IFERROR(INDEX(LMH_STEP,MATCH(AI553,LMH_KEY,0)),0)</f>
        <v>0</v>
      </c>
      <c r="BX553" s="38">
        <f>IFERROR(INDEX(LMH_STEP,MATCH(AJ553,LMH_KEY,0)),0)</f>
        <v>0</v>
      </c>
      <c r="BY553" s="38">
        <f>IFERROR(INDEX(LMH_STEP,MATCH(AK553,LMH_KEY,0)),0)</f>
        <v>0</v>
      </c>
      <c r="BZ553" s="38">
        <f>IFERROR(INDEX(LMH_STEP,MATCH(AL553,LMH_KEY,0)),0)</f>
        <v>0</v>
      </c>
      <c r="CA553" s="38" t="inlineStr">
        <is>
          <t>iFile|Technology|Technical Specialist – POD Lead|B1|B-IC</t>
        </is>
      </c>
    </row>
    <row r="554" ht="110" customHeight="1">
      <c r="A554" s="28" t="inlineStr">
        <is>
          <t>iFile</t>
        </is>
      </c>
      <c r="B554" s="29" t="inlineStr">
        <is>
          <t>Technology</t>
        </is>
      </c>
      <c r="C554" s="29" t="n">
        <v>3</v>
      </c>
      <c r="D554" s="29" t="inlineStr">
        <is>
          <t>IRIS2194</t>
        </is>
      </c>
      <c r="E554" s="29" t="inlineStr">
        <is>
          <t>Sahil Chavan</t>
        </is>
      </c>
      <c r="F554" s="29" t="inlineStr">
        <is>
          <t>Software Engineer</t>
        </is>
      </c>
      <c r="G554" s="29" t="inlineStr">
        <is>
          <t>Senior Software Engineer</t>
        </is>
      </c>
      <c r="H554" s="29" t="inlineStr">
        <is>
          <t>Engineering &amp; Development</t>
        </is>
      </c>
      <c r="I554" s="29" t="inlineStr">
        <is>
          <t>Backend Development</t>
        </is>
      </c>
      <c r="J554" s="29" t="inlineStr">
        <is>
          <t>IC</t>
        </is>
      </c>
      <c r="K554" s="29" t="inlineStr">
        <is>
          <t>RC-067</t>
        </is>
      </c>
      <c r="L554" s="29" t="inlineStr">
        <is>
          <t>Vivek Shinde</t>
        </is>
      </c>
      <c r="M554" s="29" t="inlineStr">
        <is>
          <t>IRIS1640</t>
        </is>
      </c>
      <c r="N554" s="29" t="n">
        <v>5.2</v>
      </c>
      <c r="O554" s="29" t="n">
        <v>3</v>
      </c>
      <c r="P554" s="29" t="inlineStr">
        <is>
          <t>B.E</t>
        </is>
      </c>
      <c r="Q554" s="29" t="inlineStr">
        <is>
          <t>L3 – Professional / Associate</t>
        </is>
      </c>
      <c r="R554" s="29" t="inlineStr">
        <is>
          <t>A3</t>
        </is>
      </c>
      <c r="S554" s="30" t="inlineStr">
        <is>
          <t>19 of 20</t>
        </is>
      </c>
      <c r="T554" s="31"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t>
        </is>
      </c>
      <c r="U55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4" s="31" t="inlineStr">
        <is>
          <t>Latest rating: 3 · Potential: Medium · 9-box: Core Contributor · Readiness: Develop in role</t>
        </is>
      </c>
      <c r="W554" s="31" t="inlineStr">
        <is>
          <t>C M · Au L · Ac M · L L · BI M · Exp H · 5.2 yrs vs 2–4 yrs · Edu M · B.E</t>
        </is>
      </c>
      <c r="X554" s="33" t="inlineStr">
        <is>
          <t>Open ▸</t>
        </is>
      </c>
      <c r="Y554" s="34" t="str">
        <f>IFERROR(INDEX(DL_C,MATCH($CA554,DL_KEY,0)),"M")</f>
        <v>H</v>
      </c>
      <c r="Z554" s="35" t="str">
        <f>IFERROR(INDEX(DL_Au,MATCH($CA554,DL_KEY,0)),"M")</f>
        <v>M</v>
      </c>
      <c r="AA554" s="35" t="str">
        <f>IFERROR(INDEX(DL_Ac,MATCH($CA554,DL_KEY,0)),"M")</f>
        <v>L</v>
      </c>
      <c r="AB554" s="35" t="str">
        <f>IFERROR(INDEX(DL_L,MATCH($CA554,DL_KEY,0)),"M")</f>
        <v>L</v>
      </c>
      <c r="AC554" s="35" t="str">
        <f>IFERROR(INDEX(DL_BI,MATCH($CA554,DL_KEY,0)),"M")</f>
        <v>L</v>
      </c>
      <c r="AD554" s="35" t="str">
        <f>IFERROR(INDEX(DL_Exp,MATCH($CA554,DL_KEY,0)),"M")</f>
        <v>L</v>
      </c>
      <c r="AE554" s="35" t="str">
        <f>IFERROR(INDEX(DL_Edu,MATCH($CA554,DL_KEY,0)),"M")</f>
        <v>L</v>
      </c>
      <c r="AF554" s="34" t="inlineStr">
        <is>
          <t>M</t>
        </is>
      </c>
      <c r="AG554" s="35" t="inlineStr">
        <is>
          <t>M</t>
        </is>
      </c>
      <c r="AH554" s="35" t="inlineStr">
        <is>
          <t>M</t>
        </is>
      </c>
      <c r="AI554" s="35" t="inlineStr">
        <is>
          <t>M</t>
        </is>
      </c>
      <c r="AJ554" s="35" t="inlineStr">
        <is>
          <t>M</t>
        </is>
      </c>
      <c r="AK554" s="35" t="inlineStr">
        <is>
          <t>M</t>
        </is>
      </c>
      <c r="AL554" s="35" t="inlineStr">
        <is>
          <t>M</t>
        </is>
      </c>
      <c r="AM554" s="36" t="n">
        <v>0.583</v>
      </c>
      <c r="AN554" s="37" t="n">
        <v>0.16</v>
      </c>
      <c r="AO554" s="37" t="n">
        <v>0.09</v>
      </c>
      <c r="AP554" s="37" t="n">
        <v>0</v>
      </c>
      <c r="AQ554" s="37" t="n">
        <v>0.063</v>
      </c>
      <c r="AR554" s="37" t="n">
        <v>0.06</v>
      </c>
      <c r="AS554" s="37" t="n">
        <v>0.04</v>
      </c>
      <c r="AT554" s="38" t="inlineStr">
        <is>
          <t>2–5</t>
        </is>
      </c>
      <c r="AU554" s="38" t="inlineStr">
        <is>
          <t>Graduate; relevant certification preferred</t>
        </is>
      </c>
      <c r="AV554" s="38" t="inlineStr">
        <is>
          <t>None · guides 1–3 juniors informally</t>
        </is>
      </c>
      <c r="AW554" s="38" t="inlineStr">
        <is>
          <t>P2 · SFIA 3 Apply</t>
        </is>
      </c>
      <c r="AX5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4" s="39" t="inlineStr">
        <is>
          <t>A3</t>
        </is>
      </c>
      <c r="AZ554" s="40" t="inlineStr">
        <is>
          <t>Band A · Practitioner · Senior Associate</t>
        </is>
      </c>
      <c r="BA554" s="40" t="inlineStr">
        <is>
          <t>Model A3 from the six ratings, the market-derived weights and rules R1–R13 · then No change · already below the manager</t>
        </is>
      </c>
      <c r="BB554" s="41" t="inlineStr">
        <is>
          <t>A3</t>
        </is>
      </c>
      <c r="BC554" s="40" t="inlineStr">
        <is>
          <t>The six ratings on the market-average weights of Band A · all tracks score 2.60 → A3 · Hay, Mercer IPE and public plans · experience 5.2 yrs vs the A3 market range 2–5</t>
        </is>
      </c>
      <c r="BD554" s="42">
        <f>IF(SUM(BM554,BN554,BO554,BP554,BQ554,BR554,BS554)=0,0,(BM554*BT554+BN554*BU554+BO554*BV554+BP554*BW554+BQ554*BX554+BR554*BY554+BS554*BZ554)/SUM(BM554,BN554,BO554,BP554,BQ554,BR554,BS554))</f>
        <v>0</v>
      </c>
      <c r="BE554" s="41" t="str">
        <f>IF(LEFT(AY554,1)="X",AY554,IF(OR(AY554="B+",AY554="C+"),INDEX(LAD_PC,MAX(1,MIN(14,MATCH(AY554,LAD_PC,0)+IF(BD554&gt;=0.5,1,IF(BD554&lt;=-0.5,-1,0))))),INDEX(LAD_STD,MAX(1,MIN(12,MATCH(AY554,LAD_STD,0)+IF(BD554&gt;=0.5,1,IF(BD554&lt;=-0.5,-1,0)))))))</f>
        <v>A3</v>
      </c>
      <c r="BF554" s="43" t="n"/>
      <c r="BG554" s="41" t="str">
        <f>IF(BF554&lt;&gt;"",BF554,BE554)</f>
        <v>A3</v>
      </c>
      <c r="BH554" s="40" t="str">
        <f>IFERROR(CHOOSE(INDEX(B_RANK,MATCH(BG554,B_LVL,0)),"Band A","Band B","B+ · Player-Coach","Band C","C+ · Player-Coach","Band D","Band E"),"Band X · Consultant")</f>
        <v>Band A</v>
      </c>
      <c r="BI554" s="40" t="str">
        <f>IF(BG554=AY554,"• Same",IF(INDEX(B_VAL,MATCH(BG554,B_LVL,0))&gt;INDEX(B_VAL,MATCH(AY554,B_LVL,0)),"▲ Up","▼ Down"))</f>
        <v>• Same</v>
      </c>
      <c r="BJ554" s="40" t="str">
        <f>IF(OR($M554="",$M554="—",$M554="Not in this file"),"",IFERROR(INDEX($BG$7:$BG$592,MATCH($M554,$D$7:$D$592,0)),""))</f>
        <v>B1</v>
      </c>
      <c r="BK554" s="40" t="str">
        <f>IFERROR(IF(BJ554="","—",IF(OR(LEFT(BG554,1)="X",LEFT(BJ554,1)="X"),"—",IF(AND(LEFT(BG554,1)="E",LEFT(BJ554,1)="E"),"Exception · Band E",IF(AND(INDEX(B_VAL,MATCH(BJ554,B_LVL,0))&gt;=7,INDEX(B_RANK,MATCH(BG554,B_LVL,0))&gt;=INDEX(B_RANK,MATCH(BJ554,B_LVL,0))),"⚠ Same band as a head manager",IF(INDEX(B_VAL,MATCH(BG554,B_LVL,0))&gt;=INDEX(B_VAL,MATCH(BJ554,B_LVL,0)),"⚠ At or above the manager's level","OK"))))),"—")</f>
        <v>OK</v>
      </c>
      <c r="BL554" s="43" t="n"/>
      <c r="BM554" s="44">
        <f>IFERROR(INDEX(LMH_PTS,MATCH(Y554,LMH_KEY,0)),0)</f>
        <v>9</v>
      </c>
      <c r="BN554" s="38">
        <f>IFERROR(INDEX(LMH_PTS,MATCH(Z554,LMH_KEY,0)),0)</f>
        <v>3</v>
      </c>
      <c r="BO554" s="38">
        <f>IFERROR(INDEX(LMH_PTS,MATCH(AA554,LMH_KEY,0)),0)</f>
        <v>1</v>
      </c>
      <c r="BP554" s="38">
        <f>IFERROR(INDEX(LMH_PTS,MATCH(AB554,LMH_KEY,0)),0)</f>
        <v>1</v>
      </c>
      <c r="BQ554" s="38">
        <f>IFERROR(INDEX(LMH_PTS,MATCH(AC554,LMH_KEY,0)),0)</f>
        <v>1</v>
      </c>
      <c r="BR554" s="38">
        <f>IFERROR(INDEX(LMH_PTS,MATCH(AD554,LMH_KEY,0)),0)</f>
        <v>1</v>
      </c>
      <c r="BS554" s="38">
        <f>IFERROR(INDEX(LMH_PTS,MATCH(AE554,LMH_KEY,0)),0)</f>
        <v>1</v>
      </c>
      <c r="BT554" s="38">
        <f>IFERROR(INDEX(LMH_STEP,MATCH(AF554,LMH_KEY,0)),0)</f>
        <v>0</v>
      </c>
      <c r="BU554" s="38">
        <f>IFERROR(INDEX(LMH_STEP,MATCH(AG554,LMH_KEY,0)),0)</f>
        <v>0</v>
      </c>
      <c r="BV554" s="38">
        <f>IFERROR(INDEX(LMH_STEP,MATCH(AH554,LMH_KEY,0)),0)</f>
        <v>0</v>
      </c>
      <c r="BW554" s="38">
        <f>IFERROR(INDEX(LMH_STEP,MATCH(AI554,LMH_KEY,0)),0)</f>
        <v>0</v>
      </c>
      <c r="BX554" s="38">
        <f>IFERROR(INDEX(LMH_STEP,MATCH(AJ554,LMH_KEY,0)),0)</f>
        <v>0</v>
      </c>
      <c r="BY554" s="38">
        <f>IFERROR(INDEX(LMH_STEP,MATCH(AK554,LMH_KEY,0)),0)</f>
        <v>0</v>
      </c>
      <c r="BZ554" s="38">
        <f>IFERROR(INDEX(LMH_STEP,MATCH(AL554,LMH_KEY,0)),0)</f>
        <v>0</v>
      </c>
      <c r="CA554" s="38" t="inlineStr">
        <is>
          <t>iFile|Technology|Senior Software Engineer|A3|A</t>
        </is>
      </c>
    </row>
    <row r="555" ht="110" customHeight="1">
      <c r="A555" s="28" t="inlineStr">
        <is>
          <t>iFile</t>
        </is>
      </c>
      <c r="B555" s="29" t="inlineStr">
        <is>
          <t>Technology</t>
        </is>
      </c>
      <c r="C555" s="29" t="n">
        <v>3</v>
      </c>
      <c r="D555" s="29" t="inlineStr">
        <is>
          <t>IRIS2396</t>
        </is>
      </c>
      <c r="E555" s="29" t="inlineStr">
        <is>
          <t>Chirag Suryawanshi</t>
        </is>
      </c>
      <c r="F555" s="29" t="inlineStr">
        <is>
          <t>Trainee Software Engineer</t>
        </is>
      </c>
      <c r="G555" s="29" t="inlineStr">
        <is>
          <t>Software Engineer</t>
        </is>
      </c>
      <c r="H555" s="29" t="inlineStr">
        <is>
          <t>Engineering &amp; Development</t>
        </is>
      </c>
      <c r="I555" s="29" t="inlineStr">
        <is>
          <t>Backend Development</t>
        </is>
      </c>
      <c r="J555" s="29" t="inlineStr">
        <is>
          <t>IC</t>
        </is>
      </c>
      <c r="K555" s="29" t="inlineStr">
        <is>
          <t>RC-066</t>
        </is>
      </c>
      <c r="L555" s="29" t="inlineStr">
        <is>
          <t>Vivek Shinde</t>
        </is>
      </c>
      <c r="M555" s="29" t="inlineStr">
        <is>
          <t>IRIS1640</t>
        </is>
      </c>
      <c r="N555" s="29" t="n">
        <v>1.2</v>
      </c>
      <c r="O555" s="29" t="n">
        <v>1.2</v>
      </c>
      <c r="P555" s="29" t="inlineStr">
        <is>
          <t>B.Tech</t>
        </is>
      </c>
      <c r="Q555" s="29" t="inlineStr">
        <is>
          <t>L2 – Trainee</t>
        </is>
      </c>
      <c r="R555" s="29" t="inlineStr">
        <is>
          <t>A2</t>
        </is>
      </c>
      <c r="S555" s="30" t="inlineStr">
        <is>
          <t>18 of 20</t>
        </is>
      </c>
      <c r="T555" s="31" t="inlineStr">
        <is>
          <t>Business Impact: Moved +0.5: the survey / manager mapping marks it business-critical.</t>
        </is>
      </c>
      <c r="U55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5" s="31" t="inlineStr">
        <is>
          <t>Latest rating: 4 · Potential: High · 9-box: High Impact / Growth Talent · Readiness: Ready now</t>
        </is>
      </c>
      <c r="W555" s="31" t="inlineStr">
        <is>
          <t>C M · Au M · Ac M · L L · BI M · Exp M · 1.2 yrs vs 0–2 yrs · Edu M · B.Tech</t>
        </is>
      </c>
      <c r="X555" s="33" t="inlineStr">
        <is>
          <t>Open ▸</t>
        </is>
      </c>
      <c r="Y555" s="34" t="str">
        <f>IFERROR(INDEX(DL_C,MATCH($CA555,DL_KEY,0)),"M")</f>
        <v>H</v>
      </c>
      <c r="Z555" s="35" t="str">
        <f>IFERROR(INDEX(DL_Au,MATCH($CA555,DL_KEY,0)),"M")</f>
        <v>M</v>
      </c>
      <c r="AA555" s="35" t="str">
        <f>IFERROR(INDEX(DL_Ac,MATCH($CA555,DL_KEY,0)),"M")</f>
        <v>L</v>
      </c>
      <c r="AB555" s="35" t="str">
        <f>IFERROR(INDEX(DL_L,MATCH($CA555,DL_KEY,0)),"M")</f>
        <v>L</v>
      </c>
      <c r="AC555" s="35" t="str">
        <f>IFERROR(INDEX(DL_BI,MATCH($CA555,DL_KEY,0)),"M")</f>
        <v>L</v>
      </c>
      <c r="AD555" s="35" t="str">
        <f>IFERROR(INDEX(DL_Exp,MATCH($CA555,DL_KEY,0)),"M")</f>
        <v>L</v>
      </c>
      <c r="AE555" s="35" t="str">
        <f>IFERROR(INDEX(DL_Edu,MATCH($CA555,DL_KEY,0)),"M")</f>
        <v>L</v>
      </c>
      <c r="AF555" s="34" t="inlineStr">
        <is>
          <t>M</t>
        </is>
      </c>
      <c r="AG555" s="35" t="inlineStr">
        <is>
          <t>M</t>
        </is>
      </c>
      <c r="AH555" s="35" t="inlineStr">
        <is>
          <t>M</t>
        </is>
      </c>
      <c r="AI555" s="35" t="inlineStr">
        <is>
          <t>M</t>
        </is>
      </c>
      <c r="AJ555" s="35" t="inlineStr">
        <is>
          <t>M</t>
        </is>
      </c>
      <c r="AK555" s="35" t="inlineStr">
        <is>
          <t>M</t>
        </is>
      </c>
      <c r="AL555" s="35" t="inlineStr">
        <is>
          <t>M</t>
        </is>
      </c>
      <c r="AM555" s="36" t="n">
        <v>0.583</v>
      </c>
      <c r="AN555" s="37" t="n">
        <v>0.16</v>
      </c>
      <c r="AO555" s="37" t="n">
        <v>0.09</v>
      </c>
      <c r="AP555" s="37" t="n">
        <v>0</v>
      </c>
      <c r="AQ555" s="37" t="n">
        <v>0.063</v>
      </c>
      <c r="AR555" s="37" t="n">
        <v>0.06</v>
      </c>
      <c r="AS555" s="37" t="n">
        <v>0.04</v>
      </c>
      <c r="AT555" s="38" t="inlineStr">
        <is>
          <t>0–3</t>
        </is>
      </c>
      <c r="AU555" s="38" t="inlineStr">
        <is>
          <t>Graduate · or diploma with experience</t>
        </is>
      </c>
      <c r="AV555" s="38" t="inlineStr">
        <is>
          <t>No direct reports</t>
        </is>
      </c>
      <c r="AW555" s="38" t="inlineStr">
        <is>
          <t>P1–P2 · SFIA 2 Assist</t>
        </is>
      </c>
      <c r="AX5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5" s="39" t="inlineStr">
        <is>
          <t>A2</t>
        </is>
      </c>
      <c r="AZ555" s="40" t="inlineStr">
        <is>
          <t>Band A · Practitioner · Associate</t>
        </is>
      </c>
      <c r="BA555" s="40" t="inlineStr">
        <is>
          <t>Model A2 from the six ratings, the market-derived weights and rules R1–R13 · then No change · already below the manager</t>
        </is>
      </c>
      <c r="BB555" s="41" t="inlineStr">
        <is>
          <t>A2</t>
        </is>
      </c>
      <c r="BC555" s="40" t="inlineStr">
        <is>
          <t>The six ratings on the market-average weights of Band A · all tracks score 1.87 → A2 · Hay, Mercer IPE and public plans · experience 1.2 yrs vs the A2 market range 0–3</t>
        </is>
      </c>
      <c r="BD555" s="42">
        <f>IF(SUM(BM555,BN555,BO555,BP555,BQ555,BR555,BS555)=0,0,(BM555*BT555+BN555*BU555+BO555*BV555+BP555*BW555+BQ555*BX555+BR555*BY555+BS555*BZ555)/SUM(BM555,BN555,BO555,BP555,BQ555,BR555,BS555))</f>
        <v>0</v>
      </c>
      <c r="BE555" s="41" t="str">
        <f>IF(LEFT(AY555,1)="X",AY555,IF(OR(AY555="B+",AY555="C+"),INDEX(LAD_PC,MAX(1,MIN(14,MATCH(AY555,LAD_PC,0)+IF(BD555&gt;=0.5,1,IF(BD555&lt;=-0.5,-1,0))))),INDEX(LAD_STD,MAX(1,MIN(12,MATCH(AY555,LAD_STD,0)+IF(BD555&gt;=0.5,1,IF(BD555&lt;=-0.5,-1,0)))))))</f>
        <v>A2</v>
      </c>
      <c r="BF555" s="43" t="n"/>
      <c r="BG555" s="41" t="str">
        <f>IF(BF555&lt;&gt;"",BF555,BE555)</f>
        <v>A2</v>
      </c>
      <c r="BH555" s="40" t="str">
        <f>IFERROR(CHOOSE(INDEX(B_RANK,MATCH(BG555,B_LVL,0)),"Band A","Band B","B+ · Player-Coach","Band C","C+ · Player-Coach","Band D","Band E"),"Band X · Consultant")</f>
        <v>Band A</v>
      </c>
      <c r="BI555" s="40" t="str">
        <f>IF(BG555=AY555,"• Same",IF(INDEX(B_VAL,MATCH(BG555,B_LVL,0))&gt;INDEX(B_VAL,MATCH(AY555,B_LVL,0)),"▲ Up","▼ Down"))</f>
        <v>• Same</v>
      </c>
      <c r="BJ555" s="40" t="str">
        <f>IF(OR($M555="",$M555="—",$M555="Not in this file"),"",IFERROR(INDEX($BG$7:$BG$592,MATCH($M555,$D$7:$D$592,0)),""))</f>
        <v>B1</v>
      </c>
      <c r="BK555" s="40" t="str">
        <f>IFERROR(IF(BJ555="","—",IF(OR(LEFT(BG555,1)="X",LEFT(BJ555,1)="X"),"—",IF(AND(LEFT(BG555,1)="E",LEFT(BJ555,1)="E"),"Exception · Band E",IF(AND(INDEX(B_VAL,MATCH(BJ555,B_LVL,0))&gt;=7,INDEX(B_RANK,MATCH(BG555,B_LVL,0))&gt;=INDEX(B_RANK,MATCH(BJ555,B_LVL,0))),"⚠ Same band as a head manager",IF(INDEX(B_VAL,MATCH(BG555,B_LVL,0))&gt;=INDEX(B_VAL,MATCH(BJ555,B_LVL,0)),"⚠ At or above the manager's level","OK"))))),"—")</f>
        <v>OK</v>
      </c>
      <c r="BL555" s="43" t="n"/>
      <c r="BM555" s="44">
        <f>IFERROR(INDEX(LMH_PTS,MATCH(Y555,LMH_KEY,0)),0)</f>
        <v>9</v>
      </c>
      <c r="BN555" s="38">
        <f>IFERROR(INDEX(LMH_PTS,MATCH(Z555,LMH_KEY,0)),0)</f>
        <v>3</v>
      </c>
      <c r="BO555" s="38">
        <f>IFERROR(INDEX(LMH_PTS,MATCH(AA555,LMH_KEY,0)),0)</f>
        <v>1</v>
      </c>
      <c r="BP555" s="38">
        <f>IFERROR(INDEX(LMH_PTS,MATCH(AB555,LMH_KEY,0)),0)</f>
        <v>1</v>
      </c>
      <c r="BQ555" s="38">
        <f>IFERROR(INDEX(LMH_PTS,MATCH(AC555,LMH_KEY,0)),0)</f>
        <v>1</v>
      </c>
      <c r="BR555" s="38">
        <f>IFERROR(INDEX(LMH_PTS,MATCH(AD555,LMH_KEY,0)),0)</f>
        <v>1</v>
      </c>
      <c r="BS555" s="38">
        <f>IFERROR(INDEX(LMH_PTS,MATCH(AE555,LMH_KEY,0)),0)</f>
        <v>1</v>
      </c>
      <c r="BT555" s="38">
        <f>IFERROR(INDEX(LMH_STEP,MATCH(AF555,LMH_KEY,0)),0)</f>
        <v>0</v>
      </c>
      <c r="BU555" s="38">
        <f>IFERROR(INDEX(LMH_STEP,MATCH(AG555,LMH_KEY,0)),0)</f>
        <v>0</v>
      </c>
      <c r="BV555" s="38">
        <f>IFERROR(INDEX(LMH_STEP,MATCH(AH555,LMH_KEY,0)),0)</f>
        <v>0</v>
      </c>
      <c r="BW555" s="38">
        <f>IFERROR(INDEX(LMH_STEP,MATCH(AI555,LMH_KEY,0)),0)</f>
        <v>0</v>
      </c>
      <c r="BX555" s="38">
        <f>IFERROR(INDEX(LMH_STEP,MATCH(AJ555,LMH_KEY,0)),0)</f>
        <v>0</v>
      </c>
      <c r="BY555" s="38">
        <f>IFERROR(INDEX(LMH_STEP,MATCH(AK555,LMH_KEY,0)),0)</f>
        <v>0</v>
      </c>
      <c r="BZ555" s="38">
        <f>IFERROR(INDEX(LMH_STEP,MATCH(AL555,LMH_KEY,0)),0)</f>
        <v>0</v>
      </c>
      <c r="CA555" s="38" t="inlineStr">
        <is>
          <t>iFile|Technology|Software Engineer|A2|A</t>
        </is>
      </c>
    </row>
    <row r="556" ht="110" customHeight="1">
      <c r="A556" s="28" t="inlineStr">
        <is>
          <t>iFile</t>
        </is>
      </c>
      <c r="B556" s="29" t="inlineStr">
        <is>
          <t>Technology</t>
        </is>
      </c>
      <c r="C556" s="29" t="n">
        <v>3</v>
      </c>
      <c r="D556" s="29" t="inlineStr">
        <is>
          <t>IRIS2255</t>
        </is>
      </c>
      <c r="E556" s="29" t="inlineStr">
        <is>
          <t>Tanay Hisariya</t>
        </is>
      </c>
      <c r="F556" s="29" t="inlineStr">
        <is>
          <t>Trainee Software Engineer</t>
        </is>
      </c>
      <c r="G556" s="29" t="inlineStr">
        <is>
          <t>Software Engineer</t>
        </is>
      </c>
      <c r="H556" s="29" t="inlineStr">
        <is>
          <t>Engineering &amp; Development</t>
        </is>
      </c>
      <c r="I556" s="29" t="inlineStr">
        <is>
          <t>Full-Stack Development</t>
        </is>
      </c>
      <c r="J556" s="29" t="inlineStr">
        <is>
          <t>IC</t>
        </is>
      </c>
      <c r="K556" s="29" t="inlineStr">
        <is>
          <t>RC-084</t>
        </is>
      </c>
      <c r="L556" s="29" t="inlineStr">
        <is>
          <t>Vivek Shinde</t>
        </is>
      </c>
      <c r="M556" s="29" t="inlineStr">
        <is>
          <t>IRIS1640</t>
        </is>
      </c>
      <c r="N556" s="29" t="n">
        <v>2.3</v>
      </c>
      <c r="O556" s="29" t="n">
        <v>2.3</v>
      </c>
      <c r="P556" s="29" t="inlineStr">
        <is>
          <t>B.E</t>
        </is>
      </c>
      <c r="Q556" s="29" t="inlineStr">
        <is>
          <t>L2 – Trainee</t>
        </is>
      </c>
      <c r="R556" s="29" t="inlineStr">
        <is>
          <t>A2</t>
        </is>
      </c>
      <c r="S556" s="30" t="inlineStr">
        <is>
          <t>20 of 20</t>
        </is>
      </c>
      <c r="T556" s="31"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t>
        </is>
      </c>
      <c r="U55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6" s="31" t="inlineStr">
        <is>
          <t>Latest rating: 4 · Potential: High · 9-box: High Impact / Growth Talent · Readiness: Ready now</t>
        </is>
      </c>
      <c r="W556" s="31" t="inlineStr">
        <is>
          <t>C M · Au M · Ac M · L L · BI M · Exp H · 2.3 yrs vs 0–2 yrs · Edu M · B.E</t>
        </is>
      </c>
      <c r="X556" s="33" t="inlineStr">
        <is>
          <t>Open ▸</t>
        </is>
      </c>
      <c r="Y556" s="34" t="str">
        <f>IFERROR(INDEX(DL_C,MATCH($CA556,DL_KEY,0)),"M")</f>
        <v>H</v>
      </c>
      <c r="Z556" s="35" t="str">
        <f>IFERROR(INDEX(DL_Au,MATCH($CA556,DL_KEY,0)),"M")</f>
        <v>M</v>
      </c>
      <c r="AA556" s="35" t="str">
        <f>IFERROR(INDEX(DL_Ac,MATCH($CA556,DL_KEY,0)),"M")</f>
        <v>L</v>
      </c>
      <c r="AB556" s="35" t="str">
        <f>IFERROR(INDEX(DL_L,MATCH($CA556,DL_KEY,0)),"M")</f>
        <v>L</v>
      </c>
      <c r="AC556" s="35" t="str">
        <f>IFERROR(INDEX(DL_BI,MATCH($CA556,DL_KEY,0)),"M")</f>
        <v>L</v>
      </c>
      <c r="AD556" s="35" t="str">
        <f>IFERROR(INDEX(DL_Exp,MATCH($CA556,DL_KEY,0)),"M")</f>
        <v>L</v>
      </c>
      <c r="AE556" s="35" t="str">
        <f>IFERROR(INDEX(DL_Edu,MATCH($CA556,DL_KEY,0)),"M")</f>
        <v>L</v>
      </c>
      <c r="AF556" s="34" t="inlineStr">
        <is>
          <t>M</t>
        </is>
      </c>
      <c r="AG556" s="35" t="inlineStr">
        <is>
          <t>M</t>
        </is>
      </c>
      <c r="AH556" s="35" t="inlineStr">
        <is>
          <t>M</t>
        </is>
      </c>
      <c r="AI556" s="35" t="inlineStr">
        <is>
          <t>M</t>
        </is>
      </c>
      <c r="AJ556" s="35" t="inlineStr">
        <is>
          <t>M</t>
        </is>
      </c>
      <c r="AK556" s="35" t="inlineStr">
        <is>
          <t>M</t>
        </is>
      </c>
      <c r="AL556" s="35" t="inlineStr">
        <is>
          <t>M</t>
        </is>
      </c>
      <c r="AM556" s="36" t="n">
        <v>0.583</v>
      </c>
      <c r="AN556" s="37" t="n">
        <v>0.16</v>
      </c>
      <c r="AO556" s="37" t="n">
        <v>0.09</v>
      </c>
      <c r="AP556" s="37" t="n">
        <v>0</v>
      </c>
      <c r="AQ556" s="37" t="n">
        <v>0.063</v>
      </c>
      <c r="AR556" s="37" t="n">
        <v>0.06</v>
      </c>
      <c r="AS556" s="37" t="n">
        <v>0.04</v>
      </c>
      <c r="AT556" s="38" t="inlineStr">
        <is>
          <t>0–3</t>
        </is>
      </c>
      <c r="AU556" s="38" t="inlineStr">
        <is>
          <t>Graduate · or diploma with experience</t>
        </is>
      </c>
      <c r="AV556" s="38" t="inlineStr">
        <is>
          <t>No direct reports</t>
        </is>
      </c>
      <c r="AW556" s="38" t="inlineStr">
        <is>
          <t>P1–P2 · SFIA 2 Assist</t>
        </is>
      </c>
      <c r="AX5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6" s="39" t="inlineStr">
        <is>
          <t>A2</t>
        </is>
      </c>
      <c r="AZ556" s="40" t="inlineStr">
        <is>
          <t>Band A · Practitioner · Associate</t>
        </is>
      </c>
      <c r="BA556" s="40" t="inlineStr">
        <is>
          <t>Model A2 from the six ratings, the market-derived weights and rules R1–R13 · then No change · already below the manager</t>
        </is>
      </c>
      <c r="BB556" s="41" t="inlineStr">
        <is>
          <t>A2</t>
        </is>
      </c>
      <c r="BC556" s="40" t="inlineStr">
        <is>
          <t>The six ratings on the market-average weights of Band A · all tracks score 1.66 → A2 · Hay, Mercer IPE and public plans · experience 2.3 yrs vs the A2 market range 0–3</t>
        </is>
      </c>
      <c r="BD556" s="42">
        <f>IF(SUM(BM556,BN556,BO556,BP556,BQ556,BR556,BS556)=0,0,(BM556*BT556+BN556*BU556+BO556*BV556+BP556*BW556+BQ556*BX556+BR556*BY556+BS556*BZ556)/SUM(BM556,BN556,BO556,BP556,BQ556,BR556,BS556))</f>
        <v>0</v>
      </c>
      <c r="BE556" s="41" t="str">
        <f>IF(LEFT(AY556,1)="X",AY556,IF(OR(AY556="B+",AY556="C+"),INDEX(LAD_PC,MAX(1,MIN(14,MATCH(AY556,LAD_PC,0)+IF(BD556&gt;=0.5,1,IF(BD556&lt;=-0.5,-1,0))))),INDEX(LAD_STD,MAX(1,MIN(12,MATCH(AY556,LAD_STD,0)+IF(BD556&gt;=0.5,1,IF(BD556&lt;=-0.5,-1,0)))))))</f>
        <v>A2</v>
      </c>
      <c r="BF556" s="43" t="n"/>
      <c r="BG556" s="41" t="str">
        <f>IF(BF556&lt;&gt;"",BF556,BE556)</f>
        <v>A2</v>
      </c>
      <c r="BH556" s="40" t="str">
        <f>IFERROR(CHOOSE(INDEX(B_RANK,MATCH(BG556,B_LVL,0)),"Band A","Band B","B+ · Player-Coach","Band C","C+ · Player-Coach","Band D","Band E"),"Band X · Consultant")</f>
        <v>Band A</v>
      </c>
      <c r="BI556" s="40" t="str">
        <f>IF(BG556=AY556,"• Same",IF(INDEX(B_VAL,MATCH(BG556,B_LVL,0))&gt;INDEX(B_VAL,MATCH(AY556,B_LVL,0)),"▲ Up","▼ Down"))</f>
        <v>• Same</v>
      </c>
      <c r="BJ556" s="40" t="str">
        <f>IF(OR($M556="",$M556="—",$M556="Not in this file"),"",IFERROR(INDEX($BG$7:$BG$592,MATCH($M556,$D$7:$D$592,0)),""))</f>
        <v>B1</v>
      </c>
      <c r="BK556" s="40" t="str">
        <f>IFERROR(IF(BJ556="","—",IF(OR(LEFT(BG556,1)="X",LEFT(BJ556,1)="X"),"—",IF(AND(LEFT(BG556,1)="E",LEFT(BJ556,1)="E"),"Exception · Band E",IF(AND(INDEX(B_VAL,MATCH(BJ556,B_LVL,0))&gt;=7,INDEX(B_RANK,MATCH(BG556,B_LVL,0))&gt;=INDEX(B_RANK,MATCH(BJ556,B_LVL,0))),"⚠ Same band as a head manager",IF(INDEX(B_VAL,MATCH(BG556,B_LVL,0))&gt;=INDEX(B_VAL,MATCH(BJ556,B_LVL,0)),"⚠ At or above the manager's level","OK"))))),"—")</f>
        <v>OK</v>
      </c>
      <c r="BL556" s="43" t="n"/>
      <c r="BM556" s="44">
        <f>IFERROR(INDEX(LMH_PTS,MATCH(Y556,LMH_KEY,0)),0)</f>
        <v>9</v>
      </c>
      <c r="BN556" s="38">
        <f>IFERROR(INDEX(LMH_PTS,MATCH(Z556,LMH_KEY,0)),0)</f>
        <v>3</v>
      </c>
      <c r="BO556" s="38">
        <f>IFERROR(INDEX(LMH_PTS,MATCH(AA556,LMH_KEY,0)),0)</f>
        <v>1</v>
      </c>
      <c r="BP556" s="38">
        <f>IFERROR(INDEX(LMH_PTS,MATCH(AB556,LMH_KEY,0)),0)</f>
        <v>1</v>
      </c>
      <c r="BQ556" s="38">
        <f>IFERROR(INDEX(LMH_PTS,MATCH(AC556,LMH_KEY,0)),0)</f>
        <v>1</v>
      </c>
      <c r="BR556" s="38">
        <f>IFERROR(INDEX(LMH_PTS,MATCH(AD556,LMH_KEY,0)),0)</f>
        <v>1</v>
      </c>
      <c r="BS556" s="38">
        <f>IFERROR(INDEX(LMH_PTS,MATCH(AE556,LMH_KEY,0)),0)</f>
        <v>1</v>
      </c>
      <c r="BT556" s="38">
        <f>IFERROR(INDEX(LMH_STEP,MATCH(AF556,LMH_KEY,0)),0)</f>
        <v>0</v>
      </c>
      <c r="BU556" s="38">
        <f>IFERROR(INDEX(LMH_STEP,MATCH(AG556,LMH_KEY,0)),0)</f>
        <v>0</v>
      </c>
      <c r="BV556" s="38">
        <f>IFERROR(INDEX(LMH_STEP,MATCH(AH556,LMH_KEY,0)),0)</f>
        <v>0</v>
      </c>
      <c r="BW556" s="38">
        <f>IFERROR(INDEX(LMH_STEP,MATCH(AI556,LMH_KEY,0)),0)</f>
        <v>0</v>
      </c>
      <c r="BX556" s="38">
        <f>IFERROR(INDEX(LMH_STEP,MATCH(AJ556,LMH_KEY,0)),0)</f>
        <v>0</v>
      </c>
      <c r="BY556" s="38">
        <f>IFERROR(INDEX(LMH_STEP,MATCH(AK556,LMH_KEY,0)),0)</f>
        <v>0</v>
      </c>
      <c r="BZ556" s="38">
        <f>IFERROR(INDEX(LMH_STEP,MATCH(AL556,LMH_KEY,0)),0)</f>
        <v>0</v>
      </c>
      <c r="CA556" s="38" t="inlineStr">
        <is>
          <t>iFile|Technology|Software Engineer|A2|A</t>
        </is>
      </c>
    </row>
    <row r="557" ht="110" customHeight="1">
      <c r="A557" s="28" t="inlineStr">
        <is>
          <t>iFile</t>
        </is>
      </c>
      <c r="B557" s="29" t="inlineStr">
        <is>
          <t>Technology</t>
        </is>
      </c>
      <c r="C557" s="29" t="n">
        <v>2</v>
      </c>
      <c r="D557" s="29" t="inlineStr">
        <is>
          <t>IRIS2132</t>
        </is>
      </c>
      <c r="E557" s="29" t="inlineStr">
        <is>
          <t>Shubham Mhadgut</t>
        </is>
      </c>
      <c r="F557" s="29" t="inlineStr">
        <is>
          <t>Software Engineer</t>
        </is>
      </c>
      <c r="G557" s="29" t="inlineStr">
        <is>
          <t>Senior Software Engineer</t>
        </is>
      </c>
      <c r="H557" s="29" t="inlineStr">
        <is>
          <t>Engineering &amp; Development</t>
        </is>
      </c>
      <c r="I557" s="29" t="inlineStr">
        <is>
          <t>Backend Development</t>
        </is>
      </c>
      <c r="J557" s="29" t="inlineStr">
        <is>
          <t>IC</t>
        </is>
      </c>
      <c r="K557" s="29" t="inlineStr">
        <is>
          <t>RC-067</t>
        </is>
      </c>
      <c r="L557" s="29" t="inlineStr">
        <is>
          <t>Suman Kumar</t>
        </is>
      </c>
      <c r="M557" s="29" t="inlineStr">
        <is>
          <t>IRIS1689</t>
        </is>
      </c>
      <c r="N557" s="29" t="n">
        <v>6.3</v>
      </c>
      <c r="O557" s="29" t="n">
        <v>3.4</v>
      </c>
      <c r="P557" s="29" t="inlineStr">
        <is>
          <t>B.Tech</t>
        </is>
      </c>
      <c r="Q557" s="29" t="inlineStr">
        <is>
          <t>L3 – Professional / Associate</t>
        </is>
      </c>
      <c r="R557" s="29" t="inlineStr">
        <is>
          <t>A3</t>
        </is>
      </c>
      <c r="S557" s="30" t="inlineStr">
        <is>
          <t>20 of 20</t>
        </is>
      </c>
      <c r="T557" s="31"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t>
        </is>
      </c>
      <c r="U55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7" s="31" t="inlineStr">
        <is>
          <t>Latest rating: 4 · Potential: High · 9-box: Emerging Talent · Readiness: Ready now</t>
        </is>
      </c>
      <c r="W557" s="31" t="inlineStr">
        <is>
          <t>C M · Au M · Ac M · L L · BI M · Exp H · 6.3 yrs vs 2–4 yrs · Edu M · B.Tech</t>
        </is>
      </c>
      <c r="X557" s="33" t="inlineStr">
        <is>
          <t>Open ▸</t>
        </is>
      </c>
      <c r="Y557" s="34" t="str">
        <f>IFERROR(INDEX(DL_C,MATCH($CA557,DL_KEY,0)),"M")</f>
        <v>H</v>
      </c>
      <c r="Z557" s="35" t="str">
        <f>IFERROR(INDEX(DL_Au,MATCH($CA557,DL_KEY,0)),"M")</f>
        <v>M</v>
      </c>
      <c r="AA557" s="35" t="str">
        <f>IFERROR(INDEX(DL_Ac,MATCH($CA557,DL_KEY,0)),"M")</f>
        <v>L</v>
      </c>
      <c r="AB557" s="35" t="str">
        <f>IFERROR(INDEX(DL_L,MATCH($CA557,DL_KEY,0)),"M")</f>
        <v>L</v>
      </c>
      <c r="AC557" s="35" t="str">
        <f>IFERROR(INDEX(DL_BI,MATCH($CA557,DL_KEY,0)),"M")</f>
        <v>L</v>
      </c>
      <c r="AD557" s="35" t="str">
        <f>IFERROR(INDEX(DL_Exp,MATCH($CA557,DL_KEY,0)),"M")</f>
        <v>L</v>
      </c>
      <c r="AE557" s="35" t="str">
        <f>IFERROR(INDEX(DL_Edu,MATCH($CA557,DL_KEY,0)),"M")</f>
        <v>L</v>
      </c>
      <c r="AF557" s="34" t="inlineStr">
        <is>
          <t>M</t>
        </is>
      </c>
      <c r="AG557" s="35" t="inlineStr">
        <is>
          <t>M</t>
        </is>
      </c>
      <c r="AH557" s="35" t="inlineStr">
        <is>
          <t>M</t>
        </is>
      </c>
      <c r="AI557" s="35" t="inlineStr">
        <is>
          <t>M</t>
        </is>
      </c>
      <c r="AJ557" s="35" t="inlineStr">
        <is>
          <t>M</t>
        </is>
      </c>
      <c r="AK557" s="35" t="inlineStr">
        <is>
          <t>M</t>
        </is>
      </c>
      <c r="AL557" s="35" t="inlineStr">
        <is>
          <t>M</t>
        </is>
      </c>
      <c r="AM557" s="36" t="n">
        <v>0.583</v>
      </c>
      <c r="AN557" s="37" t="n">
        <v>0.16</v>
      </c>
      <c r="AO557" s="37" t="n">
        <v>0.09</v>
      </c>
      <c r="AP557" s="37" t="n">
        <v>0</v>
      </c>
      <c r="AQ557" s="37" t="n">
        <v>0.063</v>
      </c>
      <c r="AR557" s="37" t="n">
        <v>0.06</v>
      </c>
      <c r="AS557" s="37" t="n">
        <v>0.04</v>
      </c>
      <c r="AT557" s="38" t="inlineStr">
        <is>
          <t>2–5</t>
        </is>
      </c>
      <c r="AU557" s="38" t="inlineStr">
        <is>
          <t>Graduate; relevant certification preferred</t>
        </is>
      </c>
      <c r="AV557" s="38" t="inlineStr">
        <is>
          <t>None · guides 1–3 juniors informally</t>
        </is>
      </c>
      <c r="AW557" s="38" t="inlineStr">
        <is>
          <t>P2 · SFIA 3 Apply</t>
        </is>
      </c>
      <c r="AX5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7" s="39" t="inlineStr">
        <is>
          <t>A3</t>
        </is>
      </c>
      <c r="AZ557" s="40" t="inlineStr">
        <is>
          <t>Band A · Practitioner · Senior Associate</t>
        </is>
      </c>
      <c r="BA557" s="40" t="inlineStr">
        <is>
          <t>Model A3 from the six ratings, the market-derived weights and rules R1–R13 · then No change · already below the manager</t>
        </is>
      </c>
      <c r="BB557" s="41" t="inlineStr">
        <is>
          <t>A3</t>
        </is>
      </c>
      <c r="BC557" s="40" t="inlineStr">
        <is>
          <t>The six ratings on the market-average weights of Band A · all tracks score 2.73 → A3 · Hay, Mercer IPE and public plans · experience 6.3 yrs vs the A3 market range 2–5</t>
        </is>
      </c>
      <c r="BD557" s="42">
        <f>IF(SUM(BM557,BN557,BO557,BP557,BQ557,BR557,BS557)=0,0,(BM557*BT557+BN557*BU557+BO557*BV557+BP557*BW557+BQ557*BX557+BR557*BY557+BS557*BZ557)/SUM(BM557,BN557,BO557,BP557,BQ557,BR557,BS557))</f>
        <v>0</v>
      </c>
      <c r="BE557" s="41" t="str">
        <f>IF(LEFT(AY557,1)="X",AY557,IF(OR(AY557="B+",AY557="C+"),INDEX(LAD_PC,MAX(1,MIN(14,MATCH(AY557,LAD_PC,0)+IF(BD557&gt;=0.5,1,IF(BD557&lt;=-0.5,-1,0))))),INDEX(LAD_STD,MAX(1,MIN(12,MATCH(AY557,LAD_STD,0)+IF(BD557&gt;=0.5,1,IF(BD557&lt;=-0.5,-1,0)))))))</f>
        <v>A3</v>
      </c>
      <c r="BF557" s="43" t="n"/>
      <c r="BG557" s="41" t="str">
        <f>IF(BF557&lt;&gt;"",BF557,BE557)</f>
        <v>A3</v>
      </c>
      <c r="BH557" s="40" t="str">
        <f>IFERROR(CHOOSE(INDEX(B_RANK,MATCH(BG557,B_LVL,0)),"Band A","Band B","B+ · Player-Coach","Band C","C+ · Player-Coach","Band D","Band E"),"Band X · Consultant")</f>
        <v>Band A</v>
      </c>
      <c r="BI557" s="40" t="str">
        <f>IF(BG557=AY557,"• Same",IF(INDEX(B_VAL,MATCH(BG557,B_LVL,0))&gt;INDEX(B_VAL,MATCH(AY557,B_LVL,0)),"▲ Up","▼ Down"))</f>
        <v>• Same</v>
      </c>
      <c r="BJ557" s="40" t="str">
        <f>IF(OR($M557="",$M557="—",$M557="Not in this file"),"",IFERROR(INDEX($BG$7:$BG$592,MATCH($M557,$D$7:$D$592,0)),""))</f>
        <v>B+</v>
      </c>
      <c r="BK557" s="40" t="str">
        <f>IFERROR(IF(BJ557="","—",IF(OR(LEFT(BG557,1)="X",LEFT(BJ557,1)="X"),"—",IF(AND(LEFT(BG557,1)="E",LEFT(BJ557,1)="E"),"Exception · Band E",IF(AND(INDEX(B_VAL,MATCH(BJ557,B_LVL,0))&gt;=7,INDEX(B_RANK,MATCH(BG557,B_LVL,0))&gt;=INDEX(B_RANK,MATCH(BJ557,B_LVL,0))),"⚠ Same band as a head manager",IF(INDEX(B_VAL,MATCH(BG557,B_LVL,0))&gt;=INDEX(B_VAL,MATCH(BJ557,B_LVL,0)),"⚠ At or above the manager's level","OK"))))),"—")</f>
        <v>OK</v>
      </c>
      <c r="BL557" s="43" t="n"/>
      <c r="BM557" s="44">
        <f>IFERROR(INDEX(LMH_PTS,MATCH(Y557,LMH_KEY,0)),0)</f>
        <v>9</v>
      </c>
      <c r="BN557" s="38">
        <f>IFERROR(INDEX(LMH_PTS,MATCH(Z557,LMH_KEY,0)),0)</f>
        <v>3</v>
      </c>
      <c r="BO557" s="38">
        <f>IFERROR(INDEX(LMH_PTS,MATCH(AA557,LMH_KEY,0)),0)</f>
        <v>1</v>
      </c>
      <c r="BP557" s="38">
        <f>IFERROR(INDEX(LMH_PTS,MATCH(AB557,LMH_KEY,0)),0)</f>
        <v>1</v>
      </c>
      <c r="BQ557" s="38">
        <f>IFERROR(INDEX(LMH_PTS,MATCH(AC557,LMH_KEY,0)),0)</f>
        <v>1</v>
      </c>
      <c r="BR557" s="38">
        <f>IFERROR(INDEX(LMH_PTS,MATCH(AD557,LMH_KEY,0)),0)</f>
        <v>1</v>
      </c>
      <c r="BS557" s="38">
        <f>IFERROR(INDEX(LMH_PTS,MATCH(AE557,LMH_KEY,0)),0)</f>
        <v>1</v>
      </c>
      <c r="BT557" s="38">
        <f>IFERROR(INDEX(LMH_STEP,MATCH(AF557,LMH_KEY,0)),0)</f>
        <v>0</v>
      </c>
      <c r="BU557" s="38">
        <f>IFERROR(INDEX(LMH_STEP,MATCH(AG557,LMH_KEY,0)),0)</f>
        <v>0</v>
      </c>
      <c r="BV557" s="38">
        <f>IFERROR(INDEX(LMH_STEP,MATCH(AH557,LMH_KEY,0)),0)</f>
        <v>0</v>
      </c>
      <c r="BW557" s="38">
        <f>IFERROR(INDEX(LMH_STEP,MATCH(AI557,LMH_KEY,0)),0)</f>
        <v>0</v>
      </c>
      <c r="BX557" s="38">
        <f>IFERROR(INDEX(LMH_STEP,MATCH(AJ557,LMH_KEY,0)),0)</f>
        <v>0</v>
      </c>
      <c r="BY557" s="38">
        <f>IFERROR(INDEX(LMH_STEP,MATCH(AK557,LMH_KEY,0)),0)</f>
        <v>0</v>
      </c>
      <c r="BZ557" s="38">
        <f>IFERROR(INDEX(LMH_STEP,MATCH(AL557,LMH_KEY,0)),0)</f>
        <v>0</v>
      </c>
      <c r="CA557" s="38" t="inlineStr">
        <is>
          <t>iFile|Technology|Senior Software Engineer|A3|A</t>
        </is>
      </c>
    </row>
    <row r="558" ht="110" customHeight="1">
      <c r="A558" s="28" t="inlineStr">
        <is>
          <t>iFile</t>
        </is>
      </c>
      <c r="B558" s="29" t="inlineStr">
        <is>
          <t>Technology</t>
        </is>
      </c>
      <c r="C558" s="29" t="n">
        <v>2</v>
      </c>
      <c r="D558" s="29" t="inlineStr">
        <is>
          <t>IRIS2295</t>
        </is>
      </c>
      <c r="E558" s="29" t="inlineStr">
        <is>
          <t>Sourav Moharana</t>
        </is>
      </c>
      <c r="F558" s="29" t="inlineStr">
        <is>
          <t>Software Engineer</t>
        </is>
      </c>
      <c r="G558" s="29" t="inlineStr">
        <is>
          <t>Senior Software Engineer</t>
        </is>
      </c>
      <c r="H558" s="29" t="inlineStr">
        <is>
          <t>Engineering &amp; Development</t>
        </is>
      </c>
      <c r="I558" s="29" t="inlineStr">
        <is>
          <t>Backend Development</t>
        </is>
      </c>
      <c r="J558" s="29" t="inlineStr">
        <is>
          <t>IC</t>
        </is>
      </c>
      <c r="K558" s="29" t="inlineStr">
        <is>
          <t>RC-067</t>
        </is>
      </c>
      <c r="L558" s="29" t="inlineStr">
        <is>
          <t>Suman Kumar</t>
        </is>
      </c>
      <c r="M558" s="29" t="inlineStr">
        <is>
          <t>IRIS1689</t>
        </is>
      </c>
      <c r="N558" s="29" t="n">
        <v>5.2</v>
      </c>
      <c r="O558" s="29" t="n">
        <v>2.2</v>
      </c>
      <c r="P558" s="29" t="inlineStr">
        <is>
          <t>B.Tech</t>
        </is>
      </c>
      <c r="Q558" s="29" t="inlineStr">
        <is>
          <t>L3 – Professional / Associate</t>
        </is>
      </c>
      <c r="R558" s="29" t="inlineStr">
        <is>
          <t>A3</t>
        </is>
      </c>
      <c r="S558" s="30" t="inlineStr">
        <is>
          <t>20 of 20</t>
        </is>
      </c>
      <c r="T558" s="31" t="inlineStr">
        <is>
          <t>Business Impact: Moved +0.5: the survey / manager mapping marks it business-critical.</t>
        </is>
      </c>
      <c r="U55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8" s="31" t="inlineStr">
        <is>
          <t>Latest rating: 4 · Potential: High · 9-box: Trusted Professional · Readiness: Ready now</t>
        </is>
      </c>
      <c r="W558" s="31" t="inlineStr">
        <is>
          <t>C M · Au L · Ac M · L L · BI M · Exp H · 5.2 yrs vs 2–4 yrs · Edu M · B.Tech</t>
        </is>
      </c>
      <c r="X558" s="33" t="inlineStr">
        <is>
          <t>Open ▸</t>
        </is>
      </c>
      <c r="Y558" s="34" t="str">
        <f>IFERROR(INDEX(DL_C,MATCH($CA558,DL_KEY,0)),"M")</f>
        <v>H</v>
      </c>
      <c r="Z558" s="35" t="str">
        <f>IFERROR(INDEX(DL_Au,MATCH($CA558,DL_KEY,0)),"M")</f>
        <v>M</v>
      </c>
      <c r="AA558" s="35" t="str">
        <f>IFERROR(INDEX(DL_Ac,MATCH($CA558,DL_KEY,0)),"M")</f>
        <v>L</v>
      </c>
      <c r="AB558" s="35" t="str">
        <f>IFERROR(INDEX(DL_L,MATCH($CA558,DL_KEY,0)),"M")</f>
        <v>L</v>
      </c>
      <c r="AC558" s="35" t="str">
        <f>IFERROR(INDEX(DL_BI,MATCH($CA558,DL_KEY,0)),"M")</f>
        <v>L</v>
      </c>
      <c r="AD558" s="35" t="str">
        <f>IFERROR(INDEX(DL_Exp,MATCH($CA558,DL_KEY,0)),"M")</f>
        <v>L</v>
      </c>
      <c r="AE558" s="35" t="str">
        <f>IFERROR(INDEX(DL_Edu,MATCH($CA558,DL_KEY,0)),"M")</f>
        <v>L</v>
      </c>
      <c r="AF558" s="34" t="inlineStr">
        <is>
          <t>M</t>
        </is>
      </c>
      <c r="AG558" s="35" t="inlineStr">
        <is>
          <t>M</t>
        </is>
      </c>
      <c r="AH558" s="35" t="inlineStr">
        <is>
          <t>M</t>
        </is>
      </c>
      <c r="AI558" s="35" t="inlineStr">
        <is>
          <t>M</t>
        </is>
      </c>
      <c r="AJ558" s="35" t="inlineStr">
        <is>
          <t>M</t>
        </is>
      </c>
      <c r="AK558" s="35" t="inlineStr">
        <is>
          <t>M</t>
        </is>
      </c>
      <c r="AL558" s="35" t="inlineStr">
        <is>
          <t>M</t>
        </is>
      </c>
      <c r="AM558" s="36" t="n">
        <v>0.583</v>
      </c>
      <c r="AN558" s="37" t="n">
        <v>0.16</v>
      </c>
      <c r="AO558" s="37" t="n">
        <v>0.09</v>
      </c>
      <c r="AP558" s="37" t="n">
        <v>0</v>
      </c>
      <c r="AQ558" s="37" t="n">
        <v>0.063</v>
      </c>
      <c r="AR558" s="37" t="n">
        <v>0.06</v>
      </c>
      <c r="AS558" s="37" t="n">
        <v>0.04</v>
      </c>
      <c r="AT558" s="38" t="inlineStr">
        <is>
          <t>2–5</t>
        </is>
      </c>
      <c r="AU558" s="38" t="inlineStr">
        <is>
          <t>Graduate; relevant certification preferred</t>
        </is>
      </c>
      <c r="AV558" s="38" t="inlineStr">
        <is>
          <t>None · guides 1–3 juniors informally</t>
        </is>
      </c>
      <c r="AW558" s="38" t="inlineStr">
        <is>
          <t>P2 · SFIA 3 Apply</t>
        </is>
      </c>
      <c r="AX5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8" s="39" t="inlineStr">
        <is>
          <t>A3</t>
        </is>
      </c>
      <c r="AZ558" s="40" t="inlineStr">
        <is>
          <t>Band A · Practitioner · Senior Associate</t>
        </is>
      </c>
      <c r="BA558" s="40" t="inlineStr">
        <is>
          <t>Model A3 from the six ratings, the market-derived weights and rules R1–R13 · then No change · already below the manager</t>
        </is>
      </c>
      <c r="BB558" s="41" t="inlineStr">
        <is>
          <t>A3</t>
        </is>
      </c>
      <c r="BC558" s="40" t="inlineStr">
        <is>
          <t>The six ratings on the market-average weights of Band A · all tracks score 2.60 → A3 · Hay, Mercer IPE and public plans · experience 5.2 yrs vs the A3 market range 2–5</t>
        </is>
      </c>
      <c r="BD558" s="42">
        <f>IF(SUM(BM558,BN558,BO558,BP558,BQ558,BR558,BS558)=0,0,(BM558*BT558+BN558*BU558+BO558*BV558+BP558*BW558+BQ558*BX558+BR558*BY558+BS558*BZ558)/SUM(BM558,BN558,BO558,BP558,BQ558,BR558,BS558))</f>
        <v>0</v>
      </c>
      <c r="BE558" s="41" t="str">
        <f>IF(LEFT(AY558,1)="X",AY558,IF(OR(AY558="B+",AY558="C+"),INDEX(LAD_PC,MAX(1,MIN(14,MATCH(AY558,LAD_PC,0)+IF(BD558&gt;=0.5,1,IF(BD558&lt;=-0.5,-1,0))))),INDEX(LAD_STD,MAX(1,MIN(12,MATCH(AY558,LAD_STD,0)+IF(BD558&gt;=0.5,1,IF(BD558&lt;=-0.5,-1,0)))))))</f>
        <v>A3</v>
      </c>
      <c r="BF558" s="43" t="n"/>
      <c r="BG558" s="41" t="str">
        <f>IF(BF558&lt;&gt;"",BF558,BE558)</f>
        <v>A3</v>
      </c>
      <c r="BH558" s="40" t="str">
        <f>IFERROR(CHOOSE(INDEX(B_RANK,MATCH(BG558,B_LVL,0)),"Band A","Band B","B+ · Player-Coach","Band C","C+ · Player-Coach","Band D","Band E"),"Band X · Consultant")</f>
        <v>Band A</v>
      </c>
      <c r="BI558" s="40" t="str">
        <f>IF(BG558=AY558,"• Same",IF(INDEX(B_VAL,MATCH(BG558,B_LVL,0))&gt;INDEX(B_VAL,MATCH(AY558,B_LVL,0)),"▲ Up","▼ Down"))</f>
        <v>• Same</v>
      </c>
      <c r="BJ558" s="40" t="str">
        <f>IF(OR($M558="",$M558="—",$M558="Not in this file"),"",IFERROR(INDEX($BG$7:$BG$592,MATCH($M558,$D$7:$D$592,0)),""))</f>
        <v>B+</v>
      </c>
      <c r="BK558" s="40" t="str">
        <f>IFERROR(IF(BJ558="","—",IF(OR(LEFT(BG558,1)="X",LEFT(BJ558,1)="X"),"—",IF(AND(LEFT(BG558,1)="E",LEFT(BJ558,1)="E"),"Exception · Band E",IF(AND(INDEX(B_VAL,MATCH(BJ558,B_LVL,0))&gt;=7,INDEX(B_RANK,MATCH(BG558,B_LVL,0))&gt;=INDEX(B_RANK,MATCH(BJ558,B_LVL,0))),"⚠ Same band as a head manager",IF(INDEX(B_VAL,MATCH(BG558,B_LVL,0))&gt;=INDEX(B_VAL,MATCH(BJ558,B_LVL,0)),"⚠ At or above the manager's level","OK"))))),"—")</f>
        <v>OK</v>
      </c>
      <c r="BL558" s="43" t="n"/>
      <c r="BM558" s="44">
        <f>IFERROR(INDEX(LMH_PTS,MATCH(Y558,LMH_KEY,0)),0)</f>
        <v>9</v>
      </c>
      <c r="BN558" s="38">
        <f>IFERROR(INDEX(LMH_PTS,MATCH(Z558,LMH_KEY,0)),0)</f>
        <v>3</v>
      </c>
      <c r="BO558" s="38">
        <f>IFERROR(INDEX(LMH_PTS,MATCH(AA558,LMH_KEY,0)),0)</f>
        <v>1</v>
      </c>
      <c r="BP558" s="38">
        <f>IFERROR(INDEX(LMH_PTS,MATCH(AB558,LMH_KEY,0)),0)</f>
        <v>1</v>
      </c>
      <c r="BQ558" s="38">
        <f>IFERROR(INDEX(LMH_PTS,MATCH(AC558,LMH_KEY,0)),0)</f>
        <v>1</v>
      </c>
      <c r="BR558" s="38">
        <f>IFERROR(INDEX(LMH_PTS,MATCH(AD558,LMH_KEY,0)),0)</f>
        <v>1</v>
      </c>
      <c r="BS558" s="38">
        <f>IFERROR(INDEX(LMH_PTS,MATCH(AE558,LMH_KEY,0)),0)</f>
        <v>1</v>
      </c>
      <c r="BT558" s="38">
        <f>IFERROR(INDEX(LMH_STEP,MATCH(AF558,LMH_KEY,0)),0)</f>
        <v>0</v>
      </c>
      <c r="BU558" s="38">
        <f>IFERROR(INDEX(LMH_STEP,MATCH(AG558,LMH_KEY,0)),0)</f>
        <v>0</v>
      </c>
      <c r="BV558" s="38">
        <f>IFERROR(INDEX(LMH_STEP,MATCH(AH558,LMH_KEY,0)),0)</f>
        <v>0</v>
      </c>
      <c r="BW558" s="38">
        <f>IFERROR(INDEX(LMH_STEP,MATCH(AI558,LMH_KEY,0)),0)</f>
        <v>0</v>
      </c>
      <c r="BX558" s="38">
        <f>IFERROR(INDEX(LMH_STEP,MATCH(AJ558,LMH_KEY,0)),0)</f>
        <v>0</v>
      </c>
      <c r="BY558" s="38">
        <f>IFERROR(INDEX(LMH_STEP,MATCH(AK558,LMH_KEY,0)),0)</f>
        <v>0</v>
      </c>
      <c r="BZ558" s="38">
        <f>IFERROR(INDEX(LMH_STEP,MATCH(AL558,LMH_KEY,0)),0)</f>
        <v>0</v>
      </c>
      <c r="CA558" s="38" t="inlineStr">
        <is>
          <t>iFile|Technology|Senior Software Engineer|A3|A</t>
        </is>
      </c>
    </row>
    <row r="559" ht="110" customHeight="1">
      <c r="A559" s="28" t="inlineStr">
        <is>
          <t>Corporate</t>
        </is>
      </c>
      <c r="B559" s="29" t="inlineStr">
        <is>
          <t>IT &amp; Infrastructure</t>
        </is>
      </c>
      <c r="C559" s="29" t="n">
        <v>1</v>
      </c>
      <c r="D559" s="29" t="inlineStr">
        <is>
          <t>IRIS2103</t>
        </is>
      </c>
      <c r="E559" s="29" t="inlineStr">
        <is>
          <t>Mahesh Tilave</t>
        </is>
      </c>
      <c r="F559" s="29" t="inlineStr">
        <is>
          <t>Team Lead – IT Infrastructure</t>
        </is>
      </c>
      <c r="G559" s="29" t="inlineStr">
        <is>
          <t>Senior IT Manager</t>
        </is>
      </c>
      <c r="H559" s="29" t="inlineStr">
        <is>
          <t>IT &amp; Infrastructure</t>
        </is>
      </c>
      <c r="I559" s="29" t="inlineStr">
        <is>
          <t>IT Infrastructure Leadership</t>
        </is>
      </c>
      <c r="J559" s="29" t="inlineStr">
        <is>
          <t>People Manager</t>
        </is>
      </c>
      <c r="K559" s="29" t="inlineStr">
        <is>
          <t>RC-107</t>
        </is>
      </c>
      <c r="L559" s="29" t="inlineStr">
        <is>
          <t>P K X Thomas</t>
        </is>
      </c>
      <c r="M559" s="29" t="inlineStr">
        <is>
          <t>IRIS2060</t>
        </is>
      </c>
      <c r="N559" s="29" t="n">
        <v>20.6</v>
      </c>
      <c r="O559" s="29" t="n">
        <v>3.6</v>
      </c>
      <c r="P559" s="29" t="inlineStr">
        <is>
          <t>BA</t>
        </is>
      </c>
      <c r="Q559" s="29" t="inlineStr">
        <is>
          <t>Not in current mapping files</t>
        </is>
      </c>
      <c r="R559" s="29" t="inlineStr">
        <is>
          <t>B2</t>
        </is>
      </c>
      <c r="S559" s="30" t="inlineStr">
        <is>
          <t>20 of 20</t>
        </is>
      </c>
      <c r="T559" s="31"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t>
        </is>
      </c>
      <c r="U559" s="32" t="inlineStr">
        <is>
          <t>KRAs not received · manager to supply</t>
        </is>
      </c>
      <c r="V559" s="31" t="inlineStr">
        <is>
          <t>Latest rating: Not rated · manager · 9-box: Not placed · manager · Readiness: No rating data</t>
        </is>
      </c>
      <c r="W559" s="31" t="inlineStr">
        <is>
          <t>C L · Au M · Ac M · L M · BI M · Exp H · 20.6 yrs vs 6–9 yrs · Edu M · BA</t>
        </is>
      </c>
      <c r="X559" s="33" t="inlineStr">
        <is>
          <t>Open ▸</t>
        </is>
      </c>
      <c r="Y559" s="34" t="str">
        <f>IFERROR(INDEX(DL_C,MATCH($CA559,DL_KEY,0)),"M")</f>
        <v>H</v>
      </c>
      <c r="Z559" s="35" t="str">
        <f>IFERROR(INDEX(DL_Au,MATCH($CA559,DL_KEY,0)),"M")</f>
        <v>M</v>
      </c>
      <c r="AA559" s="35" t="str">
        <f>IFERROR(INDEX(DL_Ac,MATCH($CA559,DL_KEY,0)),"M")</f>
        <v>L</v>
      </c>
      <c r="AB559" s="35" t="str">
        <f>IFERROR(INDEX(DL_L,MATCH($CA559,DL_KEY,0)),"M")</f>
        <v>M</v>
      </c>
      <c r="AC559" s="35" t="str">
        <f>IFERROR(INDEX(DL_BI,MATCH($CA559,DL_KEY,0)),"M")</f>
        <v>L</v>
      </c>
      <c r="AD559" s="35" t="str">
        <f>IFERROR(INDEX(DL_Exp,MATCH($CA559,DL_KEY,0)),"M")</f>
        <v>L</v>
      </c>
      <c r="AE559" s="35" t="str">
        <f>IFERROR(INDEX(DL_Edu,MATCH($CA559,DL_KEY,0)),"M")</f>
        <v>L</v>
      </c>
      <c r="AF559" s="34" t="inlineStr">
        <is>
          <t>M</t>
        </is>
      </c>
      <c r="AG559" s="35" t="inlineStr">
        <is>
          <t>M</t>
        </is>
      </c>
      <c r="AH559" s="35" t="inlineStr">
        <is>
          <t>M</t>
        </is>
      </c>
      <c r="AI559" s="35" t="inlineStr">
        <is>
          <t>M</t>
        </is>
      </c>
      <c r="AJ559" s="35" t="inlineStr">
        <is>
          <t>M</t>
        </is>
      </c>
      <c r="AK559" s="35" t="inlineStr">
        <is>
          <t>M</t>
        </is>
      </c>
      <c r="AL559" s="35" t="inlineStr">
        <is>
          <t>M</t>
        </is>
      </c>
      <c r="AM559" s="36" t="n">
        <v>0.37</v>
      </c>
      <c r="AN559" s="37" t="n">
        <v>0.183</v>
      </c>
      <c r="AO559" s="37" t="n">
        <v>0.113</v>
      </c>
      <c r="AP559" s="37" t="n">
        <v>0.15</v>
      </c>
      <c r="AQ559" s="37" t="n">
        <v>0.08699999999999999</v>
      </c>
      <c r="AR559" s="37" t="n">
        <v>0.06</v>
      </c>
      <c r="AS559" s="37" t="n">
        <v>0.04</v>
      </c>
      <c r="AT559" s="38" t="inlineStr">
        <is>
          <t>6–10</t>
        </is>
      </c>
      <c r="AU559" s="38" t="inlineStr">
        <is>
          <t>Graduate or postgraduate; professional qualification preferred</t>
        </is>
      </c>
      <c r="AV559" s="38" t="inlineStr">
        <is>
          <t>IC: none · People: 6–8 knowledge work, 8–12 standardised delivery</t>
        </is>
      </c>
      <c r="AW559" s="38" t="inlineStr">
        <is>
          <t>P4 / M3 · SFIA 4–5</t>
        </is>
      </c>
      <c r="AX5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9" s="39" t="inlineStr">
        <is>
          <t>B2</t>
        </is>
      </c>
      <c r="AZ559" s="40" t="inlineStr">
        <is>
          <t>Band B · Specialist / Manager · Manager</t>
        </is>
      </c>
      <c r="BA559" s="40" t="inlineStr">
        <is>
          <t>Model B2 from the six ratings, the market-derived weights and rules R1–R13 · then No change · already below the manager</t>
        </is>
      </c>
      <c r="BB559" s="41" t="inlineStr">
        <is>
          <t>B2</t>
        </is>
      </c>
      <c r="BC559" s="40" t="inlineStr">
        <is>
          <t>The six ratings on the market-average weights of Band B · People Manager score 5.21 → B2 · Hay, Mercer IPE and public plans · experience 20.6 yrs vs the B2 market range 6–10</t>
        </is>
      </c>
      <c r="BD559" s="42">
        <f>IF(SUM(BM559,BN559,BO559,BP559,BQ559,BR559,BS559)=0,0,(BM559*BT559+BN559*BU559+BO559*BV559+BP559*BW559+BQ559*BX559+BR559*BY559+BS559*BZ559)/SUM(BM559,BN559,BO559,BP559,BQ559,BR559,BS559))</f>
        <v>0</v>
      </c>
      <c r="BE559" s="41" t="str">
        <f>IF(LEFT(AY559,1)="X",AY559,IF(OR(AY559="B+",AY559="C+"),INDEX(LAD_PC,MAX(1,MIN(14,MATCH(AY559,LAD_PC,0)+IF(BD559&gt;=0.5,1,IF(BD559&lt;=-0.5,-1,0))))),INDEX(LAD_STD,MAX(1,MIN(12,MATCH(AY559,LAD_STD,0)+IF(BD559&gt;=0.5,1,IF(BD559&lt;=-0.5,-1,0)))))))</f>
        <v>B2</v>
      </c>
      <c r="BF559" s="43" t="n"/>
      <c r="BG559" s="41" t="str">
        <f>IF(BF559&lt;&gt;"",BF559,BE559)</f>
        <v>B2</v>
      </c>
      <c r="BH559" s="40" t="str">
        <f>IFERROR(CHOOSE(INDEX(B_RANK,MATCH(BG559,B_LVL,0)),"Band A","Band B","B+ · Player-Coach","Band C","C+ · Player-Coach","Band D","Band E"),"Band X · Consultant")</f>
        <v>Band B</v>
      </c>
      <c r="BI559" s="40" t="str">
        <f>IF(BG559=AY559,"• Same",IF(INDEX(B_VAL,MATCH(BG559,B_LVL,0))&gt;INDEX(B_VAL,MATCH(AY559,B_LVL,0)),"▲ Up","▼ Down"))</f>
        <v>• Same</v>
      </c>
      <c r="BJ559" s="40" t="str">
        <f>IF(OR($M559="",$M559="—",$M559="Not in this file"),"",IFERROR(INDEX($BG$7:$BG$592,MATCH($M559,$D$7:$D$592,0)),""))</f>
        <v>E1</v>
      </c>
      <c r="BK559" s="40" t="str">
        <f>IFERROR(IF(BJ559="","—",IF(OR(LEFT(BG559,1)="X",LEFT(BJ559,1)="X"),"—",IF(AND(LEFT(BG559,1)="E",LEFT(BJ559,1)="E"),"Exception · Band E",IF(AND(INDEX(B_VAL,MATCH(BJ559,B_LVL,0))&gt;=7,INDEX(B_RANK,MATCH(BG559,B_LVL,0))&gt;=INDEX(B_RANK,MATCH(BJ559,B_LVL,0))),"⚠ Same band as a head manager",IF(INDEX(B_VAL,MATCH(BG559,B_LVL,0))&gt;=INDEX(B_VAL,MATCH(BJ559,B_LVL,0)),"⚠ At or above the manager's level","OK"))))),"—")</f>
        <v>OK</v>
      </c>
      <c r="BL559" s="43" t="n"/>
      <c r="BM559" s="44">
        <f>IFERROR(INDEX(LMH_PTS,MATCH(Y559,LMH_KEY,0)),0)</f>
        <v>9</v>
      </c>
      <c r="BN559" s="38">
        <f>IFERROR(INDEX(LMH_PTS,MATCH(Z559,LMH_KEY,0)),0)</f>
        <v>3</v>
      </c>
      <c r="BO559" s="38">
        <f>IFERROR(INDEX(LMH_PTS,MATCH(AA559,LMH_KEY,0)),0)</f>
        <v>1</v>
      </c>
      <c r="BP559" s="38">
        <f>IFERROR(INDEX(LMH_PTS,MATCH(AB559,LMH_KEY,0)),0)</f>
        <v>3</v>
      </c>
      <c r="BQ559" s="38">
        <f>IFERROR(INDEX(LMH_PTS,MATCH(AC559,LMH_KEY,0)),0)</f>
        <v>1</v>
      </c>
      <c r="BR559" s="38">
        <f>IFERROR(INDEX(LMH_PTS,MATCH(AD559,LMH_KEY,0)),0)</f>
        <v>1</v>
      </c>
      <c r="BS559" s="38">
        <f>IFERROR(INDEX(LMH_PTS,MATCH(AE559,LMH_KEY,0)),0)</f>
        <v>1</v>
      </c>
      <c r="BT559" s="38">
        <f>IFERROR(INDEX(LMH_STEP,MATCH(AF559,LMH_KEY,0)),0)</f>
        <v>0</v>
      </c>
      <c r="BU559" s="38">
        <f>IFERROR(INDEX(LMH_STEP,MATCH(AG559,LMH_KEY,0)),0)</f>
        <v>0</v>
      </c>
      <c r="BV559" s="38">
        <f>IFERROR(INDEX(LMH_STEP,MATCH(AH559,LMH_KEY,0)),0)</f>
        <v>0</v>
      </c>
      <c r="BW559" s="38">
        <f>IFERROR(INDEX(LMH_STEP,MATCH(AI559,LMH_KEY,0)),0)</f>
        <v>0</v>
      </c>
      <c r="BX559" s="38">
        <f>IFERROR(INDEX(LMH_STEP,MATCH(AJ559,LMH_KEY,0)),0)</f>
        <v>0</v>
      </c>
      <c r="BY559" s="38">
        <f>IFERROR(INDEX(LMH_STEP,MATCH(AK559,LMH_KEY,0)),0)</f>
        <v>0</v>
      </c>
      <c r="BZ559" s="38">
        <f>IFERROR(INDEX(LMH_STEP,MATCH(AL559,LMH_KEY,0)),0)</f>
        <v>0</v>
      </c>
      <c r="CA559" s="38" t="inlineStr">
        <is>
          <t>Corporate|IT &amp; Infrastructure|Senior IT Manager|B2|B-M</t>
        </is>
      </c>
    </row>
    <row r="560" ht="110" customHeight="1">
      <c r="A560" s="28" t="inlineStr">
        <is>
          <t>Corporate</t>
        </is>
      </c>
      <c r="B560" s="29" t="inlineStr">
        <is>
          <t>IT &amp; Infrastructure</t>
        </is>
      </c>
      <c r="C560" s="29" t="n">
        <v>2</v>
      </c>
      <c r="D560" s="29" t="inlineStr">
        <is>
          <t>IRIS0265</t>
        </is>
      </c>
      <c r="E560" s="29" t="inlineStr">
        <is>
          <t>Rajit Kumar Sahu</t>
        </is>
      </c>
      <c r="F560" s="29" t="inlineStr">
        <is>
          <t>System Administrator</t>
        </is>
      </c>
      <c r="G560" s="29" t="inlineStr">
        <is>
          <t>Infrastructure Specialist</t>
        </is>
      </c>
      <c r="H560" s="29" t="inlineStr">
        <is>
          <t>IT &amp; Infrastructure</t>
        </is>
      </c>
      <c r="I560" s="29" t="inlineStr">
        <is>
          <t>Infrastructure &amp; Cloud Operations</t>
        </is>
      </c>
      <c r="J560" s="29" t="inlineStr">
        <is>
          <t>IC</t>
        </is>
      </c>
      <c r="K560" s="29" t="inlineStr">
        <is>
          <t>RC-109</t>
        </is>
      </c>
      <c r="L560" s="29" t="inlineStr">
        <is>
          <t>Mahesh Tilave</t>
        </is>
      </c>
      <c r="M560" s="29" t="inlineStr">
        <is>
          <t>IRIS2103</t>
        </is>
      </c>
      <c r="N560" s="29" t="n">
        <v>19</v>
      </c>
      <c r="O560" s="29" t="n">
        <v>17.6</v>
      </c>
      <c r="P560" s="29" t="inlineStr">
        <is>
          <t>BA</t>
        </is>
      </c>
      <c r="Q560" s="29" t="inlineStr">
        <is>
          <t>Not in current mapping files</t>
        </is>
      </c>
      <c r="R560" s="29" t="inlineStr">
        <is>
          <t>B1</t>
        </is>
      </c>
      <c r="S560" s="30" t="inlineStr">
        <is>
          <t>20 of 20</t>
        </is>
      </c>
      <c r="T560" s="31"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t>
        </is>
      </c>
      <c r="U560" s="32" t="inlineStr">
        <is>
          <t>KRAs not received · manager to supply</t>
        </is>
      </c>
      <c r="V560" s="31" t="inlineStr">
        <is>
          <t>Latest rating: Not rated · manager · 9-box: Not placed · manager · Readiness: No rating data</t>
        </is>
      </c>
      <c r="W560" s="31" t="inlineStr">
        <is>
          <t>C L · Au L · Ac L · L L · BI L · Exp H · 19 yrs vs 4–7 yrs · Edu M · BA</t>
        </is>
      </c>
      <c r="X560" s="33" t="inlineStr">
        <is>
          <t>Open ▸</t>
        </is>
      </c>
      <c r="Y560" s="34" t="str">
        <f>IFERROR(INDEX(DL_C,MATCH($CA560,DL_KEY,0)),"M")</f>
        <v>H</v>
      </c>
      <c r="Z560" s="35" t="str">
        <f>IFERROR(INDEX(DL_Au,MATCH($CA560,DL_KEY,0)),"M")</f>
        <v>M</v>
      </c>
      <c r="AA560" s="35" t="str">
        <f>IFERROR(INDEX(DL_Ac,MATCH($CA560,DL_KEY,0)),"M")</f>
        <v>L</v>
      </c>
      <c r="AB560" s="35" t="str">
        <f>IFERROR(INDEX(DL_L,MATCH($CA560,DL_KEY,0)),"M")</f>
        <v>L</v>
      </c>
      <c r="AC560" s="35" t="str">
        <f>IFERROR(INDEX(DL_BI,MATCH($CA560,DL_KEY,0)),"M")</f>
        <v>L</v>
      </c>
      <c r="AD560" s="35" t="str">
        <f>IFERROR(INDEX(DL_Exp,MATCH($CA560,DL_KEY,0)),"M")</f>
        <v>L</v>
      </c>
      <c r="AE560" s="35" t="str">
        <f>IFERROR(INDEX(DL_Edu,MATCH($CA560,DL_KEY,0)),"M")</f>
        <v>L</v>
      </c>
      <c r="AF560" s="34" t="inlineStr">
        <is>
          <t>M</t>
        </is>
      </c>
      <c r="AG560" s="35" t="inlineStr">
        <is>
          <t>M</t>
        </is>
      </c>
      <c r="AH560" s="35" t="inlineStr">
        <is>
          <t>M</t>
        </is>
      </c>
      <c r="AI560" s="35" t="inlineStr">
        <is>
          <t>M</t>
        </is>
      </c>
      <c r="AJ560" s="35" t="inlineStr">
        <is>
          <t>M</t>
        </is>
      </c>
      <c r="AK560" s="35" t="inlineStr">
        <is>
          <t>M</t>
        </is>
      </c>
      <c r="AL560" s="35" t="inlineStr">
        <is>
          <t>M</t>
        </is>
      </c>
      <c r="AM560" s="36" t="n">
        <v>0.513</v>
      </c>
      <c r="AN560" s="37" t="n">
        <v>0.173</v>
      </c>
      <c r="AO560" s="37" t="n">
        <v>0.09699999999999999</v>
      </c>
      <c r="AP560" s="37" t="n">
        <v>0.05</v>
      </c>
      <c r="AQ560" s="37" t="n">
        <v>0.07000000000000001</v>
      </c>
      <c r="AR560" s="37" t="n">
        <v>0.06</v>
      </c>
      <c r="AS560" s="37" t="n">
        <v>0.04</v>
      </c>
      <c r="AT560" s="38" t="inlineStr">
        <is>
          <t>4–8</t>
        </is>
      </c>
      <c r="AU560" s="38" t="inlineStr">
        <is>
          <t>Graduate + relevant qualification or certification preferred</t>
        </is>
      </c>
      <c r="AV560" s="38" t="inlineStr">
        <is>
          <t>IC: none · Team Lead: 3–5</t>
        </is>
      </c>
      <c r="AW560" s="38" t="inlineStr">
        <is>
          <t>P3 / M2 · SFIA 4 Enable</t>
        </is>
      </c>
      <c r="AX5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0" s="39" t="inlineStr">
        <is>
          <t>B1</t>
        </is>
      </c>
      <c r="AZ560" s="40" t="inlineStr">
        <is>
          <t>Band B · Specialist / Manager · Specialist</t>
        </is>
      </c>
      <c r="BA560" s="40" t="inlineStr">
        <is>
          <t>Model B1 from the six ratings, the market-derived weights and rules R1–R13 · then No change · already below the manager</t>
        </is>
      </c>
      <c r="BB560" s="41" t="inlineStr">
        <is>
          <t>B1</t>
        </is>
      </c>
      <c r="BC560" s="40" t="inlineStr">
        <is>
          <t>The six ratings on the market-average weights of Band B · Specialist / POD Lead score 3.57 → B1 · Hay, Mercer IPE and public plans · experience 19 yrs vs the B1 market range 4–8</t>
        </is>
      </c>
      <c r="BD560" s="42">
        <f>IF(SUM(BM560,BN560,BO560,BP560,BQ560,BR560,BS560)=0,0,(BM560*BT560+BN560*BU560+BO560*BV560+BP560*BW560+BQ560*BX560+BR560*BY560+BS560*BZ560)/SUM(BM560,BN560,BO560,BP560,BQ560,BR560,BS560))</f>
        <v>0</v>
      </c>
      <c r="BE560" s="41" t="str">
        <f>IF(LEFT(AY560,1)="X",AY560,IF(OR(AY560="B+",AY560="C+"),INDEX(LAD_PC,MAX(1,MIN(14,MATCH(AY560,LAD_PC,0)+IF(BD560&gt;=0.5,1,IF(BD560&lt;=-0.5,-1,0))))),INDEX(LAD_STD,MAX(1,MIN(12,MATCH(AY560,LAD_STD,0)+IF(BD560&gt;=0.5,1,IF(BD560&lt;=-0.5,-1,0)))))))</f>
        <v>B1</v>
      </c>
      <c r="BF560" s="43" t="n"/>
      <c r="BG560" s="41" t="str">
        <f>IF(BF560&lt;&gt;"",BF560,BE560)</f>
        <v>B1</v>
      </c>
      <c r="BH560" s="40" t="str">
        <f>IFERROR(CHOOSE(INDEX(B_RANK,MATCH(BG560,B_LVL,0)),"Band A","Band B","B+ · Player-Coach","Band C","C+ · Player-Coach","Band D","Band E"),"Band X · Consultant")</f>
        <v>Band B</v>
      </c>
      <c r="BI560" s="40" t="str">
        <f>IF(BG560=AY560,"• Same",IF(INDEX(B_VAL,MATCH(BG560,B_LVL,0))&gt;INDEX(B_VAL,MATCH(AY560,B_LVL,0)),"▲ Up","▼ Down"))</f>
        <v>• Same</v>
      </c>
      <c r="BJ560" s="40" t="str">
        <f>IF(OR($M560="",$M560="—",$M560="Not in this file"),"",IFERROR(INDEX($BG$7:$BG$592,MATCH($M560,$D$7:$D$592,0)),""))</f>
        <v>B2</v>
      </c>
      <c r="BK560" s="40" t="str">
        <f>IFERROR(IF(BJ560="","—",IF(OR(LEFT(BG560,1)="X",LEFT(BJ560,1)="X"),"—",IF(AND(LEFT(BG560,1)="E",LEFT(BJ560,1)="E"),"Exception · Band E",IF(AND(INDEX(B_VAL,MATCH(BJ560,B_LVL,0))&gt;=7,INDEX(B_RANK,MATCH(BG560,B_LVL,0))&gt;=INDEX(B_RANK,MATCH(BJ560,B_LVL,0))),"⚠ Same band as a head manager",IF(INDEX(B_VAL,MATCH(BG560,B_LVL,0))&gt;=INDEX(B_VAL,MATCH(BJ560,B_LVL,0)),"⚠ At or above the manager's level","OK"))))),"—")</f>
        <v>OK</v>
      </c>
      <c r="BL560" s="43" t="n"/>
      <c r="BM560" s="44">
        <f>IFERROR(INDEX(LMH_PTS,MATCH(Y560,LMH_KEY,0)),0)</f>
        <v>9</v>
      </c>
      <c r="BN560" s="38">
        <f>IFERROR(INDEX(LMH_PTS,MATCH(Z560,LMH_KEY,0)),0)</f>
        <v>3</v>
      </c>
      <c r="BO560" s="38">
        <f>IFERROR(INDEX(LMH_PTS,MATCH(AA560,LMH_KEY,0)),0)</f>
        <v>1</v>
      </c>
      <c r="BP560" s="38">
        <f>IFERROR(INDEX(LMH_PTS,MATCH(AB560,LMH_KEY,0)),0)</f>
        <v>1</v>
      </c>
      <c r="BQ560" s="38">
        <f>IFERROR(INDEX(LMH_PTS,MATCH(AC560,LMH_KEY,0)),0)</f>
        <v>1</v>
      </c>
      <c r="BR560" s="38">
        <f>IFERROR(INDEX(LMH_PTS,MATCH(AD560,LMH_KEY,0)),0)</f>
        <v>1</v>
      </c>
      <c r="BS560" s="38">
        <f>IFERROR(INDEX(LMH_PTS,MATCH(AE560,LMH_KEY,0)),0)</f>
        <v>1</v>
      </c>
      <c r="BT560" s="38">
        <f>IFERROR(INDEX(LMH_STEP,MATCH(AF560,LMH_KEY,0)),0)</f>
        <v>0</v>
      </c>
      <c r="BU560" s="38">
        <f>IFERROR(INDEX(LMH_STEP,MATCH(AG560,LMH_KEY,0)),0)</f>
        <v>0</v>
      </c>
      <c r="BV560" s="38">
        <f>IFERROR(INDEX(LMH_STEP,MATCH(AH560,LMH_KEY,0)),0)</f>
        <v>0</v>
      </c>
      <c r="BW560" s="38">
        <f>IFERROR(INDEX(LMH_STEP,MATCH(AI560,LMH_KEY,0)),0)</f>
        <v>0</v>
      </c>
      <c r="BX560" s="38">
        <f>IFERROR(INDEX(LMH_STEP,MATCH(AJ560,LMH_KEY,0)),0)</f>
        <v>0</v>
      </c>
      <c r="BY560" s="38">
        <f>IFERROR(INDEX(LMH_STEP,MATCH(AK560,LMH_KEY,0)),0)</f>
        <v>0</v>
      </c>
      <c r="BZ560" s="38">
        <f>IFERROR(INDEX(LMH_STEP,MATCH(AL560,LMH_KEY,0)),0)</f>
        <v>0</v>
      </c>
      <c r="CA560" s="38" t="inlineStr">
        <is>
          <t>Corporate|IT &amp; Infrastructure|Infrastructure Specialist|B1|B-IC</t>
        </is>
      </c>
    </row>
    <row r="561" ht="110" customHeight="1">
      <c r="A561" s="28" t="inlineStr">
        <is>
          <t>Corporate</t>
        </is>
      </c>
      <c r="B561" s="29" t="inlineStr">
        <is>
          <t>IT &amp; Infrastructure</t>
        </is>
      </c>
      <c r="C561" s="29" t="n">
        <v>2</v>
      </c>
      <c r="D561" s="29" t="inlineStr">
        <is>
          <t>IRIS0909</t>
        </is>
      </c>
      <c r="E561" s="29" t="inlineStr">
        <is>
          <t>Ramesh Kone</t>
        </is>
      </c>
      <c r="F561" s="29" t="inlineStr">
        <is>
          <t>System Administrator</t>
        </is>
      </c>
      <c r="G561" s="29" t="inlineStr">
        <is>
          <t>Infrastructure Specialist – POD Lead</t>
        </is>
      </c>
      <c r="H561" s="29" t="inlineStr">
        <is>
          <t>IT &amp; Infrastructure</t>
        </is>
      </c>
      <c r="I561" s="29" t="inlineStr">
        <is>
          <t>Infrastructure &amp; Cloud Operations</t>
        </is>
      </c>
      <c r="J561" s="29" t="inlineStr">
        <is>
          <t>POD Lead</t>
        </is>
      </c>
      <c r="K561" s="29" t="inlineStr">
        <is>
          <t>RC-109</t>
        </is>
      </c>
      <c r="L561" s="29" t="inlineStr">
        <is>
          <t>Mahesh Tilave</t>
        </is>
      </c>
      <c r="M561" s="29" t="inlineStr">
        <is>
          <t>IRIS2103</t>
        </is>
      </c>
      <c r="N561" s="29" t="n">
        <v>19.1</v>
      </c>
      <c r="O561" s="29" t="n">
        <v>15</v>
      </c>
      <c r="P561" s="29" t="inlineStr">
        <is>
          <t>B.Com</t>
        </is>
      </c>
      <c r="Q561" s="29" t="inlineStr">
        <is>
          <t>Not in current mapping files</t>
        </is>
      </c>
      <c r="R561" s="29" t="inlineStr">
        <is>
          <t>B1</t>
        </is>
      </c>
      <c r="S561" s="30" t="inlineStr">
        <is>
          <t>20 of 20</t>
        </is>
      </c>
      <c r="T561" s="31"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t>
        </is>
      </c>
      <c r="U561" s="32" t="inlineStr">
        <is>
          <t>KRAs not received · manager to supply</t>
        </is>
      </c>
      <c r="V561" s="31" t="inlineStr">
        <is>
          <t>Latest rating: Not rated · manager · 9-box: Not placed · manager · Readiness: No rating data</t>
        </is>
      </c>
      <c r="W561" s="31" t="inlineStr">
        <is>
          <t>C L · Au L · Ac L · L L · BI L · Exp H · 19.1 yrs vs 4–7 yrs · Edu M · B.Com</t>
        </is>
      </c>
      <c r="X561" s="33" t="inlineStr">
        <is>
          <t>Open ▸</t>
        </is>
      </c>
      <c r="Y561" s="34" t="str">
        <f>IFERROR(INDEX(DL_C,MATCH($CA561,DL_KEY,0)),"M")</f>
        <v>H</v>
      </c>
      <c r="Z561" s="35" t="str">
        <f>IFERROR(INDEX(DL_Au,MATCH($CA561,DL_KEY,0)),"M")</f>
        <v>M</v>
      </c>
      <c r="AA561" s="35" t="str">
        <f>IFERROR(INDEX(DL_Ac,MATCH($CA561,DL_KEY,0)),"M")</f>
        <v>L</v>
      </c>
      <c r="AB561" s="35" t="str">
        <f>IFERROR(INDEX(DL_L,MATCH($CA561,DL_KEY,0)),"M")</f>
        <v>L</v>
      </c>
      <c r="AC561" s="35" t="str">
        <f>IFERROR(INDEX(DL_BI,MATCH($CA561,DL_KEY,0)),"M")</f>
        <v>L</v>
      </c>
      <c r="AD561" s="35" t="str">
        <f>IFERROR(INDEX(DL_Exp,MATCH($CA561,DL_KEY,0)),"M")</f>
        <v>L</v>
      </c>
      <c r="AE561" s="35" t="str">
        <f>IFERROR(INDEX(DL_Edu,MATCH($CA561,DL_KEY,0)),"M")</f>
        <v>L</v>
      </c>
      <c r="AF561" s="34" t="inlineStr">
        <is>
          <t>M</t>
        </is>
      </c>
      <c r="AG561" s="35" t="inlineStr">
        <is>
          <t>M</t>
        </is>
      </c>
      <c r="AH561" s="35" t="inlineStr">
        <is>
          <t>M</t>
        </is>
      </c>
      <c r="AI561" s="35" t="inlineStr">
        <is>
          <t>M</t>
        </is>
      </c>
      <c r="AJ561" s="35" t="inlineStr">
        <is>
          <t>M</t>
        </is>
      </c>
      <c r="AK561" s="35" t="inlineStr">
        <is>
          <t>M</t>
        </is>
      </c>
      <c r="AL561" s="35" t="inlineStr">
        <is>
          <t>M</t>
        </is>
      </c>
      <c r="AM561" s="36" t="n">
        <v>0.513</v>
      </c>
      <c r="AN561" s="37" t="n">
        <v>0.173</v>
      </c>
      <c r="AO561" s="37" t="n">
        <v>0.09699999999999999</v>
      </c>
      <c r="AP561" s="37" t="n">
        <v>0.05</v>
      </c>
      <c r="AQ561" s="37" t="n">
        <v>0.07000000000000001</v>
      </c>
      <c r="AR561" s="37" t="n">
        <v>0.06</v>
      </c>
      <c r="AS561" s="37" t="n">
        <v>0.04</v>
      </c>
      <c r="AT561" s="38" t="inlineStr">
        <is>
          <t>4–8</t>
        </is>
      </c>
      <c r="AU561" s="38" t="inlineStr">
        <is>
          <t>Graduate + relevant qualification or certification preferred</t>
        </is>
      </c>
      <c r="AV561" s="38" t="inlineStr">
        <is>
          <t>IC: none · Team Lead: 3–5</t>
        </is>
      </c>
      <c r="AW561" s="38" t="inlineStr">
        <is>
          <t>P3 / M2 · SFIA 4 Enable</t>
        </is>
      </c>
      <c r="AX5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1" s="39" t="inlineStr">
        <is>
          <t>B1</t>
        </is>
      </c>
      <c r="AZ561" s="40" t="inlineStr">
        <is>
          <t>Band B · Specialist / Manager · Team Lead / Asst Manager</t>
        </is>
      </c>
      <c r="BA561" s="40" t="inlineStr">
        <is>
          <t>Model B1 from the six ratings, the market-derived weights and rules R1–R13 · then No change · already below the manager</t>
        </is>
      </c>
      <c r="BB561" s="41" t="inlineStr">
        <is>
          <t>B1</t>
        </is>
      </c>
      <c r="BC561" s="40" t="inlineStr">
        <is>
          <t>The six ratings on the market-average weights of Band B · Specialist / POD Lead score 3.65 → B1 · Hay, Mercer IPE and public plans · experience 19.1 yrs vs the B1 market range 4–8</t>
        </is>
      </c>
      <c r="BD561" s="42">
        <f>IF(SUM(BM561,BN561,BO561,BP561,BQ561,BR561,BS561)=0,0,(BM561*BT561+BN561*BU561+BO561*BV561+BP561*BW561+BQ561*BX561+BR561*BY561+BS561*BZ561)/SUM(BM561,BN561,BO561,BP561,BQ561,BR561,BS561))</f>
        <v>0</v>
      </c>
      <c r="BE561" s="41" t="str">
        <f>IF(LEFT(AY561,1)="X",AY561,IF(OR(AY561="B+",AY561="C+"),INDEX(LAD_PC,MAX(1,MIN(14,MATCH(AY561,LAD_PC,0)+IF(BD561&gt;=0.5,1,IF(BD561&lt;=-0.5,-1,0))))),INDEX(LAD_STD,MAX(1,MIN(12,MATCH(AY561,LAD_STD,0)+IF(BD561&gt;=0.5,1,IF(BD561&lt;=-0.5,-1,0)))))))</f>
        <v>B1</v>
      </c>
      <c r="BF561" s="43" t="n"/>
      <c r="BG561" s="41" t="str">
        <f>IF(BF561&lt;&gt;"",BF561,BE561)</f>
        <v>B1</v>
      </c>
      <c r="BH561" s="40" t="str">
        <f>IFERROR(CHOOSE(INDEX(B_RANK,MATCH(BG561,B_LVL,0)),"Band A","Band B","B+ · Player-Coach","Band C","C+ · Player-Coach","Band D","Band E"),"Band X · Consultant")</f>
        <v>Band B</v>
      </c>
      <c r="BI561" s="40" t="str">
        <f>IF(BG561=AY561,"• Same",IF(INDEX(B_VAL,MATCH(BG561,B_LVL,0))&gt;INDEX(B_VAL,MATCH(AY561,B_LVL,0)),"▲ Up","▼ Down"))</f>
        <v>• Same</v>
      </c>
      <c r="BJ561" s="40" t="str">
        <f>IF(OR($M561="",$M561="—",$M561="Not in this file"),"",IFERROR(INDEX($BG$7:$BG$592,MATCH($M561,$D$7:$D$592,0)),""))</f>
        <v>B2</v>
      </c>
      <c r="BK561" s="40" t="str">
        <f>IFERROR(IF(BJ561="","—",IF(OR(LEFT(BG561,1)="X",LEFT(BJ561,1)="X"),"—",IF(AND(LEFT(BG561,1)="E",LEFT(BJ561,1)="E"),"Exception · Band E",IF(AND(INDEX(B_VAL,MATCH(BJ561,B_LVL,0))&gt;=7,INDEX(B_RANK,MATCH(BG561,B_LVL,0))&gt;=INDEX(B_RANK,MATCH(BJ561,B_LVL,0))),"⚠ Same band as a head manager",IF(INDEX(B_VAL,MATCH(BG561,B_LVL,0))&gt;=INDEX(B_VAL,MATCH(BJ561,B_LVL,0)),"⚠ At or above the manager's level","OK"))))),"—")</f>
        <v>OK</v>
      </c>
      <c r="BL561" s="43" t="n"/>
      <c r="BM561" s="44">
        <f>IFERROR(INDEX(LMH_PTS,MATCH(Y561,LMH_KEY,0)),0)</f>
        <v>9</v>
      </c>
      <c r="BN561" s="38">
        <f>IFERROR(INDEX(LMH_PTS,MATCH(Z561,LMH_KEY,0)),0)</f>
        <v>3</v>
      </c>
      <c r="BO561" s="38">
        <f>IFERROR(INDEX(LMH_PTS,MATCH(AA561,LMH_KEY,0)),0)</f>
        <v>1</v>
      </c>
      <c r="BP561" s="38">
        <f>IFERROR(INDEX(LMH_PTS,MATCH(AB561,LMH_KEY,0)),0)</f>
        <v>1</v>
      </c>
      <c r="BQ561" s="38">
        <f>IFERROR(INDEX(LMH_PTS,MATCH(AC561,LMH_KEY,0)),0)</f>
        <v>1</v>
      </c>
      <c r="BR561" s="38">
        <f>IFERROR(INDEX(LMH_PTS,MATCH(AD561,LMH_KEY,0)),0)</f>
        <v>1</v>
      </c>
      <c r="BS561" s="38">
        <f>IFERROR(INDEX(LMH_PTS,MATCH(AE561,LMH_KEY,0)),0)</f>
        <v>1</v>
      </c>
      <c r="BT561" s="38">
        <f>IFERROR(INDEX(LMH_STEP,MATCH(AF561,LMH_KEY,0)),0)</f>
        <v>0</v>
      </c>
      <c r="BU561" s="38">
        <f>IFERROR(INDEX(LMH_STEP,MATCH(AG561,LMH_KEY,0)),0)</f>
        <v>0</v>
      </c>
      <c r="BV561" s="38">
        <f>IFERROR(INDEX(LMH_STEP,MATCH(AH561,LMH_KEY,0)),0)</f>
        <v>0</v>
      </c>
      <c r="BW561" s="38">
        <f>IFERROR(INDEX(LMH_STEP,MATCH(AI561,LMH_KEY,0)),0)</f>
        <v>0</v>
      </c>
      <c r="BX561" s="38">
        <f>IFERROR(INDEX(LMH_STEP,MATCH(AJ561,LMH_KEY,0)),0)</f>
        <v>0</v>
      </c>
      <c r="BY561" s="38">
        <f>IFERROR(INDEX(LMH_STEP,MATCH(AK561,LMH_KEY,0)),0)</f>
        <v>0</v>
      </c>
      <c r="BZ561" s="38">
        <f>IFERROR(INDEX(LMH_STEP,MATCH(AL561,LMH_KEY,0)),0)</f>
        <v>0</v>
      </c>
      <c r="CA561" s="38" t="inlineStr">
        <is>
          <t>Corporate|IT &amp; Infrastructure|Infrastructure Specialist – POD Lead|B1|B-IC</t>
        </is>
      </c>
    </row>
    <row r="562" ht="110" customHeight="1">
      <c r="A562" s="28" t="inlineStr">
        <is>
          <t>Corporate</t>
        </is>
      </c>
      <c r="B562" s="29" t="inlineStr">
        <is>
          <t>IT &amp; Infrastructure</t>
        </is>
      </c>
      <c r="C562" s="29" t="n">
        <v>3</v>
      </c>
      <c r="D562" s="29" t="inlineStr">
        <is>
          <t>IRIS2098</t>
        </is>
      </c>
      <c r="E562" s="29" t="inlineStr">
        <is>
          <t>Sagar Jamadar</t>
        </is>
      </c>
      <c r="F562" s="29" t="inlineStr">
        <is>
          <t>Desktop Support Engineer</t>
        </is>
      </c>
      <c r="G562" s="29" t="inlineStr">
        <is>
          <t>Senior Desktop Support Engineer</t>
        </is>
      </c>
      <c r="H562" s="29" t="inlineStr">
        <is>
          <t>IT &amp; Infrastructure</t>
        </is>
      </c>
      <c r="I562" s="29" t="inlineStr">
        <is>
          <t>End-User Support</t>
        </is>
      </c>
      <c r="J562" s="29" t="inlineStr">
        <is>
          <t>IC</t>
        </is>
      </c>
      <c r="K562" s="29" t="inlineStr">
        <is>
          <t>RC-106</t>
        </is>
      </c>
      <c r="L562" s="29" t="inlineStr">
        <is>
          <t>Ramesh Kone</t>
        </is>
      </c>
      <c r="M562" s="29" t="inlineStr">
        <is>
          <t>IRIS0909</t>
        </is>
      </c>
      <c r="N562" s="29" t="n">
        <v>8.6</v>
      </c>
      <c r="O562" s="29" t="n">
        <v>3.6</v>
      </c>
      <c r="P562" s="29" t="inlineStr">
        <is>
          <t>Undergraduate</t>
        </is>
      </c>
      <c r="Q562" s="29" t="inlineStr">
        <is>
          <t>Not in current mapping files</t>
        </is>
      </c>
      <c r="R562" s="29" t="inlineStr">
        <is>
          <t>A3</t>
        </is>
      </c>
      <c r="S562" s="30" t="inlineStr">
        <is>
          <t>20 of 20</t>
        </is>
      </c>
      <c r="T562" s="31"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
        </is>
      </c>
      <c r="U562" s="32" t="inlineStr">
        <is>
          <t>KRAs not received · manager to supply</t>
        </is>
      </c>
      <c r="V562" s="31" t="inlineStr">
        <is>
          <t>Latest rating: Not rated · manager · 9-box: Not placed · manager · Readiness: No rating data</t>
        </is>
      </c>
      <c r="W562" s="31" t="inlineStr">
        <is>
          <t>C L · Au L · Ac L · L L · BI L · Exp H · 8.6 yrs vs 2–4 yrs · Edu L · Undergraduate</t>
        </is>
      </c>
      <c r="X562" s="33" t="inlineStr">
        <is>
          <t>Open ▸</t>
        </is>
      </c>
      <c r="Y562" s="34" t="str">
        <f>IFERROR(INDEX(DL_C,MATCH($CA562,DL_KEY,0)),"M")</f>
        <v>H</v>
      </c>
      <c r="Z562" s="35" t="str">
        <f>IFERROR(INDEX(DL_Au,MATCH($CA562,DL_KEY,0)),"M")</f>
        <v>M</v>
      </c>
      <c r="AA562" s="35" t="str">
        <f>IFERROR(INDEX(DL_Ac,MATCH($CA562,DL_KEY,0)),"M")</f>
        <v>L</v>
      </c>
      <c r="AB562" s="35" t="str">
        <f>IFERROR(INDEX(DL_L,MATCH($CA562,DL_KEY,0)),"M")</f>
        <v>L</v>
      </c>
      <c r="AC562" s="35" t="str">
        <f>IFERROR(INDEX(DL_BI,MATCH($CA562,DL_KEY,0)),"M")</f>
        <v>L</v>
      </c>
      <c r="AD562" s="35" t="str">
        <f>IFERROR(INDEX(DL_Exp,MATCH($CA562,DL_KEY,0)),"M")</f>
        <v>L</v>
      </c>
      <c r="AE562" s="35" t="str">
        <f>IFERROR(INDEX(DL_Edu,MATCH($CA562,DL_KEY,0)),"M")</f>
        <v>L</v>
      </c>
      <c r="AF562" s="34" t="inlineStr">
        <is>
          <t>M</t>
        </is>
      </c>
      <c r="AG562" s="35" t="inlineStr">
        <is>
          <t>M</t>
        </is>
      </c>
      <c r="AH562" s="35" t="inlineStr">
        <is>
          <t>M</t>
        </is>
      </c>
      <c r="AI562" s="35" t="inlineStr">
        <is>
          <t>M</t>
        </is>
      </c>
      <c r="AJ562" s="35" t="inlineStr">
        <is>
          <t>M</t>
        </is>
      </c>
      <c r="AK562" s="35" t="inlineStr">
        <is>
          <t>M</t>
        </is>
      </c>
      <c r="AL562" s="35" t="inlineStr">
        <is>
          <t>M</t>
        </is>
      </c>
      <c r="AM562" s="36" t="n">
        <v>0.583</v>
      </c>
      <c r="AN562" s="37" t="n">
        <v>0.16</v>
      </c>
      <c r="AO562" s="37" t="n">
        <v>0.09</v>
      </c>
      <c r="AP562" s="37" t="n">
        <v>0</v>
      </c>
      <c r="AQ562" s="37" t="n">
        <v>0.063</v>
      </c>
      <c r="AR562" s="37" t="n">
        <v>0.06</v>
      </c>
      <c r="AS562" s="37" t="n">
        <v>0.04</v>
      </c>
      <c r="AT562" s="38" t="inlineStr">
        <is>
          <t>2–5</t>
        </is>
      </c>
      <c r="AU562" s="38" t="inlineStr">
        <is>
          <t>Graduate; relevant certification preferred</t>
        </is>
      </c>
      <c r="AV562" s="38" t="inlineStr">
        <is>
          <t>None · guides 1–3 juniors informally</t>
        </is>
      </c>
      <c r="AW562" s="38" t="inlineStr">
        <is>
          <t>P2 · SFIA 3 Apply</t>
        </is>
      </c>
      <c r="AX5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2" s="39" t="inlineStr">
        <is>
          <t>A3</t>
        </is>
      </c>
      <c r="AZ562" s="40" t="inlineStr">
        <is>
          <t>Band A · Practitioner · Senior Associate</t>
        </is>
      </c>
      <c r="BA562" s="40" t="inlineStr">
        <is>
          <t>Model A3 from the six ratings, the market-derived weights and rules R1–R13 · then No change · already below the manager</t>
        </is>
      </c>
      <c r="BB562" s="41" t="inlineStr">
        <is>
          <t>A2</t>
        </is>
      </c>
      <c r="BC562" s="40" t="inlineStr">
        <is>
          <t>The six ratings on the market-average weights of Band A · all tracks score 2.30 → A2 · Hay, Mercer IPE and public plans · experience 8.6 yrs vs the A2 market range 0–3</t>
        </is>
      </c>
      <c r="BD562" s="42">
        <f>IF(SUM(BM562,BN562,BO562,BP562,BQ562,BR562,BS562)=0,0,(BM562*BT562+BN562*BU562+BO562*BV562+BP562*BW562+BQ562*BX562+BR562*BY562+BS562*BZ562)/SUM(BM562,BN562,BO562,BP562,BQ562,BR562,BS562))</f>
        <v>0</v>
      </c>
      <c r="BE562" s="41" t="str">
        <f>IF(LEFT(AY562,1)="X",AY562,IF(OR(AY562="B+",AY562="C+"),INDEX(LAD_PC,MAX(1,MIN(14,MATCH(AY562,LAD_PC,0)+IF(BD562&gt;=0.5,1,IF(BD562&lt;=-0.5,-1,0))))),INDEX(LAD_STD,MAX(1,MIN(12,MATCH(AY562,LAD_STD,0)+IF(BD562&gt;=0.5,1,IF(BD562&lt;=-0.5,-1,0)))))))</f>
        <v>A3</v>
      </c>
      <c r="BF562" s="43" t="n"/>
      <c r="BG562" s="41" t="str">
        <f>IF(BF562&lt;&gt;"",BF562,BE562)</f>
        <v>A3</v>
      </c>
      <c r="BH562" s="40" t="str">
        <f>IFERROR(CHOOSE(INDEX(B_RANK,MATCH(BG562,B_LVL,0)),"Band A","Band B","B+ · Player-Coach","Band C","C+ · Player-Coach","Band D","Band E"),"Band X · Consultant")</f>
        <v>Band A</v>
      </c>
      <c r="BI562" s="40" t="str">
        <f>IF(BG562=AY562,"• Same",IF(INDEX(B_VAL,MATCH(BG562,B_LVL,0))&gt;INDEX(B_VAL,MATCH(AY562,B_LVL,0)),"▲ Up","▼ Down"))</f>
        <v>• Same</v>
      </c>
      <c r="BJ562" s="40" t="str">
        <f>IF(OR($M562="",$M562="—",$M562="Not in this file"),"",IFERROR(INDEX($BG$7:$BG$592,MATCH($M562,$D$7:$D$592,0)),""))</f>
        <v>B1</v>
      </c>
      <c r="BK562" s="40" t="str">
        <f>IFERROR(IF(BJ562="","—",IF(OR(LEFT(BG562,1)="X",LEFT(BJ562,1)="X"),"—",IF(AND(LEFT(BG562,1)="E",LEFT(BJ562,1)="E"),"Exception · Band E",IF(AND(INDEX(B_VAL,MATCH(BJ562,B_LVL,0))&gt;=7,INDEX(B_RANK,MATCH(BG562,B_LVL,0))&gt;=INDEX(B_RANK,MATCH(BJ562,B_LVL,0))),"⚠ Same band as a head manager",IF(INDEX(B_VAL,MATCH(BG562,B_LVL,0))&gt;=INDEX(B_VAL,MATCH(BJ562,B_LVL,0)),"⚠ At or above the manager's level","OK"))))),"—")</f>
        <v>OK</v>
      </c>
      <c r="BL562" s="43" t="n"/>
      <c r="BM562" s="44">
        <f>IFERROR(INDEX(LMH_PTS,MATCH(Y562,LMH_KEY,0)),0)</f>
        <v>9</v>
      </c>
      <c r="BN562" s="38">
        <f>IFERROR(INDEX(LMH_PTS,MATCH(Z562,LMH_KEY,0)),0)</f>
        <v>3</v>
      </c>
      <c r="BO562" s="38">
        <f>IFERROR(INDEX(LMH_PTS,MATCH(AA562,LMH_KEY,0)),0)</f>
        <v>1</v>
      </c>
      <c r="BP562" s="38">
        <f>IFERROR(INDEX(LMH_PTS,MATCH(AB562,LMH_KEY,0)),0)</f>
        <v>1</v>
      </c>
      <c r="BQ562" s="38">
        <f>IFERROR(INDEX(LMH_PTS,MATCH(AC562,LMH_KEY,0)),0)</f>
        <v>1</v>
      </c>
      <c r="BR562" s="38">
        <f>IFERROR(INDEX(LMH_PTS,MATCH(AD562,LMH_KEY,0)),0)</f>
        <v>1</v>
      </c>
      <c r="BS562" s="38">
        <f>IFERROR(INDEX(LMH_PTS,MATCH(AE562,LMH_KEY,0)),0)</f>
        <v>1</v>
      </c>
      <c r="BT562" s="38">
        <f>IFERROR(INDEX(LMH_STEP,MATCH(AF562,LMH_KEY,0)),0)</f>
        <v>0</v>
      </c>
      <c r="BU562" s="38">
        <f>IFERROR(INDEX(LMH_STEP,MATCH(AG562,LMH_KEY,0)),0)</f>
        <v>0</v>
      </c>
      <c r="BV562" s="38">
        <f>IFERROR(INDEX(LMH_STEP,MATCH(AH562,LMH_KEY,0)),0)</f>
        <v>0</v>
      </c>
      <c r="BW562" s="38">
        <f>IFERROR(INDEX(LMH_STEP,MATCH(AI562,LMH_KEY,0)),0)</f>
        <v>0</v>
      </c>
      <c r="BX562" s="38">
        <f>IFERROR(INDEX(LMH_STEP,MATCH(AJ562,LMH_KEY,0)),0)</f>
        <v>0</v>
      </c>
      <c r="BY562" s="38">
        <f>IFERROR(INDEX(LMH_STEP,MATCH(AK562,LMH_KEY,0)),0)</f>
        <v>0</v>
      </c>
      <c r="BZ562" s="38">
        <f>IFERROR(INDEX(LMH_STEP,MATCH(AL562,LMH_KEY,0)),0)</f>
        <v>0</v>
      </c>
      <c r="CA562" s="38" t="inlineStr">
        <is>
          <t>Corporate|IT &amp; Infrastructure|Senior Desktop Support Engineer|A3|A</t>
        </is>
      </c>
    </row>
    <row r="563" ht="110" customHeight="1">
      <c r="A563" s="28" t="inlineStr">
        <is>
          <t>Corporate</t>
        </is>
      </c>
      <c r="B563" s="29" t="inlineStr">
        <is>
          <t>IT &amp; Infrastructure</t>
        </is>
      </c>
      <c r="C563" s="29" t="n">
        <v>2</v>
      </c>
      <c r="D563" s="29" t="inlineStr">
        <is>
          <t>IRIS0038</t>
        </is>
      </c>
      <c r="E563" s="29" t="inlineStr">
        <is>
          <t>Vikas Mithbawkar</t>
        </is>
      </c>
      <c r="F563" s="29" t="inlineStr">
        <is>
          <t>Senior System Administrator</t>
        </is>
      </c>
      <c r="G563" s="29" t="inlineStr">
        <is>
          <t>IT Infrastructure Manager</t>
        </is>
      </c>
      <c r="H563" s="29" t="inlineStr">
        <is>
          <t>IT &amp; Infrastructure</t>
        </is>
      </c>
      <c r="I563" s="29" t="inlineStr">
        <is>
          <t>Infrastructure &amp; Cloud Operations</t>
        </is>
      </c>
      <c r="J563" s="29" t="inlineStr">
        <is>
          <t>People Manager</t>
        </is>
      </c>
      <c r="K563" s="29" t="inlineStr">
        <is>
          <t>RC-110</t>
        </is>
      </c>
      <c r="L563" s="29" t="inlineStr">
        <is>
          <t>Mahesh Tilave</t>
        </is>
      </c>
      <c r="M563" s="29" t="inlineStr">
        <is>
          <t>IRIS2103</t>
        </is>
      </c>
      <c r="N563" s="29" t="n">
        <v>22.3</v>
      </c>
      <c r="O563" s="29" t="n">
        <v>20.3</v>
      </c>
      <c r="P563" s="29" t="inlineStr">
        <is>
          <t>B.SC</t>
        </is>
      </c>
      <c r="Q563" s="29" t="inlineStr">
        <is>
          <t>Not in current mapping files</t>
        </is>
      </c>
      <c r="R563" s="29" t="inlineStr">
        <is>
          <t>B1</t>
        </is>
      </c>
      <c r="S563" s="30" t="inlineStr">
        <is>
          <t>20 of 20</t>
        </is>
      </c>
      <c r="T563" s="31"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t>
        </is>
      </c>
      <c r="U563" s="32" t="inlineStr">
        <is>
          <t>KRAs not received · manager to supply</t>
        </is>
      </c>
      <c r="V563" s="31" t="inlineStr">
        <is>
          <t>Latest rating: Not rated · manager · 9-box: Not placed · manager · Readiness: No rating data</t>
        </is>
      </c>
      <c r="W563" s="31" t="inlineStr">
        <is>
          <t>C M · Au M · Ac M · L M · BI M · Exp H · 22.3 yrs vs 4–7 yrs · Edu M · B.SC</t>
        </is>
      </c>
      <c r="X563" s="33" t="inlineStr">
        <is>
          <t>Open ▸</t>
        </is>
      </c>
      <c r="Y563" s="34" t="str">
        <f>IFERROR(INDEX(DL_C,MATCH($CA563,DL_KEY,0)),"M")</f>
        <v>H</v>
      </c>
      <c r="Z563" s="35" t="str">
        <f>IFERROR(INDEX(DL_Au,MATCH($CA563,DL_KEY,0)),"M")</f>
        <v>M</v>
      </c>
      <c r="AA563" s="35" t="str">
        <f>IFERROR(INDEX(DL_Ac,MATCH($CA563,DL_KEY,0)),"M")</f>
        <v>L</v>
      </c>
      <c r="AB563" s="35" t="str">
        <f>IFERROR(INDEX(DL_L,MATCH($CA563,DL_KEY,0)),"M")</f>
        <v>M</v>
      </c>
      <c r="AC563" s="35" t="str">
        <f>IFERROR(INDEX(DL_BI,MATCH($CA563,DL_KEY,0)),"M")</f>
        <v>L</v>
      </c>
      <c r="AD563" s="35" t="str">
        <f>IFERROR(INDEX(DL_Exp,MATCH($CA563,DL_KEY,0)),"M")</f>
        <v>L</v>
      </c>
      <c r="AE563" s="35" t="str">
        <f>IFERROR(INDEX(DL_Edu,MATCH($CA563,DL_KEY,0)),"M")</f>
        <v>L</v>
      </c>
      <c r="AF563" s="34" t="inlineStr">
        <is>
          <t>M</t>
        </is>
      </c>
      <c r="AG563" s="35" t="inlineStr">
        <is>
          <t>M</t>
        </is>
      </c>
      <c r="AH563" s="35" t="inlineStr">
        <is>
          <t>M</t>
        </is>
      </c>
      <c r="AI563" s="35" t="inlineStr">
        <is>
          <t>M</t>
        </is>
      </c>
      <c r="AJ563" s="35" t="inlineStr">
        <is>
          <t>M</t>
        </is>
      </c>
      <c r="AK563" s="35" t="inlineStr">
        <is>
          <t>M</t>
        </is>
      </c>
      <c r="AL563" s="35" t="inlineStr">
        <is>
          <t>M</t>
        </is>
      </c>
      <c r="AM563" s="36" t="n">
        <v>0.37</v>
      </c>
      <c r="AN563" s="37" t="n">
        <v>0.183</v>
      </c>
      <c r="AO563" s="37" t="n">
        <v>0.113</v>
      </c>
      <c r="AP563" s="37" t="n">
        <v>0.15</v>
      </c>
      <c r="AQ563" s="37" t="n">
        <v>0.08699999999999999</v>
      </c>
      <c r="AR563" s="37" t="n">
        <v>0.06</v>
      </c>
      <c r="AS563" s="37" t="n">
        <v>0.04</v>
      </c>
      <c r="AT563" s="38" t="inlineStr">
        <is>
          <t>4–8</t>
        </is>
      </c>
      <c r="AU563" s="38" t="inlineStr">
        <is>
          <t>Graduate + relevant qualification or certification preferred</t>
        </is>
      </c>
      <c r="AV563" s="38" t="inlineStr">
        <is>
          <t>IC: none · Team Lead: 3–5</t>
        </is>
      </c>
      <c r="AW563" s="38" t="inlineStr">
        <is>
          <t>P3 / M2 · SFIA 4 Enable</t>
        </is>
      </c>
      <c r="AX5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3" s="39" t="inlineStr">
        <is>
          <t>B1</t>
        </is>
      </c>
      <c r="AZ563" s="40" t="inlineStr">
        <is>
          <t>Band B · Specialist / Manager · Team Lead / Asst Manager</t>
        </is>
      </c>
      <c r="BA563" s="40" t="inlineStr">
        <is>
          <t>Model B1 from the six ratings, the market-derived weights and rules R1–R13 · then No change · already below the manager</t>
        </is>
      </c>
      <c r="BB563" s="41" t="inlineStr">
        <is>
          <t>B1</t>
        </is>
      </c>
      <c r="BC563" s="40" t="inlineStr">
        <is>
          <t>The six ratings on the market-average weights of Band B · People Manager score 4.37 → B1 · Hay, Mercer IPE and public plans · experience 22.3 yrs vs the B1 market range 4–8</t>
        </is>
      </c>
      <c r="BD563" s="42">
        <f>IF(SUM(BM563,BN563,BO563,BP563,BQ563,BR563,BS563)=0,0,(BM563*BT563+BN563*BU563+BO563*BV563+BP563*BW563+BQ563*BX563+BR563*BY563+BS563*BZ563)/SUM(BM563,BN563,BO563,BP563,BQ563,BR563,BS563))</f>
        <v>0</v>
      </c>
      <c r="BE563" s="41" t="str">
        <f>IF(LEFT(AY563,1)="X",AY563,IF(OR(AY563="B+",AY563="C+"),INDEX(LAD_PC,MAX(1,MIN(14,MATCH(AY563,LAD_PC,0)+IF(BD563&gt;=0.5,1,IF(BD563&lt;=-0.5,-1,0))))),INDEX(LAD_STD,MAX(1,MIN(12,MATCH(AY563,LAD_STD,0)+IF(BD563&gt;=0.5,1,IF(BD563&lt;=-0.5,-1,0)))))))</f>
        <v>B1</v>
      </c>
      <c r="BF563" s="43" t="n"/>
      <c r="BG563" s="41" t="str">
        <f>IF(BF563&lt;&gt;"",BF563,BE563)</f>
        <v>B1</v>
      </c>
      <c r="BH563" s="40" t="str">
        <f>IFERROR(CHOOSE(INDEX(B_RANK,MATCH(BG563,B_LVL,0)),"Band A","Band B","B+ · Player-Coach","Band C","C+ · Player-Coach","Band D","Band E"),"Band X · Consultant")</f>
        <v>Band B</v>
      </c>
      <c r="BI563" s="40" t="str">
        <f>IF(BG563=AY563,"• Same",IF(INDEX(B_VAL,MATCH(BG563,B_LVL,0))&gt;INDEX(B_VAL,MATCH(AY563,B_LVL,0)),"▲ Up","▼ Down"))</f>
        <v>• Same</v>
      </c>
      <c r="BJ563" s="40" t="str">
        <f>IF(OR($M563="",$M563="—",$M563="Not in this file"),"",IFERROR(INDEX($BG$7:$BG$592,MATCH($M563,$D$7:$D$592,0)),""))</f>
        <v>B2</v>
      </c>
      <c r="BK563" s="40" t="str">
        <f>IFERROR(IF(BJ563="","—",IF(OR(LEFT(BG563,1)="X",LEFT(BJ563,1)="X"),"—",IF(AND(LEFT(BG563,1)="E",LEFT(BJ563,1)="E"),"Exception · Band E",IF(AND(INDEX(B_VAL,MATCH(BJ563,B_LVL,0))&gt;=7,INDEX(B_RANK,MATCH(BG563,B_LVL,0))&gt;=INDEX(B_RANK,MATCH(BJ563,B_LVL,0))),"⚠ Same band as a head manager",IF(INDEX(B_VAL,MATCH(BG563,B_LVL,0))&gt;=INDEX(B_VAL,MATCH(BJ563,B_LVL,0)),"⚠ At or above the manager's level","OK"))))),"—")</f>
        <v>OK</v>
      </c>
      <c r="BL563" s="43" t="n"/>
      <c r="BM563" s="44">
        <f>IFERROR(INDEX(LMH_PTS,MATCH(Y563,LMH_KEY,0)),0)</f>
        <v>9</v>
      </c>
      <c r="BN563" s="38">
        <f>IFERROR(INDEX(LMH_PTS,MATCH(Z563,LMH_KEY,0)),0)</f>
        <v>3</v>
      </c>
      <c r="BO563" s="38">
        <f>IFERROR(INDEX(LMH_PTS,MATCH(AA563,LMH_KEY,0)),0)</f>
        <v>1</v>
      </c>
      <c r="BP563" s="38">
        <f>IFERROR(INDEX(LMH_PTS,MATCH(AB563,LMH_KEY,0)),0)</f>
        <v>3</v>
      </c>
      <c r="BQ563" s="38">
        <f>IFERROR(INDEX(LMH_PTS,MATCH(AC563,LMH_KEY,0)),0)</f>
        <v>1</v>
      </c>
      <c r="BR563" s="38">
        <f>IFERROR(INDEX(LMH_PTS,MATCH(AD563,LMH_KEY,0)),0)</f>
        <v>1</v>
      </c>
      <c r="BS563" s="38">
        <f>IFERROR(INDEX(LMH_PTS,MATCH(AE563,LMH_KEY,0)),0)</f>
        <v>1</v>
      </c>
      <c r="BT563" s="38">
        <f>IFERROR(INDEX(LMH_STEP,MATCH(AF563,LMH_KEY,0)),0)</f>
        <v>0</v>
      </c>
      <c r="BU563" s="38">
        <f>IFERROR(INDEX(LMH_STEP,MATCH(AG563,LMH_KEY,0)),0)</f>
        <v>0</v>
      </c>
      <c r="BV563" s="38">
        <f>IFERROR(INDEX(LMH_STEP,MATCH(AH563,LMH_KEY,0)),0)</f>
        <v>0</v>
      </c>
      <c r="BW563" s="38">
        <f>IFERROR(INDEX(LMH_STEP,MATCH(AI563,LMH_KEY,0)),0)</f>
        <v>0</v>
      </c>
      <c r="BX563" s="38">
        <f>IFERROR(INDEX(LMH_STEP,MATCH(AJ563,LMH_KEY,0)),0)</f>
        <v>0</v>
      </c>
      <c r="BY563" s="38">
        <f>IFERROR(INDEX(LMH_STEP,MATCH(AK563,LMH_KEY,0)),0)</f>
        <v>0</v>
      </c>
      <c r="BZ563" s="38">
        <f>IFERROR(INDEX(LMH_STEP,MATCH(AL563,LMH_KEY,0)),0)</f>
        <v>0</v>
      </c>
      <c r="CA563" s="38" t="inlineStr">
        <is>
          <t>Corporate|IT &amp; Infrastructure|IT Infrastructure Manager|B1|B-M</t>
        </is>
      </c>
    </row>
    <row r="564" ht="110" customHeight="1">
      <c r="A564" s="28" t="inlineStr">
        <is>
          <t>Corporate</t>
        </is>
      </c>
      <c r="B564" s="29" t="inlineStr">
        <is>
          <t>IT &amp; Infrastructure</t>
        </is>
      </c>
      <c r="C564" s="29" t="n">
        <v>3</v>
      </c>
      <c r="D564" s="29" t="inlineStr">
        <is>
          <t>IRIS2468</t>
        </is>
      </c>
      <c r="E564" s="29" t="inlineStr">
        <is>
          <t>Amit Gangaram Kamble</t>
        </is>
      </c>
      <c r="F564" s="29" t="inlineStr">
        <is>
          <t>Windows Server Administrator L1</t>
        </is>
      </c>
      <c r="G564" s="29" t="inlineStr">
        <is>
          <t>Senior System Administrator</t>
        </is>
      </c>
      <c r="H564" s="29" t="inlineStr">
        <is>
          <t>IT &amp; Infrastructure</t>
        </is>
      </c>
      <c r="I564" s="29" t="inlineStr">
        <is>
          <t>Infrastructure &amp; Cloud Operations</t>
        </is>
      </c>
      <c r="J564" s="29" t="inlineStr">
        <is>
          <t>IC</t>
        </is>
      </c>
      <c r="K564" s="29" t="inlineStr">
        <is>
          <t>RC-108</t>
        </is>
      </c>
      <c r="L564" s="29" t="inlineStr">
        <is>
          <t>Vikas Mithbawkar</t>
        </is>
      </c>
      <c r="M564" s="29" t="inlineStr">
        <is>
          <t>IRIS0038</t>
        </is>
      </c>
      <c r="N564" s="29" t="n">
        <v>3.6</v>
      </c>
      <c r="O564" s="29" t="n">
        <v>0.6</v>
      </c>
      <c r="P564" s="29" t="inlineStr">
        <is>
          <t>B.Sc</t>
        </is>
      </c>
      <c r="Q564" s="29" t="inlineStr">
        <is>
          <t>Not in current mapping files</t>
        </is>
      </c>
      <c r="R564" s="29" t="inlineStr">
        <is>
          <t>A3</t>
        </is>
      </c>
      <c r="S564" s="30" t="inlineStr">
        <is>
          <t>0 of 20</t>
        </is>
      </c>
      <c r="T56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64" s="32" t="inlineStr">
        <is>
          <t>KRAs not received · manager to supply</t>
        </is>
      </c>
      <c r="V564" s="31" t="inlineStr">
        <is>
          <t>Latest rating: Not rated · manager · 9-box: Not placed · manager · Readiness: No rating data</t>
        </is>
      </c>
      <c r="W564" s="31" t="inlineStr">
        <is>
          <t>C L · Au L · Ac L · L L · BI L · Exp M · 3.6 yrs vs 2–4 yrs · Edu M · B.Sc</t>
        </is>
      </c>
      <c r="X564" s="33" t="inlineStr">
        <is>
          <t>Open ▸</t>
        </is>
      </c>
      <c r="Y564" s="34" t="str">
        <f>IFERROR(INDEX(DL_C,MATCH($CA564,DL_KEY,0)),"M")</f>
        <v>H</v>
      </c>
      <c r="Z564" s="35" t="str">
        <f>IFERROR(INDEX(DL_Au,MATCH($CA564,DL_KEY,0)),"M")</f>
        <v>M</v>
      </c>
      <c r="AA564" s="35" t="str">
        <f>IFERROR(INDEX(DL_Ac,MATCH($CA564,DL_KEY,0)),"M")</f>
        <v>L</v>
      </c>
      <c r="AB564" s="35" t="str">
        <f>IFERROR(INDEX(DL_L,MATCH($CA564,DL_KEY,0)),"M")</f>
        <v>L</v>
      </c>
      <c r="AC564" s="35" t="str">
        <f>IFERROR(INDEX(DL_BI,MATCH($CA564,DL_KEY,0)),"M")</f>
        <v>L</v>
      </c>
      <c r="AD564" s="35" t="str">
        <f>IFERROR(INDEX(DL_Exp,MATCH($CA564,DL_KEY,0)),"M")</f>
        <v>L</v>
      </c>
      <c r="AE564" s="35" t="str">
        <f>IFERROR(INDEX(DL_Edu,MATCH($CA564,DL_KEY,0)),"M")</f>
        <v>L</v>
      </c>
      <c r="AF564" s="34" t="inlineStr">
        <is>
          <t>M</t>
        </is>
      </c>
      <c r="AG564" s="35" t="inlineStr">
        <is>
          <t>M</t>
        </is>
      </c>
      <c r="AH564" s="35" t="inlineStr">
        <is>
          <t>M</t>
        </is>
      </c>
      <c r="AI564" s="35" t="inlineStr">
        <is>
          <t>M</t>
        </is>
      </c>
      <c r="AJ564" s="35" t="inlineStr">
        <is>
          <t>M</t>
        </is>
      </c>
      <c r="AK564" s="35" t="inlineStr">
        <is>
          <t>M</t>
        </is>
      </c>
      <c r="AL564" s="35" t="inlineStr">
        <is>
          <t>M</t>
        </is>
      </c>
      <c r="AM564" s="36" t="n">
        <v>0.583</v>
      </c>
      <c r="AN564" s="37" t="n">
        <v>0.16</v>
      </c>
      <c r="AO564" s="37" t="n">
        <v>0.09</v>
      </c>
      <c r="AP564" s="37" t="n">
        <v>0</v>
      </c>
      <c r="AQ564" s="37" t="n">
        <v>0.063</v>
      </c>
      <c r="AR564" s="37" t="n">
        <v>0.06</v>
      </c>
      <c r="AS564" s="37" t="n">
        <v>0.04</v>
      </c>
      <c r="AT564" s="38" t="inlineStr">
        <is>
          <t>2–5</t>
        </is>
      </c>
      <c r="AU564" s="38" t="inlineStr">
        <is>
          <t>Graduate; relevant certification preferred</t>
        </is>
      </c>
      <c r="AV564" s="38" t="inlineStr">
        <is>
          <t>None · guides 1–3 juniors informally</t>
        </is>
      </c>
      <c r="AW564" s="38" t="inlineStr">
        <is>
          <t>P2 · SFIA 3 Apply</t>
        </is>
      </c>
      <c r="AX5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4" s="39" t="inlineStr">
        <is>
          <t>A3</t>
        </is>
      </c>
      <c r="AZ564" s="40" t="inlineStr">
        <is>
          <t>Band A · Practitioner · Senior Associate</t>
        </is>
      </c>
      <c r="BA564" s="40" t="inlineStr">
        <is>
          <t>Model A3 from the six ratings, the market-derived weights and rules R1–R13 · then No change · already below the manager</t>
        </is>
      </c>
      <c r="BB564" s="41" t="inlineStr">
        <is>
          <t>A2</t>
        </is>
      </c>
      <c r="BC564" s="40" t="inlineStr">
        <is>
          <t>The six ratings on the market-average weights of Band A · all tracks score 2.10 → A2 · Hay, Mercer IPE and public plans · experience 3.6 yrs vs the A2 market range 0–3</t>
        </is>
      </c>
      <c r="BD564" s="42">
        <f>IF(SUM(BM564,BN564,BO564,BP564,BQ564,BR564,BS564)=0,0,(BM564*BT564+BN564*BU564+BO564*BV564+BP564*BW564+BQ564*BX564+BR564*BY564+BS564*BZ564)/SUM(BM564,BN564,BO564,BP564,BQ564,BR564,BS564))</f>
        <v>0</v>
      </c>
      <c r="BE564" s="41" t="str">
        <f>IF(LEFT(AY564,1)="X",AY564,IF(OR(AY564="B+",AY564="C+"),INDEX(LAD_PC,MAX(1,MIN(14,MATCH(AY564,LAD_PC,0)+IF(BD564&gt;=0.5,1,IF(BD564&lt;=-0.5,-1,0))))),INDEX(LAD_STD,MAX(1,MIN(12,MATCH(AY564,LAD_STD,0)+IF(BD564&gt;=0.5,1,IF(BD564&lt;=-0.5,-1,0)))))))</f>
        <v>A3</v>
      </c>
      <c r="BF564" s="43" t="n"/>
      <c r="BG564" s="41" t="str">
        <f>IF(BF564&lt;&gt;"",BF564,BE564)</f>
        <v>A3</v>
      </c>
      <c r="BH564" s="40" t="str">
        <f>IFERROR(CHOOSE(INDEX(B_RANK,MATCH(BG564,B_LVL,0)),"Band A","Band B","B+ · Player-Coach","Band C","C+ · Player-Coach","Band D","Band E"),"Band X · Consultant")</f>
        <v>Band A</v>
      </c>
      <c r="BI564" s="40" t="str">
        <f>IF(BG564=AY564,"• Same",IF(INDEX(B_VAL,MATCH(BG564,B_LVL,0))&gt;INDEX(B_VAL,MATCH(AY564,B_LVL,0)),"▲ Up","▼ Down"))</f>
        <v>• Same</v>
      </c>
      <c r="BJ564" s="40" t="str">
        <f>IF(OR($M564="",$M564="—",$M564="Not in this file"),"",IFERROR(INDEX($BG$7:$BG$592,MATCH($M564,$D$7:$D$592,0)),""))</f>
        <v>B1</v>
      </c>
      <c r="BK564" s="40" t="str">
        <f>IFERROR(IF(BJ564="","—",IF(OR(LEFT(BG564,1)="X",LEFT(BJ564,1)="X"),"—",IF(AND(LEFT(BG564,1)="E",LEFT(BJ564,1)="E"),"Exception · Band E",IF(AND(INDEX(B_VAL,MATCH(BJ564,B_LVL,0))&gt;=7,INDEX(B_RANK,MATCH(BG564,B_LVL,0))&gt;=INDEX(B_RANK,MATCH(BJ564,B_LVL,0))),"⚠ Same band as a head manager",IF(INDEX(B_VAL,MATCH(BG564,B_LVL,0))&gt;=INDEX(B_VAL,MATCH(BJ564,B_LVL,0)),"⚠ At or above the manager's level","OK"))))),"—")</f>
        <v>OK</v>
      </c>
      <c r="BL564" s="43" t="n"/>
      <c r="BM564" s="44">
        <f>IFERROR(INDEX(LMH_PTS,MATCH(Y564,LMH_KEY,0)),0)</f>
        <v>9</v>
      </c>
      <c r="BN564" s="38">
        <f>IFERROR(INDEX(LMH_PTS,MATCH(Z564,LMH_KEY,0)),0)</f>
        <v>3</v>
      </c>
      <c r="BO564" s="38">
        <f>IFERROR(INDEX(LMH_PTS,MATCH(AA564,LMH_KEY,0)),0)</f>
        <v>1</v>
      </c>
      <c r="BP564" s="38">
        <f>IFERROR(INDEX(LMH_PTS,MATCH(AB564,LMH_KEY,0)),0)</f>
        <v>1</v>
      </c>
      <c r="BQ564" s="38">
        <f>IFERROR(INDEX(LMH_PTS,MATCH(AC564,LMH_KEY,0)),0)</f>
        <v>1</v>
      </c>
      <c r="BR564" s="38">
        <f>IFERROR(INDEX(LMH_PTS,MATCH(AD564,LMH_KEY,0)),0)</f>
        <v>1</v>
      </c>
      <c r="BS564" s="38">
        <f>IFERROR(INDEX(LMH_PTS,MATCH(AE564,LMH_KEY,0)),0)</f>
        <v>1</v>
      </c>
      <c r="BT564" s="38">
        <f>IFERROR(INDEX(LMH_STEP,MATCH(AF564,LMH_KEY,0)),0)</f>
        <v>0</v>
      </c>
      <c r="BU564" s="38">
        <f>IFERROR(INDEX(LMH_STEP,MATCH(AG564,LMH_KEY,0)),0)</f>
        <v>0</v>
      </c>
      <c r="BV564" s="38">
        <f>IFERROR(INDEX(LMH_STEP,MATCH(AH564,LMH_KEY,0)),0)</f>
        <v>0</v>
      </c>
      <c r="BW564" s="38">
        <f>IFERROR(INDEX(LMH_STEP,MATCH(AI564,LMH_KEY,0)),0)</f>
        <v>0</v>
      </c>
      <c r="BX564" s="38">
        <f>IFERROR(INDEX(LMH_STEP,MATCH(AJ564,LMH_KEY,0)),0)</f>
        <v>0</v>
      </c>
      <c r="BY564" s="38">
        <f>IFERROR(INDEX(LMH_STEP,MATCH(AK564,LMH_KEY,0)),0)</f>
        <v>0</v>
      </c>
      <c r="BZ564" s="38">
        <f>IFERROR(INDEX(LMH_STEP,MATCH(AL564,LMH_KEY,0)),0)</f>
        <v>0</v>
      </c>
      <c r="CA564" s="38" t="inlineStr">
        <is>
          <t>Corporate|IT &amp; Infrastructure|Senior System Administrator|A3|A</t>
        </is>
      </c>
    </row>
    <row r="565" ht="110" customHeight="1">
      <c r="A565" s="28" t="inlineStr">
        <is>
          <t>Corporate</t>
        </is>
      </c>
      <c r="B565" s="29" t="inlineStr">
        <is>
          <t>IT &amp; Infrastructure</t>
        </is>
      </c>
      <c r="C565" s="29" t="n">
        <v>3</v>
      </c>
      <c r="D565" s="29" t="inlineStr">
        <is>
          <t>IRIS2315</t>
        </is>
      </c>
      <c r="E565" s="29" t="inlineStr">
        <is>
          <t>Gouri Kohale</t>
        </is>
      </c>
      <c r="F565" s="29" t="inlineStr">
        <is>
          <t>System Administrator</t>
        </is>
      </c>
      <c r="G565" s="29" t="inlineStr">
        <is>
          <t>Senior System Administrator</t>
        </is>
      </c>
      <c r="H565" s="29" t="inlineStr">
        <is>
          <t>IT &amp; Infrastructure</t>
        </is>
      </c>
      <c r="I565" s="29" t="inlineStr">
        <is>
          <t>Infrastructure &amp; Cloud Operations</t>
        </is>
      </c>
      <c r="J565" s="29" t="inlineStr">
        <is>
          <t>IC</t>
        </is>
      </c>
      <c r="K565" s="29" t="inlineStr">
        <is>
          <t>RC-108</t>
        </is>
      </c>
      <c r="L565" s="29" t="inlineStr">
        <is>
          <t>Vikas Mithbawkar</t>
        </is>
      </c>
      <c r="M565" s="29" t="inlineStr">
        <is>
          <t>IRIS0038</t>
        </is>
      </c>
      <c r="N565" s="29" t="n">
        <v>5.5</v>
      </c>
      <c r="O565" s="29" t="n">
        <v>2</v>
      </c>
      <c r="P565" s="29" t="inlineStr">
        <is>
          <t>B.E</t>
        </is>
      </c>
      <c r="Q565" s="29" t="inlineStr">
        <is>
          <t>Not in current mapping files</t>
        </is>
      </c>
      <c r="R565" s="29" t="inlineStr">
        <is>
          <t>A3</t>
        </is>
      </c>
      <c r="S565" s="30" t="inlineStr">
        <is>
          <t>20 of 20</t>
        </is>
      </c>
      <c r="T565" s="31"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t>
        </is>
      </c>
      <c r="U565" s="32" t="inlineStr">
        <is>
          <t>KRAs not received · manager to supply</t>
        </is>
      </c>
      <c r="V565" s="31" t="inlineStr">
        <is>
          <t>Latest rating: Not rated · manager · 9-box: Not placed · manager · Readiness: No rating data</t>
        </is>
      </c>
      <c r="W565" s="31" t="inlineStr">
        <is>
          <t>C M · Au M · Ac M · L L · BI M · Exp H · 5.5 yrs vs 2–4 yrs · Edu M · B.E</t>
        </is>
      </c>
      <c r="X565" s="33" t="inlineStr">
        <is>
          <t>Open ▸</t>
        </is>
      </c>
      <c r="Y565" s="34" t="str">
        <f>IFERROR(INDEX(DL_C,MATCH($CA565,DL_KEY,0)),"M")</f>
        <v>H</v>
      </c>
      <c r="Z565" s="35" t="str">
        <f>IFERROR(INDEX(DL_Au,MATCH($CA565,DL_KEY,0)),"M")</f>
        <v>M</v>
      </c>
      <c r="AA565" s="35" t="str">
        <f>IFERROR(INDEX(DL_Ac,MATCH($CA565,DL_KEY,0)),"M")</f>
        <v>L</v>
      </c>
      <c r="AB565" s="35" t="str">
        <f>IFERROR(INDEX(DL_L,MATCH($CA565,DL_KEY,0)),"M")</f>
        <v>L</v>
      </c>
      <c r="AC565" s="35" t="str">
        <f>IFERROR(INDEX(DL_BI,MATCH($CA565,DL_KEY,0)),"M")</f>
        <v>L</v>
      </c>
      <c r="AD565" s="35" t="str">
        <f>IFERROR(INDEX(DL_Exp,MATCH($CA565,DL_KEY,0)),"M")</f>
        <v>L</v>
      </c>
      <c r="AE565" s="35" t="str">
        <f>IFERROR(INDEX(DL_Edu,MATCH($CA565,DL_KEY,0)),"M")</f>
        <v>L</v>
      </c>
      <c r="AF565" s="34" t="inlineStr">
        <is>
          <t>M</t>
        </is>
      </c>
      <c r="AG565" s="35" t="inlineStr">
        <is>
          <t>M</t>
        </is>
      </c>
      <c r="AH565" s="35" t="inlineStr">
        <is>
          <t>M</t>
        </is>
      </c>
      <c r="AI565" s="35" t="inlineStr">
        <is>
          <t>M</t>
        </is>
      </c>
      <c r="AJ565" s="35" t="inlineStr">
        <is>
          <t>M</t>
        </is>
      </c>
      <c r="AK565" s="35" t="inlineStr">
        <is>
          <t>M</t>
        </is>
      </c>
      <c r="AL565" s="35" t="inlineStr">
        <is>
          <t>M</t>
        </is>
      </c>
      <c r="AM565" s="36" t="n">
        <v>0.583</v>
      </c>
      <c r="AN565" s="37" t="n">
        <v>0.16</v>
      </c>
      <c r="AO565" s="37" t="n">
        <v>0.09</v>
      </c>
      <c r="AP565" s="37" t="n">
        <v>0</v>
      </c>
      <c r="AQ565" s="37" t="n">
        <v>0.063</v>
      </c>
      <c r="AR565" s="37" t="n">
        <v>0.06</v>
      </c>
      <c r="AS565" s="37" t="n">
        <v>0.04</v>
      </c>
      <c r="AT565" s="38" t="inlineStr">
        <is>
          <t>2–5</t>
        </is>
      </c>
      <c r="AU565" s="38" t="inlineStr">
        <is>
          <t>Graduate; relevant certification preferred</t>
        </is>
      </c>
      <c r="AV565" s="38" t="inlineStr">
        <is>
          <t>None · guides 1–3 juniors informally</t>
        </is>
      </c>
      <c r="AW565" s="38" t="inlineStr">
        <is>
          <t>P2 · SFIA 3 Apply</t>
        </is>
      </c>
      <c r="AX5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5" s="39" t="inlineStr">
        <is>
          <t>A3</t>
        </is>
      </c>
      <c r="AZ565" s="40" t="inlineStr">
        <is>
          <t>Band A · Practitioner · Senior Associate</t>
        </is>
      </c>
      <c r="BA565" s="40" t="inlineStr">
        <is>
          <t>Model A3 from the six ratings, the market-derived weights and rules R1–R13 · then No change · already below the manager</t>
        </is>
      </c>
      <c r="BB565" s="41" t="inlineStr">
        <is>
          <t>A3</t>
        </is>
      </c>
      <c r="BC565" s="40" t="inlineStr">
        <is>
          <t>The six ratings on the market-average weights of Band A · all tracks score 2.65 → A3 · Hay, Mercer IPE and public plans · experience 5.5 yrs vs the A3 market range 2–5</t>
        </is>
      </c>
      <c r="BD565" s="42">
        <f>IF(SUM(BM565,BN565,BO565,BP565,BQ565,BR565,BS565)=0,0,(BM565*BT565+BN565*BU565+BO565*BV565+BP565*BW565+BQ565*BX565+BR565*BY565+BS565*BZ565)/SUM(BM565,BN565,BO565,BP565,BQ565,BR565,BS565))</f>
        <v>0</v>
      </c>
      <c r="BE565" s="41" t="str">
        <f>IF(LEFT(AY565,1)="X",AY565,IF(OR(AY565="B+",AY565="C+"),INDEX(LAD_PC,MAX(1,MIN(14,MATCH(AY565,LAD_PC,0)+IF(BD565&gt;=0.5,1,IF(BD565&lt;=-0.5,-1,0))))),INDEX(LAD_STD,MAX(1,MIN(12,MATCH(AY565,LAD_STD,0)+IF(BD565&gt;=0.5,1,IF(BD565&lt;=-0.5,-1,0)))))))</f>
        <v>A3</v>
      </c>
      <c r="BF565" s="43" t="n"/>
      <c r="BG565" s="41" t="str">
        <f>IF(BF565&lt;&gt;"",BF565,BE565)</f>
        <v>A3</v>
      </c>
      <c r="BH565" s="40" t="str">
        <f>IFERROR(CHOOSE(INDEX(B_RANK,MATCH(BG565,B_LVL,0)),"Band A","Band B","B+ · Player-Coach","Band C","C+ · Player-Coach","Band D","Band E"),"Band X · Consultant")</f>
        <v>Band A</v>
      </c>
      <c r="BI565" s="40" t="str">
        <f>IF(BG565=AY565,"• Same",IF(INDEX(B_VAL,MATCH(BG565,B_LVL,0))&gt;INDEX(B_VAL,MATCH(AY565,B_LVL,0)),"▲ Up","▼ Down"))</f>
        <v>• Same</v>
      </c>
      <c r="BJ565" s="40" t="str">
        <f>IF(OR($M565="",$M565="—",$M565="Not in this file"),"",IFERROR(INDEX($BG$7:$BG$592,MATCH($M565,$D$7:$D$592,0)),""))</f>
        <v>B1</v>
      </c>
      <c r="BK565" s="40" t="str">
        <f>IFERROR(IF(BJ565="","—",IF(OR(LEFT(BG565,1)="X",LEFT(BJ565,1)="X"),"—",IF(AND(LEFT(BG565,1)="E",LEFT(BJ565,1)="E"),"Exception · Band E",IF(AND(INDEX(B_VAL,MATCH(BJ565,B_LVL,0))&gt;=7,INDEX(B_RANK,MATCH(BG565,B_LVL,0))&gt;=INDEX(B_RANK,MATCH(BJ565,B_LVL,0))),"⚠ Same band as a head manager",IF(INDEX(B_VAL,MATCH(BG565,B_LVL,0))&gt;=INDEX(B_VAL,MATCH(BJ565,B_LVL,0)),"⚠ At or above the manager's level","OK"))))),"—")</f>
        <v>OK</v>
      </c>
      <c r="BL565" s="43" t="n"/>
      <c r="BM565" s="44">
        <f>IFERROR(INDEX(LMH_PTS,MATCH(Y565,LMH_KEY,0)),0)</f>
        <v>9</v>
      </c>
      <c r="BN565" s="38">
        <f>IFERROR(INDEX(LMH_PTS,MATCH(Z565,LMH_KEY,0)),0)</f>
        <v>3</v>
      </c>
      <c r="BO565" s="38">
        <f>IFERROR(INDEX(LMH_PTS,MATCH(AA565,LMH_KEY,0)),0)</f>
        <v>1</v>
      </c>
      <c r="BP565" s="38">
        <f>IFERROR(INDEX(LMH_PTS,MATCH(AB565,LMH_KEY,0)),0)</f>
        <v>1</v>
      </c>
      <c r="BQ565" s="38">
        <f>IFERROR(INDEX(LMH_PTS,MATCH(AC565,LMH_KEY,0)),0)</f>
        <v>1</v>
      </c>
      <c r="BR565" s="38">
        <f>IFERROR(INDEX(LMH_PTS,MATCH(AD565,LMH_KEY,0)),0)</f>
        <v>1</v>
      </c>
      <c r="BS565" s="38">
        <f>IFERROR(INDEX(LMH_PTS,MATCH(AE565,LMH_KEY,0)),0)</f>
        <v>1</v>
      </c>
      <c r="BT565" s="38">
        <f>IFERROR(INDEX(LMH_STEP,MATCH(AF565,LMH_KEY,0)),0)</f>
        <v>0</v>
      </c>
      <c r="BU565" s="38">
        <f>IFERROR(INDEX(LMH_STEP,MATCH(AG565,LMH_KEY,0)),0)</f>
        <v>0</v>
      </c>
      <c r="BV565" s="38">
        <f>IFERROR(INDEX(LMH_STEP,MATCH(AH565,LMH_KEY,0)),0)</f>
        <v>0</v>
      </c>
      <c r="BW565" s="38">
        <f>IFERROR(INDEX(LMH_STEP,MATCH(AI565,LMH_KEY,0)),0)</f>
        <v>0</v>
      </c>
      <c r="BX565" s="38">
        <f>IFERROR(INDEX(LMH_STEP,MATCH(AJ565,LMH_KEY,0)),0)</f>
        <v>0</v>
      </c>
      <c r="BY565" s="38">
        <f>IFERROR(INDEX(LMH_STEP,MATCH(AK565,LMH_KEY,0)),0)</f>
        <v>0</v>
      </c>
      <c r="BZ565" s="38">
        <f>IFERROR(INDEX(LMH_STEP,MATCH(AL565,LMH_KEY,0)),0)</f>
        <v>0</v>
      </c>
      <c r="CA565" s="38" t="inlineStr">
        <is>
          <t>Corporate|IT &amp; Infrastructure|Senior System Administrator|A3|A</t>
        </is>
      </c>
    </row>
    <row r="566" ht="110" customHeight="1">
      <c r="A566" s="28" t="inlineStr">
        <is>
          <t>Corporate</t>
        </is>
      </c>
      <c r="B566" s="29" t="inlineStr">
        <is>
          <t>IT &amp; Infrastructure</t>
        </is>
      </c>
      <c r="C566" s="29" t="n">
        <v>3</v>
      </c>
      <c r="D566" s="29" t="inlineStr">
        <is>
          <t>IRIS2206</t>
        </is>
      </c>
      <c r="E566" s="29" t="inlineStr">
        <is>
          <t>Hemant Chordekar</t>
        </is>
      </c>
      <c r="F566" s="29" t="inlineStr">
        <is>
          <t>System Administrator</t>
        </is>
      </c>
      <c r="G566" s="29" t="inlineStr">
        <is>
          <t>Infrastructure Specialist</t>
        </is>
      </c>
      <c r="H566" s="29" t="inlineStr">
        <is>
          <t>IT &amp; Infrastructure</t>
        </is>
      </c>
      <c r="I566" s="29" t="inlineStr">
        <is>
          <t>Infrastructure &amp; Cloud Operations</t>
        </is>
      </c>
      <c r="J566" s="29" t="inlineStr">
        <is>
          <t>IC</t>
        </is>
      </c>
      <c r="K566" s="29" t="inlineStr">
        <is>
          <t>RC-108</t>
        </is>
      </c>
      <c r="L566" s="29" t="inlineStr">
        <is>
          <t>Vikas Mithbawkar</t>
        </is>
      </c>
      <c r="M566" s="29" t="inlineStr">
        <is>
          <t>IRIS0038</t>
        </is>
      </c>
      <c r="N566" s="29" t="n">
        <v>20.7</v>
      </c>
      <c r="O566" s="29" t="n">
        <v>2.9</v>
      </c>
      <c r="P566" s="29" t="inlineStr">
        <is>
          <t>Undergraduate</t>
        </is>
      </c>
      <c r="Q566" s="29" t="inlineStr">
        <is>
          <t>Not in current mapping files</t>
        </is>
      </c>
      <c r="R566" s="29" t="inlineStr">
        <is>
          <t>A3</t>
        </is>
      </c>
      <c r="S566" s="30" t="inlineStr">
        <is>
          <t>0 of 20</t>
        </is>
      </c>
      <c r="T566" s="31" t="inlineStr">
        <is>
          <t>Business Impact: No survey or manager-mapping signal on criticality: kept at the start point.</t>
        </is>
      </c>
      <c r="U566" s="32" t="inlineStr">
        <is>
          <t>KRAs not received · manager to supply</t>
        </is>
      </c>
      <c r="V566" s="31" t="inlineStr">
        <is>
          <t>Latest rating: Not rated · manager · 9-box: Not placed · manager · Readiness: No rating data</t>
        </is>
      </c>
      <c r="W566" s="31" t="inlineStr">
        <is>
          <t>C M · Au M · Ac M · L L · BI M · Exp H · 20.7 yrs vs 2–4 yrs · Edu L · Undergraduate</t>
        </is>
      </c>
      <c r="X566" s="33" t="inlineStr">
        <is>
          <t>Open ▸</t>
        </is>
      </c>
      <c r="Y566" s="34" t="str">
        <f>IFERROR(INDEX(DL_C,MATCH($CA566,DL_KEY,0)),"M")</f>
        <v>H</v>
      </c>
      <c r="Z566" s="35" t="str">
        <f>IFERROR(INDEX(DL_Au,MATCH($CA566,DL_KEY,0)),"M")</f>
        <v>M</v>
      </c>
      <c r="AA566" s="35" t="str">
        <f>IFERROR(INDEX(DL_Ac,MATCH($CA566,DL_KEY,0)),"M")</f>
        <v>L</v>
      </c>
      <c r="AB566" s="35" t="str">
        <f>IFERROR(INDEX(DL_L,MATCH($CA566,DL_KEY,0)),"M")</f>
        <v>L</v>
      </c>
      <c r="AC566" s="35" t="str">
        <f>IFERROR(INDEX(DL_BI,MATCH($CA566,DL_KEY,0)),"M")</f>
        <v>L</v>
      </c>
      <c r="AD566" s="35" t="str">
        <f>IFERROR(INDEX(DL_Exp,MATCH($CA566,DL_KEY,0)),"M")</f>
        <v>L</v>
      </c>
      <c r="AE566" s="35" t="str">
        <f>IFERROR(INDEX(DL_Edu,MATCH($CA566,DL_KEY,0)),"M")</f>
        <v>L</v>
      </c>
      <c r="AF566" s="34" t="inlineStr">
        <is>
          <t>M</t>
        </is>
      </c>
      <c r="AG566" s="35" t="inlineStr">
        <is>
          <t>M</t>
        </is>
      </c>
      <c r="AH566" s="35" t="inlineStr">
        <is>
          <t>M</t>
        </is>
      </c>
      <c r="AI566" s="35" t="inlineStr">
        <is>
          <t>M</t>
        </is>
      </c>
      <c r="AJ566" s="35" t="inlineStr">
        <is>
          <t>M</t>
        </is>
      </c>
      <c r="AK566" s="35" t="inlineStr">
        <is>
          <t>M</t>
        </is>
      </c>
      <c r="AL566" s="35" t="inlineStr">
        <is>
          <t>M</t>
        </is>
      </c>
      <c r="AM566" s="36" t="n">
        <v>0.583</v>
      </c>
      <c r="AN566" s="37" t="n">
        <v>0.16</v>
      </c>
      <c r="AO566" s="37" t="n">
        <v>0.09</v>
      </c>
      <c r="AP566" s="37" t="n">
        <v>0</v>
      </c>
      <c r="AQ566" s="37" t="n">
        <v>0.063</v>
      </c>
      <c r="AR566" s="37" t="n">
        <v>0.06</v>
      </c>
      <c r="AS566" s="37" t="n">
        <v>0.04</v>
      </c>
      <c r="AT566" s="38" t="inlineStr">
        <is>
          <t>2–5</t>
        </is>
      </c>
      <c r="AU566" s="38" t="inlineStr">
        <is>
          <t>Graduate; relevant certification preferred</t>
        </is>
      </c>
      <c r="AV566" s="38" t="inlineStr">
        <is>
          <t>None · guides 1–3 juniors informally</t>
        </is>
      </c>
      <c r="AW566" s="38" t="inlineStr">
        <is>
          <t>P2 · SFIA 3 Apply</t>
        </is>
      </c>
      <c r="AX5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6" s="39" t="inlineStr">
        <is>
          <t>A3</t>
        </is>
      </c>
      <c r="AZ566" s="40" t="inlineStr">
        <is>
          <t>Band A · Practitioner · Senior Associate</t>
        </is>
      </c>
      <c r="BA566" s="40" t="inlineStr">
        <is>
          <t>Model A3 from the six ratings, the market-derived weights and rules R1–R13 · then No change · already below the manager</t>
        </is>
      </c>
      <c r="BB566" s="41" t="inlineStr">
        <is>
          <t>B1</t>
        </is>
      </c>
      <c r="BC566" s="40" t="inlineStr">
        <is>
          <t>The six ratings on the market-average weights of Band A · all tracks score 3.57 → B1 · Hay, Mercer IPE and public plans · experience 20.7 yrs vs the B1 market range 4–8</t>
        </is>
      </c>
      <c r="BD566" s="42">
        <f>IF(SUM(BM566,BN566,BO566,BP566,BQ566,BR566,BS566)=0,0,(BM566*BT566+BN566*BU566+BO566*BV566+BP566*BW566+BQ566*BX566+BR566*BY566+BS566*BZ566)/SUM(BM566,BN566,BO566,BP566,BQ566,BR566,BS566))</f>
        <v>0</v>
      </c>
      <c r="BE566" s="41" t="str">
        <f>IF(LEFT(AY566,1)="X",AY566,IF(OR(AY566="B+",AY566="C+"),INDEX(LAD_PC,MAX(1,MIN(14,MATCH(AY566,LAD_PC,0)+IF(BD566&gt;=0.5,1,IF(BD566&lt;=-0.5,-1,0))))),INDEX(LAD_STD,MAX(1,MIN(12,MATCH(AY566,LAD_STD,0)+IF(BD566&gt;=0.5,1,IF(BD566&lt;=-0.5,-1,0)))))))</f>
        <v>A3</v>
      </c>
      <c r="BF566" s="43" t="n"/>
      <c r="BG566" s="41" t="str">
        <f>IF(BF566&lt;&gt;"",BF566,BE566)</f>
        <v>A3</v>
      </c>
      <c r="BH566" s="40" t="str">
        <f>IFERROR(CHOOSE(INDEX(B_RANK,MATCH(BG566,B_LVL,0)),"Band A","Band B","B+ · Player-Coach","Band C","C+ · Player-Coach","Band D","Band E"),"Band X · Consultant")</f>
        <v>Band A</v>
      </c>
      <c r="BI566" s="40" t="str">
        <f>IF(BG566=AY566,"• Same",IF(INDEX(B_VAL,MATCH(BG566,B_LVL,0))&gt;INDEX(B_VAL,MATCH(AY566,B_LVL,0)),"▲ Up","▼ Down"))</f>
        <v>• Same</v>
      </c>
      <c r="BJ566" s="40" t="str">
        <f>IF(OR($M566="",$M566="—",$M566="Not in this file"),"",IFERROR(INDEX($BG$7:$BG$592,MATCH($M566,$D$7:$D$592,0)),""))</f>
        <v>B1</v>
      </c>
      <c r="BK566" s="40" t="str">
        <f>IFERROR(IF(BJ566="","—",IF(OR(LEFT(BG566,1)="X",LEFT(BJ566,1)="X"),"—",IF(AND(LEFT(BG566,1)="E",LEFT(BJ566,1)="E"),"Exception · Band E",IF(AND(INDEX(B_VAL,MATCH(BJ566,B_LVL,0))&gt;=7,INDEX(B_RANK,MATCH(BG566,B_LVL,0))&gt;=INDEX(B_RANK,MATCH(BJ566,B_LVL,0))),"⚠ Same band as a head manager",IF(INDEX(B_VAL,MATCH(BG566,B_LVL,0))&gt;=INDEX(B_VAL,MATCH(BJ566,B_LVL,0)),"⚠ At or above the manager's level","OK"))))),"—")</f>
        <v>OK</v>
      </c>
      <c r="BL566" s="43" t="n"/>
      <c r="BM566" s="44">
        <f>IFERROR(INDEX(LMH_PTS,MATCH(Y566,LMH_KEY,0)),0)</f>
        <v>9</v>
      </c>
      <c r="BN566" s="38">
        <f>IFERROR(INDEX(LMH_PTS,MATCH(Z566,LMH_KEY,0)),0)</f>
        <v>3</v>
      </c>
      <c r="BO566" s="38">
        <f>IFERROR(INDEX(LMH_PTS,MATCH(AA566,LMH_KEY,0)),0)</f>
        <v>1</v>
      </c>
      <c r="BP566" s="38">
        <f>IFERROR(INDEX(LMH_PTS,MATCH(AB566,LMH_KEY,0)),0)</f>
        <v>1</v>
      </c>
      <c r="BQ566" s="38">
        <f>IFERROR(INDEX(LMH_PTS,MATCH(AC566,LMH_KEY,0)),0)</f>
        <v>1</v>
      </c>
      <c r="BR566" s="38">
        <f>IFERROR(INDEX(LMH_PTS,MATCH(AD566,LMH_KEY,0)),0)</f>
        <v>1</v>
      </c>
      <c r="BS566" s="38">
        <f>IFERROR(INDEX(LMH_PTS,MATCH(AE566,LMH_KEY,0)),0)</f>
        <v>1</v>
      </c>
      <c r="BT566" s="38">
        <f>IFERROR(INDEX(LMH_STEP,MATCH(AF566,LMH_KEY,0)),0)</f>
        <v>0</v>
      </c>
      <c r="BU566" s="38">
        <f>IFERROR(INDEX(LMH_STEP,MATCH(AG566,LMH_KEY,0)),0)</f>
        <v>0</v>
      </c>
      <c r="BV566" s="38">
        <f>IFERROR(INDEX(LMH_STEP,MATCH(AH566,LMH_KEY,0)),0)</f>
        <v>0</v>
      </c>
      <c r="BW566" s="38">
        <f>IFERROR(INDEX(LMH_STEP,MATCH(AI566,LMH_KEY,0)),0)</f>
        <v>0</v>
      </c>
      <c r="BX566" s="38">
        <f>IFERROR(INDEX(LMH_STEP,MATCH(AJ566,LMH_KEY,0)),0)</f>
        <v>0</v>
      </c>
      <c r="BY566" s="38">
        <f>IFERROR(INDEX(LMH_STEP,MATCH(AK566,LMH_KEY,0)),0)</f>
        <v>0</v>
      </c>
      <c r="BZ566" s="38">
        <f>IFERROR(INDEX(LMH_STEP,MATCH(AL566,LMH_KEY,0)),0)</f>
        <v>0</v>
      </c>
      <c r="CA566" s="38" t="inlineStr">
        <is>
          <t>Corporate|IT &amp; Infrastructure|Infrastructure Specialist|A3|A</t>
        </is>
      </c>
    </row>
    <row r="567" ht="110" customHeight="1">
      <c r="A567" s="28" t="inlineStr">
        <is>
          <t>Corporate</t>
        </is>
      </c>
      <c r="B567" s="29" t="inlineStr">
        <is>
          <t>IT &amp; Infrastructure</t>
        </is>
      </c>
      <c r="C567" s="29" t="n">
        <v>3</v>
      </c>
      <c r="D567" s="29" t="inlineStr">
        <is>
          <t>IRISC298</t>
        </is>
      </c>
      <c r="E567" s="29" t="inlineStr">
        <is>
          <t>Ketan Balbhadra Yadav</t>
        </is>
      </c>
      <c r="F567" s="29" t="inlineStr">
        <is>
          <t>Consultant</t>
        </is>
      </c>
      <c r="G567" s="29" t="inlineStr">
        <is>
          <t>Senior System Administrator</t>
        </is>
      </c>
      <c r="H567" s="29" t="inlineStr">
        <is>
          <t>IT &amp; Infrastructure</t>
        </is>
      </c>
      <c r="I567" s="29" t="inlineStr">
        <is>
          <t>Infrastructure &amp; Cloud Operations</t>
        </is>
      </c>
      <c r="J567" s="29" t="inlineStr">
        <is>
          <t>IC</t>
        </is>
      </c>
      <c r="K567" s="29" t="inlineStr">
        <is>
          <t>RC-108</t>
        </is>
      </c>
      <c r="L567" s="29" t="inlineStr">
        <is>
          <t>Vikas Mithbawkar</t>
        </is>
      </c>
      <c r="M567" s="29" t="inlineStr">
        <is>
          <t>IRIS0038</t>
        </is>
      </c>
      <c r="N567" s="29" t="n">
        <v>3.4</v>
      </c>
      <c r="O567" s="29" t="n">
        <v>1.9</v>
      </c>
      <c r="P567" s="29" t="inlineStr">
        <is>
          <t>B.SC</t>
        </is>
      </c>
      <c r="Q567" s="29" t="inlineStr">
        <is>
          <t>Not in current mapping files</t>
        </is>
      </c>
      <c r="R567" s="29" t="inlineStr">
        <is>
          <t>A3</t>
        </is>
      </c>
      <c r="S567" s="30" t="inlineStr">
        <is>
          <t>20 of 20</t>
        </is>
      </c>
      <c r="T56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67" s="32" t="inlineStr">
        <is>
          <t>KRAs not received · manager to supply</t>
        </is>
      </c>
      <c r="V567" s="31" t="inlineStr">
        <is>
          <t>Latest rating: Not rated · manager · 9-box: Not placed · manager · Readiness: No rating data</t>
        </is>
      </c>
      <c r="W567" s="31" t="inlineStr">
        <is>
          <t>C L · Au L · Ac L · L L · BI L · Exp M · 3.4 yrs vs 2–4 yrs · Edu M · B.SC</t>
        </is>
      </c>
      <c r="X567" s="33" t="inlineStr">
        <is>
          <t>Open ▸</t>
        </is>
      </c>
      <c r="Y567" s="34" t="str">
        <f>IFERROR(INDEX(DL_C,MATCH($CA567,DL_KEY,0)),"M")</f>
        <v>H</v>
      </c>
      <c r="Z567" s="35" t="str">
        <f>IFERROR(INDEX(DL_Au,MATCH($CA567,DL_KEY,0)),"M")</f>
        <v>M</v>
      </c>
      <c r="AA567" s="35" t="str">
        <f>IFERROR(INDEX(DL_Ac,MATCH($CA567,DL_KEY,0)),"M")</f>
        <v>L</v>
      </c>
      <c r="AB567" s="35" t="str">
        <f>IFERROR(INDEX(DL_L,MATCH($CA567,DL_KEY,0)),"M")</f>
        <v>L</v>
      </c>
      <c r="AC567" s="35" t="str">
        <f>IFERROR(INDEX(DL_BI,MATCH($CA567,DL_KEY,0)),"M")</f>
        <v>L</v>
      </c>
      <c r="AD567" s="35" t="str">
        <f>IFERROR(INDEX(DL_Exp,MATCH($CA567,DL_KEY,0)),"M")</f>
        <v>L</v>
      </c>
      <c r="AE567" s="35" t="str">
        <f>IFERROR(INDEX(DL_Edu,MATCH($CA567,DL_KEY,0)),"M")</f>
        <v>L</v>
      </c>
      <c r="AF567" s="34" t="inlineStr">
        <is>
          <t>M</t>
        </is>
      </c>
      <c r="AG567" s="35" t="inlineStr">
        <is>
          <t>M</t>
        </is>
      </c>
      <c r="AH567" s="35" t="inlineStr">
        <is>
          <t>M</t>
        </is>
      </c>
      <c r="AI567" s="35" t="inlineStr">
        <is>
          <t>M</t>
        </is>
      </c>
      <c r="AJ567" s="35" t="inlineStr">
        <is>
          <t>M</t>
        </is>
      </c>
      <c r="AK567" s="35" t="inlineStr">
        <is>
          <t>M</t>
        </is>
      </c>
      <c r="AL567" s="35" t="inlineStr">
        <is>
          <t>M</t>
        </is>
      </c>
      <c r="AM567" s="36" t="n">
        <v>0.583</v>
      </c>
      <c r="AN567" s="37" t="n">
        <v>0.16</v>
      </c>
      <c r="AO567" s="37" t="n">
        <v>0.09</v>
      </c>
      <c r="AP567" s="37" t="n">
        <v>0</v>
      </c>
      <c r="AQ567" s="37" t="n">
        <v>0.063</v>
      </c>
      <c r="AR567" s="37" t="n">
        <v>0.06</v>
      </c>
      <c r="AS567" s="37" t="n">
        <v>0.04</v>
      </c>
      <c r="AT567" s="38" t="inlineStr">
        <is>
          <t>2–5</t>
        </is>
      </c>
      <c r="AU567" s="38" t="inlineStr">
        <is>
          <t>Graduate; relevant certification preferred</t>
        </is>
      </c>
      <c r="AV567" s="38" t="inlineStr">
        <is>
          <t>None · guides 1–3 juniors informally</t>
        </is>
      </c>
      <c r="AW567" s="38" t="inlineStr">
        <is>
          <t>P2 · SFIA 3 Apply</t>
        </is>
      </c>
      <c r="AX5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7" s="39" t="inlineStr">
        <is>
          <t>A3</t>
        </is>
      </c>
      <c r="AZ567" s="40" t="inlineStr">
        <is>
          <t>Band A · Practitioner · Senior Associate</t>
        </is>
      </c>
      <c r="BA567" s="40" t="inlineStr">
        <is>
          <t>Model A3 from the six ratings, the market-derived weights and rules R1–R13 · then No change · already below the manager</t>
        </is>
      </c>
      <c r="BB567" s="41" t="inlineStr">
        <is>
          <t>A2</t>
        </is>
      </c>
      <c r="BC567" s="40" t="inlineStr">
        <is>
          <t>The six ratings on the market-average weights of Band A · all tracks score 2.10 → A2 · Hay, Mercer IPE and public plans · experience 3.4 yrs vs the A2 market range 0–3</t>
        </is>
      </c>
      <c r="BD567" s="42">
        <f>IF(SUM(BM567,BN567,BO567,BP567,BQ567,BR567,BS567)=0,0,(BM567*BT567+BN567*BU567+BO567*BV567+BP567*BW567+BQ567*BX567+BR567*BY567+BS567*BZ567)/SUM(BM567,BN567,BO567,BP567,BQ567,BR567,BS567))</f>
        <v>0</v>
      </c>
      <c r="BE567" s="41" t="str">
        <f>IF(LEFT(AY567,1)="X",AY567,IF(OR(AY567="B+",AY567="C+"),INDEX(LAD_PC,MAX(1,MIN(14,MATCH(AY567,LAD_PC,0)+IF(BD567&gt;=0.5,1,IF(BD567&lt;=-0.5,-1,0))))),INDEX(LAD_STD,MAX(1,MIN(12,MATCH(AY567,LAD_STD,0)+IF(BD567&gt;=0.5,1,IF(BD567&lt;=-0.5,-1,0)))))))</f>
        <v>A3</v>
      </c>
      <c r="BF567" s="43" t="n"/>
      <c r="BG567" s="41" t="str">
        <f>IF(BF567&lt;&gt;"",BF567,BE567)</f>
        <v>A3</v>
      </c>
      <c r="BH567" s="40" t="str">
        <f>IFERROR(CHOOSE(INDEX(B_RANK,MATCH(BG567,B_LVL,0)),"Band A","Band B","B+ · Player-Coach","Band C","C+ · Player-Coach","Band D","Band E"),"Band X · Consultant")</f>
        <v>Band A</v>
      </c>
      <c r="BI567" s="40" t="str">
        <f>IF(BG567=AY567,"• Same",IF(INDEX(B_VAL,MATCH(BG567,B_LVL,0))&gt;INDEX(B_VAL,MATCH(AY567,B_LVL,0)),"▲ Up","▼ Down"))</f>
        <v>• Same</v>
      </c>
      <c r="BJ567" s="40" t="str">
        <f>IF(OR($M567="",$M567="—",$M567="Not in this file"),"",IFERROR(INDEX($BG$7:$BG$592,MATCH($M567,$D$7:$D$592,0)),""))</f>
        <v>B1</v>
      </c>
      <c r="BK567" s="40" t="str">
        <f>IFERROR(IF(BJ567="","—",IF(OR(LEFT(BG567,1)="X",LEFT(BJ567,1)="X"),"—",IF(AND(LEFT(BG567,1)="E",LEFT(BJ567,1)="E"),"Exception · Band E",IF(AND(INDEX(B_VAL,MATCH(BJ567,B_LVL,0))&gt;=7,INDEX(B_RANK,MATCH(BG567,B_LVL,0))&gt;=INDEX(B_RANK,MATCH(BJ567,B_LVL,0))),"⚠ Same band as a head manager",IF(INDEX(B_VAL,MATCH(BG567,B_LVL,0))&gt;=INDEX(B_VAL,MATCH(BJ567,B_LVL,0)),"⚠ At or above the manager's level","OK"))))),"—")</f>
        <v>OK</v>
      </c>
      <c r="BL567" s="43" t="n"/>
      <c r="BM567" s="44">
        <f>IFERROR(INDEX(LMH_PTS,MATCH(Y567,LMH_KEY,0)),0)</f>
        <v>9</v>
      </c>
      <c r="BN567" s="38">
        <f>IFERROR(INDEX(LMH_PTS,MATCH(Z567,LMH_KEY,0)),0)</f>
        <v>3</v>
      </c>
      <c r="BO567" s="38">
        <f>IFERROR(INDEX(LMH_PTS,MATCH(AA567,LMH_KEY,0)),0)</f>
        <v>1</v>
      </c>
      <c r="BP567" s="38">
        <f>IFERROR(INDEX(LMH_PTS,MATCH(AB567,LMH_KEY,0)),0)</f>
        <v>1</v>
      </c>
      <c r="BQ567" s="38">
        <f>IFERROR(INDEX(LMH_PTS,MATCH(AC567,LMH_KEY,0)),0)</f>
        <v>1</v>
      </c>
      <c r="BR567" s="38">
        <f>IFERROR(INDEX(LMH_PTS,MATCH(AD567,LMH_KEY,0)),0)</f>
        <v>1</v>
      </c>
      <c r="BS567" s="38">
        <f>IFERROR(INDEX(LMH_PTS,MATCH(AE567,LMH_KEY,0)),0)</f>
        <v>1</v>
      </c>
      <c r="BT567" s="38">
        <f>IFERROR(INDEX(LMH_STEP,MATCH(AF567,LMH_KEY,0)),0)</f>
        <v>0</v>
      </c>
      <c r="BU567" s="38">
        <f>IFERROR(INDEX(LMH_STEP,MATCH(AG567,LMH_KEY,0)),0)</f>
        <v>0</v>
      </c>
      <c r="BV567" s="38">
        <f>IFERROR(INDEX(LMH_STEP,MATCH(AH567,LMH_KEY,0)),0)</f>
        <v>0</v>
      </c>
      <c r="BW567" s="38">
        <f>IFERROR(INDEX(LMH_STEP,MATCH(AI567,LMH_KEY,0)),0)</f>
        <v>0</v>
      </c>
      <c r="BX567" s="38">
        <f>IFERROR(INDEX(LMH_STEP,MATCH(AJ567,LMH_KEY,0)),0)</f>
        <v>0</v>
      </c>
      <c r="BY567" s="38">
        <f>IFERROR(INDEX(LMH_STEP,MATCH(AK567,LMH_KEY,0)),0)</f>
        <v>0</v>
      </c>
      <c r="BZ567" s="38">
        <f>IFERROR(INDEX(LMH_STEP,MATCH(AL567,LMH_KEY,0)),0)</f>
        <v>0</v>
      </c>
      <c r="CA567" s="38" t="inlineStr">
        <is>
          <t>Corporate|IT &amp; Infrastructure|Senior System Administrator|A3|A</t>
        </is>
      </c>
    </row>
    <row r="568" ht="110" customHeight="1">
      <c r="A568" s="28" t="inlineStr">
        <is>
          <t>Corporate</t>
        </is>
      </c>
      <c r="B568" s="29" t="inlineStr">
        <is>
          <t>IT &amp; Infrastructure</t>
        </is>
      </c>
      <c r="C568" s="29" t="n">
        <v>3</v>
      </c>
      <c r="D568" s="29" t="inlineStr">
        <is>
          <t>IRIS1998</t>
        </is>
      </c>
      <c r="E568" s="29" t="inlineStr">
        <is>
          <t>Nimit Sadafal</t>
        </is>
      </c>
      <c r="F568" s="29" t="inlineStr">
        <is>
          <t>System Administrator</t>
        </is>
      </c>
      <c r="G568" s="29" t="inlineStr">
        <is>
          <t>Senior System Administrator</t>
        </is>
      </c>
      <c r="H568" s="29" t="inlineStr">
        <is>
          <t>IT &amp; Infrastructure</t>
        </is>
      </c>
      <c r="I568" s="29" t="inlineStr">
        <is>
          <t>Infrastructure &amp; Cloud Operations</t>
        </is>
      </c>
      <c r="J568" s="29" t="inlineStr">
        <is>
          <t>IC</t>
        </is>
      </c>
      <c r="K568" s="29" t="inlineStr">
        <is>
          <t>RC-108</t>
        </is>
      </c>
      <c r="L568" s="29" t="inlineStr">
        <is>
          <t>Vikas Mithbawkar</t>
        </is>
      </c>
      <c r="M568" s="29" t="inlineStr">
        <is>
          <t>IRIS0038</t>
        </is>
      </c>
      <c r="N568" s="29" t="n">
        <v>13.6</v>
      </c>
      <c r="O568" s="29" t="n">
        <v>4.6</v>
      </c>
      <c r="P568" s="29" t="inlineStr">
        <is>
          <t>B.E</t>
        </is>
      </c>
      <c r="Q568" s="29" t="inlineStr">
        <is>
          <t>Not in current mapping files</t>
        </is>
      </c>
      <c r="R568" s="29" t="inlineStr">
        <is>
          <t>A3</t>
        </is>
      </c>
      <c r="S568" s="30" t="inlineStr">
        <is>
          <t>20 of 20</t>
        </is>
      </c>
      <c r="T568" s="31"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t>
        </is>
      </c>
      <c r="U568" s="32" t="inlineStr">
        <is>
          <t>KRAs not received · manager to supply</t>
        </is>
      </c>
      <c r="V568" s="31" t="inlineStr">
        <is>
          <t>Latest rating: Not rated · manager · 9-box: Not placed · manager · Readiness: No rating data</t>
        </is>
      </c>
      <c r="W568" s="31" t="inlineStr">
        <is>
          <t>C M · Au M · Ac M · L L · BI M · Exp H · 13.6 yrs vs 2–4 yrs · Edu M · B.E</t>
        </is>
      </c>
      <c r="X568" s="33" t="inlineStr">
        <is>
          <t>Open ▸</t>
        </is>
      </c>
      <c r="Y568" s="34" t="str">
        <f>IFERROR(INDEX(DL_C,MATCH($CA568,DL_KEY,0)),"M")</f>
        <v>H</v>
      </c>
      <c r="Z568" s="35" t="str">
        <f>IFERROR(INDEX(DL_Au,MATCH($CA568,DL_KEY,0)),"M")</f>
        <v>M</v>
      </c>
      <c r="AA568" s="35" t="str">
        <f>IFERROR(INDEX(DL_Ac,MATCH($CA568,DL_KEY,0)),"M")</f>
        <v>L</v>
      </c>
      <c r="AB568" s="35" t="str">
        <f>IFERROR(INDEX(DL_L,MATCH($CA568,DL_KEY,0)),"M")</f>
        <v>L</v>
      </c>
      <c r="AC568" s="35" t="str">
        <f>IFERROR(INDEX(DL_BI,MATCH($CA568,DL_KEY,0)),"M")</f>
        <v>L</v>
      </c>
      <c r="AD568" s="35" t="str">
        <f>IFERROR(INDEX(DL_Exp,MATCH($CA568,DL_KEY,0)),"M")</f>
        <v>L</v>
      </c>
      <c r="AE568" s="35" t="str">
        <f>IFERROR(INDEX(DL_Edu,MATCH($CA568,DL_KEY,0)),"M")</f>
        <v>L</v>
      </c>
      <c r="AF568" s="34" t="inlineStr">
        <is>
          <t>M</t>
        </is>
      </c>
      <c r="AG568" s="35" t="inlineStr">
        <is>
          <t>M</t>
        </is>
      </c>
      <c r="AH568" s="35" t="inlineStr">
        <is>
          <t>M</t>
        </is>
      </c>
      <c r="AI568" s="35" t="inlineStr">
        <is>
          <t>M</t>
        </is>
      </c>
      <c r="AJ568" s="35" t="inlineStr">
        <is>
          <t>M</t>
        </is>
      </c>
      <c r="AK568" s="35" t="inlineStr">
        <is>
          <t>M</t>
        </is>
      </c>
      <c r="AL568" s="35" t="inlineStr">
        <is>
          <t>M</t>
        </is>
      </c>
      <c r="AM568" s="36" t="n">
        <v>0.583</v>
      </c>
      <c r="AN568" s="37" t="n">
        <v>0.16</v>
      </c>
      <c r="AO568" s="37" t="n">
        <v>0.09</v>
      </c>
      <c r="AP568" s="37" t="n">
        <v>0</v>
      </c>
      <c r="AQ568" s="37" t="n">
        <v>0.063</v>
      </c>
      <c r="AR568" s="37" t="n">
        <v>0.06</v>
      </c>
      <c r="AS568" s="37" t="n">
        <v>0.04</v>
      </c>
      <c r="AT568" s="38" t="inlineStr">
        <is>
          <t>2–5</t>
        </is>
      </c>
      <c r="AU568" s="38" t="inlineStr">
        <is>
          <t>Graduate; relevant certification preferred</t>
        </is>
      </c>
      <c r="AV568" s="38" t="inlineStr">
        <is>
          <t>None · guides 1–3 juniors informally</t>
        </is>
      </c>
      <c r="AW568" s="38" t="inlineStr">
        <is>
          <t>P2 · SFIA 3 Apply</t>
        </is>
      </c>
      <c r="AX5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8" s="39" t="inlineStr">
        <is>
          <t>A3</t>
        </is>
      </c>
      <c r="AZ568" s="40" t="inlineStr">
        <is>
          <t>Band A · Practitioner · Senior Associate</t>
        </is>
      </c>
      <c r="BA568" s="40" t="inlineStr">
        <is>
          <t>Model A3 from the six ratings, the market-derived weights and rules R1–R13 · then No change · already below the manager</t>
        </is>
      </c>
      <c r="BB568" s="41" t="inlineStr">
        <is>
          <t>A3</t>
        </is>
      </c>
      <c r="BC568" s="40" t="inlineStr">
        <is>
          <t>The six ratings on the market-average weights of Band A · all tracks score 3.08 → A3 · Hay, Mercer IPE and public plans · experience 13.6 yrs vs the A3 market range 2–5</t>
        </is>
      </c>
      <c r="BD568" s="42">
        <f>IF(SUM(BM568,BN568,BO568,BP568,BQ568,BR568,BS568)=0,0,(BM568*BT568+BN568*BU568+BO568*BV568+BP568*BW568+BQ568*BX568+BR568*BY568+BS568*BZ568)/SUM(BM568,BN568,BO568,BP568,BQ568,BR568,BS568))</f>
        <v>0</v>
      </c>
      <c r="BE568" s="41" t="str">
        <f>IF(LEFT(AY568,1)="X",AY568,IF(OR(AY568="B+",AY568="C+"),INDEX(LAD_PC,MAX(1,MIN(14,MATCH(AY568,LAD_PC,0)+IF(BD568&gt;=0.5,1,IF(BD568&lt;=-0.5,-1,0))))),INDEX(LAD_STD,MAX(1,MIN(12,MATCH(AY568,LAD_STD,0)+IF(BD568&gt;=0.5,1,IF(BD568&lt;=-0.5,-1,0)))))))</f>
        <v>A3</v>
      </c>
      <c r="BF568" s="43" t="n"/>
      <c r="BG568" s="41" t="str">
        <f>IF(BF568&lt;&gt;"",BF568,BE568)</f>
        <v>A3</v>
      </c>
      <c r="BH568" s="40" t="str">
        <f>IFERROR(CHOOSE(INDEX(B_RANK,MATCH(BG568,B_LVL,0)),"Band A","Band B","B+ · Player-Coach","Band C","C+ · Player-Coach","Band D","Band E"),"Band X · Consultant")</f>
        <v>Band A</v>
      </c>
      <c r="BI568" s="40" t="str">
        <f>IF(BG568=AY568,"• Same",IF(INDEX(B_VAL,MATCH(BG568,B_LVL,0))&gt;INDEX(B_VAL,MATCH(AY568,B_LVL,0)),"▲ Up","▼ Down"))</f>
        <v>• Same</v>
      </c>
      <c r="BJ568" s="40" t="str">
        <f>IF(OR($M568="",$M568="—",$M568="Not in this file"),"",IFERROR(INDEX($BG$7:$BG$592,MATCH($M568,$D$7:$D$592,0)),""))</f>
        <v>B1</v>
      </c>
      <c r="BK568" s="40" t="str">
        <f>IFERROR(IF(BJ568="","—",IF(OR(LEFT(BG568,1)="X",LEFT(BJ568,1)="X"),"—",IF(AND(LEFT(BG568,1)="E",LEFT(BJ568,1)="E"),"Exception · Band E",IF(AND(INDEX(B_VAL,MATCH(BJ568,B_LVL,0))&gt;=7,INDEX(B_RANK,MATCH(BG568,B_LVL,0))&gt;=INDEX(B_RANK,MATCH(BJ568,B_LVL,0))),"⚠ Same band as a head manager",IF(INDEX(B_VAL,MATCH(BG568,B_LVL,0))&gt;=INDEX(B_VAL,MATCH(BJ568,B_LVL,0)),"⚠ At or above the manager's level","OK"))))),"—")</f>
        <v>OK</v>
      </c>
      <c r="BL568" s="43" t="n"/>
      <c r="BM568" s="44">
        <f>IFERROR(INDEX(LMH_PTS,MATCH(Y568,LMH_KEY,0)),0)</f>
        <v>9</v>
      </c>
      <c r="BN568" s="38">
        <f>IFERROR(INDEX(LMH_PTS,MATCH(Z568,LMH_KEY,0)),0)</f>
        <v>3</v>
      </c>
      <c r="BO568" s="38">
        <f>IFERROR(INDEX(LMH_PTS,MATCH(AA568,LMH_KEY,0)),0)</f>
        <v>1</v>
      </c>
      <c r="BP568" s="38">
        <f>IFERROR(INDEX(LMH_PTS,MATCH(AB568,LMH_KEY,0)),0)</f>
        <v>1</v>
      </c>
      <c r="BQ568" s="38">
        <f>IFERROR(INDEX(LMH_PTS,MATCH(AC568,LMH_KEY,0)),0)</f>
        <v>1</v>
      </c>
      <c r="BR568" s="38">
        <f>IFERROR(INDEX(LMH_PTS,MATCH(AD568,LMH_KEY,0)),0)</f>
        <v>1</v>
      </c>
      <c r="BS568" s="38">
        <f>IFERROR(INDEX(LMH_PTS,MATCH(AE568,LMH_KEY,0)),0)</f>
        <v>1</v>
      </c>
      <c r="BT568" s="38">
        <f>IFERROR(INDEX(LMH_STEP,MATCH(AF568,LMH_KEY,0)),0)</f>
        <v>0</v>
      </c>
      <c r="BU568" s="38">
        <f>IFERROR(INDEX(LMH_STEP,MATCH(AG568,LMH_KEY,0)),0)</f>
        <v>0</v>
      </c>
      <c r="BV568" s="38">
        <f>IFERROR(INDEX(LMH_STEP,MATCH(AH568,LMH_KEY,0)),0)</f>
        <v>0</v>
      </c>
      <c r="BW568" s="38">
        <f>IFERROR(INDEX(LMH_STEP,MATCH(AI568,LMH_KEY,0)),0)</f>
        <v>0</v>
      </c>
      <c r="BX568" s="38">
        <f>IFERROR(INDEX(LMH_STEP,MATCH(AJ568,LMH_KEY,0)),0)</f>
        <v>0</v>
      </c>
      <c r="BY568" s="38">
        <f>IFERROR(INDEX(LMH_STEP,MATCH(AK568,LMH_KEY,0)),0)</f>
        <v>0</v>
      </c>
      <c r="BZ568" s="38">
        <f>IFERROR(INDEX(LMH_STEP,MATCH(AL568,LMH_KEY,0)),0)</f>
        <v>0</v>
      </c>
      <c r="CA568" s="38" t="inlineStr">
        <is>
          <t>Corporate|IT &amp; Infrastructure|Senior System Administrator|A3|A</t>
        </is>
      </c>
    </row>
    <row r="569" ht="110" customHeight="1">
      <c r="A569" s="28" t="inlineStr">
        <is>
          <t>Corporate</t>
        </is>
      </c>
      <c r="B569" s="29" t="inlineStr">
        <is>
          <t>IT &amp; Infrastructure</t>
        </is>
      </c>
      <c r="C569" s="29" t="n">
        <v>2</v>
      </c>
      <c r="D569" s="29" t="inlineStr">
        <is>
          <t>IRIS2099</t>
        </is>
      </c>
      <c r="E569" s="29" t="inlineStr">
        <is>
          <t>Parthiban Thangaraj</t>
        </is>
      </c>
      <c r="F569" s="29" t="inlineStr">
        <is>
          <t>Senior Software Engineer</t>
        </is>
      </c>
      <c r="G569" s="29" t="inlineStr">
        <is>
          <t>Senior DevOps Engineer</t>
        </is>
      </c>
      <c r="H569" s="29" t="inlineStr">
        <is>
          <t>Engineering &amp; Development</t>
        </is>
      </c>
      <c r="I569" s="29" t="inlineStr">
        <is>
          <t>DevOps &amp; Release Engineering</t>
        </is>
      </c>
      <c r="J569" s="29" t="inlineStr">
        <is>
          <t>IC</t>
        </is>
      </c>
      <c r="K569" s="29" t="inlineStr">
        <is>
          <t>RC-076</t>
        </is>
      </c>
      <c r="L569" s="29" t="inlineStr">
        <is>
          <t>Mahesh Tilave</t>
        </is>
      </c>
      <c r="M569" s="29" t="inlineStr">
        <is>
          <t>IRIS2103</t>
        </is>
      </c>
      <c r="N569" s="29" t="n">
        <v>9.800000000000001</v>
      </c>
      <c r="O569" s="29" t="n">
        <v>3.6</v>
      </c>
      <c r="P569" s="29" t="inlineStr">
        <is>
          <t>B.Tech</t>
        </is>
      </c>
      <c r="Q569" s="29" t="inlineStr">
        <is>
          <t>Not in current mapping files</t>
        </is>
      </c>
      <c r="R569" s="29" t="inlineStr">
        <is>
          <t>A3</t>
        </is>
      </c>
      <c r="S569" s="30" t="inlineStr">
        <is>
          <t>20 of 20</t>
        </is>
      </c>
      <c r="T569" s="31"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t>
        </is>
      </c>
      <c r="U569" s="32" t="inlineStr">
        <is>
          <t>KRAs not received · manager to supply</t>
        </is>
      </c>
      <c r="V569" s="31" t="inlineStr">
        <is>
          <t>Latest rating: Not rated · manager · 9-box: Not placed · manager · Readiness: No rating data</t>
        </is>
      </c>
      <c r="W569" s="31" t="inlineStr">
        <is>
          <t>C M · Au M · Ac M · L L · BI M · Exp H · 9.8 yrs vs 2–4 yrs · Edu M · B.Tech</t>
        </is>
      </c>
      <c r="X569" s="33" t="inlineStr">
        <is>
          <t>Open ▸</t>
        </is>
      </c>
      <c r="Y569" s="34" t="str">
        <f>IFERROR(INDEX(DL_C,MATCH($CA569,DL_KEY,0)),"M")</f>
        <v>H</v>
      </c>
      <c r="Z569" s="35" t="str">
        <f>IFERROR(INDEX(DL_Au,MATCH($CA569,DL_KEY,0)),"M")</f>
        <v>M</v>
      </c>
      <c r="AA569" s="35" t="str">
        <f>IFERROR(INDEX(DL_Ac,MATCH($CA569,DL_KEY,0)),"M")</f>
        <v>L</v>
      </c>
      <c r="AB569" s="35" t="str">
        <f>IFERROR(INDEX(DL_L,MATCH($CA569,DL_KEY,0)),"M")</f>
        <v>L</v>
      </c>
      <c r="AC569" s="35" t="str">
        <f>IFERROR(INDEX(DL_BI,MATCH($CA569,DL_KEY,0)),"M")</f>
        <v>L</v>
      </c>
      <c r="AD569" s="35" t="str">
        <f>IFERROR(INDEX(DL_Exp,MATCH($CA569,DL_KEY,0)),"M")</f>
        <v>L</v>
      </c>
      <c r="AE569" s="35" t="str">
        <f>IFERROR(INDEX(DL_Edu,MATCH($CA569,DL_KEY,0)),"M")</f>
        <v>L</v>
      </c>
      <c r="AF569" s="34" t="inlineStr">
        <is>
          <t>M</t>
        </is>
      </c>
      <c r="AG569" s="35" t="inlineStr">
        <is>
          <t>M</t>
        </is>
      </c>
      <c r="AH569" s="35" t="inlineStr">
        <is>
          <t>M</t>
        </is>
      </c>
      <c r="AI569" s="35" t="inlineStr">
        <is>
          <t>M</t>
        </is>
      </c>
      <c r="AJ569" s="35" t="inlineStr">
        <is>
          <t>M</t>
        </is>
      </c>
      <c r="AK569" s="35" t="inlineStr">
        <is>
          <t>M</t>
        </is>
      </c>
      <c r="AL569" s="35" t="inlineStr">
        <is>
          <t>M</t>
        </is>
      </c>
      <c r="AM569" s="36" t="n">
        <v>0.583</v>
      </c>
      <c r="AN569" s="37" t="n">
        <v>0.16</v>
      </c>
      <c r="AO569" s="37" t="n">
        <v>0.09</v>
      </c>
      <c r="AP569" s="37" t="n">
        <v>0</v>
      </c>
      <c r="AQ569" s="37" t="n">
        <v>0.063</v>
      </c>
      <c r="AR569" s="37" t="n">
        <v>0.06</v>
      </c>
      <c r="AS569" s="37" t="n">
        <v>0.04</v>
      </c>
      <c r="AT569" s="38" t="inlineStr">
        <is>
          <t>2–5</t>
        </is>
      </c>
      <c r="AU569" s="38" t="inlineStr">
        <is>
          <t>Graduate; relevant certification preferred</t>
        </is>
      </c>
      <c r="AV569" s="38" t="inlineStr">
        <is>
          <t>None · guides 1–3 juniors informally</t>
        </is>
      </c>
      <c r="AW569" s="38" t="inlineStr">
        <is>
          <t>P2 · SFIA 3 Apply</t>
        </is>
      </c>
      <c r="AX5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9" s="39" t="inlineStr">
        <is>
          <t>A3</t>
        </is>
      </c>
      <c r="AZ569" s="40" t="inlineStr">
        <is>
          <t>Band A · Practitioner · Senior Associate</t>
        </is>
      </c>
      <c r="BA569" s="40" t="inlineStr">
        <is>
          <t>Model A3 from the six ratings, the market-derived weights and rules R1–R13 · then No change · already below the manager</t>
        </is>
      </c>
      <c r="BB569" s="41" t="inlineStr">
        <is>
          <t>A3</t>
        </is>
      </c>
      <c r="BC569" s="40" t="inlineStr">
        <is>
          <t>The six ratings on the market-average weights of Band A · all tracks score 2.85 → A3 · Hay, Mercer IPE and public plans · experience 9.8 yrs vs the A3 market range 2–5</t>
        </is>
      </c>
      <c r="BD569" s="42">
        <f>IF(SUM(BM569,BN569,BO569,BP569,BQ569,BR569,BS569)=0,0,(BM569*BT569+BN569*BU569+BO569*BV569+BP569*BW569+BQ569*BX569+BR569*BY569+BS569*BZ569)/SUM(BM569,BN569,BO569,BP569,BQ569,BR569,BS569))</f>
        <v>0</v>
      </c>
      <c r="BE569" s="41" t="str">
        <f>IF(LEFT(AY569,1)="X",AY569,IF(OR(AY569="B+",AY569="C+"),INDEX(LAD_PC,MAX(1,MIN(14,MATCH(AY569,LAD_PC,0)+IF(BD569&gt;=0.5,1,IF(BD569&lt;=-0.5,-1,0))))),INDEX(LAD_STD,MAX(1,MIN(12,MATCH(AY569,LAD_STD,0)+IF(BD569&gt;=0.5,1,IF(BD569&lt;=-0.5,-1,0)))))))</f>
        <v>A3</v>
      </c>
      <c r="BF569" s="43" t="n"/>
      <c r="BG569" s="41" t="str">
        <f>IF(BF569&lt;&gt;"",BF569,BE569)</f>
        <v>A3</v>
      </c>
      <c r="BH569" s="40" t="str">
        <f>IFERROR(CHOOSE(INDEX(B_RANK,MATCH(BG569,B_LVL,0)),"Band A","Band B","B+ · Player-Coach","Band C","C+ · Player-Coach","Band D","Band E"),"Band X · Consultant")</f>
        <v>Band A</v>
      </c>
      <c r="BI569" s="40" t="str">
        <f>IF(BG569=AY569,"• Same",IF(INDEX(B_VAL,MATCH(BG569,B_LVL,0))&gt;INDEX(B_VAL,MATCH(AY569,B_LVL,0)),"▲ Up","▼ Down"))</f>
        <v>• Same</v>
      </c>
      <c r="BJ569" s="40" t="str">
        <f>IF(OR($M569="",$M569="—",$M569="Not in this file"),"",IFERROR(INDEX($BG$7:$BG$592,MATCH($M569,$D$7:$D$592,0)),""))</f>
        <v>B2</v>
      </c>
      <c r="BK569" s="40" t="str">
        <f>IFERROR(IF(BJ569="","—",IF(OR(LEFT(BG569,1)="X",LEFT(BJ569,1)="X"),"—",IF(AND(LEFT(BG569,1)="E",LEFT(BJ569,1)="E"),"Exception · Band E",IF(AND(INDEX(B_VAL,MATCH(BJ569,B_LVL,0))&gt;=7,INDEX(B_RANK,MATCH(BG569,B_LVL,0))&gt;=INDEX(B_RANK,MATCH(BJ569,B_LVL,0))),"⚠ Same band as a head manager",IF(INDEX(B_VAL,MATCH(BG569,B_LVL,0))&gt;=INDEX(B_VAL,MATCH(BJ569,B_LVL,0)),"⚠ At or above the manager's level","OK"))))),"—")</f>
        <v>OK</v>
      </c>
      <c r="BL569" s="43" t="n"/>
      <c r="BM569" s="44">
        <f>IFERROR(INDEX(LMH_PTS,MATCH(Y569,LMH_KEY,0)),0)</f>
        <v>9</v>
      </c>
      <c r="BN569" s="38">
        <f>IFERROR(INDEX(LMH_PTS,MATCH(Z569,LMH_KEY,0)),0)</f>
        <v>3</v>
      </c>
      <c r="BO569" s="38">
        <f>IFERROR(INDEX(LMH_PTS,MATCH(AA569,LMH_KEY,0)),0)</f>
        <v>1</v>
      </c>
      <c r="BP569" s="38">
        <f>IFERROR(INDEX(LMH_PTS,MATCH(AB569,LMH_KEY,0)),0)</f>
        <v>1</v>
      </c>
      <c r="BQ569" s="38">
        <f>IFERROR(INDEX(LMH_PTS,MATCH(AC569,LMH_KEY,0)),0)</f>
        <v>1</v>
      </c>
      <c r="BR569" s="38">
        <f>IFERROR(INDEX(LMH_PTS,MATCH(AD569,LMH_KEY,0)),0)</f>
        <v>1</v>
      </c>
      <c r="BS569" s="38">
        <f>IFERROR(INDEX(LMH_PTS,MATCH(AE569,LMH_KEY,0)),0)</f>
        <v>1</v>
      </c>
      <c r="BT569" s="38">
        <f>IFERROR(INDEX(LMH_STEP,MATCH(AF569,LMH_KEY,0)),0)</f>
        <v>0</v>
      </c>
      <c r="BU569" s="38">
        <f>IFERROR(INDEX(LMH_STEP,MATCH(AG569,LMH_KEY,0)),0)</f>
        <v>0</v>
      </c>
      <c r="BV569" s="38">
        <f>IFERROR(INDEX(LMH_STEP,MATCH(AH569,LMH_KEY,0)),0)</f>
        <v>0</v>
      </c>
      <c r="BW569" s="38">
        <f>IFERROR(INDEX(LMH_STEP,MATCH(AI569,LMH_KEY,0)),0)</f>
        <v>0</v>
      </c>
      <c r="BX569" s="38">
        <f>IFERROR(INDEX(LMH_STEP,MATCH(AJ569,LMH_KEY,0)),0)</f>
        <v>0</v>
      </c>
      <c r="BY569" s="38">
        <f>IFERROR(INDEX(LMH_STEP,MATCH(AK569,LMH_KEY,0)),0)</f>
        <v>0</v>
      </c>
      <c r="BZ569" s="38">
        <f>IFERROR(INDEX(LMH_STEP,MATCH(AL569,LMH_KEY,0)),0)</f>
        <v>0</v>
      </c>
      <c r="CA569" s="38" t="inlineStr">
        <is>
          <t>Corporate|IT &amp; Infrastructure|Senior DevOps Engineer|A3|A</t>
        </is>
      </c>
    </row>
    <row r="570" ht="110" customHeight="1">
      <c r="A570" s="28" t="inlineStr">
        <is>
          <t>Corporate</t>
        </is>
      </c>
      <c r="B570" s="29" t="inlineStr">
        <is>
          <t>IT &amp; Infrastructure</t>
        </is>
      </c>
      <c r="C570" s="29" t="n">
        <v>2</v>
      </c>
      <c r="D570" s="29" t="inlineStr">
        <is>
          <t>IRIS2003</t>
        </is>
      </c>
      <c r="E570" s="29" t="inlineStr">
        <is>
          <t>Rajyalakshmi Koyagura</t>
        </is>
      </c>
      <c r="F570" s="29" t="inlineStr">
        <is>
          <t>System Administrator</t>
        </is>
      </c>
      <c r="G570" s="29" t="inlineStr">
        <is>
          <t>Senior System Administrator</t>
        </is>
      </c>
      <c r="H570" s="29" t="inlineStr">
        <is>
          <t>IT &amp; Infrastructure</t>
        </is>
      </c>
      <c r="I570" s="29" t="inlineStr">
        <is>
          <t>Infrastructure &amp; Cloud Operations</t>
        </is>
      </c>
      <c r="J570" s="29" t="inlineStr">
        <is>
          <t>IC</t>
        </is>
      </c>
      <c r="K570" s="29" t="inlineStr">
        <is>
          <t>RC-108</t>
        </is>
      </c>
      <c r="L570" s="29" t="inlineStr">
        <is>
          <t>Mahesh Tilave</t>
        </is>
      </c>
      <c r="M570" s="29" t="inlineStr">
        <is>
          <t>IRIS2103</t>
        </is>
      </c>
      <c r="N570" s="29" t="n">
        <v>8</v>
      </c>
      <c r="O570" s="29" t="n">
        <v>4.5</v>
      </c>
      <c r="P570" s="29" t="inlineStr">
        <is>
          <t>B.Tech</t>
        </is>
      </c>
      <c r="Q570" s="29" t="inlineStr">
        <is>
          <t>Not in current mapping files</t>
        </is>
      </c>
      <c r="R570" s="29" t="inlineStr">
        <is>
          <t>A3</t>
        </is>
      </c>
      <c r="S570" s="30" t="inlineStr">
        <is>
          <t>19 of 20</t>
        </is>
      </c>
      <c r="T570" s="31"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t>
        </is>
      </c>
      <c r="U570" s="32" t="inlineStr">
        <is>
          <t>KRAs not received · manager to supply</t>
        </is>
      </c>
      <c r="V570" s="31" t="inlineStr">
        <is>
          <t>Latest rating: Not rated · manager · 9-box: Not placed · manager · Readiness: No rating data</t>
        </is>
      </c>
      <c r="W570" s="31" t="inlineStr">
        <is>
          <t>C M · Au M · Ac M · L L · BI M · Exp H · 8 yrs vs 2–4 yrs · Edu M · B.Tech</t>
        </is>
      </c>
      <c r="X570" s="33" t="inlineStr">
        <is>
          <t>Open ▸</t>
        </is>
      </c>
      <c r="Y570" s="34" t="str">
        <f>IFERROR(INDEX(DL_C,MATCH($CA570,DL_KEY,0)),"M")</f>
        <v>H</v>
      </c>
      <c r="Z570" s="35" t="str">
        <f>IFERROR(INDEX(DL_Au,MATCH($CA570,DL_KEY,0)),"M")</f>
        <v>M</v>
      </c>
      <c r="AA570" s="35" t="str">
        <f>IFERROR(INDEX(DL_Ac,MATCH($CA570,DL_KEY,0)),"M")</f>
        <v>L</v>
      </c>
      <c r="AB570" s="35" t="str">
        <f>IFERROR(INDEX(DL_L,MATCH($CA570,DL_KEY,0)),"M")</f>
        <v>L</v>
      </c>
      <c r="AC570" s="35" t="str">
        <f>IFERROR(INDEX(DL_BI,MATCH($CA570,DL_KEY,0)),"M")</f>
        <v>L</v>
      </c>
      <c r="AD570" s="35" t="str">
        <f>IFERROR(INDEX(DL_Exp,MATCH($CA570,DL_KEY,0)),"M")</f>
        <v>L</v>
      </c>
      <c r="AE570" s="35" t="str">
        <f>IFERROR(INDEX(DL_Edu,MATCH($CA570,DL_KEY,0)),"M")</f>
        <v>L</v>
      </c>
      <c r="AF570" s="34" t="inlineStr">
        <is>
          <t>M</t>
        </is>
      </c>
      <c r="AG570" s="35" t="inlineStr">
        <is>
          <t>M</t>
        </is>
      </c>
      <c r="AH570" s="35" t="inlineStr">
        <is>
          <t>M</t>
        </is>
      </c>
      <c r="AI570" s="35" t="inlineStr">
        <is>
          <t>M</t>
        </is>
      </c>
      <c r="AJ570" s="35" t="inlineStr">
        <is>
          <t>M</t>
        </is>
      </c>
      <c r="AK570" s="35" t="inlineStr">
        <is>
          <t>M</t>
        </is>
      </c>
      <c r="AL570" s="35" t="inlineStr">
        <is>
          <t>M</t>
        </is>
      </c>
      <c r="AM570" s="36" t="n">
        <v>0.583</v>
      </c>
      <c r="AN570" s="37" t="n">
        <v>0.16</v>
      </c>
      <c r="AO570" s="37" t="n">
        <v>0.09</v>
      </c>
      <c r="AP570" s="37" t="n">
        <v>0</v>
      </c>
      <c r="AQ570" s="37" t="n">
        <v>0.063</v>
      </c>
      <c r="AR570" s="37" t="n">
        <v>0.06</v>
      </c>
      <c r="AS570" s="37" t="n">
        <v>0.04</v>
      </c>
      <c r="AT570" s="38" t="inlineStr">
        <is>
          <t>2–5</t>
        </is>
      </c>
      <c r="AU570" s="38" t="inlineStr">
        <is>
          <t>Graduate; relevant certification preferred</t>
        </is>
      </c>
      <c r="AV570" s="38" t="inlineStr">
        <is>
          <t>None · guides 1–3 juniors informally</t>
        </is>
      </c>
      <c r="AW570" s="38" t="inlineStr">
        <is>
          <t>P2 · SFIA 3 Apply</t>
        </is>
      </c>
      <c r="AX5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0" s="39" t="inlineStr">
        <is>
          <t>A3</t>
        </is>
      </c>
      <c r="AZ570" s="40" t="inlineStr">
        <is>
          <t>Band A · Practitioner · Senior Associate</t>
        </is>
      </c>
      <c r="BA570" s="40" t="inlineStr">
        <is>
          <t>Model A3 from the six ratings, the market-derived weights and rules R1–R13 · then No change · already below the manager</t>
        </is>
      </c>
      <c r="BB570" s="41" t="inlineStr">
        <is>
          <t>A3</t>
        </is>
      </c>
      <c r="BC570" s="40" t="inlineStr">
        <is>
          <t>The six ratings on the market-average weights of Band A · all tracks score 3.12 → A3 · Hay, Mercer IPE and public plans · experience 8 yrs vs the A3 market range 2–5</t>
        </is>
      </c>
      <c r="BD570" s="42">
        <f>IF(SUM(BM570,BN570,BO570,BP570,BQ570,BR570,BS570)=0,0,(BM570*BT570+BN570*BU570+BO570*BV570+BP570*BW570+BQ570*BX570+BR570*BY570+BS570*BZ570)/SUM(BM570,BN570,BO570,BP570,BQ570,BR570,BS570))</f>
        <v>0</v>
      </c>
      <c r="BE570" s="41" t="str">
        <f>IF(LEFT(AY570,1)="X",AY570,IF(OR(AY570="B+",AY570="C+"),INDEX(LAD_PC,MAX(1,MIN(14,MATCH(AY570,LAD_PC,0)+IF(BD570&gt;=0.5,1,IF(BD570&lt;=-0.5,-1,0))))),INDEX(LAD_STD,MAX(1,MIN(12,MATCH(AY570,LAD_STD,0)+IF(BD570&gt;=0.5,1,IF(BD570&lt;=-0.5,-1,0)))))))</f>
        <v>A3</v>
      </c>
      <c r="BF570" s="43" t="n"/>
      <c r="BG570" s="41" t="str">
        <f>IF(BF570&lt;&gt;"",BF570,BE570)</f>
        <v>A3</v>
      </c>
      <c r="BH570" s="40" t="str">
        <f>IFERROR(CHOOSE(INDEX(B_RANK,MATCH(BG570,B_LVL,0)),"Band A","Band B","B+ · Player-Coach","Band C","C+ · Player-Coach","Band D","Band E"),"Band X · Consultant")</f>
        <v>Band A</v>
      </c>
      <c r="BI570" s="40" t="str">
        <f>IF(BG570=AY570,"• Same",IF(INDEX(B_VAL,MATCH(BG570,B_LVL,0))&gt;INDEX(B_VAL,MATCH(AY570,B_LVL,0)),"▲ Up","▼ Down"))</f>
        <v>• Same</v>
      </c>
      <c r="BJ570" s="40" t="str">
        <f>IF(OR($M570="",$M570="—",$M570="Not in this file"),"",IFERROR(INDEX($BG$7:$BG$592,MATCH($M570,$D$7:$D$592,0)),""))</f>
        <v>B2</v>
      </c>
      <c r="BK570" s="40" t="str">
        <f>IFERROR(IF(BJ570="","—",IF(OR(LEFT(BG570,1)="X",LEFT(BJ570,1)="X"),"—",IF(AND(LEFT(BG570,1)="E",LEFT(BJ570,1)="E"),"Exception · Band E",IF(AND(INDEX(B_VAL,MATCH(BJ570,B_LVL,0))&gt;=7,INDEX(B_RANK,MATCH(BG570,B_LVL,0))&gt;=INDEX(B_RANK,MATCH(BJ570,B_LVL,0))),"⚠ Same band as a head manager",IF(INDEX(B_VAL,MATCH(BG570,B_LVL,0))&gt;=INDEX(B_VAL,MATCH(BJ570,B_LVL,0)),"⚠ At or above the manager's level","OK"))))),"—")</f>
        <v>OK</v>
      </c>
      <c r="BL570" s="43" t="n"/>
      <c r="BM570" s="44">
        <f>IFERROR(INDEX(LMH_PTS,MATCH(Y570,LMH_KEY,0)),0)</f>
        <v>9</v>
      </c>
      <c r="BN570" s="38">
        <f>IFERROR(INDEX(LMH_PTS,MATCH(Z570,LMH_KEY,0)),0)</f>
        <v>3</v>
      </c>
      <c r="BO570" s="38">
        <f>IFERROR(INDEX(LMH_PTS,MATCH(AA570,LMH_KEY,0)),0)</f>
        <v>1</v>
      </c>
      <c r="BP570" s="38">
        <f>IFERROR(INDEX(LMH_PTS,MATCH(AB570,LMH_KEY,0)),0)</f>
        <v>1</v>
      </c>
      <c r="BQ570" s="38">
        <f>IFERROR(INDEX(LMH_PTS,MATCH(AC570,LMH_KEY,0)),0)</f>
        <v>1</v>
      </c>
      <c r="BR570" s="38">
        <f>IFERROR(INDEX(LMH_PTS,MATCH(AD570,LMH_KEY,0)),0)</f>
        <v>1</v>
      </c>
      <c r="BS570" s="38">
        <f>IFERROR(INDEX(LMH_PTS,MATCH(AE570,LMH_KEY,0)),0)</f>
        <v>1</v>
      </c>
      <c r="BT570" s="38">
        <f>IFERROR(INDEX(LMH_STEP,MATCH(AF570,LMH_KEY,0)),0)</f>
        <v>0</v>
      </c>
      <c r="BU570" s="38">
        <f>IFERROR(INDEX(LMH_STEP,MATCH(AG570,LMH_KEY,0)),0)</f>
        <v>0</v>
      </c>
      <c r="BV570" s="38">
        <f>IFERROR(INDEX(LMH_STEP,MATCH(AH570,LMH_KEY,0)),0)</f>
        <v>0</v>
      </c>
      <c r="BW570" s="38">
        <f>IFERROR(INDEX(LMH_STEP,MATCH(AI570,LMH_KEY,0)),0)</f>
        <v>0</v>
      </c>
      <c r="BX570" s="38">
        <f>IFERROR(INDEX(LMH_STEP,MATCH(AJ570,LMH_KEY,0)),0)</f>
        <v>0</v>
      </c>
      <c r="BY570" s="38">
        <f>IFERROR(INDEX(LMH_STEP,MATCH(AK570,LMH_KEY,0)),0)</f>
        <v>0</v>
      </c>
      <c r="BZ570" s="38">
        <f>IFERROR(INDEX(LMH_STEP,MATCH(AL570,LMH_KEY,0)),0)</f>
        <v>0</v>
      </c>
      <c r="CA570" s="38" t="inlineStr">
        <is>
          <t>Corporate|IT &amp; Infrastructure|Senior System Administrator|A3|A</t>
        </is>
      </c>
    </row>
    <row r="571" ht="110" customHeight="1">
      <c r="A571" s="28" t="inlineStr">
        <is>
          <t>Corporate</t>
        </is>
      </c>
      <c r="B571" s="29" t="inlineStr">
        <is>
          <t>IT &amp; Infrastructure</t>
        </is>
      </c>
      <c r="C571" s="29" t="n">
        <v>2</v>
      </c>
      <c r="D571" s="29" t="inlineStr">
        <is>
          <t>IRIS1958</t>
        </is>
      </c>
      <c r="E571" s="29" t="inlineStr">
        <is>
          <t>Sandip Mane</t>
        </is>
      </c>
      <c r="F571" s="29" t="inlineStr">
        <is>
          <t>System Administrator</t>
        </is>
      </c>
      <c r="G571" s="29" t="inlineStr">
        <is>
          <t>Senior System Administrator</t>
        </is>
      </c>
      <c r="H571" s="29" t="inlineStr">
        <is>
          <t>IT &amp; Infrastructure</t>
        </is>
      </c>
      <c r="I571" s="29" t="inlineStr">
        <is>
          <t>Infrastructure &amp; Cloud Operations</t>
        </is>
      </c>
      <c r="J571" s="29" t="inlineStr">
        <is>
          <t>IC</t>
        </is>
      </c>
      <c r="K571" s="29" t="inlineStr">
        <is>
          <t>RC-108</t>
        </is>
      </c>
      <c r="L571" s="29" t="inlineStr">
        <is>
          <t>Mahesh Tilave</t>
        </is>
      </c>
      <c r="M571" s="29" t="inlineStr">
        <is>
          <t>IRIS2103</t>
        </is>
      </c>
      <c r="N571" s="29" t="n">
        <v>10.6</v>
      </c>
      <c r="O571" s="29" t="n">
        <v>5</v>
      </c>
      <c r="P571" s="29" t="inlineStr">
        <is>
          <t>B.SC</t>
        </is>
      </c>
      <c r="Q571" s="29" t="inlineStr">
        <is>
          <t>Not in current mapping files</t>
        </is>
      </c>
      <c r="R571" s="29" t="inlineStr">
        <is>
          <t>A3</t>
        </is>
      </c>
      <c r="S571" s="30" t="inlineStr">
        <is>
          <t>20 of 20</t>
        </is>
      </c>
      <c r="T571" s="31"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t>
        </is>
      </c>
      <c r="U571" s="32" t="inlineStr">
        <is>
          <t>KRAs not received · manager to supply</t>
        </is>
      </c>
      <c r="V571" s="31" t="inlineStr">
        <is>
          <t>Latest rating: Not rated · manager · 9-box: Not placed · manager · Readiness: No rating data</t>
        </is>
      </c>
      <c r="W571" s="31" t="inlineStr">
        <is>
          <t>C M · Au M · Ac M · L L · BI M · Exp H · 10.6 yrs vs 2–4 yrs · Edu M · B.SC</t>
        </is>
      </c>
      <c r="X571" s="33" t="inlineStr">
        <is>
          <t>Open ▸</t>
        </is>
      </c>
      <c r="Y571" s="34" t="str">
        <f>IFERROR(INDEX(DL_C,MATCH($CA571,DL_KEY,0)),"M")</f>
        <v>H</v>
      </c>
      <c r="Z571" s="35" t="str">
        <f>IFERROR(INDEX(DL_Au,MATCH($CA571,DL_KEY,0)),"M")</f>
        <v>M</v>
      </c>
      <c r="AA571" s="35" t="str">
        <f>IFERROR(INDEX(DL_Ac,MATCH($CA571,DL_KEY,0)),"M")</f>
        <v>L</v>
      </c>
      <c r="AB571" s="35" t="str">
        <f>IFERROR(INDEX(DL_L,MATCH($CA571,DL_KEY,0)),"M")</f>
        <v>L</v>
      </c>
      <c r="AC571" s="35" t="str">
        <f>IFERROR(INDEX(DL_BI,MATCH($CA571,DL_KEY,0)),"M")</f>
        <v>L</v>
      </c>
      <c r="AD571" s="35" t="str">
        <f>IFERROR(INDEX(DL_Exp,MATCH($CA571,DL_KEY,0)),"M")</f>
        <v>L</v>
      </c>
      <c r="AE571" s="35" t="str">
        <f>IFERROR(INDEX(DL_Edu,MATCH($CA571,DL_KEY,0)),"M")</f>
        <v>L</v>
      </c>
      <c r="AF571" s="34" t="inlineStr">
        <is>
          <t>M</t>
        </is>
      </c>
      <c r="AG571" s="35" t="inlineStr">
        <is>
          <t>M</t>
        </is>
      </c>
      <c r="AH571" s="35" t="inlineStr">
        <is>
          <t>M</t>
        </is>
      </c>
      <c r="AI571" s="35" t="inlineStr">
        <is>
          <t>M</t>
        </is>
      </c>
      <c r="AJ571" s="35" t="inlineStr">
        <is>
          <t>M</t>
        </is>
      </c>
      <c r="AK571" s="35" t="inlineStr">
        <is>
          <t>M</t>
        </is>
      </c>
      <c r="AL571" s="35" t="inlineStr">
        <is>
          <t>M</t>
        </is>
      </c>
      <c r="AM571" s="36" t="n">
        <v>0.583</v>
      </c>
      <c r="AN571" s="37" t="n">
        <v>0.16</v>
      </c>
      <c r="AO571" s="37" t="n">
        <v>0.09</v>
      </c>
      <c r="AP571" s="37" t="n">
        <v>0</v>
      </c>
      <c r="AQ571" s="37" t="n">
        <v>0.063</v>
      </c>
      <c r="AR571" s="37" t="n">
        <v>0.06</v>
      </c>
      <c r="AS571" s="37" t="n">
        <v>0.04</v>
      </c>
      <c r="AT571" s="38" t="inlineStr">
        <is>
          <t>2–5</t>
        </is>
      </c>
      <c r="AU571" s="38" t="inlineStr">
        <is>
          <t>Graduate; relevant certification preferred</t>
        </is>
      </c>
      <c r="AV571" s="38" t="inlineStr">
        <is>
          <t>None · guides 1–3 juniors informally</t>
        </is>
      </c>
      <c r="AW571" s="38" t="inlineStr">
        <is>
          <t>P2 · SFIA 3 Apply</t>
        </is>
      </c>
      <c r="AX5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1" s="39" t="inlineStr">
        <is>
          <t>A3</t>
        </is>
      </c>
      <c r="AZ571" s="40" t="inlineStr">
        <is>
          <t>Band A · Practitioner · Senior Associate</t>
        </is>
      </c>
      <c r="BA571" s="40" t="inlineStr">
        <is>
          <t>Model A3 from the six ratings, the market-derived weights and rules R1–R13 · then No change · already below the manager</t>
        </is>
      </c>
      <c r="BB571" s="41" t="inlineStr">
        <is>
          <t>A3</t>
        </is>
      </c>
      <c r="BC571" s="40" t="inlineStr">
        <is>
          <t>The six ratings on the market-average weights of Band A · all tracks score 3.27 → A3 · Hay, Mercer IPE and public plans · experience 10.6 yrs vs the A3 market range 2–5</t>
        </is>
      </c>
      <c r="BD571" s="42">
        <f>IF(SUM(BM571,BN571,BO571,BP571,BQ571,BR571,BS571)=0,0,(BM571*BT571+BN571*BU571+BO571*BV571+BP571*BW571+BQ571*BX571+BR571*BY571+BS571*BZ571)/SUM(BM571,BN571,BO571,BP571,BQ571,BR571,BS571))</f>
        <v>0</v>
      </c>
      <c r="BE571" s="41" t="str">
        <f>IF(LEFT(AY571,1)="X",AY571,IF(OR(AY571="B+",AY571="C+"),INDEX(LAD_PC,MAX(1,MIN(14,MATCH(AY571,LAD_PC,0)+IF(BD571&gt;=0.5,1,IF(BD571&lt;=-0.5,-1,0))))),INDEX(LAD_STD,MAX(1,MIN(12,MATCH(AY571,LAD_STD,0)+IF(BD571&gt;=0.5,1,IF(BD571&lt;=-0.5,-1,0)))))))</f>
        <v>A3</v>
      </c>
      <c r="BF571" s="43" t="n"/>
      <c r="BG571" s="41" t="str">
        <f>IF(BF571&lt;&gt;"",BF571,BE571)</f>
        <v>A3</v>
      </c>
      <c r="BH571" s="40" t="str">
        <f>IFERROR(CHOOSE(INDEX(B_RANK,MATCH(BG571,B_LVL,0)),"Band A","Band B","B+ · Player-Coach","Band C","C+ · Player-Coach","Band D","Band E"),"Band X · Consultant")</f>
        <v>Band A</v>
      </c>
      <c r="BI571" s="40" t="str">
        <f>IF(BG571=AY571,"• Same",IF(INDEX(B_VAL,MATCH(BG571,B_LVL,0))&gt;INDEX(B_VAL,MATCH(AY571,B_LVL,0)),"▲ Up","▼ Down"))</f>
        <v>• Same</v>
      </c>
      <c r="BJ571" s="40" t="str">
        <f>IF(OR($M571="",$M571="—",$M571="Not in this file"),"",IFERROR(INDEX($BG$7:$BG$592,MATCH($M571,$D$7:$D$592,0)),""))</f>
        <v>B2</v>
      </c>
      <c r="BK571" s="40" t="str">
        <f>IFERROR(IF(BJ571="","—",IF(OR(LEFT(BG571,1)="X",LEFT(BJ571,1)="X"),"—",IF(AND(LEFT(BG571,1)="E",LEFT(BJ571,1)="E"),"Exception · Band E",IF(AND(INDEX(B_VAL,MATCH(BJ571,B_LVL,0))&gt;=7,INDEX(B_RANK,MATCH(BG571,B_LVL,0))&gt;=INDEX(B_RANK,MATCH(BJ571,B_LVL,0))),"⚠ Same band as a head manager",IF(INDEX(B_VAL,MATCH(BG571,B_LVL,0))&gt;=INDEX(B_VAL,MATCH(BJ571,B_LVL,0)),"⚠ At or above the manager's level","OK"))))),"—")</f>
        <v>OK</v>
      </c>
      <c r="BL571" s="43" t="n"/>
      <c r="BM571" s="44">
        <f>IFERROR(INDEX(LMH_PTS,MATCH(Y571,LMH_KEY,0)),0)</f>
        <v>9</v>
      </c>
      <c r="BN571" s="38">
        <f>IFERROR(INDEX(LMH_PTS,MATCH(Z571,LMH_KEY,0)),0)</f>
        <v>3</v>
      </c>
      <c r="BO571" s="38">
        <f>IFERROR(INDEX(LMH_PTS,MATCH(AA571,LMH_KEY,0)),0)</f>
        <v>1</v>
      </c>
      <c r="BP571" s="38">
        <f>IFERROR(INDEX(LMH_PTS,MATCH(AB571,LMH_KEY,0)),0)</f>
        <v>1</v>
      </c>
      <c r="BQ571" s="38">
        <f>IFERROR(INDEX(LMH_PTS,MATCH(AC571,LMH_KEY,0)),0)</f>
        <v>1</v>
      </c>
      <c r="BR571" s="38">
        <f>IFERROR(INDEX(LMH_PTS,MATCH(AD571,LMH_KEY,0)),0)</f>
        <v>1</v>
      </c>
      <c r="BS571" s="38">
        <f>IFERROR(INDEX(LMH_PTS,MATCH(AE571,LMH_KEY,0)),0)</f>
        <v>1</v>
      </c>
      <c r="BT571" s="38">
        <f>IFERROR(INDEX(LMH_STEP,MATCH(AF571,LMH_KEY,0)),0)</f>
        <v>0</v>
      </c>
      <c r="BU571" s="38">
        <f>IFERROR(INDEX(LMH_STEP,MATCH(AG571,LMH_KEY,0)),0)</f>
        <v>0</v>
      </c>
      <c r="BV571" s="38">
        <f>IFERROR(INDEX(LMH_STEP,MATCH(AH571,LMH_KEY,0)),0)</f>
        <v>0</v>
      </c>
      <c r="BW571" s="38">
        <f>IFERROR(INDEX(LMH_STEP,MATCH(AI571,LMH_KEY,0)),0)</f>
        <v>0</v>
      </c>
      <c r="BX571" s="38">
        <f>IFERROR(INDEX(LMH_STEP,MATCH(AJ571,LMH_KEY,0)),0)</f>
        <v>0</v>
      </c>
      <c r="BY571" s="38">
        <f>IFERROR(INDEX(LMH_STEP,MATCH(AK571,LMH_KEY,0)),0)</f>
        <v>0</v>
      </c>
      <c r="BZ571" s="38">
        <f>IFERROR(INDEX(LMH_STEP,MATCH(AL571,LMH_KEY,0)),0)</f>
        <v>0</v>
      </c>
      <c r="CA571" s="38" t="inlineStr">
        <is>
          <t>Corporate|IT &amp; Infrastructure|Senior System Administrator|A3|A</t>
        </is>
      </c>
    </row>
    <row r="572" ht="110" customHeight="1">
      <c r="A572" s="28" t="inlineStr">
        <is>
          <t>Corporate</t>
        </is>
      </c>
      <c r="B572" s="29" t="inlineStr">
        <is>
          <t>IT &amp; Infrastructure</t>
        </is>
      </c>
      <c r="C572" s="29" t="n">
        <v>2</v>
      </c>
      <c r="D572" s="29" t="inlineStr">
        <is>
          <t>IRIS1581</t>
        </is>
      </c>
      <c r="E572" s="29" t="inlineStr">
        <is>
          <t>Vishal Vare</t>
        </is>
      </c>
      <c r="F572" s="29" t="inlineStr">
        <is>
          <t>Senior System Administrator</t>
        </is>
      </c>
      <c r="G572" s="29" t="inlineStr">
        <is>
          <t>Senior System Administrator</t>
        </is>
      </c>
      <c r="H572" s="29" t="inlineStr">
        <is>
          <t>IT &amp; Infrastructure</t>
        </is>
      </c>
      <c r="I572" s="29" t="inlineStr">
        <is>
          <t>Infrastructure &amp; Cloud Operations</t>
        </is>
      </c>
      <c r="J572" s="29" t="inlineStr">
        <is>
          <t>IC</t>
        </is>
      </c>
      <c r="K572" s="29" t="inlineStr">
        <is>
          <t>RC-108</t>
        </is>
      </c>
      <c r="L572" s="29" t="inlineStr">
        <is>
          <t>Mahesh Tilave</t>
        </is>
      </c>
      <c r="M572" s="29" t="inlineStr">
        <is>
          <t>IRIS2103</t>
        </is>
      </c>
      <c r="N572" s="29" t="n">
        <v>10.3</v>
      </c>
      <c r="O572" s="29" t="n">
        <v>10.3</v>
      </c>
      <c r="P572" s="29" t="inlineStr">
        <is>
          <t>B.SC</t>
        </is>
      </c>
      <c r="Q572" s="29" t="inlineStr">
        <is>
          <t>Not in current mapping files</t>
        </is>
      </c>
      <c r="R572" s="29" t="inlineStr">
        <is>
          <t>A3</t>
        </is>
      </c>
      <c r="S572" s="30" t="inlineStr">
        <is>
          <t>20 of 20</t>
        </is>
      </c>
      <c r="T572" s="31"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
        </is>
      </c>
      <c r="U572" s="32" t="inlineStr">
        <is>
          <t>KRAs not received · manager to supply</t>
        </is>
      </c>
      <c r="V572" s="31" t="inlineStr">
        <is>
          <t>Latest rating: Not rated · manager · 9-box: Not placed · manager · Readiness: No rating data</t>
        </is>
      </c>
      <c r="W572" s="31" t="inlineStr">
        <is>
          <t>C M · Au M · Ac M · L L · BI M · Exp H · 10.3 yrs vs 2–4 yrs · Edu M · B.SC</t>
        </is>
      </c>
      <c r="X572" s="33" t="inlineStr">
        <is>
          <t>Open ▸</t>
        </is>
      </c>
      <c r="Y572" s="34" t="str">
        <f>IFERROR(INDEX(DL_C,MATCH($CA572,DL_KEY,0)),"M")</f>
        <v>H</v>
      </c>
      <c r="Z572" s="35" t="str">
        <f>IFERROR(INDEX(DL_Au,MATCH($CA572,DL_KEY,0)),"M")</f>
        <v>M</v>
      </c>
      <c r="AA572" s="35" t="str">
        <f>IFERROR(INDEX(DL_Ac,MATCH($CA572,DL_KEY,0)),"M")</f>
        <v>L</v>
      </c>
      <c r="AB572" s="35" t="str">
        <f>IFERROR(INDEX(DL_L,MATCH($CA572,DL_KEY,0)),"M")</f>
        <v>L</v>
      </c>
      <c r="AC572" s="35" t="str">
        <f>IFERROR(INDEX(DL_BI,MATCH($CA572,DL_KEY,0)),"M")</f>
        <v>L</v>
      </c>
      <c r="AD572" s="35" t="str">
        <f>IFERROR(INDEX(DL_Exp,MATCH($CA572,DL_KEY,0)),"M")</f>
        <v>L</v>
      </c>
      <c r="AE572" s="35" t="str">
        <f>IFERROR(INDEX(DL_Edu,MATCH($CA572,DL_KEY,0)),"M")</f>
        <v>L</v>
      </c>
      <c r="AF572" s="34" t="inlineStr">
        <is>
          <t>M</t>
        </is>
      </c>
      <c r="AG572" s="35" t="inlineStr">
        <is>
          <t>M</t>
        </is>
      </c>
      <c r="AH572" s="35" t="inlineStr">
        <is>
          <t>M</t>
        </is>
      </c>
      <c r="AI572" s="35" t="inlineStr">
        <is>
          <t>M</t>
        </is>
      </c>
      <c r="AJ572" s="35" t="inlineStr">
        <is>
          <t>M</t>
        </is>
      </c>
      <c r="AK572" s="35" t="inlineStr">
        <is>
          <t>M</t>
        </is>
      </c>
      <c r="AL572" s="35" t="inlineStr">
        <is>
          <t>M</t>
        </is>
      </c>
      <c r="AM572" s="36" t="n">
        <v>0.583</v>
      </c>
      <c r="AN572" s="37" t="n">
        <v>0.16</v>
      </c>
      <c r="AO572" s="37" t="n">
        <v>0.09</v>
      </c>
      <c r="AP572" s="37" t="n">
        <v>0</v>
      </c>
      <c r="AQ572" s="37" t="n">
        <v>0.063</v>
      </c>
      <c r="AR572" s="37" t="n">
        <v>0.06</v>
      </c>
      <c r="AS572" s="37" t="n">
        <v>0.04</v>
      </c>
      <c r="AT572" s="38" t="inlineStr">
        <is>
          <t>2–5</t>
        </is>
      </c>
      <c r="AU572" s="38" t="inlineStr">
        <is>
          <t>Graduate; relevant certification preferred</t>
        </is>
      </c>
      <c r="AV572" s="38" t="inlineStr">
        <is>
          <t>None · guides 1–3 juniors informally</t>
        </is>
      </c>
      <c r="AW572" s="38" t="inlineStr">
        <is>
          <t>P2 · SFIA 3 Apply</t>
        </is>
      </c>
      <c r="AX5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2" s="39" t="inlineStr">
        <is>
          <t>A3</t>
        </is>
      </c>
      <c r="AZ572" s="40" t="inlineStr">
        <is>
          <t>Band A · Practitioner · Senior Associate</t>
        </is>
      </c>
      <c r="BA572" s="40" t="inlineStr">
        <is>
          <t>Model A3 from the six ratings, the market-derived weights and rules R1–R13 · then No change · already below the manager</t>
        </is>
      </c>
      <c r="BB572" s="41" t="inlineStr">
        <is>
          <t>A3</t>
        </is>
      </c>
      <c r="BC572" s="40" t="inlineStr">
        <is>
          <t>The six ratings on the market-average weights of Band A · all tracks score 3.22 → A3 · Hay, Mercer IPE and public plans · experience 10.3 yrs vs the A3 market range 2–5</t>
        </is>
      </c>
      <c r="BD572" s="42">
        <f>IF(SUM(BM572,BN572,BO572,BP572,BQ572,BR572,BS572)=0,0,(BM572*BT572+BN572*BU572+BO572*BV572+BP572*BW572+BQ572*BX572+BR572*BY572+BS572*BZ572)/SUM(BM572,BN572,BO572,BP572,BQ572,BR572,BS572))</f>
        <v>0</v>
      </c>
      <c r="BE572" s="41" t="str">
        <f>IF(LEFT(AY572,1)="X",AY572,IF(OR(AY572="B+",AY572="C+"),INDEX(LAD_PC,MAX(1,MIN(14,MATCH(AY572,LAD_PC,0)+IF(BD572&gt;=0.5,1,IF(BD572&lt;=-0.5,-1,0))))),INDEX(LAD_STD,MAX(1,MIN(12,MATCH(AY572,LAD_STD,0)+IF(BD572&gt;=0.5,1,IF(BD572&lt;=-0.5,-1,0)))))))</f>
        <v>A3</v>
      </c>
      <c r="BF572" s="43" t="n"/>
      <c r="BG572" s="41" t="str">
        <f>IF(BF572&lt;&gt;"",BF572,BE572)</f>
        <v>A3</v>
      </c>
      <c r="BH572" s="40" t="str">
        <f>IFERROR(CHOOSE(INDEX(B_RANK,MATCH(BG572,B_LVL,0)),"Band A","Band B","B+ · Player-Coach","Band C","C+ · Player-Coach","Band D","Band E"),"Band X · Consultant")</f>
        <v>Band A</v>
      </c>
      <c r="BI572" s="40" t="str">
        <f>IF(BG572=AY572,"• Same",IF(INDEX(B_VAL,MATCH(BG572,B_LVL,0))&gt;INDEX(B_VAL,MATCH(AY572,B_LVL,0)),"▲ Up","▼ Down"))</f>
        <v>• Same</v>
      </c>
      <c r="BJ572" s="40" t="str">
        <f>IF(OR($M572="",$M572="—",$M572="Not in this file"),"",IFERROR(INDEX($BG$7:$BG$592,MATCH($M572,$D$7:$D$592,0)),""))</f>
        <v>B2</v>
      </c>
      <c r="BK572" s="40" t="str">
        <f>IFERROR(IF(BJ572="","—",IF(OR(LEFT(BG572,1)="X",LEFT(BJ572,1)="X"),"—",IF(AND(LEFT(BG572,1)="E",LEFT(BJ572,1)="E"),"Exception · Band E",IF(AND(INDEX(B_VAL,MATCH(BJ572,B_LVL,0))&gt;=7,INDEX(B_RANK,MATCH(BG572,B_LVL,0))&gt;=INDEX(B_RANK,MATCH(BJ572,B_LVL,0))),"⚠ Same band as a head manager",IF(INDEX(B_VAL,MATCH(BG572,B_LVL,0))&gt;=INDEX(B_VAL,MATCH(BJ572,B_LVL,0)),"⚠ At or above the manager's level","OK"))))),"—")</f>
        <v>OK</v>
      </c>
      <c r="BL572" s="43" t="n"/>
      <c r="BM572" s="44">
        <f>IFERROR(INDEX(LMH_PTS,MATCH(Y572,LMH_KEY,0)),0)</f>
        <v>9</v>
      </c>
      <c r="BN572" s="38">
        <f>IFERROR(INDEX(LMH_PTS,MATCH(Z572,LMH_KEY,0)),0)</f>
        <v>3</v>
      </c>
      <c r="BO572" s="38">
        <f>IFERROR(INDEX(LMH_PTS,MATCH(AA572,LMH_KEY,0)),0)</f>
        <v>1</v>
      </c>
      <c r="BP572" s="38">
        <f>IFERROR(INDEX(LMH_PTS,MATCH(AB572,LMH_KEY,0)),0)</f>
        <v>1</v>
      </c>
      <c r="BQ572" s="38">
        <f>IFERROR(INDEX(LMH_PTS,MATCH(AC572,LMH_KEY,0)),0)</f>
        <v>1</v>
      </c>
      <c r="BR572" s="38">
        <f>IFERROR(INDEX(LMH_PTS,MATCH(AD572,LMH_KEY,0)),0)</f>
        <v>1</v>
      </c>
      <c r="BS572" s="38">
        <f>IFERROR(INDEX(LMH_PTS,MATCH(AE572,LMH_KEY,0)),0)</f>
        <v>1</v>
      </c>
      <c r="BT572" s="38">
        <f>IFERROR(INDEX(LMH_STEP,MATCH(AF572,LMH_KEY,0)),0)</f>
        <v>0</v>
      </c>
      <c r="BU572" s="38">
        <f>IFERROR(INDEX(LMH_STEP,MATCH(AG572,LMH_KEY,0)),0)</f>
        <v>0</v>
      </c>
      <c r="BV572" s="38">
        <f>IFERROR(INDEX(LMH_STEP,MATCH(AH572,LMH_KEY,0)),0)</f>
        <v>0</v>
      </c>
      <c r="BW572" s="38">
        <f>IFERROR(INDEX(LMH_STEP,MATCH(AI572,LMH_KEY,0)),0)</f>
        <v>0</v>
      </c>
      <c r="BX572" s="38">
        <f>IFERROR(INDEX(LMH_STEP,MATCH(AJ572,LMH_KEY,0)),0)</f>
        <v>0</v>
      </c>
      <c r="BY572" s="38">
        <f>IFERROR(INDEX(LMH_STEP,MATCH(AK572,LMH_KEY,0)),0)</f>
        <v>0</v>
      </c>
      <c r="BZ572" s="38">
        <f>IFERROR(INDEX(LMH_STEP,MATCH(AL572,LMH_KEY,0)),0)</f>
        <v>0</v>
      </c>
      <c r="CA572" s="38" t="inlineStr">
        <is>
          <t>Corporate|IT &amp; Infrastructure|Senior System Administrator|A3|A</t>
        </is>
      </c>
    </row>
    <row r="573" ht="110" customHeight="1">
      <c r="A573" s="28" t="inlineStr">
        <is>
          <t>iFile</t>
        </is>
      </c>
      <c r="B573" s="29" t="inlineStr">
        <is>
          <t>Technology</t>
        </is>
      </c>
      <c r="C573" s="29" t="n">
        <v>0</v>
      </c>
      <c r="D573" s="29" t="inlineStr">
        <is>
          <t>No Emp ID · in-house consultant</t>
        </is>
      </c>
      <c r="E573" s="29" t="inlineStr">
        <is>
          <t>Aloke Chatterjee</t>
        </is>
      </c>
      <c r="F573" s="29" t="inlineStr">
        <is>
          <t>Consultant</t>
        </is>
      </c>
      <c r="G573" s="29" t="inlineStr">
        <is>
          <t>Associate Consultant – Software Development</t>
        </is>
      </c>
      <c r="H573" s="29" t="inlineStr">
        <is>
          <t>Engineering &amp; Development</t>
        </is>
      </c>
      <c r="I573" s="29" t="inlineStr">
        <is>
          <t>Backend Development</t>
        </is>
      </c>
      <c r="J573" s="29" t="inlineStr">
        <is>
          <t>Consultant</t>
        </is>
      </c>
      <c r="K573" s="29" t="inlineStr">
        <is>
          <t>RC-073</t>
        </is>
      </c>
      <c r="L573" s="29" t="inlineStr">
        <is>
          <t>Not provided · HRIS</t>
        </is>
      </c>
      <c r="M573" s="29" t="inlineStr">
        <is>
          <t>Not in this file</t>
        </is>
      </c>
      <c r="N573" s="29" t="inlineStr">
        <is>
          <t>Not provided · HRIS</t>
        </is>
      </c>
      <c r="O573" s="29" t="n">
        <v>0.7</v>
      </c>
      <c r="P573" s="29" t="inlineStr">
        <is>
          <t>Not provided · HRIS</t>
        </is>
      </c>
      <c r="Q573" s="29" t="inlineStr">
        <is>
          <t>—</t>
        </is>
      </c>
      <c r="R573" s="29" t="inlineStr">
        <is>
          <t>X1</t>
        </is>
      </c>
      <c r="S573" s="30" t="inlineStr">
        <is>
          <t>0 of 20</t>
        </is>
      </c>
      <c r="T573" s="32" t="inlineStr">
        <is>
          <t>No survey response on file</t>
        </is>
      </c>
      <c r="U573" s="32" t="inlineStr">
        <is>
          <t>KRAs not received · manager to supply</t>
        </is>
      </c>
      <c r="V573" s="31" t="inlineStr">
        <is>
          <t>Latest rating: Not rated · manager · Readiness: n/a · consultant</t>
        </is>
      </c>
      <c r="W573" s="31" t="inlineStr">
        <is>
          <t>Consultant · outside the ladder</t>
        </is>
      </c>
      <c r="X573" s="33" t="inlineStr">
        <is>
          <t>Open ▸</t>
        </is>
      </c>
      <c r="Y573" s="34" t="n"/>
      <c r="Z573" s="35" t="n"/>
      <c r="AA573" s="35" t="n"/>
      <c r="AB573" s="35" t="n"/>
      <c r="AC573" s="35" t="n"/>
      <c r="AD573" s="35" t="n"/>
      <c r="AE573" s="35" t="n"/>
      <c r="AF573" s="34" t="n"/>
      <c r="AG573" s="35" t="n"/>
      <c r="AH573" s="35" t="n"/>
      <c r="AI573" s="35" t="n"/>
      <c r="AJ573" s="35" t="n"/>
      <c r="AK573" s="35" t="n"/>
      <c r="AL573" s="35" t="n"/>
      <c r="AM573" s="36" t="n"/>
      <c r="AN573" s="37" t="n"/>
      <c r="AO573" s="37" t="n"/>
      <c r="AP573" s="37" t="n"/>
      <c r="AQ573" s="37" t="n"/>
      <c r="AR573" s="37" t="n"/>
      <c r="AS573" s="37" t="n"/>
      <c r="AT573" s="38" t="n"/>
      <c r="AU573" s="38" t="n"/>
      <c r="AV573" s="38" t="n"/>
      <c r="AW573" s="38" t="inlineStr">
        <is>
          <t>—</t>
        </is>
      </c>
      <c r="AX5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3" s="39" t="inlineStr">
        <is>
          <t>X1</t>
        </is>
      </c>
      <c r="AZ573" s="40" t="inlineStr">
        <is>
          <t xml:space="preserve">Band X · Consultant · </t>
        </is>
      </c>
      <c r="BA573" s="40" t="inlineStr">
        <is>
          <t>Model X1 from the six ratings, the market-derived weights and rules R1–R13 · then Consultant · outside the ladder</t>
        </is>
      </c>
      <c r="BB573" s="41" t="n"/>
      <c r="BC573" s="40" t="inlineStr">
        <is>
          <t>Consultant · outside the ladder</t>
        </is>
      </c>
      <c r="BD573" s="42">
        <f>IF(SUM(BM573,BN573,BO573,BP573,BQ573,BR573,BS573)=0,0,(BM573*BT573+BN573*BU573+BO573*BV573+BP573*BW573+BQ573*BX573+BR573*BY573+BS573*BZ573)/SUM(BM573,BN573,BO573,BP573,BQ573,BR573,BS573))</f>
        <v>0</v>
      </c>
      <c r="BE573" s="41" t="str">
        <f>IF(LEFT(AY573,1)="X",AY573,IF(OR(AY573="B+",AY573="C+"),INDEX(LAD_PC,MAX(1,MIN(14,MATCH(AY573,LAD_PC,0)+IF(BD573&gt;=0.5,1,IF(BD573&lt;=-0.5,-1,0))))),INDEX(LAD_STD,MAX(1,MIN(12,MATCH(AY573,LAD_STD,0)+IF(BD573&gt;=0.5,1,IF(BD573&lt;=-0.5,-1,0)))))))</f>
        <v>X1</v>
      </c>
      <c r="BF573" s="43" t="n"/>
      <c r="BG573" s="41" t="str">
        <f>IF(BF573&lt;&gt;"",BF573,BE573)</f>
        <v>X1</v>
      </c>
      <c r="BH573" s="40" t="str">
        <f>IFERROR(CHOOSE(INDEX(B_RANK,MATCH(BG573,B_LVL,0)),"Band A","Band B","B+ · Player-Coach","Band C","C+ · Player-Coach","Band D","Band E"),"Band X · Consultant")</f>
        <v>Band X · Consultant</v>
      </c>
      <c r="BI573" s="40" t="str">
        <f>IF(BG573=AY573,"• Same",IF(INDEX(B_VAL,MATCH(BG573,B_LVL,0))&gt;INDEX(B_VAL,MATCH(AY573,B_LVL,0)),"▲ Up","▼ Down"))</f>
        <v>• Same</v>
      </c>
      <c r="BJ573" s="40" t="str">
        <f>IF(OR($M573="",$M573="—",$M573="Not in this file"),"",IFERROR(INDEX($BG$7:$BG$592,MATCH($M573,$D$7:$D$592,0)),""))</f>
        <v/>
      </c>
      <c r="BK573" s="40" t="str">
        <f>IFERROR(IF(BJ573="","—",IF(OR(LEFT(BG573,1)="X",LEFT(BJ573,1)="X"),"—",IF(AND(LEFT(BG573,1)="E",LEFT(BJ573,1)="E"),"Exception · Band E",IF(AND(INDEX(B_VAL,MATCH(BJ573,B_LVL,0))&gt;=7,INDEX(B_RANK,MATCH(BG573,B_LVL,0))&gt;=INDEX(B_RANK,MATCH(BJ573,B_LVL,0))),"⚠ Same band as a head manager",IF(INDEX(B_VAL,MATCH(BG573,B_LVL,0))&gt;=INDEX(B_VAL,MATCH(BJ573,B_LVL,0)),"⚠ At or above the manager's level","OK"))))),"—")</f>
        <v>—</v>
      </c>
      <c r="BL573" s="43" t="n"/>
      <c r="BM573" s="44">
        <f>IFERROR(INDEX(LMH_PTS,MATCH(Y573,LMH_KEY,0)),0)</f>
        <v>0</v>
      </c>
      <c r="BN573" s="38">
        <f>IFERROR(INDEX(LMH_PTS,MATCH(Z573,LMH_KEY,0)),0)</f>
        <v>0</v>
      </c>
      <c r="BO573" s="38">
        <f>IFERROR(INDEX(LMH_PTS,MATCH(AA573,LMH_KEY,0)),0)</f>
        <v>0</v>
      </c>
      <c r="BP573" s="38">
        <f>IFERROR(INDEX(LMH_PTS,MATCH(AB573,LMH_KEY,0)),0)</f>
        <v>0</v>
      </c>
      <c r="BQ573" s="38">
        <f>IFERROR(INDEX(LMH_PTS,MATCH(AC573,LMH_KEY,0)),0)</f>
        <v>0</v>
      </c>
      <c r="BR573" s="38">
        <f>IFERROR(INDEX(LMH_PTS,MATCH(AD573,LMH_KEY,0)),0)</f>
        <v>0</v>
      </c>
      <c r="BS573" s="38">
        <f>IFERROR(INDEX(LMH_PTS,MATCH(AE573,LMH_KEY,0)),0)</f>
        <v>0</v>
      </c>
      <c r="BT573" s="38">
        <f>IFERROR(INDEX(LMH_STEP,MATCH(AF573,LMH_KEY,0)),0)</f>
        <v>0</v>
      </c>
      <c r="BU573" s="38">
        <f>IFERROR(INDEX(LMH_STEP,MATCH(AG573,LMH_KEY,0)),0)</f>
        <v>0</v>
      </c>
      <c r="BV573" s="38">
        <f>IFERROR(INDEX(LMH_STEP,MATCH(AH573,LMH_KEY,0)),0)</f>
        <v>0</v>
      </c>
      <c r="BW573" s="38">
        <f>IFERROR(INDEX(LMH_STEP,MATCH(AI573,LMH_KEY,0)),0)</f>
        <v>0</v>
      </c>
      <c r="BX573" s="38">
        <f>IFERROR(INDEX(LMH_STEP,MATCH(AJ573,LMH_KEY,0)),0)</f>
        <v>0</v>
      </c>
      <c r="BY573" s="38">
        <f>IFERROR(INDEX(LMH_STEP,MATCH(AK573,LMH_KEY,0)),0)</f>
        <v>0</v>
      </c>
      <c r="BZ573" s="38">
        <f>IFERROR(INDEX(LMH_STEP,MATCH(AL573,LMH_KEY,0)),0)</f>
        <v>0</v>
      </c>
      <c r="CA573" s="38" t="inlineStr">
        <is>
          <t>iFile|Technology|Associate Consultant – Software Development|X1|X</t>
        </is>
      </c>
    </row>
    <row r="574" ht="110" customHeight="1">
      <c r="A574" s="28" t="inlineStr">
        <is>
          <t>Datatech</t>
        </is>
      </c>
      <c r="B574" s="29" t="inlineStr">
        <is>
          <t>Not provided · HRIS</t>
        </is>
      </c>
      <c r="C574" s="29" t="n">
        <v>0</v>
      </c>
      <c r="D574" s="29" t="inlineStr">
        <is>
          <t>No Emp ID · external consultant</t>
        </is>
      </c>
      <c r="E574" s="29" t="inlineStr">
        <is>
          <t>Arindam Bose</t>
        </is>
      </c>
      <c r="F574" s="29" t="inlineStr">
        <is>
          <t>Consultant</t>
        </is>
      </c>
      <c r="G574" s="29" t="inlineStr">
        <is>
          <t>Associate Consultant – Software Development</t>
        </is>
      </c>
      <c r="H574" s="29" t="inlineStr">
        <is>
          <t>Unassigned</t>
        </is>
      </c>
      <c r="I574" s="29" t="inlineStr">
        <is>
          <t>Role not recorded · external consultant</t>
        </is>
      </c>
      <c r="J574" s="29" t="inlineStr">
        <is>
          <t>Consultant</t>
        </is>
      </c>
      <c r="K574" s="29" t="inlineStr">
        <is>
          <t>RC-175</t>
        </is>
      </c>
      <c r="L574" s="29" t="inlineStr">
        <is>
          <t>Not provided · HRIS</t>
        </is>
      </c>
      <c r="M574" s="29" t="inlineStr">
        <is>
          <t>Not in this file</t>
        </is>
      </c>
      <c r="N574" s="29" t="inlineStr">
        <is>
          <t>Not provided · HRIS</t>
        </is>
      </c>
      <c r="O574" s="29" t="n">
        <v>0.1</v>
      </c>
      <c r="P574" s="29" t="inlineStr">
        <is>
          <t>Not provided · HRIS</t>
        </is>
      </c>
      <c r="Q574" s="29" t="inlineStr">
        <is>
          <t>—</t>
        </is>
      </c>
      <c r="R574" s="29" t="inlineStr">
        <is>
          <t>X1</t>
        </is>
      </c>
      <c r="S574" s="30" t="inlineStr">
        <is>
          <t>0 of 20</t>
        </is>
      </c>
      <c r="T574" s="32" t="inlineStr">
        <is>
          <t>No survey response on file</t>
        </is>
      </c>
      <c r="U574" s="32" t="inlineStr">
        <is>
          <t>KRAs not received · manager to supply</t>
        </is>
      </c>
      <c r="V574" s="31" t="inlineStr">
        <is>
          <t>Latest rating: Not rated · manager · Readiness: n/a · consultant</t>
        </is>
      </c>
      <c r="W574" s="31" t="inlineStr">
        <is>
          <t>Consultant · outside the ladder</t>
        </is>
      </c>
      <c r="X574" s="33" t="inlineStr">
        <is>
          <t>Open ▸</t>
        </is>
      </c>
      <c r="Y574" s="34" t="n"/>
      <c r="Z574" s="35" t="n"/>
      <c r="AA574" s="35" t="n"/>
      <c r="AB574" s="35" t="n"/>
      <c r="AC574" s="35" t="n"/>
      <c r="AD574" s="35" t="n"/>
      <c r="AE574" s="35" t="n"/>
      <c r="AF574" s="34" t="n"/>
      <c r="AG574" s="35" t="n"/>
      <c r="AH574" s="35" t="n"/>
      <c r="AI574" s="35" t="n"/>
      <c r="AJ574" s="35" t="n"/>
      <c r="AK574" s="35" t="n"/>
      <c r="AL574" s="35" t="n"/>
      <c r="AM574" s="36" t="n"/>
      <c r="AN574" s="37" t="n"/>
      <c r="AO574" s="37" t="n"/>
      <c r="AP574" s="37" t="n"/>
      <c r="AQ574" s="37" t="n"/>
      <c r="AR574" s="37" t="n"/>
      <c r="AS574" s="37" t="n"/>
      <c r="AT574" s="38" t="n"/>
      <c r="AU574" s="38" t="n"/>
      <c r="AV574" s="38" t="n"/>
      <c r="AW574" s="38" t="inlineStr">
        <is>
          <t>—</t>
        </is>
      </c>
      <c r="AX5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4" s="39" t="inlineStr">
        <is>
          <t>X1</t>
        </is>
      </c>
      <c r="AZ574" s="40" t="inlineStr">
        <is>
          <t xml:space="preserve">Band X · Consultant · </t>
        </is>
      </c>
      <c r="BA574" s="40" t="inlineStr">
        <is>
          <t>Model X1 from the six ratings, the market-derived weights and rules R1–R13 · then Consultant · outside the ladder</t>
        </is>
      </c>
      <c r="BB574" s="41" t="n"/>
      <c r="BC574" s="40" t="inlineStr">
        <is>
          <t>Consultant · outside the ladder</t>
        </is>
      </c>
      <c r="BD574" s="42">
        <f>IF(SUM(BM574,BN574,BO574,BP574,BQ574,BR574,BS574)=0,0,(BM574*BT574+BN574*BU574+BO574*BV574+BP574*BW574+BQ574*BX574+BR574*BY574+BS574*BZ574)/SUM(BM574,BN574,BO574,BP574,BQ574,BR574,BS574))</f>
        <v>0</v>
      </c>
      <c r="BE574" s="41" t="str">
        <f>IF(LEFT(AY574,1)="X",AY574,IF(OR(AY574="B+",AY574="C+"),INDEX(LAD_PC,MAX(1,MIN(14,MATCH(AY574,LAD_PC,0)+IF(BD574&gt;=0.5,1,IF(BD574&lt;=-0.5,-1,0))))),INDEX(LAD_STD,MAX(1,MIN(12,MATCH(AY574,LAD_STD,0)+IF(BD574&gt;=0.5,1,IF(BD574&lt;=-0.5,-1,0)))))))</f>
        <v>X1</v>
      </c>
      <c r="BF574" s="43" t="n"/>
      <c r="BG574" s="41" t="str">
        <f>IF(BF574&lt;&gt;"",BF574,BE574)</f>
        <v>X1</v>
      </c>
      <c r="BH574" s="40" t="str">
        <f>IFERROR(CHOOSE(INDEX(B_RANK,MATCH(BG574,B_LVL,0)),"Band A","Band B","B+ · Player-Coach","Band C","C+ · Player-Coach","Band D","Band E"),"Band X · Consultant")</f>
        <v>Band X · Consultant</v>
      </c>
      <c r="BI574" s="40" t="str">
        <f>IF(BG574=AY574,"• Same",IF(INDEX(B_VAL,MATCH(BG574,B_LVL,0))&gt;INDEX(B_VAL,MATCH(AY574,B_LVL,0)),"▲ Up","▼ Down"))</f>
        <v>• Same</v>
      </c>
      <c r="BJ574" s="40" t="str">
        <f>IF(OR($M574="",$M574="—",$M574="Not in this file"),"",IFERROR(INDEX($BG$7:$BG$592,MATCH($M574,$D$7:$D$592,0)),""))</f>
        <v/>
      </c>
      <c r="BK574" s="40" t="str">
        <f>IFERROR(IF(BJ574="","—",IF(OR(LEFT(BG574,1)="X",LEFT(BJ574,1)="X"),"—",IF(AND(LEFT(BG574,1)="E",LEFT(BJ574,1)="E"),"Exception · Band E",IF(AND(INDEX(B_VAL,MATCH(BJ574,B_LVL,0))&gt;=7,INDEX(B_RANK,MATCH(BG574,B_LVL,0))&gt;=INDEX(B_RANK,MATCH(BJ574,B_LVL,0))),"⚠ Same band as a head manager",IF(INDEX(B_VAL,MATCH(BG574,B_LVL,0))&gt;=INDEX(B_VAL,MATCH(BJ574,B_LVL,0)),"⚠ At or above the manager's level","OK"))))),"—")</f>
        <v>—</v>
      </c>
      <c r="BL574" s="43" t="n"/>
      <c r="BM574" s="44">
        <f>IFERROR(INDEX(LMH_PTS,MATCH(Y574,LMH_KEY,0)),0)</f>
        <v>0</v>
      </c>
      <c r="BN574" s="38">
        <f>IFERROR(INDEX(LMH_PTS,MATCH(Z574,LMH_KEY,0)),0)</f>
        <v>0</v>
      </c>
      <c r="BO574" s="38">
        <f>IFERROR(INDEX(LMH_PTS,MATCH(AA574,LMH_KEY,0)),0)</f>
        <v>0</v>
      </c>
      <c r="BP574" s="38">
        <f>IFERROR(INDEX(LMH_PTS,MATCH(AB574,LMH_KEY,0)),0)</f>
        <v>0</v>
      </c>
      <c r="BQ574" s="38">
        <f>IFERROR(INDEX(LMH_PTS,MATCH(AC574,LMH_KEY,0)),0)</f>
        <v>0</v>
      </c>
      <c r="BR574" s="38">
        <f>IFERROR(INDEX(LMH_PTS,MATCH(AD574,LMH_KEY,0)),0)</f>
        <v>0</v>
      </c>
      <c r="BS574" s="38">
        <f>IFERROR(INDEX(LMH_PTS,MATCH(AE574,LMH_KEY,0)),0)</f>
        <v>0</v>
      </c>
      <c r="BT574" s="38">
        <f>IFERROR(INDEX(LMH_STEP,MATCH(AF574,LMH_KEY,0)),0)</f>
        <v>0</v>
      </c>
      <c r="BU574" s="38">
        <f>IFERROR(INDEX(LMH_STEP,MATCH(AG574,LMH_KEY,0)),0)</f>
        <v>0</v>
      </c>
      <c r="BV574" s="38">
        <f>IFERROR(INDEX(LMH_STEP,MATCH(AH574,LMH_KEY,0)),0)</f>
        <v>0</v>
      </c>
      <c r="BW574" s="38">
        <f>IFERROR(INDEX(LMH_STEP,MATCH(AI574,LMH_KEY,0)),0)</f>
        <v>0</v>
      </c>
      <c r="BX574" s="38">
        <f>IFERROR(INDEX(LMH_STEP,MATCH(AJ574,LMH_KEY,0)),0)</f>
        <v>0</v>
      </c>
      <c r="BY574" s="38">
        <f>IFERROR(INDEX(LMH_STEP,MATCH(AK574,LMH_KEY,0)),0)</f>
        <v>0</v>
      </c>
      <c r="BZ574" s="38">
        <f>IFERROR(INDEX(LMH_STEP,MATCH(AL574,LMH_KEY,0)),0)</f>
        <v>0</v>
      </c>
      <c r="CA574" s="38" t="inlineStr">
        <is>
          <t>Datatech|Not provided · HRIS|Associate Consultant – Software Development|X1|X</t>
        </is>
      </c>
    </row>
    <row r="575" ht="110" customHeight="1">
      <c r="A575" s="28" t="inlineStr">
        <is>
          <t>iFile</t>
        </is>
      </c>
      <c r="B575" s="29" t="inlineStr">
        <is>
          <t>Technology</t>
        </is>
      </c>
      <c r="C575" s="29" t="n">
        <v>0</v>
      </c>
      <c r="D575" s="29" t="inlineStr">
        <is>
          <t>No Emp ID · external consultant</t>
        </is>
      </c>
      <c r="E575" s="29" t="inlineStr">
        <is>
          <t>Bhumika Viroja</t>
        </is>
      </c>
      <c r="F575" s="29" t="inlineStr">
        <is>
          <t>Consultant</t>
        </is>
      </c>
      <c r="G575" s="29" t="inlineStr">
        <is>
          <t>Associate Consultant – Software Development</t>
        </is>
      </c>
      <c r="H575" s="29" t="inlineStr">
        <is>
          <t>Engineering &amp; Development</t>
        </is>
      </c>
      <c r="I575" s="29" t="inlineStr">
        <is>
          <t>Backend Development</t>
        </is>
      </c>
      <c r="J575" s="29" t="inlineStr">
        <is>
          <t>Consultant</t>
        </is>
      </c>
      <c r="K575" s="29" t="inlineStr">
        <is>
          <t>RC-073</t>
        </is>
      </c>
      <c r="L575" s="29" t="inlineStr">
        <is>
          <t>Not provided · HRIS</t>
        </is>
      </c>
      <c r="M575" s="29" t="inlineStr">
        <is>
          <t>Not in this file</t>
        </is>
      </c>
      <c r="N575" s="29" t="inlineStr">
        <is>
          <t>Not provided · HRIS</t>
        </is>
      </c>
      <c r="O575" s="29" t="n">
        <v>2.4</v>
      </c>
      <c r="P575" s="29" t="inlineStr">
        <is>
          <t>Not provided · HRIS</t>
        </is>
      </c>
      <c r="Q575" s="29" t="inlineStr">
        <is>
          <t>—</t>
        </is>
      </c>
      <c r="R575" s="29" t="inlineStr">
        <is>
          <t>X1</t>
        </is>
      </c>
      <c r="S575" s="30" t="inlineStr">
        <is>
          <t>0 of 20</t>
        </is>
      </c>
      <c r="T575" s="32" t="inlineStr">
        <is>
          <t>No survey response on file</t>
        </is>
      </c>
      <c r="U575" s="32" t="inlineStr">
        <is>
          <t>KRAs not received · manager to supply</t>
        </is>
      </c>
      <c r="V575" s="31" t="inlineStr">
        <is>
          <t>Latest rating: Not rated · manager · Readiness: n/a · consultant</t>
        </is>
      </c>
      <c r="W575" s="31" t="inlineStr">
        <is>
          <t>Consultant · outside the ladder</t>
        </is>
      </c>
      <c r="X575" s="33" t="inlineStr">
        <is>
          <t>Open ▸</t>
        </is>
      </c>
      <c r="Y575" s="34" t="n"/>
      <c r="Z575" s="35" t="n"/>
      <c r="AA575" s="35" t="n"/>
      <c r="AB575" s="35" t="n"/>
      <c r="AC575" s="35" t="n"/>
      <c r="AD575" s="35" t="n"/>
      <c r="AE575" s="35" t="n"/>
      <c r="AF575" s="34" t="n"/>
      <c r="AG575" s="35" t="n"/>
      <c r="AH575" s="35" t="n"/>
      <c r="AI575" s="35" t="n"/>
      <c r="AJ575" s="35" t="n"/>
      <c r="AK575" s="35" t="n"/>
      <c r="AL575" s="35" t="n"/>
      <c r="AM575" s="36" t="n"/>
      <c r="AN575" s="37" t="n"/>
      <c r="AO575" s="37" t="n"/>
      <c r="AP575" s="37" t="n"/>
      <c r="AQ575" s="37" t="n"/>
      <c r="AR575" s="37" t="n"/>
      <c r="AS575" s="37" t="n"/>
      <c r="AT575" s="38" t="n"/>
      <c r="AU575" s="38" t="n"/>
      <c r="AV575" s="38" t="n"/>
      <c r="AW575" s="38" t="inlineStr">
        <is>
          <t>—</t>
        </is>
      </c>
      <c r="AX5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5" s="39" t="inlineStr">
        <is>
          <t>X1</t>
        </is>
      </c>
      <c r="AZ575" s="40" t="inlineStr">
        <is>
          <t xml:space="preserve">Band X · Consultant · </t>
        </is>
      </c>
      <c r="BA575" s="40" t="inlineStr">
        <is>
          <t>Model X1 from the six ratings, the market-derived weights and rules R1–R13 · then Consultant · outside the ladder</t>
        </is>
      </c>
      <c r="BB575" s="41" t="n"/>
      <c r="BC575" s="40" t="inlineStr">
        <is>
          <t>Consultant · outside the ladder</t>
        </is>
      </c>
      <c r="BD575" s="42">
        <f>IF(SUM(BM575,BN575,BO575,BP575,BQ575,BR575,BS575)=0,0,(BM575*BT575+BN575*BU575+BO575*BV575+BP575*BW575+BQ575*BX575+BR575*BY575+BS575*BZ575)/SUM(BM575,BN575,BO575,BP575,BQ575,BR575,BS575))</f>
        <v>0</v>
      </c>
      <c r="BE575" s="41" t="str">
        <f>IF(LEFT(AY575,1)="X",AY575,IF(OR(AY575="B+",AY575="C+"),INDEX(LAD_PC,MAX(1,MIN(14,MATCH(AY575,LAD_PC,0)+IF(BD575&gt;=0.5,1,IF(BD575&lt;=-0.5,-1,0))))),INDEX(LAD_STD,MAX(1,MIN(12,MATCH(AY575,LAD_STD,0)+IF(BD575&gt;=0.5,1,IF(BD575&lt;=-0.5,-1,0)))))))</f>
        <v>X1</v>
      </c>
      <c r="BF575" s="43" t="n"/>
      <c r="BG575" s="41" t="str">
        <f>IF(BF575&lt;&gt;"",BF575,BE575)</f>
        <v>X1</v>
      </c>
      <c r="BH575" s="40" t="str">
        <f>IFERROR(CHOOSE(INDEX(B_RANK,MATCH(BG575,B_LVL,0)),"Band A","Band B","B+ · Player-Coach","Band C","C+ · Player-Coach","Band D","Band E"),"Band X · Consultant")</f>
        <v>Band X · Consultant</v>
      </c>
      <c r="BI575" s="40" t="str">
        <f>IF(BG575=AY575,"• Same",IF(INDEX(B_VAL,MATCH(BG575,B_LVL,0))&gt;INDEX(B_VAL,MATCH(AY575,B_LVL,0)),"▲ Up","▼ Down"))</f>
        <v>• Same</v>
      </c>
      <c r="BJ575" s="40" t="str">
        <f>IF(OR($M575="",$M575="—",$M575="Not in this file"),"",IFERROR(INDEX($BG$7:$BG$592,MATCH($M575,$D$7:$D$592,0)),""))</f>
        <v/>
      </c>
      <c r="BK575" s="40" t="str">
        <f>IFERROR(IF(BJ575="","—",IF(OR(LEFT(BG575,1)="X",LEFT(BJ575,1)="X"),"—",IF(AND(LEFT(BG575,1)="E",LEFT(BJ575,1)="E"),"Exception · Band E",IF(AND(INDEX(B_VAL,MATCH(BJ575,B_LVL,0))&gt;=7,INDEX(B_RANK,MATCH(BG575,B_LVL,0))&gt;=INDEX(B_RANK,MATCH(BJ575,B_LVL,0))),"⚠ Same band as a head manager",IF(INDEX(B_VAL,MATCH(BG575,B_LVL,0))&gt;=INDEX(B_VAL,MATCH(BJ575,B_LVL,0)),"⚠ At or above the manager's level","OK"))))),"—")</f>
        <v>—</v>
      </c>
      <c r="BL575" s="43" t="n"/>
      <c r="BM575" s="44">
        <f>IFERROR(INDEX(LMH_PTS,MATCH(Y575,LMH_KEY,0)),0)</f>
        <v>0</v>
      </c>
      <c r="BN575" s="38">
        <f>IFERROR(INDEX(LMH_PTS,MATCH(Z575,LMH_KEY,0)),0)</f>
        <v>0</v>
      </c>
      <c r="BO575" s="38">
        <f>IFERROR(INDEX(LMH_PTS,MATCH(AA575,LMH_KEY,0)),0)</f>
        <v>0</v>
      </c>
      <c r="BP575" s="38">
        <f>IFERROR(INDEX(LMH_PTS,MATCH(AB575,LMH_KEY,0)),0)</f>
        <v>0</v>
      </c>
      <c r="BQ575" s="38">
        <f>IFERROR(INDEX(LMH_PTS,MATCH(AC575,LMH_KEY,0)),0)</f>
        <v>0</v>
      </c>
      <c r="BR575" s="38">
        <f>IFERROR(INDEX(LMH_PTS,MATCH(AD575,LMH_KEY,0)),0)</f>
        <v>0</v>
      </c>
      <c r="BS575" s="38">
        <f>IFERROR(INDEX(LMH_PTS,MATCH(AE575,LMH_KEY,0)),0)</f>
        <v>0</v>
      </c>
      <c r="BT575" s="38">
        <f>IFERROR(INDEX(LMH_STEP,MATCH(AF575,LMH_KEY,0)),0)</f>
        <v>0</v>
      </c>
      <c r="BU575" s="38">
        <f>IFERROR(INDEX(LMH_STEP,MATCH(AG575,LMH_KEY,0)),0)</f>
        <v>0</v>
      </c>
      <c r="BV575" s="38">
        <f>IFERROR(INDEX(LMH_STEP,MATCH(AH575,LMH_KEY,0)),0)</f>
        <v>0</v>
      </c>
      <c r="BW575" s="38">
        <f>IFERROR(INDEX(LMH_STEP,MATCH(AI575,LMH_KEY,0)),0)</f>
        <v>0</v>
      </c>
      <c r="BX575" s="38">
        <f>IFERROR(INDEX(LMH_STEP,MATCH(AJ575,LMH_KEY,0)),0)</f>
        <v>0</v>
      </c>
      <c r="BY575" s="38">
        <f>IFERROR(INDEX(LMH_STEP,MATCH(AK575,LMH_KEY,0)),0)</f>
        <v>0</v>
      </c>
      <c r="BZ575" s="38">
        <f>IFERROR(INDEX(LMH_STEP,MATCH(AL575,LMH_KEY,0)),0)</f>
        <v>0</v>
      </c>
      <c r="CA575" s="38" t="inlineStr">
        <is>
          <t>iFile|Technology|Associate Consultant – Software Development|X1|X</t>
        </is>
      </c>
    </row>
    <row r="576" ht="110" customHeight="1">
      <c r="A576" s="28" t="inlineStr">
        <is>
          <t>iFile</t>
        </is>
      </c>
      <c r="B576" s="29" t="inlineStr">
        <is>
          <t>Technology</t>
        </is>
      </c>
      <c r="C576" s="29" t="n">
        <v>0</v>
      </c>
      <c r="D576" s="29" t="inlineStr">
        <is>
          <t>No Emp ID · external consultant</t>
        </is>
      </c>
      <c r="E576" s="29" t="inlineStr">
        <is>
          <t>Dhruv Patel</t>
        </is>
      </c>
      <c r="F576" s="29" t="inlineStr">
        <is>
          <t>Consultant</t>
        </is>
      </c>
      <c r="G576" s="29" t="inlineStr">
        <is>
          <t>Associate Consultant – Software Development</t>
        </is>
      </c>
      <c r="H576" s="29" t="inlineStr">
        <is>
          <t>Engineering &amp; Development</t>
        </is>
      </c>
      <c r="I576" s="29" t="inlineStr">
        <is>
          <t>Backend Development</t>
        </is>
      </c>
      <c r="J576" s="29" t="inlineStr">
        <is>
          <t>Consultant</t>
        </is>
      </c>
      <c r="K576" s="29" t="inlineStr">
        <is>
          <t>RC-073</t>
        </is>
      </c>
      <c r="L576" s="29" t="inlineStr">
        <is>
          <t>Not provided · HRIS</t>
        </is>
      </c>
      <c r="M576" s="29" t="inlineStr">
        <is>
          <t>Not in this file</t>
        </is>
      </c>
      <c r="N576" s="29" t="inlineStr">
        <is>
          <t>Not provided · HRIS</t>
        </is>
      </c>
      <c r="O576" s="29" t="n">
        <v>2.2</v>
      </c>
      <c r="P576" s="29" t="inlineStr">
        <is>
          <t>Not provided · HRIS</t>
        </is>
      </c>
      <c r="Q576" s="29" t="inlineStr">
        <is>
          <t>—</t>
        </is>
      </c>
      <c r="R576" s="29" t="inlineStr">
        <is>
          <t>X1</t>
        </is>
      </c>
      <c r="S576" s="30" t="inlineStr">
        <is>
          <t>0 of 20</t>
        </is>
      </c>
      <c r="T576" s="32" t="inlineStr">
        <is>
          <t>No survey response on file</t>
        </is>
      </c>
      <c r="U576" s="32" t="inlineStr">
        <is>
          <t>KRAs not received · manager to supply</t>
        </is>
      </c>
      <c r="V576" s="31" t="inlineStr">
        <is>
          <t>Latest rating: Not rated · manager · Readiness: n/a · consultant</t>
        </is>
      </c>
      <c r="W576" s="31" t="inlineStr">
        <is>
          <t>Consultant · outside the ladder</t>
        </is>
      </c>
      <c r="X576" s="33" t="inlineStr">
        <is>
          <t>Open ▸</t>
        </is>
      </c>
      <c r="Y576" s="34" t="n"/>
      <c r="Z576" s="35" t="n"/>
      <c r="AA576" s="35" t="n"/>
      <c r="AB576" s="35" t="n"/>
      <c r="AC576" s="35" t="n"/>
      <c r="AD576" s="35" t="n"/>
      <c r="AE576" s="35" t="n"/>
      <c r="AF576" s="34" t="n"/>
      <c r="AG576" s="35" t="n"/>
      <c r="AH576" s="35" t="n"/>
      <c r="AI576" s="35" t="n"/>
      <c r="AJ576" s="35" t="n"/>
      <c r="AK576" s="35" t="n"/>
      <c r="AL576" s="35" t="n"/>
      <c r="AM576" s="36" t="n"/>
      <c r="AN576" s="37" t="n"/>
      <c r="AO576" s="37" t="n"/>
      <c r="AP576" s="37" t="n"/>
      <c r="AQ576" s="37" t="n"/>
      <c r="AR576" s="37" t="n"/>
      <c r="AS576" s="37" t="n"/>
      <c r="AT576" s="38" t="n"/>
      <c r="AU576" s="38" t="n"/>
      <c r="AV576" s="38" t="n"/>
      <c r="AW576" s="38" t="inlineStr">
        <is>
          <t>—</t>
        </is>
      </c>
      <c r="AX5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6" s="39" t="inlineStr">
        <is>
          <t>X1</t>
        </is>
      </c>
      <c r="AZ576" s="40" t="inlineStr">
        <is>
          <t xml:space="preserve">Band X · Consultant · </t>
        </is>
      </c>
      <c r="BA576" s="40" t="inlineStr">
        <is>
          <t>Model X1 from the six ratings, the market-derived weights and rules R1–R13 · then Consultant · outside the ladder</t>
        </is>
      </c>
      <c r="BB576" s="41" t="n"/>
      <c r="BC576" s="40" t="inlineStr">
        <is>
          <t>Consultant · outside the ladder</t>
        </is>
      </c>
      <c r="BD576" s="42">
        <f>IF(SUM(BM576,BN576,BO576,BP576,BQ576,BR576,BS576)=0,0,(BM576*BT576+BN576*BU576+BO576*BV576+BP576*BW576+BQ576*BX576+BR576*BY576+BS576*BZ576)/SUM(BM576,BN576,BO576,BP576,BQ576,BR576,BS576))</f>
        <v>0</v>
      </c>
      <c r="BE576" s="41" t="str">
        <f>IF(LEFT(AY576,1)="X",AY576,IF(OR(AY576="B+",AY576="C+"),INDEX(LAD_PC,MAX(1,MIN(14,MATCH(AY576,LAD_PC,0)+IF(BD576&gt;=0.5,1,IF(BD576&lt;=-0.5,-1,0))))),INDEX(LAD_STD,MAX(1,MIN(12,MATCH(AY576,LAD_STD,0)+IF(BD576&gt;=0.5,1,IF(BD576&lt;=-0.5,-1,0)))))))</f>
        <v>X1</v>
      </c>
      <c r="BF576" s="43" t="n"/>
      <c r="BG576" s="41" t="str">
        <f>IF(BF576&lt;&gt;"",BF576,BE576)</f>
        <v>X1</v>
      </c>
      <c r="BH576" s="40" t="str">
        <f>IFERROR(CHOOSE(INDEX(B_RANK,MATCH(BG576,B_LVL,0)),"Band A","Band B","B+ · Player-Coach","Band C","C+ · Player-Coach","Band D","Band E"),"Band X · Consultant")</f>
        <v>Band X · Consultant</v>
      </c>
      <c r="BI576" s="40" t="str">
        <f>IF(BG576=AY576,"• Same",IF(INDEX(B_VAL,MATCH(BG576,B_LVL,0))&gt;INDEX(B_VAL,MATCH(AY576,B_LVL,0)),"▲ Up","▼ Down"))</f>
        <v>• Same</v>
      </c>
      <c r="BJ576" s="40" t="str">
        <f>IF(OR($M576="",$M576="—",$M576="Not in this file"),"",IFERROR(INDEX($BG$7:$BG$592,MATCH($M576,$D$7:$D$592,0)),""))</f>
        <v/>
      </c>
      <c r="BK576" s="40" t="str">
        <f>IFERROR(IF(BJ576="","—",IF(OR(LEFT(BG576,1)="X",LEFT(BJ576,1)="X"),"—",IF(AND(LEFT(BG576,1)="E",LEFT(BJ576,1)="E"),"Exception · Band E",IF(AND(INDEX(B_VAL,MATCH(BJ576,B_LVL,0))&gt;=7,INDEX(B_RANK,MATCH(BG576,B_LVL,0))&gt;=INDEX(B_RANK,MATCH(BJ576,B_LVL,0))),"⚠ Same band as a head manager",IF(INDEX(B_VAL,MATCH(BG576,B_LVL,0))&gt;=INDEX(B_VAL,MATCH(BJ576,B_LVL,0)),"⚠ At or above the manager's level","OK"))))),"—")</f>
        <v>—</v>
      </c>
      <c r="BL576" s="43" t="n"/>
      <c r="BM576" s="44">
        <f>IFERROR(INDEX(LMH_PTS,MATCH(Y576,LMH_KEY,0)),0)</f>
        <v>0</v>
      </c>
      <c r="BN576" s="38">
        <f>IFERROR(INDEX(LMH_PTS,MATCH(Z576,LMH_KEY,0)),0)</f>
        <v>0</v>
      </c>
      <c r="BO576" s="38">
        <f>IFERROR(INDEX(LMH_PTS,MATCH(AA576,LMH_KEY,0)),0)</f>
        <v>0</v>
      </c>
      <c r="BP576" s="38">
        <f>IFERROR(INDEX(LMH_PTS,MATCH(AB576,LMH_KEY,0)),0)</f>
        <v>0</v>
      </c>
      <c r="BQ576" s="38">
        <f>IFERROR(INDEX(LMH_PTS,MATCH(AC576,LMH_KEY,0)),0)</f>
        <v>0</v>
      </c>
      <c r="BR576" s="38">
        <f>IFERROR(INDEX(LMH_PTS,MATCH(AD576,LMH_KEY,0)),0)</f>
        <v>0</v>
      </c>
      <c r="BS576" s="38">
        <f>IFERROR(INDEX(LMH_PTS,MATCH(AE576,LMH_KEY,0)),0)</f>
        <v>0</v>
      </c>
      <c r="BT576" s="38">
        <f>IFERROR(INDEX(LMH_STEP,MATCH(AF576,LMH_KEY,0)),0)</f>
        <v>0</v>
      </c>
      <c r="BU576" s="38">
        <f>IFERROR(INDEX(LMH_STEP,MATCH(AG576,LMH_KEY,0)),0)</f>
        <v>0</v>
      </c>
      <c r="BV576" s="38">
        <f>IFERROR(INDEX(LMH_STEP,MATCH(AH576,LMH_KEY,0)),0)</f>
        <v>0</v>
      </c>
      <c r="BW576" s="38">
        <f>IFERROR(INDEX(LMH_STEP,MATCH(AI576,LMH_KEY,0)),0)</f>
        <v>0</v>
      </c>
      <c r="BX576" s="38">
        <f>IFERROR(INDEX(LMH_STEP,MATCH(AJ576,LMH_KEY,0)),0)</f>
        <v>0</v>
      </c>
      <c r="BY576" s="38">
        <f>IFERROR(INDEX(LMH_STEP,MATCH(AK576,LMH_KEY,0)),0)</f>
        <v>0</v>
      </c>
      <c r="BZ576" s="38">
        <f>IFERROR(INDEX(LMH_STEP,MATCH(AL576,LMH_KEY,0)),0)</f>
        <v>0</v>
      </c>
      <c r="CA576" s="38" t="inlineStr">
        <is>
          <t>iFile|Technology|Associate Consultant – Software Development|X1|X</t>
        </is>
      </c>
    </row>
    <row r="577" ht="110" customHeight="1">
      <c r="A577" s="28" t="inlineStr">
        <is>
          <t>iFile</t>
        </is>
      </c>
      <c r="B577" s="29" t="inlineStr">
        <is>
          <t>Technology</t>
        </is>
      </c>
      <c r="C577" s="29" t="n">
        <v>0</v>
      </c>
      <c r="D577" s="29" t="inlineStr">
        <is>
          <t>No Emp ID · external consultant</t>
        </is>
      </c>
      <c r="E577" s="29" t="inlineStr">
        <is>
          <t>Dinesh Choudhary</t>
        </is>
      </c>
      <c r="F577" s="29" t="inlineStr">
        <is>
          <t>Consultant</t>
        </is>
      </c>
      <c r="G577" s="29" t="inlineStr">
        <is>
          <t>Associate Consultant – Software Development</t>
        </is>
      </c>
      <c r="H577" s="29" t="inlineStr">
        <is>
          <t>Engineering &amp; Development</t>
        </is>
      </c>
      <c r="I577" s="29" t="inlineStr">
        <is>
          <t>Backend Development</t>
        </is>
      </c>
      <c r="J577" s="29" t="inlineStr">
        <is>
          <t>Consultant</t>
        </is>
      </c>
      <c r="K577" s="29" t="inlineStr">
        <is>
          <t>RC-073</t>
        </is>
      </c>
      <c r="L577" s="29" t="inlineStr">
        <is>
          <t>Not provided · HRIS</t>
        </is>
      </c>
      <c r="M577" s="29" t="inlineStr">
        <is>
          <t>Not in this file</t>
        </is>
      </c>
      <c r="N577" s="29" t="n">
        <v>5.5</v>
      </c>
      <c r="O577" s="29" t="n">
        <v>1.5</v>
      </c>
      <c r="P577" s="29" t="inlineStr">
        <is>
          <t>Not provided · HRIS</t>
        </is>
      </c>
      <c r="Q577" s="29" t="inlineStr">
        <is>
          <t>L3 – Professional / Associate</t>
        </is>
      </c>
      <c r="R577" s="29" t="inlineStr">
        <is>
          <t>X1</t>
        </is>
      </c>
      <c r="S577" s="30" t="inlineStr">
        <is>
          <t>0 of 20</t>
        </is>
      </c>
      <c r="T577" s="32" t="inlineStr">
        <is>
          <t>No survey response on file</t>
        </is>
      </c>
      <c r="U57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77" s="31" t="inlineStr">
        <is>
          <t>Latest rating: Not rated · manager · Readiness: n/a · consultant</t>
        </is>
      </c>
      <c r="W577" s="31" t="inlineStr">
        <is>
          <t>Consultant · outside the ladder</t>
        </is>
      </c>
      <c r="X577" s="33" t="inlineStr">
        <is>
          <t>Open ▸</t>
        </is>
      </c>
      <c r="Y577" s="34" t="n"/>
      <c r="Z577" s="35" t="n"/>
      <c r="AA577" s="35" t="n"/>
      <c r="AB577" s="35" t="n"/>
      <c r="AC577" s="35" t="n"/>
      <c r="AD577" s="35" t="n"/>
      <c r="AE577" s="35" t="n"/>
      <c r="AF577" s="34" t="n"/>
      <c r="AG577" s="35" t="n"/>
      <c r="AH577" s="35" t="n"/>
      <c r="AI577" s="35" t="n"/>
      <c r="AJ577" s="35" t="n"/>
      <c r="AK577" s="35" t="n"/>
      <c r="AL577" s="35" t="n"/>
      <c r="AM577" s="36" t="n"/>
      <c r="AN577" s="37" t="n"/>
      <c r="AO577" s="37" t="n"/>
      <c r="AP577" s="37" t="n"/>
      <c r="AQ577" s="37" t="n"/>
      <c r="AR577" s="37" t="n"/>
      <c r="AS577" s="37" t="n"/>
      <c r="AT577" s="38" t="n"/>
      <c r="AU577" s="38" t="n"/>
      <c r="AV577" s="38" t="n"/>
      <c r="AW577" s="38" t="inlineStr">
        <is>
          <t>—</t>
        </is>
      </c>
      <c r="AX5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7" s="39" t="inlineStr">
        <is>
          <t>X1</t>
        </is>
      </c>
      <c r="AZ577" s="40" t="inlineStr">
        <is>
          <t xml:space="preserve">Band X · Consultant · </t>
        </is>
      </c>
      <c r="BA577" s="40" t="inlineStr">
        <is>
          <t>Model X1 from the six ratings, the market-derived weights and rules R1–R13 · then Consultant · outside the ladder</t>
        </is>
      </c>
      <c r="BB577" s="41" t="n"/>
      <c r="BC577" s="40" t="inlineStr">
        <is>
          <t>Consultant · outside the ladder</t>
        </is>
      </c>
      <c r="BD577" s="42">
        <f>IF(SUM(BM577,BN577,BO577,BP577,BQ577,BR577,BS577)=0,0,(BM577*BT577+BN577*BU577+BO577*BV577+BP577*BW577+BQ577*BX577+BR577*BY577+BS577*BZ577)/SUM(BM577,BN577,BO577,BP577,BQ577,BR577,BS577))</f>
        <v>0</v>
      </c>
      <c r="BE577" s="41" t="str">
        <f>IF(LEFT(AY577,1)="X",AY577,IF(OR(AY577="B+",AY577="C+"),INDEX(LAD_PC,MAX(1,MIN(14,MATCH(AY577,LAD_PC,0)+IF(BD577&gt;=0.5,1,IF(BD577&lt;=-0.5,-1,0))))),INDEX(LAD_STD,MAX(1,MIN(12,MATCH(AY577,LAD_STD,0)+IF(BD577&gt;=0.5,1,IF(BD577&lt;=-0.5,-1,0)))))))</f>
        <v>X1</v>
      </c>
      <c r="BF577" s="43" t="n"/>
      <c r="BG577" s="41" t="str">
        <f>IF(BF577&lt;&gt;"",BF577,BE577)</f>
        <v>X1</v>
      </c>
      <c r="BH577" s="40" t="str">
        <f>IFERROR(CHOOSE(INDEX(B_RANK,MATCH(BG577,B_LVL,0)),"Band A","Band B","B+ · Player-Coach","Band C","C+ · Player-Coach","Band D","Band E"),"Band X · Consultant")</f>
        <v>Band X · Consultant</v>
      </c>
      <c r="BI577" s="40" t="str">
        <f>IF(BG577=AY577,"• Same",IF(INDEX(B_VAL,MATCH(BG577,B_LVL,0))&gt;INDEX(B_VAL,MATCH(AY577,B_LVL,0)),"▲ Up","▼ Down"))</f>
        <v>• Same</v>
      </c>
      <c r="BJ577" s="40" t="str">
        <f>IF(OR($M577="",$M577="—",$M577="Not in this file"),"",IFERROR(INDEX($BG$7:$BG$592,MATCH($M577,$D$7:$D$592,0)),""))</f>
        <v/>
      </c>
      <c r="BK577" s="40" t="str">
        <f>IFERROR(IF(BJ577="","—",IF(OR(LEFT(BG577,1)="X",LEFT(BJ577,1)="X"),"—",IF(AND(LEFT(BG577,1)="E",LEFT(BJ577,1)="E"),"Exception · Band E",IF(AND(INDEX(B_VAL,MATCH(BJ577,B_LVL,0))&gt;=7,INDEX(B_RANK,MATCH(BG577,B_LVL,0))&gt;=INDEX(B_RANK,MATCH(BJ577,B_LVL,0))),"⚠ Same band as a head manager",IF(INDEX(B_VAL,MATCH(BG577,B_LVL,0))&gt;=INDEX(B_VAL,MATCH(BJ577,B_LVL,0)),"⚠ At or above the manager's level","OK"))))),"—")</f>
        <v>—</v>
      </c>
      <c r="BL577" s="43" t="n"/>
      <c r="BM577" s="44">
        <f>IFERROR(INDEX(LMH_PTS,MATCH(Y577,LMH_KEY,0)),0)</f>
        <v>0</v>
      </c>
      <c r="BN577" s="38">
        <f>IFERROR(INDEX(LMH_PTS,MATCH(Z577,LMH_KEY,0)),0)</f>
        <v>0</v>
      </c>
      <c r="BO577" s="38">
        <f>IFERROR(INDEX(LMH_PTS,MATCH(AA577,LMH_KEY,0)),0)</f>
        <v>0</v>
      </c>
      <c r="BP577" s="38">
        <f>IFERROR(INDEX(LMH_PTS,MATCH(AB577,LMH_KEY,0)),0)</f>
        <v>0</v>
      </c>
      <c r="BQ577" s="38">
        <f>IFERROR(INDEX(LMH_PTS,MATCH(AC577,LMH_KEY,0)),0)</f>
        <v>0</v>
      </c>
      <c r="BR577" s="38">
        <f>IFERROR(INDEX(LMH_PTS,MATCH(AD577,LMH_KEY,0)),0)</f>
        <v>0</v>
      </c>
      <c r="BS577" s="38">
        <f>IFERROR(INDEX(LMH_PTS,MATCH(AE577,LMH_KEY,0)),0)</f>
        <v>0</v>
      </c>
      <c r="BT577" s="38">
        <f>IFERROR(INDEX(LMH_STEP,MATCH(AF577,LMH_KEY,0)),0)</f>
        <v>0</v>
      </c>
      <c r="BU577" s="38">
        <f>IFERROR(INDEX(LMH_STEP,MATCH(AG577,LMH_KEY,0)),0)</f>
        <v>0</v>
      </c>
      <c r="BV577" s="38">
        <f>IFERROR(INDEX(LMH_STEP,MATCH(AH577,LMH_KEY,0)),0)</f>
        <v>0</v>
      </c>
      <c r="BW577" s="38">
        <f>IFERROR(INDEX(LMH_STEP,MATCH(AI577,LMH_KEY,0)),0)</f>
        <v>0</v>
      </c>
      <c r="BX577" s="38">
        <f>IFERROR(INDEX(LMH_STEP,MATCH(AJ577,LMH_KEY,0)),0)</f>
        <v>0</v>
      </c>
      <c r="BY577" s="38">
        <f>IFERROR(INDEX(LMH_STEP,MATCH(AK577,LMH_KEY,0)),0)</f>
        <v>0</v>
      </c>
      <c r="BZ577" s="38">
        <f>IFERROR(INDEX(LMH_STEP,MATCH(AL577,LMH_KEY,0)),0)</f>
        <v>0</v>
      </c>
      <c r="CA577" s="38" t="inlineStr">
        <is>
          <t>iFile|Technology|Associate Consultant – Software Development|X1|X</t>
        </is>
      </c>
    </row>
    <row r="578" ht="110" customHeight="1">
      <c r="A578" s="28" t="inlineStr">
        <is>
          <t>iFile</t>
        </is>
      </c>
      <c r="B578" s="29" t="inlineStr">
        <is>
          <t>Technology</t>
        </is>
      </c>
      <c r="C578" s="29" t="n">
        <v>0</v>
      </c>
      <c r="D578" s="29" t="inlineStr">
        <is>
          <t>No Emp ID · external consultant</t>
        </is>
      </c>
      <c r="E578" s="29" t="inlineStr">
        <is>
          <t>Falguni</t>
        </is>
      </c>
      <c r="F578" s="29" t="inlineStr">
        <is>
          <t>Consultant</t>
        </is>
      </c>
      <c r="G578" s="29" t="inlineStr">
        <is>
          <t>Associate Consultant – Software Development</t>
        </is>
      </c>
      <c r="H578" s="29" t="inlineStr">
        <is>
          <t>Engineering &amp; Development</t>
        </is>
      </c>
      <c r="I578" s="29" t="inlineStr">
        <is>
          <t>Backend Development</t>
        </is>
      </c>
      <c r="J578" s="29" t="inlineStr">
        <is>
          <t>Consultant</t>
        </is>
      </c>
      <c r="K578" s="29" t="inlineStr">
        <is>
          <t>RC-073</t>
        </is>
      </c>
      <c r="L578" s="29" t="inlineStr">
        <is>
          <t>Not provided · HRIS</t>
        </is>
      </c>
      <c r="M578" s="29" t="inlineStr">
        <is>
          <t>Not in this file</t>
        </is>
      </c>
      <c r="N578" s="29" t="inlineStr">
        <is>
          <t>Not provided · HRIS</t>
        </is>
      </c>
      <c r="O578" s="29" t="n">
        <v>0.6</v>
      </c>
      <c r="P578" s="29" t="inlineStr">
        <is>
          <t>Not provided · HRIS</t>
        </is>
      </c>
      <c r="Q578" s="29" t="inlineStr">
        <is>
          <t>—</t>
        </is>
      </c>
      <c r="R578" s="29" t="inlineStr">
        <is>
          <t>X1</t>
        </is>
      </c>
      <c r="S578" s="30" t="inlineStr">
        <is>
          <t>0 of 20</t>
        </is>
      </c>
      <c r="T578" s="32" t="inlineStr">
        <is>
          <t>No survey response on file</t>
        </is>
      </c>
      <c r="U578" s="32" t="inlineStr">
        <is>
          <t>KRAs not received · manager to supply</t>
        </is>
      </c>
      <c r="V578" s="31" t="inlineStr">
        <is>
          <t>Latest rating: Not rated · manager · Readiness: n/a · consultant</t>
        </is>
      </c>
      <c r="W578" s="31" t="inlineStr">
        <is>
          <t>Consultant · outside the ladder</t>
        </is>
      </c>
      <c r="X578" s="33" t="inlineStr">
        <is>
          <t>Open ▸</t>
        </is>
      </c>
      <c r="Y578" s="34" t="n"/>
      <c r="Z578" s="35" t="n"/>
      <c r="AA578" s="35" t="n"/>
      <c r="AB578" s="35" t="n"/>
      <c r="AC578" s="35" t="n"/>
      <c r="AD578" s="35" t="n"/>
      <c r="AE578" s="35" t="n"/>
      <c r="AF578" s="34" t="n"/>
      <c r="AG578" s="35" t="n"/>
      <c r="AH578" s="35" t="n"/>
      <c r="AI578" s="35" t="n"/>
      <c r="AJ578" s="35" t="n"/>
      <c r="AK578" s="35" t="n"/>
      <c r="AL578" s="35" t="n"/>
      <c r="AM578" s="36" t="n"/>
      <c r="AN578" s="37" t="n"/>
      <c r="AO578" s="37" t="n"/>
      <c r="AP578" s="37" t="n"/>
      <c r="AQ578" s="37" t="n"/>
      <c r="AR578" s="37" t="n"/>
      <c r="AS578" s="37" t="n"/>
      <c r="AT578" s="38" t="n"/>
      <c r="AU578" s="38" t="n"/>
      <c r="AV578" s="38" t="n"/>
      <c r="AW578" s="38" t="inlineStr">
        <is>
          <t>—</t>
        </is>
      </c>
      <c r="AX5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8" s="39" t="inlineStr">
        <is>
          <t>X1</t>
        </is>
      </c>
      <c r="AZ578" s="40" t="inlineStr">
        <is>
          <t xml:space="preserve">Band X · Consultant · </t>
        </is>
      </c>
      <c r="BA578" s="40" t="inlineStr">
        <is>
          <t>Model X1 from the six ratings, the market-derived weights and rules R1–R13 · then Consultant · outside the ladder</t>
        </is>
      </c>
      <c r="BB578" s="41" t="n"/>
      <c r="BC578" s="40" t="inlineStr">
        <is>
          <t>Consultant · outside the ladder</t>
        </is>
      </c>
      <c r="BD578" s="42">
        <f>IF(SUM(BM578,BN578,BO578,BP578,BQ578,BR578,BS578)=0,0,(BM578*BT578+BN578*BU578+BO578*BV578+BP578*BW578+BQ578*BX578+BR578*BY578+BS578*BZ578)/SUM(BM578,BN578,BO578,BP578,BQ578,BR578,BS578))</f>
        <v>0</v>
      </c>
      <c r="BE578" s="41" t="str">
        <f>IF(LEFT(AY578,1)="X",AY578,IF(OR(AY578="B+",AY578="C+"),INDEX(LAD_PC,MAX(1,MIN(14,MATCH(AY578,LAD_PC,0)+IF(BD578&gt;=0.5,1,IF(BD578&lt;=-0.5,-1,0))))),INDEX(LAD_STD,MAX(1,MIN(12,MATCH(AY578,LAD_STD,0)+IF(BD578&gt;=0.5,1,IF(BD578&lt;=-0.5,-1,0)))))))</f>
        <v>X1</v>
      </c>
      <c r="BF578" s="43" t="n"/>
      <c r="BG578" s="41" t="str">
        <f>IF(BF578&lt;&gt;"",BF578,BE578)</f>
        <v>X1</v>
      </c>
      <c r="BH578" s="40" t="str">
        <f>IFERROR(CHOOSE(INDEX(B_RANK,MATCH(BG578,B_LVL,0)),"Band A","Band B","B+ · Player-Coach","Band C","C+ · Player-Coach","Band D","Band E"),"Band X · Consultant")</f>
        <v>Band X · Consultant</v>
      </c>
      <c r="BI578" s="40" t="str">
        <f>IF(BG578=AY578,"• Same",IF(INDEX(B_VAL,MATCH(BG578,B_LVL,0))&gt;INDEX(B_VAL,MATCH(AY578,B_LVL,0)),"▲ Up","▼ Down"))</f>
        <v>• Same</v>
      </c>
      <c r="BJ578" s="40" t="str">
        <f>IF(OR($M578="",$M578="—",$M578="Not in this file"),"",IFERROR(INDEX($BG$7:$BG$592,MATCH($M578,$D$7:$D$592,0)),""))</f>
        <v/>
      </c>
      <c r="BK578" s="40" t="str">
        <f>IFERROR(IF(BJ578="","—",IF(OR(LEFT(BG578,1)="X",LEFT(BJ578,1)="X"),"—",IF(AND(LEFT(BG578,1)="E",LEFT(BJ578,1)="E"),"Exception · Band E",IF(AND(INDEX(B_VAL,MATCH(BJ578,B_LVL,0))&gt;=7,INDEX(B_RANK,MATCH(BG578,B_LVL,0))&gt;=INDEX(B_RANK,MATCH(BJ578,B_LVL,0))),"⚠ Same band as a head manager",IF(INDEX(B_VAL,MATCH(BG578,B_LVL,0))&gt;=INDEX(B_VAL,MATCH(BJ578,B_LVL,0)),"⚠ At or above the manager's level","OK"))))),"—")</f>
        <v>—</v>
      </c>
      <c r="BL578" s="43" t="n"/>
      <c r="BM578" s="44">
        <f>IFERROR(INDEX(LMH_PTS,MATCH(Y578,LMH_KEY,0)),0)</f>
        <v>0</v>
      </c>
      <c r="BN578" s="38">
        <f>IFERROR(INDEX(LMH_PTS,MATCH(Z578,LMH_KEY,0)),0)</f>
        <v>0</v>
      </c>
      <c r="BO578" s="38">
        <f>IFERROR(INDEX(LMH_PTS,MATCH(AA578,LMH_KEY,0)),0)</f>
        <v>0</v>
      </c>
      <c r="BP578" s="38">
        <f>IFERROR(INDEX(LMH_PTS,MATCH(AB578,LMH_KEY,0)),0)</f>
        <v>0</v>
      </c>
      <c r="BQ578" s="38">
        <f>IFERROR(INDEX(LMH_PTS,MATCH(AC578,LMH_KEY,0)),0)</f>
        <v>0</v>
      </c>
      <c r="BR578" s="38">
        <f>IFERROR(INDEX(LMH_PTS,MATCH(AD578,LMH_KEY,0)),0)</f>
        <v>0</v>
      </c>
      <c r="BS578" s="38">
        <f>IFERROR(INDEX(LMH_PTS,MATCH(AE578,LMH_KEY,0)),0)</f>
        <v>0</v>
      </c>
      <c r="BT578" s="38">
        <f>IFERROR(INDEX(LMH_STEP,MATCH(AF578,LMH_KEY,0)),0)</f>
        <v>0</v>
      </c>
      <c r="BU578" s="38">
        <f>IFERROR(INDEX(LMH_STEP,MATCH(AG578,LMH_KEY,0)),0)</f>
        <v>0</v>
      </c>
      <c r="BV578" s="38">
        <f>IFERROR(INDEX(LMH_STEP,MATCH(AH578,LMH_KEY,0)),0)</f>
        <v>0</v>
      </c>
      <c r="BW578" s="38">
        <f>IFERROR(INDEX(LMH_STEP,MATCH(AI578,LMH_KEY,0)),0)</f>
        <v>0</v>
      </c>
      <c r="BX578" s="38">
        <f>IFERROR(INDEX(LMH_STEP,MATCH(AJ578,LMH_KEY,0)),0)</f>
        <v>0</v>
      </c>
      <c r="BY578" s="38">
        <f>IFERROR(INDEX(LMH_STEP,MATCH(AK578,LMH_KEY,0)),0)</f>
        <v>0</v>
      </c>
      <c r="BZ578" s="38">
        <f>IFERROR(INDEX(LMH_STEP,MATCH(AL578,LMH_KEY,0)),0)</f>
        <v>0</v>
      </c>
      <c r="CA578" s="38" t="inlineStr">
        <is>
          <t>iFile|Technology|Associate Consultant – Software Development|X1|X</t>
        </is>
      </c>
    </row>
    <row r="579" ht="110" customHeight="1">
      <c r="A579" s="28" t="inlineStr">
        <is>
          <t>iFile</t>
        </is>
      </c>
      <c r="B579" s="29" t="inlineStr">
        <is>
          <t>Technology</t>
        </is>
      </c>
      <c r="C579" s="29" t="n">
        <v>0</v>
      </c>
      <c r="D579" s="29" t="inlineStr">
        <is>
          <t>No Emp ID · external consultant</t>
        </is>
      </c>
      <c r="E579" s="29" t="inlineStr">
        <is>
          <t>Hardikraja</t>
        </is>
      </c>
      <c r="F579" s="29" t="inlineStr">
        <is>
          <t>Consultant</t>
        </is>
      </c>
      <c r="G579" s="29" t="inlineStr">
        <is>
          <t>Associate Consultant – Software Development</t>
        </is>
      </c>
      <c r="H579" s="29" t="inlineStr">
        <is>
          <t>Engineering &amp; Development</t>
        </is>
      </c>
      <c r="I579" s="29" t="inlineStr">
        <is>
          <t>Backend Development</t>
        </is>
      </c>
      <c r="J579" s="29" t="inlineStr">
        <is>
          <t>Consultant</t>
        </is>
      </c>
      <c r="K579" s="29" t="inlineStr">
        <is>
          <t>RC-073</t>
        </is>
      </c>
      <c r="L579" s="29" t="inlineStr">
        <is>
          <t>Not provided · HRIS</t>
        </is>
      </c>
      <c r="M579" s="29" t="inlineStr">
        <is>
          <t>Not in this file</t>
        </is>
      </c>
      <c r="N579" s="29" t="inlineStr">
        <is>
          <t>Not provided · HRIS</t>
        </is>
      </c>
      <c r="O579" s="29" t="n">
        <v>0.6</v>
      </c>
      <c r="P579" s="29" t="inlineStr">
        <is>
          <t>Not provided · HRIS</t>
        </is>
      </c>
      <c r="Q579" s="29" t="inlineStr">
        <is>
          <t>—</t>
        </is>
      </c>
      <c r="R579" s="29" t="inlineStr">
        <is>
          <t>X1</t>
        </is>
      </c>
      <c r="S579" s="30" t="inlineStr">
        <is>
          <t>0 of 20</t>
        </is>
      </c>
      <c r="T579" s="32" t="inlineStr">
        <is>
          <t>No survey response on file</t>
        </is>
      </c>
      <c r="U579" s="32" t="inlineStr">
        <is>
          <t>KRAs not received · manager to supply</t>
        </is>
      </c>
      <c r="V579" s="31" t="inlineStr">
        <is>
          <t>Latest rating: Not rated · manager · Readiness: n/a · consultant</t>
        </is>
      </c>
      <c r="W579" s="31" t="inlineStr">
        <is>
          <t>Consultant · outside the ladder</t>
        </is>
      </c>
      <c r="X579" s="33" t="inlineStr">
        <is>
          <t>Open ▸</t>
        </is>
      </c>
      <c r="Y579" s="34" t="n"/>
      <c r="Z579" s="35" t="n"/>
      <c r="AA579" s="35" t="n"/>
      <c r="AB579" s="35" t="n"/>
      <c r="AC579" s="35" t="n"/>
      <c r="AD579" s="35" t="n"/>
      <c r="AE579" s="35" t="n"/>
      <c r="AF579" s="34" t="n"/>
      <c r="AG579" s="35" t="n"/>
      <c r="AH579" s="35" t="n"/>
      <c r="AI579" s="35" t="n"/>
      <c r="AJ579" s="35" t="n"/>
      <c r="AK579" s="35" t="n"/>
      <c r="AL579" s="35" t="n"/>
      <c r="AM579" s="36" t="n"/>
      <c r="AN579" s="37" t="n"/>
      <c r="AO579" s="37" t="n"/>
      <c r="AP579" s="37" t="n"/>
      <c r="AQ579" s="37" t="n"/>
      <c r="AR579" s="37" t="n"/>
      <c r="AS579" s="37" t="n"/>
      <c r="AT579" s="38" t="n"/>
      <c r="AU579" s="38" t="n"/>
      <c r="AV579" s="38" t="n"/>
      <c r="AW579" s="38" t="inlineStr">
        <is>
          <t>—</t>
        </is>
      </c>
      <c r="AX5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9" s="39" t="inlineStr">
        <is>
          <t>X1</t>
        </is>
      </c>
      <c r="AZ579" s="40" t="inlineStr">
        <is>
          <t xml:space="preserve">Band X · Consultant · </t>
        </is>
      </c>
      <c r="BA579" s="40" t="inlineStr">
        <is>
          <t>Model X1 from the six ratings, the market-derived weights and rules R1–R13 · then Consultant · outside the ladder</t>
        </is>
      </c>
      <c r="BB579" s="41" t="n"/>
      <c r="BC579" s="40" t="inlineStr">
        <is>
          <t>Consultant · outside the ladder</t>
        </is>
      </c>
      <c r="BD579" s="42">
        <f>IF(SUM(BM579,BN579,BO579,BP579,BQ579,BR579,BS579)=0,0,(BM579*BT579+BN579*BU579+BO579*BV579+BP579*BW579+BQ579*BX579+BR579*BY579+BS579*BZ579)/SUM(BM579,BN579,BO579,BP579,BQ579,BR579,BS579))</f>
        <v>0</v>
      </c>
      <c r="BE579" s="41" t="str">
        <f>IF(LEFT(AY579,1)="X",AY579,IF(OR(AY579="B+",AY579="C+"),INDEX(LAD_PC,MAX(1,MIN(14,MATCH(AY579,LAD_PC,0)+IF(BD579&gt;=0.5,1,IF(BD579&lt;=-0.5,-1,0))))),INDEX(LAD_STD,MAX(1,MIN(12,MATCH(AY579,LAD_STD,0)+IF(BD579&gt;=0.5,1,IF(BD579&lt;=-0.5,-1,0)))))))</f>
        <v>X1</v>
      </c>
      <c r="BF579" s="43" t="n"/>
      <c r="BG579" s="41" t="str">
        <f>IF(BF579&lt;&gt;"",BF579,BE579)</f>
        <v>X1</v>
      </c>
      <c r="BH579" s="40" t="str">
        <f>IFERROR(CHOOSE(INDEX(B_RANK,MATCH(BG579,B_LVL,0)),"Band A","Band B","B+ · Player-Coach","Band C","C+ · Player-Coach","Band D","Band E"),"Band X · Consultant")</f>
        <v>Band X · Consultant</v>
      </c>
      <c r="BI579" s="40" t="str">
        <f>IF(BG579=AY579,"• Same",IF(INDEX(B_VAL,MATCH(BG579,B_LVL,0))&gt;INDEX(B_VAL,MATCH(AY579,B_LVL,0)),"▲ Up","▼ Down"))</f>
        <v>• Same</v>
      </c>
      <c r="BJ579" s="40" t="str">
        <f>IF(OR($M579="",$M579="—",$M579="Not in this file"),"",IFERROR(INDEX($BG$7:$BG$592,MATCH($M579,$D$7:$D$592,0)),""))</f>
        <v/>
      </c>
      <c r="BK579" s="40" t="str">
        <f>IFERROR(IF(BJ579="","—",IF(OR(LEFT(BG579,1)="X",LEFT(BJ579,1)="X"),"—",IF(AND(LEFT(BG579,1)="E",LEFT(BJ579,1)="E"),"Exception · Band E",IF(AND(INDEX(B_VAL,MATCH(BJ579,B_LVL,0))&gt;=7,INDEX(B_RANK,MATCH(BG579,B_LVL,0))&gt;=INDEX(B_RANK,MATCH(BJ579,B_LVL,0))),"⚠ Same band as a head manager",IF(INDEX(B_VAL,MATCH(BG579,B_LVL,0))&gt;=INDEX(B_VAL,MATCH(BJ579,B_LVL,0)),"⚠ At or above the manager's level","OK"))))),"—")</f>
        <v>—</v>
      </c>
      <c r="BL579" s="43" t="n"/>
      <c r="BM579" s="44">
        <f>IFERROR(INDEX(LMH_PTS,MATCH(Y579,LMH_KEY,0)),0)</f>
        <v>0</v>
      </c>
      <c r="BN579" s="38">
        <f>IFERROR(INDEX(LMH_PTS,MATCH(Z579,LMH_KEY,0)),0)</f>
        <v>0</v>
      </c>
      <c r="BO579" s="38">
        <f>IFERROR(INDEX(LMH_PTS,MATCH(AA579,LMH_KEY,0)),0)</f>
        <v>0</v>
      </c>
      <c r="BP579" s="38">
        <f>IFERROR(INDEX(LMH_PTS,MATCH(AB579,LMH_KEY,0)),0)</f>
        <v>0</v>
      </c>
      <c r="BQ579" s="38">
        <f>IFERROR(INDEX(LMH_PTS,MATCH(AC579,LMH_KEY,0)),0)</f>
        <v>0</v>
      </c>
      <c r="BR579" s="38">
        <f>IFERROR(INDEX(LMH_PTS,MATCH(AD579,LMH_KEY,0)),0)</f>
        <v>0</v>
      </c>
      <c r="BS579" s="38">
        <f>IFERROR(INDEX(LMH_PTS,MATCH(AE579,LMH_KEY,0)),0)</f>
        <v>0</v>
      </c>
      <c r="BT579" s="38">
        <f>IFERROR(INDEX(LMH_STEP,MATCH(AF579,LMH_KEY,0)),0)</f>
        <v>0</v>
      </c>
      <c r="BU579" s="38">
        <f>IFERROR(INDEX(LMH_STEP,MATCH(AG579,LMH_KEY,0)),0)</f>
        <v>0</v>
      </c>
      <c r="BV579" s="38">
        <f>IFERROR(INDEX(LMH_STEP,MATCH(AH579,LMH_KEY,0)),0)</f>
        <v>0</v>
      </c>
      <c r="BW579" s="38">
        <f>IFERROR(INDEX(LMH_STEP,MATCH(AI579,LMH_KEY,0)),0)</f>
        <v>0</v>
      </c>
      <c r="BX579" s="38">
        <f>IFERROR(INDEX(LMH_STEP,MATCH(AJ579,LMH_KEY,0)),0)</f>
        <v>0</v>
      </c>
      <c r="BY579" s="38">
        <f>IFERROR(INDEX(LMH_STEP,MATCH(AK579,LMH_KEY,0)),0)</f>
        <v>0</v>
      </c>
      <c r="BZ579" s="38">
        <f>IFERROR(INDEX(LMH_STEP,MATCH(AL579,LMH_KEY,0)),0)</f>
        <v>0</v>
      </c>
      <c r="CA579" s="38" t="inlineStr">
        <is>
          <t>iFile|Technology|Associate Consultant – Software Development|X1|X</t>
        </is>
      </c>
    </row>
    <row r="580" ht="110" customHeight="1">
      <c r="A580" s="28" t="inlineStr">
        <is>
          <t>iFile</t>
        </is>
      </c>
      <c r="B580" s="29" t="inlineStr">
        <is>
          <t>Technology</t>
        </is>
      </c>
      <c r="C580" s="29" t="n">
        <v>0</v>
      </c>
      <c r="D580" s="29" t="inlineStr">
        <is>
          <t>No Emp ID · external consultant</t>
        </is>
      </c>
      <c r="E580" s="29" t="inlineStr">
        <is>
          <t>Jay Kalariya</t>
        </is>
      </c>
      <c r="F580" s="29" t="inlineStr">
        <is>
          <t>Consultant</t>
        </is>
      </c>
      <c r="G580" s="29" t="inlineStr">
        <is>
          <t>Associate Consultant – Software Development</t>
        </is>
      </c>
      <c r="H580" s="29" t="inlineStr">
        <is>
          <t>Engineering &amp; Development</t>
        </is>
      </c>
      <c r="I580" s="29" t="inlineStr">
        <is>
          <t>Backend Development</t>
        </is>
      </c>
      <c r="J580" s="29" t="inlineStr">
        <is>
          <t>Consultant</t>
        </is>
      </c>
      <c r="K580" s="29" t="inlineStr">
        <is>
          <t>RC-073</t>
        </is>
      </c>
      <c r="L580" s="29" t="inlineStr">
        <is>
          <t>Not provided · HRIS</t>
        </is>
      </c>
      <c r="M580" s="29" t="inlineStr">
        <is>
          <t>Not in this file</t>
        </is>
      </c>
      <c r="N580" s="29" t="inlineStr">
        <is>
          <t>Not provided · HRIS</t>
        </is>
      </c>
      <c r="O580" s="29" t="n">
        <v>2.4</v>
      </c>
      <c r="P580" s="29" t="inlineStr">
        <is>
          <t>Not provided · HRIS</t>
        </is>
      </c>
      <c r="Q580" s="29" t="inlineStr">
        <is>
          <t>—</t>
        </is>
      </c>
      <c r="R580" s="29" t="inlineStr">
        <is>
          <t>X1</t>
        </is>
      </c>
      <c r="S580" s="30" t="inlineStr">
        <is>
          <t>0 of 20</t>
        </is>
      </c>
      <c r="T580" s="32" t="inlineStr">
        <is>
          <t>No survey response on file</t>
        </is>
      </c>
      <c r="U580" s="32" t="inlineStr">
        <is>
          <t>KRAs not received · manager to supply</t>
        </is>
      </c>
      <c r="V580" s="31" t="inlineStr">
        <is>
          <t>Latest rating: Not rated · manager · Readiness: n/a · consultant</t>
        </is>
      </c>
      <c r="W580" s="31" t="inlineStr">
        <is>
          <t>Consultant · outside the ladder</t>
        </is>
      </c>
      <c r="X580" s="33" t="inlineStr">
        <is>
          <t>Open ▸</t>
        </is>
      </c>
      <c r="Y580" s="34" t="n"/>
      <c r="Z580" s="35" t="n"/>
      <c r="AA580" s="35" t="n"/>
      <c r="AB580" s="35" t="n"/>
      <c r="AC580" s="35" t="n"/>
      <c r="AD580" s="35" t="n"/>
      <c r="AE580" s="35" t="n"/>
      <c r="AF580" s="34" t="n"/>
      <c r="AG580" s="35" t="n"/>
      <c r="AH580" s="35" t="n"/>
      <c r="AI580" s="35" t="n"/>
      <c r="AJ580" s="35" t="n"/>
      <c r="AK580" s="35" t="n"/>
      <c r="AL580" s="35" t="n"/>
      <c r="AM580" s="36" t="n"/>
      <c r="AN580" s="37" t="n"/>
      <c r="AO580" s="37" t="n"/>
      <c r="AP580" s="37" t="n"/>
      <c r="AQ580" s="37" t="n"/>
      <c r="AR580" s="37" t="n"/>
      <c r="AS580" s="37" t="n"/>
      <c r="AT580" s="38" t="n"/>
      <c r="AU580" s="38" t="n"/>
      <c r="AV580" s="38" t="n"/>
      <c r="AW580" s="38" t="inlineStr">
        <is>
          <t>—</t>
        </is>
      </c>
      <c r="AX5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0" s="39" t="inlineStr">
        <is>
          <t>X1</t>
        </is>
      </c>
      <c r="AZ580" s="40" t="inlineStr">
        <is>
          <t xml:space="preserve">Band X · Consultant · </t>
        </is>
      </c>
      <c r="BA580" s="40" t="inlineStr">
        <is>
          <t>Model X1 from the six ratings, the market-derived weights and rules R1–R13 · then Consultant · outside the ladder</t>
        </is>
      </c>
      <c r="BB580" s="41" t="n"/>
      <c r="BC580" s="40" t="inlineStr">
        <is>
          <t>Consultant · outside the ladder</t>
        </is>
      </c>
      <c r="BD580" s="42">
        <f>IF(SUM(BM580,BN580,BO580,BP580,BQ580,BR580,BS580)=0,0,(BM580*BT580+BN580*BU580+BO580*BV580+BP580*BW580+BQ580*BX580+BR580*BY580+BS580*BZ580)/SUM(BM580,BN580,BO580,BP580,BQ580,BR580,BS580))</f>
        <v>0</v>
      </c>
      <c r="BE580" s="41" t="str">
        <f>IF(LEFT(AY580,1)="X",AY580,IF(OR(AY580="B+",AY580="C+"),INDEX(LAD_PC,MAX(1,MIN(14,MATCH(AY580,LAD_PC,0)+IF(BD580&gt;=0.5,1,IF(BD580&lt;=-0.5,-1,0))))),INDEX(LAD_STD,MAX(1,MIN(12,MATCH(AY580,LAD_STD,0)+IF(BD580&gt;=0.5,1,IF(BD580&lt;=-0.5,-1,0)))))))</f>
        <v>X1</v>
      </c>
      <c r="BF580" s="43" t="n"/>
      <c r="BG580" s="41" t="str">
        <f>IF(BF580&lt;&gt;"",BF580,BE580)</f>
        <v>X1</v>
      </c>
      <c r="BH580" s="40" t="str">
        <f>IFERROR(CHOOSE(INDEX(B_RANK,MATCH(BG580,B_LVL,0)),"Band A","Band B","B+ · Player-Coach","Band C","C+ · Player-Coach","Band D","Band E"),"Band X · Consultant")</f>
        <v>Band X · Consultant</v>
      </c>
      <c r="BI580" s="40" t="str">
        <f>IF(BG580=AY580,"• Same",IF(INDEX(B_VAL,MATCH(BG580,B_LVL,0))&gt;INDEX(B_VAL,MATCH(AY580,B_LVL,0)),"▲ Up","▼ Down"))</f>
        <v>• Same</v>
      </c>
      <c r="BJ580" s="40" t="str">
        <f>IF(OR($M580="",$M580="—",$M580="Not in this file"),"",IFERROR(INDEX($BG$7:$BG$592,MATCH($M580,$D$7:$D$592,0)),""))</f>
        <v/>
      </c>
      <c r="BK580" s="40" t="str">
        <f>IFERROR(IF(BJ580="","—",IF(OR(LEFT(BG580,1)="X",LEFT(BJ580,1)="X"),"—",IF(AND(LEFT(BG580,1)="E",LEFT(BJ580,1)="E"),"Exception · Band E",IF(AND(INDEX(B_VAL,MATCH(BJ580,B_LVL,0))&gt;=7,INDEX(B_RANK,MATCH(BG580,B_LVL,0))&gt;=INDEX(B_RANK,MATCH(BJ580,B_LVL,0))),"⚠ Same band as a head manager",IF(INDEX(B_VAL,MATCH(BG580,B_LVL,0))&gt;=INDEX(B_VAL,MATCH(BJ580,B_LVL,0)),"⚠ At or above the manager's level","OK"))))),"—")</f>
        <v>—</v>
      </c>
      <c r="BL580" s="43" t="n"/>
      <c r="BM580" s="44">
        <f>IFERROR(INDEX(LMH_PTS,MATCH(Y580,LMH_KEY,0)),0)</f>
        <v>0</v>
      </c>
      <c r="BN580" s="38">
        <f>IFERROR(INDEX(LMH_PTS,MATCH(Z580,LMH_KEY,0)),0)</f>
        <v>0</v>
      </c>
      <c r="BO580" s="38">
        <f>IFERROR(INDEX(LMH_PTS,MATCH(AA580,LMH_KEY,0)),0)</f>
        <v>0</v>
      </c>
      <c r="BP580" s="38">
        <f>IFERROR(INDEX(LMH_PTS,MATCH(AB580,LMH_KEY,0)),0)</f>
        <v>0</v>
      </c>
      <c r="BQ580" s="38">
        <f>IFERROR(INDEX(LMH_PTS,MATCH(AC580,LMH_KEY,0)),0)</f>
        <v>0</v>
      </c>
      <c r="BR580" s="38">
        <f>IFERROR(INDEX(LMH_PTS,MATCH(AD580,LMH_KEY,0)),0)</f>
        <v>0</v>
      </c>
      <c r="BS580" s="38">
        <f>IFERROR(INDEX(LMH_PTS,MATCH(AE580,LMH_KEY,0)),0)</f>
        <v>0</v>
      </c>
      <c r="BT580" s="38">
        <f>IFERROR(INDEX(LMH_STEP,MATCH(AF580,LMH_KEY,0)),0)</f>
        <v>0</v>
      </c>
      <c r="BU580" s="38">
        <f>IFERROR(INDEX(LMH_STEP,MATCH(AG580,LMH_KEY,0)),0)</f>
        <v>0</v>
      </c>
      <c r="BV580" s="38">
        <f>IFERROR(INDEX(LMH_STEP,MATCH(AH580,LMH_KEY,0)),0)</f>
        <v>0</v>
      </c>
      <c r="BW580" s="38">
        <f>IFERROR(INDEX(LMH_STEP,MATCH(AI580,LMH_KEY,0)),0)</f>
        <v>0</v>
      </c>
      <c r="BX580" s="38">
        <f>IFERROR(INDEX(LMH_STEP,MATCH(AJ580,LMH_KEY,0)),0)</f>
        <v>0</v>
      </c>
      <c r="BY580" s="38">
        <f>IFERROR(INDEX(LMH_STEP,MATCH(AK580,LMH_KEY,0)),0)</f>
        <v>0</v>
      </c>
      <c r="BZ580" s="38">
        <f>IFERROR(INDEX(LMH_STEP,MATCH(AL580,LMH_KEY,0)),0)</f>
        <v>0</v>
      </c>
      <c r="CA580" s="38" t="inlineStr">
        <is>
          <t>iFile|Technology|Associate Consultant – Software Development|X1|X</t>
        </is>
      </c>
    </row>
    <row r="581" ht="110" customHeight="1">
      <c r="A581" s="28" t="inlineStr">
        <is>
          <t>CARBON</t>
        </is>
      </c>
      <c r="B581" s="29" t="inlineStr">
        <is>
          <t>Support</t>
        </is>
      </c>
      <c r="C581" s="29" t="n">
        <v>0</v>
      </c>
      <c r="D581" s="29" t="inlineStr">
        <is>
          <t>No Emp ID · in-house consultant</t>
        </is>
      </c>
      <c r="E581" s="29" t="inlineStr">
        <is>
          <t>Kanika Jain</t>
        </is>
      </c>
      <c r="F581" s="29" t="inlineStr">
        <is>
          <t>Consultant</t>
        </is>
      </c>
      <c r="G581" s="29" t="inlineStr">
        <is>
          <t>Associate Consultant – Customer Success &amp; Account Management</t>
        </is>
      </c>
      <c r="H581" s="29" t="inlineStr">
        <is>
          <t>Customer Success &amp; Support</t>
        </is>
      </c>
      <c r="I581" s="29" t="inlineStr">
        <is>
          <t>Customer Success &amp; Account Management</t>
        </is>
      </c>
      <c r="J581" s="29" t="inlineStr">
        <is>
          <t>Consultant</t>
        </is>
      </c>
      <c r="K581" s="29" t="inlineStr">
        <is>
          <t>RC-037</t>
        </is>
      </c>
      <c r="L581" s="29" t="inlineStr">
        <is>
          <t>Not provided · HRIS</t>
        </is>
      </c>
      <c r="M581" s="29" t="inlineStr">
        <is>
          <t>Not in this file</t>
        </is>
      </c>
      <c r="N581" s="29" t="inlineStr">
        <is>
          <t>Not provided · HRIS</t>
        </is>
      </c>
      <c r="O581" s="29" t="n">
        <v>2.3</v>
      </c>
      <c r="P581" s="29" t="inlineStr">
        <is>
          <t>Not provided · HRIS</t>
        </is>
      </c>
      <c r="Q581" s="29" t="inlineStr">
        <is>
          <t>L3 – Professional / Associate</t>
        </is>
      </c>
      <c r="R581" s="29" t="inlineStr">
        <is>
          <t>X1</t>
        </is>
      </c>
      <c r="S581" s="30" t="inlineStr">
        <is>
          <t>0 of 20</t>
        </is>
      </c>
      <c r="T581" s="32" t="inlineStr">
        <is>
          <t>No survey response on file</t>
        </is>
      </c>
      <c r="U581" s="32" t="inlineStr">
        <is>
          <t>KRAs not received · manager to supply</t>
        </is>
      </c>
      <c r="V581" s="31" t="inlineStr">
        <is>
          <t>Latest rating: Not rated · manager · Readiness: n/a · consultant</t>
        </is>
      </c>
      <c r="W581" s="31" t="inlineStr">
        <is>
          <t>Consultant · outside the ladder</t>
        </is>
      </c>
      <c r="X581" s="33" t="inlineStr">
        <is>
          <t>Open ▸</t>
        </is>
      </c>
      <c r="Y581" s="34" t="n"/>
      <c r="Z581" s="35" t="n"/>
      <c r="AA581" s="35" t="n"/>
      <c r="AB581" s="35" t="n"/>
      <c r="AC581" s="35" t="n"/>
      <c r="AD581" s="35" t="n"/>
      <c r="AE581" s="35" t="n"/>
      <c r="AF581" s="34" t="n"/>
      <c r="AG581" s="35" t="n"/>
      <c r="AH581" s="35" t="n"/>
      <c r="AI581" s="35" t="n"/>
      <c r="AJ581" s="35" t="n"/>
      <c r="AK581" s="35" t="n"/>
      <c r="AL581" s="35" t="n"/>
      <c r="AM581" s="36" t="n"/>
      <c r="AN581" s="37" t="n"/>
      <c r="AO581" s="37" t="n"/>
      <c r="AP581" s="37" t="n"/>
      <c r="AQ581" s="37" t="n"/>
      <c r="AR581" s="37" t="n"/>
      <c r="AS581" s="37" t="n"/>
      <c r="AT581" s="38" t="n"/>
      <c r="AU581" s="38" t="n"/>
      <c r="AV581" s="38" t="n"/>
      <c r="AW581" s="38" t="inlineStr">
        <is>
          <t>—</t>
        </is>
      </c>
      <c r="AX5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1" s="39" t="inlineStr">
        <is>
          <t>X1</t>
        </is>
      </c>
      <c r="AZ581" s="40" t="inlineStr">
        <is>
          <t xml:space="preserve">Band X · Consultant · </t>
        </is>
      </c>
      <c r="BA581" s="40" t="inlineStr">
        <is>
          <t>Model X1 from the six ratings, the market-derived weights and rules R1–R13 · then Consultant · outside the ladder</t>
        </is>
      </c>
      <c r="BB581" s="41" t="n"/>
      <c r="BC581" s="40" t="inlineStr">
        <is>
          <t>Consultant · outside the ladder</t>
        </is>
      </c>
      <c r="BD581" s="42">
        <f>IF(SUM(BM581,BN581,BO581,BP581,BQ581,BR581,BS581)=0,0,(BM581*BT581+BN581*BU581+BO581*BV581+BP581*BW581+BQ581*BX581+BR581*BY581+BS581*BZ581)/SUM(BM581,BN581,BO581,BP581,BQ581,BR581,BS581))</f>
        <v>0</v>
      </c>
      <c r="BE581" s="41" t="str">
        <f>IF(LEFT(AY581,1)="X",AY581,IF(OR(AY581="B+",AY581="C+"),INDEX(LAD_PC,MAX(1,MIN(14,MATCH(AY581,LAD_PC,0)+IF(BD581&gt;=0.5,1,IF(BD581&lt;=-0.5,-1,0))))),INDEX(LAD_STD,MAX(1,MIN(12,MATCH(AY581,LAD_STD,0)+IF(BD581&gt;=0.5,1,IF(BD581&lt;=-0.5,-1,0)))))))</f>
        <v>X1</v>
      </c>
      <c r="BF581" s="43" t="n"/>
      <c r="BG581" s="41" t="str">
        <f>IF(BF581&lt;&gt;"",BF581,BE581)</f>
        <v>X1</v>
      </c>
      <c r="BH581" s="40" t="str">
        <f>IFERROR(CHOOSE(INDEX(B_RANK,MATCH(BG581,B_LVL,0)),"Band A","Band B","B+ · Player-Coach","Band C","C+ · Player-Coach","Band D","Band E"),"Band X · Consultant")</f>
        <v>Band X · Consultant</v>
      </c>
      <c r="BI581" s="40" t="str">
        <f>IF(BG581=AY581,"• Same",IF(INDEX(B_VAL,MATCH(BG581,B_LVL,0))&gt;INDEX(B_VAL,MATCH(AY581,B_LVL,0)),"▲ Up","▼ Down"))</f>
        <v>• Same</v>
      </c>
      <c r="BJ581" s="40" t="str">
        <f>IF(OR($M581="",$M581="—",$M581="Not in this file"),"",IFERROR(INDEX($BG$7:$BG$592,MATCH($M581,$D$7:$D$592,0)),""))</f>
        <v/>
      </c>
      <c r="BK581" s="40" t="str">
        <f>IFERROR(IF(BJ581="","—",IF(OR(LEFT(BG581,1)="X",LEFT(BJ581,1)="X"),"—",IF(AND(LEFT(BG581,1)="E",LEFT(BJ581,1)="E"),"Exception · Band E",IF(AND(INDEX(B_VAL,MATCH(BJ581,B_LVL,0))&gt;=7,INDEX(B_RANK,MATCH(BG581,B_LVL,0))&gt;=INDEX(B_RANK,MATCH(BJ581,B_LVL,0))),"⚠ Same band as a head manager",IF(INDEX(B_VAL,MATCH(BG581,B_LVL,0))&gt;=INDEX(B_VAL,MATCH(BJ581,B_LVL,0)),"⚠ At or above the manager's level","OK"))))),"—")</f>
        <v>—</v>
      </c>
      <c r="BL581" s="43" t="n"/>
      <c r="BM581" s="44">
        <f>IFERROR(INDEX(LMH_PTS,MATCH(Y581,LMH_KEY,0)),0)</f>
        <v>0</v>
      </c>
      <c r="BN581" s="38">
        <f>IFERROR(INDEX(LMH_PTS,MATCH(Z581,LMH_KEY,0)),0)</f>
        <v>0</v>
      </c>
      <c r="BO581" s="38">
        <f>IFERROR(INDEX(LMH_PTS,MATCH(AA581,LMH_KEY,0)),0)</f>
        <v>0</v>
      </c>
      <c r="BP581" s="38">
        <f>IFERROR(INDEX(LMH_PTS,MATCH(AB581,LMH_KEY,0)),0)</f>
        <v>0</v>
      </c>
      <c r="BQ581" s="38">
        <f>IFERROR(INDEX(LMH_PTS,MATCH(AC581,LMH_KEY,0)),0)</f>
        <v>0</v>
      </c>
      <c r="BR581" s="38">
        <f>IFERROR(INDEX(LMH_PTS,MATCH(AD581,LMH_KEY,0)),0)</f>
        <v>0</v>
      </c>
      <c r="BS581" s="38">
        <f>IFERROR(INDEX(LMH_PTS,MATCH(AE581,LMH_KEY,0)),0)</f>
        <v>0</v>
      </c>
      <c r="BT581" s="38">
        <f>IFERROR(INDEX(LMH_STEP,MATCH(AF581,LMH_KEY,0)),0)</f>
        <v>0</v>
      </c>
      <c r="BU581" s="38">
        <f>IFERROR(INDEX(LMH_STEP,MATCH(AG581,LMH_KEY,0)),0)</f>
        <v>0</v>
      </c>
      <c r="BV581" s="38">
        <f>IFERROR(INDEX(LMH_STEP,MATCH(AH581,LMH_KEY,0)),0)</f>
        <v>0</v>
      </c>
      <c r="BW581" s="38">
        <f>IFERROR(INDEX(LMH_STEP,MATCH(AI581,LMH_KEY,0)),0)</f>
        <v>0</v>
      </c>
      <c r="BX581" s="38">
        <f>IFERROR(INDEX(LMH_STEP,MATCH(AJ581,LMH_KEY,0)),0)</f>
        <v>0</v>
      </c>
      <c r="BY581" s="38">
        <f>IFERROR(INDEX(LMH_STEP,MATCH(AK581,LMH_KEY,0)),0)</f>
        <v>0</v>
      </c>
      <c r="BZ581" s="38">
        <f>IFERROR(INDEX(LMH_STEP,MATCH(AL581,LMH_KEY,0)),0)</f>
        <v>0</v>
      </c>
      <c r="CA581" s="38" t="inlineStr">
        <is>
          <t>CARBON|Support|Associate Consultant – Customer Success &amp; Account Management|X1|X</t>
        </is>
      </c>
    </row>
    <row r="582" ht="110" customHeight="1">
      <c r="A582" s="28" t="inlineStr">
        <is>
          <t>iFile</t>
        </is>
      </c>
      <c r="B582" s="29" t="inlineStr">
        <is>
          <t>Technology</t>
        </is>
      </c>
      <c r="C582" s="29" t="n">
        <v>0</v>
      </c>
      <c r="D582" s="29" t="inlineStr">
        <is>
          <t>No Emp ID · in-house consultant</t>
        </is>
      </c>
      <c r="E582" s="29" t="inlineStr">
        <is>
          <t>Nilimesh Baruah</t>
        </is>
      </c>
      <c r="F582" s="29" t="inlineStr">
        <is>
          <t>Consultant</t>
        </is>
      </c>
      <c r="G582" s="29" t="inlineStr">
        <is>
          <t>Associate Consultant – Software Development</t>
        </is>
      </c>
      <c r="H582" s="29" t="inlineStr">
        <is>
          <t>Engineering &amp; Development</t>
        </is>
      </c>
      <c r="I582" s="29" t="inlineStr">
        <is>
          <t>Backend Development</t>
        </is>
      </c>
      <c r="J582" s="29" t="inlineStr">
        <is>
          <t>Consultant</t>
        </is>
      </c>
      <c r="K582" s="29" t="inlineStr">
        <is>
          <t>RC-073</t>
        </is>
      </c>
      <c r="L582" s="29" t="inlineStr">
        <is>
          <t>Not provided · HRIS</t>
        </is>
      </c>
      <c r="M582" s="29" t="inlineStr">
        <is>
          <t>Not in this file</t>
        </is>
      </c>
      <c r="N582" s="29" t="inlineStr">
        <is>
          <t>Not provided · HRIS</t>
        </is>
      </c>
      <c r="O582" s="29" t="n">
        <v>0.5</v>
      </c>
      <c r="P582" s="29" t="inlineStr">
        <is>
          <t>Not provided · HRIS</t>
        </is>
      </c>
      <c r="Q582" s="29" t="inlineStr">
        <is>
          <t>—</t>
        </is>
      </c>
      <c r="R582" s="29" t="inlineStr">
        <is>
          <t>X1</t>
        </is>
      </c>
      <c r="S582" s="30" t="inlineStr">
        <is>
          <t>0 of 20</t>
        </is>
      </c>
      <c r="T582" s="32" t="inlineStr">
        <is>
          <t>No survey response on file</t>
        </is>
      </c>
      <c r="U582" s="32" t="inlineStr">
        <is>
          <t>KRAs not received · manager to supply</t>
        </is>
      </c>
      <c r="V582" s="31" t="inlineStr">
        <is>
          <t>Latest rating: Not rated · manager · Readiness: n/a · consultant</t>
        </is>
      </c>
      <c r="W582" s="31" t="inlineStr">
        <is>
          <t>Consultant · outside the ladder</t>
        </is>
      </c>
      <c r="X582" s="33" t="inlineStr">
        <is>
          <t>Open ▸</t>
        </is>
      </c>
      <c r="Y582" s="34" t="n"/>
      <c r="Z582" s="35" t="n"/>
      <c r="AA582" s="35" t="n"/>
      <c r="AB582" s="35" t="n"/>
      <c r="AC582" s="35" t="n"/>
      <c r="AD582" s="35" t="n"/>
      <c r="AE582" s="35" t="n"/>
      <c r="AF582" s="34" t="n"/>
      <c r="AG582" s="35" t="n"/>
      <c r="AH582" s="35" t="n"/>
      <c r="AI582" s="35" t="n"/>
      <c r="AJ582" s="35" t="n"/>
      <c r="AK582" s="35" t="n"/>
      <c r="AL582" s="35" t="n"/>
      <c r="AM582" s="36" t="n"/>
      <c r="AN582" s="37" t="n"/>
      <c r="AO582" s="37" t="n"/>
      <c r="AP582" s="37" t="n"/>
      <c r="AQ582" s="37" t="n"/>
      <c r="AR582" s="37" t="n"/>
      <c r="AS582" s="37" t="n"/>
      <c r="AT582" s="38" t="n"/>
      <c r="AU582" s="38" t="n"/>
      <c r="AV582" s="38" t="n"/>
      <c r="AW582" s="38" t="inlineStr">
        <is>
          <t>—</t>
        </is>
      </c>
      <c r="AX5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2" s="39" t="inlineStr">
        <is>
          <t>X1</t>
        </is>
      </c>
      <c r="AZ582" s="40" t="inlineStr">
        <is>
          <t xml:space="preserve">Band X · Consultant · </t>
        </is>
      </c>
      <c r="BA582" s="40" t="inlineStr">
        <is>
          <t>Model X1 from the six ratings, the market-derived weights and rules R1–R13 · then Consultant · outside the ladder</t>
        </is>
      </c>
      <c r="BB582" s="41" t="n"/>
      <c r="BC582" s="40" t="inlineStr">
        <is>
          <t>Consultant · outside the ladder</t>
        </is>
      </c>
      <c r="BD582" s="42">
        <f>IF(SUM(BM582,BN582,BO582,BP582,BQ582,BR582,BS582)=0,0,(BM582*BT582+BN582*BU582+BO582*BV582+BP582*BW582+BQ582*BX582+BR582*BY582+BS582*BZ582)/SUM(BM582,BN582,BO582,BP582,BQ582,BR582,BS582))</f>
        <v>0</v>
      </c>
      <c r="BE582" s="41" t="str">
        <f>IF(LEFT(AY582,1)="X",AY582,IF(OR(AY582="B+",AY582="C+"),INDEX(LAD_PC,MAX(1,MIN(14,MATCH(AY582,LAD_PC,0)+IF(BD582&gt;=0.5,1,IF(BD582&lt;=-0.5,-1,0))))),INDEX(LAD_STD,MAX(1,MIN(12,MATCH(AY582,LAD_STD,0)+IF(BD582&gt;=0.5,1,IF(BD582&lt;=-0.5,-1,0)))))))</f>
        <v>X1</v>
      </c>
      <c r="BF582" s="43" t="n"/>
      <c r="BG582" s="41" t="str">
        <f>IF(BF582&lt;&gt;"",BF582,BE582)</f>
        <v>X1</v>
      </c>
      <c r="BH582" s="40" t="str">
        <f>IFERROR(CHOOSE(INDEX(B_RANK,MATCH(BG582,B_LVL,0)),"Band A","Band B","B+ · Player-Coach","Band C","C+ · Player-Coach","Band D","Band E"),"Band X · Consultant")</f>
        <v>Band X · Consultant</v>
      </c>
      <c r="BI582" s="40" t="str">
        <f>IF(BG582=AY582,"• Same",IF(INDEX(B_VAL,MATCH(BG582,B_LVL,0))&gt;INDEX(B_VAL,MATCH(AY582,B_LVL,0)),"▲ Up","▼ Down"))</f>
        <v>• Same</v>
      </c>
      <c r="BJ582" s="40" t="str">
        <f>IF(OR($M582="",$M582="—",$M582="Not in this file"),"",IFERROR(INDEX($BG$7:$BG$592,MATCH($M582,$D$7:$D$592,0)),""))</f>
        <v/>
      </c>
      <c r="BK582" s="40" t="str">
        <f>IFERROR(IF(BJ582="","—",IF(OR(LEFT(BG582,1)="X",LEFT(BJ582,1)="X"),"—",IF(AND(LEFT(BG582,1)="E",LEFT(BJ582,1)="E"),"Exception · Band E",IF(AND(INDEX(B_VAL,MATCH(BJ582,B_LVL,0))&gt;=7,INDEX(B_RANK,MATCH(BG582,B_LVL,0))&gt;=INDEX(B_RANK,MATCH(BJ582,B_LVL,0))),"⚠ Same band as a head manager",IF(INDEX(B_VAL,MATCH(BG582,B_LVL,0))&gt;=INDEX(B_VAL,MATCH(BJ582,B_LVL,0)),"⚠ At or above the manager's level","OK"))))),"—")</f>
        <v>—</v>
      </c>
      <c r="BL582" s="43" t="n"/>
      <c r="BM582" s="44">
        <f>IFERROR(INDEX(LMH_PTS,MATCH(Y582,LMH_KEY,0)),0)</f>
        <v>0</v>
      </c>
      <c r="BN582" s="38">
        <f>IFERROR(INDEX(LMH_PTS,MATCH(Z582,LMH_KEY,0)),0)</f>
        <v>0</v>
      </c>
      <c r="BO582" s="38">
        <f>IFERROR(INDEX(LMH_PTS,MATCH(AA582,LMH_KEY,0)),0)</f>
        <v>0</v>
      </c>
      <c r="BP582" s="38">
        <f>IFERROR(INDEX(LMH_PTS,MATCH(AB582,LMH_KEY,0)),0)</f>
        <v>0</v>
      </c>
      <c r="BQ582" s="38">
        <f>IFERROR(INDEX(LMH_PTS,MATCH(AC582,LMH_KEY,0)),0)</f>
        <v>0</v>
      </c>
      <c r="BR582" s="38">
        <f>IFERROR(INDEX(LMH_PTS,MATCH(AD582,LMH_KEY,0)),0)</f>
        <v>0</v>
      </c>
      <c r="BS582" s="38">
        <f>IFERROR(INDEX(LMH_PTS,MATCH(AE582,LMH_KEY,0)),0)</f>
        <v>0</v>
      </c>
      <c r="BT582" s="38">
        <f>IFERROR(INDEX(LMH_STEP,MATCH(AF582,LMH_KEY,0)),0)</f>
        <v>0</v>
      </c>
      <c r="BU582" s="38">
        <f>IFERROR(INDEX(LMH_STEP,MATCH(AG582,LMH_KEY,0)),0)</f>
        <v>0</v>
      </c>
      <c r="BV582" s="38">
        <f>IFERROR(INDEX(LMH_STEP,MATCH(AH582,LMH_KEY,0)),0)</f>
        <v>0</v>
      </c>
      <c r="BW582" s="38">
        <f>IFERROR(INDEX(LMH_STEP,MATCH(AI582,LMH_KEY,0)),0)</f>
        <v>0</v>
      </c>
      <c r="BX582" s="38">
        <f>IFERROR(INDEX(LMH_STEP,MATCH(AJ582,LMH_KEY,0)),0)</f>
        <v>0</v>
      </c>
      <c r="BY582" s="38">
        <f>IFERROR(INDEX(LMH_STEP,MATCH(AK582,LMH_KEY,0)),0)</f>
        <v>0</v>
      </c>
      <c r="BZ582" s="38">
        <f>IFERROR(INDEX(LMH_STEP,MATCH(AL582,LMH_KEY,0)),0)</f>
        <v>0</v>
      </c>
      <c r="CA582" s="38" t="inlineStr">
        <is>
          <t>iFile|Technology|Associate Consultant – Software Development|X1|X</t>
        </is>
      </c>
    </row>
    <row r="583" ht="110" customHeight="1">
      <c r="A583" s="28" t="inlineStr">
        <is>
          <t>iFile</t>
        </is>
      </c>
      <c r="B583" s="29" t="inlineStr">
        <is>
          <t>Technology</t>
        </is>
      </c>
      <c r="C583" s="29" t="n">
        <v>0</v>
      </c>
      <c r="D583" s="29" t="inlineStr">
        <is>
          <t>No Emp ID · external consultant</t>
        </is>
      </c>
      <c r="E583" s="29" t="inlineStr">
        <is>
          <t>Peshal Jha</t>
        </is>
      </c>
      <c r="F583" s="29" t="inlineStr">
        <is>
          <t>Consultant</t>
        </is>
      </c>
      <c r="G583" s="29" t="inlineStr">
        <is>
          <t>Associate Consultant – Software Development</t>
        </is>
      </c>
      <c r="H583" s="29" t="inlineStr">
        <is>
          <t>Engineering &amp; Development</t>
        </is>
      </c>
      <c r="I583" s="29" t="inlineStr">
        <is>
          <t>Backend Development</t>
        </is>
      </c>
      <c r="J583" s="29" t="inlineStr">
        <is>
          <t>Consultant</t>
        </is>
      </c>
      <c r="K583" s="29" t="inlineStr">
        <is>
          <t>RC-073</t>
        </is>
      </c>
      <c r="L583" s="29" t="inlineStr">
        <is>
          <t>Not provided · HRIS</t>
        </is>
      </c>
      <c r="M583" s="29" t="inlineStr">
        <is>
          <t>Not in this file</t>
        </is>
      </c>
      <c r="N583" s="29" t="inlineStr">
        <is>
          <t>Not provided · HRIS</t>
        </is>
      </c>
      <c r="O583" s="29" t="n">
        <v>2.4</v>
      </c>
      <c r="P583" s="29" t="inlineStr">
        <is>
          <t>Not provided · HRIS</t>
        </is>
      </c>
      <c r="Q583" s="29" t="inlineStr">
        <is>
          <t>—</t>
        </is>
      </c>
      <c r="R583" s="29" t="inlineStr">
        <is>
          <t>X1</t>
        </is>
      </c>
      <c r="S583" s="30" t="inlineStr">
        <is>
          <t>0 of 20</t>
        </is>
      </c>
      <c r="T583" s="32" t="inlineStr">
        <is>
          <t>No survey response on file</t>
        </is>
      </c>
      <c r="U583" s="32" t="inlineStr">
        <is>
          <t>KRAs not received · manager to supply</t>
        </is>
      </c>
      <c r="V583" s="31" t="inlineStr">
        <is>
          <t>Latest rating: Not rated · manager · Readiness: n/a · consultant</t>
        </is>
      </c>
      <c r="W583" s="31" t="inlineStr">
        <is>
          <t>Consultant · outside the ladder</t>
        </is>
      </c>
      <c r="X583" s="33" t="inlineStr">
        <is>
          <t>Open ▸</t>
        </is>
      </c>
      <c r="Y583" s="34" t="n"/>
      <c r="Z583" s="35" t="n"/>
      <c r="AA583" s="35" t="n"/>
      <c r="AB583" s="35" t="n"/>
      <c r="AC583" s="35" t="n"/>
      <c r="AD583" s="35" t="n"/>
      <c r="AE583" s="35" t="n"/>
      <c r="AF583" s="34" t="n"/>
      <c r="AG583" s="35" t="n"/>
      <c r="AH583" s="35" t="n"/>
      <c r="AI583" s="35" t="n"/>
      <c r="AJ583" s="35" t="n"/>
      <c r="AK583" s="35" t="n"/>
      <c r="AL583" s="35" t="n"/>
      <c r="AM583" s="36" t="n"/>
      <c r="AN583" s="37" t="n"/>
      <c r="AO583" s="37" t="n"/>
      <c r="AP583" s="37" t="n"/>
      <c r="AQ583" s="37" t="n"/>
      <c r="AR583" s="37" t="n"/>
      <c r="AS583" s="37" t="n"/>
      <c r="AT583" s="38" t="n"/>
      <c r="AU583" s="38" t="n"/>
      <c r="AV583" s="38" t="n"/>
      <c r="AW583" s="38" t="inlineStr">
        <is>
          <t>—</t>
        </is>
      </c>
      <c r="AX5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3" s="39" t="inlineStr">
        <is>
          <t>X1</t>
        </is>
      </c>
      <c r="AZ583" s="40" t="inlineStr">
        <is>
          <t xml:space="preserve">Band X · Consultant · </t>
        </is>
      </c>
      <c r="BA583" s="40" t="inlineStr">
        <is>
          <t>Model X1 from the six ratings, the market-derived weights and rules R1–R13 · then Consultant · outside the ladder</t>
        </is>
      </c>
      <c r="BB583" s="41" t="n"/>
      <c r="BC583" s="40" t="inlineStr">
        <is>
          <t>Consultant · outside the ladder</t>
        </is>
      </c>
      <c r="BD583" s="42">
        <f>IF(SUM(BM583,BN583,BO583,BP583,BQ583,BR583,BS583)=0,0,(BM583*BT583+BN583*BU583+BO583*BV583+BP583*BW583+BQ583*BX583+BR583*BY583+BS583*BZ583)/SUM(BM583,BN583,BO583,BP583,BQ583,BR583,BS583))</f>
        <v>0</v>
      </c>
      <c r="BE583" s="41" t="str">
        <f>IF(LEFT(AY583,1)="X",AY583,IF(OR(AY583="B+",AY583="C+"),INDEX(LAD_PC,MAX(1,MIN(14,MATCH(AY583,LAD_PC,0)+IF(BD583&gt;=0.5,1,IF(BD583&lt;=-0.5,-1,0))))),INDEX(LAD_STD,MAX(1,MIN(12,MATCH(AY583,LAD_STD,0)+IF(BD583&gt;=0.5,1,IF(BD583&lt;=-0.5,-1,0)))))))</f>
        <v>X1</v>
      </c>
      <c r="BF583" s="43" t="n"/>
      <c r="BG583" s="41" t="str">
        <f>IF(BF583&lt;&gt;"",BF583,BE583)</f>
        <v>X1</v>
      </c>
      <c r="BH583" s="40" t="str">
        <f>IFERROR(CHOOSE(INDEX(B_RANK,MATCH(BG583,B_LVL,0)),"Band A","Band B","B+ · Player-Coach","Band C","C+ · Player-Coach","Band D","Band E"),"Band X · Consultant")</f>
        <v>Band X · Consultant</v>
      </c>
      <c r="BI583" s="40" t="str">
        <f>IF(BG583=AY583,"• Same",IF(INDEX(B_VAL,MATCH(BG583,B_LVL,0))&gt;INDEX(B_VAL,MATCH(AY583,B_LVL,0)),"▲ Up","▼ Down"))</f>
        <v>• Same</v>
      </c>
      <c r="BJ583" s="40" t="str">
        <f>IF(OR($M583="",$M583="—",$M583="Not in this file"),"",IFERROR(INDEX($BG$7:$BG$592,MATCH($M583,$D$7:$D$592,0)),""))</f>
        <v/>
      </c>
      <c r="BK583" s="40" t="str">
        <f>IFERROR(IF(BJ583="","—",IF(OR(LEFT(BG583,1)="X",LEFT(BJ583,1)="X"),"—",IF(AND(LEFT(BG583,1)="E",LEFT(BJ583,1)="E"),"Exception · Band E",IF(AND(INDEX(B_VAL,MATCH(BJ583,B_LVL,0))&gt;=7,INDEX(B_RANK,MATCH(BG583,B_LVL,0))&gt;=INDEX(B_RANK,MATCH(BJ583,B_LVL,0))),"⚠ Same band as a head manager",IF(INDEX(B_VAL,MATCH(BG583,B_LVL,0))&gt;=INDEX(B_VAL,MATCH(BJ583,B_LVL,0)),"⚠ At or above the manager's level","OK"))))),"—")</f>
        <v>—</v>
      </c>
      <c r="BL583" s="43" t="n"/>
      <c r="BM583" s="44">
        <f>IFERROR(INDEX(LMH_PTS,MATCH(Y583,LMH_KEY,0)),0)</f>
        <v>0</v>
      </c>
      <c r="BN583" s="38">
        <f>IFERROR(INDEX(LMH_PTS,MATCH(Z583,LMH_KEY,0)),0)</f>
        <v>0</v>
      </c>
      <c r="BO583" s="38">
        <f>IFERROR(INDEX(LMH_PTS,MATCH(AA583,LMH_KEY,0)),0)</f>
        <v>0</v>
      </c>
      <c r="BP583" s="38">
        <f>IFERROR(INDEX(LMH_PTS,MATCH(AB583,LMH_KEY,0)),0)</f>
        <v>0</v>
      </c>
      <c r="BQ583" s="38">
        <f>IFERROR(INDEX(LMH_PTS,MATCH(AC583,LMH_KEY,0)),0)</f>
        <v>0</v>
      </c>
      <c r="BR583" s="38">
        <f>IFERROR(INDEX(LMH_PTS,MATCH(AD583,LMH_KEY,0)),0)</f>
        <v>0</v>
      </c>
      <c r="BS583" s="38">
        <f>IFERROR(INDEX(LMH_PTS,MATCH(AE583,LMH_KEY,0)),0)</f>
        <v>0</v>
      </c>
      <c r="BT583" s="38">
        <f>IFERROR(INDEX(LMH_STEP,MATCH(AF583,LMH_KEY,0)),0)</f>
        <v>0</v>
      </c>
      <c r="BU583" s="38">
        <f>IFERROR(INDEX(LMH_STEP,MATCH(AG583,LMH_KEY,0)),0)</f>
        <v>0</v>
      </c>
      <c r="BV583" s="38">
        <f>IFERROR(INDEX(LMH_STEP,MATCH(AH583,LMH_KEY,0)),0)</f>
        <v>0</v>
      </c>
      <c r="BW583" s="38">
        <f>IFERROR(INDEX(LMH_STEP,MATCH(AI583,LMH_KEY,0)),0)</f>
        <v>0</v>
      </c>
      <c r="BX583" s="38">
        <f>IFERROR(INDEX(LMH_STEP,MATCH(AJ583,LMH_KEY,0)),0)</f>
        <v>0</v>
      </c>
      <c r="BY583" s="38">
        <f>IFERROR(INDEX(LMH_STEP,MATCH(AK583,LMH_KEY,0)),0)</f>
        <v>0</v>
      </c>
      <c r="BZ583" s="38">
        <f>IFERROR(INDEX(LMH_STEP,MATCH(AL583,LMH_KEY,0)),0)</f>
        <v>0</v>
      </c>
      <c r="CA583" s="38" t="inlineStr">
        <is>
          <t>iFile|Technology|Associate Consultant – Software Development|X1|X</t>
        </is>
      </c>
    </row>
    <row r="584" ht="110" customHeight="1">
      <c r="A584" s="28" t="inlineStr">
        <is>
          <t>iFile</t>
        </is>
      </c>
      <c r="B584" s="29" t="inlineStr">
        <is>
          <t>Technology</t>
        </is>
      </c>
      <c r="C584" s="29" t="n">
        <v>0</v>
      </c>
      <c r="D584" s="29" t="inlineStr">
        <is>
          <t>No Emp ID · external consultant</t>
        </is>
      </c>
      <c r="E584" s="29" t="inlineStr">
        <is>
          <t>Poonam Rajput</t>
        </is>
      </c>
      <c r="F584" s="29" t="inlineStr">
        <is>
          <t>Consultant</t>
        </is>
      </c>
      <c r="G584" s="29" t="inlineStr">
        <is>
          <t>Associate Consultant – Software Development</t>
        </is>
      </c>
      <c r="H584" s="29" t="inlineStr">
        <is>
          <t>Engineering &amp; Development</t>
        </is>
      </c>
      <c r="I584" s="29" t="inlineStr">
        <is>
          <t>Backend Development</t>
        </is>
      </c>
      <c r="J584" s="29" t="inlineStr">
        <is>
          <t>Consultant</t>
        </is>
      </c>
      <c r="K584" s="29" t="inlineStr">
        <is>
          <t>RC-073</t>
        </is>
      </c>
      <c r="L584" s="29" t="inlineStr">
        <is>
          <t>Not provided · HRIS</t>
        </is>
      </c>
      <c r="M584" s="29" t="inlineStr">
        <is>
          <t>Not in this file</t>
        </is>
      </c>
      <c r="N584" s="29" t="inlineStr">
        <is>
          <t>Not provided · HRIS</t>
        </is>
      </c>
      <c r="O584" s="29" t="n">
        <v>2.4</v>
      </c>
      <c r="P584" s="29" t="inlineStr">
        <is>
          <t>Not provided · HRIS</t>
        </is>
      </c>
      <c r="Q584" s="29" t="inlineStr">
        <is>
          <t>—</t>
        </is>
      </c>
      <c r="R584" s="29" t="inlineStr">
        <is>
          <t>X1</t>
        </is>
      </c>
      <c r="S584" s="30" t="inlineStr">
        <is>
          <t>0 of 20</t>
        </is>
      </c>
      <c r="T584" s="32" t="inlineStr">
        <is>
          <t>No survey response on file</t>
        </is>
      </c>
      <c r="U584" s="32" t="inlineStr">
        <is>
          <t>KRAs not received · manager to supply</t>
        </is>
      </c>
      <c r="V584" s="31" t="inlineStr">
        <is>
          <t>Latest rating: Not rated · manager · Readiness: n/a · consultant</t>
        </is>
      </c>
      <c r="W584" s="31" t="inlineStr">
        <is>
          <t>Consultant · outside the ladder</t>
        </is>
      </c>
      <c r="X584" s="33" t="inlineStr">
        <is>
          <t>Open ▸</t>
        </is>
      </c>
      <c r="Y584" s="34" t="n"/>
      <c r="Z584" s="35" t="n"/>
      <c r="AA584" s="35" t="n"/>
      <c r="AB584" s="35" t="n"/>
      <c r="AC584" s="35" t="n"/>
      <c r="AD584" s="35" t="n"/>
      <c r="AE584" s="35" t="n"/>
      <c r="AF584" s="34" t="n"/>
      <c r="AG584" s="35" t="n"/>
      <c r="AH584" s="35" t="n"/>
      <c r="AI584" s="35" t="n"/>
      <c r="AJ584" s="35" t="n"/>
      <c r="AK584" s="35" t="n"/>
      <c r="AL584" s="35" t="n"/>
      <c r="AM584" s="36" t="n"/>
      <c r="AN584" s="37" t="n"/>
      <c r="AO584" s="37" t="n"/>
      <c r="AP584" s="37" t="n"/>
      <c r="AQ584" s="37" t="n"/>
      <c r="AR584" s="37" t="n"/>
      <c r="AS584" s="37" t="n"/>
      <c r="AT584" s="38" t="n"/>
      <c r="AU584" s="38" t="n"/>
      <c r="AV584" s="38" t="n"/>
      <c r="AW584" s="38" t="inlineStr">
        <is>
          <t>—</t>
        </is>
      </c>
      <c r="AX5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4" s="39" t="inlineStr">
        <is>
          <t>X1</t>
        </is>
      </c>
      <c r="AZ584" s="40" t="inlineStr">
        <is>
          <t xml:space="preserve">Band X · Consultant · </t>
        </is>
      </c>
      <c r="BA584" s="40" t="inlineStr">
        <is>
          <t>Model X1 from the six ratings, the market-derived weights and rules R1–R13 · then Consultant · outside the ladder</t>
        </is>
      </c>
      <c r="BB584" s="41" t="n"/>
      <c r="BC584" s="40" t="inlineStr">
        <is>
          <t>Consultant · outside the ladder</t>
        </is>
      </c>
      <c r="BD584" s="42">
        <f>IF(SUM(BM584,BN584,BO584,BP584,BQ584,BR584,BS584)=0,0,(BM584*BT584+BN584*BU584+BO584*BV584+BP584*BW584+BQ584*BX584+BR584*BY584+BS584*BZ584)/SUM(BM584,BN584,BO584,BP584,BQ584,BR584,BS584))</f>
        <v>0</v>
      </c>
      <c r="BE584" s="41" t="str">
        <f>IF(LEFT(AY584,1)="X",AY584,IF(OR(AY584="B+",AY584="C+"),INDEX(LAD_PC,MAX(1,MIN(14,MATCH(AY584,LAD_PC,0)+IF(BD584&gt;=0.5,1,IF(BD584&lt;=-0.5,-1,0))))),INDEX(LAD_STD,MAX(1,MIN(12,MATCH(AY584,LAD_STD,0)+IF(BD584&gt;=0.5,1,IF(BD584&lt;=-0.5,-1,0)))))))</f>
        <v>X1</v>
      </c>
      <c r="BF584" s="43" t="n"/>
      <c r="BG584" s="41" t="str">
        <f>IF(BF584&lt;&gt;"",BF584,BE584)</f>
        <v>X1</v>
      </c>
      <c r="BH584" s="40" t="str">
        <f>IFERROR(CHOOSE(INDEX(B_RANK,MATCH(BG584,B_LVL,0)),"Band A","Band B","B+ · Player-Coach","Band C","C+ · Player-Coach","Band D","Band E"),"Band X · Consultant")</f>
        <v>Band X · Consultant</v>
      </c>
      <c r="BI584" s="40" t="str">
        <f>IF(BG584=AY584,"• Same",IF(INDEX(B_VAL,MATCH(BG584,B_LVL,0))&gt;INDEX(B_VAL,MATCH(AY584,B_LVL,0)),"▲ Up","▼ Down"))</f>
        <v>• Same</v>
      </c>
      <c r="BJ584" s="40" t="str">
        <f>IF(OR($M584="",$M584="—",$M584="Not in this file"),"",IFERROR(INDEX($BG$7:$BG$592,MATCH($M584,$D$7:$D$592,0)),""))</f>
        <v/>
      </c>
      <c r="BK584" s="40" t="str">
        <f>IFERROR(IF(BJ584="","—",IF(OR(LEFT(BG584,1)="X",LEFT(BJ584,1)="X"),"—",IF(AND(LEFT(BG584,1)="E",LEFT(BJ584,1)="E"),"Exception · Band E",IF(AND(INDEX(B_VAL,MATCH(BJ584,B_LVL,0))&gt;=7,INDEX(B_RANK,MATCH(BG584,B_LVL,0))&gt;=INDEX(B_RANK,MATCH(BJ584,B_LVL,0))),"⚠ Same band as a head manager",IF(INDEX(B_VAL,MATCH(BG584,B_LVL,0))&gt;=INDEX(B_VAL,MATCH(BJ584,B_LVL,0)),"⚠ At or above the manager's level","OK"))))),"—")</f>
        <v>—</v>
      </c>
      <c r="BL584" s="43" t="n"/>
      <c r="BM584" s="44">
        <f>IFERROR(INDEX(LMH_PTS,MATCH(Y584,LMH_KEY,0)),0)</f>
        <v>0</v>
      </c>
      <c r="BN584" s="38">
        <f>IFERROR(INDEX(LMH_PTS,MATCH(Z584,LMH_KEY,0)),0)</f>
        <v>0</v>
      </c>
      <c r="BO584" s="38">
        <f>IFERROR(INDEX(LMH_PTS,MATCH(AA584,LMH_KEY,0)),0)</f>
        <v>0</v>
      </c>
      <c r="BP584" s="38">
        <f>IFERROR(INDEX(LMH_PTS,MATCH(AB584,LMH_KEY,0)),0)</f>
        <v>0</v>
      </c>
      <c r="BQ584" s="38">
        <f>IFERROR(INDEX(LMH_PTS,MATCH(AC584,LMH_KEY,0)),0)</f>
        <v>0</v>
      </c>
      <c r="BR584" s="38">
        <f>IFERROR(INDEX(LMH_PTS,MATCH(AD584,LMH_KEY,0)),0)</f>
        <v>0</v>
      </c>
      <c r="BS584" s="38">
        <f>IFERROR(INDEX(LMH_PTS,MATCH(AE584,LMH_KEY,0)),0)</f>
        <v>0</v>
      </c>
      <c r="BT584" s="38">
        <f>IFERROR(INDEX(LMH_STEP,MATCH(AF584,LMH_KEY,0)),0)</f>
        <v>0</v>
      </c>
      <c r="BU584" s="38">
        <f>IFERROR(INDEX(LMH_STEP,MATCH(AG584,LMH_KEY,0)),0)</f>
        <v>0</v>
      </c>
      <c r="BV584" s="38">
        <f>IFERROR(INDEX(LMH_STEP,MATCH(AH584,LMH_KEY,0)),0)</f>
        <v>0</v>
      </c>
      <c r="BW584" s="38">
        <f>IFERROR(INDEX(LMH_STEP,MATCH(AI584,LMH_KEY,0)),0)</f>
        <v>0</v>
      </c>
      <c r="BX584" s="38">
        <f>IFERROR(INDEX(LMH_STEP,MATCH(AJ584,LMH_KEY,0)),0)</f>
        <v>0</v>
      </c>
      <c r="BY584" s="38">
        <f>IFERROR(INDEX(LMH_STEP,MATCH(AK584,LMH_KEY,0)),0)</f>
        <v>0</v>
      </c>
      <c r="BZ584" s="38">
        <f>IFERROR(INDEX(LMH_STEP,MATCH(AL584,LMH_KEY,0)),0)</f>
        <v>0</v>
      </c>
      <c r="CA584" s="38" t="inlineStr">
        <is>
          <t>iFile|Technology|Associate Consultant – Software Development|X1|X</t>
        </is>
      </c>
    </row>
    <row r="585" ht="110" customHeight="1">
      <c r="A585" s="28" t="inlineStr">
        <is>
          <t>Datatech</t>
        </is>
      </c>
      <c r="B585" s="29" t="inlineStr">
        <is>
          <t>Marketing</t>
        </is>
      </c>
      <c r="C585" s="29" t="n">
        <v>0</v>
      </c>
      <c r="D585" s="29" t="inlineStr">
        <is>
          <t>No Emp ID · in-house consultant</t>
        </is>
      </c>
      <c r="E585" s="29" t="inlineStr">
        <is>
          <t>R Indumathi</t>
        </is>
      </c>
      <c r="F585" s="29" t="inlineStr">
        <is>
          <t>Consultant</t>
        </is>
      </c>
      <c r="G585" s="29" t="inlineStr">
        <is>
          <t>Associate Consultant – Demand Generation, Brand &amp; Events</t>
        </is>
      </c>
      <c r="H585" s="29" t="inlineStr">
        <is>
          <t>Marketing &amp; Communications</t>
        </is>
      </c>
      <c r="I585" s="29" t="inlineStr">
        <is>
          <t>Marketing · role not recorded</t>
        </is>
      </c>
      <c r="J585" s="29" t="inlineStr">
        <is>
          <t>Consultant</t>
        </is>
      </c>
      <c r="K585" s="29" t="inlineStr">
        <is>
          <t>RC-118</t>
        </is>
      </c>
      <c r="L585" s="29" t="inlineStr">
        <is>
          <t>Not provided · HRIS</t>
        </is>
      </c>
      <c r="M585" s="29" t="inlineStr">
        <is>
          <t>Not in this file</t>
        </is>
      </c>
      <c r="N585" s="29" t="inlineStr">
        <is>
          <t>Not provided · HRIS</t>
        </is>
      </c>
      <c r="O585" s="29" t="n">
        <v>0.3</v>
      </c>
      <c r="P585" s="29" t="inlineStr">
        <is>
          <t>Not provided · HRIS</t>
        </is>
      </c>
      <c r="Q585" s="29" t="inlineStr">
        <is>
          <t>—</t>
        </is>
      </c>
      <c r="R585" s="29" t="inlineStr">
        <is>
          <t>X1</t>
        </is>
      </c>
      <c r="S585" s="30" t="inlineStr">
        <is>
          <t>0 of 20</t>
        </is>
      </c>
      <c r="T585" s="32" t="inlineStr">
        <is>
          <t>No survey response on file</t>
        </is>
      </c>
      <c r="U585" s="32" t="inlineStr">
        <is>
          <t>KRAs not received · manager to supply</t>
        </is>
      </c>
      <c r="V585" s="31" t="inlineStr">
        <is>
          <t>Latest rating: Not rated · manager · Readiness: n/a · consultant</t>
        </is>
      </c>
      <c r="W585" s="31" t="inlineStr">
        <is>
          <t>Consultant · outside the ladder</t>
        </is>
      </c>
      <c r="X585" s="33" t="inlineStr">
        <is>
          <t>Open ▸</t>
        </is>
      </c>
      <c r="Y585" s="34" t="n"/>
      <c r="Z585" s="35" t="n"/>
      <c r="AA585" s="35" t="n"/>
      <c r="AB585" s="35" t="n"/>
      <c r="AC585" s="35" t="n"/>
      <c r="AD585" s="35" t="n"/>
      <c r="AE585" s="35" t="n"/>
      <c r="AF585" s="34" t="n"/>
      <c r="AG585" s="35" t="n"/>
      <c r="AH585" s="35" t="n"/>
      <c r="AI585" s="35" t="n"/>
      <c r="AJ585" s="35" t="n"/>
      <c r="AK585" s="35" t="n"/>
      <c r="AL585" s="35" t="n"/>
      <c r="AM585" s="36" t="n"/>
      <c r="AN585" s="37" t="n"/>
      <c r="AO585" s="37" t="n"/>
      <c r="AP585" s="37" t="n"/>
      <c r="AQ585" s="37" t="n"/>
      <c r="AR585" s="37" t="n"/>
      <c r="AS585" s="37" t="n"/>
      <c r="AT585" s="38" t="n"/>
      <c r="AU585" s="38" t="n"/>
      <c r="AV585" s="38" t="n"/>
      <c r="AW585" s="38" t="inlineStr">
        <is>
          <t>—</t>
        </is>
      </c>
      <c r="AX5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5" s="39" t="inlineStr">
        <is>
          <t>X1</t>
        </is>
      </c>
      <c r="AZ585" s="40" t="inlineStr">
        <is>
          <t xml:space="preserve">Band X · Consultant · </t>
        </is>
      </c>
      <c r="BA585" s="40" t="inlineStr">
        <is>
          <t>Model X1 from the six ratings, the market-derived weights and rules R1–R13 · then Consultant · outside the ladder</t>
        </is>
      </c>
      <c r="BB585" s="41" t="n"/>
      <c r="BC585" s="40" t="inlineStr">
        <is>
          <t>Consultant · outside the ladder</t>
        </is>
      </c>
      <c r="BD585" s="42">
        <f>IF(SUM(BM585,BN585,BO585,BP585,BQ585,BR585,BS585)=0,0,(BM585*BT585+BN585*BU585+BO585*BV585+BP585*BW585+BQ585*BX585+BR585*BY585+BS585*BZ585)/SUM(BM585,BN585,BO585,BP585,BQ585,BR585,BS585))</f>
        <v>0</v>
      </c>
      <c r="BE585" s="41" t="str">
        <f>IF(LEFT(AY585,1)="X",AY585,IF(OR(AY585="B+",AY585="C+"),INDEX(LAD_PC,MAX(1,MIN(14,MATCH(AY585,LAD_PC,0)+IF(BD585&gt;=0.5,1,IF(BD585&lt;=-0.5,-1,0))))),INDEX(LAD_STD,MAX(1,MIN(12,MATCH(AY585,LAD_STD,0)+IF(BD585&gt;=0.5,1,IF(BD585&lt;=-0.5,-1,0)))))))</f>
        <v>X1</v>
      </c>
      <c r="BF585" s="43" t="n"/>
      <c r="BG585" s="41" t="str">
        <f>IF(BF585&lt;&gt;"",BF585,BE585)</f>
        <v>X1</v>
      </c>
      <c r="BH585" s="40" t="str">
        <f>IFERROR(CHOOSE(INDEX(B_RANK,MATCH(BG585,B_LVL,0)),"Band A","Band B","B+ · Player-Coach","Band C","C+ · Player-Coach","Band D","Band E"),"Band X · Consultant")</f>
        <v>Band X · Consultant</v>
      </c>
      <c r="BI585" s="40" t="str">
        <f>IF(BG585=AY585,"• Same",IF(INDEX(B_VAL,MATCH(BG585,B_LVL,0))&gt;INDEX(B_VAL,MATCH(AY585,B_LVL,0)),"▲ Up","▼ Down"))</f>
        <v>• Same</v>
      </c>
      <c r="BJ585" s="40" t="str">
        <f>IF(OR($M585="",$M585="—",$M585="Not in this file"),"",IFERROR(INDEX($BG$7:$BG$592,MATCH($M585,$D$7:$D$592,0)),""))</f>
        <v/>
      </c>
      <c r="BK585" s="40" t="str">
        <f>IFERROR(IF(BJ585="","—",IF(OR(LEFT(BG585,1)="X",LEFT(BJ585,1)="X"),"—",IF(AND(LEFT(BG585,1)="E",LEFT(BJ585,1)="E"),"Exception · Band E",IF(AND(INDEX(B_VAL,MATCH(BJ585,B_LVL,0))&gt;=7,INDEX(B_RANK,MATCH(BG585,B_LVL,0))&gt;=INDEX(B_RANK,MATCH(BJ585,B_LVL,0))),"⚠ Same band as a head manager",IF(INDEX(B_VAL,MATCH(BG585,B_LVL,0))&gt;=INDEX(B_VAL,MATCH(BJ585,B_LVL,0)),"⚠ At or above the manager's level","OK"))))),"—")</f>
        <v>—</v>
      </c>
      <c r="BL585" s="43" t="n"/>
      <c r="BM585" s="44">
        <f>IFERROR(INDEX(LMH_PTS,MATCH(Y585,LMH_KEY,0)),0)</f>
        <v>0</v>
      </c>
      <c r="BN585" s="38">
        <f>IFERROR(INDEX(LMH_PTS,MATCH(Z585,LMH_KEY,0)),0)</f>
        <v>0</v>
      </c>
      <c r="BO585" s="38">
        <f>IFERROR(INDEX(LMH_PTS,MATCH(AA585,LMH_KEY,0)),0)</f>
        <v>0</v>
      </c>
      <c r="BP585" s="38">
        <f>IFERROR(INDEX(LMH_PTS,MATCH(AB585,LMH_KEY,0)),0)</f>
        <v>0</v>
      </c>
      <c r="BQ585" s="38">
        <f>IFERROR(INDEX(LMH_PTS,MATCH(AC585,LMH_KEY,0)),0)</f>
        <v>0</v>
      </c>
      <c r="BR585" s="38">
        <f>IFERROR(INDEX(LMH_PTS,MATCH(AD585,LMH_KEY,0)),0)</f>
        <v>0</v>
      </c>
      <c r="BS585" s="38">
        <f>IFERROR(INDEX(LMH_PTS,MATCH(AE585,LMH_KEY,0)),0)</f>
        <v>0</v>
      </c>
      <c r="BT585" s="38">
        <f>IFERROR(INDEX(LMH_STEP,MATCH(AF585,LMH_KEY,0)),0)</f>
        <v>0</v>
      </c>
      <c r="BU585" s="38">
        <f>IFERROR(INDEX(LMH_STEP,MATCH(AG585,LMH_KEY,0)),0)</f>
        <v>0</v>
      </c>
      <c r="BV585" s="38">
        <f>IFERROR(INDEX(LMH_STEP,MATCH(AH585,LMH_KEY,0)),0)</f>
        <v>0</v>
      </c>
      <c r="BW585" s="38">
        <f>IFERROR(INDEX(LMH_STEP,MATCH(AI585,LMH_KEY,0)),0)</f>
        <v>0</v>
      </c>
      <c r="BX585" s="38">
        <f>IFERROR(INDEX(LMH_STEP,MATCH(AJ585,LMH_KEY,0)),0)</f>
        <v>0</v>
      </c>
      <c r="BY585" s="38">
        <f>IFERROR(INDEX(LMH_STEP,MATCH(AK585,LMH_KEY,0)),0)</f>
        <v>0</v>
      </c>
      <c r="BZ585" s="38">
        <f>IFERROR(INDEX(LMH_STEP,MATCH(AL585,LMH_KEY,0)),0)</f>
        <v>0</v>
      </c>
      <c r="CA585" s="38" t="inlineStr">
        <is>
          <t>Datatech|Marketing|Associate Consultant – Demand Generation, Brand &amp; Events|X1|X</t>
        </is>
      </c>
    </row>
    <row r="586" ht="110" customHeight="1">
      <c r="A586" s="28" t="inlineStr">
        <is>
          <t>Datatech</t>
        </is>
      </c>
      <c r="B586" s="29" t="inlineStr">
        <is>
          <t>Technology</t>
        </is>
      </c>
      <c r="C586" s="29" t="n">
        <v>0</v>
      </c>
      <c r="D586" s="29" t="inlineStr">
        <is>
          <t>No Emp ID · external consultant</t>
        </is>
      </c>
      <c r="E586" s="29" t="inlineStr">
        <is>
          <t>Sadhan Kumar</t>
        </is>
      </c>
      <c r="F586" s="29" t="inlineStr">
        <is>
          <t>Consultant</t>
        </is>
      </c>
      <c r="G586" s="29" t="inlineStr">
        <is>
          <t>Associate Consultant – Software Development</t>
        </is>
      </c>
      <c r="H586" s="29" t="inlineStr">
        <is>
          <t>Engineering &amp; Development</t>
        </is>
      </c>
      <c r="I586" s="29" t="inlineStr">
        <is>
          <t>Backend Development</t>
        </is>
      </c>
      <c r="J586" s="29" t="inlineStr">
        <is>
          <t>Consultant</t>
        </is>
      </c>
      <c r="K586" s="29" t="inlineStr">
        <is>
          <t>RC-073</t>
        </is>
      </c>
      <c r="L586" s="29" t="inlineStr">
        <is>
          <t>Not provided · HRIS</t>
        </is>
      </c>
      <c r="M586" s="29" t="inlineStr">
        <is>
          <t>Not in this file</t>
        </is>
      </c>
      <c r="N586" s="29" t="inlineStr">
        <is>
          <t>Not provided · HRIS</t>
        </is>
      </c>
      <c r="O586" s="29" t="n">
        <v>0.1</v>
      </c>
      <c r="P586" s="29" t="inlineStr">
        <is>
          <t>Not provided · HRIS</t>
        </is>
      </c>
      <c r="Q586" s="29" t="inlineStr">
        <is>
          <t>—</t>
        </is>
      </c>
      <c r="R586" s="29" t="inlineStr">
        <is>
          <t>X1</t>
        </is>
      </c>
      <c r="S586" s="30" t="inlineStr">
        <is>
          <t>0 of 20</t>
        </is>
      </c>
      <c r="T586" s="32" t="inlineStr">
        <is>
          <t>No survey response on file</t>
        </is>
      </c>
      <c r="U586" s="32" t="inlineStr">
        <is>
          <t>KRAs not received · manager to supply</t>
        </is>
      </c>
      <c r="V586" s="31" t="inlineStr">
        <is>
          <t>Latest rating: Not rated · manager · Readiness: n/a · consultant</t>
        </is>
      </c>
      <c r="W586" s="31" t="inlineStr">
        <is>
          <t>Consultant · outside the ladder</t>
        </is>
      </c>
      <c r="X586" s="33" t="inlineStr">
        <is>
          <t>Open ▸</t>
        </is>
      </c>
      <c r="Y586" s="34" t="n"/>
      <c r="Z586" s="35" t="n"/>
      <c r="AA586" s="35" t="n"/>
      <c r="AB586" s="35" t="n"/>
      <c r="AC586" s="35" t="n"/>
      <c r="AD586" s="35" t="n"/>
      <c r="AE586" s="35" t="n"/>
      <c r="AF586" s="34" t="n"/>
      <c r="AG586" s="35" t="n"/>
      <c r="AH586" s="35" t="n"/>
      <c r="AI586" s="35" t="n"/>
      <c r="AJ586" s="35" t="n"/>
      <c r="AK586" s="35" t="n"/>
      <c r="AL586" s="35" t="n"/>
      <c r="AM586" s="36" t="n"/>
      <c r="AN586" s="37" t="n"/>
      <c r="AO586" s="37" t="n"/>
      <c r="AP586" s="37" t="n"/>
      <c r="AQ586" s="37" t="n"/>
      <c r="AR586" s="37" t="n"/>
      <c r="AS586" s="37" t="n"/>
      <c r="AT586" s="38" t="n"/>
      <c r="AU586" s="38" t="n"/>
      <c r="AV586" s="38" t="n"/>
      <c r="AW586" s="38" t="inlineStr">
        <is>
          <t>—</t>
        </is>
      </c>
      <c r="AX5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6" s="39" t="inlineStr">
        <is>
          <t>X1</t>
        </is>
      </c>
      <c r="AZ586" s="40" t="inlineStr">
        <is>
          <t xml:space="preserve">Band X · Consultant · </t>
        </is>
      </c>
      <c r="BA586" s="40" t="inlineStr">
        <is>
          <t>Model X1 from the six ratings, the market-derived weights and rules R1–R13 · then Consultant · outside the ladder</t>
        </is>
      </c>
      <c r="BB586" s="41" t="n"/>
      <c r="BC586" s="40" t="inlineStr">
        <is>
          <t>Consultant · outside the ladder</t>
        </is>
      </c>
      <c r="BD586" s="42">
        <f>IF(SUM(BM586,BN586,BO586,BP586,BQ586,BR586,BS586)=0,0,(BM586*BT586+BN586*BU586+BO586*BV586+BP586*BW586+BQ586*BX586+BR586*BY586+BS586*BZ586)/SUM(BM586,BN586,BO586,BP586,BQ586,BR586,BS586))</f>
        <v>0</v>
      </c>
      <c r="BE586" s="41" t="str">
        <f>IF(LEFT(AY586,1)="X",AY586,IF(OR(AY586="B+",AY586="C+"),INDEX(LAD_PC,MAX(1,MIN(14,MATCH(AY586,LAD_PC,0)+IF(BD586&gt;=0.5,1,IF(BD586&lt;=-0.5,-1,0))))),INDEX(LAD_STD,MAX(1,MIN(12,MATCH(AY586,LAD_STD,0)+IF(BD586&gt;=0.5,1,IF(BD586&lt;=-0.5,-1,0)))))))</f>
        <v>X1</v>
      </c>
      <c r="BF586" s="43" t="n"/>
      <c r="BG586" s="41" t="str">
        <f>IF(BF586&lt;&gt;"",BF586,BE586)</f>
        <v>X1</v>
      </c>
      <c r="BH586" s="40" t="str">
        <f>IFERROR(CHOOSE(INDEX(B_RANK,MATCH(BG586,B_LVL,0)),"Band A","Band B","B+ · Player-Coach","Band C","C+ · Player-Coach","Band D","Band E"),"Band X · Consultant")</f>
        <v>Band X · Consultant</v>
      </c>
      <c r="BI586" s="40" t="str">
        <f>IF(BG586=AY586,"• Same",IF(INDEX(B_VAL,MATCH(BG586,B_LVL,0))&gt;INDEX(B_VAL,MATCH(AY586,B_LVL,0)),"▲ Up","▼ Down"))</f>
        <v>• Same</v>
      </c>
      <c r="BJ586" s="40" t="str">
        <f>IF(OR($M586="",$M586="—",$M586="Not in this file"),"",IFERROR(INDEX($BG$7:$BG$592,MATCH($M586,$D$7:$D$592,0)),""))</f>
        <v/>
      </c>
      <c r="BK586" s="40" t="str">
        <f>IFERROR(IF(BJ586="","—",IF(OR(LEFT(BG586,1)="X",LEFT(BJ586,1)="X"),"—",IF(AND(LEFT(BG586,1)="E",LEFT(BJ586,1)="E"),"Exception · Band E",IF(AND(INDEX(B_VAL,MATCH(BJ586,B_LVL,0))&gt;=7,INDEX(B_RANK,MATCH(BG586,B_LVL,0))&gt;=INDEX(B_RANK,MATCH(BJ586,B_LVL,0))),"⚠ Same band as a head manager",IF(INDEX(B_VAL,MATCH(BG586,B_LVL,0))&gt;=INDEX(B_VAL,MATCH(BJ586,B_LVL,0)),"⚠ At or above the manager's level","OK"))))),"—")</f>
        <v>—</v>
      </c>
      <c r="BL586" s="43" t="n"/>
      <c r="BM586" s="44">
        <f>IFERROR(INDEX(LMH_PTS,MATCH(Y586,LMH_KEY,0)),0)</f>
        <v>0</v>
      </c>
      <c r="BN586" s="38">
        <f>IFERROR(INDEX(LMH_PTS,MATCH(Z586,LMH_KEY,0)),0)</f>
        <v>0</v>
      </c>
      <c r="BO586" s="38">
        <f>IFERROR(INDEX(LMH_PTS,MATCH(AA586,LMH_KEY,0)),0)</f>
        <v>0</v>
      </c>
      <c r="BP586" s="38">
        <f>IFERROR(INDEX(LMH_PTS,MATCH(AB586,LMH_KEY,0)),0)</f>
        <v>0</v>
      </c>
      <c r="BQ586" s="38">
        <f>IFERROR(INDEX(LMH_PTS,MATCH(AC586,LMH_KEY,0)),0)</f>
        <v>0</v>
      </c>
      <c r="BR586" s="38">
        <f>IFERROR(INDEX(LMH_PTS,MATCH(AD586,LMH_KEY,0)),0)</f>
        <v>0</v>
      </c>
      <c r="BS586" s="38">
        <f>IFERROR(INDEX(LMH_PTS,MATCH(AE586,LMH_KEY,0)),0)</f>
        <v>0</v>
      </c>
      <c r="BT586" s="38">
        <f>IFERROR(INDEX(LMH_STEP,MATCH(AF586,LMH_KEY,0)),0)</f>
        <v>0</v>
      </c>
      <c r="BU586" s="38">
        <f>IFERROR(INDEX(LMH_STEP,MATCH(AG586,LMH_KEY,0)),0)</f>
        <v>0</v>
      </c>
      <c r="BV586" s="38">
        <f>IFERROR(INDEX(LMH_STEP,MATCH(AH586,LMH_KEY,0)),0)</f>
        <v>0</v>
      </c>
      <c r="BW586" s="38">
        <f>IFERROR(INDEX(LMH_STEP,MATCH(AI586,LMH_KEY,0)),0)</f>
        <v>0</v>
      </c>
      <c r="BX586" s="38">
        <f>IFERROR(INDEX(LMH_STEP,MATCH(AJ586,LMH_KEY,0)),0)</f>
        <v>0</v>
      </c>
      <c r="BY586" s="38">
        <f>IFERROR(INDEX(LMH_STEP,MATCH(AK586,LMH_KEY,0)),0)</f>
        <v>0</v>
      </c>
      <c r="BZ586" s="38">
        <f>IFERROR(INDEX(LMH_STEP,MATCH(AL586,LMH_KEY,0)),0)</f>
        <v>0</v>
      </c>
      <c r="CA586" s="38" t="inlineStr">
        <is>
          <t>Datatech|Technology|Associate Consultant – Software Development|X1|X</t>
        </is>
      </c>
    </row>
    <row r="587" ht="110" customHeight="1">
      <c r="A587" s="28" t="inlineStr">
        <is>
          <t>iFile</t>
        </is>
      </c>
      <c r="B587" s="29" t="inlineStr">
        <is>
          <t>Technology</t>
        </is>
      </c>
      <c r="C587" s="29" t="n">
        <v>0</v>
      </c>
      <c r="D587" s="29" t="inlineStr">
        <is>
          <t>No Emp ID · external consultant</t>
        </is>
      </c>
      <c r="E587" s="29" t="inlineStr">
        <is>
          <t>Shifa Salheen</t>
        </is>
      </c>
      <c r="F587" s="29" t="inlineStr">
        <is>
          <t>Consultant</t>
        </is>
      </c>
      <c r="G587" s="29" t="inlineStr">
        <is>
          <t>Associate Consultant – Software Development</t>
        </is>
      </c>
      <c r="H587" s="29" t="inlineStr">
        <is>
          <t>Engineering &amp; Development</t>
        </is>
      </c>
      <c r="I587" s="29" t="inlineStr">
        <is>
          <t>Backend Development</t>
        </is>
      </c>
      <c r="J587" s="29" t="inlineStr">
        <is>
          <t>Consultant</t>
        </is>
      </c>
      <c r="K587" s="29" t="inlineStr">
        <is>
          <t>RC-073</t>
        </is>
      </c>
      <c r="L587" s="29" t="inlineStr">
        <is>
          <t>Not provided · HRIS</t>
        </is>
      </c>
      <c r="M587" s="29" t="inlineStr">
        <is>
          <t>Not in this file</t>
        </is>
      </c>
      <c r="N587" s="29" t="inlineStr">
        <is>
          <t>Not provided · HRIS</t>
        </is>
      </c>
      <c r="O587" s="29" t="n">
        <v>2.4</v>
      </c>
      <c r="P587" s="29" t="inlineStr">
        <is>
          <t>Not provided · HRIS</t>
        </is>
      </c>
      <c r="Q587" s="29" t="inlineStr">
        <is>
          <t>—</t>
        </is>
      </c>
      <c r="R587" s="29" t="inlineStr">
        <is>
          <t>X1</t>
        </is>
      </c>
      <c r="S587" s="30" t="inlineStr">
        <is>
          <t>0 of 20</t>
        </is>
      </c>
      <c r="T587" s="32" t="inlineStr">
        <is>
          <t>No survey response on file</t>
        </is>
      </c>
      <c r="U587" s="32" t="inlineStr">
        <is>
          <t>KRAs not received · manager to supply</t>
        </is>
      </c>
      <c r="V587" s="31" t="inlineStr">
        <is>
          <t>Latest rating: Not rated · manager · Readiness: n/a · consultant</t>
        </is>
      </c>
      <c r="W587" s="31" t="inlineStr">
        <is>
          <t>Consultant · outside the ladder</t>
        </is>
      </c>
      <c r="X587" s="33" t="inlineStr">
        <is>
          <t>Open ▸</t>
        </is>
      </c>
      <c r="Y587" s="34" t="n"/>
      <c r="Z587" s="35" t="n"/>
      <c r="AA587" s="35" t="n"/>
      <c r="AB587" s="35" t="n"/>
      <c r="AC587" s="35" t="n"/>
      <c r="AD587" s="35" t="n"/>
      <c r="AE587" s="35" t="n"/>
      <c r="AF587" s="34" t="n"/>
      <c r="AG587" s="35" t="n"/>
      <c r="AH587" s="35" t="n"/>
      <c r="AI587" s="35" t="n"/>
      <c r="AJ587" s="35" t="n"/>
      <c r="AK587" s="35" t="n"/>
      <c r="AL587" s="35" t="n"/>
      <c r="AM587" s="36" t="n"/>
      <c r="AN587" s="37" t="n"/>
      <c r="AO587" s="37" t="n"/>
      <c r="AP587" s="37" t="n"/>
      <c r="AQ587" s="37" t="n"/>
      <c r="AR587" s="37" t="n"/>
      <c r="AS587" s="37" t="n"/>
      <c r="AT587" s="38" t="n"/>
      <c r="AU587" s="38" t="n"/>
      <c r="AV587" s="38" t="n"/>
      <c r="AW587" s="38" t="inlineStr">
        <is>
          <t>—</t>
        </is>
      </c>
      <c r="AX5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7" s="39" t="inlineStr">
        <is>
          <t>X1</t>
        </is>
      </c>
      <c r="AZ587" s="40" t="inlineStr">
        <is>
          <t xml:space="preserve">Band X · Consultant · </t>
        </is>
      </c>
      <c r="BA587" s="40" t="inlineStr">
        <is>
          <t>Model X1 from the six ratings, the market-derived weights and rules R1–R13 · then Consultant · outside the ladder</t>
        </is>
      </c>
      <c r="BB587" s="41" t="n"/>
      <c r="BC587" s="40" t="inlineStr">
        <is>
          <t>Consultant · outside the ladder</t>
        </is>
      </c>
      <c r="BD587" s="42">
        <f>IF(SUM(BM587,BN587,BO587,BP587,BQ587,BR587,BS587)=0,0,(BM587*BT587+BN587*BU587+BO587*BV587+BP587*BW587+BQ587*BX587+BR587*BY587+BS587*BZ587)/SUM(BM587,BN587,BO587,BP587,BQ587,BR587,BS587))</f>
        <v>0</v>
      </c>
      <c r="BE587" s="41" t="str">
        <f>IF(LEFT(AY587,1)="X",AY587,IF(OR(AY587="B+",AY587="C+"),INDEX(LAD_PC,MAX(1,MIN(14,MATCH(AY587,LAD_PC,0)+IF(BD587&gt;=0.5,1,IF(BD587&lt;=-0.5,-1,0))))),INDEX(LAD_STD,MAX(1,MIN(12,MATCH(AY587,LAD_STD,0)+IF(BD587&gt;=0.5,1,IF(BD587&lt;=-0.5,-1,0)))))))</f>
        <v>X1</v>
      </c>
      <c r="BF587" s="43" t="n"/>
      <c r="BG587" s="41" t="str">
        <f>IF(BF587&lt;&gt;"",BF587,BE587)</f>
        <v>X1</v>
      </c>
      <c r="BH587" s="40" t="str">
        <f>IFERROR(CHOOSE(INDEX(B_RANK,MATCH(BG587,B_LVL,0)),"Band A","Band B","B+ · Player-Coach","Band C","C+ · Player-Coach","Band D","Band E"),"Band X · Consultant")</f>
        <v>Band X · Consultant</v>
      </c>
      <c r="BI587" s="40" t="str">
        <f>IF(BG587=AY587,"• Same",IF(INDEX(B_VAL,MATCH(BG587,B_LVL,0))&gt;INDEX(B_VAL,MATCH(AY587,B_LVL,0)),"▲ Up","▼ Down"))</f>
        <v>• Same</v>
      </c>
      <c r="BJ587" s="40" t="str">
        <f>IF(OR($M587="",$M587="—",$M587="Not in this file"),"",IFERROR(INDEX($BG$7:$BG$592,MATCH($M587,$D$7:$D$592,0)),""))</f>
        <v/>
      </c>
      <c r="BK587" s="40" t="str">
        <f>IFERROR(IF(BJ587="","—",IF(OR(LEFT(BG587,1)="X",LEFT(BJ587,1)="X"),"—",IF(AND(LEFT(BG587,1)="E",LEFT(BJ587,1)="E"),"Exception · Band E",IF(AND(INDEX(B_VAL,MATCH(BJ587,B_LVL,0))&gt;=7,INDEX(B_RANK,MATCH(BG587,B_LVL,0))&gt;=INDEX(B_RANK,MATCH(BJ587,B_LVL,0))),"⚠ Same band as a head manager",IF(INDEX(B_VAL,MATCH(BG587,B_LVL,0))&gt;=INDEX(B_VAL,MATCH(BJ587,B_LVL,0)),"⚠ At or above the manager's level","OK"))))),"—")</f>
        <v>—</v>
      </c>
      <c r="BL587" s="43" t="n"/>
      <c r="BM587" s="44">
        <f>IFERROR(INDEX(LMH_PTS,MATCH(Y587,LMH_KEY,0)),0)</f>
        <v>0</v>
      </c>
      <c r="BN587" s="38">
        <f>IFERROR(INDEX(LMH_PTS,MATCH(Z587,LMH_KEY,0)),0)</f>
        <v>0</v>
      </c>
      <c r="BO587" s="38">
        <f>IFERROR(INDEX(LMH_PTS,MATCH(AA587,LMH_KEY,0)),0)</f>
        <v>0</v>
      </c>
      <c r="BP587" s="38">
        <f>IFERROR(INDEX(LMH_PTS,MATCH(AB587,LMH_KEY,0)),0)</f>
        <v>0</v>
      </c>
      <c r="BQ587" s="38">
        <f>IFERROR(INDEX(LMH_PTS,MATCH(AC587,LMH_KEY,0)),0)</f>
        <v>0</v>
      </c>
      <c r="BR587" s="38">
        <f>IFERROR(INDEX(LMH_PTS,MATCH(AD587,LMH_KEY,0)),0)</f>
        <v>0</v>
      </c>
      <c r="BS587" s="38">
        <f>IFERROR(INDEX(LMH_PTS,MATCH(AE587,LMH_KEY,0)),0)</f>
        <v>0</v>
      </c>
      <c r="BT587" s="38">
        <f>IFERROR(INDEX(LMH_STEP,MATCH(AF587,LMH_KEY,0)),0)</f>
        <v>0</v>
      </c>
      <c r="BU587" s="38">
        <f>IFERROR(INDEX(LMH_STEP,MATCH(AG587,LMH_KEY,0)),0)</f>
        <v>0</v>
      </c>
      <c r="BV587" s="38">
        <f>IFERROR(INDEX(LMH_STEP,MATCH(AH587,LMH_KEY,0)),0)</f>
        <v>0</v>
      </c>
      <c r="BW587" s="38">
        <f>IFERROR(INDEX(LMH_STEP,MATCH(AI587,LMH_KEY,0)),0)</f>
        <v>0</v>
      </c>
      <c r="BX587" s="38">
        <f>IFERROR(INDEX(LMH_STEP,MATCH(AJ587,LMH_KEY,0)),0)</f>
        <v>0</v>
      </c>
      <c r="BY587" s="38">
        <f>IFERROR(INDEX(LMH_STEP,MATCH(AK587,LMH_KEY,0)),0)</f>
        <v>0</v>
      </c>
      <c r="BZ587" s="38">
        <f>IFERROR(INDEX(LMH_STEP,MATCH(AL587,LMH_KEY,0)),0)</f>
        <v>0</v>
      </c>
      <c r="CA587" s="38" t="inlineStr">
        <is>
          <t>iFile|Technology|Associate Consultant – Software Development|X1|X</t>
        </is>
      </c>
    </row>
    <row r="588" ht="110" customHeight="1">
      <c r="A588" s="28" t="inlineStr">
        <is>
          <t>Datatech</t>
        </is>
      </c>
      <c r="B588" s="29" t="inlineStr">
        <is>
          <t>Not provided · HRIS</t>
        </is>
      </c>
      <c r="C588" s="29" t="n">
        <v>0</v>
      </c>
      <c r="D588" s="29" t="inlineStr">
        <is>
          <t>No Emp ID · external consultant</t>
        </is>
      </c>
      <c r="E588" s="29" t="inlineStr">
        <is>
          <t>Shweta Vijay</t>
        </is>
      </c>
      <c r="F588" s="29" t="inlineStr">
        <is>
          <t>Consultant</t>
        </is>
      </c>
      <c r="G588" s="29" t="inlineStr">
        <is>
          <t>Associate Consultant – Software Development</t>
        </is>
      </c>
      <c r="H588" s="29" t="inlineStr">
        <is>
          <t>Unassigned</t>
        </is>
      </c>
      <c r="I588" s="29" t="inlineStr">
        <is>
          <t>Role not recorded · external consultant</t>
        </is>
      </c>
      <c r="J588" s="29" t="inlineStr">
        <is>
          <t>Consultant</t>
        </is>
      </c>
      <c r="K588" s="29" t="inlineStr">
        <is>
          <t>RC-175</t>
        </is>
      </c>
      <c r="L588" s="29" t="inlineStr">
        <is>
          <t>Not provided · HRIS</t>
        </is>
      </c>
      <c r="M588" s="29" t="inlineStr">
        <is>
          <t>Not in this file</t>
        </is>
      </c>
      <c r="N588" s="29" t="inlineStr">
        <is>
          <t>Not provided · HRIS</t>
        </is>
      </c>
      <c r="O588" s="29" t="n">
        <v>0.1</v>
      </c>
      <c r="P588" s="29" t="inlineStr">
        <is>
          <t>Not provided · HRIS</t>
        </is>
      </c>
      <c r="Q588" s="29" t="inlineStr">
        <is>
          <t>—</t>
        </is>
      </c>
      <c r="R588" s="29" t="inlineStr">
        <is>
          <t>X1</t>
        </is>
      </c>
      <c r="S588" s="30" t="inlineStr">
        <is>
          <t>0 of 20</t>
        </is>
      </c>
      <c r="T588" s="32" t="inlineStr">
        <is>
          <t>No survey response on file</t>
        </is>
      </c>
      <c r="U588" s="32" t="inlineStr">
        <is>
          <t>KRAs not received · manager to supply</t>
        </is>
      </c>
      <c r="V588" s="31" t="inlineStr">
        <is>
          <t>Latest rating: Not rated · manager · Readiness: n/a · consultant</t>
        </is>
      </c>
      <c r="W588" s="31" t="inlineStr">
        <is>
          <t>Consultant · outside the ladder</t>
        </is>
      </c>
      <c r="X588" s="33" t="inlineStr">
        <is>
          <t>Open ▸</t>
        </is>
      </c>
      <c r="Y588" s="34" t="n"/>
      <c r="Z588" s="35" t="n"/>
      <c r="AA588" s="35" t="n"/>
      <c r="AB588" s="35" t="n"/>
      <c r="AC588" s="35" t="n"/>
      <c r="AD588" s="35" t="n"/>
      <c r="AE588" s="35" t="n"/>
      <c r="AF588" s="34" t="n"/>
      <c r="AG588" s="35" t="n"/>
      <c r="AH588" s="35" t="n"/>
      <c r="AI588" s="35" t="n"/>
      <c r="AJ588" s="35" t="n"/>
      <c r="AK588" s="35" t="n"/>
      <c r="AL588" s="35" t="n"/>
      <c r="AM588" s="36" t="n"/>
      <c r="AN588" s="37" t="n"/>
      <c r="AO588" s="37" t="n"/>
      <c r="AP588" s="37" t="n"/>
      <c r="AQ588" s="37" t="n"/>
      <c r="AR588" s="37" t="n"/>
      <c r="AS588" s="37" t="n"/>
      <c r="AT588" s="38" t="n"/>
      <c r="AU588" s="38" t="n"/>
      <c r="AV588" s="38" t="n"/>
      <c r="AW588" s="38" t="inlineStr">
        <is>
          <t>—</t>
        </is>
      </c>
      <c r="AX5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8" s="39" t="inlineStr">
        <is>
          <t>X1</t>
        </is>
      </c>
      <c r="AZ588" s="40" t="inlineStr">
        <is>
          <t xml:space="preserve">Band X · Consultant · </t>
        </is>
      </c>
      <c r="BA588" s="40" t="inlineStr">
        <is>
          <t>Model X1 from the six ratings, the market-derived weights and rules R1–R13 · then Consultant · outside the ladder</t>
        </is>
      </c>
      <c r="BB588" s="41" t="n"/>
      <c r="BC588" s="40" t="inlineStr">
        <is>
          <t>Consultant · outside the ladder</t>
        </is>
      </c>
      <c r="BD588" s="42">
        <f>IF(SUM(BM588,BN588,BO588,BP588,BQ588,BR588,BS588)=0,0,(BM588*BT588+BN588*BU588+BO588*BV588+BP588*BW588+BQ588*BX588+BR588*BY588+BS588*BZ588)/SUM(BM588,BN588,BO588,BP588,BQ588,BR588,BS588))</f>
        <v>0</v>
      </c>
      <c r="BE588" s="41" t="str">
        <f>IF(LEFT(AY588,1)="X",AY588,IF(OR(AY588="B+",AY588="C+"),INDEX(LAD_PC,MAX(1,MIN(14,MATCH(AY588,LAD_PC,0)+IF(BD588&gt;=0.5,1,IF(BD588&lt;=-0.5,-1,0))))),INDEX(LAD_STD,MAX(1,MIN(12,MATCH(AY588,LAD_STD,0)+IF(BD588&gt;=0.5,1,IF(BD588&lt;=-0.5,-1,0)))))))</f>
        <v>X1</v>
      </c>
      <c r="BF588" s="43" t="n"/>
      <c r="BG588" s="41" t="str">
        <f>IF(BF588&lt;&gt;"",BF588,BE588)</f>
        <v>X1</v>
      </c>
      <c r="BH588" s="40" t="str">
        <f>IFERROR(CHOOSE(INDEX(B_RANK,MATCH(BG588,B_LVL,0)),"Band A","Band B","B+ · Player-Coach","Band C","C+ · Player-Coach","Band D","Band E"),"Band X · Consultant")</f>
        <v>Band X · Consultant</v>
      </c>
      <c r="BI588" s="40" t="str">
        <f>IF(BG588=AY588,"• Same",IF(INDEX(B_VAL,MATCH(BG588,B_LVL,0))&gt;INDEX(B_VAL,MATCH(AY588,B_LVL,0)),"▲ Up","▼ Down"))</f>
        <v>• Same</v>
      </c>
      <c r="BJ588" s="40" t="str">
        <f>IF(OR($M588="",$M588="—",$M588="Not in this file"),"",IFERROR(INDEX($BG$7:$BG$592,MATCH($M588,$D$7:$D$592,0)),""))</f>
        <v/>
      </c>
      <c r="BK588" s="40" t="str">
        <f>IFERROR(IF(BJ588="","—",IF(OR(LEFT(BG588,1)="X",LEFT(BJ588,1)="X"),"—",IF(AND(LEFT(BG588,1)="E",LEFT(BJ588,1)="E"),"Exception · Band E",IF(AND(INDEX(B_VAL,MATCH(BJ588,B_LVL,0))&gt;=7,INDEX(B_RANK,MATCH(BG588,B_LVL,0))&gt;=INDEX(B_RANK,MATCH(BJ588,B_LVL,0))),"⚠ Same band as a head manager",IF(INDEX(B_VAL,MATCH(BG588,B_LVL,0))&gt;=INDEX(B_VAL,MATCH(BJ588,B_LVL,0)),"⚠ At or above the manager's level","OK"))))),"—")</f>
        <v>—</v>
      </c>
      <c r="BL588" s="43" t="n"/>
      <c r="BM588" s="44">
        <f>IFERROR(INDEX(LMH_PTS,MATCH(Y588,LMH_KEY,0)),0)</f>
        <v>0</v>
      </c>
      <c r="BN588" s="38">
        <f>IFERROR(INDEX(LMH_PTS,MATCH(Z588,LMH_KEY,0)),0)</f>
        <v>0</v>
      </c>
      <c r="BO588" s="38">
        <f>IFERROR(INDEX(LMH_PTS,MATCH(AA588,LMH_KEY,0)),0)</f>
        <v>0</v>
      </c>
      <c r="BP588" s="38">
        <f>IFERROR(INDEX(LMH_PTS,MATCH(AB588,LMH_KEY,0)),0)</f>
        <v>0</v>
      </c>
      <c r="BQ588" s="38">
        <f>IFERROR(INDEX(LMH_PTS,MATCH(AC588,LMH_KEY,0)),0)</f>
        <v>0</v>
      </c>
      <c r="BR588" s="38">
        <f>IFERROR(INDEX(LMH_PTS,MATCH(AD588,LMH_KEY,0)),0)</f>
        <v>0</v>
      </c>
      <c r="BS588" s="38">
        <f>IFERROR(INDEX(LMH_PTS,MATCH(AE588,LMH_KEY,0)),0)</f>
        <v>0</v>
      </c>
      <c r="BT588" s="38">
        <f>IFERROR(INDEX(LMH_STEP,MATCH(AF588,LMH_KEY,0)),0)</f>
        <v>0</v>
      </c>
      <c r="BU588" s="38">
        <f>IFERROR(INDEX(LMH_STEP,MATCH(AG588,LMH_KEY,0)),0)</f>
        <v>0</v>
      </c>
      <c r="BV588" s="38">
        <f>IFERROR(INDEX(LMH_STEP,MATCH(AH588,LMH_KEY,0)),0)</f>
        <v>0</v>
      </c>
      <c r="BW588" s="38">
        <f>IFERROR(INDEX(LMH_STEP,MATCH(AI588,LMH_KEY,0)),0)</f>
        <v>0</v>
      </c>
      <c r="BX588" s="38">
        <f>IFERROR(INDEX(LMH_STEP,MATCH(AJ588,LMH_KEY,0)),0)</f>
        <v>0</v>
      </c>
      <c r="BY588" s="38">
        <f>IFERROR(INDEX(LMH_STEP,MATCH(AK588,LMH_KEY,0)),0)</f>
        <v>0</v>
      </c>
      <c r="BZ588" s="38">
        <f>IFERROR(INDEX(LMH_STEP,MATCH(AL588,LMH_KEY,0)),0)</f>
        <v>0</v>
      </c>
      <c r="CA588" s="38" t="inlineStr">
        <is>
          <t>Datatech|Not provided · HRIS|Associate Consultant – Software Development|X1|X</t>
        </is>
      </c>
    </row>
    <row r="589" ht="110" customHeight="1">
      <c r="A589" s="28" t="inlineStr">
        <is>
          <t>iFile</t>
        </is>
      </c>
      <c r="B589" s="29" t="inlineStr">
        <is>
          <t>Technology</t>
        </is>
      </c>
      <c r="C589" s="29" t="n">
        <v>0</v>
      </c>
      <c r="D589" s="29" t="inlineStr">
        <is>
          <t>No Emp ID · external consultant</t>
        </is>
      </c>
      <c r="E589" s="29" t="inlineStr">
        <is>
          <t>Snnehasis Debyans</t>
        </is>
      </c>
      <c r="F589" s="29" t="inlineStr">
        <is>
          <t>Consultant</t>
        </is>
      </c>
      <c r="G589" s="29" t="inlineStr">
        <is>
          <t>Associate Consultant – Software Development</t>
        </is>
      </c>
      <c r="H589" s="29" t="inlineStr">
        <is>
          <t>Engineering &amp; Development</t>
        </is>
      </c>
      <c r="I589" s="29" t="inlineStr">
        <is>
          <t>Backend Development</t>
        </is>
      </c>
      <c r="J589" s="29" t="inlineStr">
        <is>
          <t>Consultant</t>
        </is>
      </c>
      <c r="K589" s="29" t="inlineStr">
        <is>
          <t>RC-073</t>
        </is>
      </c>
      <c r="L589" s="29" t="inlineStr">
        <is>
          <t>Not provided · HRIS</t>
        </is>
      </c>
      <c r="M589" s="29" t="inlineStr">
        <is>
          <t>Not in this file</t>
        </is>
      </c>
      <c r="N589" s="29" t="inlineStr">
        <is>
          <t>Not provided · HRIS</t>
        </is>
      </c>
      <c r="O589" s="29" t="n">
        <v>0.5</v>
      </c>
      <c r="P589" s="29" t="inlineStr">
        <is>
          <t>Not provided · HRIS</t>
        </is>
      </c>
      <c r="Q589" s="29" t="inlineStr">
        <is>
          <t>—</t>
        </is>
      </c>
      <c r="R589" s="29" t="inlineStr">
        <is>
          <t>X1</t>
        </is>
      </c>
      <c r="S589" s="30" t="inlineStr">
        <is>
          <t>0 of 20</t>
        </is>
      </c>
      <c r="T589" s="32" t="inlineStr">
        <is>
          <t>No survey response on file</t>
        </is>
      </c>
      <c r="U589" s="32" t="inlineStr">
        <is>
          <t>KRAs not received · manager to supply</t>
        </is>
      </c>
      <c r="V589" s="31" t="inlineStr">
        <is>
          <t>Latest rating: Not rated · manager · Readiness: n/a · consultant</t>
        </is>
      </c>
      <c r="W589" s="31" t="inlineStr">
        <is>
          <t>Consultant · outside the ladder</t>
        </is>
      </c>
      <c r="X589" s="33" t="inlineStr">
        <is>
          <t>Open ▸</t>
        </is>
      </c>
      <c r="Y589" s="34" t="n"/>
      <c r="Z589" s="35" t="n"/>
      <c r="AA589" s="35" t="n"/>
      <c r="AB589" s="35" t="n"/>
      <c r="AC589" s="35" t="n"/>
      <c r="AD589" s="35" t="n"/>
      <c r="AE589" s="35" t="n"/>
      <c r="AF589" s="34" t="n"/>
      <c r="AG589" s="35" t="n"/>
      <c r="AH589" s="35" t="n"/>
      <c r="AI589" s="35" t="n"/>
      <c r="AJ589" s="35" t="n"/>
      <c r="AK589" s="35" t="n"/>
      <c r="AL589" s="35" t="n"/>
      <c r="AM589" s="36" t="n"/>
      <c r="AN589" s="37" t="n"/>
      <c r="AO589" s="37" t="n"/>
      <c r="AP589" s="37" t="n"/>
      <c r="AQ589" s="37" t="n"/>
      <c r="AR589" s="37" t="n"/>
      <c r="AS589" s="37" t="n"/>
      <c r="AT589" s="38" t="n"/>
      <c r="AU589" s="38" t="n"/>
      <c r="AV589" s="38" t="n"/>
      <c r="AW589" s="38" t="inlineStr">
        <is>
          <t>—</t>
        </is>
      </c>
      <c r="AX5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9" s="39" t="inlineStr">
        <is>
          <t>X1</t>
        </is>
      </c>
      <c r="AZ589" s="40" t="inlineStr">
        <is>
          <t xml:space="preserve">Band X · Consultant · </t>
        </is>
      </c>
      <c r="BA589" s="40" t="inlineStr">
        <is>
          <t>Model X1 from the six ratings, the market-derived weights and rules R1–R13 · then Consultant · outside the ladder</t>
        </is>
      </c>
      <c r="BB589" s="41" t="n"/>
      <c r="BC589" s="40" t="inlineStr">
        <is>
          <t>Consultant · outside the ladder</t>
        </is>
      </c>
      <c r="BD589" s="42">
        <f>IF(SUM(BM589,BN589,BO589,BP589,BQ589,BR589,BS589)=0,0,(BM589*BT589+BN589*BU589+BO589*BV589+BP589*BW589+BQ589*BX589+BR589*BY589+BS589*BZ589)/SUM(BM589,BN589,BO589,BP589,BQ589,BR589,BS589))</f>
        <v>0</v>
      </c>
      <c r="BE589" s="41" t="str">
        <f>IF(LEFT(AY589,1)="X",AY589,IF(OR(AY589="B+",AY589="C+"),INDEX(LAD_PC,MAX(1,MIN(14,MATCH(AY589,LAD_PC,0)+IF(BD589&gt;=0.5,1,IF(BD589&lt;=-0.5,-1,0))))),INDEX(LAD_STD,MAX(1,MIN(12,MATCH(AY589,LAD_STD,0)+IF(BD589&gt;=0.5,1,IF(BD589&lt;=-0.5,-1,0)))))))</f>
        <v>X1</v>
      </c>
      <c r="BF589" s="43" t="n"/>
      <c r="BG589" s="41" t="str">
        <f>IF(BF589&lt;&gt;"",BF589,BE589)</f>
        <v>X1</v>
      </c>
      <c r="BH589" s="40" t="str">
        <f>IFERROR(CHOOSE(INDEX(B_RANK,MATCH(BG589,B_LVL,0)),"Band A","Band B","B+ · Player-Coach","Band C","C+ · Player-Coach","Band D","Band E"),"Band X · Consultant")</f>
        <v>Band X · Consultant</v>
      </c>
      <c r="BI589" s="40" t="str">
        <f>IF(BG589=AY589,"• Same",IF(INDEX(B_VAL,MATCH(BG589,B_LVL,0))&gt;INDEX(B_VAL,MATCH(AY589,B_LVL,0)),"▲ Up","▼ Down"))</f>
        <v>• Same</v>
      </c>
      <c r="BJ589" s="40" t="str">
        <f>IF(OR($M589="",$M589="—",$M589="Not in this file"),"",IFERROR(INDEX($BG$7:$BG$592,MATCH($M589,$D$7:$D$592,0)),""))</f>
        <v/>
      </c>
      <c r="BK589" s="40" t="str">
        <f>IFERROR(IF(BJ589="","—",IF(OR(LEFT(BG589,1)="X",LEFT(BJ589,1)="X"),"—",IF(AND(LEFT(BG589,1)="E",LEFT(BJ589,1)="E"),"Exception · Band E",IF(AND(INDEX(B_VAL,MATCH(BJ589,B_LVL,0))&gt;=7,INDEX(B_RANK,MATCH(BG589,B_LVL,0))&gt;=INDEX(B_RANK,MATCH(BJ589,B_LVL,0))),"⚠ Same band as a head manager",IF(INDEX(B_VAL,MATCH(BG589,B_LVL,0))&gt;=INDEX(B_VAL,MATCH(BJ589,B_LVL,0)),"⚠ At or above the manager's level","OK"))))),"—")</f>
        <v>—</v>
      </c>
      <c r="BL589" s="43" t="n"/>
      <c r="BM589" s="44">
        <f>IFERROR(INDEX(LMH_PTS,MATCH(Y589,LMH_KEY,0)),0)</f>
        <v>0</v>
      </c>
      <c r="BN589" s="38">
        <f>IFERROR(INDEX(LMH_PTS,MATCH(Z589,LMH_KEY,0)),0)</f>
        <v>0</v>
      </c>
      <c r="BO589" s="38">
        <f>IFERROR(INDEX(LMH_PTS,MATCH(AA589,LMH_KEY,0)),0)</f>
        <v>0</v>
      </c>
      <c r="BP589" s="38">
        <f>IFERROR(INDEX(LMH_PTS,MATCH(AB589,LMH_KEY,0)),0)</f>
        <v>0</v>
      </c>
      <c r="BQ589" s="38">
        <f>IFERROR(INDEX(LMH_PTS,MATCH(AC589,LMH_KEY,0)),0)</f>
        <v>0</v>
      </c>
      <c r="BR589" s="38">
        <f>IFERROR(INDEX(LMH_PTS,MATCH(AD589,LMH_KEY,0)),0)</f>
        <v>0</v>
      </c>
      <c r="BS589" s="38">
        <f>IFERROR(INDEX(LMH_PTS,MATCH(AE589,LMH_KEY,0)),0)</f>
        <v>0</v>
      </c>
      <c r="BT589" s="38">
        <f>IFERROR(INDEX(LMH_STEP,MATCH(AF589,LMH_KEY,0)),0)</f>
        <v>0</v>
      </c>
      <c r="BU589" s="38">
        <f>IFERROR(INDEX(LMH_STEP,MATCH(AG589,LMH_KEY,0)),0)</f>
        <v>0</v>
      </c>
      <c r="BV589" s="38">
        <f>IFERROR(INDEX(LMH_STEP,MATCH(AH589,LMH_KEY,0)),0)</f>
        <v>0</v>
      </c>
      <c r="BW589" s="38">
        <f>IFERROR(INDEX(LMH_STEP,MATCH(AI589,LMH_KEY,0)),0)</f>
        <v>0</v>
      </c>
      <c r="BX589" s="38">
        <f>IFERROR(INDEX(LMH_STEP,MATCH(AJ589,LMH_KEY,0)),0)</f>
        <v>0</v>
      </c>
      <c r="BY589" s="38">
        <f>IFERROR(INDEX(LMH_STEP,MATCH(AK589,LMH_KEY,0)),0)</f>
        <v>0</v>
      </c>
      <c r="BZ589" s="38">
        <f>IFERROR(INDEX(LMH_STEP,MATCH(AL589,LMH_KEY,0)),0)</f>
        <v>0</v>
      </c>
      <c r="CA589" s="38" t="inlineStr">
        <is>
          <t>iFile|Technology|Associate Consultant – Software Development|X1|X</t>
        </is>
      </c>
    </row>
    <row r="590" ht="110" customHeight="1">
      <c r="A590" s="28" t="inlineStr">
        <is>
          <t>Datatech</t>
        </is>
      </c>
      <c r="B590" s="29" t="inlineStr">
        <is>
          <t>Technology</t>
        </is>
      </c>
      <c r="C590" s="29" t="n">
        <v>0</v>
      </c>
      <c r="D590" s="29" t="inlineStr">
        <is>
          <t>No Emp ID · external consultant</t>
        </is>
      </c>
      <c r="E590" s="29" t="inlineStr">
        <is>
          <t>Sohel Yadav</t>
        </is>
      </c>
      <c r="F590" s="29" t="inlineStr">
        <is>
          <t>Consultant</t>
        </is>
      </c>
      <c r="G590" s="29" t="inlineStr">
        <is>
          <t>Associate Consultant – Software Development</t>
        </is>
      </c>
      <c r="H590" s="29" t="inlineStr">
        <is>
          <t>Engineering &amp; Development</t>
        </is>
      </c>
      <c r="I590" s="29" t="inlineStr">
        <is>
          <t>Backend Development</t>
        </is>
      </c>
      <c r="J590" s="29" t="inlineStr">
        <is>
          <t>Consultant</t>
        </is>
      </c>
      <c r="K590" s="29" t="inlineStr">
        <is>
          <t>RC-073</t>
        </is>
      </c>
      <c r="L590" s="29" t="inlineStr">
        <is>
          <t>Not provided · HRIS</t>
        </is>
      </c>
      <c r="M590" s="29" t="inlineStr">
        <is>
          <t>Not in this file</t>
        </is>
      </c>
      <c r="N590" s="29" t="inlineStr">
        <is>
          <t>Not provided · HRIS</t>
        </is>
      </c>
      <c r="O590" s="29" t="n">
        <v>0.3</v>
      </c>
      <c r="P590" s="29" t="inlineStr">
        <is>
          <t>Not provided · HRIS</t>
        </is>
      </c>
      <c r="Q590" s="29" t="inlineStr">
        <is>
          <t>—</t>
        </is>
      </c>
      <c r="R590" s="29" t="inlineStr">
        <is>
          <t>X1</t>
        </is>
      </c>
      <c r="S590" s="30" t="inlineStr">
        <is>
          <t>0 of 20</t>
        </is>
      </c>
      <c r="T590" s="32" t="inlineStr">
        <is>
          <t>No survey response on file</t>
        </is>
      </c>
      <c r="U590" s="32" t="inlineStr">
        <is>
          <t>KRAs not received · manager to supply</t>
        </is>
      </c>
      <c r="V590" s="31" t="inlineStr">
        <is>
          <t>Latest rating: Not rated · manager · Readiness: n/a · consultant</t>
        </is>
      </c>
      <c r="W590" s="31" t="inlineStr">
        <is>
          <t>Consultant · outside the ladder</t>
        </is>
      </c>
      <c r="X590" s="33" t="inlineStr">
        <is>
          <t>Open ▸</t>
        </is>
      </c>
      <c r="Y590" s="34" t="n"/>
      <c r="Z590" s="35" t="n"/>
      <c r="AA590" s="35" t="n"/>
      <c r="AB590" s="35" t="n"/>
      <c r="AC590" s="35" t="n"/>
      <c r="AD590" s="35" t="n"/>
      <c r="AE590" s="35" t="n"/>
      <c r="AF590" s="34" t="n"/>
      <c r="AG590" s="35" t="n"/>
      <c r="AH590" s="35" t="n"/>
      <c r="AI590" s="35" t="n"/>
      <c r="AJ590" s="35" t="n"/>
      <c r="AK590" s="35" t="n"/>
      <c r="AL590" s="35" t="n"/>
      <c r="AM590" s="36" t="n"/>
      <c r="AN590" s="37" t="n"/>
      <c r="AO590" s="37" t="n"/>
      <c r="AP590" s="37" t="n"/>
      <c r="AQ590" s="37" t="n"/>
      <c r="AR590" s="37" t="n"/>
      <c r="AS590" s="37" t="n"/>
      <c r="AT590" s="38" t="n"/>
      <c r="AU590" s="38" t="n"/>
      <c r="AV590" s="38" t="n"/>
      <c r="AW590" s="38" t="inlineStr">
        <is>
          <t>—</t>
        </is>
      </c>
      <c r="AX5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0" s="39" t="inlineStr">
        <is>
          <t>X1</t>
        </is>
      </c>
      <c r="AZ590" s="40" t="inlineStr">
        <is>
          <t xml:space="preserve">Band X · Consultant · </t>
        </is>
      </c>
      <c r="BA590" s="40" t="inlineStr">
        <is>
          <t>Model X1 from the six ratings, the market-derived weights and rules R1–R13 · then Consultant · outside the ladder</t>
        </is>
      </c>
      <c r="BB590" s="41" t="n"/>
      <c r="BC590" s="40" t="inlineStr">
        <is>
          <t>Consultant · outside the ladder</t>
        </is>
      </c>
      <c r="BD590" s="42">
        <f>IF(SUM(BM590,BN590,BO590,BP590,BQ590,BR590,BS590)=0,0,(BM590*BT590+BN590*BU590+BO590*BV590+BP590*BW590+BQ590*BX590+BR590*BY590+BS590*BZ590)/SUM(BM590,BN590,BO590,BP590,BQ590,BR590,BS590))</f>
        <v>0</v>
      </c>
      <c r="BE590" s="41" t="str">
        <f>IF(LEFT(AY590,1)="X",AY590,IF(OR(AY590="B+",AY590="C+"),INDEX(LAD_PC,MAX(1,MIN(14,MATCH(AY590,LAD_PC,0)+IF(BD590&gt;=0.5,1,IF(BD590&lt;=-0.5,-1,0))))),INDEX(LAD_STD,MAX(1,MIN(12,MATCH(AY590,LAD_STD,0)+IF(BD590&gt;=0.5,1,IF(BD590&lt;=-0.5,-1,0)))))))</f>
        <v>X1</v>
      </c>
      <c r="BF590" s="43" t="n"/>
      <c r="BG590" s="41" t="str">
        <f>IF(BF590&lt;&gt;"",BF590,BE590)</f>
        <v>X1</v>
      </c>
      <c r="BH590" s="40" t="str">
        <f>IFERROR(CHOOSE(INDEX(B_RANK,MATCH(BG590,B_LVL,0)),"Band A","Band B","B+ · Player-Coach","Band C","C+ · Player-Coach","Band D","Band E"),"Band X · Consultant")</f>
        <v>Band X · Consultant</v>
      </c>
      <c r="BI590" s="40" t="str">
        <f>IF(BG590=AY590,"• Same",IF(INDEX(B_VAL,MATCH(BG590,B_LVL,0))&gt;INDEX(B_VAL,MATCH(AY590,B_LVL,0)),"▲ Up","▼ Down"))</f>
        <v>• Same</v>
      </c>
      <c r="BJ590" s="40" t="str">
        <f>IF(OR($M590="",$M590="—",$M590="Not in this file"),"",IFERROR(INDEX($BG$7:$BG$592,MATCH($M590,$D$7:$D$592,0)),""))</f>
        <v/>
      </c>
      <c r="BK590" s="40" t="str">
        <f>IFERROR(IF(BJ590="","—",IF(OR(LEFT(BG590,1)="X",LEFT(BJ590,1)="X"),"—",IF(AND(LEFT(BG590,1)="E",LEFT(BJ590,1)="E"),"Exception · Band E",IF(AND(INDEX(B_VAL,MATCH(BJ590,B_LVL,0))&gt;=7,INDEX(B_RANK,MATCH(BG590,B_LVL,0))&gt;=INDEX(B_RANK,MATCH(BJ590,B_LVL,0))),"⚠ Same band as a head manager",IF(INDEX(B_VAL,MATCH(BG590,B_LVL,0))&gt;=INDEX(B_VAL,MATCH(BJ590,B_LVL,0)),"⚠ At or above the manager's level","OK"))))),"—")</f>
        <v>—</v>
      </c>
      <c r="BL590" s="43" t="n"/>
      <c r="BM590" s="44">
        <f>IFERROR(INDEX(LMH_PTS,MATCH(Y590,LMH_KEY,0)),0)</f>
        <v>0</v>
      </c>
      <c r="BN590" s="38">
        <f>IFERROR(INDEX(LMH_PTS,MATCH(Z590,LMH_KEY,0)),0)</f>
        <v>0</v>
      </c>
      <c r="BO590" s="38">
        <f>IFERROR(INDEX(LMH_PTS,MATCH(AA590,LMH_KEY,0)),0)</f>
        <v>0</v>
      </c>
      <c r="BP590" s="38">
        <f>IFERROR(INDEX(LMH_PTS,MATCH(AB590,LMH_KEY,0)),0)</f>
        <v>0</v>
      </c>
      <c r="BQ590" s="38">
        <f>IFERROR(INDEX(LMH_PTS,MATCH(AC590,LMH_KEY,0)),0)</f>
        <v>0</v>
      </c>
      <c r="BR590" s="38">
        <f>IFERROR(INDEX(LMH_PTS,MATCH(AD590,LMH_KEY,0)),0)</f>
        <v>0</v>
      </c>
      <c r="BS590" s="38">
        <f>IFERROR(INDEX(LMH_PTS,MATCH(AE590,LMH_KEY,0)),0)</f>
        <v>0</v>
      </c>
      <c r="BT590" s="38">
        <f>IFERROR(INDEX(LMH_STEP,MATCH(AF590,LMH_KEY,0)),0)</f>
        <v>0</v>
      </c>
      <c r="BU590" s="38">
        <f>IFERROR(INDEX(LMH_STEP,MATCH(AG590,LMH_KEY,0)),0)</f>
        <v>0</v>
      </c>
      <c r="BV590" s="38">
        <f>IFERROR(INDEX(LMH_STEP,MATCH(AH590,LMH_KEY,0)),0)</f>
        <v>0</v>
      </c>
      <c r="BW590" s="38">
        <f>IFERROR(INDEX(LMH_STEP,MATCH(AI590,LMH_KEY,0)),0)</f>
        <v>0</v>
      </c>
      <c r="BX590" s="38">
        <f>IFERROR(INDEX(LMH_STEP,MATCH(AJ590,LMH_KEY,0)),0)</f>
        <v>0</v>
      </c>
      <c r="BY590" s="38">
        <f>IFERROR(INDEX(LMH_STEP,MATCH(AK590,LMH_KEY,0)),0)</f>
        <v>0</v>
      </c>
      <c r="BZ590" s="38">
        <f>IFERROR(INDEX(LMH_STEP,MATCH(AL590,LMH_KEY,0)),0)</f>
        <v>0</v>
      </c>
      <c r="CA590" s="38" t="inlineStr">
        <is>
          <t>Datatech|Technology|Associate Consultant – Software Development|X1|X</t>
        </is>
      </c>
    </row>
    <row r="591" ht="110" customHeight="1">
      <c r="A591" s="28" t="inlineStr">
        <is>
          <t>Datatech</t>
        </is>
      </c>
      <c r="B591" s="29" t="inlineStr">
        <is>
          <t>Technology</t>
        </is>
      </c>
      <c r="C591" s="29" t="n">
        <v>0</v>
      </c>
      <c r="D591" s="29" t="inlineStr">
        <is>
          <t>No Emp ID · in-house consultant</t>
        </is>
      </c>
      <c r="E591" s="29" t="inlineStr">
        <is>
          <t>Vivek Kumar</t>
        </is>
      </c>
      <c r="F591" s="29" t="inlineStr">
        <is>
          <t>Consultant</t>
        </is>
      </c>
      <c r="G591" s="29" t="inlineStr">
        <is>
          <t>Associate Consultant – Software Development</t>
        </is>
      </c>
      <c r="H591" s="29" t="inlineStr">
        <is>
          <t>Engineering &amp; Development</t>
        </is>
      </c>
      <c r="I591" s="29" t="inlineStr">
        <is>
          <t>Backend Development</t>
        </is>
      </c>
      <c r="J591" s="29" t="inlineStr">
        <is>
          <t>Consultant</t>
        </is>
      </c>
      <c r="K591" s="29" t="inlineStr">
        <is>
          <t>RC-073</t>
        </is>
      </c>
      <c r="L591" s="29" t="inlineStr">
        <is>
          <t>Not provided · HRIS</t>
        </is>
      </c>
      <c r="M591" s="29" t="inlineStr">
        <is>
          <t>Not in this file</t>
        </is>
      </c>
      <c r="N591" s="29" t="inlineStr">
        <is>
          <t>Not provided · HRIS</t>
        </is>
      </c>
      <c r="O591" s="29" t="n">
        <v>0.3</v>
      </c>
      <c r="P591" s="29" t="inlineStr">
        <is>
          <t>Not provided · HRIS</t>
        </is>
      </c>
      <c r="Q591" s="29" t="inlineStr">
        <is>
          <t>Not in current mapping files</t>
        </is>
      </c>
      <c r="R591" s="29" t="inlineStr">
        <is>
          <t>X1</t>
        </is>
      </c>
      <c r="S591" s="30" t="inlineStr">
        <is>
          <t>0 of 20</t>
        </is>
      </c>
      <c r="T591" s="32" t="inlineStr">
        <is>
          <t>No survey response on file</t>
        </is>
      </c>
      <c r="U591" s="32" t="inlineStr">
        <is>
          <t>KRAs not received · manager to supply</t>
        </is>
      </c>
      <c r="V591" s="31" t="inlineStr">
        <is>
          <t>Latest rating: Not rated · manager · Readiness: n/a · consultant</t>
        </is>
      </c>
      <c r="W591" s="31" t="inlineStr">
        <is>
          <t>Consultant · outside the ladder</t>
        </is>
      </c>
      <c r="X591" s="33" t="inlineStr">
        <is>
          <t>Open ▸</t>
        </is>
      </c>
      <c r="Y591" s="34" t="n"/>
      <c r="Z591" s="35" t="n"/>
      <c r="AA591" s="35" t="n"/>
      <c r="AB591" s="35" t="n"/>
      <c r="AC591" s="35" t="n"/>
      <c r="AD591" s="35" t="n"/>
      <c r="AE591" s="35" t="n"/>
      <c r="AF591" s="34" t="n"/>
      <c r="AG591" s="35" t="n"/>
      <c r="AH591" s="35" t="n"/>
      <c r="AI591" s="35" t="n"/>
      <c r="AJ591" s="35" t="n"/>
      <c r="AK591" s="35" t="n"/>
      <c r="AL591" s="35" t="n"/>
      <c r="AM591" s="36" t="n"/>
      <c r="AN591" s="37" t="n"/>
      <c r="AO591" s="37" t="n"/>
      <c r="AP591" s="37" t="n"/>
      <c r="AQ591" s="37" t="n"/>
      <c r="AR591" s="37" t="n"/>
      <c r="AS591" s="37" t="n"/>
      <c r="AT591" s="38" t="n"/>
      <c r="AU591" s="38" t="n"/>
      <c r="AV591" s="38" t="n"/>
      <c r="AW591" s="38" t="inlineStr">
        <is>
          <t>—</t>
        </is>
      </c>
      <c r="AX5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1" s="39" t="inlineStr">
        <is>
          <t>X1</t>
        </is>
      </c>
      <c r="AZ591" s="40" t="inlineStr">
        <is>
          <t xml:space="preserve">Band X · Consultant · </t>
        </is>
      </c>
      <c r="BA591" s="40" t="inlineStr">
        <is>
          <t>Model X1 from the six ratings, the market-derived weights and rules R1–R13 · then Consultant · outside the ladder</t>
        </is>
      </c>
      <c r="BB591" s="41" t="n"/>
      <c r="BC591" s="40" t="inlineStr">
        <is>
          <t>Consultant · outside the ladder</t>
        </is>
      </c>
      <c r="BD591" s="42">
        <f>IF(SUM(BM591,BN591,BO591,BP591,BQ591,BR591,BS591)=0,0,(BM591*BT591+BN591*BU591+BO591*BV591+BP591*BW591+BQ591*BX591+BR591*BY591+BS591*BZ591)/SUM(BM591,BN591,BO591,BP591,BQ591,BR591,BS591))</f>
        <v>0</v>
      </c>
      <c r="BE591" s="41" t="str">
        <f>IF(LEFT(AY591,1)="X",AY591,IF(OR(AY591="B+",AY591="C+"),INDEX(LAD_PC,MAX(1,MIN(14,MATCH(AY591,LAD_PC,0)+IF(BD591&gt;=0.5,1,IF(BD591&lt;=-0.5,-1,0))))),INDEX(LAD_STD,MAX(1,MIN(12,MATCH(AY591,LAD_STD,0)+IF(BD591&gt;=0.5,1,IF(BD591&lt;=-0.5,-1,0)))))))</f>
        <v>X1</v>
      </c>
      <c r="BF591" s="43" t="n"/>
      <c r="BG591" s="41" t="str">
        <f>IF(BF591&lt;&gt;"",BF591,BE591)</f>
        <v>X1</v>
      </c>
      <c r="BH591" s="40" t="str">
        <f>IFERROR(CHOOSE(INDEX(B_RANK,MATCH(BG591,B_LVL,0)),"Band A","Band B","B+ · Player-Coach","Band C","C+ · Player-Coach","Band D","Band E"),"Band X · Consultant")</f>
        <v>Band X · Consultant</v>
      </c>
      <c r="BI591" s="40" t="str">
        <f>IF(BG591=AY591,"• Same",IF(INDEX(B_VAL,MATCH(BG591,B_LVL,0))&gt;INDEX(B_VAL,MATCH(AY591,B_LVL,0)),"▲ Up","▼ Down"))</f>
        <v>• Same</v>
      </c>
      <c r="BJ591" s="40" t="str">
        <f>IF(OR($M591="",$M591="—",$M591="Not in this file"),"",IFERROR(INDEX($BG$7:$BG$592,MATCH($M591,$D$7:$D$592,0)),""))</f>
        <v/>
      </c>
      <c r="BK591" s="40" t="str">
        <f>IFERROR(IF(BJ591="","—",IF(OR(LEFT(BG591,1)="X",LEFT(BJ591,1)="X"),"—",IF(AND(LEFT(BG591,1)="E",LEFT(BJ591,1)="E"),"Exception · Band E",IF(AND(INDEX(B_VAL,MATCH(BJ591,B_LVL,0))&gt;=7,INDEX(B_RANK,MATCH(BG591,B_LVL,0))&gt;=INDEX(B_RANK,MATCH(BJ591,B_LVL,0))),"⚠ Same band as a head manager",IF(INDEX(B_VAL,MATCH(BG591,B_LVL,0))&gt;=INDEX(B_VAL,MATCH(BJ591,B_LVL,0)),"⚠ At or above the manager's level","OK"))))),"—")</f>
        <v>—</v>
      </c>
      <c r="BL591" s="43" t="n"/>
      <c r="BM591" s="44">
        <f>IFERROR(INDEX(LMH_PTS,MATCH(Y591,LMH_KEY,0)),0)</f>
        <v>0</v>
      </c>
      <c r="BN591" s="38">
        <f>IFERROR(INDEX(LMH_PTS,MATCH(Z591,LMH_KEY,0)),0)</f>
        <v>0</v>
      </c>
      <c r="BO591" s="38">
        <f>IFERROR(INDEX(LMH_PTS,MATCH(AA591,LMH_KEY,0)),0)</f>
        <v>0</v>
      </c>
      <c r="BP591" s="38">
        <f>IFERROR(INDEX(LMH_PTS,MATCH(AB591,LMH_KEY,0)),0)</f>
        <v>0</v>
      </c>
      <c r="BQ591" s="38">
        <f>IFERROR(INDEX(LMH_PTS,MATCH(AC591,LMH_KEY,0)),0)</f>
        <v>0</v>
      </c>
      <c r="BR591" s="38">
        <f>IFERROR(INDEX(LMH_PTS,MATCH(AD591,LMH_KEY,0)),0)</f>
        <v>0</v>
      </c>
      <c r="BS591" s="38">
        <f>IFERROR(INDEX(LMH_PTS,MATCH(AE591,LMH_KEY,0)),0)</f>
        <v>0</v>
      </c>
      <c r="BT591" s="38">
        <f>IFERROR(INDEX(LMH_STEP,MATCH(AF591,LMH_KEY,0)),0)</f>
        <v>0</v>
      </c>
      <c r="BU591" s="38">
        <f>IFERROR(INDEX(LMH_STEP,MATCH(AG591,LMH_KEY,0)),0)</f>
        <v>0</v>
      </c>
      <c r="BV591" s="38">
        <f>IFERROR(INDEX(LMH_STEP,MATCH(AH591,LMH_KEY,0)),0)</f>
        <v>0</v>
      </c>
      <c r="BW591" s="38">
        <f>IFERROR(INDEX(LMH_STEP,MATCH(AI591,LMH_KEY,0)),0)</f>
        <v>0</v>
      </c>
      <c r="BX591" s="38">
        <f>IFERROR(INDEX(LMH_STEP,MATCH(AJ591,LMH_KEY,0)),0)</f>
        <v>0</v>
      </c>
      <c r="BY591" s="38">
        <f>IFERROR(INDEX(LMH_STEP,MATCH(AK591,LMH_KEY,0)),0)</f>
        <v>0</v>
      </c>
      <c r="BZ591" s="38">
        <f>IFERROR(INDEX(LMH_STEP,MATCH(AL591,LMH_KEY,0)),0)</f>
        <v>0</v>
      </c>
      <c r="CA591" s="38" t="inlineStr">
        <is>
          <t>Datatech|Technology|Associate Consultant – Software Development|X1|X</t>
        </is>
      </c>
    </row>
    <row r="592" ht="110" customHeight="1">
      <c r="A592" s="28" t="inlineStr">
        <is>
          <t>iFile</t>
        </is>
      </c>
      <c r="B592" s="29" t="inlineStr">
        <is>
          <t>Technology</t>
        </is>
      </c>
      <c r="C592" s="29" t="n">
        <v>0</v>
      </c>
      <c r="D592" s="29" t="inlineStr">
        <is>
          <t>No Emp ID · external consultant</t>
        </is>
      </c>
      <c r="E592" s="29" t="inlineStr">
        <is>
          <t>Vivek Kumar Singh</t>
        </is>
      </c>
      <c r="F592" s="29" t="inlineStr">
        <is>
          <t>Consultant</t>
        </is>
      </c>
      <c r="G592" s="29" t="inlineStr">
        <is>
          <t>Associate Consultant – Software Development</t>
        </is>
      </c>
      <c r="H592" s="29" t="inlineStr">
        <is>
          <t>Engineering &amp; Development</t>
        </is>
      </c>
      <c r="I592" s="29" t="inlineStr">
        <is>
          <t>Backend Development</t>
        </is>
      </c>
      <c r="J592" s="29" t="inlineStr">
        <is>
          <t>Consultant</t>
        </is>
      </c>
      <c r="K592" s="29" t="inlineStr">
        <is>
          <t>RC-073</t>
        </is>
      </c>
      <c r="L592" s="29" t="inlineStr">
        <is>
          <t>Not provided · HRIS</t>
        </is>
      </c>
      <c r="M592" s="29" t="inlineStr">
        <is>
          <t>Not in this file</t>
        </is>
      </c>
      <c r="N592" s="29" t="inlineStr">
        <is>
          <t>Not provided · HRIS</t>
        </is>
      </c>
      <c r="O592" s="29" t="n">
        <v>0.6</v>
      </c>
      <c r="P592" s="29" t="inlineStr">
        <is>
          <t>Not provided · HRIS</t>
        </is>
      </c>
      <c r="Q592" s="29" t="inlineStr">
        <is>
          <t>—</t>
        </is>
      </c>
      <c r="R592" s="29" t="inlineStr">
        <is>
          <t>X1</t>
        </is>
      </c>
      <c r="S592" s="30" t="inlineStr">
        <is>
          <t>0 of 20</t>
        </is>
      </c>
      <c r="T592" s="32" t="inlineStr">
        <is>
          <t>No survey response on file</t>
        </is>
      </c>
      <c r="U592" s="32" t="inlineStr">
        <is>
          <t>KRAs not received · manager to supply</t>
        </is>
      </c>
      <c r="V592" s="31" t="inlineStr">
        <is>
          <t>Latest rating: Not rated · manager · Readiness: n/a · consultant</t>
        </is>
      </c>
      <c r="W592" s="31" t="inlineStr">
        <is>
          <t>Consultant · outside the ladder</t>
        </is>
      </c>
      <c r="X592" s="33" t="inlineStr">
        <is>
          <t>Open ▸</t>
        </is>
      </c>
      <c r="Y592" s="34" t="n"/>
      <c r="Z592" s="35" t="n"/>
      <c r="AA592" s="35" t="n"/>
      <c r="AB592" s="35" t="n"/>
      <c r="AC592" s="35" t="n"/>
      <c r="AD592" s="35" t="n"/>
      <c r="AE592" s="35" t="n"/>
      <c r="AF592" s="34" t="n"/>
      <c r="AG592" s="35" t="n"/>
      <c r="AH592" s="35" t="n"/>
      <c r="AI592" s="35" t="n"/>
      <c r="AJ592" s="35" t="n"/>
      <c r="AK592" s="35" t="n"/>
      <c r="AL592" s="35" t="n"/>
      <c r="AM592" s="36" t="n"/>
      <c r="AN592" s="37" t="n"/>
      <c r="AO592" s="37" t="n"/>
      <c r="AP592" s="37" t="n"/>
      <c r="AQ592" s="37" t="n"/>
      <c r="AR592" s="37" t="n"/>
      <c r="AS592" s="37" t="n"/>
      <c r="AT592" s="38" t="n"/>
      <c r="AU592" s="38" t="n"/>
      <c r="AV592" s="38" t="n"/>
      <c r="AW592" s="38" t="inlineStr">
        <is>
          <t>—</t>
        </is>
      </c>
      <c r="AX5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2" s="39" t="inlineStr">
        <is>
          <t>X1</t>
        </is>
      </c>
      <c r="AZ592" s="40" t="inlineStr">
        <is>
          <t xml:space="preserve">Band X · Consultant · </t>
        </is>
      </c>
      <c r="BA592" s="40" t="inlineStr">
        <is>
          <t>Model X1 from the six ratings, the market-derived weights and rules R1–R13 · then Consultant · outside the ladder</t>
        </is>
      </c>
      <c r="BB592" s="41" t="n"/>
      <c r="BC592" s="40" t="inlineStr">
        <is>
          <t>Consultant · outside the ladder</t>
        </is>
      </c>
      <c r="BD592" s="42">
        <f>IF(SUM(BM592,BN592,BO592,BP592,BQ592,BR592,BS592)=0,0,(BM592*BT592+BN592*BU592+BO592*BV592+BP592*BW592+BQ592*BX592+BR592*BY592+BS592*BZ592)/SUM(BM592,BN592,BO592,BP592,BQ592,BR592,BS592))</f>
        <v>0</v>
      </c>
      <c r="BE592" s="41" t="str">
        <f>IF(LEFT(AY592,1)="X",AY592,IF(OR(AY592="B+",AY592="C+"),INDEX(LAD_PC,MAX(1,MIN(14,MATCH(AY592,LAD_PC,0)+IF(BD592&gt;=0.5,1,IF(BD592&lt;=-0.5,-1,0))))),INDEX(LAD_STD,MAX(1,MIN(12,MATCH(AY592,LAD_STD,0)+IF(BD592&gt;=0.5,1,IF(BD592&lt;=-0.5,-1,0)))))))</f>
        <v>X1</v>
      </c>
      <c r="BF592" s="43" t="n"/>
      <c r="BG592" s="41" t="str">
        <f>IF(BF592&lt;&gt;"",BF592,BE592)</f>
        <v>X1</v>
      </c>
      <c r="BH592" s="40" t="str">
        <f>IFERROR(CHOOSE(INDEX(B_RANK,MATCH(BG592,B_LVL,0)),"Band A","Band B","B+ · Player-Coach","Band C","C+ · Player-Coach","Band D","Band E"),"Band X · Consultant")</f>
        <v>Band X · Consultant</v>
      </c>
      <c r="BI592" s="40" t="str">
        <f>IF(BG592=AY592,"• Same",IF(INDEX(B_VAL,MATCH(BG592,B_LVL,0))&gt;INDEX(B_VAL,MATCH(AY592,B_LVL,0)),"▲ Up","▼ Down"))</f>
        <v>• Same</v>
      </c>
      <c r="BJ592" s="40" t="str">
        <f>IF(OR($M592="",$M592="—",$M592="Not in this file"),"",IFERROR(INDEX($BG$7:$BG$592,MATCH($M592,$D$7:$D$592,0)),""))</f>
        <v/>
      </c>
      <c r="BK592" s="40" t="str">
        <f>IFERROR(IF(BJ592="","—",IF(OR(LEFT(BG592,1)="X",LEFT(BJ592,1)="X"),"—",IF(AND(LEFT(BG592,1)="E",LEFT(BJ592,1)="E"),"Exception · Band E",IF(AND(INDEX(B_VAL,MATCH(BJ592,B_LVL,0))&gt;=7,INDEX(B_RANK,MATCH(BG592,B_LVL,0))&gt;=INDEX(B_RANK,MATCH(BJ592,B_LVL,0))),"⚠ Same band as a head manager",IF(INDEX(B_VAL,MATCH(BG592,B_LVL,0))&gt;=INDEX(B_VAL,MATCH(BJ592,B_LVL,0)),"⚠ At or above the manager's level","OK"))))),"—")</f>
        <v>—</v>
      </c>
      <c r="BL592" s="43" t="n"/>
      <c r="BM592" s="44">
        <f>IFERROR(INDEX(LMH_PTS,MATCH(Y592,LMH_KEY,0)),0)</f>
        <v>0</v>
      </c>
      <c r="BN592" s="38">
        <f>IFERROR(INDEX(LMH_PTS,MATCH(Z592,LMH_KEY,0)),0)</f>
        <v>0</v>
      </c>
      <c r="BO592" s="38">
        <f>IFERROR(INDEX(LMH_PTS,MATCH(AA592,LMH_KEY,0)),0)</f>
        <v>0</v>
      </c>
      <c r="BP592" s="38">
        <f>IFERROR(INDEX(LMH_PTS,MATCH(AB592,LMH_KEY,0)),0)</f>
        <v>0</v>
      </c>
      <c r="BQ592" s="38">
        <f>IFERROR(INDEX(LMH_PTS,MATCH(AC592,LMH_KEY,0)),0)</f>
        <v>0</v>
      </c>
      <c r="BR592" s="38">
        <f>IFERROR(INDEX(LMH_PTS,MATCH(AD592,LMH_KEY,0)),0)</f>
        <v>0</v>
      </c>
      <c r="BS592" s="38">
        <f>IFERROR(INDEX(LMH_PTS,MATCH(AE592,LMH_KEY,0)),0)</f>
        <v>0</v>
      </c>
      <c r="BT592" s="38">
        <f>IFERROR(INDEX(LMH_STEP,MATCH(AF592,LMH_KEY,0)),0)</f>
        <v>0</v>
      </c>
      <c r="BU592" s="38">
        <f>IFERROR(INDEX(LMH_STEP,MATCH(AG592,LMH_KEY,0)),0)</f>
        <v>0</v>
      </c>
      <c r="BV592" s="38">
        <f>IFERROR(INDEX(LMH_STEP,MATCH(AH592,LMH_KEY,0)),0)</f>
        <v>0</v>
      </c>
      <c r="BW592" s="38">
        <f>IFERROR(INDEX(LMH_STEP,MATCH(AI592,LMH_KEY,0)),0)</f>
        <v>0</v>
      </c>
      <c r="BX592" s="38">
        <f>IFERROR(INDEX(LMH_STEP,MATCH(AJ592,LMH_KEY,0)),0)</f>
        <v>0</v>
      </c>
      <c r="BY592" s="38">
        <f>IFERROR(INDEX(LMH_STEP,MATCH(AK592,LMH_KEY,0)),0)</f>
        <v>0</v>
      </c>
      <c r="BZ592" s="38">
        <f>IFERROR(INDEX(LMH_STEP,MATCH(AL592,LMH_KEY,0)),0)</f>
        <v>0</v>
      </c>
      <c r="CA592" s="38" t="inlineStr">
        <is>
          <t>iFile|Technology|Associate Consultant – Software Development|X1|X</t>
        </is>
      </c>
    </row>
  </sheetData>
  <autoFilter ref="A6:CA592"/>
  <mergeCells count="8">
    <mergeCell ref="P4:Q4"/>
    <mergeCell ref="E4:F4"/>
    <mergeCell ref="A4:D4"/>
    <mergeCell ref="M4:O4"/>
    <mergeCell ref="H4:I4"/>
    <mergeCell ref="K4:L4"/>
    <mergeCell ref="R4:S4"/>
    <mergeCell ref="A2:P2"/>
  </mergeCells>
  <dataValidations count="2">
    <dataValidation sqref="Y7:AE592 AF7:AL592" showDropDown="0" showInputMessage="0" showErrorMessage="0" allowBlank="1" type="list">
      <formula1>LIST_LMH</formula1>
    </dataValidation>
    <dataValidation sqref="BF7:BF592" showDropDown="0" showInputMessage="0" showErrorMessage="0" allowBlank="1" type="list">
      <formula1>LIST_LEVELS</formula1>
    </dataValidation>
  </dataValidations>
  <hyperlinks>
    <hyperlink xmlns:r="http://schemas.openxmlformats.org/officeDocument/2006/relationships" ref="Q1" r:id="rId1"/>
    <hyperlink xmlns:r="http://schemas.openxmlformats.org/officeDocument/2006/relationships" ref="X7" r:id="rId2"/>
    <hyperlink xmlns:r="http://schemas.openxmlformats.org/officeDocument/2006/relationships" ref="X8" r:id="rId3"/>
    <hyperlink xmlns:r="http://schemas.openxmlformats.org/officeDocument/2006/relationships" ref="X9" r:id="rId4"/>
    <hyperlink xmlns:r="http://schemas.openxmlformats.org/officeDocument/2006/relationships" ref="X10" r:id="rId5"/>
    <hyperlink xmlns:r="http://schemas.openxmlformats.org/officeDocument/2006/relationships" ref="X11" r:id="rId6"/>
    <hyperlink xmlns:r="http://schemas.openxmlformats.org/officeDocument/2006/relationships" ref="X12" r:id="rId7"/>
    <hyperlink xmlns:r="http://schemas.openxmlformats.org/officeDocument/2006/relationships" ref="X13" r:id="rId8"/>
    <hyperlink xmlns:r="http://schemas.openxmlformats.org/officeDocument/2006/relationships" ref="X14" r:id="rId9"/>
    <hyperlink xmlns:r="http://schemas.openxmlformats.org/officeDocument/2006/relationships" ref="X15" r:id="rId10"/>
    <hyperlink xmlns:r="http://schemas.openxmlformats.org/officeDocument/2006/relationships" ref="X16" r:id="rId11"/>
    <hyperlink xmlns:r="http://schemas.openxmlformats.org/officeDocument/2006/relationships" ref="X17" r:id="rId12"/>
    <hyperlink xmlns:r="http://schemas.openxmlformats.org/officeDocument/2006/relationships" ref="X18" r:id="rId13"/>
    <hyperlink xmlns:r="http://schemas.openxmlformats.org/officeDocument/2006/relationships" ref="X19" r:id="rId14"/>
    <hyperlink xmlns:r="http://schemas.openxmlformats.org/officeDocument/2006/relationships" ref="X20" r:id="rId15"/>
    <hyperlink xmlns:r="http://schemas.openxmlformats.org/officeDocument/2006/relationships" ref="X21" r:id="rId16"/>
    <hyperlink xmlns:r="http://schemas.openxmlformats.org/officeDocument/2006/relationships" ref="X22" r:id="rId17"/>
    <hyperlink xmlns:r="http://schemas.openxmlformats.org/officeDocument/2006/relationships" ref="X23" r:id="rId18"/>
    <hyperlink xmlns:r="http://schemas.openxmlformats.org/officeDocument/2006/relationships" ref="X24" r:id="rId19"/>
    <hyperlink xmlns:r="http://schemas.openxmlformats.org/officeDocument/2006/relationships" ref="X25" r:id="rId20"/>
    <hyperlink xmlns:r="http://schemas.openxmlformats.org/officeDocument/2006/relationships" ref="X26" r:id="rId21"/>
    <hyperlink xmlns:r="http://schemas.openxmlformats.org/officeDocument/2006/relationships" ref="X27" r:id="rId22"/>
    <hyperlink xmlns:r="http://schemas.openxmlformats.org/officeDocument/2006/relationships" ref="X28" r:id="rId23"/>
    <hyperlink xmlns:r="http://schemas.openxmlformats.org/officeDocument/2006/relationships" ref="X29" r:id="rId24"/>
    <hyperlink xmlns:r="http://schemas.openxmlformats.org/officeDocument/2006/relationships" ref="X30" r:id="rId25"/>
    <hyperlink xmlns:r="http://schemas.openxmlformats.org/officeDocument/2006/relationships" ref="X31" r:id="rId26"/>
    <hyperlink xmlns:r="http://schemas.openxmlformats.org/officeDocument/2006/relationships" ref="X32" r:id="rId27"/>
    <hyperlink xmlns:r="http://schemas.openxmlformats.org/officeDocument/2006/relationships" ref="X33" r:id="rId28"/>
    <hyperlink xmlns:r="http://schemas.openxmlformats.org/officeDocument/2006/relationships" ref="X34" r:id="rId29"/>
    <hyperlink xmlns:r="http://schemas.openxmlformats.org/officeDocument/2006/relationships" ref="X35" r:id="rId30"/>
    <hyperlink xmlns:r="http://schemas.openxmlformats.org/officeDocument/2006/relationships" ref="X36" r:id="rId31"/>
    <hyperlink xmlns:r="http://schemas.openxmlformats.org/officeDocument/2006/relationships" ref="X37" r:id="rId32"/>
    <hyperlink xmlns:r="http://schemas.openxmlformats.org/officeDocument/2006/relationships" ref="X38" r:id="rId33"/>
    <hyperlink xmlns:r="http://schemas.openxmlformats.org/officeDocument/2006/relationships" ref="X39" r:id="rId34"/>
    <hyperlink xmlns:r="http://schemas.openxmlformats.org/officeDocument/2006/relationships" ref="X40" r:id="rId35"/>
    <hyperlink xmlns:r="http://schemas.openxmlformats.org/officeDocument/2006/relationships" ref="X41" r:id="rId36"/>
    <hyperlink xmlns:r="http://schemas.openxmlformats.org/officeDocument/2006/relationships" ref="X42" r:id="rId37"/>
    <hyperlink xmlns:r="http://schemas.openxmlformats.org/officeDocument/2006/relationships" ref="X43" r:id="rId38"/>
    <hyperlink xmlns:r="http://schemas.openxmlformats.org/officeDocument/2006/relationships" ref="X44" r:id="rId39"/>
    <hyperlink xmlns:r="http://schemas.openxmlformats.org/officeDocument/2006/relationships" ref="X45" r:id="rId40"/>
    <hyperlink xmlns:r="http://schemas.openxmlformats.org/officeDocument/2006/relationships" ref="X46" r:id="rId41"/>
    <hyperlink xmlns:r="http://schemas.openxmlformats.org/officeDocument/2006/relationships" ref="X47" r:id="rId42"/>
    <hyperlink xmlns:r="http://schemas.openxmlformats.org/officeDocument/2006/relationships" ref="X48" r:id="rId43"/>
    <hyperlink xmlns:r="http://schemas.openxmlformats.org/officeDocument/2006/relationships" ref="X49" r:id="rId44"/>
    <hyperlink xmlns:r="http://schemas.openxmlformats.org/officeDocument/2006/relationships" ref="X50" r:id="rId45"/>
    <hyperlink xmlns:r="http://schemas.openxmlformats.org/officeDocument/2006/relationships" ref="X51" r:id="rId46"/>
    <hyperlink xmlns:r="http://schemas.openxmlformats.org/officeDocument/2006/relationships" ref="X52" r:id="rId47"/>
    <hyperlink xmlns:r="http://schemas.openxmlformats.org/officeDocument/2006/relationships" ref="X53" r:id="rId48"/>
    <hyperlink xmlns:r="http://schemas.openxmlformats.org/officeDocument/2006/relationships" ref="X54" r:id="rId49"/>
    <hyperlink xmlns:r="http://schemas.openxmlformats.org/officeDocument/2006/relationships" ref="X55" r:id="rId50"/>
    <hyperlink xmlns:r="http://schemas.openxmlformats.org/officeDocument/2006/relationships" ref="X56" r:id="rId51"/>
    <hyperlink xmlns:r="http://schemas.openxmlformats.org/officeDocument/2006/relationships" ref="X57" r:id="rId52"/>
    <hyperlink xmlns:r="http://schemas.openxmlformats.org/officeDocument/2006/relationships" ref="X58" r:id="rId53"/>
    <hyperlink xmlns:r="http://schemas.openxmlformats.org/officeDocument/2006/relationships" ref="X59" r:id="rId54"/>
    <hyperlink xmlns:r="http://schemas.openxmlformats.org/officeDocument/2006/relationships" ref="X60" r:id="rId55"/>
    <hyperlink xmlns:r="http://schemas.openxmlformats.org/officeDocument/2006/relationships" ref="X61" r:id="rId56"/>
    <hyperlink xmlns:r="http://schemas.openxmlformats.org/officeDocument/2006/relationships" ref="X62" r:id="rId57"/>
    <hyperlink xmlns:r="http://schemas.openxmlformats.org/officeDocument/2006/relationships" ref="X63" r:id="rId58"/>
    <hyperlink xmlns:r="http://schemas.openxmlformats.org/officeDocument/2006/relationships" ref="X64" r:id="rId59"/>
    <hyperlink xmlns:r="http://schemas.openxmlformats.org/officeDocument/2006/relationships" ref="X65" r:id="rId60"/>
    <hyperlink xmlns:r="http://schemas.openxmlformats.org/officeDocument/2006/relationships" ref="X66" r:id="rId61"/>
    <hyperlink xmlns:r="http://schemas.openxmlformats.org/officeDocument/2006/relationships" ref="X67" r:id="rId62"/>
    <hyperlink xmlns:r="http://schemas.openxmlformats.org/officeDocument/2006/relationships" ref="X68" r:id="rId63"/>
    <hyperlink xmlns:r="http://schemas.openxmlformats.org/officeDocument/2006/relationships" ref="X69" r:id="rId64"/>
    <hyperlink xmlns:r="http://schemas.openxmlformats.org/officeDocument/2006/relationships" ref="X70" r:id="rId65"/>
    <hyperlink xmlns:r="http://schemas.openxmlformats.org/officeDocument/2006/relationships" ref="X71" r:id="rId66"/>
    <hyperlink xmlns:r="http://schemas.openxmlformats.org/officeDocument/2006/relationships" ref="X72" r:id="rId67"/>
    <hyperlink xmlns:r="http://schemas.openxmlformats.org/officeDocument/2006/relationships" ref="X73" r:id="rId68"/>
    <hyperlink xmlns:r="http://schemas.openxmlformats.org/officeDocument/2006/relationships" ref="X74" r:id="rId69"/>
    <hyperlink xmlns:r="http://schemas.openxmlformats.org/officeDocument/2006/relationships" ref="X75" r:id="rId70"/>
    <hyperlink xmlns:r="http://schemas.openxmlformats.org/officeDocument/2006/relationships" ref="X76" r:id="rId71"/>
    <hyperlink xmlns:r="http://schemas.openxmlformats.org/officeDocument/2006/relationships" ref="X77" r:id="rId72"/>
    <hyperlink xmlns:r="http://schemas.openxmlformats.org/officeDocument/2006/relationships" ref="X78" r:id="rId73"/>
    <hyperlink xmlns:r="http://schemas.openxmlformats.org/officeDocument/2006/relationships" ref="X79" r:id="rId74"/>
    <hyperlink xmlns:r="http://schemas.openxmlformats.org/officeDocument/2006/relationships" ref="X80" r:id="rId75"/>
    <hyperlink xmlns:r="http://schemas.openxmlformats.org/officeDocument/2006/relationships" ref="X81" r:id="rId76"/>
    <hyperlink xmlns:r="http://schemas.openxmlformats.org/officeDocument/2006/relationships" ref="X82" r:id="rId77"/>
    <hyperlink xmlns:r="http://schemas.openxmlformats.org/officeDocument/2006/relationships" ref="X83" r:id="rId78"/>
    <hyperlink xmlns:r="http://schemas.openxmlformats.org/officeDocument/2006/relationships" ref="X84" r:id="rId79"/>
    <hyperlink xmlns:r="http://schemas.openxmlformats.org/officeDocument/2006/relationships" ref="X85" r:id="rId80"/>
    <hyperlink xmlns:r="http://schemas.openxmlformats.org/officeDocument/2006/relationships" ref="X86" r:id="rId81"/>
    <hyperlink xmlns:r="http://schemas.openxmlformats.org/officeDocument/2006/relationships" ref="X87" r:id="rId82"/>
    <hyperlink xmlns:r="http://schemas.openxmlformats.org/officeDocument/2006/relationships" ref="X88" r:id="rId83"/>
    <hyperlink xmlns:r="http://schemas.openxmlformats.org/officeDocument/2006/relationships" ref="X89" r:id="rId84"/>
    <hyperlink xmlns:r="http://schemas.openxmlformats.org/officeDocument/2006/relationships" ref="X90" r:id="rId85"/>
    <hyperlink xmlns:r="http://schemas.openxmlformats.org/officeDocument/2006/relationships" ref="X91" r:id="rId86"/>
    <hyperlink xmlns:r="http://schemas.openxmlformats.org/officeDocument/2006/relationships" ref="X92" r:id="rId87"/>
    <hyperlink xmlns:r="http://schemas.openxmlformats.org/officeDocument/2006/relationships" ref="X93" r:id="rId88"/>
    <hyperlink xmlns:r="http://schemas.openxmlformats.org/officeDocument/2006/relationships" ref="X94" r:id="rId89"/>
    <hyperlink xmlns:r="http://schemas.openxmlformats.org/officeDocument/2006/relationships" ref="X95" r:id="rId90"/>
    <hyperlink xmlns:r="http://schemas.openxmlformats.org/officeDocument/2006/relationships" ref="X96" r:id="rId91"/>
    <hyperlink xmlns:r="http://schemas.openxmlformats.org/officeDocument/2006/relationships" ref="X97" r:id="rId92"/>
    <hyperlink xmlns:r="http://schemas.openxmlformats.org/officeDocument/2006/relationships" ref="X98" r:id="rId93"/>
    <hyperlink xmlns:r="http://schemas.openxmlformats.org/officeDocument/2006/relationships" ref="X99" r:id="rId94"/>
    <hyperlink xmlns:r="http://schemas.openxmlformats.org/officeDocument/2006/relationships" ref="X100" r:id="rId95"/>
    <hyperlink xmlns:r="http://schemas.openxmlformats.org/officeDocument/2006/relationships" ref="X101" r:id="rId96"/>
    <hyperlink xmlns:r="http://schemas.openxmlformats.org/officeDocument/2006/relationships" ref="X102" r:id="rId97"/>
    <hyperlink xmlns:r="http://schemas.openxmlformats.org/officeDocument/2006/relationships" ref="X103" r:id="rId98"/>
    <hyperlink xmlns:r="http://schemas.openxmlformats.org/officeDocument/2006/relationships" ref="X104" r:id="rId99"/>
    <hyperlink xmlns:r="http://schemas.openxmlformats.org/officeDocument/2006/relationships" ref="X105" r:id="rId100"/>
    <hyperlink xmlns:r="http://schemas.openxmlformats.org/officeDocument/2006/relationships" ref="X106" r:id="rId101"/>
    <hyperlink xmlns:r="http://schemas.openxmlformats.org/officeDocument/2006/relationships" ref="X107" r:id="rId102"/>
    <hyperlink xmlns:r="http://schemas.openxmlformats.org/officeDocument/2006/relationships" ref="X108" r:id="rId103"/>
    <hyperlink xmlns:r="http://schemas.openxmlformats.org/officeDocument/2006/relationships" ref="X109" r:id="rId104"/>
    <hyperlink xmlns:r="http://schemas.openxmlformats.org/officeDocument/2006/relationships" ref="X110" r:id="rId105"/>
    <hyperlink xmlns:r="http://schemas.openxmlformats.org/officeDocument/2006/relationships" ref="X111" r:id="rId106"/>
    <hyperlink xmlns:r="http://schemas.openxmlformats.org/officeDocument/2006/relationships" ref="X112" r:id="rId107"/>
    <hyperlink xmlns:r="http://schemas.openxmlformats.org/officeDocument/2006/relationships" ref="X113" r:id="rId108"/>
    <hyperlink xmlns:r="http://schemas.openxmlformats.org/officeDocument/2006/relationships" ref="X114" r:id="rId109"/>
    <hyperlink xmlns:r="http://schemas.openxmlformats.org/officeDocument/2006/relationships" ref="X115" r:id="rId110"/>
    <hyperlink xmlns:r="http://schemas.openxmlformats.org/officeDocument/2006/relationships" ref="X116" r:id="rId111"/>
    <hyperlink xmlns:r="http://schemas.openxmlformats.org/officeDocument/2006/relationships" ref="X117" r:id="rId112"/>
    <hyperlink xmlns:r="http://schemas.openxmlformats.org/officeDocument/2006/relationships" ref="X118" r:id="rId113"/>
    <hyperlink xmlns:r="http://schemas.openxmlformats.org/officeDocument/2006/relationships" ref="X119" r:id="rId114"/>
    <hyperlink xmlns:r="http://schemas.openxmlformats.org/officeDocument/2006/relationships" ref="X120" r:id="rId115"/>
    <hyperlink xmlns:r="http://schemas.openxmlformats.org/officeDocument/2006/relationships" ref="X121" r:id="rId116"/>
    <hyperlink xmlns:r="http://schemas.openxmlformats.org/officeDocument/2006/relationships" ref="X122" r:id="rId117"/>
    <hyperlink xmlns:r="http://schemas.openxmlformats.org/officeDocument/2006/relationships" ref="X123" r:id="rId118"/>
    <hyperlink xmlns:r="http://schemas.openxmlformats.org/officeDocument/2006/relationships" ref="X124" r:id="rId119"/>
    <hyperlink xmlns:r="http://schemas.openxmlformats.org/officeDocument/2006/relationships" ref="X125" r:id="rId120"/>
    <hyperlink xmlns:r="http://schemas.openxmlformats.org/officeDocument/2006/relationships" ref="X126" r:id="rId121"/>
    <hyperlink xmlns:r="http://schemas.openxmlformats.org/officeDocument/2006/relationships" ref="X127" r:id="rId122"/>
    <hyperlink xmlns:r="http://schemas.openxmlformats.org/officeDocument/2006/relationships" ref="X128" r:id="rId123"/>
    <hyperlink xmlns:r="http://schemas.openxmlformats.org/officeDocument/2006/relationships" ref="X129" r:id="rId124"/>
    <hyperlink xmlns:r="http://schemas.openxmlformats.org/officeDocument/2006/relationships" ref="X130" r:id="rId125"/>
    <hyperlink xmlns:r="http://schemas.openxmlformats.org/officeDocument/2006/relationships" ref="X131" r:id="rId126"/>
    <hyperlink xmlns:r="http://schemas.openxmlformats.org/officeDocument/2006/relationships" ref="X132" r:id="rId127"/>
    <hyperlink xmlns:r="http://schemas.openxmlformats.org/officeDocument/2006/relationships" ref="X133" r:id="rId128"/>
    <hyperlink xmlns:r="http://schemas.openxmlformats.org/officeDocument/2006/relationships" ref="X134" r:id="rId129"/>
    <hyperlink xmlns:r="http://schemas.openxmlformats.org/officeDocument/2006/relationships" ref="X135" r:id="rId130"/>
    <hyperlink xmlns:r="http://schemas.openxmlformats.org/officeDocument/2006/relationships" ref="X136" r:id="rId131"/>
    <hyperlink xmlns:r="http://schemas.openxmlformats.org/officeDocument/2006/relationships" ref="X137" r:id="rId132"/>
    <hyperlink xmlns:r="http://schemas.openxmlformats.org/officeDocument/2006/relationships" ref="X138" r:id="rId133"/>
    <hyperlink xmlns:r="http://schemas.openxmlformats.org/officeDocument/2006/relationships" ref="X139" r:id="rId134"/>
    <hyperlink xmlns:r="http://schemas.openxmlformats.org/officeDocument/2006/relationships" ref="X140" r:id="rId135"/>
    <hyperlink xmlns:r="http://schemas.openxmlformats.org/officeDocument/2006/relationships" ref="X141" r:id="rId136"/>
    <hyperlink xmlns:r="http://schemas.openxmlformats.org/officeDocument/2006/relationships" ref="X142" r:id="rId137"/>
    <hyperlink xmlns:r="http://schemas.openxmlformats.org/officeDocument/2006/relationships" ref="X143" r:id="rId138"/>
    <hyperlink xmlns:r="http://schemas.openxmlformats.org/officeDocument/2006/relationships" ref="X144" r:id="rId139"/>
    <hyperlink xmlns:r="http://schemas.openxmlformats.org/officeDocument/2006/relationships" ref="X145" r:id="rId140"/>
    <hyperlink xmlns:r="http://schemas.openxmlformats.org/officeDocument/2006/relationships" ref="X146" r:id="rId141"/>
    <hyperlink xmlns:r="http://schemas.openxmlformats.org/officeDocument/2006/relationships" ref="X147" r:id="rId142"/>
    <hyperlink xmlns:r="http://schemas.openxmlformats.org/officeDocument/2006/relationships" ref="X148" r:id="rId143"/>
    <hyperlink xmlns:r="http://schemas.openxmlformats.org/officeDocument/2006/relationships" ref="X149" r:id="rId144"/>
    <hyperlink xmlns:r="http://schemas.openxmlformats.org/officeDocument/2006/relationships" ref="X150" r:id="rId145"/>
    <hyperlink xmlns:r="http://schemas.openxmlformats.org/officeDocument/2006/relationships" ref="X151" r:id="rId146"/>
    <hyperlink xmlns:r="http://schemas.openxmlformats.org/officeDocument/2006/relationships" ref="X152" r:id="rId147"/>
    <hyperlink xmlns:r="http://schemas.openxmlformats.org/officeDocument/2006/relationships" ref="X153" r:id="rId148"/>
    <hyperlink xmlns:r="http://schemas.openxmlformats.org/officeDocument/2006/relationships" ref="X154" r:id="rId149"/>
    <hyperlink xmlns:r="http://schemas.openxmlformats.org/officeDocument/2006/relationships" ref="X155" r:id="rId150"/>
    <hyperlink xmlns:r="http://schemas.openxmlformats.org/officeDocument/2006/relationships" ref="X156" r:id="rId151"/>
    <hyperlink xmlns:r="http://schemas.openxmlformats.org/officeDocument/2006/relationships" ref="X157" r:id="rId152"/>
    <hyperlink xmlns:r="http://schemas.openxmlformats.org/officeDocument/2006/relationships" ref="X158" r:id="rId153"/>
    <hyperlink xmlns:r="http://schemas.openxmlformats.org/officeDocument/2006/relationships" ref="X159" r:id="rId154"/>
    <hyperlink xmlns:r="http://schemas.openxmlformats.org/officeDocument/2006/relationships" ref="X160" r:id="rId155"/>
    <hyperlink xmlns:r="http://schemas.openxmlformats.org/officeDocument/2006/relationships" ref="X161" r:id="rId156"/>
    <hyperlink xmlns:r="http://schemas.openxmlformats.org/officeDocument/2006/relationships" ref="X162" r:id="rId157"/>
    <hyperlink xmlns:r="http://schemas.openxmlformats.org/officeDocument/2006/relationships" ref="X163" r:id="rId158"/>
    <hyperlink xmlns:r="http://schemas.openxmlformats.org/officeDocument/2006/relationships" ref="X164" r:id="rId159"/>
    <hyperlink xmlns:r="http://schemas.openxmlformats.org/officeDocument/2006/relationships" ref="X165" r:id="rId160"/>
    <hyperlink xmlns:r="http://schemas.openxmlformats.org/officeDocument/2006/relationships" ref="X166" r:id="rId161"/>
    <hyperlink xmlns:r="http://schemas.openxmlformats.org/officeDocument/2006/relationships" ref="X167" r:id="rId162"/>
    <hyperlink xmlns:r="http://schemas.openxmlformats.org/officeDocument/2006/relationships" ref="X168" r:id="rId163"/>
    <hyperlink xmlns:r="http://schemas.openxmlformats.org/officeDocument/2006/relationships" ref="X169" r:id="rId164"/>
    <hyperlink xmlns:r="http://schemas.openxmlformats.org/officeDocument/2006/relationships" ref="X170" r:id="rId165"/>
    <hyperlink xmlns:r="http://schemas.openxmlformats.org/officeDocument/2006/relationships" ref="X171" r:id="rId166"/>
    <hyperlink xmlns:r="http://schemas.openxmlformats.org/officeDocument/2006/relationships" ref="X172" r:id="rId167"/>
    <hyperlink xmlns:r="http://schemas.openxmlformats.org/officeDocument/2006/relationships" ref="X173" r:id="rId168"/>
    <hyperlink xmlns:r="http://schemas.openxmlformats.org/officeDocument/2006/relationships" ref="X174" r:id="rId169"/>
    <hyperlink xmlns:r="http://schemas.openxmlformats.org/officeDocument/2006/relationships" ref="X175" r:id="rId170"/>
    <hyperlink xmlns:r="http://schemas.openxmlformats.org/officeDocument/2006/relationships" ref="X176" r:id="rId171"/>
    <hyperlink xmlns:r="http://schemas.openxmlformats.org/officeDocument/2006/relationships" ref="X177" r:id="rId172"/>
    <hyperlink xmlns:r="http://schemas.openxmlformats.org/officeDocument/2006/relationships" ref="X178" r:id="rId173"/>
    <hyperlink xmlns:r="http://schemas.openxmlformats.org/officeDocument/2006/relationships" ref="X179" r:id="rId174"/>
    <hyperlink xmlns:r="http://schemas.openxmlformats.org/officeDocument/2006/relationships" ref="X180" r:id="rId175"/>
    <hyperlink xmlns:r="http://schemas.openxmlformats.org/officeDocument/2006/relationships" ref="X181" r:id="rId176"/>
    <hyperlink xmlns:r="http://schemas.openxmlformats.org/officeDocument/2006/relationships" ref="X182" r:id="rId177"/>
    <hyperlink xmlns:r="http://schemas.openxmlformats.org/officeDocument/2006/relationships" ref="X183" r:id="rId178"/>
    <hyperlink xmlns:r="http://schemas.openxmlformats.org/officeDocument/2006/relationships" ref="X184" r:id="rId179"/>
    <hyperlink xmlns:r="http://schemas.openxmlformats.org/officeDocument/2006/relationships" ref="X185" r:id="rId180"/>
    <hyperlink xmlns:r="http://schemas.openxmlformats.org/officeDocument/2006/relationships" ref="X186" r:id="rId181"/>
    <hyperlink xmlns:r="http://schemas.openxmlformats.org/officeDocument/2006/relationships" ref="X187" r:id="rId182"/>
    <hyperlink xmlns:r="http://schemas.openxmlformats.org/officeDocument/2006/relationships" ref="X188" r:id="rId183"/>
    <hyperlink xmlns:r="http://schemas.openxmlformats.org/officeDocument/2006/relationships" ref="X189" r:id="rId184"/>
    <hyperlink xmlns:r="http://schemas.openxmlformats.org/officeDocument/2006/relationships" ref="X190" r:id="rId185"/>
    <hyperlink xmlns:r="http://schemas.openxmlformats.org/officeDocument/2006/relationships" ref="X191" r:id="rId186"/>
    <hyperlink xmlns:r="http://schemas.openxmlformats.org/officeDocument/2006/relationships" ref="X192" r:id="rId187"/>
    <hyperlink xmlns:r="http://schemas.openxmlformats.org/officeDocument/2006/relationships" ref="X193" r:id="rId188"/>
    <hyperlink xmlns:r="http://schemas.openxmlformats.org/officeDocument/2006/relationships" ref="X194" r:id="rId189"/>
    <hyperlink xmlns:r="http://schemas.openxmlformats.org/officeDocument/2006/relationships" ref="X195" r:id="rId190"/>
    <hyperlink xmlns:r="http://schemas.openxmlformats.org/officeDocument/2006/relationships" ref="X196" r:id="rId191"/>
    <hyperlink xmlns:r="http://schemas.openxmlformats.org/officeDocument/2006/relationships" ref="X197" r:id="rId192"/>
    <hyperlink xmlns:r="http://schemas.openxmlformats.org/officeDocument/2006/relationships" ref="X198" r:id="rId193"/>
    <hyperlink xmlns:r="http://schemas.openxmlformats.org/officeDocument/2006/relationships" ref="X199" r:id="rId194"/>
    <hyperlink xmlns:r="http://schemas.openxmlformats.org/officeDocument/2006/relationships" ref="X200" r:id="rId195"/>
    <hyperlink xmlns:r="http://schemas.openxmlformats.org/officeDocument/2006/relationships" ref="X201" r:id="rId196"/>
    <hyperlink xmlns:r="http://schemas.openxmlformats.org/officeDocument/2006/relationships" ref="X202" r:id="rId197"/>
    <hyperlink xmlns:r="http://schemas.openxmlformats.org/officeDocument/2006/relationships" ref="X203" r:id="rId198"/>
    <hyperlink xmlns:r="http://schemas.openxmlformats.org/officeDocument/2006/relationships" ref="X204" r:id="rId199"/>
    <hyperlink xmlns:r="http://schemas.openxmlformats.org/officeDocument/2006/relationships" ref="X205" r:id="rId200"/>
    <hyperlink xmlns:r="http://schemas.openxmlformats.org/officeDocument/2006/relationships" ref="X206" r:id="rId201"/>
    <hyperlink xmlns:r="http://schemas.openxmlformats.org/officeDocument/2006/relationships" ref="X207" r:id="rId202"/>
    <hyperlink xmlns:r="http://schemas.openxmlformats.org/officeDocument/2006/relationships" ref="X208" r:id="rId203"/>
    <hyperlink xmlns:r="http://schemas.openxmlformats.org/officeDocument/2006/relationships" ref="X209" r:id="rId204"/>
    <hyperlink xmlns:r="http://schemas.openxmlformats.org/officeDocument/2006/relationships" ref="X210" r:id="rId205"/>
    <hyperlink xmlns:r="http://schemas.openxmlformats.org/officeDocument/2006/relationships" ref="X211" r:id="rId206"/>
    <hyperlink xmlns:r="http://schemas.openxmlformats.org/officeDocument/2006/relationships" ref="X212" r:id="rId207"/>
    <hyperlink xmlns:r="http://schemas.openxmlformats.org/officeDocument/2006/relationships" ref="X213" r:id="rId208"/>
    <hyperlink xmlns:r="http://schemas.openxmlformats.org/officeDocument/2006/relationships" ref="X214" r:id="rId209"/>
    <hyperlink xmlns:r="http://schemas.openxmlformats.org/officeDocument/2006/relationships" ref="X215" r:id="rId210"/>
    <hyperlink xmlns:r="http://schemas.openxmlformats.org/officeDocument/2006/relationships" ref="X216" r:id="rId211"/>
    <hyperlink xmlns:r="http://schemas.openxmlformats.org/officeDocument/2006/relationships" ref="X217" r:id="rId212"/>
    <hyperlink xmlns:r="http://schemas.openxmlformats.org/officeDocument/2006/relationships" ref="X218" r:id="rId213"/>
    <hyperlink xmlns:r="http://schemas.openxmlformats.org/officeDocument/2006/relationships" ref="X219" r:id="rId214"/>
    <hyperlink xmlns:r="http://schemas.openxmlformats.org/officeDocument/2006/relationships" ref="X220" r:id="rId215"/>
    <hyperlink xmlns:r="http://schemas.openxmlformats.org/officeDocument/2006/relationships" ref="X221" r:id="rId216"/>
    <hyperlink xmlns:r="http://schemas.openxmlformats.org/officeDocument/2006/relationships" ref="X222" r:id="rId217"/>
    <hyperlink xmlns:r="http://schemas.openxmlformats.org/officeDocument/2006/relationships" ref="X223" r:id="rId218"/>
    <hyperlink xmlns:r="http://schemas.openxmlformats.org/officeDocument/2006/relationships" ref="X224" r:id="rId219"/>
    <hyperlink xmlns:r="http://schemas.openxmlformats.org/officeDocument/2006/relationships" ref="X225" r:id="rId220"/>
    <hyperlink xmlns:r="http://schemas.openxmlformats.org/officeDocument/2006/relationships" ref="X226" r:id="rId221"/>
    <hyperlink xmlns:r="http://schemas.openxmlformats.org/officeDocument/2006/relationships" ref="X227" r:id="rId222"/>
    <hyperlink xmlns:r="http://schemas.openxmlformats.org/officeDocument/2006/relationships" ref="X228" r:id="rId223"/>
    <hyperlink xmlns:r="http://schemas.openxmlformats.org/officeDocument/2006/relationships" ref="X229" r:id="rId224"/>
    <hyperlink xmlns:r="http://schemas.openxmlformats.org/officeDocument/2006/relationships" ref="X230" r:id="rId225"/>
    <hyperlink xmlns:r="http://schemas.openxmlformats.org/officeDocument/2006/relationships" ref="X231" r:id="rId226"/>
    <hyperlink xmlns:r="http://schemas.openxmlformats.org/officeDocument/2006/relationships" ref="X232" r:id="rId227"/>
    <hyperlink xmlns:r="http://schemas.openxmlformats.org/officeDocument/2006/relationships" ref="X233" r:id="rId228"/>
    <hyperlink xmlns:r="http://schemas.openxmlformats.org/officeDocument/2006/relationships" ref="X234" r:id="rId229"/>
    <hyperlink xmlns:r="http://schemas.openxmlformats.org/officeDocument/2006/relationships" ref="X235" r:id="rId230"/>
    <hyperlink xmlns:r="http://schemas.openxmlformats.org/officeDocument/2006/relationships" ref="X236" r:id="rId231"/>
    <hyperlink xmlns:r="http://schemas.openxmlformats.org/officeDocument/2006/relationships" ref="X237" r:id="rId232"/>
    <hyperlink xmlns:r="http://schemas.openxmlformats.org/officeDocument/2006/relationships" ref="X238" r:id="rId233"/>
    <hyperlink xmlns:r="http://schemas.openxmlformats.org/officeDocument/2006/relationships" ref="X239" r:id="rId234"/>
    <hyperlink xmlns:r="http://schemas.openxmlformats.org/officeDocument/2006/relationships" ref="X240" r:id="rId235"/>
    <hyperlink xmlns:r="http://schemas.openxmlformats.org/officeDocument/2006/relationships" ref="X241" r:id="rId236"/>
    <hyperlink xmlns:r="http://schemas.openxmlformats.org/officeDocument/2006/relationships" ref="X242" r:id="rId237"/>
    <hyperlink xmlns:r="http://schemas.openxmlformats.org/officeDocument/2006/relationships" ref="X243" r:id="rId238"/>
    <hyperlink xmlns:r="http://schemas.openxmlformats.org/officeDocument/2006/relationships" ref="X244" r:id="rId239"/>
    <hyperlink xmlns:r="http://schemas.openxmlformats.org/officeDocument/2006/relationships" ref="X245" r:id="rId240"/>
    <hyperlink xmlns:r="http://schemas.openxmlformats.org/officeDocument/2006/relationships" ref="X246" r:id="rId241"/>
    <hyperlink xmlns:r="http://schemas.openxmlformats.org/officeDocument/2006/relationships" ref="X247" r:id="rId242"/>
    <hyperlink xmlns:r="http://schemas.openxmlformats.org/officeDocument/2006/relationships" ref="X248" r:id="rId243"/>
    <hyperlink xmlns:r="http://schemas.openxmlformats.org/officeDocument/2006/relationships" ref="X249" r:id="rId244"/>
    <hyperlink xmlns:r="http://schemas.openxmlformats.org/officeDocument/2006/relationships" ref="X250" r:id="rId245"/>
    <hyperlink xmlns:r="http://schemas.openxmlformats.org/officeDocument/2006/relationships" ref="X251" r:id="rId246"/>
    <hyperlink xmlns:r="http://schemas.openxmlformats.org/officeDocument/2006/relationships" ref="X252" r:id="rId247"/>
    <hyperlink xmlns:r="http://schemas.openxmlformats.org/officeDocument/2006/relationships" ref="X253" r:id="rId248"/>
    <hyperlink xmlns:r="http://schemas.openxmlformats.org/officeDocument/2006/relationships" ref="X254" r:id="rId249"/>
    <hyperlink xmlns:r="http://schemas.openxmlformats.org/officeDocument/2006/relationships" ref="X255" r:id="rId250"/>
    <hyperlink xmlns:r="http://schemas.openxmlformats.org/officeDocument/2006/relationships" ref="X256" r:id="rId251"/>
    <hyperlink xmlns:r="http://schemas.openxmlformats.org/officeDocument/2006/relationships" ref="X257" r:id="rId252"/>
    <hyperlink xmlns:r="http://schemas.openxmlformats.org/officeDocument/2006/relationships" ref="X258" r:id="rId253"/>
    <hyperlink xmlns:r="http://schemas.openxmlformats.org/officeDocument/2006/relationships" ref="X259" r:id="rId254"/>
    <hyperlink xmlns:r="http://schemas.openxmlformats.org/officeDocument/2006/relationships" ref="X260" r:id="rId255"/>
    <hyperlink xmlns:r="http://schemas.openxmlformats.org/officeDocument/2006/relationships" ref="X261" r:id="rId256"/>
    <hyperlink xmlns:r="http://schemas.openxmlformats.org/officeDocument/2006/relationships" ref="X262" r:id="rId257"/>
    <hyperlink xmlns:r="http://schemas.openxmlformats.org/officeDocument/2006/relationships" ref="X263" r:id="rId258"/>
    <hyperlink xmlns:r="http://schemas.openxmlformats.org/officeDocument/2006/relationships" ref="X264" r:id="rId259"/>
    <hyperlink xmlns:r="http://schemas.openxmlformats.org/officeDocument/2006/relationships" ref="X265" r:id="rId260"/>
    <hyperlink xmlns:r="http://schemas.openxmlformats.org/officeDocument/2006/relationships" ref="X266" r:id="rId261"/>
    <hyperlink xmlns:r="http://schemas.openxmlformats.org/officeDocument/2006/relationships" ref="X267" r:id="rId262"/>
    <hyperlink xmlns:r="http://schemas.openxmlformats.org/officeDocument/2006/relationships" ref="X268" r:id="rId263"/>
    <hyperlink xmlns:r="http://schemas.openxmlformats.org/officeDocument/2006/relationships" ref="X269" r:id="rId264"/>
    <hyperlink xmlns:r="http://schemas.openxmlformats.org/officeDocument/2006/relationships" ref="X270" r:id="rId265"/>
    <hyperlink xmlns:r="http://schemas.openxmlformats.org/officeDocument/2006/relationships" ref="X271" r:id="rId266"/>
    <hyperlink xmlns:r="http://schemas.openxmlformats.org/officeDocument/2006/relationships" ref="X272" r:id="rId267"/>
    <hyperlink xmlns:r="http://schemas.openxmlformats.org/officeDocument/2006/relationships" ref="X273" r:id="rId268"/>
    <hyperlink xmlns:r="http://schemas.openxmlformats.org/officeDocument/2006/relationships" ref="X274" r:id="rId269"/>
    <hyperlink xmlns:r="http://schemas.openxmlformats.org/officeDocument/2006/relationships" ref="X275" r:id="rId270"/>
    <hyperlink xmlns:r="http://schemas.openxmlformats.org/officeDocument/2006/relationships" ref="X276" r:id="rId271"/>
    <hyperlink xmlns:r="http://schemas.openxmlformats.org/officeDocument/2006/relationships" ref="X277" r:id="rId272"/>
    <hyperlink xmlns:r="http://schemas.openxmlformats.org/officeDocument/2006/relationships" ref="X278" r:id="rId273"/>
    <hyperlink xmlns:r="http://schemas.openxmlformats.org/officeDocument/2006/relationships" ref="X279" r:id="rId274"/>
    <hyperlink xmlns:r="http://schemas.openxmlformats.org/officeDocument/2006/relationships" ref="X280" r:id="rId275"/>
    <hyperlink xmlns:r="http://schemas.openxmlformats.org/officeDocument/2006/relationships" ref="X281" r:id="rId276"/>
    <hyperlink xmlns:r="http://schemas.openxmlformats.org/officeDocument/2006/relationships" ref="X282" r:id="rId277"/>
    <hyperlink xmlns:r="http://schemas.openxmlformats.org/officeDocument/2006/relationships" ref="X283" r:id="rId278"/>
    <hyperlink xmlns:r="http://schemas.openxmlformats.org/officeDocument/2006/relationships" ref="X284" r:id="rId279"/>
    <hyperlink xmlns:r="http://schemas.openxmlformats.org/officeDocument/2006/relationships" ref="X285" r:id="rId280"/>
    <hyperlink xmlns:r="http://schemas.openxmlformats.org/officeDocument/2006/relationships" ref="X286" r:id="rId281"/>
    <hyperlink xmlns:r="http://schemas.openxmlformats.org/officeDocument/2006/relationships" ref="X287" r:id="rId282"/>
    <hyperlink xmlns:r="http://schemas.openxmlformats.org/officeDocument/2006/relationships" ref="X288" r:id="rId283"/>
    <hyperlink xmlns:r="http://schemas.openxmlformats.org/officeDocument/2006/relationships" ref="X289" r:id="rId284"/>
    <hyperlink xmlns:r="http://schemas.openxmlformats.org/officeDocument/2006/relationships" ref="X290" r:id="rId285"/>
    <hyperlink xmlns:r="http://schemas.openxmlformats.org/officeDocument/2006/relationships" ref="X291" r:id="rId286"/>
    <hyperlink xmlns:r="http://schemas.openxmlformats.org/officeDocument/2006/relationships" ref="X292" r:id="rId287"/>
    <hyperlink xmlns:r="http://schemas.openxmlformats.org/officeDocument/2006/relationships" ref="X293" r:id="rId288"/>
    <hyperlink xmlns:r="http://schemas.openxmlformats.org/officeDocument/2006/relationships" ref="X294" r:id="rId289"/>
    <hyperlink xmlns:r="http://schemas.openxmlformats.org/officeDocument/2006/relationships" ref="X295" r:id="rId290"/>
    <hyperlink xmlns:r="http://schemas.openxmlformats.org/officeDocument/2006/relationships" ref="X296" r:id="rId291"/>
    <hyperlink xmlns:r="http://schemas.openxmlformats.org/officeDocument/2006/relationships" ref="X297" r:id="rId292"/>
    <hyperlink xmlns:r="http://schemas.openxmlformats.org/officeDocument/2006/relationships" ref="X298" r:id="rId293"/>
    <hyperlink xmlns:r="http://schemas.openxmlformats.org/officeDocument/2006/relationships" ref="X299" r:id="rId294"/>
    <hyperlink xmlns:r="http://schemas.openxmlformats.org/officeDocument/2006/relationships" ref="X300" r:id="rId295"/>
    <hyperlink xmlns:r="http://schemas.openxmlformats.org/officeDocument/2006/relationships" ref="X301" r:id="rId296"/>
    <hyperlink xmlns:r="http://schemas.openxmlformats.org/officeDocument/2006/relationships" ref="X302" r:id="rId297"/>
    <hyperlink xmlns:r="http://schemas.openxmlformats.org/officeDocument/2006/relationships" ref="X303" r:id="rId298"/>
    <hyperlink xmlns:r="http://schemas.openxmlformats.org/officeDocument/2006/relationships" ref="X304" r:id="rId299"/>
    <hyperlink xmlns:r="http://schemas.openxmlformats.org/officeDocument/2006/relationships" ref="X305" r:id="rId300"/>
    <hyperlink xmlns:r="http://schemas.openxmlformats.org/officeDocument/2006/relationships" ref="X306" r:id="rId301"/>
    <hyperlink xmlns:r="http://schemas.openxmlformats.org/officeDocument/2006/relationships" ref="X307" r:id="rId302"/>
    <hyperlink xmlns:r="http://schemas.openxmlformats.org/officeDocument/2006/relationships" ref="X308" r:id="rId303"/>
    <hyperlink xmlns:r="http://schemas.openxmlformats.org/officeDocument/2006/relationships" ref="X309" r:id="rId304"/>
    <hyperlink xmlns:r="http://schemas.openxmlformats.org/officeDocument/2006/relationships" ref="X310" r:id="rId305"/>
    <hyperlink xmlns:r="http://schemas.openxmlformats.org/officeDocument/2006/relationships" ref="X311" r:id="rId306"/>
    <hyperlink xmlns:r="http://schemas.openxmlformats.org/officeDocument/2006/relationships" ref="X312" r:id="rId307"/>
    <hyperlink xmlns:r="http://schemas.openxmlformats.org/officeDocument/2006/relationships" ref="X313" r:id="rId308"/>
    <hyperlink xmlns:r="http://schemas.openxmlformats.org/officeDocument/2006/relationships" ref="X314" r:id="rId309"/>
    <hyperlink xmlns:r="http://schemas.openxmlformats.org/officeDocument/2006/relationships" ref="X315" r:id="rId310"/>
    <hyperlink xmlns:r="http://schemas.openxmlformats.org/officeDocument/2006/relationships" ref="X316" r:id="rId311"/>
    <hyperlink xmlns:r="http://schemas.openxmlformats.org/officeDocument/2006/relationships" ref="X317" r:id="rId312"/>
    <hyperlink xmlns:r="http://schemas.openxmlformats.org/officeDocument/2006/relationships" ref="X318" r:id="rId313"/>
    <hyperlink xmlns:r="http://schemas.openxmlformats.org/officeDocument/2006/relationships" ref="X319" r:id="rId314"/>
    <hyperlink xmlns:r="http://schemas.openxmlformats.org/officeDocument/2006/relationships" ref="X320" r:id="rId315"/>
    <hyperlink xmlns:r="http://schemas.openxmlformats.org/officeDocument/2006/relationships" ref="X321" r:id="rId316"/>
    <hyperlink xmlns:r="http://schemas.openxmlformats.org/officeDocument/2006/relationships" ref="X322" r:id="rId317"/>
    <hyperlink xmlns:r="http://schemas.openxmlformats.org/officeDocument/2006/relationships" ref="X323" r:id="rId318"/>
    <hyperlink xmlns:r="http://schemas.openxmlformats.org/officeDocument/2006/relationships" ref="X324" r:id="rId319"/>
    <hyperlink xmlns:r="http://schemas.openxmlformats.org/officeDocument/2006/relationships" ref="X325" r:id="rId320"/>
    <hyperlink xmlns:r="http://schemas.openxmlformats.org/officeDocument/2006/relationships" ref="X326" r:id="rId321"/>
    <hyperlink xmlns:r="http://schemas.openxmlformats.org/officeDocument/2006/relationships" ref="X327" r:id="rId322"/>
    <hyperlink xmlns:r="http://schemas.openxmlformats.org/officeDocument/2006/relationships" ref="X328" r:id="rId323"/>
    <hyperlink xmlns:r="http://schemas.openxmlformats.org/officeDocument/2006/relationships" ref="X329" r:id="rId324"/>
    <hyperlink xmlns:r="http://schemas.openxmlformats.org/officeDocument/2006/relationships" ref="X330" r:id="rId325"/>
    <hyperlink xmlns:r="http://schemas.openxmlformats.org/officeDocument/2006/relationships" ref="X331" r:id="rId326"/>
    <hyperlink xmlns:r="http://schemas.openxmlformats.org/officeDocument/2006/relationships" ref="X332" r:id="rId327"/>
    <hyperlink xmlns:r="http://schemas.openxmlformats.org/officeDocument/2006/relationships" ref="X333" r:id="rId328"/>
    <hyperlink xmlns:r="http://schemas.openxmlformats.org/officeDocument/2006/relationships" ref="X334" r:id="rId329"/>
    <hyperlink xmlns:r="http://schemas.openxmlformats.org/officeDocument/2006/relationships" ref="X335" r:id="rId330"/>
    <hyperlink xmlns:r="http://schemas.openxmlformats.org/officeDocument/2006/relationships" ref="X336" r:id="rId331"/>
    <hyperlink xmlns:r="http://schemas.openxmlformats.org/officeDocument/2006/relationships" ref="X337" r:id="rId332"/>
    <hyperlink xmlns:r="http://schemas.openxmlformats.org/officeDocument/2006/relationships" ref="X338" r:id="rId333"/>
    <hyperlink xmlns:r="http://schemas.openxmlformats.org/officeDocument/2006/relationships" ref="X339" r:id="rId334"/>
    <hyperlink xmlns:r="http://schemas.openxmlformats.org/officeDocument/2006/relationships" ref="X340" r:id="rId335"/>
    <hyperlink xmlns:r="http://schemas.openxmlformats.org/officeDocument/2006/relationships" ref="X341" r:id="rId336"/>
    <hyperlink xmlns:r="http://schemas.openxmlformats.org/officeDocument/2006/relationships" ref="X342" r:id="rId337"/>
    <hyperlink xmlns:r="http://schemas.openxmlformats.org/officeDocument/2006/relationships" ref="X343" r:id="rId338"/>
    <hyperlink xmlns:r="http://schemas.openxmlformats.org/officeDocument/2006/relationships" ref="X344" r:id="rId339"/>
    <hyperlink xmlns:r="http://schemas.openxmlformats.org/officeDocument/2006/relationships" ref="X345" r:id="rId340"/>
    <hyperlink xmlns:r="http://schemas.openxmlformats.org/officeDocument/2006/relationships" ref="X346" r:id="rId341"/>
    <hyperlink xmlns:r="http://schemas.openxmlformats.org/officeDocument/2006/relationships" ref="X347" r:id="rId342"/>
    <hyperlink xmlns:r="http://schemas.openxmlformats.org/officeDocument/2006/relationships" ref="X348" r:id="rId343"/>
    <hyperlink xmlns:r="http://schemas.openxmlformats.org/officeDocument/2006/relationships" ref="X349" r:id="rId344"/>
    <hyperlink xmlns:r="http://schemas.openxmlformats.org/officeDocument/2006/relationships" ref="X350" r:id="rId345"/>
    <hyperlink xmlns:r="http://schemas.openxmlformats.org/officeDocument/2006/relationships" ref="X351" r:id="rId346"/>
    <hyperlink xmlns:r="http://schemas.openxmlformats.org/officeDocument/2006/relationships" ref="X352" r:id="rId347"/>
    <hyperlink xmlns:r="http://schemas.openxmlformats.org/officeDocument/2006/relationships" ref="X353" r:id="rId348"/>
    <hyperlink xmlns:r="http://schemas.openxmlformats.org/officeDocument/2006/relationships" ref="X354" r:id="rId349"/>
    <hyperlink xmlns:r="http://schemas.openxmlformats.org/officeDocument/2006/relationships" ref="X355" r:id="rId350"/>
    <hyperlink xmlns:r="http://schemas.openxmlformats.org/officeDocument/2006/relationships" ref="X356" r:id="rId351"/>
    <hyperlink xmlns:r="http://schemas.openxmlformats.org/officeDocument/2006/relationships" ref="X357" r:id="rId352"/>
    <hyperlink xmlns:r="http://schemas.openxmlformats.org/officeDocument/2006/relationships" ref="X358" r:id="rId353"/>
    <hyperlink xmlns:r="http://schemas.openxmlformats.org/officeDocument/2006/relationships" ref="X359" r:id="rId354"/>
    <hyperlink xmlns:r="http://schemas.openxmlformats.org/officeDocument/2006/relationships" ref="X360" r:id="rId355"/>
    <hyperlink xmlns:r="http://schemas.openxmlformats.org/officeDocument/2006/relationships" ref="X361" r:id="rId356"/>
    <hyperlink xmlns:r="http://schemas.openxmlformats.org/officeDocument/2006/relationships" ref="X362" r:id="rId357"/>
    <hyperlink xmlns:r="http://schemas.openxmlformats.org/officeDocument/2006/relationships" ref="X363" r:id="rId358"/>
    <hyperlink xmlns:r="http://schemas.openxmlformats.org/officeDocument/2006/relationships" ref="X364" r:id="rId359"/>
    <hyperlink xmlns:r="http://schemas.openxmlformats.org/officeDocument/2006/relationships" ref="X365" r:id="rId360"/>
    <hyperlink xmlns:r="http://schemas.openxmlformats.org/officeDocument/2006/relationships" ref="X366" r:id="rId361"/>
    <hyperlink xmlns:r="http://schemas.openxmlformats.org/officeDocument/2006/relationships" ref="X367" r:id="rId362"/>
    <hyperlink xmlns:r="http://schemas.openxmlformats.org/officeDocument/2006/relationships" ref="X368" r:id="rId363"/>
    <hyperlink xmlns:r="http://schemas.openxmlformats.org/officeDocument/2006/relationships" ref="X369" r:id="rId364"/>
    <hyperlink xmlns:r="http://schemas.openxmlformats.org/officeDocument/2006/relationships" ref="X370" r:id="rId365"/>
    <hyperlink xmlns:r="http://schemas.openxmlformats.org/officeDocument/2006/relationships" ref="X371" r:id="rId366"/>
    <hyperlink xmlns:r="http://schemas.openxmlformats.org/officeDocument/2006/relationships" ref="X372" r:id="rId367"/>
    <hyperlink xmlns:r="http://schemas.openxmlformats.org/officeDocument/2006/relationships" ref="X373" r:id="rId368"/>
    <hyperlink xmlns:r="http://schemas.openxmlformats.org/officeDocument/2006/relationships" ref="X374" r:id="rId369"/>
    <hyperlink xmlns:r="http://schemas.openxmlformats.org/officeDocument/2006/relationships" ref="X375" r:id="rId370"/>
    <hyperlink xmlns:r="http://schemas.openxmlformats.org/officeDocument/2006/relationships" ref="X376" r:id="rId371"/>
    <hyperlink xmlns:r="http://schemas.openxmlformats.org/officeDocument/2006/relationships" ref="X377" r:id="rId372"/>
    <hyperlink xmlns:r="http://schemas.openxmlformats.org/officeDocument/2006/relationships" ref="X378" r:id="rId373"/>
    <hyperlink xmlns:r="http://schemas.openxmlformats.org/officeDocument/2006/relationships" ref="X379" r:id="rId374"/>
    <hyperlink xmlns:r="http://schemas.openxmlformats.org/officeDocument/2006/relationships" ref="X380" r:id="rId375"/>
    <hyperlink xmlns:r="http://schemas.openxmlformats.org/officeDocument/2006/relationships" ref="X381" r:id="rId376"/>
    <hyperlink xmlns:r="http://schemas.openxmlformats.org/officeDocument/2006/relationships" ref="X382" r:id="rId377"/>
    <hyperlink xmlns:r="http://schemas.openxmlformats.org/officeDocument/2006/relationships" ref="X383" r:id="rId378"/>
    <hyperlink xmlns:r="http://schemas.openxmlformats.org/officeDocument/2006/relationships" ref="X384" r:id="rId379"/>
    <hyperlink xmlns:r="http://schemas.openxmlformats.org/officeDocument/2006/relationships" ref="X385" r:id="rId380"/>
    <hyperlink xmlns:r="http://schemas.openxmlformats.org/officeDocument/2006/relationships" ref="X386" r:id="rId381"/>
    <hyperlink xmlns:r="http://schemas.openxmlformats.org/officeDocument/2006/relationships" ref="X387" r:id="rId382"/>
    <hyperlink xmlns:r="http://schemas.openxmlformats.org/officeDocument/2006/relationships" ref="X388" r:id="rId383"/>
    <hyperlink xmlns:r="http://schemas.openxmlformats.org/officeDocument/2006/relationships" ref="X389" r:id="rId384"/>
    <hyperlink xmlns:r="http://schemas.openxmlformats.org/officeDocument/2006/relationships" ref="X390" r:id="rId385"/>
    <hyperlink xmlns:r="http://schemas.openxmlformats.org/officeDocument/2006/relationships" ref="X391" r:id="rId386"/>
    <hyperlink xmlns:r="http://schemas.openxmlformats.org/officeDocument/2006/relationships" ref="X392" r:id="rId387"/>
    <hyperlink xmlns:r="http://schemas.openxmlformats.org/officeDocument/2006/relationships" ref="X393" r:id="rId388"/>
    <hyperlink xmlns:r="http://schemas.openxmlformats.org/officeDocument/2006/relationships" ref="X394" r:id="rId389"/>
    <hyperlink xmlns:r="http://schemas.openxmlformats.org/officeDocument/2006/relationships" ref="X395" r:id="rId390"/>
    <hyperlink xmlns:r="http://schemas.openxmlformats.org/officeDocument/2006/relationships" ref="X396" r:id="rId391"/>
    <hyperlink xmlns:r="http://schemas.openxmlformats.org/officeDocument/2006/relationships" ref="X397" r:id="rId392"/>
    <hyperlink xmlns:r="http://schemas.openxmlformats.org/officeDocument/2006/relationships" ref="X398" r:id="rId393"/>
    <hyperlink xmlns:r="http://schemas.openxmlformats.org/officeDocument/2006/relationships" ref="X399" r:id="rId394"/>
    <hyperlink xmlns:r="http://schemas.openxmlformats.org/officeDocument/2006/relationships" ref="X400" r:id="rId395"/>
    <hyperlink xmlns:r="http://schemas.openxmlformats.org/officeDocument/2006/relationships" ref="X401" r:id="rId396"/>
    <hyperlink xmlns:r="http://schemas.openxmlformats.org/officeDocument/2006/relationships" ref="X402" r:id="rId397"/>
    <hyperlink xmlns:r="http://schemas.openxmlformats.org/officeDocument/2006/relationships" ref="X403" r:id="rId398"/>
    <hyperlink xmlns:r="http://schemas.openxmlformats.org/officeDocument/2006/relationships" ref="X404" r:id="rId399"/>
    <hyperlink xmlns:r="http://schemas.openxmlformats.org/officeDocument/2006/relationships" ref="X405" r:id="rId400"/>
    <hyperlink xmlns:r="http://schemas.openxmlformats.org/officeDocument/2006/relationships" ref="X406" r:id="rId401"/>
    <hyperlink xmlns:r="http://schemas.openxmlformats.org/officeDocument/2006/relationships" ref="X407" r:id="rId402"/>
    <hyperlink xmlns:r="http://schemas.openxmlformats.org/officeDocument/2006/relationships" ref="X408" r:id="rId403"/>
    <hyperlink xmlns:r="http://schemas.openxmlformats.org/officeDocument/2006/relationships" ref="X409" r:id="rId404"/>
    <hyperlink xmlns:r="http://schemas.openxmlformats.org/officeDocument/2006/relationships" ref="X410" r:id="rId405"/>
    <hyperlink xmlns:r="http://schemas.openxmlformats.org/officeDocument/2006/relationships" ref="X411" r:id="rId406"/>
    <hyperlink xmlns:r="http://schemas.openxmlformats.org/officeDocument/2006/relationships" ref="X412" r:id="rId407"/>
    <hyperlink xmlns:r="http://schemas.openxmlformats.org/officeDocument/2006/relationships" ref="X413" r:id="rId408"/>
    <hyperlink xmlns:r="http://schemas.openxmlformats.org/officeDocument/2006/relationships" ref="X414" r:id="rId409"/>
    <hyperlink xmlns:r="http://schemas.openxmlformats.org/officeDocument/2006/relationships" ref="X415" r:id="rId410"/>
    <hyperlink xmlns:r="http://schemas.openxmlformats.org/officeDocument/2006/relationships" ref="X416" r:id="rId411"/>
    <hyperlink xmlns:r="http://schemas.openxmlformats.org/officeDocument/2006/relationships" ref="X417" r:id="rId412"/>
    <hyperlink xmlns:r="http://schemas.openxmlformats.org/officeDocument/2006/relationships" ref="X418" r:id="rId413"/>
    <hyperlink xmlns:r="http://schemas.openxmlformats.org/officeDocument/2006/relationships" ref="X419" r:id="rId414"/>
    <hyperlink xmlns:r="http://schemas.openxmlformats.org/officeDocument/2006/relationships" ref="X420" r:id="rId415"/>
    <hyperlink xmlns:r="http://schemas.openxmlformats.org/officeDocument/2006/relationships" ref="X421" r:id="rId416"/>
    <hyperlink xmlns:r="http://schemas.openxmlformats.org/officeDocument/2006/relationships" ref="X422" r:id="rId417"/>
    <hyperlink xmlns:r="http://schemas.openxmlformats.org/officeDocument/2006/relationships" ref="X423" r:id="rId418"/>
    <hyperlink xmlns:r="http://schemas.openxmlformats.org/officeDocument/2006/relationships" ref="X424" r:id="rId419"/>
    <hyperlink xmlns:r="http://schemas.openxmlformats.org/officeDocument/2006/relationships" ref="X425" r:id="rId420"/>
    <hyperlink xmlns:r="http://schemas.openxmlformats.org/officeDocument/2006/relationships" ref="X426" r:id="rId421"/>
    <hyperlink xmlns:r="http://schemas.openxmlformats.org/officeDocument/2006/relationships" ref="X427" r:id="rId422"/>
    <hyperlink xmlns:r="http://schemas.openxmlformats.org/officeDocument/2006/relationships" ref="X428" r:id="rId423"/>
    <hyperlink xmlns:r="http://schemas.openxmlformats.org/officeDocument/2006/relationships" ref="X429" r:id="rId424"/>
    <hyperlink xmlns:r="http://schemas.openxmlformats.org/officeDocument/2006/relationships" ref="X430" r:id="rId425"/>
    <hyperlink xmlns:r="http://schemas.openxmlformats.org/officeDocument/2006/relationships" ref="X431" r:id="rId426"/>
    <hyperlink xmlns:r="http://schemas.openxmlformats.org/officeDocument/2006/relationships" ref="X432" r:id="rId427"/>
    <hyperlink xmlns:r="http://schemas.openxmlformats.org/officeDocument/2006/relationships" ref="X433" r:id="rId428"/>
    <hyperlink xmlns:r="http://schemas.openxmlformats.org/officeDocument/2006/relationships" ref="X434" r:id="rId429"/>
    <hyperlink xmlns:r="http://schemas.openxmlformats.org/officeDocument/2006/relationships" ref="X435" r:id="rId430"/>
    <hyperlink xmlns:r="http://schemas.openxmlformats.org/officeDocument/2006/relationships" ref="X436" r:id="rId431"/>
    <hyperlink xmlns:r="http://schemas.openxmlformats.org/officeDocument/2006/relationships" ref="X437" r:id="rId432"/>
    <hyperlink xmlns:r="http://schemas.openxmlformats.org/officeDocument/2006/relationships" ref="X438" r:id="rId433"/>
    <hyperlink xmlns:r="http://schemas.openxmlformats.org/officeDocument/2006/relationships" ref="X439" r:id="rId434"/>
    <hyperlink xmlns:r="http://schemas.openxmlformats.org/officeDocument/2006/relationships" ref="X440" r:id="rId435"/>
    <hyperlink xmlns:r="http://schemas.openxmlformats.org/officeDocument/2006/relationships" ref="X441" r:id="rId436"/>
    <hyperlink xmlns:r="http://schemas.openxmlformats.org/officeDocument/2006/relationships" ref="X442" r:id="rId437"/>
    <hyperlink xmlns:r="http://schemas.openxmlformats.org/officeDocument/2006/relationships" ref="X443" r:id="rId438"/>
    <hyperlink xmlns:r="http://schemas.openxmlformats.org/officeDocument/2006/relationships" ref="X444" r:id="rId439"/>
    <hyperlink xmlns:r="http://schemas.openxmlformats.org/officeDocument/2006/relationships" ref="X445" r:id="rId440"/>
    <hyperlink xmlns:r="http://schemas.openxmlformats.org/officeDocument/2006/relationships" ref="X446" r:id="rId441"/>
    <hyperlink xmlns:r="http://schemas.openxmlformats.org/officeDocument/2006/relationships" ref="X447" r:id="rId442"/>
    <hyperlink xmlns:r="http://schemas.openxmlformats.org/officeDocument/2006/relationships" ref="X448" r:id="rId443"/>
    <hyperlink xmlns:r="http://schemas.openxmlformats.org/officeDocument/2006/relationships" ref="X449" r:id="rId444"/>
    <hyperlink xmlns:r="http://schemas.openxmlformats.org/officeDocument/2006/relationships" ref="X450" r:id="rId445"/>
    <hyperlink xmlns:r="http://schemas.openxmlformats.org/officeDocument/2006/relationships" ref="X451" r:id="rId446"/>
    <hyperlink xmlns:r="http://schemas.openxmlformats.org/officeDocument/2006/relationships" ref="X452" r:id="rId447"/>
    <hyperlink xmlns:r="http://schemas.openxmlformats.org/officeDocument/2006/relationships" ref="X453" r:id="rId448"/>
    <hyperlink xmlns:r="http://schemas.openxmlformats.org/officeDocument/2006/relationships" ref="X454" r:id="rId449"/>
    <hyperlink xmlns:r="http://schemas.openxmlformats.org/officeDocument/2006/relationships" ref="X455" r:id="rId450"/>
    <hyperlink xmlns:r="http://schemas.openxmlformats.org/officeDocument/2006/relationships" ref="X456" r:id="rId451"/>
    <hyperlink xmlns:r="http://schemas.openxmlformats.org/officeDocument/2006/relationships" ref="X457" r:id="rId452"/>
    <hyperlink xmlns:r="http://schemas.openxmlformats.org/officeDocument/2006/relationships" ref="X458" r:id="rId453"/>
    <hyperlink xmlns:r="http://schemas.openxmlformats.org/officeDocument/2006/relationships" ref="X459" r:id="rId454"/>
    <hyperlink xmlns:r="http://schemas.openxmlformats.org/officeDocument/2006/relationships" ref="X460" r:id="rId455"/>
    <hyperlink xmlns:r="http://schemas.openxmlformats.org/officeDocument/2006/relationships" ref="X461" r:id="rId456"/>
    <hyperlink xmlns:r="http://schemas.openxmlformats.org/officeDocument/2006/relationships" ref="X462" r:id="rId457"/>
    <hyperlink xmlns:r="http://schemas.openxmlformats.org/officeDocument/2006/relationships" ref="X463" r:id="rId458"/>
    <hyperlink xmlns:r="http://schemas.openxmlformats.org/officeDocument/2006/relationships" ref="X464" r:id="rId459"/>
    <hyperlink xmlns:r="http://schemas.openxmlformats.org/officeDocument/2006/relationships" ref="X465" r:id="rId460"/>
    <hyperlink xmlns:r="http://schemas.openxmlformats.org/officeDocument/2006/relationships" ref="X466" r:id="rId461"/>
    <hyperlink xmlns:r="http://schemas.openxmlformats.org/officeDocument/2006/relationships" ref="X467" r:id="rId462"/>
    <hyperlink xmlns:r="http://schemas.openxmlformats.org/officeDocument/2006/relationships" ref="X468" r:id="rId463"/>
    <hyperlink xmlns:r="http://schemas.openxmlformats.org/officeDocument/2006/relationships" ref="X469" r:id="rId464"/>
    <hyperlink xmlns:r="http://schemas.openxmlformats.org/officeDocument/2006/relationships" ref="X470" r:id="rId465"/>
    <hyperlink xmlns:r="http://schemas.openxmlformats.org/officeDocument/2006/relationships" ref="X471" r:id="rId466"/>
    <hyperlink xmlns:r="http://schemas.openxmlformats.org/officeDocument/2006/relationships" ref="X472" r:id="rId467"/>
    <hyperlink xmlns:r="http://schemas.openxmlformats.org/officeDocument/2006/relationships" ref="X473" r:id="rId468"/>
    <hyperlink xmlns:r="http://schemas.openxmlformats.org/officeDocument/2006/relationships" ref="X474" r:id="rId469"/>
    <hyperlink xmlns:r="http://schemas.openxmlformats.org/officeDocument/2006/relationships" ref="X475" r:id="rId470"/>
    <hyperlink xmlns:r="http://schemas.openxmlformats.org/officeDocument/2006/relationships" ref="X476" r:id="rId471"/>
    <hyperlink xmlns:r="http://schemas.openxmlformats.org/officeDocument/2006/relationships" ref="X477" r:id="rId472"/>
    <hyperlink xmlns:r="http://schemas.openxmlformats.org/officeDocument/2006/relationships" ref="X478" r:id="rId473"/>
    <hyperlink xmlns:r="http://schemas.openxmlformats.org/officeDocument/2006/relationships" ref="X479" r:id="rId474"/>
    <hyperlink xmlns:r="http://schemas.openxmlformats.org/officeDocument/2006/relationships" ref="X480" r:id="rId475"/>
    <hyperlink xmlns:r="http://schemas.openxmlformats.org/officeDocument/2006/relationships" ref="X481" r:id="rId476"/>
    <hyperlink xmlns:r="http://schemas.openxmlformats.org/officeDocument/2006/relationships" ref="X482" r:id="rId477"/>
    <hyperlink xmlns:r="http://schemas.openxmlformats.org/officeDocument/2006/relationships" ref="X483" r:id="rId478"/>
    <hyperlink xmlns:r="http://schemas.openxmlformats.org/officeDocument/2006/relationships" ref="X484" r:id="rId479"/>
    <hyperlink xmlns:r="http://schemas.openxmlformats.org/officeDocument/2006/relationships" ref="X485" r:id="rId480"/>
    <hyperlink xmlns:r="http://schemas.openxmlformats.org/officeDocument/2006/relationships" ref="X486" r:id="rId481"/>
    <hyperlink xmlns:r="http://schemas.openxmlformats.org/officeDocument/2006/relationships" ref="X487" r:id="rId482"/>
    <hyperlink xmlns:r="http://schemas.openxmlformats.org/officeDocument/2006/relationships" ref="X488" r:id="rId483"/>
    <hyperlink xmlns:r="http://schemas.openxmlformats.org/officeDocument/2006/relationships" ref="X489" r:id="rId484"/>
    <hyperlink xmlns:r="http://schemas.openxmlformats.org/officeDocument/2006/relationships" ref="X490" r:id="rId485"/>
    <hyperlink xmlns:r="http://schemas.openxmlformats.org/officeDocument/2006/relationships" ref="X491" r:id="rId486"/>
    <hyperlink xmlns:r="http://schemas.openxmlformats.org/officeDocument/2006/relationships" ref="X492" r:id="rId487"/>
    <hyperlink xmlns:r="http://schemas.openxmlformats.org/officeDocument/2006/relationships" ref="X493" r:id="rId488"/>
    <hyperlink xmlns:r="http://schemas.openxmlformats.org/officeDocument/2006/relationships" ref="X494" r:id="rId489"/>
    <hyperlink xmlns:r="http://schemas.openxmlformats.org/officeDocument/2006/relationships" ref="X495" r:id="rId490"/>
    <hyperlink xmlns:r="http://schemas.openxmlformats.org/officeDocument/2006/relationships" ref="X496" r:id="rId491"/>
    <hyperlink xmlns:r="http://schemas.openxmlformats.org/officeDocument/2006/relationships" ref="X497" r:id="rId492"/>
    <hyperlink xmlns:r="http://schemas.openxmlformats.org/officeDocument/2006/relationships" ref="X498" r:id="rId493"/>
    <hyperlink xmlns:r="http://schemas.openxmlformats.org/officeDocument/2006/relationships" ref="X499" r:id="rId494"/>
    <hyperlink xmlns:r="http://schemas.openxmlformats.org/officeDocument/2006/relationships" ref="X500" r:id="rId495"/>
    <hyperlink xmlns:r="http://schemas.openxmlformats.org/officeDocument/2006/relationships" ref="X501" r:id="rId496"/>
    <hyperlink xmlns:r="http://schemas.openxmlformats.org/officeDocument/2006/relationships" ref="X502" r:id="rId497"/>
    <hyperlink xmlns:r="http://schemas.openxmlformats.org/officeDocument/2006/relationships" ref="X503" r:id="rId498"/>
    <hyperlink xmlns:r="http://schemas.openxmlformats.org/officeDocument/2006/relationships" ref="X504" r:id="rId499"/>
    <hyperlink xmlns:r="http://schemas.openxmlformats.org/officeDocument/2006/relationships" ref="X505" r:id="rId500"/>
    <hyperlink xmlns:r="http://schemas.openxmlformats.org/officeDocument/2006/relationships" ref="X506" r:id="rId501"/>
    <hyperlink xmlns:r="http://schemas.openxmlformats.org/officeDocument/2006/relationships" ref="X507" r:id="rId502"/>
    <hyperlink xmlns:r="http://schemas.openxmlformats.org/officeDocument/2006/relationships" ref="X508" r:id="rId503"/>
    <hyperlink xmlns:r="http://schemas.openxmlformats.org/officeDocument/2006/relationships" ref="X509" r:id="rId504"/>
    <hyperlink xmlns:r="http://schemas.openxmlformats.org/officeDocument/2006/relationships" ref="X510" r:id="rId505"/>
    <hyperlink xmlns:r="http://schemas.openxmlformats.org/officeDocument/2006/relationships" ref="X511" r:id="rId506"/>
    <hyperlink xmlns:r="http://schemas.openxmlformats.org/officeDocument/2006/relationships" ref="X512" r:id="rId507"/>
    <hyperlink xmlns:r="http://schemas.openxmlformats.org/officeDocument/2006/relationships" ref="X513" r:id="rId508"/>
    <hyperlink xmlns:r="http://schemas.openxmlformats.org/officeDocument/2006/relationships" ref="X514" r:id="rId509"/>
    <hyperlink xmlns:r="http://schemas.openxmlformats.org/officeDocument/2006/relationships" ref="X515" r:id="rId510"/>
    <hyperlink xmlns:r="http://schemas.openxmlformats.org/officeDocument/2006/relationships" ref="X516" r:id="rId511"/>
    <hyperlink xmlns:r="http://schemas.openxmlformats.org/officeDocument/2006/relationships" ref="X517" r:id="rId512"/>
    <hyperlink xmlns:r="http://schemas.openxmlformats.org/officeDocument/2006/relationships" ref="X518" r:id="rId513"/>
    <hyperlink xmlns:r="http://schemas.openxmlformats.org/officeDocument/2006/relationships" ref="X519" r:id="rId514"/>
    <hyperlink xmlns:r="http://schemas.openxmlformats.org/officeDocument/2006/relationships" ref="X520" r:id="rId515"/>
    <hyperlink xmlns:r="http://schemas.openxmlformats.org/officeDocument/2006/relationships" ref="X521" r:id="rId516"/>
    <hyperlink xmlns:r="http://schemas.openxmlformats.org/officeDocument/2006/relationships" ref="X522" r:id="rId517"/>
    <hyperlink xmlns:r="http://schemas.openxmlformats.org/officeDocument/2006/relationships" ref="X523" r:id="rId518"/>
    <hyperlink xmlns:r="http://schemas.openxmlformats.org/officeDocument/2006/relationships" ref="X524" r:id="rId519"/>
    <hyperlink xmlns:r="http://schemas.openxmlformats.org/officeDocument/2006/relationships" ref="X525" r:id="rId520"/>
    <hyperlink xmlns:r="http://schemas.openxmlformats.org/officeDocument/2006/relationships" ref="X526" r:id="rId521"/>
    <hyperlink xmlns:r="http://schemas.openxmlformats.org/officeDocument/2006/relationships" ref="X527" r:id="rId522"/>
    <hyperlink xmlns:r="http://schemas.openxmlformats.org/officeDocument/2006/relationships" ref="X528" r:id="rId523"/>
    <hyperlink xmlns:r="http://schemas.openxmlformats.org/officeDocument/2006/relationships" ref="X529" r:id="rId524"/>
    <hyperlink xmlns:r="http://schemas.openxmlformats.org/officeDocument/2006/relationships" ref="X530" r:id="rId525"/>
    <hyperlink xmlns:r="http://schemas.openxmlformats.org/officeDocument/2006/relationships" ref="X531" r:id="rId526"/>
    <hyperlink xmlns:r="http://schemas.openxmlformats.org/officeDocument/2006/relationships" ref="X532" r:id="rId527"/>
    <hyperlink xmlns:r="http://schemas.openxmlformats.org/officeDocument/2006/relationships" ref="X533" r:id="rId528"/>
    <hyperlink xmlns:r="http://schemas.openxmlformats.org/officeDocument/2006/relationships" ref="X534" r:id="rId529"/>
    <hyperlink xmlns:r="http://schemas.openxmlformats.org/officeDocument/2006/relationships" ref="X535" r:id="rId530"/>
    <hyperlink xmlns:r="http://schemas.openxmlformats.org/officeDocument/2006/relationships" ref="X536" r:id="rId531"/>
    <hyperlink xmlns:r="http://schemas.openxmlformats.org/officeDocument/2006/relationships" ref="X537" r:id="rId532"/>
    <hyperlink xmlns:r="http://schemas.openxmlformats.org/officeDocument/2006/relationships" ref="X538" r:id="rId533"/>
    <hyperlink xmlns:r="http://schemas.openxmlformats.org/officeDocument/2006/relationships" ref="X539" r:id="rId534"/>
    <hyperlink xmlns:r="http://schemas.openxmlformats.org/officeDocument/2006/relationships" ref="X540" r:id="rId535"/>
    <hyperlink xmlns:r="http://schemas.openxmlformats.org/officeDocument/2006/relationships" ref="X541" r:id="rId536"/>
    <hyperlink xmlns:r="http://schemas.openxmlformats.org/officeDocument/2006/relationships" ref="X542" r:id="rId537"/>
    <hyperlink xmlns:r="http://schemas.openxmlformats.org/officeDocument/2006/relationships" ref="X543" r:id="rId538"/>
    <hyperlink xmlns:r="http://schemas.openxmlformats.org/officeDocument/2006/relationships" ref="X544" r:id="rId539"/>
    <hyperlink xmlns:r="http://schemas.openxmlformats.org/officeDocument/2006/relationships" ref="X545" r:id="rId540"/>
    <hyperlink xmlns:r="http://schemas.openxmlformats.org/officeDocument/2006/relationships" ref="X546" r:id="rId541"/>
    <hyperlink xmlns:r="http://schemas.openxmlformats.org/officeDocument/2006/relationships" ref="X547" r:id="rId542"/>
    <hyperlink xmlns:r="http://schemas.openxmlformats.org/officeDocument/2006/relationships" ref="X548" r:id="rId543"/>
    <hyperlink xmlns:r="http://schemas.openxmlformats.org/officeDocument/2006/relationships" ref="X549" r:id="rId544"/>
    <hyperlink xmlns:r="http://schemas.openxmlformats.org/officeDocument/2006/relationships" ref="X550" r:id="rId545"/>
    <hyperlink xmlns:r="http://schemas.openxmlformats.org/officeDocument/2006/relationships" ref="X551" r:id="rId546"/>
    <hyperlink xmlns:r="http://schemas.openxmlformats.org/officeDocument/2006/relationships" ref="X552" r:id="rId547"/>
    <hyperlink xmlns:r="http://schemas.openxmlformats.org/officeDocument/2006/relationships" ref="X553" r:id="rId548"/>
    <hyperlink xmlns:r="http://schemas.openxmlformats.org/officeDocument/2006/relationships" ref="X554" r:id="rId549"/>
    <hyperlink xmlns:r="http://schemas.openxmlformats.org/officeDocument/2006/relationships" ref="X555" r:id="rId550"/>
    <hyperlink xmlns:r="http://schemas.openxmlformats.org/officeDocument/2006/relationships" ref="X556" r:id="rId551"/>
    <hyperlink xmlns:r="http://schemas.openxmlformats.org/officeDocument/2006/relationships" ref="X557" r:id="rId552"/>
    <hyperlink xmlns:r="http://schemas.openxmlformats.org/officeDocument/2006/relationships" ref="X558" r:id="rId553"/>
    <hyperlink xmlns:r="http://schemas.openxmlformats.org/officeDocument/2006/relationships" ref="X559" r:id="rId554"/>
    <hyperlink xmlns:r="http://schemas.openxmlformats.org/officeDocument/2006/relationships" ref="X560" r:id="rId555"/>
    <hyperlink xmlns:r="http://schemas.openxmlformats.org/officeDocument/2006/relationships" ref="X561" r:id="rId556"/>
    <hyperlink xmlns:r="http://schemas.openxmlformats.org/officeDocument/2006/relationships" ref="X562" r:id="rId557"/>
    <hyperlink xmlns:r="http://schemas.openxmlformats.org/officeDocument/2006/relationships" ref="X563" r:id="rId558"/>
    <hyperlink xmlns:r="http://schemas.openxmlformats.org/officeDocument/2006/relationships" ref="X564" r:id="rId559"/>
    <hyperlink xmlns:r="http://schemas.openxmlformats.org/officeDocument/2006/relationships" ref="X565" r:id="rId560"/>
    <hyperlink xmlns:r="http://schemas.openxmlformats.org/officeDocument/2006/relationships" ref="X566" r:id="rId561"/>
    <hyperlink xmlns:r="http://schemas.openxmlformats.org/officeDocument/2006/relationships" ref="X567" r:id="rId562"/>
    <hyperlink xmlns:r="http://schemas.openxmlformats.org/officeDocument/2006/relationships" ref="X568" r:id="rId563"/>
    <hyperlink xmlns:r="http://schemas.openxmlformats.org/officeDocument/2006/relationships" ref="X569" r:id="rId564"/>
    <hyperlink xmlns:r="http://schemas.openxmlformats.org/officeDocument/2006/relationships" ref="X570" r:id="rId565"/>
    <hyperlink xmlns:r="http://schemas.openxmlformats.org/officeDocument/2006/relationships" ref="X571" r:id="rId566"/>
    <hyperlink xmlns:r="http://schemas.openxmlformats.org/officeDocument/2006/relationships" ref="X572" r:id="rId567"/>
    <hyperlink xmlns:r="http://schemas.openxmlformats.org/officeDocument/2006/relationships" ref="X573" r:id="rId568"/>
    <hyperlink xmlns:r="http://schemas.openxmlformats.org/officeDocument/2006/relationships" ref="X574" r:id="rId569"/>
    <hyperlink xmlns:r="http://schemas.openxmlformats.org/officeDocument/2006/relationships" ref="X575" r:id="rId570"/>
    <hyperlink xmlns:r="http://schemas.openxmlformats.org/officeDocument/2006/relationships" ref="X576" r:id="rId571"/>
    <hyperlink xmlns:r="http://schemas.openxmlformats.org/officeDocument/2006/relationships" ref="X577" r:id="rId572"/>
    <hyperlink xmlns:r="http://schemas.openxmlformats.org/officeDocument/2006/relationships" ref="X578" r:id="rId573"/>
    <hyperlink xmlns:r="http://schemas.openxmlformats.org/officeDocument/2006/relationships" ref="X579" r:id="rId574"/>
    <hyperlink xmlns:r="http://schemas.openxmlformats.org/officeDocument/2006/relationships" ref="X580" r:id="rId575"/>
    <hyperlink xmlns:r="http://schemas.openxmlformats.org/officeDocument/2006/relationships" ref="X581" r:id="rId576"/>
    <hyperlink xmlns:r="http://schemas.openxmlformats.org/officeDocument/2006/relationships" ref="X582" r:id="rId577"/>
    <hyperlink xmlns:r="http://schemas.openxmlformats.org/officeDocument/2006/relationships" ref="X583" r:id="rId578"/>
    <hyperlink xmlns:r="http://schemas.openxmlformats.org/officeDocument/2006/relationships" ref="X584" r:id="rId579"/>
    <hyperlink xmlns:r="http://schemas.openxmlformats.org/officeDocument/2006/relationships" ref="X585" r:id="rId580"/>
    <hyperlink xmlns:r="http://schemas.openxmlformats.org/officeDocument/2006/relationships" ref="X586" r:id="rId581"/>
    <hyperlink xmlns:r="http://schemas.openxmlformats.org/officeDocument/2006/relationships" ref="X587" r:id="rId582"/>
    <hyperlink xmlns:r="http://schemas.openxmlformats.org/officeDocument/2006/relationships" ref="X588" r:id="rId583"/>
    <hyperlink xmlns:r="http://schemas.openxmlformats.org/officeDocument/2006/relationships" ref="X589" r:id="rId584"/>
    <hyperlink xmlns:r="http://schemas.openxmlformats.org/officeDocument/2006/relationships" ref="X590" r:id="rId585"/>
    <hyperlink xmlns:r="http://schemas.openxmlformats.org/officeDocument/2006/relationships" ref="X591" r:id="rId586"/>
    <hyperlink xmlns:r="http://schemas.openxmlformats.org/officeDocument/2006/relationships" ref="X592" r:id="rId5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U61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s>
  <sheetData>
    <row r="1" ht="24" customHeight="1">
      <c r="A1" s="1" t="inlineStr">
        <is>
          <t>Raw Data — everything we hold on each person</t>
        </is>
      </c>
      <c r="Q1" s="7" t="inlineStr">
        <is>
          <t>◂ Start</t>
        </is>
      </c>
    </row>
    <row r="2" ht="30" customHeight="1">
      <c r="A2" s="2" t="inlineStr">
        <is>
          <t>Sheet 3 · Same order as Talent Mapping, top down. HRIS, the survey count and per-person summary, the manager talent-mapping files, KRAs in full and the CARBON Mapping Master. People in the source files but not yet in the architecture are at the bottom. Personal fields are never carried. ◂ Back takes you to the person's row on Talent Mapping.</t>
        </is>
      </c>
    </row>
    <row r="3">
      <c r="A3" s="3" t="inlineStr">
        <is>
          <t>IRIS · Job Architecture &amp; Job Design · Final v1.14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PERSON</t>
        </is>
      </c>
      <c r="B5" s="6" t="n"/>
      <c r="C5" s="6" t="inlineStr">
        <is>
          <t>PERSON &amp; ROLE — BEFORE → AFTER</t>
        </is>
      </c>
      <c r="D5" s="6" t="n"/>
      <c r="E5" s="6" t="n"/>
      <c r="F5" s="6" t="n"/>
      <c r="G5" s="6" t="n"/>
      <c r="H5" s="6" t="n"/>
      <c r="I5" s="6" t="n"/>
      <c r="J5" s="6" t="n"/>
      <c r="K5" s="6" t="n"/>
      <c r="L5" s="6" t="n"/>
      <c r="M5" s="6" t="n"/>
      <c r="N5" s="6" t="n"/>
      <c r="O5" s="6" t="n"/>
      <c r="P5" s="45" t="inlineStr">
        <is>
          <t>MARKET STANDARD FOR THIS ROLE &amp; LEVEL</t>
        </is>
      </c>
      <c r="Q5" s="45" t="n"/>
      <c r="R5" s="45" t="n"/>
      <c r="S5" s="45" t="n"/>
      <c r="T5" s="45" t="n"/>
      <c r="U5" s="45" t="n"/>
      <c r="V5" s="45" t="n"/>
      <c r="W5" s="45" t="n"/>
      <c r="X5" s="45" t="n"/>
      <c r="Y5" s="46" t="inlineStr">
        <is>
          <t>RAW DATA — as received · HRIS · KRAs · manager talent mapping; bracket = source file. Survey answers are counted, not quoted</t>
        </is>
      </c>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c r="BX5" s="46" t="n"/>
      <c r="BY5" s="46" t="n"/>
      <c r="BZ5" s="46" t="n"/>
      <c r="CA5" s="46" t="n"/>
      <c r="CB5" s="46" t="n"/>
      <c r="CC5" s="46" t="n"/>
      <c r="CD5" s="46" t="n"/>
      <c r="CE5" s="46" t="n"/>
      <c r="CF5" s="46" t="n"/>
      <c r="CG5" s="46" t="n"/>
      <c r="CH5" s="46" t="n"/>
      <c r="CI5" s="46" t="n"/>
      <c r="CJ5" s="46" t="n"/>
      <c r="CK5" s="46" t="n"/>
      <c r="CL5" s="46" t="n"/>
      <c r="CM5" s="46" t="n"/>
      <c r="CN5" s="46" t="n"/>
      <c r="CO5" s="46" t="n"/>
      <c r="CP5" s="46" t="n"/>
      <c r="CQ5" s="46" t="n"/>
      <c r="CR5" s="46" t="n"/>
      <c r="CS5" s="46" t="n"/>
      <c r="CT5" s="46" t="n"/>
      <c r="CU5" s="46" t="n"/>
      <c r="CV5" s="46" t="n"/>
      <c r="CW5" s="46" t="n"/>
      <c r="CX5" s="46" t="n"/>
      <c r="CY5" s="46" t="n"/>
      <c r="CZ5" s="46" t="n"/>
      <c r="DA5" s="46" t="n"/>
      <c r="DB5" s="46" t="n"/>
      <c r="DC5" s="46" t="n"/>
      <c r="DD5" s="46" t="n"/>
      <c r="DE5" s="46" t="n"/>
      <c r="DF5" s="46" t="n"/>
      <c r="DG5" s="46" t="n"/>
      <c r="DH5" s="46" t="n"/>
      <c r="DI5" s="46" t="n"/>
      <c r="DJ5" s="46" t="n"/>
      <c r="DK5" s="46" t="n"/>
      <c r="DL5" s="46" t="n"/>
      <c r="DM5" s="46" t="n"/>
      <c r="DN5" s="46" t="n"/>
      <c r="DO5" s="46" t="n"/>
      <c r="DP5" s="46" t="n"/>
      <c r="DQ5" s="46" t="n"/>
      <c r="DR5" s="46" t="n"/>
      <c r="DS5" s="46" t="n"/>
      <c r="DT5" s="46" t="n"/>
      <c r="DU5" s="46" t="n"/>
      <c r="DV5" s="46" t="n"/>
      <c r="DW5" s="46" t="n"/>
      <c r="DX5" s="46" t="n"/>
      <c r="DY5" s="46" t="n"/>
      <c r="DZ5" s="46" t="n"/>
      <c r="EA5" s="46" t="n"/>
      <c r="EB5" s="46" t="n"/>
      <c r="EC5" s="46" t="n"/>
      <c r="ED5" s="46" t="n"/>
      <c r="EE5" s="46" t="n"/>
      <c r="EF5" s="46" t="n"/>
      <c r="EG5" s="46" t="n"/>
      <c r="EH5" s="46" t="n"/>
      <c r="EI5" s="46" t="n"/>
      <c r="EJ5" s="46" t="n"/>
      <c r="EK5" s="46" t="n"/>
      <c r="EL5" s="46" t="n"/>
      <c r="EM5" s="46" t="n"/>
      <c r="EN5" s="46" t="n"/>
      <c r="EO5" s="46" t="n"/>
      <c r="EP5" s="46" t="n"/>
      <c r="EQ5" s="46" t="n"/>
      <c r="ER5" s="46" t="n"/>
      <c r="ES5" s="46" t="n"/>
      <c r="ET5" s="46" t="n"/>
      <c r="EU5" s="46" t="n"/>
      <c r="EV5" s="46" t="n"/>
      <c r="EW5" s="17" t="inlineStr">
        <is>
          <t>ADDED IN v1.13 — CARBON Mapping Master columns v1.12.2 did not carry · values restored from the source files</t>
        </is>
      </c>
      <c r="EX5" s="17" t="n"/>
      <c r="EY5" s="17" t="n"/>
      <c r="EZ5" s="17" t="n"/>
      <c r="FA5" s="17" t="n"/>
      <c r="FB5" s="17" t="n"/>
      <c r="FC5" s="17" t="n"/>
      <c r="FD5" s="17" t="n"/>
      <c r="FE5" s="47" t="inlineStr">
        <is>
          <t>KRAs IN FULL &amp; WHAT THEY SHARED IN THE SURVEY</t>
        </is>
      </c>
      <c r="FF5" s="47" t="n"/>
      <c r="FG5" s="47" t="n"/>
      <c r="FH5" s="47" t="n"/>
      <c r="FI5" s="47" t="n"/>
      <c r="FJ5" s="47" t="n"/>
      <c r="FK5" s="47" t="n"/>
      <c r="FL5" s="47" t="n"/>
      <c r="FM5" s="47" t="n"/>
      <c r="FN5" s="47" t="n"/>
      <c r="FO5" s="47" t="n"/>
      <c r="FP5" s="47" t="n"/>
      <c r="FQ5" s="47" t="n"/>
      <c r="FR5" s="47" t="n"/>
      <c r="FS5" s="47" t="n"/>
      <c r="FT5" s="47" t="n"/>
      <c r="FU5" s="47" t="n"/>
    </row>
    <row r="6" ht="60" customHeight="1">
      <c r="A6" s="22" t="inlineStr">
        <is>
          <t>◂ Back</t>
        </is>
      </c>
      <c r="B6" s="22" t="inlineStr">
        <is>
          <t>Status</t>
        </is>
      </c>
      <c r="C6" s="22" t="inlineStr">
        <is>
          <t>Business</t>
        </is>
      </c>
      <c r="D6" s="22" t="inlineStr">
        <is>
          <t>Emp ID</t>
        </is>
      </c>
      <c r="E6" s="22" t="inlineStr">
        <is>
          <t>Employee name</t>
        </is>
      </c>
      <c r="F6" s="22" t="inlineStr">
        <is>
          <t>Department</t>
        </is>
      </c>
      <c r="G6" s="22" t="inlineStr">
        <is>
          <t>Current designation</t>
        </is>
      </c>
      <c r="H6" s="22" t="inlineStr">
        <is>
          <t>Final designation</t>
        </is>
      </c>
      <c r="I6" s="22" t="inlineStr">
        <is>
          <t>Current level</t>
        </is>
      </c>
      <c r="J6" s="22" t="inlineStr">
        <is>
          <t>FINAL LEVEL</t>
        </is>
      </c>
      <c r="K6" s="22" t="inlineStr">
        <is>
          <t>Change vs current</t>
        </is>
      </c>
      <c r="L6" s="22" t="inlineStr">
        <is>
          <t>Job family</t>
        </is>
      </c>
      <c r="M6" s="22" t="inlineStr">
        <is>
          <t>Sub-family</t>
        </is>
      </c>
      <c r="N6" s="22" t="inlineStr">
        <is>
          <t>ADDITIONAL INPUTS NEEDED — what, and who provides it</t>
        </is>
      </c>
      <c r="O6" s="22" t="inlineStr">
        <is>
          <t>Survey questions answered · of 20</t>
        </is>
      </c>
      <c r="P6" s="48" t="inlineStr">
        <is>
          <t>Radford / Mercer code</t>
        </is>
      </c>
      <c r="Q6" s="48" t="inlineStr">
        <is>
          <t>Pave level</t>
        </is>
      </c>
      <c r="R6" s="48" t="inlineStr">
        <is>
          <t>SFIA 9</t>
        </is>
      </c>
      <c r="S6" s="48" t="inlineStr">
        <is>
          <t>IRIS experience guide</t>
        </is>
      </c>
      <c r="T6" s="48" t="inlineStr">
        <is>
          <t>Market experience · Accenture · Infosys</t>
        </is>
      </c>
      <c r="U6" s="48" t="inlineStr">
        <is>
          <t>Typical market title based on competitor/market benchmark</t>
        </is>
      </c>
      <c r="V6" s="48" t="inlineStr">
        <is>
          <t>Competitors, regtech &amp; SaaS leaders</t>
        </is>
      </c>
      <c r="W6" s="48" t="inlineStr">
        <is>
          <t>Professional standard</t>
        </is>
      </c>
      <c r="X6" s="48" t="inlineStr">
        <is>
          <t>Required capability · Core · Future · Functional · Leadership</t>
        </is>
      </c>
      <c r="Y6" s="49" t="inlineStr">
        <is>
          <t>Sr No</t>
        </is>
      </c>
      <c r="Z6" s="49" t="inlineStr">
        <is>
          <t>Emp Id · 2</t>
        </is>
      </c>
      <c r="AA6" s="49" t="inlineStr">
        <is>
          <t>Employee Category</t>
        </is>
      </c>
      <c r="AB6" s="49" t="inlineStr">
        <is>
          <t>Employee Status</t>
        </is>
      </c>
      <c r="AC6" s="49" t="inlineStr">
        <is>
          <t>Employee Name · 2</t>
        </is>
      </c>
      <c r="AD6" s="49" t="inlineStr">
        <is>
          <t>DoJ</t>
        </is>
      </c>
      <c r="AE6" s="49" t="inlineStr">
        <is>
          <t>Designation</t>
        </is>
      </c>
      <c r="AF6" s="49" t="inlineStr">
        <is>
          <t>Highest Qualifications</t>
        </is>
      </c>
      <c r="AG6" s="49" t="inlineStr">
        <is>
          <t>Reporting Manager</t>
        </is>
      </c>
      <c r="AH6" s="49" t="inlineStr">
        <is>
          <t>N levels</t>
        </is>
      </c>
      <c r="AI6" s="49" t="inlineStr">
        <is>
          <t>Manager or Individual Contributor</t>
        </is>
      </c>
      <c r="AJ6" s="49" t="inlineStr">
        <is>
          <t>EXP Outside IRIS</t>
        </is>
      </c>
      <c r="AK6" s="49" t="inlineStr">
        <is>
          <t>EXP Current IRIS</t>
        </is>
      </c>
      <c r="AL6" s="49" t="inlineStr">
        <is>
          <t>Business Line</t>
        </is>
      </c>
      <c r="AM6" s="49" t="inlineStr">
        <is>
          <t>Product/Others</t>
        </is>
      </c>
      <c r="AN6" s="49" t="inlineStr">
        <is>
          <t>Department · 2</t>
        </is>
      </c>
      <c r="AO6" s="49" t="inlineStr">
        <is>
          <t>Sub Functional Categorization</t>
        </is>
      </c>
      <c r="AP6" s="49" t="inlineStr">
        <is>
          <t>Core Development</t>
        </is>
      </c>
      <c r="AQ6" s="49" t="inlineStr">
        <is>
          <t>Functional Categorization</t>
        </is>
      </c>
      <c r="AR6" s="49" t="inlineStr">
        <is>
          <t>Skill Sets</t>
        </is>
      </c>
      <c r="AS6" s="49" t="inlineStr">
        <is>
          <t>Technical/Non-technical</t>
        </is>
      </c>
      <c r="AT6" s="49" t="inlineStr">
        <is>
          <t>Total Question Answered</t>
        </is>
      </c>
      <c r="AU6" s="49" t="inlineStr">
        <is>
          <t>Status</t>
        </is>
      </c>
      <c r="AV6" s="49" t="inlineStr">
        <is>
          <t>[CARBON Mapping Master] Emp Id</t>
        </is>
      </c>
      <c r="AW6" s="49" t="inlineStr">
        <is>
          <t>[CARBON Mapping Master] Employee Name</t>
        </is>
      </c>
      <c r="AX6" s="49" t="inlineStr">
        <is>
          <t>[CARBON Mapping Master] Department</t>
        </is>
      </c>
      <c r="AY6" s="49" t="inlineStr">
        <is>
          <t>[CARBON Mapping Master] Role Family</t>
        </is>
      </c>
      <c r="AZ6" s="49" t="inlineStr">
        <is>
          <t>[CARBON Mapping Master] Sub-Family</t>
        </is>
      </c>
      <c r="BA6" s="49" t="inlineStr">
        <is>
          <t>[CARBON Mapping Master] Recommended Role Family</t>
        </is>
      </c>
      <c r="BB6" s="49" t="inlineStr">
        <is>
          <t>[CARBON Mapping Master] Recommended Sub-Family</t>
        </is>
      </c>
      <c r="BC6" s="49" t="inlineStr">
        <is>
          <t>[CARBON Mapping Master] Category</t>
        </is>
      </c>
      <c r="BD6" s="49" t="inlineStr">
        <is>
          <t>[CARBON Mapping Master] Current Reporting Manager</t>
        </is>
      </c>
      <c r="BE6" s="49" t="inlineStr">
        <is>
          <t>[CARBON Mapping Master] New Reporting Manager</t>
        </is>
      </c>
      <c r="BF6" s="49" t="inlineStr">
        <is>
          <t>[CARBON Mapping Master] Change in RM?</t>
        </is>
      </c>
      <c r="BG6" s="49" t="inlineStr">
        <is>
          <t>[CARBON Mapping Master] Current Designation</t>
        </is>
      </c>
      <c r="BH6" s="49" t="inlineStr">
        <is>
          <t>[CARBON Mapping Master] New Designation</t>
        </is>
      </c>
      <c r="BI6" s="49" t="inlineStr">
        <is>
          <t>[CARBON Mapping Master] Change in Designation?</t>
        </is>
      </c>
      <c r="BJ6" s="49" t="inlineStr">
        <is>
          <t>[CARBON Mapping Master] Current Span · Mgrs only</t>
        </is>
      </c>
      <c r="BK6" s="49" t="inlineStr">
        <is>
          <t>[CARBON Mapping Master] Current Span — FTE</t>
        </is>
      </c>
      <c r="BL6" s="49" t="inlineStr">
        <is>
          <t>[CARBON Mapping Master] Current Span — Consult/Intern</t>
        </is>
      </c>
      <c r="BM6" s="49" t="inlineStr">
        <is>
          <t>[CARBON Mapping Master] Current Span Flag</t>
        </is>
      </c>
      <c r="BN6" s="49" t="inlineStr">
        <is>
          <t>[CARBON Mapping Master] New Span · Mgrs only</t>
        </is>
      </c>
      <c r="BO6" s="49" t="inlineStr">
        <is>
          <t>[CARBON Mapping Master] New Span — FTE</t>
        </is>
      </c>
      <c r="BP6" s="49" t="inlineStr">
        <is>
          <t>[CARBON Mapping Master] New Span — Consult/Intern</t>
        </is>
      </c>
      <c r="BQ6" s="49" t="inlineStr">
        <is>
          <t>[CARBON Mapping Master] New Span Flag</t>
        </is>
      </c>
      <c r="BR6" s="49" t="inlineStr">
        <is>
          <t>[CARBON Mapping Master] Change in Span?</t>
        </is>
      </c>
      <c r="BS6" s="49" t="inlineStr">
        <is>
          <t>[CARBON Mapping Master] Career Level — Current</t>
        </is>
      </c>
      <c r="BT6" s="49" t="inlineStr">
        <is>
          <t>[CARBON Mapping Master] Career Level — New</t>
        </is>
      </c>
      <c r="BU6" s="49" t="inlineStr">
        <is>
          <t>[CARBON Mapping Master] Career Level Source</t>
        </is>
      </c>
      <c r="BV6" s="49" t="inlineStr">
        <is>
          <t>[CARBON Mapping Master] KRAs Submitted</t>
        </is>
      </c>
      <c r="BW6" s="49" t="inlineStr">
        <is>
          <t>[CARBON Mapping Master] Acual Work</t>
        </is>
      </c>
      <c r="BX6" s="49" t="inlineStr">
        <is>
          <t>[CARBON Mapping Master] Region / Operating Area</t>
        </is>
      </c>
      <c r="BY6" s="49" t="inlineStr">
        <is>
          <t>[CARBON Talent Mapping · Raw] Rating Manager</t>
        </is>
      </c>
      <c r="BZ6" s="49" t="inlineStr">
        <is>
          <t>[CARBON Talent Mapping · Raw] Emp Id</t>
        </is>
      </c>
      <c r="CA6" s="49" t="inlineStr">
        <is>
          <t>[CARBON Talent Mapping · Raw] Employee Category</t>
        </is>
      </c>
      <c r="CB6" s="49" t="inlineStr">
        <is>
          <t>[CARBON Talent Mapping · Raw] Employee Status</t>
        </is>
      </c>
      <c r="CC6" s="49" t="inlineStr">
        <is>
          <t>[CARBON Talent Mapping · Raw] Employee Name</t>
        </is>
      </c>
      <c r="CD6" s="49" t="inlineStr">
        <is>
          <t>[CARBON Talent Mapping · Raw] DoJ</t>
        </is>
      </c>
      <c r="CE6" s="49" t="inlineStr">
        <is>
          <t>[CARBON Talent Mapping · Raw] Designation</t>
        </is>
      </c>
      <c r="CF6" s="49" t="inlineStr">
        <is>
          <t>[CARBON Talent Mapping · Raw] Actual JD</t>
        </is>
      </c>
      <c r="CG6" s="49" t="inlineStr">
        <is>
          <t>[CARBON Talent Mapping · Raw] Role Family</t>
        </is>
      </c>
      <c r="CH6" s="49" t="inlineStr">
        <is>
          <t>[CARBON Talent Mapping · Raw] Sub-Family</t>
        </is>
      </c>
      <c r="CI6" s="49" t="inlineStr">
        <is>
          <t>[CARBON Talent Mapping · Raw] Job Title</t>
        </is>
      </c>
      <c r="CJ6" s="49" t="inlineStr">
        <is>
          <t>[CARBON Talent Mapping · Raw] Career Level</t>
        </is>
      </c>
      <c r="CK6" s="49" t="inlineStr">
        <is>
          <t>[CARBON Talent Mapping · Raw] Reporting Manager</t>
        </is>
      </c>
      <c r="CL6" s="49" t="inlineStr">
        <is>
          <t>[CARBON Talent Mapping · Raw] N levels</t>
        </is>
      </c>
      <c r="CM6" s="49" t="inlineStr">
        <is>
          <t>[CARBON Talent Mapping · Raw] Manager or Individual Contributor or Player cum Coach</t>
        </is>
      </c>
      <c r="CN6" s="49" t="inlineStr">
        <is>
          <t>[CARBON Talent Mapping · Raw] Business Line</t>
        </is>
      </c>
      <c r="CO6" s="49" t="inlineStr">
        <is>
          <t>[CARBON Talent Mapping · Raw] Department</t>
        </is>
      </c>
      <c r="CP6" s="49" t="inlineStr">
        <is>
          <t>[CARBON Talent Mapping · Raw] Total Experience</t>
        </is>
      </c>
      <c r="CQ6" s="49" t="inlineStr">
        <is>
          <t>[CARBON Talent Mapping · Raw] Correct Designation Based on Work</t>
        </is>
      </c>
      <c r="CR6" s="49" t="inlineStr">
        <is>
          <t>[CARBON Talent Mapping · Raw] Is a structural Change needed for better future · If yes, What changes</t>
        </is>
      </c>
      <c r="CS6" s="49" t="inlineStr">
        <is>
          <t>[CARBON Talent Mapping · Raw] Quarterly Performance Rating</t>
        </is>
      </c>
      <c r="CT6" s="49" t="inlineStr">
        <is>
          <t>[CARBON Talent Mapping · Raw] Potential Rating · High/Med/Low</t>
        </is>
      </c>
      <c r="CU6" s="49" t="inlineStr">
        <is>
          <t>[CARBON Talent Mapping · Raw] 9-Box Placement</t>
        </is>
      </c>
      <c r="CV6" s="49" t="inlineStr">
        <is>
          <t>[CARBON Talent Mapping · Raw] Ready for Promotion</t>
        </is>
      </c>
      <c r="CW6" s="49" t="inlineStr">
        <is>
          <t>[CARBON Talent Mapping · Raw] Fast Tracker · Y/N</t>
        </is>
      </c>
      <c r="CX6" s="49" t="inlineStr">
        <is>
          <t>[CARBON Talent Mapping · Raw] Critical Role · Y/N</t>
        </is>
      </c>
      <c r="CY6" s="49" t="inlineStr">
        <is>
          <t>[CARBON Talent Mapping · Raw] Name of Successor Identified</t>
        </is>
      </c>
      <c r="CZ6" s="49" t="inlineStr">
        <is>
          <t>[CARBON Talent Mapping · Raw] Training Needs identified for current Role</t>
        </is>
      </c>
      <c r="DA6" s="49" t="inlineStr">
        <is>
          <t>[CARBON Talent Mapping · Raw] Training Needs identified if · If promotion Ready</t>
        </is>
      </c>
      <c r="DB6" s="49" t="inlineStr">
        <is>
          <t>[CARBON Talent Mapping · Raw] Comments</t>
        </is>
      </c>
      <c r="DC6" s="49" t="inlineStr">
        <is>
          <t>[Talent Mapping · iFile / iDEAL / DataTech / Database Content] Rating Manager</t>
        </is>
      </c>
      <c r="DD6" s="49" t="inlineStr">
        <is>
          <t>[Talent Mapping · iFile / iDEAL / DataTech / Database Content] Emp Id</t>
        </is>
      </c>
      <c r="DE6" s="49" t="inlineStr">
        <is>
          <t>[Talent Mapping · iFile / iDEAL / DataTech / Database Content] Employee Category</t>
        </is>
      </c>
      <c r="DF6" s="49" t="inlineStr">
        <is>
          <t>[Talent Mapping · iFile / iDEAL / DataTech / Database Content] Employee Status</t>
        </is>
      </c>
      <c r="DG6" s="49" t="inlineStr">
        <is>
          <t>[Talent Mapping · iFile / iDEAL / DataTech / Database Content] Employee Name</t>
        </is>
      </c>
      <c r="DH6" s="49" t="inlineStr">
        <is>
          <t>[Talent Mapping · iFile / iDEAL / DataTech / Database Content] DoJ</t>
        </is>
      </c>
      <c r="DI6" s="49" t="inlineStr">
        <is>
          <t>[Talent Mapping · iFile / iDEAL / DataTech / Database Content] Designation</t>
        </is>
      </c>
      <c r="DJ6" s="49" t="inlineStr">
        <is>
          <t>[Talent Mapping · iFile / iDEAL / DataTech / Database Content] Role Family</t>
        </is>
      </c>
      <c r="DK6" s="49" t="inlineStr">
        <is>
          <t>[Talent Mapping · iFile / iDEAL / DataTech / Database Content] Sub-Family</t>
        </is>
      </c>
      <c r="DL6" s="49" t="inlineStr">
        <is>
          <t>[Talent Mapping · iFile / iDEAL / DataTech / Database Content] Job Title</t>
        </is>
      </c>
      <c r="DM6" s="49" t="inlineStr">
        <is>
          <t>[Talent Mapping · iFile / iDEAL / DataTech / Database Content] Career Level</t>
        </is>
      </c>
      <c r="DN6" s="49" t="inlineStr">
        <is>
          <t>[Talent Mapping · iFile / iDEAL / DataTech / Database Content] Highest Qualifications</t>
        </is>
      </c>
      <c r="DO6" s="49" t="inlineStr">
        <is>
          <t>[Talent Mapping · iFile / iDEAL / DataTech / Database Content] Reporting Manager</t>
        </is>
      </c>
      <c r="DP6" s="49" t="inlineStr">
        <is>
          <t>[Talent Mapping · iFile / iDEAL / DataTech / Database Content] N levels</t>
        </is>
      </c>
      <c r="DQ6" s="49" t="inlineStr">
        <is>
          <t>[Talent Mapping · iFile / iDEAL / DataTech / Database Content] Manager or Individual Contributor</t>
        </is>
      </c>
      <c r="DR6" s="49" t="inlineStr">
        <is>
          <t>[Talent Mapping · iFile / iDEAL / DataTech / Database Content] EXP Outside IRIS</t>
        </is>
      </c>
      <c r="DS6" s="49" t="inlineStr">
        <is>
          <t>[Talent Mapping · iFile / iDEAL / DataTech / Database Content] EXP Current IRIS</t>
        </is>
      </c>
      <c r="DT6" s="49" t="inlineStr">
        <is>
          <t>[Talent Mapping · iFile / iDEAL / DataTech / Database Content] Total Experience</t>
        </is>
      </c>
      <c r="DU6" s="49" t="inlineStr">
        <is>
          <t>[Talent Mapping · iFile / iDEAL / DataTech / Database Content] Avg Exp in IRIS</t>
        </is>
      </c>
      <c r="DV6" s="49" t="inlineStr">
        <is>
          <t>[Talent Mapping · iFile / iDEAL / DataTech / Database Content] Business Line</t>
        </is>
      </c>
      <c r="DW6" s="49" t="inlineStr">
        <is>
          <t>[Talent Mapping · iFile / iDEAL / DataTech / Database Content] Product/Others</t>
        </is>
      </c>
      <c r="DX6" s="49" t="inlineStr">
        <is>
          <t>[Talent Mapping · iFile / iDEAL / DataTech / Database Content] Department</t>
        </is>
      </c>
      <c r="DY6" s="49" t="inlineStr">
        <is>
          <t>[Talent Mapping · iFile / iDEAL / DataTech / Database Content] Sub Functional Categorization</t>
        </is>
      </c>
      <c r="DZ6" s="49" t="inlineStr">
        <is>
          <t>[Talent Mapping · iFile / iDEAL / DataTech / Database Content] Core Development</t>
        </is>
      </c>
      <c r="EA6" s="49" t="inlineStr">
        <is>
          <t>[Talent Mapping · iFile / iDEAL / DataTech / Database Content] Functional Categorization</t>
        </is>
      </c>
      <c r="EB6" s="49" t="inlineStr">
        <is>
          <t>[Talent Mapping · iFile / iDEAL / DataTech / Database Content] Skill Sets</t>
        </is>
      </c>
      <c r="EC6" s="49" t="inlineStr">
        <is>
          <t>[Talent Mapping · iFile / iDEAL / DataTech / Database Content] Technical/Non-technical</t>
        </is>
      </c>
      <c r="ED6" s="49" t="inlineStr">
        <is>
          <t>[Talent Mapping · iFile / iDEAL / DataTech / Database Content] Location</t>
        </is>
      </c>
      <c r="EE6" s="49" t="inlineStr">
        <is>
          <t>[Talent Mapping · iFile / iDEAL / DataTech / Database Content] Annual KRAs · objective Measurable Minimum 5 - Self</t>
        </is>
      </c>
      <c r="EF6" s="49" t="inlineStr">
        <is>
          <t>[Talent Mapping · iFile / iDEAL / DataTech / Database Content] Annual KRAs · objective Measurable Minimum 5 - set by Manager</t>
        </is>
      </c>
      <c r="EG6" s="49" t="inlineStr">
        <is>
          <t>[Talent Mapping · iFile / iDEAL / DataTech / Database Content] Quarterly KRAs</t>
        </is>
      </c>
      <c r="EH6" s="49" t="inlineStr">
        <is>
          <t>[Talent Mapping · iFile / iDEAL / DataTech / Database Content] Tentative Rating for Q1 · Scale 1-5</t>
        </is>
      </c>
      <c r="EI6" s="49" t="inlineStr">
        <is>
          <t>[Talent Mapping · iFile / iDEAL / DataTech / Database Content] Last Performance Discussion date</t>
        </is>
      </c>
      <c r="EJ6" s="49" t="inlineStr">
        <is>
          <t>[Talent Mapping · iFile / iDEAL / DataTech / Database Content] Correct Designation</t>
        </is>
      </c>
      <c r="EK6" s="49" t="inlineStr">
        <is>
          <t>[Talent Mapping · iFile / iDEAL / DataTech / Database Content] Is a structural Change needed for better future</t>
        </is>
      </c>
      <c r="EL6" s="49" t="inlineStr">
        <is>
          <t>[Talent Mapping · iFile / iDEAL / DataTech / Database Content] Quarterly Performance Rating</t>
        </is>
      </c>
      <c r="EM6" s="49" t="inlineStr">
        <is>
          <t>[Talent Mapping · iFile / iDEAL / DataTech / Database Content] Potential Rating · High/Med/Low</t>
        </is>
      </c>
      <c r="EN6" s="49" t="inlineStr">
        <is>
          <t>[Talent Mapping · iFile / iDEAL / DataTech / Database Content] 9-Box Placement</t>
        </is>
      </c>
      <c r="EO6" s="49" t="inlineStr">
        <is>
          <t>[Talent Mapping · iFile / iDEAL / DataTech / Database Content] Ready for Promotion</t>
        </is>
      </c>
      <c r="EP6" s="49" t="inlineStr">
        <is>
          <t>[Talent Mapping · iFile / iDEAL / DataTech / Database Content] Fast Tracker · Y/N</t>
        </is>
      </c>
      <c r="EQ6" s="49" t="inlineStr">
        <is>
          <t>[Talent Mapping · iFile / iDEAL / DataTech / Database Content] Critical Role · Y/N</t>
        </is>
      </c>
      <c r="ER6" s="49" t="inlineStr">
        <is>
          <t>[Talent Mapping · iFile / iDEAL / DataTech / Database Content] Name of Successor Identified</t>
        </is>
      </c>
      <c r="ES6" s="49" t="inlineStr">
        <is>
          <t>[Talent Mapping · iFile / iDEAL / DataTech / Database Content] Training Needs identified for current Role</t>
        </is>
      </c>
      <c r="ET6" s="49" t="inlineStr">
        <is>
          <t>[Talent Mapping · iFile / iDEAL / DataTech / Database Content] Training Needs identified if · If promotion Ready</t>
        </is>
      </c>
      <c r="EU6" s="49" t="inlineStr">
        <is>
          <t>[Talent Mapping · iFile / iDEAL / DataTech / Database Content] Projects and Products</t>
        </is>
      </c>
      <c r="EV6" s="49" t="inlineStr">
        <is>
          <t>[Talent Mapping · iFile / iDEAL / DataTech / Database Content] Projects/Delivery/client Assigned</t>
        </is>
      </c>
      <c r="EW6" s="23" t="inlineStr">
        <is>
          <t>[CARBON Mapping Master] Comments</t>
        </is>
      </c>
      <c r="EX6" s="23" t="inlineStr">
        <is>
          <t>[CARBON Mapping Master] Role Mandate</t>
        </is>
      </c>
      <c r="EY6" s="23" t="inlineStr">
        <is>
          <t>[CARBON Mapping Master] Reported Deliverables &amp; Responsibilities</t>
        </is>
      </c>
      <c r="EZ6" s="23" t="inlineStr">
        <is>
          <t>[CARBON Mapping Master] Current Capabilities</t>
        </is>
      </c>
      <c r="FA6" s="23" t="inlineStr">
        <is>
          <t>[CARBON Mapping Master] Development Priorities &amp; Learning Needs</t>
        </is>
      </c>
      <c r="FB6" s="23" t="inlineStr">
        <is>
          <t>[CARBON Mapping Master] Challenges &amp; Support Required</t>
        </is>
      </c>
      <c r="FC6" s="23" t="inlineStr">
        <is>
          <t>Values restored from the source files · field names</t>
        </is>
      </c>
      <c r="FD6" s="23" t="inlineStr">
        <is>
          <t>Emp ID in the source files · where different</t>
        </is>
      </c>
      <c r="FE6" s="50" t="inlineStr">
        <is>
          <t>KRAs set by manager · annual</t>
        </is>
      </c>
      <c r="FF6" s="50" t="inlineStr">
        <is>
          <t>KRAs · quarterly</t>
        </is>
      </c>
      <c r="FG6" s="50" t="inlineStr">
        <is>
          <t>KRAs · self-reported annual</t>
        </is>
      </c>
      <c r="FH6" s="50" t="inlineStr">
        <is>
          <t>Q1 tentative rating · scale 1-5</t>
        </is>
      </c>
      <c r="FI6" s="50" t="inlineStr">
        <is>
          <t>Actual JD · from manager</t>
        </is>
      </c>
      <c r="FJ6" s="50" t="inlineStr">
        <is>
          <t>KRA status</t>
        </is>
      </c>
      <c r="FK6" s="50" t="inlineStr">
        <is>
          <t>KRA source</t>
        </is>
      </c>
      <c r="FL6" s="50" t="inlineStr">
        <is>
          <t>Survey questions answered · of 20</t>
        </is>
      </c>
      <c r="FM6" s="50" t="inlineStr">
        <is>
          <t>Role mandate &amp; core purpose · as shared</t>
        </is>
      </c>
      <c r="FN6" s="50" t="inlineStr">
        <is>
          <t>Deliverables, responsibilities &amp; accountability · as shared</t>
        </is>
      </c>
      <c r="FO6" s="50" t="inlineStr">
        <is>
          <t>Capabilities, tools, workload &amp; way of working · as shared</t>
        </is>
      </c>
      <c r="FP6" s="50" t="inlineStr">
        <is>
          <t>Development priorities &amp; learning needs · as shared</t>
        </is>
      </c>
      <c r="FQ6" s="50" t="inlineStr">
        <is>
          <t>Challenges &amp; support required · as shared</t>
        </is>
      </c>
      <c r="FR6" s="50" t="inlineStr">
        <is>
          <t>Survey &amp; KRA evidence used for each rating</t>
        </is>
      </c>
      <c r="FS6" s="50" t="inlineStr">
        <is>
          <t>Survey themes for this role · role-holders</t>
        </is>
      </c>
      <c r="FT6" s="50" t="inlineStr">
        <is>
          <t>Learning topics named in the survey</t>
        </is>
      </c>
      <c r="FU6" s="50" t="inlineStr">
        <is>
          <t>Survey status</t>
        </is>
      </c>
    </row>
    <row r="7" ht="90" customHeight="1">
      <c r="A7" s="51" t="inlineStr">
        <is>
          <t>◂ Back</t>
        </is>
      </c>
      <c r="B7" s="29" t="inlineStr">
        <is>
          <t>Mapped</t>
        </is>
      </c>
      <c r="C7" s="28" t="inlineStr">
        <is>
          <t>Corporate</t>
        </is>
      </c>
      <c r="D7" s="29" t="inlineStr">
        <is>
          <t>IRIS0001</t>
        </is>
      </c>
      <c r="E7" s="29" t="inlineStr">
        <is>
          <t>Balachandran K</t>
        </is>
      </c>
      <c r="F7" s="29" t="inlineStr">
        <is>
          <t>Management</t>
        </is>
      </c>
      <c r="G7" s="29" t="inlineStr">
        <is>
          <t>CEO</t>
        </is>
      </c>
      <c r="H7" s="29" t="inlineStr">
        <is>
          <t>Chief Executive Officer</t>
        </is>
      </c>
      <c r="I7" s="29" t="inlineStr">
        <is>
          <t>Not in current mapping files</t>
        </is>
      </c>
      <c r="J7" s="29" t="inlineStr">
        <is>
          <t>E2</t>
        </is>
      </c>
      <c r="K7" s="29" t="inlineStr">
        <is>
          <t>● Newly mapped</t>
        </is>
      </c>
      <c r="L7" s="29" t="inlineStr">
        <is>
          <t>Executive Leadership</t>
        </is>
      </c>
      <c r="M7" s="29" t="inlineStr">
        <is>
          <t>Business Head</t>
        </is>
      </c>
      <c r="N7" s="29" t="inlineStr">
        <is>
          <t>• Survey response or KRAs describing the work · nothing on file — Employee + manager</t>
        </is>
      </c>
      <c r="O7" s="29" t="n">
        <v>0</v>
      </c>
      <c r="P7" s="28" t="inlineStr">
        <is>
          <t>E6</t>
        </is>
      </c>
      <c r="Q7" s="29" t="inlineStr">
        <is>
          <t>C-Level · CEO</t>
        </is>
      </c>
      <c r="R7" s="29" t="inlineStr">
        <is>
          <t>7</t>
        </is>
      </c>
      <c r="S7" s="29" t="inlineStr">
        <is>
          <t>20+ yrs</t>
        </is>
      </c>
      <c r="T7" s="29" t="inlineStr">
        <is>
          <t>—</t>
        </is>
      </c>
      <c r="U7" s="29" t="inlineStr">
        <is>
          <t>Chief Executive Officer</t>
        </is>
      </c>
      <c r="V7" s="29" t="inlineStr">
        <is>
          <t>IRIS Vs Market Benchmark — Aon Radford / Mercer executive codes: E6 CEO · IRIS Vs Competitor Benchmark — regtech / SaaS executive titles: CEO</t>
        </is>
      </c>
      <c r="W7" s="29" t="inlineStr">
        <is>
          <t>Aon Radford executive levels E1–E6; Mercer ET1–ET3; Korn Ferry Leadership Architect</t>
        </is>
      </c>
      <c r="X7" s="29" t="inlineStr">
        <is>
          <t>Core 5 · Future 5 · Functional 4 · Leadership 5</t>
        </is>
      </c>
      <c r="Y7" s="52" t="n">
        <v>1</v>
      </c>
      <c r="Z7" s="53" t="inlineStr">
        <is>
          <t>IRIS0001</t>
        </is>
      </c>
      <c r="AA7" s="53" t="inlineStr">
        <is>
          <t>Employee</t>
        </is>
      </c>
      <c r="AB7" s="53" t="inlineStr">
        <is>
          <t>Active</t>
        </is>
      </c>
      <c r="AC7" s="53" t="inlineStr">
        <is>
          <t>Balachandran K</t>
        </is>
      </c>
      <c r="AD7" s="54" t="n">
        <v>38200</v>
      </c>
      <c r="AE7" s="53" t="inlineStr">
        <is>
          <t>CEO</t>
        </is>
      </c>
      <c r="AF7" s="53" t="inlineStr">
        <is>
          <t>MBA</t>
        </is>
      </c>
      <c r="AG7" s="53" t="inlineStr">
        <is>
          <t>-</t>
        </is>
      </c>
      <c r="AH7" s="53" t="inlineStr">
        <is>
          <t>N</t>
        </is>
      </c>
      <c r="AI7" s="53" t="inlineStr">
        <is>
          <t>Manager</t>
        </is>
      </c>
      <c r="AJ7" s="53" t="inlineStr">
        <is>
          <t>10 years, 0 months, 0 days</t>
        </is>
      </c>
      <c r="AK7" s="53" t="inlineStr">
        <is>
          <t>22 years, 0 months, 24 days</t>
        </is>
      </c>
      <c r="AL7" s="53" t="inlineStr">
        <is>
          <t>Corporate</t>
        </is>
      </c>
      <c r="AM7" s="53" t="inlineStr">
        <is>
          <t>Corporate</t>
        </is>
      </c>
      <c r="AN7" s="53" t="inlineStr">
        <is>
          <t>Management</t>
        </is>
      </c>
      <c r="AO7" s="53" t="inlineStr">
        <is>
          <t>Management</t>
        </is>
      </c>
      <c r="AP7" s="53" t="inlineStr">
        <is>
          <t>No</t>
        </is>
      </c>
      <c r="AQ7" s="53" t="inlineStr">
        <is>
          <t>Management</t>
        </is>
      </c>
      <c r="AR7" s="53" t="inlineStr">
        <is>
          <t>Management</t>
        </is>
      </c>
      <c r="AS7" s="53" t="inlineStr">
        <is>
          <t>Non-technical</t>
        </is>
      </c>
      <c r="AT7" s="53" t="n">
        <v>0</v>
      </c>
      <c r="AU7" s="53" t="inlineStr">
        <is>
          <t>E-Top management</t>
        </is>
      </c>
      <c r="AV7" s="53" t="n"/>
      <c r="AW7" s="53" t="n"/>
      <c r="AX7" s="53" t="n"/>
      <c r="AY7" s="53" t="n"/>
      <c r="AZ7" s="53" t="n"/>
      <c r="BA7" s="53" t="n"/>
      <c r="BB7" s="53" t="n"/>
      <c r="BC7" s="53" t="n"/>
      <c r="BD7" s="53" t="n"/>
      <c r="BE7" s="53" t="n"/>
      <c r="BF7" s="53" t="n"/>
      <c r="BG7" s="53" t="n"/>
      <c r="BH7" s="53" t="n"/>
      <c r="BI7" s="53" t="n"/>
      <c r="BJ7" s="53" t="n"/>
      <c r="BK7" s="53" t="n"/>
      <c r="BL7" s="53" t="n"/>
      <c r="BM7" s="53" t="n"/>
      <c r="BN7" s="53" t="n"/>
      <c r="BO7" s="53" t="n"/>
      <c r="BP7" s="53" t="n"/>
      <c r="BQ7" s="53" t="n"/>
      <c r="BR7" s="53" t="n"/>
      <c r="BS7" s="53" t="n"/>
      <c r="BT7" s="53" t="n"/>
      <c r="BU7" s="53" t="n"/>
      <c r="BV7" s="53" t="n"/>
      <c r="BW7" s="53" t="n"/>
      <c r="BX7" s="53" t="n"/>
      <c r="BY7" s="53" t="n"/>
      <c r="BZ7" s="53" t="n"/>
      <c r="CA7" s="53" t="n"/>
      <c r="CB7" s="53" t="n"/>
      <c r="CC7" s="53" t="n"/>
      <c r="CD7" s="53" t="n"/>
      <c r="CE7" s="53" t="n"/>
      <c r="CF7" s="53" t="n"/>
      <c r="CG7" s="53" t="n"/>
      <c r="CH7" s="53" t="n"/>
      <c r="CI7" s="53" t="n"/>
      <c r="CJ7" s="53" t="n"/>
      <c r="CK7" s="53" t="n"/>
      <c r="CL7" s="53" t="n"/>
      <c r="CM7" s="53" t="n"/>
      <c r="CN7" s="53" t="n"/>
      <c r="CO7" s="53" t="n"/>
      <c r="CP7" s="53" t="n"/>
      <c r="CQ7" s="53" t="n"/>
      <c r="CR7" s="53" t="n"/>
      <c r="CS7" s="53" t="n"/>
      <c r="CT7" s="53" t="n"/>
      <c r="CU7" s="53" t="n"/>
      <c r="CV7" s="53" t="n"/>
      <c r="CW7" s="53" t="n"/>
      <c r="CX7" s="53" t="n"/>
      <c r="CY7" s="53" t="n"/>
      <c r="CZ7" s="53" t="n"/>
      <c r="DA7" s="53" t="n"/>
      <c r="DB7" s="53" t="n"/>
      <c r="DC7" s="53" t="n"/>
      <c r="DD7" s="53" t="n"/>
      <c r="DE7" s="53" t="n"/>
      <c r="DF7" s="53" t="n"/>
      <c r="DG7" s="53" t="n"/>
      <c r="DH7" s="53" t="n"/>
      <c r="DI7" s="53" t="n"/>
      <c r="DJ7" s="53" t="n"/>
      <c r="DK7" s="53" t="n"/>
      <c r="DL7" s="53" t="n"/>
      <c r="DM7" s="53" t="n"/>
      <c r="DN7" s="53" t="n"/>
      <c r="DO7" s="53" t="n"/>
      <c r="DP7" s="53" t="n"/>
      <c r="DQ7" s="53" t="n"/>
      <c r="DR7" s="53" t="n"/>
      <c r="DS7" s="53" t="n"/>
      <c r="DT7" s="53" t="n"/>
      <c r="DU7" s="53" t="n"/>
      <c r="DV7" s="53" t="n"/>
      <c r="DW7" s="53" t="n"/>
      <c r="DX7" s="53" t="n"/>
      <c r="DY7" s="53" t="n"/>
      <c r="DZ7" s="53" t="n"/>
      <c r="EA7" s="53" t="n"/>
      <c r="EB7" s="53" t="n"/>
      <c r="EC7" s="53" t="n"/>
      <c r="ED7" s="53" t="n"/>
      <c r="EE7" s="53" t="n"/>
      <c r="EF7" s="53" t="n"/>
      <c r="EG7" s="53" t="n"/>
      <c r="EH7" s="53" t="n"/>
      <c r="EI7" s="53" t="n"/>
      <c r="EJ7" s="53" t="n"/>
      <c r="EK7" s="53" t="n"/>
      <c r="EL7" s="53" t="n"/>
      <c r="EM7" s="53" t="n"/>
      <c r="EN7" s="53" t="n"/>
      <c r="EO7" s="53" t="n"/>
      <c r="EP7" s="53" t="n"/>
      <c r="EQ7" s="53" t="n"/>
      <c r="ER7" s="53" t="n"/>
      <c r="ES7" s="53" t="n"/>
      <c r="ET7" s="53" t="n"/>
      <c r="EU7" s="53" t="n"/>
      <c r="EV7" s="53" t="n"/>
      <c r="EW7" s="52" t="n"/>
      <c r="EX7" s="53" t="n"/>
      <c r="EY7" s="53" t="n"/>
      <c r="EZ7" s="53" t="n"/>
      <c r="FA7" s="53" t="n"/>
      <c r="FB7" s="53" t="n"/>
      <c r="FC7" s="53" t="n"/>
      <c r="FD7" s="53" t="n"/>
      <c r="FE7" s="55" t="inlineStr">
        <is>
          <t>KRAs not received · manager to supply</t>
        </is>
      </c>
      <c r="FF7" s="56" t="n"/>
      <c r="FG7" s="56" t="n"/>
      <c r="FH7" s="56" t="n"/>
      <c r="FI7" s="56" t="n"/>
      <c r="FJ7" s="32" t="inlineStr">
        <is>
          <t>KRAs not received · manager to supply</t>
        </is>
      </c>
      <c r="FK7" s="56" t="n"/>
      <c r="FL7" s="56" t="n">
        <v>0</v>
      </c>
      <c r="FM7" s="32" t="inlineStr">
        <is>
          <t>No survey response on file</t>
        </is>
      </c>
      <c r="FN7" s="56" t="inlineStr">
        <is>
          <t>—</t>
        </is>
      </c>
      <c r="FO7" s="56" t="inlineStr">
        <is>
          <t>—</t>
        </is>
      </c>
      <c r="FP7" s="56" t="inlineStr">
        <is>
          <t>—</t>
        </is>
      </c>
      <c r="FQ7" s="56" t="inlineStr">
        <is>
          <t>—</t>
        </is>
      </c>
      <c r="FR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7" s="56" t="n"/>
      <c r="FT7" s="56" t="n"/>
      <c r="FU7" s="32" t="inlineStr">
        <is>
          <t>No survey response on file</t>
        </is>
      </c>
    </row>
    <row r="8" ht="90" customHeight="1">
      <c r="A8" s="51" t="inlineStr">
        <is>
          <t>◂ Back</t>
        </is>
      </c>
      <c r="B8" s="29" t="inlineStr">
        <is>
          <t>Mapped</t>
        </is>
      </c>
      <c r="C8" s="28" t="inlineStr">
        <is>
          <t>CARBON</t>
        </is>
      </c>
      <c r="D8" s="29" t="inlineStr">
        <is>
          <t>IRIS2478</t>
        </is>
      </c>
      <c r="E8" s="29" t="inlineStr">
        <is>
          <t>Dixit Jasani</t>
        </is>
      </c>
      <c r="F8" s="29" t="inlineStr">
        <is>
          <t>CRO - Carbon</t>
        </is>
      </c>
      <c r="G8" s="29" t="inlineStr">
        <is>
          <t>Chief Revenue Officer- Enterprise Division</t>
        </is>
      </c>
      <c r="H8" s="29" t="inlineStr">
        <is>
          <t>Chief Revenue Officer</t>
        </is>
      </c>
      <c r="I8" s="29" t="inlineStr">
        <is>
          <t>Not in current mapping files</t>
        </is>
      </c>
      <c r="J8" s="29" t="inlineStr">
        <is>
          <t>E1</t>
        </is>
      </c>
      <c r="K8" s="29" t="inlineStr">
        <is>
          <t>● Newly mapped</t>
        </is>
      </c>
      <c r="L8" s="29" t="inlineStr">
        <is>
          <t>Executive Leadership</t>
        </is>
      </c>
      <c r="M8" s="29" t="inlineStr">
        <is>
          <t>Business Head</t>
        </is>
      </c>
      <c r="N8" s="29" t="inlineStr">
        <is>
          <t>• Survey response or KRAs describing the work · nothing on file — Employee + manager
• Resolve conflicting role records — Business head</t>
        </is>
      </c>
      <c r="O8" s="29" t="n">
        <v>0</v>
      </c>
      <c r="P8" s="28" t="inlineStr">
        <is>
          <t>E5</t>
        </is>
      </c>
      <c r="Q8" s="29" t="inlineStr">
        <is>
          <t>C-Level</t>
        </is>
      </c>
      <c r="R8" s="29" t="inlineStr">
        <is>
          <t>7</t>
        </is>
      </c>
      <c r="S8" s="29" t="inlineStr">
        <is>
          <t>20+ yrs</t>
        </is>
      </c>
      <c r="T8" s="29" t="inlineStr">
        <is>
          <t>—</t>
        </is>
      </c>
      <c r="U8" s="29" t="inlineStr">
        <is>
          <t>CXO · functional chief</t>
        </is>
      </c>
      <c r="V8" s="29" t="inlineStr">
        <is>
          <t>IRIS Vs Market Benchmark — Aon Radford / Mercer executive codes: E5 C-level · functional · IRIS Vs Competitor Benchmark — regtech / SaaS executive titles: CTO · CFO · CRO · CCO · COO</t>
        </is>
      </c>
      <c r="W8" s="29" t="inlineStr">
        <is>
          <t>Aon Radford executive levels E1–E6; Mercer ET1–ET3; Korn Ferry Leadership Architect</t>
        </is>
      </c>
      <c r="X8" s="29" t="inlineStr">
        <is>
          <t>Core 5 · Future 5 · Functional 4 · Leadership 5</t>
        </is>
      </c>
      <c r="Y8" s="52" t="n">
        <v>453</v>
      </c>
      <c r="Z8" s="53" t="inlineStr">
        <is>
          <t>IRIS2478</t>
        </is>
      </c>
      <c r="AA8" s="53" t="inlineStr">
        <is>
          <t>Employee</t>
        </is>
      </c>
      <c r="AB8" s="53" t="inlineStr">
        <is>
          <t>Active</t>
        </is>
      </c>
      <c r="AC8" s="53" t="inlineStr">
        <is>
          <t>Dixit Jasani</t>
        </is>
      </c>
      <c r="AD8" s="54" t="n">
        <v>46071</v>
      </c>
      <c r="AE8" s="53" t="inlineStr">
        <is>
          <t>Chief Revenue Officer- Enterprise Division</t>
        </is>
      </c>
      <c r="AF8" s="53" t="inlineStr">
        <is>
          <t>PGDM</t>
        </is>
      </c>
      <c r="AG8" s="53" t="inlineStr">
        <is>
          <t>Balachandran K</t>
        </is>
      </c>
      <c r="AH8" s="53" t="inlineStr">
        <is>
          <t>N-1</t>
        </is>
      </c>
      <c r="AI8" s="53" t="inlineStr">
        <is>
          <t>Manager</t>
        </is>
      </c>
      <c r="AJ8" s="53" t="inlineStr">
        <is>
          <t>27 years, 4 months, 0 days</t>
        </is>
      </c>
      <c r="AK8" s="53" t="inlineStr">
        <is>
          <t>0 years, 6 months, 7 days</t>
        </is>
      </c>
      <c r="AL8" s="53" t="inlineStr">
        <is>
          <t>Regtech</t>
        </is>
      </c>
      <c r="AM8" s="53" t="inlineStr">
        <is>
          <t>CARBON</t>
        </is>
      </c>
      <c r="AN8" s="53" t="inlineStr">
        <is>
          <t>CRO - Carbon</t>
        </is>
      </c>
      <c r="AO8" s="53" t="inlineStr">
        <is>
          <t>Sales</t>
        </is>
      </c>
      <c r="AP8" s="53" t="inlineStr">
        <is>
          <t>No</t>
        </is>
      </c>
      <c r="AQ8" s="53" t="inlineStr">
        <is>
          <t>Sales, Marketing &amp; Support</t>
        </is>
      </c>
      <c r="AR8" s="53" t="inlineStr">
        <is>
          <t>Sales</t>
        </is>
      </c>
      <c r="AS8" s="53" t="inlineStr">
        <is>
          <t>Non-technical</t>
        </is>
      </c>
      <c r="AT8" s="53" t="n">
        <v>0</v>
      </c>
      <c r="AU8" s="53" t="inlineStr">
        <is>
          <t>E-Top management</t>
        </is>
      </c>
      <c r="AV8" s="53" t="inlineStr">
        <is>
          <t>IRIS2478</t>
        </is>
      </c>
      <c r="AW8" s="53" t="inlineStr">
        <is>
          <t>Dixit Jasani</t>
        </is>
      </c>
      <c r="AX8" s="53" t="inlineStr">
        <is>
          <t>Sales</t>
        </is>
      </c>
      <c r="AY8" s="53" t="inlineStr">
        <is>
          <t>Executive Leadership</t>
        </is>
      </c>
      <c r="AZ8" s="53" t="inlineStr">
        <is>
          <t>Revenue</t>
        </is>
      </c>
      <c r="BA8" s="53" t="inlineStr">
        <is>
          <t>Business &amp; Functional Leadership</t>
        </is>
      </c>
      <c r="BB8" s="53" t="inlineStr">
        <is>
          <t>Revenue</t>
        </is>
      </c>
      <c r="BC8" s="53" t="inlineStr">
        <is>
          <t>Employee</t>
        </is>
      </c>
      <c r="BD8" s="53" t="inlineStr">
        <is>
          <t>Balachandran K</t>
        </is>
      </c>
      <c r="BE8" s="53" t="inlineStr">
        <is>
          <t>K. Balachandran · CEO — per Recommended Structure tab</t>
        </is>
      </c>
      <c r="BF8" s="53" t="inlineStr">
        <is>
          <t>New entry</t>
        </is>
      </c>
      <c r="BG8" s="53" t="inlineStr">
        <is>
          <t>Chief Revenue Officer - Enterprise Division</t>
        </is>
      </c>
      <c r="BH8" s="53" t="inlineStr">
        <is>
          <t>CRO — Marketing + Partnerships &amp; Alliances · per Recommended Structure</t>
        </is>
      </c>
      <c r="BI8" s="53" t="inlineStr">
        <is>
          <t>N/A · new entry</t>
        </is>
      </c>
      <c r="BJ8" s="53" t="n">
        <v>1</v>
      </c>
      <c r="BK8" s="53" t="n">
        <v>1</v>
      </c>
      <c r="BL8" s="53" t="n">
        <v>0</v>
      </c>
      <c r="BM8" s="53" t="inlineStr">
        <is>
          <t>Consolidate / flatten</t>
        </is>
      </c>
      <c r="BN8" s="53" t="n">
        <v>2</v>
      </c>
      <c r="BO8" s="53" t="n">
        <v>2</v>
      </c>
      <c r="BP8" s="53" t="n">
        <v>0</v>
      </c>
      <c r="BQ8" s="53" t="inlineStr">
        <is>
          <t>Consolidate / flatten</t>
        </is>
      </c>
      <c r="BR8" s="53" t="inlineStr">
        <is>
          <t>Yes</t>
        </is>
      </c>
      <c r="BS8" s="53" t="n"/>
      <c r="BT8" s="53" t="n"/>
      <c r="BU8" s="53" t="inlineStr">
        <is>
          <t>Backfilled from Carbon_List.xlsx · current state</t>
        </is>
      </c>
      <c r="BV8" s="53" t="n"/>
      <c r="BW8" s="53" t="n"/>
      <c r="BX8" s="53" t="n"/>
      <c r="BY8" s="53" t="n"/>
      <c r="BZ8" s="53" t="n"/>
      <c r="CA8" s="53" t="n"/>
      <c r="CB8" s="53" t="n"/>
      <c r="CC8" s="53" t="n"/>
      <c r="CD8" s="53" t="n"/>
      <c r="CE8" s="53" t="n"/>
      <c r="CF8" s="53" t="n"/>
      <c r="CG8" s="53" t="n"/>
      <c r="CH8" s="53" t="n"/>
      <c r="CI8" s="53" t="n"/>
      <c r="CJ8" s="53" t="n"/>
      <c r="CK8" s="53" t="n"/>
      <c r="CL8" s="53" t="n"/>
      <c r="CM8" s="53" t="n"/>
      <c r="CN8" s="53" t="n"/>
      <c r="CO8" s="53" t="n"/>
      <c r="CP8" s="53" t="n"/>
      <c r="CQ8" s="53" t="n"/>
      <c r="CR8" s="53" t="n"/>
      <c r="CS8" s="53" t="n"/>
      <c r="CT8" s="53" t="n"/>
      <c r="CU8" s="53" t="n"/>
      <c r="CV8" s="53" t="n"/>
      <c r="CW8" s="53" t="n"/>
      <c r="CX8" s="53" t="n"/>
      <c r="CY8" s="53" t="n"/>
      <c r="CZ8" s="53" t="n"/>
      <c r="DA8" s="53" t="n"/>
      <c r="DB8" s="53" t="n"/>
      <c r="DC8" s="53" t="n"/>
      <c r="DD8" s="53" t="n"/>
      <c r="DE8" s="53" t="n"/>
      <c r="DF8" s="53" t="n"/>
      <c r="DG8" s="53" t="n"/>
      <c r="DH8" s="53" t="n"/>
      <c r="DI8" s="53" t="n"/>
      <c r="DJ8" s="53" t="n"/>
      <c r="DK8" s="53" t="n"/>
      <c r="DL8" s="53" t="n"/>
      <c r="DM8" s="53" t="n"/>
      <c r="DN8" s="53" t="n"/>
      <c r="DO8" s="53" t="n"/>
      <c r="DP8" s="53" t="n"/>
      <c r="DQ8" s="53" t="n"/>
      <c r="DR8" s="53" t="n"/>
      <c r="DS8" s="53" t="n"/>
      <c r="DT8" s="53" t="n"/>
      <c r="DU8" s="53" t="n"/>
      <c r="DV8" s="53" t="n"/>
      <c r="DW8" s="53" t="n"/>
      <c r="DX8" s="53" t="n"/>
      <c r="DY8" s="53" t="n"/>
      <c r="DZ8" s="53" t="n"/>
      <c r="EA8" s="53" t="n"/>
      <c r="EB8" s="53" t="n"/>
      <c r="EC8" s="53" t="n"/>
      <c r="ED8" s="53" t="n"/>
      <c r="EE8" s="53" t="n"/>
      <c r="EF8" s="53" t="n"/>
      <c r="EG8" s="53" t="n"/>
      <c r="EH8" s="53" t="n"/>
      <c r="EI8" s="53" t="n"/>
      <c r="EJ8" s="53" t="n"/>
      <c r="EK8" s="53" t="n"/>
      <c r="EL8" s="53" t="n"/>
      <c r="EM8" s="53" t="n"/>
      <c r="EN8" s="53" t="n"/>
      <c r="EO8" s="53" t="n"/>
      <c r="EP8" s="53" t="n"/>
      <c r="EQ8" s="53" t="n"/>
      <c r="ER8" s="53" t="n"/>
      <c r="ES8" s="53" t="n"/>
      <c r="ET8" s="53" t="n"/>
      <c r="EU8" s="53" t="n"/>
      <c r="EV8" s="53" t="n"/>
      <c r="EW8" s="52" t="n"/>
      <c r="EX8" s="53" t="n"/>
      <c r="EY8" s="53" t="n"/>
      <c r="EZ8" s="53" t="n"/>
      <c r="FA8" s="53" t="n"/>
      <c r="FB8" s="53" t="n"/>
      <c r="FC8" s="53" t="n"/>
      <c r="FD8" s="53" t="n"/>
      <c r="FE8" s="55" t="inlineStr">
        <is>
          <t>KRAs not received · manager to supply</t>
        </is>
      </c>
      <c r="FF8" s="56" t="n"/>
      <c r="FG8" s="56" t="n"/>
      <c r="FH8" s="56" t="n"/>
      <c r="FI8" s="56" t="n"/>
      <c r="FJ8" s="32" t="inlineStr">
        <is>
          <t>KRAs not received · manager to supply</t>
        </is>
      </c>
      <c r="FK8" s="56" t="n"/>
      <c r="FL8" s="56" t="n">
        <v>0</v>
      </c>
      <c r="FM8" s="32" t="inlineStr">
        <is>
          <t>No survey response on file</t>
        </is>
      </c>
      <c r="FN8" s="56" t="inlineStr">
        <is>
          <t>—</t>
        </is>
      </c>
      <c r="FO8" s="56" t="inlineStr">
        <is>
          <t>—</t>
        </is>
      </c>
      <c r="FP8" s="56" t="inlineStr">
        <is>
          <t>—</t>
        </is>
      </c>
      <c r="FQ8" s="56" t="inlineStr">
        <is>
          <t>—</t>
        </is>
      </c>
      <c r="FR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8" s="56" t="n"/>
      <c r="FT8" s="56" t="n"/>
      <c r="FU8" s="32" t="inlineStr">
        <is>
          <t>No survey response on file</t>
        </is>
      </c>
    </row>
    <row r="9" ht="90" customHeight="1">
      <c r="A9" s="51" t="inlineStr">
        <is>
          <t>◂ Back</t>
        </is>
      </c>
      <c r="B9" s="29" t="inlineStr">
        <is>
          <t>Mapped</t>
        </is>
      </c>
      <c r="C9" s="28" t="inlineStr">
        <is>
          <t>CARBON</t>
        </is>
      </c>
      <c r="D9" s="29" t="inlineStr">
        <is>
          <t>IRIS0391</t>
        </is>
      </c>
      <c r="E9" s="29" t="inlineStr">
        <is>
          <t>Anuradha RK</t>
        </is>
      </c>
      <c r="F9" s="29" t="inlineStr">
        <is>
          <t>CARBON Business Head</t>
        </is>
      </c>
      <c r="G9" s="29" t="inlineStr">
        <is>
          <t>Business Head</t>
        </is>
      </c>
      <c r="H9" s="29" t="inlineStr">
        <is>
          <t>Business Head</t>
        </is>
      </c>
      <c r="I9" s="29" t="inlineStr">
        <is>
          <t>Not in current mapping files</t>
        </is>
      </c>
      <c r="J9" s="29" t="inlineStr">
        <is>
          <t>D2</t>
        </is>
      </c>
      <c r="K9" s="29" t="inlineStr">
        <is>
          <t>● Newly mapped</t>
        </is>
      </c>
      <c r="L9" s="29" t="inlineStr">
        <is>
          <t>Executive Leadership</t>
        </is>
      </c>
      <c r="M9" s="29" t="inlineStr">
        <is>
          <t>Business Head</t>
        </is>
      </c>
      <c r="N9" s="29" t="inlineStr">
        <is>
          <t>• Survey response or KRAs describing the work · nothing on file — Employee + manager
• Resolve conflicting role records — Business head</t>
        </is>
      </c>
      <c r="O9" s="29" t="n">
        <v>0</v>
      </c>
      <c r="P9" s="28" t="inlineStr">
        <is>
          <t>E3–E4</t>
        </is>
      </c>
      <c r="Q9" s="29" t="inlineStr">
        <is>
          <t>SVP</t>
        </is>
      </c>
      <c r="R9" s="29" t="inlineStr">
        <is>
          <t>7 Set strategy</t>
        </is>
      </c>
      <c r="S9" s="29" t="inlineStr">
        <is>
          <t>18–24 yrs</t>
        </is>
      </c>
      <c r="T9" s="29" t="inlineStr">
        <is>
          <t>—</t>
        </is>
      </c>
      <c r="U9" s="29" t="inlineStr">
        <is>
          <t>Associate Vice President</t>
        </is>
      </c>
      <c r="V9" s="29" t="inlineStr">
        <is>
          <t>IRIS Vs Market Benchmark — Aon Radford / Mercer executive codes: E3–E4 SVP · IRIS Vs Competitor Benchmark — regtech / SaaS executive titles: SVP</t>
        </is>
      </c>
      <c r="W9" s="29" t="inlineStr">
        <is>
          <t>Aon Radford executive levels E1–E6; Mercer ET1–ET3; Korn Ferry Leadership Architect</t>
        </is>
      </c>
      <c r="X9" s="29" t="inlineStr">
        <is>
          <t>Core 5 · Future 4 · Functional 4 · Leadership 5</t>
        </is>
      </c>
      <c r="Y9" s="52" t="n">
        <v>53</v>
      </c>
      <c r="Z9" s="53" t="inlineStr">
        <is>
          <t>IRIS0391</t>
        </is>
      </c>
      <c r="AA9" s="53" t="inlineStr">
        <is>
          <t>Employee</t>
        </is>
      </c>
      <c r="AB9" s="53" t="inlineStr">
        <is>
          <t>Active</t>
        </is>
      </c>
      <c r="AC9" s="53" t="inlineStr">
        <is>
          <t>Anuradha RK</t>
        </is>
      </c>
      <c r="AD9" s="54" t="n">
        <v>40304</v>
      </c>
      <c r="AE9" s="53" t="inlineStr">
        <is>
          <t>Business Head</t>
        </is>
      </c>
      <c r="AF9" s="53" t="inlineStr">
        <is>
          <t>MBA</t>
        </is>
      </c>
      <c r="AG9" s="53" t="inlineStr">
        <is>
          <t>Dixit Jasani</t>
        </is>
      </c>
      <c r="AH9" s="53" t="inlineStr">
        <is>
          <t>N-2</t>
        </is>
      </c>
      <c r="AI9" s="53" t="inlineStr">
        <is>
          <t>Manager</t>
        </is>
      </c>
      <c r="AJ9" s="53" t="inlineStr">
        <is>
          <t>0 years, 8 months, 0 days</t>
        </is>
      </c>
      <c r="AK9" s="53" t="inlineStr">
        <is>
          <t>16 years, 3 months, 19 days</t>
        </is>
      </c>
      <c r="AL9" s="53" t="inlineStr">
        <is>
          <t>Regtech</t>
        </is>
      </c>
      <c r="AM9" s="53" t="inlineStr">
        <is>
          <t>CARBON</t>
        </is>
      </c>
      <c r="AN9" s="53" t="inlineStr">
        <is>
          <t>CARBON Business Head</t>
        </is>
      </c>
      <c r="AO9" s="53" t="inlineStr">
        <is>
          <t>Client Engagement</t>
        </is>
      </c>
      <c r="AP9" s="53" t="inlineStr">
        <is>
          <t>No</t>
        </is>
      </c>
      <c r="AQ9" s="53" t="inlineStr">
        <is>
          <t>Client Engagement</t>
        </is>
      </c>
      <c r="AR9" s="53" t="inlineStr">
        <is>
          <t>Product Management</t>
        </is>
      </c>
      <c r="AS9" s="53" t="inlineStr">
        <is>
          <t>Technical · BA, PM and QA</t>
        </is>
      </c>
      <c r="AT9" s="53" t="n">
        <v>0</v>
      </c>
      <c r="AU9" s="53" t="inlineStr">
        <is>
          <t>E-Top management</t>
        </is>
      </c>
      <c r="AV9" s="53" t="inlineStr">
        <is>
          <t>IRIS0391</t>
        </is>
      </c>
      <c r="AW9" s="53" t="inlineStr">
        <is>
          <t>Anuradha RK</t>
        </is>
      </c>
      <c r="AX9" s="53" t="inlineStr">
        <is>
          <t>Sales</t>
        </is>
      </c>
      <c r="AY9" s="53" t="inlineStr">
        <is>
          <t>Executive Leadership</t>
        </is>
      </c>
      <c r="AZ9" s="53" t="inlineStr">
        <is>
          <t>Revenue</t>
        </is>
      </c>
      <c r="BA9" s="53" t="inlineStr">
        <is>
          <t>Business &amp; Functional Leadership</t>
        </is>
      </c>
      <c r="BB9" s="53" t="inlineStr">
        <is>
          <t>Business Head</t>
        </is>
      </c>
      <c r="BC9" s="53" t="inlineStr">
        <is>
          <t>Employee</t>
        </is>
      </c>
      <c r="BD9" s="53" t="inlineStr">
        <is>
          <t>Dixit Jasani</t>
        </is>
      </c>
      <c r="BE9" s="53" t="inlineStr">
        <is>
          <t>Dixit Jasani</t>
        </is>
      </c>
      <c r="BF9" s="53" t="inlineStr">
        <is>
          <t>New entry</t>
        </is>
      </c>
      <c r="BG9" s="53" t="inlineStr">
        <is>
          <t>Business Head</t>
        </is>
      </c>
      <c r="BH9" s="53" t="inlineStr">
        <is>
          <t>Sales + Implementation · per Recommended Structure</t>
        </is>
      </c>
      <c r="BI9" s="53" t="inlineStr">
        <is>
          <t>N/A · new entry</t>
        </is>
      </c>
      <c r="BJ9" s="53" t="n">
        <v>11</v>
      </c>
      <c r="BK9" s="53" t="n">
        <v>10</v>
      </c>
      <c r="BL9" s="53" t="n">
        <v>1</v>
      </c>
      <c r="BM9" s="53" t="inlineStr">
        <is>
          <t>Healthy</t>
        </is>
      </c>
      <c r="BN9" s="53" t="n">
        <v>13</v>
      </c>
      <c r="BO9" s="53" t="n">
        <v>12</v>
      </c>
      <c r="BP9" s="53" t="n">
        <v>1</v>
      </c>
      <c r="BQ9" s="53" t="inlineStr">
        <is>
          <t>Healthy</t>
        </is>
      </c>
      <c r="BR9" s="53" t="inlineStr">
        <is>
          <t>Yes</t>
        </is>
      </c>
      <c r="BS9" s="53" t="n"/>
      <c r="BT9" s="53" t="n"/>
      <c r="BU9" s="53" t="inlineStr">
        <is>
          <t>Backfilled from Carbon_List.xlsx · current state</t>
        </is>
      </c>
      <c r="BV9" s="53" t="n"/>
      <c r="BW9" s="53" t="n"/>
      <c r="BX9" s="53" t="n"/>
      <c r="BY9" s="53" t="n"/>
      <c r="BZ9" s="53" t="n"/>
      <c r="CA9" s="53" t="n"/>
      <c r="CB9" s="53" t="n"/>
      <c r="CC9" s="53" t="n"/>
      <c r="CD9" s="53" t="n"/>
      <c r="CE9" s="53" t="n"/>
      <c r="CF9" s="53" t="n"/>
      <c r="CG9" s="53" t="n"/>
      <c r="CH9" s="53" t="n"/>
      <c r="CI9" s="53" t="n"/>
      <c r="CJ9" s="53" t="n"/>
      <c r="CK9" s="53" t="n"/>
      <c r="CL9" s="53" t="n"/>
      <c r="CM9" s="53" t="n"/>
      <c r="CN9" s="53" t="n"/>
      <c r="CO9" s="53" t="n"/>
      <c r="CP9" s="53" t="n"/>
      <c r="CQ9" s="53" t="n"/>
      <c r="CR9" s="53" t="n"/>
      <c r="CS9" s="53" t="n"/>
      <c r="CT9" s="53" t="n"/>
      <c r="CU9" s="53" t="n"/>
      <c r="CV9" s="53" t="n"/>
      <c r="CW9" s="53" t="n"/>
      <c r="CX9" s="53" t="n"/>
      <c r="CY9" s="53" t="n"/>
      <c r="CZ9" s="53" t="n"/>
      <c r="DA9" s="53" t="n"/>
      <c r="DB9" s="53" t="n"/>
      <c r="DC9" s="53" t="n"/>
      <c r="DD9" s="53" t="n"/>
      <c r="DE9" s="53" t="n"/>
      <c r="DF9" s="53" t="n"/>
      <c r="DG9" s="53" t="n"/>
      <c r="DH9" s="53" t="n"/>
      <c r="DI9" s="53" t="n"/>
      <c r="DJ9" s="53" t="n"/>
      <c r="DK9" s="53" t="n"/>
      <c r="DL9" s="53" t="n"/>
      <c r="DM9" s="53" t="n"/>
      <c r="DN9" s="53" t="n"/>
      <c r="DO9" s="53" t="n"/>
      <c r="DP9" s="53" t="n"/>
      <c r="DQ9" s="53" t="n"/>
      <c r="DR9" s="53" t="n"/>
      <c r="DS9" s="53" t="n"/>
      <c r="DT9" s="53" t="n"/>
      <c r="DU9" s="53" t="n"/>
      <c r="DV9" s="53" t="n"/>
      <c r="DW9" s="53" t="n"/>
      <c r="DX9" s="53" t="n"/>
      <c r="DY9" s="53" t="n"/>
      <c r="DZ9" s="53" t="n"/>
      <c r="EA9" s="53" t="n"/>
      <c r="EB9" s="53" t="n"/>
      <c r="EC9" s="53" t="n"/>
      <c r="ED9" s="53" t="n"/>
      <c r="EE9" s="53" t="n"/>
      <c r="EF9" s="53" t="n"/>
      <c r="EG9" s="53" t="n"/>
      <c r="EH9" s="53" t="n"/>
      <c r="EI9" s="53" t="n"/>
      <c r="EJ9" s="53" t="n"/>
      <c r="EK9" s="53" t="n"/>
      <c r="EL9" s="53" t="n"/>
      <c r="EM9" s="53" t="n"/>
      <c r="EN9" s="53" t="n"/>
      <c r="EO9" s="53" t="n"/>
      <c r="EP9" s="53" t="n"/>
      <c r="EQ9" s="53" t="n"/>
      <c r="ER9" s="53" t="n"/>
      <c r="ES9" s="53" t="n"/>
      <c r="ET9" s="53" t="n"/>
      <c r="EU9" s="53" t="n"/>
      <c r="EV9" s="53" t="n"/>
      <c r="EW9" s="52" t="n"/>
      <c r="EX9" s="53" t="n"/>
      <c r="EY9" s="53" t="n"/>
      <c r="EZ9" s="53" t="n"/>
      <c r="FA9" s="53" t="n"/>
      <c r="FB9" s="53" t="n"/>
      <c r="FC9" s="53" t="n"/>
      <c r="FD9" s="53" t="n"/>
      <c r="FE9" s="55" t="inlineStr">
        <is>
          <t>KRAs not received · manager to supply</t>
        </is>
      </c>
      <c r="FF9" s="56" t="n"/>
      <c r="FG9" s="56" t="n"/>
      <c r="FH9" s="56" t="n"/>
      <c r="FI9" s="56" t="n"/>
      <c r="FJ9" s="32" t="inlineStr">
        <is>
          <t>KRAs not received · manager to supply</t>
        </is>
      </c>
      <c r="FK9" s="56" t="n"/>
      <c r="FL9" s="56" t="n">
        <v>0</v>
      </c>
      <c r="FM9" s="32" t="inlineStr">
        <is>
          <t>No survey response on file</t>
        </is>
      </c>
      <c r="FN9" s="56" t="inlineStr">
        <is>
          <t>—</t>
        </is>
      </c>
      <c r="FO9" s="56" t="inlineStr">
        <is>
          <t>—</t>
        </is>
      </c>
      <c r="FP9" s="56" t="inlineStr">
        <is>
          <t>—</t>
        </is>
      </c>
      <c r="FQ9" s="56" t="inlineStr">
        <is>
          <t>—</t>
        </is>
      </c>
      <c r="FR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9" s="56" t="n"/>
      <c r="FT9" s="56" t="n"/>
      <c r="FU9" s="32" t="inlineStr">
        <is>
          <t>No survey response on file</t>
        </is>
      </c>
    </row>
    <row r="10" ht="90" customHeight="1">
      <c r="A10" s="51" t="inlineStr">
        <is>
          <t>◂ Back</t>
        </is>
      </c>
      <c r="B10" s="29" t="inlineStr">
        <is>
          <t>Mapped</t>
        </is>
      </c>
      <c r="C10" s="28" t="inlineStr">
        <is>
          <t>CARBON</t>
        </is>
      </c>
      <c r="D10" s="29" t="inlineStr">
        <is>
          <t>IRIS2359</t>
        </is>
      </c>
      <c r="E10" s="29" t="inlineStr">
        <is>
          <t>Suman Adhikary</t>
        </is>
      </c>
      <c r="F10" s="29" t="inlineStr">
        <is>
          <t>Customer Experience</t>
        </is>
      </c>
      <c r="G10" s="29" t="inlineStr">
        <is>
          <t>Senior Vice President - Customer Experience</t>
        </is>
      </c>
      <c r="H10" s="29" t="inlineStr">
        <is>
          <t>Senior Vice President – Customer Experience</t>
        </is>
      </c>
      <c r="I10" s="29" t="inlineStr">
        <is>
          <t>Not in current mapping files</t>
        </is>
      </c>
      <c r="J10" s="29" t="inlineStr">
        <is>
          <t>D1</t>
        </is>
      </c>
      <c r="K10" s="29" t="inlineStr">
        <is>
          <t>● Newly mapped</t>
        </is>
      </c>
      <c r="L10" s="29" t="inlineStr">
        <is>
          <t>Executive Leadership</t>
        </is>
      </c>
      <c r="M10" s="29" t="inlineStr">
        <is>
          <t>Business Head</t>
        </is>
      </c>
      <c r="N10" s="29" t="inlineStr">
        <is>
          <t>• Survey response or KRAs describing the work · nothing on file — Employee + manager
• Resolve conflicting role records — Business head</t>
        </is>
      </c>
      <c r="O10" s="29" t="n">
        <v>0</v>
      </c>
      <c r="P10" s="28" t="inlineStr">
        <is>
          <t>E1–E2</t>
        </is>
      </c>
      <c r="Q10" s="29" t="inlineStr">
        <is>
          <t>VP</t>
        </is>
      </c>
      <c r="R10" s="29" t="inlineStr">
        <is>
          <t>6–7</t>
        </is>
      </c>
      <c r="S10" s="29" t="inlineStr">
        <is>
          <t>15–20 yrs</t>
        </is>
      </c>
      <c r="T10" s="29" t="inlineStr">
        <is>
          <t>—</t>
        </is>
      </c>
      <c r="U10" s="29" t="inlineStr">
        <is>
          <t>Vice President / Senior Vice President / Senior Vice President</t>
        </is>
      </c>
      <c r="V10" s="29" t="inlineStr">
        <is>
          <t>IRIS Vs Market Benchmark — Aon Radford / Mercer executive codes: E1–E2 VP / Business Head · IRIS Vs Competitor Benchmark — regtech / SaaS executive titles: General Manager / VP</t>
        </is>
      </c>
      <c r="W10" s="29" t="inlineStr">
        <is>
          <t>Aon Radford executive levels E1–E6; Mercer ET1–ET3; Korn Ferry Leadership Architect</t>
        </is>
      </c>
      <c r="X10" s="29" t="inlineStr">
        <is>
          <t>Core 5 · Future 4 · Functional 4 · Leadership 5</t>
        </is>
      </c>
      <c r="Y10" s="52" t="n">
        <v>365</v>
      </c>
      <c r="Z10" s="53" t="inlineStr">
        <is>
          <t>IRIS2359</t>
        </is>
      </c>
      <c r="AA10" s="53" t="inlineStr">
        <is>
          <t>Employee</t>
        </is>
      </c>
      <c r="AB10" s="53" t="inlineStr">
        <is>
          <t>Active</t>
        </is>
      </c>
      <c r="AC10" s="53" t="inlineStr">
        <is>
          <t>Suman Adhikary</t>
        </is>
      </c>
      <c r="AD10" s="54" t="n">
        <v>45748</v>
      </c>
      <c r="AE10" s="53" t="inlineStr">
        <is>
          <t>Senior Vice President - Customer Experience</t>
        </is>
      </c>
      <c r="AF10" s="53" t="inlineStr">
        <is>
          <t>B.E</t>
        </is>
      </c>
      <c r="AG10" s="53" t="inlineStr">
        <is>
          <t>Anuradha RK</t>
        </is>
      </c>
      <c r="AH10" s="53" t="inlineStr">
        <is>
          <t>N-3</t>
        </is>
      </c>
      <c r="AI10" s="53" t="inlineStr">
        <is>
          <t>Manager</t>
        </is>
      </c>
      <c r="AJ10" s="53" t="inlineStr">
        <is>
          <t>27 years, 2 months, 0 days</t>
        </is>
      </c>
      <c r="AK10" s="53" t="inlineStr">
        <is>
          <t>1 years, 4 months, 24 days</t>
        </is>
      </c>
      <c r="AL10" s="53" t="inlineStr">
        <is>
          <t>Regtech</t>
        </is>
      </c>
      <c r="AM10" s="53" t="inlineStr">
        <is>
          <t>CARBON</t>
        </is>
      </c>
      <c r="AN10" s="53" t="inlineStr">
        <is>
          <t>Customer Experience</t>
        </is>
      </c>
      <c r="AO10" s="53" t="inlineStr">
        <is>
          <t>Client Engagement</t>
        </is>
      </c>
      <c r="AP10" s="53" t="inlineStr">
        <is>
          <t>No</t>
        </is>
      </c>
      <c r="AQ10" s="53" t="inlineStr">
        <is>
          <t>Client Engagement</t>
        </is>
      </c>
      <c r="AR10" s="53" t="inlineStr">
        <is>
          <t>Customer Experience</t>
        </is>
      </c>
      <c r="AS10" s="53" t="inlineStr">
        <is>
          <t>Non-technical</t>
        </is>
      </c>
      <c r="AT10" s="53" t="n">
        <v>0</v>
      </c>
      <c r="AU10" s="53" t="inlineStr">
        <is>
          <t>E-Top management</t>
        </is>
      </c>
      <c r="AV10" s="53" t="inlineStr">
        <is>
          <t>IRIS2359</t>
        </is>
      </c>
      <c r="AW10" s="53" t="inlineStr">
        <is>
          <t>Suman Adhikary</t>
        </is>
      </c>
      <c r="AX10" s="53" t="inlineStr">
        <is>
          <t>Services</t>
        </is>
      </c>
      <c r="AY10" s="53" t="inlineStr">
        <is>
          <t>Executive Leadership</t>
        </is>
      </c>
      <c r="AZ10" s="53" t="inlineStr">
        <is>
          <t>Customer Experience</t>
        </is>
      </c>
      <c r="BA10" s="53" t="inlineStr">
        <is>
          <t>Business &amp; Functional Leadership</t>
        </is>
      </c>
      <c r="BB10" s="53" t="inlineStr">
        <is>
          <t>Customer Experience</t>
        </is>
      </c>
      <c r="BC10" s="53" t="inlineStr">
        <is>
          <t>Employee</t>
        </is>
      </c>
      <c r="BD10" s="53" t="inlineStr">
        <is>
          <t>Anuradha RK</t>
        </is>
      </c>
      <c r="BE10" s="53" t="inlineStr">
        <is>
          <t>Dixit Jasani</t>
        </is>
      </c>
      <c r="BF10" s="53" t="inlineStr">
        <is>
          <t>Yes</t>
        </is>
      </c>
      <c r="BG10" s="53" t="inlineStr">
        <is>
          <t>Senior Vice President - Customer Experience</t>
        </is>
      </c>
      <c r="BH10" s="53" t="inlineStr">
        <is>
          <t>Senior Vice President - Customer Experience</t>
        </is>
      </c>
      <c r="BI10" s="53" t="inlineStr">
        <is>
          <t>N/A · new entry</t>
        </is>
      </c>
      <c r="BJ10" s="53" t="n">
        <v>10</v>
      </c>
      <c r="BK10" s="53" t="n">
        <v>10</v>
      </c>
      <c r="BL10" s="53" t="n">
        <v>0</v>
      </c>
      <c r="BM10" s="53" t="inlineStr">
        <is>
          <t>Healthy</t>
        </is>
      </c>
      <c r="BN10" s="53" t="n">
        <v>3</v>
      </c>
      <c r="BO10" s="53" t="n">
        <v>3</v>
      </c>
      <c r="BP10" s="53" t="n">
        <v>0</v>
      </c>
      <c r="BQ10" s="53" t="inlineStr">
        <is>
          <t>Review</t>
        </is>
      </c>
      <c r="BR10" s="53" t="inlineStr">
        <is>
          <t>Yes</t>
        </is>
      </c>
      <c r="BS10" s="53" t="n"/>
      <c r="BT10" s="53" t="n"/>
      <c r="BU10" s="53" t="inlineStr">
        <is>
          <t>No designation change — current record value carried forward</t>
        </is>
      </c>
      <c r="BV10" s="53" t="n"/>
      <c r="BW10" s="53" t="n"/>
      <c r="BX10" s="53" t="n"/>
      <c r="BY10" s="53" t="n"/>
      <c r="BZ10" s="53" t="inlineStr">
        <is>
          <t>IRIS2359</t>
        </is>
      </c>
      <c r="CA10" s="53" t="inlineStr">
        <is>
          <t>Employee</t>
        </is>
      </c>
      <c r="CB10" s="53" t="inlineStr">
        <is>
          <t>Active</t>
        </is>
      </c>
      <c r="CC10" s="53" t="inlineStr">
        <is>
          <t>Suman Adhikary</t>
        </is>
      </c>
      <c r="CD10" s="54" t="n">
        <v>28110</v>
      </c>
      <c r="CE10" s="53" t="inlineStr">
        <is>
          <t>Senior Vice President - Customer Experience</t>
        </is>
      </c>
      <c r="CF10" s="53" t="n"/>
      <c r="CG10" s="53" t="inlineStr">
        <is>
          <t>Executive Leadership</t>
        </is>
      </c>
      <c r="CH10" s="53" t="inlineStr">
        <is>
          <t>Business / Functional Leadership</t>
        </is>
      </c>
      <c r="CI10" s="53" t="inlineStr">
        <is>
          <t>Senior Vice President - Customer Experience</t>
        </is>
      </c>
      <c r="CJ10" s="53" t="inlineStr">
        <is>
          <t>L8 – Vice President</t>
        </is>
      </c>
      <c r="CK10" s="53" t="inlineStr">
        <is>
          <t>Anuradha RK</t>
        </is>
      </c>
      <c r="CL10" s="53" t="inlineStr">
        <is>
          <t>N-3</t>
        </is>
      </c>
      <c r="CM10" s="53" t="n"/>
      <c r="CN10" s="53" t="inlineStr">
        <is>
          <t>Manager</t>
        </is>
      </c>
      <c r="CO10" s="53" t="inlineStr">
        <is>
          <t>Customer Experience</t>
        </is>
      </c>
      <c r="CP10" s="53" t="inlineStr">
        <is>
          <t>27 years, 2 months, 0 days</t>
        </is>
      </c>
      <c r="CQ10" s="53" t="n"/>
      <c r="CR10" s="53" t="inlineStr">
        <is>
          <t>1 years, 2 months, 19 days</t>
        </is>
      </c>
      <c r="CS10" s="53" t="inlineStr">
        <is>
          <t>28 years, 4 months, 19 days</t>
        </is>
      </c>
      <c r="CT10" s="53" t="n">
        <v>1.218721461</v>
      </c>
      <c r="CU10" s="53" t="n"/>
      <c r="CV10" s="53" t="n"/>
      <c r="CW10" s="53" t="inlineStr">
        <is>
          <t>Regtech</t>
        </is>
      </c>
      <c r="CX10" s="53" t="inlineStr">
        <is>
          <t>CARBON</t>
        </is>
      </c>
      <c r="CY10" s="53" t="inlineStr">
        <is>
          <t>Customer Experience</t>
        </is>
      </c>
      <c r="CZ10" s="53" t="inlineStr">
        <is>
          <t>Client Engagement</t>
        </is>
      </c>
      <c r="DA10" s="53" t="inlineStr">
        <is>
          <t>No</t>
        </is>
      </c>
      <c r="DB10" s="53" t="inlineStr">
        <is>
          <t>Client Engagement</t>
        </is>
      </c>
      <c r="DC10" s="53" t="n"/>
      <c r="DD10" s="53" t="n"/>
      <c r="DE10" s="53" t="n"/>
      <c r="DF10" s="53" t="n"/>
      <c r="DG10" s="53" t="n"/>
      <c r="DH10" s="53" t="n"/>
      <c r="DI10" s="53" t="n"/>
      <c r="DJ10" s="53" t="n"/>
      <c r="DK10" s="53" t="n"/>
      <c r="DL10" s="53" t="n"/>
      <c r="DM10" s="53" t="n"/>
      <c r="DN10" s="53" t="n"/>
      <c r="DO10" s="53" t="n"/>
      <c r="DP10" s="53" t="n"/>
      <c r="DQ10" s="53" t="n"/>
      <c r="DR10" s="53" t="n"/>
      <c r="DS10" s="53" t="n"/>
      <c r="DT10" s="53" t="n"/>
      <c r="DU10" s="53" t="n"/>
      <c r="DV10" s="53" t="n"/>
      <c r="DW10" s="53" t="n"/>
      <c r="DX10" s="53" t="n"/>
      <c r="DY10" s="53" t="n"/>
      <c r="DZ10" s="53" t="n"/>
      <c r="EA10" s="53" t="n"/>
      <c r="EB10" s="53" t="n"/>
      <c r="EC10" s="53" t="n"/>
      <c r="ED10" s="53" t="n"/>
      <c r="EE10" s="53" t="n"/>
      <c r="EF10" s="53" t="n"/>
      <c r="EG10" s="53" t="n"/>
      <c r="EH10" s="53" t="n"/>
      <c r="EI10" s="53" t="n"/>
      <c r="EJ10" s="53" t="n"/>
      <c r="EK10" s="53" t="n"/>
      <c r="EL10" s="53" t="n"/>
      <c r="EM10" s="53" t="n"/>
      <c r="EN10" s="53" t="n"/>
      <c r="EO10" s="53" t="n"/>
      <c r="EP10" s="53" t="n"/>
      <c r="EQ10" s="53" t="n"/>
      <c r="ER10" s="53" t="n"/>
      <c r="ES10" s="53" t="n"/>
      <c r="ET10" s="53" t="n"/>
      <c r="EU10" s="53" t="n"/>
      <c r="EV10" s="53" t="n"/>
      <c r="EW10" s="52" t="n"/>
      <c r="EX10" s="53" t="n"/>
      <c r="EY10" s="53" t="n"/>
      <c r="EZ10" s="53" t="n"/>
      <c r="FA10" s="53" t="n"/>
      <c r="FB10" s="53" t="n"/>
      <c r="FC10" s="53" t="n"/>
      <c r="FD10" s="53" t="n"/>
      <c r="FE10" s="55" t="inlineStr">
        <is>
          <t>KRAs not received · manager to supply</t>
        </is>
      </c>
      <c r="FF10" s="56" t="n"/>
      <c r="FG10" s="56" t="n"/>
      <c r="FH10" s="56" t="n"/>
      <c r="FI10" s="56" t="n"/>
      <c r="FJ10" s="32" t="inlineStr">
        <is>
          <t>KRAs not received · manager to supply</t>
        </is>
      </c>
      <c r="FK10" s="56" t="n"/>
      <c r="FL10" s="56" t="n">
        <v>0</v>
      </c>
      <c r="FM10" s="32" t="inlineStr">
        <is>
          <t>No survey response on file</t>
        </is>
      </c>
      <c r="FN10" s="56" t="inlineStr">
        <is>
          <t>—</t>
        </is>
      </c>
      <c r="FO10" s="56" t="inlineStr">
        <is>
          <t>—</t>
        </is>
      </c>
      <c r="FP10" s="56" t="inlineStr">
        <is>
          <t>—</t>
        </is>
      </c>
      <c r="FQ10" s="56" t="inlineStr">
        <is>
          <t>—</t>
        </is>
      </c>
      <c r="FR1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0" s="56" t="n"/>
      <c r="FT10" s="56" t="n"/>
      <c r="FU10" s="32" t="inlineStr">
        <is>
          <t>No survey response on file</t>
        </is>
      </c>
    </row>
    <row r="11" ht="90" customHeight="1">
      <c r="A11" s="51" t="inlineStr">
        <is>
          <t>◂ Back</t>
        </is>
      </c>
      <c r="B11" s="29" t="inlineStr">
        <is>
          <t>Mapped</t>
        </is>
      </c>
      <c r="C11" s="28" t="inlineStr">
        <is>
          <t>CARBON</t>
        </is>
      </c>
      <c r="D11" s="29" t="inlineStr">
        <is>
          <t>IRIS1335</t>
        </is>
      </c>
      <c r="E11" s="29" t="inlineStr">
        <is>
          <t>Anushree Aparajit</t>
        </is>
      </c>
      <c r="F11" s="29" t="inlineStr">
        <is>
          <t>Support</t>
        </is>
      </c>
      <c r="G11" s="29" t="inlineStr">
        <is>
          <t>Global Customer Success Head</t>
        </is>
      </c>
      <c r="H11" s="29" t="inlineStr">
        <is>
          <t>Associate Head – Customer Success</t>
        </is>
      </c>
      <c r="I11" s="29" t="inlineStr">
        <is>
          <t>L7 – Head / Sr Director</t>
        </is>
      </c>
      <c r="J11" s="29" t="inlineStr">
        <is>
          <t>C1</t>
        </is>
      </c>
      <c r="K11" s="29" t="inlineStr">
        <is>
          <t>▼ Down · protected</t>
        </is>
      </c>
      <c r="L11" s="29" t="inlineStr">
        <is>
          <t>Executive Leadership</t>
        </is>
      </c>
      <c r="M11" s="29" t="inlineStr">
        <is>
          <t>Business Head</t>
        </is>
      </c>
      <c r="N11" s="29" t="inlineStr">
        <is>
          <t>• Confirm structure behind the senior title · org chart — Business head</t>
        </is>
      </c>
      <c r="O11" s="29" t="n">
        <v>0</v>
      </c>
      <c r="P11" s="28" t="inlineStr">
        <is>
          <t>P6 / M5</t>
        </is>
      </c>
      <c r="Q11" s="29" t="inlineStr">
        <is>
          <t>Principal / Director</t>
        </is>
      </c>
      <c r="R11" s="29" t="inlineStr">
        <is>
          <t>5–6</t>
        </is>
      </c>
      <c r="S11" s="29" t="inlineStr">
        <is>
          <t>10–14 yrs</t>
        </is>
      </c>
      <c r="T11" s="29" t="inlineStr">
        <is>
          <t>12–16 · 12–18</t>
        </is>
      </c>
      <c r="U11" s="29" t="inlineStr">
        <is>
          <t>Head of Function / AGM</t>
        </is>
      </c>
      <c r="V11" s="29" t="inlineStr">
        <is>
          <t>IRIS Vs Competitor Benchmark — SaaS customer-success ladder: Senior Manager CS</t>
        </is>
      </c>
      <c r="W11" s="29" t="inlineStr">
        <is>
          <t>TSIA frameworks and benchmarks; ITIL 4 service desk; Gainsight customer-success practice</t>
        </is>
      </c>
      <c r="X11" s="29" t="inlineStr">
        <is>
          <t>Core 4 · Future 4 · Functional 4 · Leadership 4</t>
        </is>
      </c>
      <c r="Y11" s="52" t="n">
        <v>117</v>
      </c>
      <c r="Z11" s="53" t="inlineStr">
        <is>
          <t>IRIS1335</t>
        </is>
      </c>
      <c r="AA11" s="53" t="inlineStr">
        <is>
          <t>Employee</t>
        </is>
      </c>
      <c r="AB11" s="53" t="inlineStr">
        <is>
          <t>Active</t>
        </is>
      </c>
      <c r="AC11" s="53" t="inlineStr">
        <is>
          <t>Anushree Aparajit</t>
        </is>
      </c>
      <c r="AD11" s="54" t="n">
        <v>41428</v>
      </c>
      <c r="AE11" s="53" t="inlineStr">
        <is>
          <t>Global Customer Success Head</t>
        </is>
      </c>
      <c r="AF11" s="53" t="inlineStr">
        <is>
          <t>CA</t>
        </is>
      </c>
      <c r="AG11" s="53" t="inlineStr">
        <is>
          <t>Suman Adhikary</t>
        </is>
      </c>
      <c r="AH11" s="53" t="inlineStr">
        <is>
          <t>N-4</t>
        </is>
      </c>
      <c r="AI11" s="53" t="inlineStr">
        <is>
          <t>Manager</t>
        </is>
      </c>
      <c r="AJ11" s="53" t="inlineStr">
        <is>
          <t>1 years, 4 months, 0 days</t>
        </is>
      </c>
      <c r="AK11" s="53" t="inlineStr">
        <is>
          <t>13 years, 2 months, 22 days</t>
        </is>
      </c>
      <c r="AL11" s="53" t="inlineStr">
        <is>
          <t>Regtech</t>
        </is>
      </c>
      <c r="AM11" s="53" t="inlineStr">
        <is>
          <t>CARBON</t>
        </is>
      </c>
      <c r="AN11" s="53" t="inlineStr">
        <is>
          <t>Support</t>
        </is>
      </c>
      <c r="AO11" s="53" t="inlineStr">
        <is>
          <t>Client Engagement</t>
        </is>
      </c>
      <c r="AP11" s="53" t="inlineStr">
        <is>
          <t>No</t>
        </is>
      </c>
      <c r="AQ11" s="53" t="inlineStr">
        <is>
          <t>Client Engagement</t>
        </is>
      </c>
      <c r="AR11" s="53" t="inlineStr">
        <is>
          <t>XBRL Domain</t>
        </is>
      </c>
      <c r="AS11" s="53" t="inlineStr">
        <is>
          <t>Non-technical</t>
        </is>
      </c>
      <c r="AT11" s="53" t="n">
        <v>0</v>
      </c>
      <c r="AU11" s="53" t="inlineStr">
        <is>
          <t>E-Top management</t>
        </is>
      </c>
      <c r="AV11" s="53" t="inlineStr">
        <is>
          <t>IRIS1335</t>
        </is>
      </c>
      <c r="AW11" s="53" t="inlineStr">
        <is>
          <t>Anushree Aparajit</t>
        </is>
      </c>
      <c r="AX11" s="53" t="inlineStr">
        <is>
          <t>Support</t>
        </is>
      </c>
      <c r="AY11" s="53" t="inlineStr">
        <is>
          <t>Customer Success &amp; Support</t>
        </is>
      </c>
      <c r="AZ11" s="53" t="inlineStr">
        <is>
          <t>Customer Success</t>
        </is>
      </c>
      <c r="BA11" s="53" t="n"/>
      <c r="BB11" s="53" t="n"/>
      <c r="BC11" s="53" t="inlineStr">
        <is>
          <t>Employee</t>
        </is>
      </c>
      <c r="BD11" s="53" t="inlineStr">
        <is>
          <t>Suman Adhikary</t>
        </is>
      </c>
      <c r="BE11" s="53" t="inlineStr">
        <is>
          <t>Suman Adhikary</t>
        </is>
      </c>
      <c r="BF11" s="53" t="inlineStr">
        <is>
          <t>No</t>
        </is>
      </c>
      <c r="BG11" s="53" t="inlineStr">
        <is>
          <t>Global Customer Success Head</t>
        </is>
      </c>
      <c r="BH11" s="53" t="inlineStr">
        <is>
          <t>Global Customer Success Head</t>
        </is>
      </c>
      <c r="BI11" s="53" t="inlineStr">
        <is>
          <t>No</t>
        </is>
      </c>
      <c r="BJ11" s="53" t="n">
        <v>9</v>
      </c>
      <c r="BK11" s="53" t="n">
        <v>7</v>
      </c>
      <c r="BL11" s="53" t="n">
        <v>2</v>
      </c>
      <c r="BM11" s="53" t="inlineStr">
        <is>
          <t>Healthy</t>
        </is>
      </c>
      <c r="BN11" s="53" t="n">
        <v>9</v>
      </c>
      <c r="BO11" s="53" t="n">
        <v>7</v>
      </c>
      <c r="BP11" s="53" t="n">
        <v>2</v>
      </c>
      <c r="BQ11" s="53" t="inlineStr">
        <is>
          <t>Healthy</t>
        </is>
      </c>
      <c r="BR11" s="53" t="inlineStr">
        <is>
          <t>No</t>
        </is>
      </c>
      <c r="BS11" s="53" t="inlineStr">
        <is>
          <t>L7 – Head / Sr Director</t>
        </is>
      </c>
      <c r="BT11" s="53" t="inlineStr">
        <is>
          <t>L7 – Head / Sr Director</t>
        </is>
      </c>
      <c r="BU11" s="53" t="inlineStr">
        <is>
          <t>No designation change — current record value carried forward</t>
        </is>
      </c>
      <c r="BV11" s="53"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1" s="53" t="n"/>
      <c r="BX11" s="53" t="n"/>
      <c r="BY11" s="53" t="n"/>
      <c r="BZ11" s="53" t="inlineStr">
        <is>
          <t>IRIS1335</t>
        </is>
      </c>
      <c r="CA11" s="53" t="inlineStr">
        <is>
          <t>Employee</t>
        </is>
      </c>
      <c r="CB11" s="53" t="inlineStr">
        <is>
          <t>Active</t>
        </is>
      </c>
      <c r="CC11" s="53" t="inlineStr">
        <is>
          <t>Anushree Aparajit</t>
        </is>
      </c>
      <c r="CD11" s="54" t="n">
        <v>41428</v>
      </c>
      <c r="CE11" s="53" t="inlineStr">
        <is>
          <t>Global Customer Success Head</t>
        </is>
      </c>
      <c r="CF11" s="53" t="inlineStr">
        <is>
          <t>Upsell, cross, improve NPS, follow up with tech team</t>
        </is>
      </c>
      <c r="CG11" s="53" t="inlineStr">
        <is>
          <t>Customer Success &amp; Support</t>
        </is>
      </c>
      <c r="CH11" s="53" t="inlineStr">
        <is>
          <t>Customer Support</t>
        </is>
      </c>
      <c r="CI11" s="53" t="inlineStr">
        <is>
          <t>Global Customer Success Head</t>
        </is>
      </c>
      <c r="CJ11" s="53" t="inlineStr">
        <is>
          <t>L7 – Head / Sr Director</t>
        </is>
      </c>
      <c r="CK11" s="53" t="inlineStr">
        <is>
          <t>Suman Adhikary</t>
        </is>
      </c>
      <c r="CL11" s="53" t="inlineStr">
        <is>
          <t>N-4</t>
        </is>
      </c>
      <c r="CM11" s="53" t="inlineStr">
        <is>
          <t>Manager</t>
        </is>
      </c>
      <c r="CN11" s="53" t="inlineStr">
        <is>
          <t>Regtech</t>
        </is>
      </c>
      <c r="CO11" s="53" t="inlineStr">
        <is>
          <t>Support</t>
        </is>
      </c>
      <c r="CP11" s="53" t="inlineStr">
        <is>
          <t>14 years, 4 months, 17 days</t>
        </is>
      </c>
      <c r="CQ11" s="53" t="inlineStr">
        <is>
          <t>Global Customer Success Head</t>
        </is>
      </c>
      <c r="CR11" s="53" t="inlineStr">
        <is>
          <t>No</t>
        </is>
      </c>
      <c r="CS11" s="53" t="n">
        <v>4</v>
      </c>
      <c r="CT11" s="53" t="inlineStr">
        <is>
          <t>Medium</t>
        </is>
      </c>
      <c r="CU11" s="53" t="inlineStr">
        <is>
          <t>High Impact / Growth Talent</t>
        </is>
      </c>
      <c r="CV11" s="53" t="n"/>
      <c r="CW11" s="53" t="n"/>
      <c r="CX11" s="53" t="inlineStr">
        <is>
          <t>Yes</t>
        </is>
      </c>
      <c r="CY11" s="53" t="n"/>
      <c r="CZ11" s="53" t="inlineStr">
        <is>
          <t>XBRL taxonomy &amp; regulatory updates; domain/accounting refreshers; quality &amp; accuracy practices; tooling proficiency | People management: goal-setting &amp; feedback, 1:1 coaching, performance conversations</t>
        </is>
      </c>
      <c r="DA11" s="53" t="inlineStr">
        <is>
          <t>Leadership development: strategic thinking, cross-functional influence, financial/business acumen, succession &amp; talent development, change management, executive communication</t>
        </is>
      </c>
      <c r="DB11" s="53" t="inlineStr">
        <is>
          <t>Suggested for standard designation like "Sr Director" / "Customer Success Head"</t>
        </is>
      </c>
      <c r="DC11" s="53" t="n"/>
      <c r="DD11" s="53" t="n"/>
      <c r="DE11" s="53" t="n"/>
      <c r="DF11" s="53" t="n"/>
      <c r="DG11" s="53" t="n"/>
      <c r="DH11" s="53" t="n"/>
      <c r="DI11" s="53" t="n"/>
      <c r="DJ11" s="53" t="n"/>
      <c r="DK11" s="53" t="n"/>
      <c r="DL11" s="53" t="n"/>
      <c r="DM11" s="53" t="n"/>
      <c r="DN11" s="53" t="n"/>
      <c r="DO11" s="53" t="n"/>
      <c r="DP11" s="53" t="n"/>
      <c r="DQ11" s="53" t="n"/>
      <c r="DR11" s="53" t="n"/>
      <c r="DS11" s="53" t="n"/>
      <c r="DT11" s="53" t="n"/>
      <c r="DU11" s="53" t="n"/>
      <c r="DV11" s="53" t="n"/>
      <c r="DW11" s="53" t="n"/>
      <c r="DX11" s="53" t="n"/>
      <c r="DY11" s="53" t="n"/>
      <c r="DZ11" s="53" t="n"/>
      <c r="EA11" s="53" t="n"/>
      <c r="EB11" s="53" t="n"/>
      <c r="EC11" s="53" t="n"/>
      <c r="ED11" s="53" t="n"/>
      <c r="EE11" s="53" t="n"/>
      <c r="EF11" s="53" t="n"/>
      <c r="EG11" s="53" t="n"/>
      <c r="EH11" s="53" t="n"/>
      <c r="EI11" s="53" t="n"/>
      <c r="EJ11" s="53" t="n"/>
      <c r="EK11" s="53" t="n"/>
      <c r="EL11" s="53" t="n"/>
      <c r="EM11" s="53" t="n"/>
      <c r="EN11" s="53" t="n"/>
      <c r="EO11" s="53" t="n"/>
      <c r="EP11" s="53" t="n"/>
      <c r="EQ11" s="53" t="n"/>
      <c r="ER11" s="53" t="n"/>
      <c r="ES11" s="53" t="n"/>
      <c r="ET11" s="53" t="n"/>
      <c r="EU11" s="53" t="n"/>
      <c r="EV11" s="53" t="n"/>
      <c r="EW11" s="52" t="n"/>
      <c r="EX11" s="53" t="n"/>
      <c r="EY11" s="53" t="n"/>
      <c r="EZ11" s="53" t="n"/>
      <c r="FA11" s="53" t="n"/>
      <c r="FB11" s="53" t="n"/>
      <c r="FC11" s="53" t="n"/>
      <c r="FD11" s="53" t="n"/>
      <c r="FE11" s="57"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1" s="56" t="n"/>
      <c r="FG11" s="56" t="n"/>
      <c r="FH11" s="56" t="n"/>
      <c r="FI11" s="56" t="inlineStr">
        <is>
          <t>Upsell, cross, improve NPS, follow up with tech team</t>
        </is>
      </c>
      <c r="FJ11" s="56" t="inlineStr">
        <is>
          <t>Received · manager annual</t>
        </is>
      </c>
      <c r="FK11" s="56" t="inlineStr">
        <is>
          <t>CARBON Mapping Master · CARBON Talent Mapping · Raw</t>
        </is>
      </c>
      <c r="FL11" s="56" t="n">
        <v>0</v>
      </c>
      <c r="FM11" s="32" t="inlineStr">
        <is>
          <t>No survey response on file</t>
        </is>
      </c>
      <c r="FN11" s="56" t="inlineStr">
        <is>
          <t>—</t>
        </is>
      </c>
      <c r="FO11" s="56" t="inlineStr">
        <is>
          <t>—</t>
        </is>
      </c>
      <c r="FP11" s="56" t="inlineStr">
        <is>
          <t>—</t>
        </is>
      </c>
      <c r="FQ11" s="56" t="inlineStr">
        <is>
          <t>—</t>
        </is>
      </c>
      <c r="FR1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11" s="56" t="n"/>
      <c r="FT11" s="56" t="n"/>
      <c r="FU11" s="32" t="inlineStr">
        <is>
          <t>No survey response on file</t>
        </is>
      </c>
    </row>
    <row r="12" ht="90" customHeight="1">
      <c r="A12" s="51" t="inlineStr">
        <is>
          <t>◂ Back</t>
        </is>
      </c>
      <c r="B12" s="29" t="inlineStr">
        <is>
          <t>Mapped</t>
        </is>
      </c>
      <c r="C12" s="28" t="inlineStr">
        <is>
          <t>CARBON</t>
        </is>
      </c>
      <c r="D12" s="29" t="inlineStr">
        <is>
          <t>IRIS1935</t>
        </is>
      </c>
      <c r="E12" s="29" t="inlineStr">
        <is>
          <t>Chinmayi Patil</t>
        </is>
      </c>
      <c r="F12" s="29" t="inlineStr">
        <is>
          <t>Support</t>
        </is>
      </c>
      <c r="G12" s="29" t="inlineStr">
        <is>
          <t>Customer Success Manager</t>
        </is>
      </c>
      <c r="H12" s="29" t="inlineStr">
        <is>
          <t>Customer Success Specialist</t>
        </is>
      </c>
      <c r="I12" s="29" t="inlineStr">
        <is>
          <t>L5 – Manager</t>
        </is>
      </c>
      <c r="J12" s="29" t="inlineStr">
        <is>
          <t>B2</t>
        </is>
      </c>
      <c r="K12" s="29" t="inlineStr">
        <is>
          <t>▼ Down · protected</t>
        </is>
      </c>
      <c r="L12" s="29" t="inlineStr">
        <is>
          <t>Customer Success &amp; Support</t>
        </is>
      </c>
      <c r="M12" s="29" t="inlineStr">
        <is>
          <t>Customer Success &amp; Account Management</t>
        </is>
      </c>
      <c r="N12" s="29" t="n"/>
      <c r="O12" s="29" t="n">
        <v>20</v>
      </c>
      <c r="P12" s="28" t="inlineStr">
        <is>
          <t>P4 / M3</t>
        </is>
      </c>
      <c r="Q12" s="29" t="inlineStr">
        <is>
          <t>Senior / Manager</t>
        </is>
      </c>
      <c r="R12" s="29" t="inlineStr">
        <is>
          <t>4–5</t>
        </is>
      </c>
      <c r="S12" s="29" t="inlineStr">
        <is>
          <t>6–9 yrs</t>
        </is>
      </c>
      <c r="T12" s="29" t="inlineStr">
        <is>
          <t>7–10 · 6–11</t>
        </is>
      </c>
      <c r="U12" s="29" t="inlineStr">
        <is>
          <t>Senior Executive / CSM</t>
        </is>
      </c>
      <c r="V12" s="29" t="inlineStr">
        <is>
          <t>Workiva: Product Success Manager · IRIS Vs Competitor Benchmark — SaaS customer-success ladder: Senior CSM · IRIS Vs Competitor Benchmark — support tiers: Support Team Manager</t>
        </is>
      </c>
      <c r="W12" s="29" t="inlineStr">
        <is>
          <t>TSIA frameworks and benchmarks; ITIL 4 service desk; Gainsight customer-success practice</t>
        </is>
      </c>
      <c r="X12" s="29" t="inlineStr">
        <is>
          <t>Core 3 · Future 3 · Functional 4 · Leadership 2</t>
        </is>
      </c>
      <c r="Y12" s="52" t="n">
        <v>191</v>
      </c>
      <c r="Z12" s="53" t="inlineStr">
        <is>
          <t>IRIS1935</t>
        </is>
      </c>
      <c r="AA12" s="53" t="inlineStr">
        <is>
          <t>Employee</t>
        </is>
      </c>
      <c r="AB12" s="53" t="inlineStr">
        <is>
          <t>Active</t>
        </is>
      </c>
      <c r="AC12" s="53" t="inlineStr">
        <is>
          <t>Chinmayi Patil</t>
        </is>
      </c>
      <c r="AD12" s="54" t="n">
        <v>44403</v>
      </c>
      <c r="AE12" s="53" t="inlineStr">
        <is>
          <t>Customer Success Manager</t>
        </is>
      </c>
      <c r="AF12" s="53" t="inlineStr">
        <is>
          <t>MMS</t>
        </is>
      </c>
      <c r="AG12" s="53" t="inlineStr">
        <is>
          <t>Anushree Aparajit</t>
        </is>
      </c>
      <c r="AH12" s="53" t="inlineStr">
        <is>
          <t>N-5</t>
        </is>
      </c>
      <c r="AI12" s="53" t="inlineStr">
        <is>
          <t>Individual Contributor</t>
        </is>
      </c>
      <c r="AJ12" s="53" t="inlineStr">
        <is>
          <t>0 years, 0 months, 0 days</t>
        </is>
      </c>
      <c r="AK12" s="53" t="inlineStr">
        <is>
          <t>5 years, 0 months, 30 days</t>
        </is>
      </c>
      <c r="AL12" s="53" t="inlineStr">
        <is>
          <t>Regtech</t>
        </is>
      </c>
      <c r="AM12" s="53" t="inlineStr">
        <is>
          <t>CARBON</t>
        </is>
      </c>
      <c r="AN12" s="53" t="inlineStr">
        <is>
          <t>Support</t>
        </is>
      </c>
      <c r="AO12" s="53" t="inlineStr">
        <is>
          <t>Client Engagement</t>
        </is>
      </c>
      <c r="AP12" s="53" t="inlineStr">
        <is>
          <t>No</t>
        </is>
      </c>
      <c r="AQ12" s="53" t="inlineStr">
        <is>
          <t>Client Engagement</t>
        </is>
      </c>
      <c r="AR12" s="53" t="inlineStr">
        <is>
          <t>XBRL Domain</t>
        </is>
      </c>
      <c r="AS12" s="53" t="inlineStr">
        <is>
          <t>Non-technical</t>
        </is>
      </c>
      <c r="AT12" s="53" t="n">
        <v>20</v>
      </c>
      <c r="AU12" s="53" t="inlineStr">
        <is>
          <t>Covered</t>
        </is>
      </c>
      <c r="AV12" s="53" t="inlineStr">
        <is>
          <t>IRIS1935</t>
        </is>
      </c>
      <c r="AW12" s="53" t="inlineStr">
        <is>
          <t>Chinmayi Patil</t>
        </is>
      </c>
      <c r="AX12" s="53" t="inlineStr">
        <is>
          <t>Support</t>
        </is>
      </c>
      <c r="AY12" s="53" t="inlineStr">
        <is>
          <t>Customer Success &amp; Support</t>
        </is>
      </c>
      <c r="AZ12" s="53" t="inlineStr">
        <is>
          <t>Customer Success</t>
        </is>
      </c>
      <c r="BA12" s="53" t="n"/>
      <c r="BB12" s="53" t="n"/>
      <c r="BC12" s="53" t="inlineStr">
        <is>
          <t>Employee</t>
        </is>
      </c>
      <c r="BD12" s="53" t="inlineStr">
        <is>
          <t>Anushree Aparajit</t>
        </is>
      </c>
      <c r="BE12" s="53" t="inlineStr">
        <is>
          <t>Anushree Aparajit</t>
        </is>
      </c>
      <c r="BF12" s="53" t="inlineStr">
        <is>
          <t>No</t>
        </is>
      </c>
      <c r="BG12" s="53" t="inlineStr">
        <is>
          <t>Customer Success Manager</t>
        </is>
      </c>
      <c r="BH12" s="53" t="inlineStr">
        <is>
          <t>Sr.Customer Engagement Manager</t>
        </is>
      </c>
      <c r="BI12" s="53" t="inlineStr">
        <is>
          <t>Yes</t>
        </is>
      </c>
      <c r="BJ12" s="53" t="inlineStr">
        <is>
          <t>—</t>
        </is>
      </c>
      <c r="BK12" s="53" t="inlineStr">
        <is>
          <t>—</t>
        </is>
      </c>
      <c r="BL12" s="53" t="inlineStr">
        <is>
          <t>—</t>
        </is>
      </c>
      <c r="BM12" s="53" t="inlineStr">
        <is>
          <t>Not a manager</t>
        </is>
      </c>
      <c r="BN12" s="53" t="inlineStr">
        <is>
          <t>—</t>
        </is>
      </c>
      <c r="BO12" s="53" t="inlineStr">
        <is>
          <t>—</t>
        </is>
      </c>
      <c r="BP12" s="53" t="inlineStr">
        <is>
          <t>—</t>
        </is>
      </c>
      <c r="BQ12" s="53" t="inlineStr">
        <is>
          <t>Not a manager</t>
        </is>
      </c>
      <c r="BR12" s="53" t="inlineStr">
        <is>
          <t>—</t>
        </is>
      </c>
      <c r="BS12" s="53" t="inlineStr">
        <is>
          <t>L5 – Manager</t>
        </is>
      </c>
      <c r="BT12" s="53" t="inlineStr">
        <is>
          <t>L2</t>
        </is>
      </c>
      <c r="BU12" s="53" t="inlineStr">
        <is>
          <t>Matched from Title Hierarchy · new designation</t>
        </is>
      </c>
      <c r="BV12" s="53"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2" s="53" t="n"/>
      <c r="BX12" s="53" t="inlineStr">
        <is>
          <t>US; Brazil; India.</t>
        </is>
      </c>
      <c r="BY12" s="53" t="n"/>
      <c r="BZ12" s="53" t="inlineStr">
        <is>
          <t>IRIS1935</t>
        </is>
      </c>
      <c r="CA12" s="53" t="inlineStr">
        <is>
          <t>Employee</t>
        </is>
      </c>
      <c r="CB12" s="53" t="inlineStr">
        <is>
          <t>Active</t>
        </is>
      </c>
      <c r="CC12" s="53" t="inlineStr">
        <is>
          <t>Chinmayi Patil</t>
        </is>
      </c>
      <c r="CD12" s="54" t="n">
        <v>44403</v>
      </c>
      <c r="CE12" s="53" t="inlineStr">
        <is>
          <t>Customer Success Manager</t>
        </is>
      </c>
      <c r="CF12" s="53" t="inlineStr">
        <is>
          <t>Upsell, cross, improve NPS, follow up with tech team · USMarket</t>
        </is>
      </c>
      <c r="CG12" s="53" t="inlineStr">
        <is>
          <t>Customer Success &amp; Support</t>
        </is>
      </c>
      <c r="CH12" s="53" t="inlineStr">
        <is>
          <t>Customer Support</t>
        </is>
      </c>
      <c r="CI12" s="53" t="inlineStr">
        <is>
          <t>Customer Engagement Manager</t>
        </is>
      </c>
      <c r="CJ12" s="53" t="inlineStr">
        <is>
          <t>L5 – Manager</t>
        </is>
      </c>
      <c r="CK12" s="53" t="inlineStr">
        <is>
          <t>Anushree Aparajit</t>
        </is>
      </c>
      <c r="CL12" s="53" t="inlineStr">
        <is>
          <t>N-5</t>
        </is>
      </c>
      <c r="CM12" s="53" t="inlineStr">
        <is>
          <t>Individual Contributor</t>
        </is>
      </c>
      <c r="CN12" s="53" t="inlineStr">
        <is>
          <t>Regtech</t>
        </is>
      </c>
      <c r="CO12" s="53" t="inlineStr">
        <is>
          <t>Support</t>
        </is>
      </c>
      <c r="CP12" s="53" t="inlineStr">
        <is>
          <t>4 years, 10 months, 25 days</t>
        </is>
      </c>
      <c r="CQ12" s="53" t="inlineStr">
        <is>
          <t>Customer Engagement Manager</t>
        </is>
      </c>
      <c r="CR12" s="53" t="inlineStr">
        <is>
          <t>No</t>
        </is>
      </c>
      <c r="CS12" s="53" t="n">
        <v>4</v>
      </c>
      <c r="CT12" s="53" t="inlineStr">
        <is>
          <t>High</t>
        </is>
      </c>
      <c r="CU12" s="53" t="inlineStr">
        <is>
          <t>Future Leader</t>
        </is>
      </c>
      <c r="CV12" s="53" t="inlineStr">
        <is>
          <t>Yes</t>
        </is>
      </c>
      <c r="CW12" s="53" t="inlineStr">
        <is>
          <t>Yes</t>
        </is>
      </c>
      <c r="CX12" s="53" t="inlineStr">
        <is>
          <t>Yes</t>
        </is>
      </c>
      <c r="CY12" s="53" t="inlineStr">
        <is>
          <t>Y</t>
        </is>
      </c>
      <c r="CZ12" s="53" t="inlineStr">
        <is>
          <t>XBRL taxonomy &amp; regulatory updates; domain/accounting refreshers; quality &amp; accuracy practices; Data security and management</t>
        </is>
      </c>
      <c r="DA12" s="53"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B12" s="53" t="inlineStr">
        <is>
          <t>Title to be standardized to: Customer Engagement Manager</t>
        </is>
      </c>
      <c r="DC12" s="53" t="n"/>
      <c r="DD12" s="53" t="n"/>
      <c r="DE12" s="53" t="n"/>
      <c r="DF12" s="53" t="n"/>
      <c r="DG12" s="53" t="n"/>
      <c r="DH12" s="53" t="n"/>
      <c r="DI12" s="53" t="n"/>
      <c r="DJ12" s="53" t="n"/>
      <c r="DK12" s="53" t="n"/>
      <c r="DL12" s="53" t="n"/>
      <c r="DM12" s="53" t="n"/>
      <c r="DN12" s="53" t="n"/>
      <c r="DO12" s="53" t="n"/>
      <c r="DP12" s="53" t="n"/>
      <c r="DQ12" s="53" t="n"/>
      <c r="DR12" s="53" t="n"/>
      <c r="DS12" s="53" t="n"/>
      <c r="DT12" s="53" t="n"/>
      <c r="DU12" s="53" t="n"/>
      <c r="DV12" s="53" t="n"/>
      <c r="DW12" s="53" t="n"/>
      <c r="DX12" s="53" t="n"/>
      <c r="DY12" s="53" t="n"/>
      <c r="DZ12" s="53" t="n"/>
      <c r="EA12" s="53" t="n"/>
      <c r="EB12" s="53" t="n"/>
      <c r="EC12" s="53" t="n"/>
      <c r="ED12" s="53" t="n"/>
      <c r="EE12" s="53" t="n"/>
      <c r="EF12" s="53" t="n"/>
      <c r="EG12" s="53" t="n"/>
      <c r="EH12" s="53" t="n"/>
      <c r="EI12" s="53" t="n"/>
      <c r="EJ12" s="53" t="n"/>
      <c r="EK12" s="53" t="n"/>
      <c r="EL12" s="53" t="n"/>
      <c r="EM12" s="53" t="n"/>
      <c r="EN12" s="53" t="n"/>
      <c r="EO12" s="53" t="n"/>
      <c r="EP12" s="53" t="n"/>
      <c r="EQ12" s="53" t="n"/>
      <c r="ER12" s="53" t="n"/>
      <c r="ES12" s="53" t="n"/>
      <c r="ET12" s="53" t="n"/>
      <c r="EU12" s="53" t="n"/>
      <c r="EV12" s="53" t="n"/>
      <c r="EW12" s="52" t="n"/>
      <c r="EX12" s="53"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EY12" s="53" t="inlineStr">
        <is>
          <t>• Key responsibilities include: Tracker update; Product self help videos.
• Personally accountable for: Account retention &amp; renewal; Invoicing and timely payment.
• Impact if missed or done wrong: Internal review and next steps.
• How measured: Same as everyone.</t>
        </is>
      </c>
      <c r="EZ12" s="53" t="inlineStr">
        <is>
          <t>• Current capabilities: Communication; Basic finance knowledge.
• Tools / software used: Excel and Word.
• Workload: Rated a heavy load · 4/5 in a typical week.
• Judgment/way of working: Negotiations.</t>
        </is>
      </c>
      <c r="FA12" s="53" t="inlineStr">
        <is>
          <t>• Development priorities: PMO certification; Exposure to customer meetings.
• Learning and Development Need: Feedback and acc reviews. Handling tough conversations; Legal negotiations.
• Role evolving toward: New project with advanced deliverables; Sales target.</t>
        </is>
      </c>
      <c r="FB12" s="53" t="inlineStr">
        <is>
          <t>• Key challenges: Clarity and approvals.
• Support required: Defined shift time.</t>
        </is>
      </c>
      <c r="FC12" s="53" t="n"/>
      <c r="FD12" s="53" t="n"/>
      <c r="FE12" s="57"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2" s="56" t="n"/>
      <c r="FG12" s="56" t="n"/>
      <c r="FH12" s="56" t="n"/>
      <c r="FI12" s="56" t="inlineStr">
        <is>
          <t>Upsell, cross, improve NPS, follow up with tech team · USMarket</t>
        </is>
      </c>
      <c r="FJ12" s="56" t="inlineStr">
        <is>
          <t>Received · manager annual</t>
        </is>
      </c>
      <c r="FK12" s="56" t="inlineStr">
        <is>
          <t>CARBON Mapping Master · CARBON Talent Mapping · Raw</t>
        </is>
      </c>
      <c r="FL12" s="56" t="n">
        <v>20</v>
      </c>
      <c r="FM12" s="56"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FN12" s="56" t="inlineStr">
        <is>
          <t>• Key responsibilities include: Tracker update; Product self help videos.
• Personally accountable for: Account retention &amp; renewal; Invoicing and timely payment.
• Impact if missed or done wrong: Internal review and next steps.
• How measured: Same as everyone.</t>
        </is>
      </c>
      <c r="FO12" s="56" t="inlineStr">
        <is>
          <t>• Current capabilities: Communication; Basic finance knowledge.
• Tools / software used: Excel and Word.
• Workload: Rated a heavy load · 4/5 in a typical week.
• Judgment/way of working: Negotiations.</t>
        </is>
      </c>
      <c r="FP12" s="56" t="inlineStr">
        <is>
          <t>• Development priorities: PMO certification; Exposure to customer meetings.
• Learning and Development Need: Feedback and acc reviews. Handling tough conversations; Legal negotiations.
• Role evolving toward: New project with advanced deliverables; Sales target.</t>
        </is>
      </c>
      <c r="FQ12" s="56" t="inlineStr">
        <is>
          <t>• Key challenges: Clarity and approvals.
• Support required: Defined shift time.</t>
        </is>
      </c>
      <c r="FR12" s="56" t="inlineStr">
        <is>
          <t>Complexity: Evidence reads like A2: Listed duties are tracker updates and product self-help videos; basic finance knowledge → moved down 0.5
Autonomy: Evidence reads like A2: Decides independently only on product training material → moved down 0.5
Accountability: Evidence reads like B1: Account retention and renewal, invoicing and timely payment for own accounts → moved down 0.5
Leadership: Evidence reads like A1: No guidance of others described → moved down 0.5
Business Impact: Moved +0.5: the survey / manager mapping marks it business-critical.</t>
        </is>
      </c>
      <c r="FS12"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2" s="56" t="inlineStr">
        <is>
          <t>Self-identified: Client, sales &amp; stakeholders · Communication &amp; presentation · Certification / formal course · Broader exposure &amp; ownership
For the next role: Client, sales &amp; stakeholders · Communication &amp; presentation · Certification / formal course · Broader exposure &amp; ownership</t>
        </is>
      </c>
      <c r="FU12" s="56" t="inlineStr">
        <is>
          <t>Per-person summary · CARBON Mapping Master</t>
        </is>
      </c>
    </row>
    <row r="13" ht="90" customHeight="1">
      <c r="A13" s="51" t="inlineStr">
        <is>
          <t>◂ Back</t>
        </is>
      </c>
      <c r="B13" s="29" t="inlineStr">
        <is>
          <t>Mapped</t>
        </is>
      </c>
      <c r="C13" s="28" t="inlineStr">
        <is>
          <t>CARBON</t>
        </is>
      </c>
      <c r="D13" s="29" t="inlineStr">
        <is>
          <t>IRIS1963</t>
        </is>
      </c>
      <c r="E13" s="29" t="inlineStr">
        <is>
          <t>Neha Gajbhiye</t>
        </is>
      </c>
      <c r="F13" s="29" t="inlineStr">
        <is>
          <t>Support</t>
        </is>
      </c>
      <c r="G13" s="29" t="inlineStr">
        <is>
          <t>Manager- Customer Engagement</t>
        </is>
      </c>
      <c r="H13" s="29" t="inlineStr">
        <is>
          <t>Senior Customer Success Specialist – POD Lead</t>
        </is>
      </c>
      <c r="I13" s="29" t="inlineStr">
        <is>
          <t>L5 – Manager</t>
        </is>
      </c>
      <c r="J13" s="29" t="inlineStr">
        <is>
          <t>B2</t>
        </is>
      </c>
      <c r="K13" s="29" t="inlineStr">
        <is>
          <t>• Same level</t>
        </is>
      </c>
      <c r="L13" s="29" t="inlineStr">
        <is>
          <t>Customer Success &amp; Support</t>
        </is>
      </c>
      <c r="M13" s="29" t="inlineStr">
        <is>
          <t>Customer Success &amp; Account Management</t>
        </is>
      </c>
      <c r="N13" s="29" t="n"/>
      <c r="O13" s="29" t="n">
        <v>20</v>
      </c>
      <c r="P13" s="28" t="inlineStr">
        <is>
          <t>P4 / M3</t>
        </is>
      </c>
      <c r="Q13" s="29" t="inlineStr">
        <is>
          <t>Senior / Manager</t>
        </is>
      </c>
      <c r="R13" s="29" t="inlineStr">
        <is>
          <t>4–5</t>
        </is>
      </c>
      <c r="S13" s="29" t="inlineStr">
        <is>
          <t>6–9 yrs</t>
        </is>
      </c>
      <c r="T13" s="29" t="inlineStr">
        <is>
          <t>7–10 · 6–11</t>
        </is>
      </c>
      <c r="U13" s="29" t="inlineStr">
        <is>
          <t>Senior CSM / Support Specialist</t>
        </is>
      </c>
      <c r="V13" s="29" t="inlineStr">
        <is>
          <t>Workiva: Product Success Manager · IRIS Vs Competitor Benchmark — SaaS customer-success ladder: Senior CSM · IRIS Vs Competitor Benchmark — support tiers: Support Team Manager</t>
        </is>
      </c>
      <c r="W13" s="29" t="inlineStr">
        <is>
          <t>TSIA frameworks and benchmarks; ITIL 4 service desk; Gainsight customer-success practice</t>
        </is>
      </c>
      <c r="X13" s="29" t="inlineStr">
        <is>
          <t>Core 3 · Future 3 · Functional 4 · Leadership 3</t>
        </is>
      </c>
      <c r="Y13" s="52" t="n">
        <v>202</v>
      </c>
      <c r="Z13" s="53" t="inlineStr">
        <is>
          <t>IRIS1963</t>
        </is>
      </c>
      <c r="AA13" s="53" t="inlineStr">
        <is>
          <t>Employee</t>
        </is>
      </c>
      <c r="AB13" s="53" t="inlineStr">
        <is>
          <t>Active</t>
        </is>
      </c>
      <c r="AC13" s="53" t="inlineStr">
        <is>
          <t>Neha Gajbhiye</t>
        </is>
      </c>
      <c r="AD13" s="54" t="n">
        <v>44494</v>
      </c>
      <c r="AE13" s="53" t="inlineStr">
        <is>
          <t>Manager- Customer Engagement</t>
        </is>
      </c>
      <c r="AF13" s="53" t="inlineStr">
        <is>
          <t>MBA</t>
        </is>
      </c>
      <c r="AG13" s="53" t="inlineStr">
        <is>
          <t>Anushree Aparajit</t>
        </is>
      </c>
      <c r="AH13" s="53" t="inlineStr">
        <is>
          <t>N-5</t>
        </is>
      </c>
      <c r="AI13" s="53" t="inlineStr">
        <is>
          <t>Manager</t>
        </is>
      </c>
      <c r="AJ13" s="53" t="inlineStr">
        <is>
          <t>11 years, 4 months, 0 days</t>
        </is>
      </c>
      <c r="AK13" s="53" t="inlineStr">
        <is>
          <t>4 years, 10 months, 0 days</t>
        </is>
      </c>
      <c r="AL13" s="53" t="inlineStr">
        <is>
          <t>Regtech</t>
        </is>
      </c>
      <c r="AM13" s="53" t="inlineStr">
        <is>
          <t>CARBON</t>
        </is>
      </c>
      <c r="AN13" s="53" t="inlineStr">
        <is>
          <t>Support</t>
        </is>
      </c>
      <c r="AO13" s="53" t="inlineStr">
        <is>
          <t>Client Engagement</t>
        </is>
      </c>
      <c r="AP13" s="53" t="inlineStr">
        <is>
          <t>No</t>
        </is>
      </c>
      <c r="AQ13" s="53" t="inlineStr">
        <is>
          <t>Client Engagement</t>
        </is>
      </c>
      <c r="AR13" s="53" t="inlineStr">
        <is>
          <t>XBRL Domain</t>
        </is>
      </c>
      <c r="AS13" s="53" t="inlineStr">
        <is>
          <t>Non-technical</t>
        </is>
      </c>
      <c r="AT13" s="53" t="n">
        <v>20</v>
      </c>
      <c r="AU13" s="53" t="inlineStr">
        <is>
          <t>Covered</t>
        </is>
      </c>
      <c r="AV13" s="53" t="inlineStr">
        <is>
          <t>IRIS1963</t>
        </is>
      </c>
      <c r="AW13" s="53" t="inlineStr">
        <is>
          <t>Neha Gajbhiye</t>
        </is>
      </c>
      <c r="AX13" s="53" t="inlineStr">
        <is>
          <t>Support</t>
        </is>
      </c>
      <c r="AY13" s="53" t="inlineStr">
        <is>
          <t>Customer Success &amp; Support</t>
        </is>
      </c>
      <c r="AZ13" s="53" t="inlineStr">
        <is>
          <t>Customer Success</t>
        </is>
      </c>
      <c r="BA13" s="53" t="n"/>
      <c r="BB13" s="53" t="n"/>
      <c r="BC13" s="53" t="inlineStr">
        <is>
          <t>Employee</t>
        </is>
      </c>
      <c r="BD13" s="53" t="inlineStr">
        <is>
          <t>Anushree Aparajit</t>
        </is>
      </c>
      <c r="BE13" s="53" t="inlineStr">
        <is>
          <t>Anushree Aparajit</t>
        </is>
      </c>
      <c r="BF13" s="53" t="inlineStr">
        <is>
          <t>No</t>
        </is>
      </c>
      <c r="BG13" s="53" t="inlineStr">
        <is>
          <t>Manager- Customer Engagement</t>
        </is>
      </c>
      <c r="BH13" s="53" t="inlineStr">
        <is>
          <t>Sr.Customer Engagement Manager</t>
        </is>
      </c>
      <c r="BI13" s="53" t="inlineStr">
        <is>
          <t>Yes</t>
        </is>
      </c>
      <c r="BJ13" s="53" t="n">
        <v>1</v>
      </c>
      <c r="BK13" s="53" t="n">
        <v>0</v>
      </c>
      <c r="BL13" s="53" t="n">
        <v>1</v>
      </c>
      <c r="BM13" s="53" t="inlineStr">
        <is>
          <t>Consolidate / flatten</t>
        </is>
      </c>
      <c r="BN13" s="53" t="n">
        <v>1</v>
      </c>
      <c r="BO13" s="53" t="n">
        <v>0</v>
      </c>
      <c r="BP13" s="53" t="n">
        <v>1</v>
      </c>
      <c r="BQ13" s="53" t="inlineStr">
        <is>
          <t>Consolidate / flatten</t>
        </is>
      </c>
      <c r="BR13" s="53" t="inlineStr">
        <is>
          <t>No</t>
        </is>
      </c>
      <c r="BS13" s="53" t="inlineStr">
        <is>
          <t>L5 – Manager</t>
        </is>
      </c>
      <c r="BT13" s="53" t="inlineStr">
        <is>
          <t>L4</t>
        </is>
      </c>
      <c r="BU13" s="53" t="inlineStr">
        <is>
          <t>Matched from Title Hierarchy · new designation</t>
        </is>
      </c>
      <c r="BV13" s="53"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3" s="53" t="n"/>
      <c r="BX13" s="53" t="inlineStr">
        <is>
          <t>Europe; India; Nigeria; Singapore.</t>
        </is>
      </c>
      <c r="BY13" s="53" t="n"/>
      <c r="BZ13" s="53" t="inlineStr">
        <is>
          <t>IRIS1963</t>
        </is>
      </c>
      <c r="CA13" s="53" t="inlineStr">
        <is>
          <t>Employee</t>
        </is>
      </c>
      <c r="CB13" s="53" t="inlineStr">
        <is>
          <t>Active</t>
        </is>
      </c>
      <c r="CC13" s="53" t="inlineStr">
        <is>
          <t>Neha Gajbhiye</t>
        </is>
      </c>
      <c r="CD13" s="54" t="n">
        <v>44494</v>
      </c>
      <c r="CE13" s="53" t="inlineStr">
        <is>
          <t>Manager- Customer Engagement</t>
        </is>
      </c>
      <c r="CF13" s="53" t="inlineStr">
        <is>
          <t>Upsell, cross, improve NPS, follow up with tech team · Non US Market</t>
        </is>
      </c>
      <c r="CG13" s="53" t="inlineStr">
        <is>
          <t>Customer Success &amp; Support</t>
        </is>
      </c>
      <c r="CH13" s="53" t="inlineStr">
        <is>
          <t>Customer Support</t>
        </is>
      </c>
      <c r="CI13" s="53" t="inlineStr">
        <is>
          <t>Customer Engagement Lead</t>
        </is>
      </c>
      <c r="CJ13" s="53" t="inlineStr">
        <is>
          <t>L5 – Manager</t>
        </is>
      </c>
      <c r="CK13" s="53" t="inlineStr">
        <is>
          <t>Anushree Aparajit</t>
        </is>
      </c>
      <c r="CL13" s="53" t="inlineStr">
        <is>
          <t>N-5</t>
        </is>
      </c>
      <c r="CM13" s="53" t="inlineStr">
        <is>
          <t>Player Cum Coach</t>
        </is>
      </c>
      <c r="CN13" s="53" t="inlineStr">
        <is>
          <t>Regtech</t>
        </is>
      </c>
      <c r="CO13" s="53" t="inlineStr">
        <is>
          <t>Support</t>
        </is>
      </c>
      <c r="CP13" s="53" t="inlineStr">
        <is>
          <t>15 years, 11 months, 26 days</t>
        </is>
      </c>
      <c r="CQ13" s="53" t="inlineStr">
        <is>
          <t>Customer Engagement Lead</t>
        </is>
      </c>
      <c r="CR13" s="53" t="inlineStr">
        <is>
          <t>No</t>
        </is>
      </c>
      <c r="CS13" s="53" t="n">
        <v>4</v>
      </c>
      <c r="CT13" s="53" t="inlineStr">
        <is>
          <t>High</t>
        </is>
      </c>
      <c r="CU13" s="53" t="inlineStr">
        <is>
          <t>High Impact / Growth Talent</t>
        </is>
      </c>
      <c r="CV13" s="53" t="inlineStr">
        <is>
          <t>Yes</t>
        </is>
      </c>
      <c r="CW13" s="53" t="inlineStr">
        <is>
          <t>Yes</t>
        </is>
      </c>
      <c r="CX13" s="53" t="inlineStr">
        <is>
          <t>Yes</t>
        </is>
      </c>
      <c r="CY13" s="53" t="inlineStr">
        <is>
          <t>Y</t>
        </is>
      </c>
      <c r="CZ13" s="53" t="inlineStr">
        <is>
          <t>Quality &amp; accuracy practices| People management: goal-setting &amp; feedback, 1:1 coaching, performance conversations</t>
        </is>
      </c>
      <c r="DA13" s="53" t="inlineStr">
        <is>
          <t>Personality Development and C-suite communication for expansion</t>
        </is>
      </c>
      <c r="DB13" s="53" t="inlineStr">
        <is>
          <t>Neha needs extensive Personality and speech training to scale up for c-suite communications and pricing discussions along with standard Contractual clause interpretation and understanding.Title to be standardized to; Customer Engagement Lead</t>
        </is>
      </c>
      <c r="DC13" s="53" t="n"/>
      <c r="DD13" s="53" t="n"/>
      <c r="DE13" s="53" t="n"/>
      <c r="DF13" s="53" t="n"/>
      <c r="DG13" s="53" t="n"/>
      <c r="DH13" s="53" t="n"/>
      <c r="DI13" s="53" t="n"/>
      <c r="DJ13" s="53" t="n"/>
      <c r="DK13" s="53" t="n"/>
      <c r="DL13" s="53" t="n"/>
      <c r="DM13" s="53" t="n"/>
      <c r="DN13" s="53" t="n"/>
      <c r="DO13" s="53" t="n"/>
      <c r="DP13" s="53" t="n"/>
      <c r="DQ13" s="53" t="n"/>
      <c r="DR13" s="53" t="n"/>
      <c r="DS13" s="53" t="n"/>
      <c r="DT13" s="53" t="n"/>
      <c r="DU13" s="53" t="n"/>
      <c r="DV13" s="53" t="n"/>
      <c r="DW13" s="53" t="n"/>
      <c r="DX13" s="53" t="n"/>
      <c r="DY13" s="53" t="n"/>
      <c r="DZ13" s="53" t="n"/>
      <c r="EA13" s="53" t="n"/>
      <c r="EB13" s="53" t="n"/>
      <c r="EC13" s="53" t="n"/>
      <c r="ED13" s="53" t="n"/>
      <c r="EE13" s="53" t="n"/>
      <c r="EF13" s="53" t="n"/>
      <c r="EG13" s="53" t="n"/>
      <c r="EH13" s="53" t="n"/>
      <c r="EI13" s="53" t="n"/>
      <c r="EJ13" s="53" t="n"/>
      <c r="EK13" s="53" t="n"/>
      <c r="EL13" s="53" t="n"/>
      <c r="EM13" s="53" t="n"/>
      <c r="EN13" s="53" t="n"/>
      <c r="EO13" s="53" t="n"/>
      <c r="EP13" s="53" t="n"/>
      <c r="EQ13" s="53" t="n"/>
      <c r="ER13" s="53" t="n"/>
      <c r="ES13" s="53" t="n"/>
      <c r="ET13" s="53" t="n"/>
      <c r="EU13" s="53" t="n"/>
      <c r="EV13" s="53" t="n"/>
      <c r="EW13" s="52" t="n"/>
      <c r="EX13" s="53"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EY13" s="53"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EZ13" s="53"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FA13" s="53"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B13" s="53" t="inlineStr">
        <is>
          <t>• Key challenges: Approval process; Getting agreements done; Explaining same thing to.
• Support required: Streamlining approval process.</t>
        </is>
      </c>
      <c r="FC13" s="53" t="n"/>
      <c r="FD13" s="53" t="n"/>
      <c r="FE13" s="57"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3" s="56" t="n"/>
      <c r="FG13" s="56" t="n"/>
      <c r="FH13" s="56" t="n"/>
      <c r="FI13" s="56" t="inlineStr">
        <is>
          <t>Upsell, cross, improve NPS, follow up with tech team · Non US Market</t>
        </is>
      </c>
      <c r="FJ13" s="56" t="inlineStr">
        <is>
          <t>Received · manager annual</t>
        </is>
      </c>
      <c r="FK13" s="56" t="inlineStr">
        <is>
          <t>CARBON Mapping Master · CARBON Talent Mapping · Raw</t>
        </is>
      </c>
      <c r="FL13" s="56" t="n">
        <v>20</v>
      </c>
      <c r="FM13" s="56"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FN13" s="56"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FO13" s="56"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FP13" s="56"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Q13" s="56" t="inlineStr">
        <is>
          <t>• Key challenges: Approval process; Getting agreements done; Explaining same thing to.
• Support required: Streamlining approval process.</t>
        </is>
      </c>
      <c r="FR13" s="56" t="inlineStr">
        <is>
          <t>Complexity: Evidence reads like A3: own survey / KRA answers · summarised by the rater; not quoted → moved down 1
Autonomy: Evidence reads like A2: States can decide independently on 'trainings only' → moved down 1
Accountability: Evidence reads like B2: Renewals, upsell, cross-sell, outstanding payments and NPS/CSAT across multi-country accounts → moved up 0.2
Leadership: Evidence reads like A1: No guidance described despite one report → moved down 1
Business Impact: Moved +0.5: the survey / manager mapping marks it business-critical.</t>
        </is>
      </c>
      <c r="FS13"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3" s="56" t="inlineStr">
        <is>
          <t>Self-identified: Project / programme management · Data, SQL &amp; analytics
For the next role: Project / programme management · Data, SQL &amp; analytics</t>
        </is>
      </c>
      <c r="FU13" s="56" t="inlineStr">
        <is>
          <t>Per-person summary · CARBON Mapping Master</t>
        </is>
      </c>
    </row>
    <row r="14" ht="90" customHeight="1">
      <c r="A14" s="51" t="inlineStr">
        <is>
          <t>◂ Back</t>
        </is>
      </c>
      <c r="B14" s="29" t="inlineStr">
        <is>
          <t>Mapped</t>
        </is>
      </c>
      <c r="C14" s="28" t="inlineStr">
        <is>
          <t>CARBON</t>
        </is>
      </c>
      <c r="D14" s="29" t="inlineStr">
        <is>
          <t>IRISC184</t>
        </is>
      </c>
      <c r="E14" s="29" t="inlineStr">
        <is>
          <t>Tanya Dhere</t>
        </is>
      </c>
      <c r="F14" s="29" t="inlineStr">
        <is>
          <t>Support</t>
        </is>
      </c>
      <c r="G14" s="29" t="inlineStr">
        <is>
          <t>Consultant</t>
        </is>
      </c>
      <c r="H14" s="29" t="inlineStr">
        <is>
          <t>Senior Customer Success Executive</t>
        </is>
      </c>
      <c r="I14" s="29" t="inlineStr">
        <is>
          <t>L3 – Professional / Associate</t>
        </is>
      </c>
      <c r="J14" s="29" t="inlineStr">
        <is>
          <t>A3</t>
        </is>
      </c>
      <c r="K14" s="29" t="inlineStr">
        <is>
          <t>▲ Up</t>
        </is>
      </c>
      <c r="L14" s="29" t="inlineStr">
        <is>
          <t>Customer Success &amp; Support</t>
        </is>
      </c>
      <c r="M14" s="29" t="inlineStr">
        <is>
          <t>Customer Success &amp; Account Management</t>
        </is>
      </c>
      <c r="N14" s="29" t="n"/>
      <c r="O14" s="29" t="n">
        <v>19</v>
      </c>
      <c r="P14" s="28" t="inlineStr">
        <is>
          <t>P2</t>
        </is>
      </c>
      <c r="Q14" s="29" t="inlineStr">
        <is>
          <t>Developing</t>
        </is>
      </c>
      <c r="R14" s="29" t="inlineStr">
        <is>
          <t>3 Apply</t>
        </is>
      </c>
      <c r="S14" s="29" t="inlineStr">
        <is>
          <t>2–4 yrs</t>
        </is>
      </c>
      <c r="T14" s="29" t="inlineStr">
        <is>
          <t>3–5 · 2–5</t>
        </is>
      </c>
      <c r="U14" s="29" t="inlineStr">
        <is>
          <t>Support / CS Executive</t>
        </is>
      </c>
      <c r="V14" s="29" t="inlineStr">
        <is>
          <t>IRIS Vs Competitor Benchmark — SaaS customer-success ladder: Associate CSM · Regnology: Product Support Specialist · Reg Reporting · IRIS Vs Competitor Benchmark — support tiers: L2 Application Support</t>
        </is>
      </c>
      <c r="W14" s="29" t="inlineStr">
        <is>
          <t>TSIA frameworks and benchmarks; ITIL 4 service desk; Gainsight customer-success practice</t>
        </is>
      </c>
      <c r="X14" s="29" t="inlineStr">
        <is>
          <t>Core 2 · Future 2 · Functional 3 · Leadership not scored</t>
        </is>
      </c>
      <c r="Y14" s="52" t="n">
        <v>170</v>
      </c>
      <c r="Z14" s="53" t="inlineStr">
        <is>
          <t>IRISC184</t>
        </is>
      </c>
      <c r="AA14" s="53" t="inlineStr">
        <is>
          <t>On Contract</t>
        </is>
      </c>
      <c r="AB14" s="53" t="inlineStr">
        <is>
          <t>Active</t>
        </is>
      </c>
      <c r="AC14" s="53" t="inlineStr">
        <is>
          <t>Tanya Dhere</t>
        </is>
      </c>
      <c r="AD14" s="54" t="n">
        <v>44095</v>
      </c>
      <c r="AE14" s="53" t="inlineStr">
        <is>
          <t>Consultant</t>
        </is>
      </c>
      <c r="AF14" s="53" t="inlineStr">
        <is>
          <t>B.Com</t>
        </is>
      </c>
      <c r="AG14" s="53" t="inlineStr">
        <is>
          <t>Neha Gajbhiye</t>
        </is>
      </c>
      <c r="AH14" s="53" t="inlineStr">
        <is>
          <t>N-6</t>
        </is>
      </c>
      <c r="AI14" s="53" t="inlineStr">
        <is>
          <t>Individual Contributor</t>
        </is>
      </c>
      <c r="AJ14" s="53" t="inlineStr">
        <is>
          <t>7 years, 0 months, 0 days</t>
        </is>
      </c>
      <c r="AK14" s="53" t="inlineStr">
        <is>
          <t>5 years, 11 months, 4 days</t>
        </is>
      </c>
      <c r="AL14" s="53" t="inlineStr">
        <is>
          <t>Regtech</t>
        </is>
      </c>
      <c r="AM14" s="53" t="inlineStr">
        <is>
          <t>CARBON</t>
        </is>
      </c>
      <c r="AN14" s="53" t="inlineStr">
        <is>
          <t>Support</t>
        </is>
      </c>
      <c r="AO14" s="53" t="inlineStr">
        <is>
          <t>Client Engagement</t>
        </is>
      </c>
      <c r="AP14" s="53" t="inlineStr">
        <is>
          <t>No</t>
        </is>
      </c>
      <c r="AQ14" s="53" t="inlineStr">
        <is>
          <t>Client Engagement</t>
        </is>
      </c>
      <c r="AR14" s="53" t="inlineStr">
        <is>
          <t>XBRL Domain</t>
        </is>
      </c>
      <c r="AS14" s="53" t="inlineStr">
        <is>
          <t>Non-technical</t>
        </is>
      </c>
      <c r="AT14" s="53" t="n">
        <v>20</v>
      </c>
      <c r="AU14" s="53" t="inlineStr">
        <is>
          <t>Covered</t>
        </is>
      </c>
      <c r="AV14" s="53" t="inlineStr">
        <is>
          <t>IRISC184</t>
        </is>
      </c>
      <c r="AW14" s="53" t="inlineStr">
        <is>
          <t>Tanya Dhere</t>
        </is>
      </c>
      <c r="AX14" s="53" t="inlineStr">
        <is>
          <t>Functional</t>
        </is>
      </c>
      <c r="AY14" s="53" t="inlineStr">
        <is>
          <t>Client Engagement</t>
        </is>
      </c>
      <c r="AZ14" s="53" t="inlineStr">
        <is>
          <t>Client Engagement</t>
        </is>
      </c>
      <c r="BA14" s="53" t="n"/>
      <c r="BB14" s="53" t="n"/>
      <c r="BC14" s="53" t="inlineStr">
        <is>
          <t>On Contract</t>
        </is>
      </c>
      <c r="BD14" s="53" t="inlineStr">
        <is>
          <t>Neha Gajbhiye</t>
        </is>
      </c>
      <c r="BE14" s="53" t="inlineStr">
        <is>
          <t>Neha Gajbhiye</t>
        </is>
      </c>
      <c r="BF14" s="53" t="inlineStr">
        <is>
          <t>No</t>
        </is>
      </c>
      <c r="BG14" s="53" t="inlineStr">
        <is>
          <t>Consultant</t>
        </is>
      </c>
      <c r="BH14" s="53" t="inlineStr">
        <is>
          <t>Senior Services Specialist</t>
        </is>
      </c>
      <c r="BI14" s="53" t="inlineStr">
        <is>
          <t>Yes</t>
        </is>
      </c>
      <c r="BJ14" s="53" t="inlineStr">
        <is>
          <t>—</t>
        </is>
      </c>
      <c r="BK14" s="53" t="inlineStr">
        <is>
          <t>—</t>
        </is>
      </c>
      <c r="BL14" s="53" t="inlineStr">
        <is>
          <t>—</t>
        </is>
      </c>
      <c r="BM14" s="53" t="inlineStr">
        <is>
          <t>Not a manager</t>
        </is>
      </c>
      <c r="BN14" s="53" t="inlineStr">
        <is>
          <t>—</t>
        </is>
      </c>
      <c r="BO14" s="53" t="inlineStr">
        <is>
          <t>—</t>
        </is>
      </c>
      <c r="BP14" s="53" t="inlineStr">
        <is>
          <t>—</t>
        </is>
      </c>
      <c r="BQ14" s="53" t="inlineStr">
        <is>
          <t>Not a manager</t>
        </is>
      </c>
      <c r="BR14" s="53" t="inlineStr">
        <is>
          <t>—</t>
        </is>
      </c>
      <c r="BS14" s="53" t="inlineStr">
        <is>
          <t>L3 – Professional / Associate</t>
        </is>
      </c>
      <c r="BT14" s="53" t="inlineStr">
        <is>
          <t>L3 – Professional / Associate</t>
        </is>
      </c>
      <c r="BU14" s="53" t="inlineStr">
        <is>
          <t>Designation refined from Raw tab Comments column · this update</t>
        </is>
      </c>
      <c r="BV14" s="53" t="n"/>
      <c r="BW14" s="53" t="n"/>
      <c r="BX14" s="53" t="inlineStr">
        <is>
          <t>India - MCA; Europe - ESEF · On Contract.</t>
        </is>
      </c>
      <c r="BY14" s="53" t="n"/>
      <c r="BZ14" s="53" t="inlineStr">
        <is>
          <t>IRISC184</t>
        </is>
      </c>
      <c r="CA14" s="53" t="inlineStr">
        <is>
          <t>On Contract</t>
        </is>
      </c>
      <c r="CB14" s="53" t="inlineStr">
        <is>
          <t>Active</t>
        </is>
      </c>
      <c r="CC14" s="53" t="inlineStr">
        <is>
          <t>Tanya Dhere</t>
        </is>
      </c>
      <c r="CD14" s="54" t="n">
        <v>44095</v>
      </c>
      <c r="CE14" s="53" t="inlineStr">
        <is>
          <t>Consultant</t>
        </is>
      </c>
      <c r="CF14" s="53" t="n"/>
      <c r="CG14" s="53" t="inlineStr">
        <is>
          <t>Professional Services</t>
        </is>
      </c>
      <c r="CH14" s="53" t="inlineStr">
        <is>
          <t>XBRL / Regulatory Reporting</t>
        </is>
      </c>
      <c r="CI14" s="53" t="inlineStr">
        <is>
          <t>Consultant</t>
        </is>
      </c>
      <c r="CJ14" s="53" t="inlineStr">
        <is>
          <t>L3 – Professional / Associate</t>
        </is>
      </c>
      <c r="CK14" s="53" t="inlineStr">
        <is>
          <t>Neha Gajbhiye</t>
        </is>
      </c>
      <c r="CL14" s="53" t="inlineStr">
        <is>
          <t>N-6</t>
        </is>
      </c>
      <c r="CM14" s="53" t="inlineStr">
        <is>
          <t>Individual Contributor</t>
        </is>
      </c>
      <c r="CN14" s="53" t="inlineStr">
        <is>
          <t>Regtech</t>
        </is>
      </c>
      <c r="CO14" s="53" t="inlineStr">
        <is>
          <t>Services</t>
        </is>
      </c>
      <c r="CP14" s="53" t="inlineStr">
        <is>
          <t>12 years, 8 months, 30 days</t>
        </is>
      </c>
      <c r="CQ14" s="53" t="inlineStr">
        <is>
          <t>Senior Consultant · review – experience supports senior band</t>
        </is>
      </c>
      <c r="CR14" s="53" t="inlineStr">
        <is>
          <t>No</t>
        </is>
      </c>
      <c r="CS14" s="53" t="n">
        <v>3</v>
      </c>
      <c r="CT14" s="53" t="inlineStr">
        <is>
          <t>Low</t>
        </is>
      </c>
      <c r="CU14" s="53" t="inlineStr">
        <is>
          <t>Reliable Specialist</t>
        </is>
      </c>
      <c r="CV14" s="53" t="n"/>
      <c r="CW14" s="53" t="n"/>
      <c r="CX14" s="53" t="n"/>
      <c r="CY14" s="53" t="n"/>
      <c r="CZ14" s="53" t="inlineStr">
        <is>
          <t>XBRL taxonomy &amp; regulatory updates; domain/accounting refreshers; quality &amp; accuracy practices; tooling proficiency</t>
        </is>
      </c>
      <c r="DA14" s="53" t="inlineStr">
        <is>
          <t>Transition to leadership: people management &amp; delegation, mentoring/coaching, project ownership &amp; stakeholder management, prioritisation under ambiguity, presentation &amp; influence skills</t>
        </is>
      </c>
      <c r="DB14" s="53" t="inlineStr">
        <is>
          <t>07/16 - She is a contractor. Title to be changed to Senior Services Specialist</t>
        </is>
      </c>
      <c r="DC14" s="53" t="n"/>
      <c r="DD14" s="53" t="n"/>
      <c r="DE14" s="53" t="n"/>
      <c r="DF14" s="53" t="n"/>
      <c r="DG14" s="53" t="n"/>
      <c r="DH14" s="53" t="n"/>
      <c r="DI14" s="53" t="n"/>
      <c r="DJ14" s="53" t="n"/>
      <c r="DK14" s="53" t="n"/>
      <c r="DL14" s="53" t="n"/>
      <c r="DM14" s="53" t="n"/>
      <c r="DN14" s="53" t="n"/>
      <c r="DO14" s="53" t="n"/>
      <c r="DP14" s="53" t="n"/>
      <c r="DQ14" s="53" t="n"/>
      <c r="DR14" s="53" t="n"/>
      <c r="DS14" s="53" t="n"/>
      <c r="DT14" s="53" t="n"/>
      <c r="DU14" s="53" t="n"/>
      <c r="DV14" s="53" t="n"/>
      <c r="DW14" s="53" t="n"/>
      <c r="DX14" s="53" t="n"/>
      <c r="DY14" s="53" t="n"/>
      <c r="DZ14" s="53" t="n"/>
      <c r="EA14" s="53" t="n"/>
      <c r="EB14" s="53" t="n"/>
      <c r="EC14" s="53" t="n"/>
      <c r="ED14" s="53" t="n"/>
      <c r="EE14" s="53" t="n"/>
      <c r="EF14" s="53" t="n"/>
      <c r="EG14" s="53" t="n"/>
      <c r="EH14" s="53" t="n"/>
      <c r="EI14" s="53" t="n"/>
      <c r="EJ14" s="53" t="n"/>
      <c r="EK14" s="53" t="n"/>
      <c r="EL14" s="53" t="n"/>
      <c r="EM14" s="53" t="n"/>
      <c r="EN14" s="53" t="n"/>
      <c r="EO14" s="53" t="n"/>
      <c r="EP14" s="53" t="n"/>
      <c r="EQ14" s="53" t="n"/>
      <c r="ER14" s="53" t="n"/>
      <c r="ES14" s="53" t="n"/>
      <c r="ET14" s="53" t="n"/>
      <c r="EU14" s="53" t="n"/>
      <c r="EV14" s="53" t="n"/>
      <c r="EW14" s="52" t="inlineStr">
        <is>
          <t>Shifted from XBRL / Regulatory Reporting to the CEM · Client Engagement team; Department/Role Family/Sub-Family updated accordingly · Department mapped to existing CARBON Client Engagement precedent.</t>
        </is>
      </c>
      <c r="EX14" s="53" t="inlineStr">
        <is>
          <t>• Role / sub-team: PMO Activity, AI Testing.</t>
        </is>
      </c>
      <c r="EY14" s="53"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EZ14" s="53" t="inlineStr">
        <is>
          <t>• Current capabilities: Quick resolutions; NEW WAYS OF WORKING OUT T.</t>
        </is>
      </c>
      <c r="FA14" s="53" t="inlineStr">
        <is>
          <t>• Development priorities: No input received.
• Learning and Development Need: Past experiences.
• AI Enablement Need: AI prompt engineering and using AI to increase efficiency, given their reported use of AI.</t>
        </is>
      </c>
      <c r="FB14" s="53" t="inlineStr">
        <is>
          <t>• Key challenges: Net Access Approvals; tools not working.
• Support required: No input received.</t>
        </is>
      </c>
      <c r="FC14" s="53" t="n"/>
      <c r="FD14" s="53" t="n"/>
      <c r="FE14" s="55" t="inlineStr">
        <is>
          <t>KRAs not received · manager to supply</t>
        </is>
      </c>
      <c r="FF14" s="56" t="n"/>
      <c r="FG14" s="56" t="n"/>
      <c r="FH14" s="56" t="n"/>
      <c r="FI14" s="56" t="n"/>
      <c r="FJ14" s="32" t="inlineStr">
        <is>
          <t>KRAs not received · manager to supply</t>
        </is>
      </c>
      <c r="FK14" s="56" t="n"/>
      <c r="FL14" s="56" t="n">
        <v>19</v>
      </c>
      <c r="FM14" s="56" t="inlineStr">
        <is>
          <t>• Role / sub-team: PMO Activity, AI Testing.</t>
        </is>
      </c>
      <c r="FN14" s="56"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FO14" s="56" t="inlineStr">
        <is>
          <t>• Current capabilities: Quick resolutions; NEW WAYS OF WORKING OUT T.</t>
        </is>
      </c>
      <c r="FP14" s="56" t="inlineStr">
        <is>
          <t>• Development priorities: No input received.
• Learning and Development Need: Past experiences.
• AI Enablement Need: AI prompt engineering and using AI to increase efficiency, given their reported use of AI.</t>
        </is>
      </c>
      <c r="FQ14" s="56" t="inlineStr">
        <is>
          <t>• Key challenges: Net Access Approvals; tools not working.
• Support required: No input received.</t>
        </is>
      </c>
      <c r="FR14" s="56" t="inlineStr">
        <is>
          <t>Complexity: Evidence reads like A3: Invoicing, proposals, legal documentation, receivables; mediates between service, client and auditors → moved up 0.5
Autonomy: Evidence reads like A2: Handles daily work alone; manager covers urgent items when absent; no decisions stated → matches the start
Accountability: Evidence reads like A3: Invoices, outstanding payments, renewal and legal documentation; direct revenue impact → moved up 0.5
Leadership: Evidence reads like A1: No guidance of others described → matches the start
Business Impact: No survey or manager-mapping signal on criticality: kept at the start point.</t>
        </is>
      </c>
      <c r="FS14"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4" s="56" t="inlineStr">
        <is>
          <t>Self-identified: Answered · no common topic
For the next role: Answered · no common topic</t>
        </is>
      </c>
      <c r="FU14" s="56" t="inlineStr">
        <is>
          <t>Per-person summary · CARBON Mapping Master</t>
        </is>
      </c>
    </row>
    <row r="15" ht="90" customHeight="1">
      <c r="A15" s="51" t="inlineStr">
        <is>
          <t>◂ Back</t>
        </is>
      </c>
      <c r="B15" s="29" t="inlineStr">
        <is>
          <t>Mapped</t>
        </is>
      </c>
      <c r="C15" s="28" t="inlineStr">
        <is>
          <t>CARBON</t>
        </is>
      </c>
      <c r="D15" s="29" t="inlineStr">
        <is>
          <t>IRIS1959</t>
        </is>
      </c>
      <c r="E15" s="29" t="inlineStr">
        <is>
          <t>Praveen Kumar Rajpurohit</t>
        </is>
      </c>
      <c r="F15" s="29" t="inlineStr">
        <is>
          <t>Support</t>
        </is>
      </c>
      <c r="G15" s="29" t="inlineStr">
        <is>
          <t>Manager- Customer Engagement</t>
        </is>
      </c>
      <c r="H15" s="29" t="inlineStr">
        <is>
          <t>Senior Customer Success Specialist</t>
        </is>
      </c>
      <c r="I15" s="29" t="inlineStr">
        <is>
          <t>L5 – Manager</t>
        </is>
      </c>
      <c r="J15" s="29" t="inlineStr">
        <is>
          <t>B2</t>
        </is>
      </c>
      <c r="K15" s="29" t="inlineStr">
        <is>
          <t>• Same level</t>
        </is>
      </c>
      <c r="L15" s="29" t="inlineStr">
        <is>
          <t>Customer Success &amp; Support</t>
        </is>
      </c>
      <c r="M15" s="29" t="inlineStr">
        <is>
          <t>Customer Success &amp; Account Management</t>
        </is>
      </c>
      <c r="N15" s="29" t="n"/>
      <c r="O15" s="29" t="n">
        <v>20</v>
      </c>
      <c r="P15" s="28" t="inlineStr">
        <is>
          <t>P4 / M3</t>
        </is>
      </c>
      <c r="Q15" s="29" t="inlineStr">
        <is>
          <t>Senior / Manager</t>
        </is>
      </c>
      <c r="R15" s="29" t="inlineStr">
        <is>
          <t>4–5</t>
        </is>
      </c>
      <c r="S15" s="29" t="inlineStr">
        <is>
          <t>6–9 yrs</t>
        </is>
      </c>
      <c r="T15" s="29" t="inlineStr">
        <is>
          <t>7–10 · 6–11</t>
        </is>
      </c>
      <c r="U15" s="29" t="inlineStr">
        <is>
          <t>Senior CSM / Support Specialist</t>
        </is>
      </c>
      <c r="V15" s="29" t="inlineStr">
        <is>
          <t>Workiva: Product Success Manager · IRIS Vs Competitor Benchmark — SaaS customer-success ladder: Senior CSM · IRIS Vs Competitor Benchmark — support tiers: Support Team Manager</t>
        </is>
      </c>
      <c r="W15" s="29" t="inlineStr">
        <is>
          <t>TSIA frameworks and benchmarks; ITIL 4 service desk; Gainsight customer-success practice</t>
        </is>
      </c>
      <c r="X15" s="29" t="inlineStr">
        <is>
          <t>Core 3 · Future 3 · Functional 4 · Leadership 2</t>
        </is>
      </c>
      <c r="Y15" s="52" t="n">
        <v>201</v>
      </c>
      <c r="Z15" s="53" t="inlineStr">
        <is>
          <t>IRIS1959</t>
        </is>
      </c>
      <c r="AA15" s="53" t="inlineStr">
        <is>
          <t>Employee</t>
        </is>
      </c>
      <c r="AB15" s="53" t="inlineStr">
        <is>
          <t>Active</t>
        </is>
      </c>
      <c r="AC15" s="53" t="inlineStr">
        <is>
          <t>Praveen Kumar Rajpurohit</t>
        </is>
      </c>
      <c r="AD15" s="54" t="n">
        <v>44473</v>
      </c>
      <c r="AE15" s="53" t="inlineStr">
        <is>
          <t>Manager- Customer Engagement</t>
        </is>
      </c>
      <c r="AF15" s="53" t="inlineStr">
        <is>
          <t>MBA</t>
        </is>
      </c>
      <c r="AG15" s="53" t="inlineStr">
        <is>
          <t>Anushree Aparajit</t>
        </is>
      </c>
      <c r="AH15" s="53" t="inlineStr">
        <is>
          <t>N-5</t>
        </is>
      </c>
      <c r="AI15" s="53" t="inlineStr">
        <is>
          <t>Individual Contributor</t>
        </is>
      </c>
      <c r="AJ15" s="53" t="inlineStr">
        <is>
          <t>9 years, 7 months, 0 days</t>
        </is>
      </c>
      <c r="AK15" s="53" t="inlineStr">
        <is>
          <t>4 years, 10 months, 21 days</t>
        </is>
      </c>
      <c r="AL15" s="53" t="inlineStr">
        <is>
          <t>Regtech</t>
        </is>
      </c>
      <c r="AM15" s="53" t="inlineStr">
        <is>
          <t>CARBON</t>
        </is>
      </c>
      <c r="AN15" s="53" t="inlineStr">
        <is>
          <t>Support</t>
        </is>
      </c>
      <c r="AO15" s="53" t="inlineStr">
        <is>
          <t>Client Engagement</t>
        </is>
      </c>
      <c r="AP15" s="53" t="inlineStr">
        <is>
          <t>No</t>
        </is>
      </c>
      <c r="AQ15" s="53" t="inlineStr">
        <is>
          <t>Client Engagement</t>
        </is>
      </c>
      <c r="AR15" s="53" t="inlineStr">
        <is>
          <t>XBRL Domain</t>
        </is>
      </c>
      <c r="AS15" s="53" t="inlineStr">
        <is>
          <t>Non-technical</t>
        </is>
      </c>
      <c r="AT15" s="53" t="n">
        <v>20</v>
      </c>
      <c r="AU15" s="53" t="inlineStr">
        <is>
          <t>Covered</t>
        </is>
      </c>
      <c r="AV15" s="53" t="inlineStr">
        <is>
          <t>IRIS1959</t>
        </is>
      </c>
      <c r="AW15" s="53" t="inlineStr">
        <is>
          <t>Praveen Kumar Rajpurohit</t>
        </is>
      </c>
      <c r="AX15" s="53" t="inlineStr">
        <is>
          <t>Support</t>
        </is>
      </c>
      <c r="AY15" s="53" t="inlineStr">
        <is>
          <t>Customer Success &amp; Support</t>
        </is>
      </c>
      <c r="AZ15" s="53" t="inlineStr">
        <is>
          <t>Customer Success</t>
        </is>
      </c>
      <c r="BA15" s="53" t="n"/>
      <c r="BB15" s="53" t="n"/>
      <c r="BC15" s="53" t="inlineStr">
        <is>
          <t>Employee</t>
        </is>
      </c>
      <c r="BD15" s="53" t="inlineStr">
        <is>
          <t>Anushree Aparajit</t>
        </is>
      </c>
      <c r="BE15" s="53" t="inlineStr">
        <is>
          <t>Anushree Aparajit</t>
        </is>
      </c>
      <c r="BF15" s="53" t="inlineStr">
        <is>
          <t>No</t>
        </is>
      </c>
      <c r="BG15" s="53" t="inlineStr">
        <is>
          <t>Manager- Customer Engagement</t>
        </is>
      </c>
      <c r="BH15" s="53" t="inlineStr">
        <is>
          <t>Sr.Customer Engagement Manager</t>
        </is>
      </c>
      <c r="BI15" s="53" t="inlineStr">
        <is>
          <t>Yes</t>
        </is>
      </c>
      <c r="BJ15" s="53" t="inlineStr">
        <is>
          <t>—</t>
        </is>
      </c>
      <c r="BK15" s="53" t="inlineStr">
        <is>
          <t>—</t>
        </is>
      </c>
      <c r="BL15" s="53" t="inlineStr">
        <is>
          <t>—</t>
        </is>
      </c>
      <c r="BM15" s="53" t="inlineStr">
        <is>
          <t>Not a manager</t>
        </is>
      </c>
      <c r="BN15" s="53" t="inlineStr">
        <is>
          <t>—</t>
        </is>
      </c>
      <c r="BO15" s="53" t="inlineStr">
        <is>
          <t>—</t>
        </is>
      </c>
      <c r="BP15" s="53" t="inlineStr">
        <is>
          <t>—</t>
        </is>
      </c>
      <c r="BQ15" s="53" t="inlineStr">
        <is>
          <t>Not a manager</t>
        </is>
      </c>
      <c r="BR15" s="53" t="inlineStr">
        <is>
          <t>—</t>
        </is>
      </c>
      <c r="BS15" s="53" t="inlineStr">
        <is>
          <t>L5 – Manager</t>
        </is>
      </c>
      <c r="BT15" s="53" t="inlineStr">
        <is>
          <t>L3</t>
        </is>
      </c>
      <c r="BU15" s="53" t="inlineStr">
        <is>
          <t>Matched from Title Hierarchy · new designation</t>
        </is>
      </c>
      <c r="BV15" s="53"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5" s="53" t="n"/>
      <c r="BX15" s="53" t="inlineStr">
        <is>
          <t>Europe India US.</t>
        </is>
      </c>
      <c r="BY15" s="53" t="n"/>
      <c r="BZ15" s="53" t="inlineStr">
        <is>
          <t>IRIS1959</t>
        </is>
      </c>
      <c r="CA15" s="53" t="inlineStr">
        <is>
          <t>Employee</t>
        </is>
      </c>
      <c r="CB15" s="53" t="inlineStr">
        <is>
          <t>Active</t>
        </is>
      </c>
      <c r="CC15" s="53" t="inlineStr">
        <is>
          <t>Praveen Kumar Rajpurohit</t>
        </is>
      </c>
      <c r="CD15" s="54" t="n">
        <v>44473</v>
      </c>
      <c r="CE15" s="53" t="inlineStr">
        <is>
          <t>Manager- Customer Engagement</t>
        </is>
      </c>
      <c r="CF15" s="53" t="inlineStr">
        <is>
          <t>Upsell, cross, improve NPS, follow up with tech team · Non US Market</t>
        </is>
      </c>
      <c r="CG15" s="53" t="inlineStr">
        <is>
          <t>Customer Success &amp; Support</t>
        </is>
      </c>
      <c r="CH15" s="53" t="inlineStr">
        <is>
          <t>Customer Support</t>
        </is>
      </c>
      <c r="CI15" s="53" t="inlineStr">
        <is>
          <t>Sr.Customer Engagement Manager</t>
        </is>
      </c>
      <c r="CJ15" s="53" t="inlineStr">
        <is>
          <t>L5 – Manager</t>
        </is>
      </c>
      <c r="CK15" s="53" t="inlineStr">
        <is>
          <t>Anushree Aparajit</t>
        </is>
      </c>
      <c r="CL15" s="53" t="inlineStr">
        <is>
          <t>N-5</t>
        </is>
      </c>
      <c r="CM15" s="53" t="inlineStr">
        <is>
          <t>Individual Contributor</t>
        </is>
      </c>
      <c r="CN15" s="53" t="inlineStr">
        <is>
          <t>Regtech</t>
        </is>
      </c>
      <c r="CO15" s="53" t="inlineStr">
        <is>
          <t>Support</t>
        </is>
      </c>
      <c r="CP15" s="53" t="inlineStr">
        <is>
          <t>14 years, 3 months, 16 days</t>
        </is>
      </c>
      <c r="CQ15" s="53" t="inlineStr">
        <is>
          <t>Sr.Customer Engagement Manager</t>
        </is>
      </c>
      <c r="CR15" s="53" t="inlineStr">
        <is>
          <t>No</t>
        </is>
      </c>
      <c r="CS15" s="53" t="n">
        <v>3</v>
      </c>
      <c r="CT15" s="53" t="inlineStr">
        <is>
          <t>Medium</t>
        </is>
      </c>
      <c r="CU15" s="53" t="inlineStr">
        <is>
          <t>Core Contributor</t>
        </is>
      </c>
      <c r="CV15" s="53" t="inlineStr">
        <is>
          <t>No</t>
        </is>
      </c>
      <c r="CW15" s="53" t="inlineStr">
        <is>
          <t>No</t>
        </is>
      </c>
      <c r="CX15" s="53" t="inlineStr">
        <is>
          <t>Yes</t>
        </is>
      </c>
      <c r="CY15" s="53" t="inlineStr">
        <is>
          <t>N</t>
        </is>
      </c>
      <c r="CZ15" s="53" t="inlineStr">
        <is>
          <t>XBRL taxonomy &amp; regulatory updates; domain/accounting refreshers; quality &amp; accuracy practices; tooling proficiency</t>
        </is>
      </c>
      <c r="DA15" s="53" t="n"/>
      <c r="DB15" s="53"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DC15" s="53" t="n"/>
      <c r="DD15" s="53" t="n"/>
      <c r="DE15" s="53" t="n"/>
      <c r="DF15" s="53" t="n"/>
      <c r="DG15" s="53" t="n"/>
      <c r="DH15" s="53" t="n"/>
      <c r="DI15" s="53" t="n"/>
      <c r="DJ15" s="53" t="n"/>
      <c r="DK15" s="53" t="n"/>
      <c r="DL15" s="53" t="n"/>
      <c r="DM15" s="53" t="n"/>
      <c r="DN15" s="53" t="n"/>
      <c r="DO15" s="53" t="n"/>
      <c r="DP15" s="53" t="n"/>
      <c r="DQ15" s="53" t="n"/>
      <c r="DR15" s="53" t="n"/>
      <c r="DS15" s="53" t="n"/>
      <c r="DT15" s="53" t="n"/>
      <c r="DU15" s="53" t="n"/>
      <c r="DV15" s="53" t="n"/>
      <c r="DW15" s="53" t="n"/>
      <c r="DX15" s="53" t="n"/>
      <c r="DY15" s="53" t="n"/>
      <c r="DZ15" s="53" t="n"/>
      <c r="EA15" s="53" t="n"/>
      <c r="EB15" s="53" t="n"/>
      <c r="EC15" s="53" t="n"/>
      <c r="ED15" s="53" t="n"/>
      <c r="EE15" s="53" t="n"/>
      <c r="EF15" s="53" t="n"/>
      <c r="EG15" s="53" t="n"/>
      <c r="EH15" s="53" t="n"/>
      <c r="EI15" s="53" t="n"/>
      <c r="EJ15" s="53" t="n"/>
      <c r="EK15" s="53" t="n"/>
      <c r="EL15" s="53" t="n"/>
      <c r="EM15" s="53" t="n"/>
      <c r="EN15" s="53" t="n"/>
      <c r="EO15" s="53" t="n"/>
      <c r="EP15" s="53" t="n"/>
      <c r="EQ15" s="53" t="n"/>
      <c r="ER15" s="53" t="n"/>
      <c r="ES15" s="53" t="n"/>
      <c r="ET15" s="53" t="n"/>
      <c r="EU15" s="53" t="n"/>
      <c r="EV15" s="53" t="n"/>
      <c r="EW15" s="52" t="n"/>
      <c r="EX15" s="53"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EY15" s="53"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EZ15" s="53" t="inlineStr">
        <is>
          <t>• Current capabilities: XBRL knowledge; Negotiation skills; Patience; Multi tasking.
• Tools / software used: ChatGPT; PPT.
• Workload: Rated a moderate load · 3/5 in a typical week.
• Judgment/way of working: Sales activities.</t>
        </is>
      </c>
      <c r="FA15" s="53" t="inlineStr">
        <is>
          <t>• Development priorities: Executive communication.
• Learning and Development Need: Rapo with internal teams; Advance Excel training. Nothing specific.
• Role evolving toward: Less collaboration in product development activities.</t>
        </is>
      </c>
      <c r="FB15" s="53" t="inlineStr">
        <is>
          <t>• Key challenges: Pricing approval; Same data in diff excels; Unplanned calls.
• Support required: Sales activities; Remove sales related activities; Ownership to take decisions on pricing.</t>
        </is>
      </c>
      <c r="FC15" s="53" t="n"/>
      <c r="FD15" s="53" t="n"/>
      <c r="FE15" s="57"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5" s="56" t="n"/>
      <c r="FG15" s="56" t="n"/>
      <c r="FH15" s="56" t="n"/>
      <c r="FI15" s="56" t="inlineStr">
        <is>
          <t>Upsell, cross, improve NPS, follow up with tech team · Non US Market</t>
        </is>
      </c>
      <c r="FJ15" s="56" t="inlineStr">
        <is>
          <t>Received · manager annual</t>
        </is>
      </c>
      <c r="FK15" s="56" t="inlineStr">
        <is>
          <t>CARBON Mapping Master · CARBON Talent Mapping · Raw</t>
        </is>
      </c>
      <c r="FL15" s="56" t="n">
        <v>20</v>
      </c>
      <c r="FM15" s="56"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FN15" s="56"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FO15" s="56" t="inlineStr">
        <is>
          <t>• Current capabilities: XBRL knowledge; Negotiation skills; Patience; Multi tasking.
• Tools / software used: ChatGPT; PPT.
• Workload: Rated a moderate load · 3/5 in a typical week.
• Judgment/way of working: Sales activities.</t>
        </is>
      </c>
      <c r="FP15" s="56" t="inlineStr">
        <is>
          <t>• Development priorities: Executive communication.
• Learning and Development Need: Rapo with internal teams; Advance Excel training. Nothing specific.
• Role evolving toward: Less collaboration in product development activities.</t>
        </is>
      </c>
      <c r="FQ15" s="56" t="inlineStr">
        <is>
          <t>• Key challenges: Pricing approval; Same data in diff excels; Unplanned calls.
• Support required: Sales activities; Remove sales related activities; Ownership to take decisions on pricing.</t>
        </is>
      </c>
      <c r="FR15" s="56" t="inlineStr">
        <is>
          <t>Complexity: Evidence reads like A3: Manages EU clients' ESEF filings on DM platform; product testing, client training, demos → moved down 1
Autonomy: Evidence reads like A2: Decides independently on client query handling only → moved down 1
Accountability: Evidence reads like B2: EU client portfolios: timely ESEF filings, retention, renewals, cross-sell and upsell → matches the start
Leadership: Evidence reads like A1: Trains clients; no internal guidance described → moved down 1
Business Impact: Moved +0.5: the survey / manager mapping marks it business-critical.</t>
        </is>
      </c>
      <c r="FS15"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5" s="56" t="inlineStr">
        <is>
          <t>Self-identified: Communication &amp; presentation
For the next role: Communication &amp; presentation</t>
        </is>
      </c>
      <c r="FU15" s="56" t="inlineStr">
        <is>
          <t>Per-person summary · CARBON Mapping Master</t>
        </is>
      </c>
    </row>
    <row r="16" ht="90" customHeight="1">
      <c r="A16" s="51" t="inlineStr">
        <is>
          <t>◂ Back</t>
        </is>
      </c>
      <c r="B16" s="29" t="inlineStr">
        <is>
          <t>Mapped</t>
        </is>
      </c>
      <c r="C16" s="28" t="inlineStr">
        <is>
          <t>CARBON</t>
        </is>
      </c>
      <c r="D16" s="29" t="inlineStr">
        <is>
          <t>IRIS1967</t>
        </is>
      </c>
      <c r="E16" s="29" t="inlineStr">
        <is>
          <t>Pritam Agarwal</t>
        </is>
      </c>
      <c r="F16" s="29" t="inlineStr">
        <is>
          <t>Support</t>
        </is>
      </c>
      <c r="G16" s="29" t="inlineStr">
        <is>
          <t>Manager- Customer Engagement</t>
        </is>
      </c>
      <c r="H16" s="29" t="inlineStr">
        <is>
          <t>Senior Customer Success Specialist</t>
        </is>
      </c>
      <c r="I16" s="29" t="inlineStr">
        <is>
          <t>L5 – Manager</t>
        </is>
      </c>
      <c r="J16" s="29" t="inlineStr">
        <is>
          <t>B2</t>
        </is>
      </c>
      <c r="K16" s="29" t="inlineStr">
        <is>
          <t>• Same level</t>
        </is>
      </c>
      <c r="L16" s="29" t="inlineStr">
        <is>
          <t>Customer Success &amp; Support</t>
        </is>
      </c>
      <c r="M16" s="29" t="inlineStr">
        <is>
          <t>Customer Success &amp; Account Management</t>
        </is>
      </c>
      <c r="N16" s="29" t="n"/>
      <c r="O16" s="29" t="n">
        <v>20</v>
      </c>
      <c r="P16" s="28" t="inlineStr">
        <is>
          <t>P4 / M3</t>
        </is>
      </c>
      <c r="Q16" s="29" t="inlineStr">
        <is>
          <t>Senior / Manager</t>
        </is>
      </c>
      <c r="R16" s="29" t="inlineStr">
        <is>
          <t>4–5</t>
        </is>
      </c>
      <c r="S16" s="29" t="inlineStr">
        <is>
          <t>6–9 yrs</t>
        </is>
      </c>
      <c r="T16" s="29" t="inlineStr">
        <is>
          <t>7–10 · 6–11</t>
        </is>
      </c>
      <c r="U16" s="29" t="inlineStr">
        <is>
          <t>Senior CSM / Support Specialist</t>
        </is>
      </c>
      <c r="V16" s="29" t="inlineStr">
        <is>
          <t>Workiva: Product Success Manager · IRIS Vs Competitor Benchmark — SaaS customer-success ladder: Senior CSM · IRIS Vs Competitor Benchmark — support tiers: Support Team Manager</t>
        </is>
      </c>
      <c r="W16" s="29" t="inlineStr">
        <is>
          <t>TSIA frameworks and benchmarks; ITIL 4 service desk; Gainsight customer-success practice</t>
        </is>
      </c>
      <c r="X16" s="29" t="inlineStr">
        <is>
          <t>Core 3 · Future 3 · Functional 4 · Leadership 2</t>
        </is>
      </c>
      <c r="Y16" s="52" t="n">
        <v>203</v>
      </c>
      <c r="Z16" s="53" t="inlineStr">
        <is>
          <t>IRIS1967</t>
        </is>
      </c>
      <c r="AA16" s="53" t="inlineStr">
        <is>
          <t>Employee</t>
        </is>
      </c>
      <c r="AB16" s="53" t="inlineStr">
        <is>
          <t>Active</t>
        </is>
      </c>
      <c r="AC16" s="53" t="inlineStr">
        <is>
          <t>Pritam Agarwal</t>
        </is>
      </c>
      <c r="AD16" s="54" t="n">
        <v>44531</v>
      </c>
      <c r="AE16" s="53" t="inlineStr">
        <is>
          <t>Manager- Customer Engagement</t>
        </is>
      </c>
      <c r="AF16" s="53" t="inlineStr">
        <is>
          <t>PGDM</t>
        </is>
      </c>
      <c r="AG16" s="53" t="inlineStr">
        <is>
          <t>Anushree Aparajit</t>
        </is>
      </c>
      <c r="AH16" s="53" t="inlineStr">
        <is>
          <t>N-5</t>
        </is>
      </c>
      <c r="AI16" s="53" t="inlineStr">
        <is>
          <t>Individual Contributor</t>
        </is>
      </c>
      <c r="AJ16" s="53" t="inlineStr">
        <is>
          <t>15 years, 4 months, 0 days</t>
        </is>
      </c>
      <c r="AK16" s="53" t="inlineStr">
        <is>
          <t>4 years, 8 months, 24 days</t>
        </is>
      </c>
      <c r="AL16" s="53" t="inlineStr">
        <is>
          <t>Regtech</t>
        </is>
      </c>
      <c r="AM16" s="53" t="inlineStr">
        <is>
          <t>CARBON</t>
        </is>
      </c>
      <c r="AN16" s="53" t="inlineStr">
        <is>
          <t>Support</t>
        </is>
      </c>
      <c r="AO16" s="53" t="inlineStr">
        <is>
          <t>Client Engagement</t>
        </is>
      </c>
      <c r="AP16" s="53" t="inlineStr">
        <is>
          <t>No</t>
        </is>
      </c>
      <c r="AQ16" s="53" t="inlineStr">
        <is>
          <t>Client Engagement</t>
        </is>
      </c>
      <c r="AR16" s="53" t="inlineStr">
        <is>
          <t>XBRL Domain</t>
        </is>
      </c>
      <c r="AS16" s="53" t="inlineStr">
        <is>
          <t>Non-technical</t>
        </is>
      </c>
      <c r="AT16" s="53" t="n">
        <v>20</v>
      </c>
      <c r="AU16" s="53" t="inlineStr">
        <is>
          <t>Covered</t>
        </is>
      </c>
      <c r="AV16" s="53" t="inlineStr">
        <is>
          <t>IRIS1967</t>
        </is>
      </c>
      <c r="AW16" s="53" t="inlineStr">
        <is>
          <t>Pritam Agarwal</t>
        </is>
      </c>
      <c r="AX16" s="53" t="inlineStr">
        <is>
          <t>Support</t>
        </is>
      </c>
      <c r="AY16" s="53" t="inlineStr">
        <is>
          <t>Customer Success &amp; Support</t>
        </is>
      </c>
      <c r="AZ16" s="53" t="inlineStr">
        <is>
          <t>Customer Success</t>
        </is>
      </c>
      <c r="BA16" s="53" t="n"/>
      <c r="BB16" s="53" t="n"/>
      <c r="BC16" s="53" t="inlineStr">
        <is>
          <t>Employee</t>
        </is>
      </c>
      <c r="BD16" s="53" t="inlineStr">
        <is>
          <t>Anushree Aparajit</t>
        </is>
      </c>
      <c r="BE16" s="53" t="inlineStr">
        <is>
          <t>Anushree Aparajit</t>
        </is>
      </c>
      <c r="BF16" s="53" t="inlineStr">
        <is>
          <t>No</t>
        </is>
      </c>
      <c r="BG16" s="53" t="inlineStr">
        <is>
          <t>Manager- Customer Engagement</t>
        </is>
      </c>
      <c r="BH16" s="53" t="inlineStr">
        <is>
          <t>Sr.Customer Engagement Manager</t>
        </is>
      </c>
      <c r="BI16" s="53" t="inlineStr">
        <is>
          <t>Yes</t>
        </is>
      </c>
      <c r="BJ16" s="53" t="inlineStr">
        <is>
          <t>—</t>
        </is>
      </c>
      <c r="BK16" s="53" t="inlineStr">
        <is>
          <t>—</t>
        </is>
      </c>
      <c r="BL16" s="53" t="inlineStr">
        <is>
          <t>—</t>
        </is>
      </c>
      <c r="BM16" s="53" t="inlineStr">
        <is>
          <t>Not a manager</t>
        </is>
      </c>
      <c r="BN16" s="53" t="inlineStr">
        <is>
          <t>—</t>
        </is>
      </c>
      <c r="BO16" s="53" t="inlineStr">
        <is>
          <t>—</t>
        </is>
      </c>
      <c r="BP16" s="53" t="inlineStr">
        <is>
          <t>—</t>
        </is>
      </c>
      <c r="BQ16" s="53" t="inlineStr">
        <is>
          <t>Not a manager</t>
        </is>
      </c>
      <c r="BR16" s="53" t="inlineStr">
        <is>
          <t>—</t>
        </is>
      </c>
      <c r="BS16" s="53" t="inlineStr">
        <is>
          <t>L5 – Manager</t>
        </is>
      </c>
      <c r="BT16" s="53" t="inlineStr">
        <is>
          <t>L3</t>
        </is>
      </c>
      <c r="BU16" s="53" t="inlineStr">
        <is>
          <t>Matched from Title Hierarchy · new designation</t>
        </is>
      </c>
      <c r="BV16" s="53"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6" s="53" t="n"/>
      <c r="BX16" s="53" t="inlineStr">
        <is>
          <t>Germany and Netherlands.</t>
        </is>
      </c>
      <c r="BY16" s="53" t="n"/>
      <c r="BZ16" s="53" t="inlineStr">
        <is>
          <t>IRIS1967</t>
        </is>
      </c>
      <c r="CA16" s="53" t="inlineStr">
        <is>
          <t>Employee</t>
        </is>
      </c>
      <c r="CB16" s="53" t="inlineStr">
        <is>
          <t>Active</t>
        </is>
      </c>
      <c r="CC16" s="53" t="inlineStr">
        <is>
          <t>Pritam Agarwal</t>
        </is>
      </c>
      <c r="CD16" s="54" t="n">
        <v>44531</v>
      </c>
      <c r="CE16" s="53" t="inlineStr">
        <is>
          <t>Manager- Customer Engagement</t>
        </is>
      </c>
      <c r="CF16" s="53" t="inlineStr">
        <is>
          <t>Upsell, cross, improve NPS, follow up with tech team · Non US Market</t>
        </is>
      </c>
      <c r="CG16" s="53" t="inlineStr">
        <is>
          <t>Customer Success &amp; Support</t>
        </is>
      </c>
      <c r="CH16" s="53" t="inlineStr">
        <is>
          <t>Customer Support</t>
        </is>
      </c>
      <c r="CI16" s="53" t="inlineStr">
        <is>
          <t>Sr.Customer Engagement Manager</t>
        </is>
      </c>
      <c r="CJ16" s="53" t="inlineStr">
        <is>
          <t>L5 – Manager</t>
        </is>
      </c>
      <c r="CK16" s="53" t="inlineStr">
        <is>
          <t>Anushree Aparajit</t>
        </is>
      </c>
      <c r="CL16" s="53" t="inlineStr">
        <is>
          <t>N-5</t>
        </is>
      </c>
      <c r="CM16" s="53" t="inlineStr">
        <is>
          <t>Individual Contributor</t>
        </is>
      </c>
      <c r="CN16" s="53" t="inlineStr">
        <is>
          <t>Regtech</t>
        </is>
      </c>
      <c r="CO16" s="53" t="inlineStr">
        <is>
          <t>Support</t>
        </is>
      </c>
      <c r="CP16" s="53" t="inlineStr">
        <is>
          <t>19 years, 10 months, 19 days</t>
        </is>
      </c>
      <c r="CQ16" s="53" t="inlineStr">
        <is>
          <t>Sr.Customer Engagement Manager</t>
        </is>
      </c>
      <c r="CR16" s="53" t="inlineStr">
        <is>
          <t>No</t>
        </is>
      </c>
      <c r="CS16" s="53" t="n">
        <v>2</v>
      </c>
      <c r="CT16" s="53" t="inlineStr">
        <is>
          <t>Medium</t>
        </is>
      </c>
      <c r="CU16" s="53" t="inlineStr">
        <is>
          <t>Core Contributor</t>
        </is>
      </c>
      <c r="CV16" s="53" t="inlineStr">
        <is>
          <t>No</t>
        </is>
      </c>
      <c r="CW16" s="53" t="inlineStr">
        <is>
          <t>No</t>
        </is>
      </c>
      <c r="CX16" s="53" t="inlineStr">
        <is>
          <t>Yes</t>
        </is>
      </c>
      <c r="CY16" s="53" t="inlineStr">
        <is>
          <t>N</t>
        </is>
      </c>
      <c r="CZ16" s="53" t="inlineStr">
        <is>
          <t>XBRL taxonomy &amp; regulatory updates; domain/accounting refreshers; quality &amp; accuracy practices; tooling proficiency</t>
        </is>
      </c>
      <c r="DA16" s="53" t="n"/>
      <c r="DB16" s="53" t="inlineStr">
        <is>
          <t>Pritam needs to take ownership and work proactively. He is excellent in process driven work but on dynamic workscape, there are aspects of proactive picking up threads, forecasting, price gaze, market study involved, which he needs to pick up.</t>
        </is>
      </c>
      <c r="DC16" s="53" t="n"/>
      <c r="DD16" s="53" t="n"/>
      <c r="DE16" s="53" t="n"/>
      <c r="DF16" s="53" t="n"/>
      <c r="DG16" s="53" t="n"/>
      <c r="DH16" s="53" t="n"/>
      <c r="DI16" s="53" t="n"/>
      <c r="DJ16" s="53" t="n"/>
      <c r="DK16" s="53" t="n"/>
      <c r="DL16" s="53" t="n"/>
      <c r="DM16" s="53" t="n"/>
      <c r="DN16" s="53" t="n"/>
      <c r="DO16" s="53" t="n"/>
      <c r="DP16" s="53" t="n"/>
      <c r="DQ16" s="53" t="n"/>
      <c r="DR16" s="53" t="n"/>
      <c r="DS16" s="53" t="n"/>
      <c r="DT16" s="53" t="n"/>
      <c r="DU16" s="53" t="n"/>
      <c r="DV16" s="53" t="n"/>
      <c r="DW16" s="53" t="n"/>
      <c r="DX16" s="53" t="n"/>
      <c r="DY16" s="53" t="n"/>
      <c r="DZ16" s="53" t="n"/>
      <c r="EA16" s="53" t="n"/>
      <c r="EB16" s="53" t="n"/>
      <c r="EC16" s="53" t="n"/>
      <c r="ED16" s="53" t="n"/>
      <c r="EE16" s="53" t="n"/>
      <c r="EF16" s="53" t="n"/>
      <c r="EG16" s="53" t="n"/>
      <c r="EH16" s="53" t="n"/>
      <c r="EI16" s="53" t="n"/>
      <c r="EJ16" s="53" t="n"/>
      <c r="EK16" s="53" t="n"/>
      <c r="EL16" s="53" t="n"/>
      <c r="EM16" s="53" t="n"/>
      <c r="EN16" s="53" t="n"/>
      <c r="EO16" s="53" t="n"/>
      <c r="EP16" s="53" t="n"/>
      <c r="EQ16" s="53" t="n"/>
      <c r="ER16" s="53" t="n"/>
      <c r="ES16" s="53" t="n"/>
      <c r="ET16" s="53" t="n"/>
      <c r="EU16" s="53" t="n"/>
      <c r="EV16" s="53" t="n"/>
      <c r="EW16" s="52" t="n"/>
      <c r="EX16" s="53"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EY16" s="53" t="inlineStr">
        <is>
          <t>• Key responsibilities include: Hubspot updates.
• Personally accountable for: Maintaining CSAY Score, NPS, Logo Retention, New business.
• Impact if missed or done wrong: Client lost due to loss of care.
• How measured: Same as everyone else’s.</t>
        </is>
      </c>
      <c r="EZ16" s="53" t="inlineStr">
        <is>
          <t>• Current capabilities: Client communication.
• Tools / software used: Hubspot and excel.
• Workload: Rated a heavy load · 4/5 in a typical week.
• Judgment/way of working: Email drafting.</t>
        </is>
      </c>
      <c r="FA16" s="53"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B16" s="53" t="inlineStr">
        <is>
          <t>• Key challenges: Multiple stage approval.
• Support required: No new account - Sales can handle it better.</t>
        </is>
      </c>
      <c r="FC16" s="53" t="n"/>
      <c r="FD16" s="53" t="n"/>
      <c r="FE16" s="57"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6" s="56" t="n"/>
      <c r="FG16" s="56" t="n"/>
      <c r="FH16" s="56" t="n"/>
      <c r="FI16" s="56" t="inlineStr">
        <is>
          <t>Upsell, cross, improve NPS, follow up with tech team · Non US Market</t>
        </is>
      </c>
      <c r="FJ16" s="56" t="inlineStr">
        <is>
          <t>Received · manager annual</t>
        </is>
      </c>
      <c r="FK16" s="56" t="inlineStr">
        <is>
          <t>CARBON Mapping Master · CARBON Talent Mapping · Raw</t>
        </is>
      </c>
      <c r="FL16" s="56" t="n">
        <v>20</v>
      </c>
      <c r="FM16" s="56"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FN16" s="56" t="inlineStr">
        <is>
          <t>• Key responsibilities include: Hubspot updates.
• Personally accountable for: Maintaining CSAY Score, NPS, Logo Retention, New business.
• Impact if missed or done wrong: Client lost due to loss of care.
• How measured: Same as everyone else’s.</t>
        </is>
      </c>
      <c r="FO16" s="56" t="inlineStr">
        <is>
          <t>• Current capabilities: Client communication.
• Tools / software used: Hubspot and excel.
• Workload: Rated a heavy load · 4/5 in a typical week.
• Judgment/way of working: Email drafting.</t>
        </is>
      </c>
      <c r="FP16" s="56"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Q16" s="56" t="inlineStr">
        <is>
          <t>• Key challenges: Multiple stage approval.
• Support required: No new account - Sales can handle it better.</t>
        </is>
      </c>
      <c r="FR16" s="56" t="inlineStr">
        <is>
          <t>Complexity: Evidence reads like A2: Client communication, sharing ESEF files and HubSpot updates; skills cited are email drafting → moved down 0.5
Autonomy: Evidence reads like A1: States decides 'none of the activity' independently → moved down 0.5
Accountability: Evidence reads like B1: CSAT, NPS, logo retention and new business for own Germany/Netherlands accounts → moved down 0.5
Leadership: Evidence reads like A1: No guidance of others described → moved down 0.5
Business Impact: Moved +0.5: the survey / manager mapping marks it business-critical.</t>
        </is>
      </c>
      <c r="FS16"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6" s="56" t="inlineStr">
        <is>
          <t>Self-identified: Data, SQL &amp; analytics · Product &amp; tool knowledge · Client, sales &amp; stakeholders
For the next role: Data, SQL &amp; analytics · Product &amp; tool knowledge · Client, sales &amp; stakeholders</t>
        </is>
      </c>
      <c r="FU16" s="56" t="inlineStr">
        <is>
          <t>Per-person summary · CARBON Mapping Master</t>
        </is>
      </c>
    </row>
    <row r="17" ht="90" customHeight="1">
      <c r="A17" s="51" t="inlineStr">
        <is>
          <t>◂ Back</t>
        </is>
      </c>
      <c r="B17" s="29" t="inlineStr">
        <is>
          <t>Mapped</t>
        </is>
      </c>
      <c r="C17" s="28" t="inlineStr">
        <is>
          <t>CARBON</t>
        </is>
      </c>
      <c r="D17" s="29" t="inlineStr">
        <is>
          <t>IRIS1911</t>
        </is>
      </c>
      <c r="E17" s="29" t="inlineStr">
        <is>
          <t>Varun Bubna</t>
        </is>
      </c>
      <c r="F17" s="29" t="inlineStr">
        <is>
          <t>Support</t>
        </is>
      </c>
      <c r="G17" s="29" t="inlineStr">
        <is>
          <t>Customer Success Manager</t>
        </is>
      </c>
      <c r="H17" s="29" t="inlineStr">
        <is>
          <t>Senior Customer Success Specialist</t>
        </is>
      </c>
      <c r="I17" s="29" t="inlineStr">
        <is>
          <t>L5 – Manager</t>
        </is>
      </c>
      <c r="J17" s="29" t="inlineStr">
        <is>
          <t>B2</t>
        </is>
      </c>
      <c r="K17" s="29" t="inlineStr">
        <is>
          <t>• Same level</t>
        </is>
      </c>
      <c r="L17" s="29" t="inlineStr">
        <is>
          <t>Customer Success &amp; Support</t>
        </is>
      </c>
      <c r="M17" s="29" t="inlineStr">
        <is>
          <t>Customer Success &amp; Account Management</t>
        </is>
      </c>
      <c r="N17" s="29" t="inlineStr">
        <is>
          <t>• Correct the experience record — HR</t>
        </is>
      </c>
      <c r="O17" s="29" t="n">
        <v>20</v>
      </c>
      <c r="P17" s="28" t="inlineStr">
        <is>
          <t>P4 / M3</t>
        </is>
      </c>
      <c r="Q17" s="29" t="inlineStr">
        <is>
          <t>Senior / Manager</t>
        </is>
      </c>
      <c r="R17" s="29" t="inlineStr">
        <is>
          <t>4–5</t>
        </is>
      </c>
      <c r="S17" s="29" t="inlineStr">
        <is>
          <t>6–9 yrs</t>
        </is>
      </c>
      <c r="T17" s="29" t="inlineStr">
        <is>
          <t>7–10 · 6–11</t>
        </is>
      </c>
      <c r="U17" s="29" t="inlineStr">
        <is>
          <t>Senior CSM / Support Specialist</t>
        </is>
      </c>
      <c r="V17" s="29" t="inlineStr">
        <is>
          <t>Workiva: Product Success Manager · IRIS Vs Competitor Benchmark — SaaS customer-success ladder: Senior CSM · IRIS Vs Competitor Benchmark — support tiers: Support Team Manager</t>
        </is>
      </c>
      <c r="W17" s="29" t="inlineStr">
        <is>
          <t>TSIA frameworks and benchmarks; ITIL 4 service desk; Gainsight customer-success practice</t>
        </is>
      </c>
      <c r="X17" s="29" t="inlineStr">
        <is>
          <t>Core 3 · Future 3 · Functional 4 · Leadership 2</t>
        </is>
      </c>
      <c r="Y17" s="52" t="n">
        <v>180</v>
      </c>
      <c r="Z17" s="53" t="inlineStr">
        <is>
          <t>IRIS1911</t>
        </is>
      </c>
      <c r="AA17" s="53" t="inlineStr">
        <is>
          <t>Employee</t>
        </is>
      </c>
      <c r="AB17" s="53" t="inlineStr">
        <is>
          <t>Active</t>
        </is>
      </c>
      <c r="AC17" s="53" t="inlineStr">
        <is>
          <t>Varun Bubna</t>
        </is>
      </c>
      <c r="AD17" s="54" t="n">
        <v>44319</v>
      </c>
      <c r="AE17" s="53" t="inlineStr">
        <is>
          <t>Customer Success Manager</t>
        </is>
      </c>
      <c r="AF17" s="53" t="inlineStr">
        <is>
          <t>B.Com</t>
        </is>
      </c>
      <c r="AG17" s="53" t="inlineStr">
        <is>
          <t>Anushree Aparajit</t>
        </is>
      </c>
      <c r="AH17" s="53" t="inlineStr">
        <is>
          <t>N-5</t>
        </is>
      </c>
      <c r="AI17" s="53" t="inlineStr">
        <is>
          <t>Individual Contributor</t>
        </is>
      </c>
      <c r="AJ17" s="53" t="inlineStr">
        <is>
          <t>3 years, 0 months, 0 days</t>
        </is>
      </c>
      <c r="AK17" s="53" t="inlineStr">
        <is>
          <t>5 years, 3 months, 22 days</t>
        </is>
      </c>
      <c r="AL17" s="53" t="inlineStr">
        <is>
          <t>Regtech</t>
        </is>
      </c>
      <c r="AM17" s="53" t="inlineStr">
        <is>
          <t>CARBON</t>
        </is>
      </c>
      <c r="AN17" s="53" t="inlineStr">
        <is>
          <t>Support</t>
        </is>
      </c>
      <c r="AO17" s="53" t="inlineStr">
        <is>
          <t>Client Engagement</t>
        </is>
      </c>
      <c r="AP17" s="53" t="inlineStr">
        <is>
          <t>No</t>
        </is>
      </c>
      <c r="AQ17" s="53" t="inlineStr">
        <is>
          <t>Client Engagement</t>
        </is>
      </c>
      <c r="AR17" s="53" t="inlineStr">
        <is>
          <t>XBRL Domain</t>
        </is>
      </c>
      <c r="AS17" s="53" t="inlineStr">
        <is>
          <t>Non-technical</t>
        </is>
      </c>
      <c r="AT17" s="53" t="n">
        <v>20</v>
      </c>
      <c r="AU17" s="53" t="inlineStr">
        <is>
          <t>Covered</t>
        </is>
      </c>
      <c r="AV17" s="53" t="inlineStr">
        <is>
          <t>IRIS1911</t>
        </is>
      </c>
      <c r="AW17" s="53" t="inlineStr">
        <is>
          <t>Varun Bubna</t>
        </is>
      </c>
      <c r="AX17" s="53" t="inlineStr">
        <is>
          <t>Support</t>
        </is>
      </c>
      <c r="AY17" s="53" t="inlineStr">
        <is>
          <t>Customer Success &amp; Support</t>
        </is>
      </c>
      <c r="AZ17" s="53" t="inlineStr">
        <is>
          <t>Customer Success</t>
        </is>
      </c>
      <c r="BA17" s="53" t="n"/>
      <c r="BB17" s="53" t="n"/>
      <c r="BC17" s="53" t="inlineStr">
        <is>
          <t>Employee</t>
        </is>
      </c>
      <c r="BD17" s="53" t="inlineStr">
        <is>
          <t>Anushree Aparajit</t>
        </is>
      </c>
      <c r="BE17" s="53" t="inlineStr">
        <is>
          <t>Anushree Aparajit</t>
        </is>
      </c>
      <c r="BF17" s="53" t="inlineStr">
        <is>
          <t>No</t>
        </is>
      </c>
      <c r="BG17" s="53" t="inlineStr">
        <is>
          <t>Customer Success Manager</t>
        </is>
      </c>
      <c r="BH17" s="53" t="inlineStr">
        <is>
          <t>Sr.Customer Engagement Manager</t>
        </is>
      </c>
      <c r="BI17" s="53" t="inlineStr">
        <is>
          <t>Yes</t>
        </is>
      </c>
      <c r="BJ17" s="53" t="inlineStr">
        <is>
          <t>—</t>
        </is>
      </c>
      <c r="BK17" s="53" t="inlineStr">
        <is>
          <t>—</t>
        </is>
      </c>
      <c r="BL17" s="53" t="inlineStr">
        <is>
          <t>—</t>
        </is>
      </c>
      <c r="BM17" s="53" t="inlineStr">
        <is>
          <t>Not a manager</t>
        </is>
      </c>
      <c r="BN17" s="53" t="inlineStr">
        <is>
          <t>—</t>
        </is>
      </c>
      <c r="BO17" s="53" t="inlineStr">
        <is>
          <t>—</t>
        </is>
      </c>
      <c r="BP17" s="53" t="inlineStr">
        <is>
          <t>—</t>
        </is>
      </c>
      <c r="BQ17" s="53" t="inlineStr">
        <is>
          <t>Not a manager</t>
        </is>
      </c>
      <c r="BR17" s="53" t="inlineStr">
        <is>
          <t>—</t>
        </is>
      </c>
      <c r="BS17" s="53" t="inlineStr">
        <is>
          <t>L5 – Manager</t>
        </is>
      </c>
      <c r="BT17" s="53" t="inlineStr">
        <is>
          <t>L2</t>
        </is>
      </c>
      <c r="BU17" s="53" t="inlineStr">
        <is>
          <t>Matched from Title Hierarchy · new designation</t>
        </is>
      </c>
      <c r="BV17" s="53"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7" s="53" t="n"/>
      <c r="BX17" s="53" t="inlineStr">
        <is>
          <t>US; Ireland; Argentina; Brazil.</t>
        </is>
      </c>
      <c r="BY17" s="53" t="n"/>
      <c r="BZ17" s="53" t="inlineStr">
        <is>
          <t>IRIS1911</t>
        </is>
      </c>
      <c r="CA17" s="53" t="inlineStr">
        <is>
          <t>Employee</t>
        </is>
      </c>
      <c r="CB17" s="53" t="inlineStr">
        <is>
          <t>Active</t>
        </is>
      </c>
      <c r="CC17" s="53" t="inlineStr">
        <is>
          <t>Varun Bubna</t>
        </is>
      </c>
      <c r="CD17" s="54" t="n">
        <v>44319</v>
      </c>
      <c r="CE17" s="53" t="inlineStr">
        <is>
          <t>Customer Success Manager</t>
        </is>
      </c>
      <c r="CF17" s="53" t="inlineStr">
        <is>
          <t>Upsell, cross, improve NPS, follow up with tech team · US Market</t>
        </is>
      </c>
      <c r="CG17" s="53" t="inlineStr">
        <is>
          <t>Customer Success &amp; Support</t>
        </is>
      </c>
      <c r="CH17" s="53" t="inlineStr">
        <is>
          <t>Customer Support</t>
        </is>
      </c>
      <c r="CI17" s="53" t="inlineStr">
        <is>
          <t>Customer Engagement Manager</t>
        </is>
      </c>
      <c r="CJ17" s="53" t="inlineStr">
        <is>
          <t>L5 – Manager</t>
        </is>
      </c>
      <c r="CK17" s="53" t="inlineStr">
        <is>
          <t>Anushree Aparajit</t>
        </is>
      </c>
      <c r="CL17" s="53" t="inlineStr">
        <is>
          <t>N-5</t>
        </is>
      </c>
      <c r="CM17" s="53" t="inlineStr">
        <is>
          <t>Individual Contributor</t>
        </is>
      </c>
      <c r="CN17" s="53" t="inlineStr">
        <is>
          <t>Regtech</t>
        </is>
      </c>
      <c r="CO17" s="53" t="inlineStr">
        <is>
          <t>Support</t>
        </is>
      </c>
      <c r="CP17" s="53" t="inlineStr">
        <is>
          <t>8 years, 1 months, 17 days</t>
        </is>
      </c>
      <c r="CQ17" s="53" t="inlineStr">
        <is>
          <t>Customer Engagement Manager</t>
        </is>
      </c>
      <c r="CR17" s="53" t="inlineStr">
        <is>
          <t>No</t>
        </is>
      </c>
      <c r="CS17" s="53" t="n">
        <v>4</v>
      </c>
      <c r="CT17" s="53" t="inlineStr">
        <is>
          <t>Medium</t>
        </is>
      </c>
      <c r="CU17" s="53" t="inlineStr">
        <is>
          <t>High Impact / Growth Talent</t>
        </is>
      </c>
      <c r="CV17" s="53" t="n"/>
      <c r="CW17" s="53" t="n"/>
      <c r="CX17" s="53" t="n"/>
      <c r="CY17" s="53" t="n"/>
      <c r="CZ17" s="53" t="inlineStr">
        <is>
          <t>Communication, Handling Escalation, AI application</t>
        </is>
      </c>
      <c r="DA17" s="53" t="n"/>
      <c r="DB17" s="53" t="inlineStr">
        <is>
          <t>Title to be standardized to: Customer Engagement Manager</t>
        </is>
      </c>
      <c r="DC17" s="53" t="n"/>
      <c r="DD17" s="53" t="n"/>
      <c r="DE17" s="53" t="n"/>
      <c r="DF17" s="53" t="n"/>
      <c r="DG17" s="53" t="n"/>
      <c r="DH17" s="53" t="n"/>
      <c r="DI17" s="53" t="n"/>
      <c r="DJ17" s="53" t="n"/>
      <c r="DK17" s="53" t="n"/>
      <c r="DL17" s="53" t="n"/>
      <c r="DM17" s="53" t="n"/>
      <c r="DN17" s="53" t="n"/>
      <c r="DO17" s="53" t="n"/>
      <c r="DP17" s="53" t="n"/>
      <c r="DQ17" s="53" t="n"/>
      <c r="DR17" s="53" t="n"/>
      <c r="DS17" s="53" t="n"/>
      <c r="DT17" s="53" t="n"/>
      <c r="DU17" s="53" t="n"/>
      <c r="DV17" s="53" t="n"/>
      <c r="DW17" s="53" t="n"/>
      <c r="DX17" s="53" t="n"/>
      <c r="DY17" s="53" t="n"/>
      <c r="DZ17" s="53" t="n"/>
      <c r="EA17" s="53" t="n"/>
      <c r="EB17" s="53" t="n"/>
      <c r="EC17" s="53" t="n"/>
      <c r="ED17" s="53" t="n"/>
      <c r="EE17" s="53" t="n"/>
      <c r="EF17" s="53" t="n"/>
      <c r="EG17" s="53" t="n"/>
      <c r="EH17" s="53" t="n"/>
      <c r="EI17" s="53" t="n"/>
      <c r="EJ17" s="53" t="n"/>
      <c r="EK17" s="53" t="n"/>
      <c r="EL17" s="53" t="n"/>
      <c r="EM17" s="53" t="n"/>
      <c r="EN17" s="53" t="n"/>
      <c r="EO17" s="53" t="n"/>
      <c r="EP17" s="53" t="n"/>
      <c r="EQ17" s="53" t="n"/>
      <c r="ER17" s="53" t="n"/>
      <c r="ES17" s="53" t="n"/>
      <c r="ET17" s="53" t="n"/>
      <c r="EU17" s="53" t="n"/>
      <c r="EV17" s="53" t="n"/>
      <c r="EW17" s="52" t="n"/>
      <c r="EX17" s="53"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EY17" s="53"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EZ17" s="53"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FA17" s="53" t="inlineStr">
        <is>
          <t>• Development priorities: Forecasting and data analysis.
• Learning and Development Need: Negotiating; Product planning.
• Role evolving toward: Focus on creating a brand for DM; Lots of new clients for DM with enablement; Revenue targets.</t>
        </is>
      </c>
      <c r="FB17" s="53" t="inlineStr">
        <is>
          <t>• Key challenges: Internal approvals; Invoicing delays; Lack of clarity; Continuous process change.
• Support required: Give more ownership while assigning responsibilities; Provide more authority.</t>
        </is>
      </c>
      <c r="FC17" s="53" t="n"/>
      <c r="FD17" s="53" t="n"/>
      <c r="FE17" s="57"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7" s="56" t="n"/>
      <c r="FG17" s="56" t="n"/>
      <c r="FH17" s="56" t="n"/>
      <c r="FI17" s="56" t="inlineStr">
        <is>
          <t>Upsell, cross, improve NPS, follow up with tech team · US Market</t>
        </is>
      </c>
      <c r="FJ17" s="56" t="inlineStr">
        <is>
          <t>Received · manager annual</t>
        </is>
      </c>
      <c r="FK17" s="56" t="inlineStr">
        <is>
          <t>CARBON Mapping Master · CARBON Talent Mapping · Raw</t>
        </is>
      </c>
      <c r="FL17" s="56" t="n">
        <v>20</v>
      </c>
      <c r="FM17" s="56"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FN17" s="56"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FO17" s="56"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FP17" s="56" t="inlineStr">
        <is>
          <t>• Development priorities: Forecasting and data analysis.
• Learning and Development Need: Negotiating; Product planning.
• Role evolving toward: Focus on creating a brand for DM; Lots of new clients for DM with enablement; Revenue targets.</t>
        </is>
      </c>
      <c r="FQ17" s="56" t="inlineStr">
        <is>
          <t>• Key challenges: Internal approvals; Invoicing delays; Lack of clarity; Continuous process change.
• Support required: Give more ownership while assigning responsibilities; Provide more authority.</t>
        </is>
      </c>
      <c r="FR17" s="56" t="inlineStr">
        <is>
          <t>Complexity: Evidence reads like B1: SEC subject-matter expert; multiple geos and mandates; product UAT and customer training → moved down 0.5
Autonomy: Evidence reads like A2: Decides independently only on customer feedback → moved down 1
Accountability: Evidence reads like B2: Renewals, ARR expansion, receivables, cross-sell and partners across multi-geo key accounts → matches the start
Leadership: Evidence reads like A1: Trains customers; no internal guidance or leadership described → moved down 1
Business Impact: No survey or manager-mapping signal on criticality: kept at the start point.</t>
        </is>
      </c>
      <c r="FS17"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7" s="56" t="inlineStr">
        <is>
          <t>Self-identified: Data, SQL &amp; analytics
For the next role: Data, SQL &amp; analytics</t>
        </is>
      </c>
      <c r="FU17" s="56" t="inlineStr">
        <is>
          <t>Per-person summary · CARBON Mapping Master</t>
        </is>
      </c>
    </row>
    <row r="18" ht="90" customHeight="1">
      <c r="A18" s="51" t="inlineStr">
        <is>
          <t>◂ Back</t>
        </is>
      </c>
      <c r="B18" s="29" t="inlineStr">
        <is>
          <t>Mapped</t>
        </is>
      </c>
      <c r="C18" s="28" t="inlineStr">
        <is>
          <t>CARBON</t>
        </is>
      </c>
      <c r="D18" s="29" t="inlineStr">
        <is>
          <t>IRIS1939</t>
        </is>
      </c>
      <c r="E18" s="29" t="inlineStr">
        <is>
          <t>Nupur Samantaray</t>
        </is>
      </c>
      <c r="F18" s="29" t="inlineStr">
        <is>
          <t>Support</t>
        </is>
      </c>
      <c r="G18" s="29" t="inlineStr">
        <is>
          <t>Manager- Customer Engagement</t>
        </is>
      </c>
      <c r="H18" s="29" t="inlineStr">
        <is>
          <t>Senior Customer Success Specialist</t>
        </is>
      </c>
      <c r="I18" s="29" t="inlineStr">
        <is>
          <t>L5 – Manager</t>
        </is>
      </c>
      <c r="J18" s="29" t="inlineStr">
        <is>
          <t>B1</t>
        </is>
      </c>
      <c r="K18" s="29" t="inlineStr">
        <is>
          <t>• Same level</t>
        </is>
      </c>
      <c r="L18" s="29" t="inlineStr">
        <is>
          <t>Customer Success &amp; Support</t>
        </is>
      </c>
      <c r="M18" s="29" t="inlineStr">
        <is>
          <t>Customer Success &amp; Account Management</t>
        </is>
      </c>
      <c r="N18" s="29" t="n"/>
      <c r="O18" s="29" t="n">
        <v>20</v>
      </c>
      <c r="P18" s="28" t="inlineStr">
        <is>
          <t>P3 / M2</t>
        </is>
      </c>
      <c r="Q18" s="29" t="inlineStr">
        <is>
          <t>Career / · Team Lead</t>
        </is>
      </c>
      <c r="R18" s="29" t="inlineStr">
        <is>
          <t>4 Enable</t>
        </is>
      </c>
      <c r="S18" s="29" t="inlineStr">
        <is>
          <t>4–7 yrs</t>
        </is>
      </c>
      <c r="T18" s="29" t="inlineStr">
        <is>
          <t>5–8 · 4–8</t>
        </is>
      </c>
      <c r="U18" s="29" t="inlineStr">
        <is>
          <t>Senior CSM / Support Specialist</t>
        </is>
      </c>
      <c r="V18" s="29" t="inlineStr">
        <is>
          <t>Workiva: Customer Success Manager · IRIS Vs Competitor Benchmark — SaaS customer-success ladder: CSM · IRIS Vs Competitor Benchmark — support tiers: L3 / Problem Analyst</t>
        </is>
      </c>
      <c r="W18" s="29" t="inlineStr">
        <is>
          <t>TSIA frameworks and benchmarks; ITIL 4 service desk; Gainsight customer-success practice</t>
        </is>
      </c>
      <c r="X18" s="29" t="inlineStr">
        <is>
          <t>Core 3 · Future 3 · Functional 3 · Leadership 1</t>
        </is>
      </c>
      <c r="Y18" s="52" t="n">
        <v>192</v>
      </c>
      <c r="Z18" s="53" t="inlineStr">
        <is>
          <t>IRIS1939</t>
        </is>
      </c>
      <c r="AA18" s="53" t="inlineStr">
        <is>
          <t>Employee</t>
        </is>
      </c>
      <c r="AB18" s="53" t="inlineStr">
        <is>
          <t>Active</t>
        </is>
      </c>
      <c r="AC18" s="53" t="inlineStr">
        <is>
          <t>Nupur Samantaray</t>
        </is>
      </c>
      <c r="AD18" s="54" t="n">
        <v>44410</v>
      </c>
      <c r="AE18" s="53" t="inlineStr">
        <is>
          <t>Manager- Customer Engagement</t>
        </is>
      </c>
      <c r="AF18" s="53" t="inlineStr">
        <is>
          <t>CA</t>
        </is>
      </c>
      <c r="AG18" s="53" t="inlineStr">
        <is>
          <t>Anushree Aparajit</t>
        </is>
      </c>
      <c r="AH18" s="53" t="inlineStr">
        <is>
          <t>N-5</t>
        </is>
      </c>
      <c r="AI18" s="53" t="inlineStr">
        <is>
          <t>Individual Contributor</t>
        </is>
      </c>
      <c r="AJ18" s="53" t="inlineStr">
        <is>
          <t>4 years, 0 months, 0 days</t>
        </is>
      </c>
      <c r="AK18" s="53" t="inlineStr">
        <is>
          <t>5 years, 0 months, 23 days</t>
        </is>
      </c>
      <c r="AL18" s="53" t="inlineStr">
        <is>
          <t>Regtech</t>
        </is>
      </c>
      <c r="AM18" s="53" t="inlineStr">
        <is>
          <t>CARBON</t>
        </is>
      </c>
      <c r="AN18" s="53" t="inlineStr">
        <is>
          <t>Support</t>
        </is>
      </c>
      <c r="AO18" s="53" t="inlineStr">
        <is>
          <t>Client Engagement</t>
        </is>
      </c>
      <c r="AP18" s="53" t="inlineStr">
        <is>
          <t>No</t>
        </is>
      </c>
      <c r="AQ18" s="53" t="inlineStr">
        <is>
          <t>Client Engagement</t>
        </is>
      </c>
      <c r="AR18" s="53" t="inlineStr">
        <is>
          <t>XBRL Domain</t>
        </is>
      </c>
      <c r="AS18" s="53" t="inlineStr">
        <is>
          <t>Non-technical</t>
        </is>
      </c>
      <c r="AT18" s="53" t="n">
        <v>20</v>
      </c>
      <c r="AU18" s="53" t="inlineStr">
        <is>
          <t>Covered</t>
        </is>
      </c>
      <c r="AV18" s="53" t="inlineStr">
        <is>
          <t>IRIS1939</t>
        </is>
      </c>
      <c r="AW18" s="53" t="inlineStr">
        <is>
          <t>Nupur Samantaray</t>
        </is>
      </c>
      <c r="AX18" s="53" t="inlineStr">
        <is>
          <t>Support</t>
        </is>
      </c>
      <c r="AY18" s="53" t="inlineStr">
        <is>
          <t>Customer Success &amp; Support</t>
        </is>
      </c>
      <c r="AZ18" s="53" t="inlineStr">
        <is>
          <t>Customer Success</t>
        </is>
      </c>
      <c r="BA18" s="53" t="n"/>
      <c r="BB18" s="53" t="n"/>
      <c r="BC18" s="53" t="inlineStr">
        <is>
          <t>Employee</t>
        </is>
      </c>
      <c r="BD18" s="53" t="inlineStr">
        <is>
          <t>Anushree Aparajit</t>
        </is>
      </c>
      <c r="BE18" s="53" t="inlineStr">
        <is>
          <t>Anushree Aparajit</t>
        </is>
      </c>
      <c r="BF18" s="53" t="inlineStr">
        <is>
          <t>No</t>
        </is>
      </c>
      <c r="BG18" s="53" t="inlineStr">
        <is>
          <t>Manager- Customer Engagement</t>
        </is>
      </c>
      <c r="BH18" s="53" t="inlineStr">
        <is>
          <t>Sr.Customer Engagement Manager</t>
        </is>
      </c>
      <c r="BI18" s="53" t="inlineStr">
        <is>
          <t>Yes</t>
        </is>
      </c>
      <c r="BJ18" s="53" t="inlineStr">
        <is>
          <t>—</t>
        </is>
      </c>
      <c r="BK18" s="53" t="inlineStr">
        <is>
          <t>—</t>
        </is>
      </c>
      <c r="BL18" s="53" t="inlineStr">
        <is>
          <t>—</t>
        </is>
      </c>
      <c r="BM18" s="53" t="inlineStr">
        <is>
          <t>Not a manager</t>
        </is>
      </c>
      <c r="BN18" s="53" t="inlineStr">
        <is>
          <t>—</t>
        </is>
      </c>
      <c r="BO18" s="53" t="inlineStr">
        <is>
          <t>—</t>
        </is>
      </c>
      <c r="BP18" s="53" t="inlineStr">
        <is>
          <t>—</t>
        </is>
      </c>
      <c r="BQ18" s="53" t="inlineStr">
        <is>
          <t>Not a manager</t>
        </is>
      </c>
      <c r="BR18" s="53" t="inlineStr">
        <is>
          <t>—</t>
        </is>
      </c>
      <c r="BS18" s="53" t="inlineStr">
        <is>
          <t>L5 – Manager</t>
        </is>
      </c>
      <c r="BT18" s="53" t="inlineStr">
        <is>
          <t>L3</t>
        </is>
      </c>
      <c r="BU18" s="53" t="inlineStr">
        <is>
          <t>Matched from Title Hierarchy · new designation</t>
        </is>
      </c>
      <c r="BV18" s="53"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8" s="53" t="n"/>
      <c r="BX18" s="53" t="inlineStr">
        <is>
          <t>Benelux; UK.</t>
        </is>
      </c>
      <c r="BY18" s="53" t="n"/>
      <c r="BZ18" s="53" t="inlineStr">
        <is>
          <t>IRIS1939</t>
        </is>
      </c>
      <c r="CA18" s="53" t="inlineStr">
        <is>
          <t>Employee</t>
        </is>
      </c>
      <c r="CB18" s="53" t="inlineStr">
        <is>
          <t>Active</t>
        </is>
      </c>
      <c r="CC18" s="53" t="inlineStr">
        <is>
          <t>Nupur Samantaray</t>
        </is>
      </c>
      <c r="CD18" s="54" t="n">
        <v>44410</v>
      </c>
      <c r="CE18" s="53" t="inlineStr">
        <is>
          <t>Manager- Customer Engagement</t>
        </is>
      </c>
      <c r="CF18" s="53" t="inlineStr">
        <is>
          <t>Upsell, cross, improve NPS, follow up with tech team · Non US Market</t>
        </is>
      </c>
      <c r="CG18" s="53" t="inlineStr">
        <is>
          <t>Customer Success &amp; Support</t>
        </is>
      </c>
      <c r="CH18" s="53" t="inlineStr">
        <is>
          <t>Customer Support</t>
        </is>
      </c>
      <c r="CI18" s="53" t="inlineStr">
        <is>
          <t>Sr.Customer Engagement Manager</t>
        </is>
      </c>
      <c r="CJ18" s="53" t="inlineStr">
        <is>
          <t>L5 – Manager</t>
        </is>
      </c>
      <c r="CK18" s="53" t="inlineStr">
        <is>
          <t>Anushree Aparajit</t>
        </is>
      </c>
      <c r="CL18" s="53" t="inlineStr">
        <is>
          <t>N-5</t>
        </is>
      </c>
      <c r="CM18" s="53" t="inlineStr">
        <is>
          <t>Individual Contributor</t>
        </is>
      </c>
      <c r="CN18" s="53" t="inlineStr">
        <is>
          <t>Regtech</t>
        </is>
      </c>
      <c r="CO18" s="53" t="inlineStr">
        <is>
          <t>Support</t>
        </is>
      </c>
      <c r="CP18" s="53" t="inlineStr">
        <is>
          <t>8 years, 10 months, 18 days</t>
        </is>
      </c>
      <c r="CQ18" s="53" t="inlineStr">
        <is>
          <t>Sr.Customer Engagement Manager</t>
        </is>
      </c>
      <c r="CR18" s="53" t="inlineStr">
        <is>
          <t>No</t>
        </is>
      </c>
      <c r="CS18" s="53" t="n">
        <v>3</v>
      </c>
      <c r="CT18" s="53" t="inlineStr">
        <is>
          <t>Medium</t>
        </is>
      </c>
      <c r="CU18" s="53" t="inlineStr">
        <is>
          <t>Core Contributor</t>
        </is>
      </c>
      <c r="CV18" s="53" t="inlineStr">
        <is>
          <t>No</t>
        </is>
      </c>
      <c r="CW18" s="53" t="inlineStr">
        <is>
          <t>No</t>
        </is>
      </c>
      <c r="CX18" s="53" t="inlineStr">
        <is>
          <t>Yes</t>
        </is>
      </c>
      <c r="CY18" s="53" t="inlineStr">
        <is>
          <t>N</t>
        </is>
      </c>
      <c r="CZ18" s="53" t="inlineStr">
        <is>
          <t>XBRL taxonomy &amp; regulatory updates; domain/accounting refreshers; quality &amp; accuracy practices; tooling proficiency, DM proficiency, in-person meeting gearing up.</t>
        </is>
      </c>
      <c r="DA18" s="53" t="n"/>
      <c r="DB18" s="53" t="inlineStr">
        <is>
          <t>Title to be Standardized: Sr.Customer Engagement Manager</t>
        </is>
      </c>
      <c r="DC18" s="53" t="n"/>
      <c r="DD18" s="53" t="n"/>
      <c r="DE18" s="53" t="n"/>
      <c r="DF18" s="53" t="n"/>
      <c r="DG18" s="53" t="n"/>
      <c r="DH18" s="53" t="n"/>
      <c r="DI18" s="53" t="n"/>
      <c r="DJ18" s="53" t="n"/>
      <c r="DK18" s="53" t="n"/>
      <c r="DL18" s="53" t="n"/>
      <c r="DM18" s="53" t="n"/>
      <c r="DN18" s="53" t="n"/>
      <c r="DO18" s="53" t="n"/>
      <c r="DP18" s="53" t="n"/>
      <c r="DQ18" s="53" t="n"/>
      <c r="DR18" s="53" t="n"/>
      <c r="DS18" s="53" t="n"/>
      <c r="DT18" s="53" t="n"/>
      <c r="DU18" s="53" t="n"/>
      <c r="DV18" s="53" t="n"/>
      <c r="DW18" s="53" t="n"/>
      <c r="DX18" s="53" t="n"/>
      <c r="DY18" s="53" t="n"/>
      <c r="DZ18" s="53" t="n"/>
      <c r="EA18" s="53" t="n"/>
      <c r="EB18" s="53" t="n"/>
      <c r="EC18" s="53" t="n"/>
      <c r="ED18" s="53" t="n"/>
      <c r="EE18" s="53" t="n"/>
      <c r="EF18" s="53" t="n"/>
      <c r="EG18" s="53" t="n"/>
      <c r="EH18" s="53" t="n"/>
      <c r="EI18" s="53" t="n"/>
      <c r="EJ18" s="53" t="n"/>
      <c r="EK18" s="53" t="n"/>
      <c r="EL18" s="53" t="n"/>
      <c r="EM18" s="53" t="n"/>
      <c r="EN18" s="53" t="n"/>
      <c r="EO18" s="53" t="n"/>
      <c r="EP18" s="53" t="n"/>
      <c r="EQ18" s="53" t="n"/>
      <c r="ER18" s="53" t="n"/>
      <c r="ES18" s="53" t="n"/>
      <c r="ET18" s="53" t="n"/>
      <c r="EU18" s="53" t="n"/>
      <c r="EV18" s="53" t="n"/>
      <c r="EW18" s="52" t="n"/>
      <c r="EX18" s="53"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EY18" s="53"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EZ18" s="53" t="inlineStr">
        <is>
          <t>• Current capabilities: Basic excel; Email drafting; Communication.
• Tools / software used: Office 365; IRIS Carbon.
• Workload: Rated a heavy load · 4/5 in a typical week.
• Judgment/way of working: Collaboration with internal team.</t>
        </is>
      </c>
      <c r="FA18" s="53" t="inlineStr">
        <is>
          <t>• Development priorities: AI certification; PMO certication.
• Learning and Development Need: Product testing; Mandate enablement. Sales activity.
• Role evolving toward: Hubspot; Targets; Introduction of targets.</t>
        </is>
      </c>
      <c r="FB18" s="53" t="inlineStr">
        <is>
          <t>• Key challenges: Internal approvals; Invoicing process.
• Support required: More ownership; Remove sales related activities.</t>
        </is>
      </c>
      <c r="FC18" s="53" t="n"/>
      <c r="FD18" s="53" t="n"/>
      <c r="FE18" s="57"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8" s="56" t="n"/>
      <c r="FG18" s="56" t="n"/>
      <c r="FH18" s="56" t="n"/>
      <c r="FI18" s="56" t="inlineStr">
        <is>
          <t>Upsell, cross, improve NPS, follow up with tech team · Non US Market</t>
        </is>
      </c>
      <c r="FJ18" s="56" t="inlineStr">
        <is>
          <t>Received · manager annual</t>
        </is>
      </c>
      <c r="FK18" s="56" t="inlineStr">
        <is>
          <t>CARBON Mapping Master · CARBON Talent Mapping · Raw</t>
        </is>
      </c>
      <c r="FL18" s="56" t="n">
        <v>20</v>
      </c>
      <c r="FM18" s="56"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FN18" s="56"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FO18" s="56" t="inlineStr">
        <is>
          <t>• Current capabilities: Basic excel; Email drafting; Communication.
• Tools / software used: Office 365; IRIS Carbon.
• Workload: Rated a heavy load · 4/5 in a typical week.
• Judgment/way of working: Collaboration with internal team.</t>
        </is>
      </c>
      <c r="FP18" s="56" t="inlineStr">
        <is>
          <t>• Development priorities: AI certification; PMO certication.
• Learning and Development Need: Product testing; Mandate enablement. Sales activity.
• Role evolving toward: Hubspot; Targets; Introduction of targets.</t>
        </is>
      </c>
      <c r="FQ18" s="56" t="inlineStr">
        <is>
          <t>• Key challenges: Internal approvals; Invoicing process.
• Support required: More ownership; Remove sales related activities.</t>
        </is>
      </c>
      <c r="FR18" s="56" t="inlineStr">
        <is>
          <t>Complexity: Evidence reads like A3: Delivers ESEF reports for demanding customers with highly stylised reports; product testing, training → moved down 1
Autonomy: Evidence reads like A2: Passes requirements to product or service teams; only 'new logo' cited as own decision → moved down 1
Accountability: Evidence reads like B1: ESEF output, invoices, renewals and receivables for own accounts → moved down 0.5
Leadership: Evidence reads like A1: No guidance of others described → moved down 1
Business Impact: Moved +0.5: the survey / manager mapping marks it business-critical.</t>
        </is>
      </c>
      <c r="FS18"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8" s="56" t="inlineStr">
        <is>
          <t>Self-identified: AI / automation · Certification / formal course
For the next role: AI / automation · Certification / formal course</t>
        </is>
      </c>
      <c r="FU18" s="56" t="inlineStr">
        <is>
          <t>Per-person summary · CARBON Mapping Master</t>
        </is>
      </c>
    </row>
    <row r="19" ht="90" customHeight="1">
      <c r="A19" s="51" t="inlineStr">
        <is>
          <t>◂ Back</t>
        </is>
      </c>
      <c r="B19" s="29" t="inlineStr">
        <is>
          <t>Mapped</t>
        </is>
      </c>
      <c r="C19" s="28" t="inlineStr">
        <is>
          <t>CARBON</t>
        </is>
      </c>
      <c r="D19" s="29" t="inlineStr">
        <is>
          <t>IRIS2448</t>
        </is>
      </c>
      <c r="E19" s="29" t="inlineStr">
        <is>
          <t>Samiksha Kadam</t>
        </is>
      </c>
      <c r="F19" s="29" t="inlineStr">
        <is>
          <t>Support</t>
        </is>
      </c>
      <c r="G19" s="29" t="inlineStr">
        <is>
          <t>Customer Engagement Executive</t>
        </is>
      </c>
      <c r="H19" s="29" t="inlineStr">
        <is>
          <t>Senior Customer Success Executive</t>
        </is>
      </c>
      <c r="I19" s="29" t="inlineStr">
        <is>
          <t>L3 – Professional / Associate</t>
        </is>
      </c>
      <c r="J19" s="29" t="inlineStr">
        <is>
          <t>A3</t>
        </is>
      </c>
      <c r="K19" s="29" t="inlineStr">
        <is>
          <t>▲ Up</t>
        </is>
      </c>
      <c r="L19" s="29" t="inlineStr">
        <is>
          <t>Customer Success &amp; Support</t>
        </is>
      </c>
      <c r="M19" s="29" t="inlineStr">
        <is>
          <t>Customer Success &amp; Account Management</t>
        </is>
      </c>
      <c r="N19" s="29" t="n"/>
      <c r="O19" s="29" t="n">
        <v>20</v>
      </c>
      <c r="P19" s="28" t="inlineStr">
        <is>
          <t>P2</t>
        </is>
      </c>
      <c r="Q19" s="29" t="inlineStr">
        <is>
          <t>Developing</t>
        </is>
      </c>
      <c r="R19" s="29" t="inlineStr">
        <is>
          <t>3 Apply</t>
        </is>
      </c>
      <c r="S19" s="29" t="inlineStr">
        <is>
          <t>2–4 yrs</t>
        </is>
      </c>
      <c r="T19" s="29" t="inlineStr">
        <is>
          <t>3–5 · 2–5</t>
        </is>
      </c>
      <c r="U19" s="29" t="inlineStr">
        <is>
          <t>Support / CS Executive</t>
        </is>
      </c>
      <c r="V19" s="29" t="inlineStr">
        <is>
          <t>IRIS Vs Competitor Benchmark — SaaS customer-success ladder: Associate CSM · Regnology: Product Support Specialist · Reg Reporting · IRIS Vs Competitor Benchmark — support tiers: L2 Application Support</t>
        </is>
      </c>
      <c r="W19" s="29" t="inlineStr">
        <is>
          <t>TSIA frameworks and benchmarks; ITIL 4 service desk; Gainsight customer-success practice</t>
        </is>
      </c>
      <c r="X19" s="29" t="inlineStr">
        <is>
          <t>Core 2 · Future 2 · Functional 3 · Leadership not scored</t>
        </is>
      </c>
      <c r="Y19" s="52" t="n">
        <v>415</v>
      </c>
      <c r="Z19" s="53" t="inlineStr">
        <is>
          <t>IRIS2448</t>
        </is>
      </c>
      <c r="AA19" s="53" t="inlineStr">
        <is>
          <t>Employee</t>
        </is>
      </c>
      <c r="AB19" s="53" t="inlineStr">
        <is>
          <t>Serving Notice</t>
        </is>
      </c>
      <c r="AC19" s="53" t="inlineStr">
        <is>
          <t>Samiksha Kadam</t>
        </is>
      </c>
      <c r="AD19" s="54" t="n">
        <v>45992</v>
      </c>
      <c r="AE19" s="53" t="inlineStr">
        <is>
          <t>Customer Engagement Executive</t>
        </is>
      </c>
      <c r="AF19" s="53" t="inlineStr">
        <is>
          <t>BMS</t>
        </is>
      </c>
      <c r="AG19" s="53" t="inlineStr">
        <is>
          <t>Anushree Aparajit</t>
        </is>
      </c>
      <c r="AH19" s="53" t="inlineStr">
        <is>
          <t>N-5</t>
        </is>
      </c>
      <c r="AI19" s="53" t="inlineStr">
        <is>
          <t>Individual Contributor</t>
        </is>
      </c>
      <c r="AJ19" s="53" t="inlineStr">
        <is>
          <t>9 years, 0 months, 0 days</t>
        </is>
      </c>
      <c r="AK19" s="53" t="inlineStr">
        <is>
          <t>0 years, 8 months, 24 days</t>
        </is>
      </c>
      <c r="AL19" s="53" t="inlineStr">
        <is>
          <t>Regtech</t>
        </is>
      </c>
      <c r="AM19" s="53" t="inlineStr">
        <is>
          <t>CARBON</t>
        </is>
      </c>
      <c r="AN19" s="53" t="inlineStr">
        <is>
          <t>Support</t>
        </is>
      </c>
      <c r="AO19" s="53" t="inlineStr">
        <is>
          <t>Client Engagement</t>
        </is>
      </c>
      <c r="AP19" s="53" t="inlineStr">
        <is>
          <t>No</t>
        </is>
      </c>
      <c r="AQ19" s="53" t="inlineStr">
        <is>
          <t>Client Engagement</t>
        </is>
      </c>
      <c r="AR19" s="53" t="inlineStr">
        <is>
          <t>XBRL Domain</t>
        </is>
      </c>
      <c r="AS19" s="53" t="inlineStr">
        <is>
          <t>Non-technical</t>
        </is>
      </c>
      <c r="AT19" s="53" t="n">
        <v>20</v>
      </c>
      <c r="AU19" s="53" t="inlineStr">
        <is>
          <t>Covered</t>
        </is>
      </c>
      <c r="AV19" s="53" t="inlineStr">
        <is>
          <t>IRIS2448</t>
        </is>
      </c>
      <c r="AW19" s="53" t="inlineStr">
        <is>
          <t>Samiksha Kadam</t>
        </is>
      </c>
      <c r="AX19" s="53" t="inlineStr">
        <is>
          <t>Support</t>
        </is>
      </c>
      <c r="AY19" s="53" t="inlineStr">
        <is>
          <t>Customer Success &amp; Support</t>
        </is>
      </c>
      <c r="AZ19" s="53" t="inlineStr">
        <is>
          <t>Customer Success</t>
        </is>
      </c>
      <c r="BA19" s="53" t="n"/>
      <c r="BB19" s="53" t="n"/>
      <c r="BC19" s="53" t="inlineStr">
        <is>
          <t>Employee</t>
        </is>
      </c>
      <c r="BD19" s="53" t="inlineStr">
        <is>
          <t>Anushree Aparajit</t>
        </is>
      </c>
      <c r="BE19" s="53" t="inlineStr">
        <is>
          <t>Anushree Aparajit</t>
        </is>
      </c>
      <c r="BF19" s="53" t="inlineStr">
        <is>
          <t>No</t>
        </is>
      </c>
      <c r="BG19" s="53" t="inlineStr">
        <is>
          <t>Customer Engagement Executive</t>
        </is>
      </c>
      <c r="BH19" s="53" t="inlineStr">
        <is>
          <t>Customer Engagement Executive</t>
        </is>
      </c>
      <c r="BI19" s="53" t="inlineStr">
        <is>
          <t>No</t>
        </is>
      </c>
      <c r="BJ19" s="53" t="inlineStr">
        <is>
          <t>—</t>
        </is>
      </c>
      <c r="BK19" s="53" t="inlineStr">
        <is>
          <t>—</t>
        </is>
      </c>
      <c r="BL19" s="53" t="inlineStr">
        <is>
          <t>—</t>
        </is>
      </c>
      <c r="BM19" s="53" t="inlineStr">
        <is>
          <t>Not a manager</t>
        </is>
      </c>
      <c r="BN19" s="53" t="inlineStr">
        <is>
          <t>—</t>
        </is>
      </c>
      <c r="BO19" s="53" t="inlineStr">
        <is>
          <t>—</t>
        </is>
      </c>
      <c r="BP19" s="53" t="inlineStr">
        <is>
          <t>—</t>
        </is>
      </c>
      <c r="BQ19" s="53" t="inlineStr">
        <is>
          <t>Not a manager</t>
        </is>
      </c>
      <c r="BR19" s="53" t="inlineStr">
        <is>
          <t>—</t>
        </is>
      </c>
      <c r="BS19" s="53" t="inlineStr">
        <is>
          <t>L3 – Professional / Associate</t>
        </is>
      </c>
      <c r="BT19" s="53" t="inlineStr">
        <is>
          <t>L3 – Professional / Associate</t>
        </is>
      </c>
      <c r="BU19" s="53" t="inlineStr">
        <is>
          <t>No designation change — current record value carried forward</t>
        </is>
      </c>
      <c r="BV19" s="53"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9" s="53" t="n"/>
      <c r="BX19" s="53" t="inlineStr">
        <is>
          <t>US.</t>
        </is>
      </c>
      <c r="BY19" s="53" t="n"/>
      <c r="BZ19" s="53" t="inlineStr">
        <is>
          <t>IRIS2448</t>
        </is>
      </c>
      <c r="CA19" s="53" t="inlineStr">
        <is>
          <t>Employee</t>
        </is>
      </c>
      <c r="CB19" s="53" t="inlineStr">
        <is>
          <t>Active</t>
        </is>
      </c>
      <c r="CC19" s="53" t="inlineStr">
        <is>
          <t>Samiksha Kadam</t>
        </is>
      </c>
      <c r="CD19" s="54" t="n">
        <v>45992</v>
      </c>
      <c r="CE19" s="53" t="inlineStr">
        <is>
          <t>Customer Engagement Executive</t>
        </is>
      </c>
      <c r="CF19" s="53" t="inlineStr">
        <is>
          <t>Upsell, cross, improve NPS, follow up with tech team · US Market</t>
        </is>
      </c>
      <c r="CG19" s="53" t="inlineStr">
        <is>
          <t>Customer Success &amp; Support</t>
        </is>
      </c>
      <c r="CH19" s="53" t="inlineStr">
        <is>
          <t>Customer Support</t>
        </is>
      </c>
      <c r="CI19" s="53" t="inlineStr">
        <is>
          <t>Customer Engagement Executive</t>
        </is>
      </c>
      <c r="CJ19" s="53" t="inlineStr">
        <is>
          <t>L3 – Professional / Associate</t>
        </is>
      </c>
      <c r="CK19" s="53" t="inlineStr">
        <is>
          <t>Anushree Aparajit</t>
        </is>
      </c>
      <c r="CL19" s="53" t="inlineStr">
        <is>
          <t>N-5</t>
        </is>
      </c>
      <c r="CM19" s="53" t="inlineStr">
        <is>
          <t>Individual Contributor</t>
        </is>
      </c>
      <c r="CN19" s="53" t="inlineStr">
        <is>
          <t>Regtech</t>
        </is>
      </c>
      <c r="CO19" s="53" t="inlineStr">
        <is>
          <t>Support</t>
        </is>
      </c>
      <c r="CP19" s="53" t="inlineStr">
        <is>
          <t>9 years, 6 months, 19 days</t>
        </is>
      </c>
      <c r="CQ19" s="53" t="inlineStr">
        <is>
          <t>Customer Engagement Executive</t>
        </is>
      </c>
      <c r="CR19" s="53" t="inlineStr">
        <is>
          <t>No</t>
        </is>
      </c>
      <c r="CS19" s="53" t="n">
        <v>3</v>
      </c>
      <c r="CT19" s="53" t="inlineStr">
        <is>
          <t>Medium</t>
        </is>
      </c>
      <c r="CU19" s="53" t="inlineStr">
        <is>
          <t>Core Contributor</t>
        </is>
      </c>
      <c r="CV19" s="53" t="inlineStr">
        <is>
          <t>No</t>
        </is>
      </c>
      <c r="CW19" s="53" t="inlineStr">
        <is>
          <t>No</t>
        </is>
      </c>
      <c r="CX19" s="53" t="inlineStr">
        <is>
          <t>Yes</t>
        </is>
      </c>
      <c r="CY19" s="53" t="inlineStr">
        <is>
          <t>N</t>
        </is>
      </c>
      <c r="CZ19" s="53" t="inlineStr">
        <is>
          <t>XBRL taxonomy &amp; regulatory updates; domain/accounting refreshers;</t>
        </is>
      </c>
      <c r="DA19" s="53" t="inlineStr">
        <is>
          <t>Transition to leadership: people management &amp; delegation, mentoring/coaching, project ownership &amp; stakeholder management, prioritisation under ambiguity, presentation &amp; influence skills</t>
        </is>
      </c>
      <c r="DB19" s="53" t="inlineStr">
        <is>
          <t>Title to be Standardized to: Customer Engagement Executive</t>
        </is>
      </c>
      <c r="DC19" s="53" t="n"/>
      <c r="DD19" s="53" t="n"/>
      <c r="DE19" s="53" t="n"/>
      <c r="DF19" s="53" t="n"/>
      <c r="DG19" s="53" t="n"/>
      <c r="DH19" s="53" t="n"/>
      <c r="DI19" s="53" t="n"/>
      <c r="DJ19" s="53" t="n"/>
      <c r="DK19" s="53" t="n"/>
      <c r="DL19" s="53" t="n"/>
      <c r="DM19" s="53" t="n"/>
      <c r="DN19" s="53" t="n"/>
      <c r="DO19" s="53" t="n"/>
      <c r="DP19" s="53" t="n"/>
      <c r="DQ19" s="53" t="n"/>
      <c r="DR19" s="53" t="n"/>
      <c r="DS19" s="53" t="n"/>
      <c r="DT19" s="53" t="n"/>
      <c r="DU19" s="53" t="n"/>
      <c r="DV19" s="53" t="n"/>
      <c r="DW19" s="53" t="n"/>
      <c r="DX19" s="53" t="n"/>
      <c r="DY19" s="53" t="n"/>
      <c r="DZ19" s="53" t="n"/>
      <c r="EA19" s="53" t="n"/>
      <c r="EB19" s="53" t="n"/>
      <c r="EC19" s="53" t="n"/>
      <c r="ED19" s="53" t="n"/>
      <c r="EE19" s="53" t="n"/>
      <c r="EF19" s="53" t="n"/>
      <c r="EG19" s="53" t="n"/>
      <c r="EH19" s="53" t="n"/>
      <c r="EI19" s="53" t="n"/>
      <c r="EJ19" s="53" t="n"/>
      <c r="EK19" s="53" t="n"/>
      <c r="EL19" s="53" t="n"/>
      <c r="EM19" s="53" t="n"/>
      <c r="EN19" s="53" t="n"/>
      <c r="EO19" s="53" t="n"/>
      <c r="EP19" s="53" t="n"/>
      <c r="EQ19" s="53" t="n"/>
      <c r="ER19" s="53" t="n"/>
      <c r="ES19" s="53" t="n"/>
      <c r="ET19" s="53" t="n"/>
      <c r="EU19" s="53" t="n"/>
      <c r="EV19" s="53" t="n"/>
      <c r="EW19" s="52" t="n"/>
      <c r="EX19" s="53"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EY19" s="53"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EZ19" s="53" t="inlineStr">
        <is>
          <t>• Current capabilities: No input received.
• Tools / software used: No input received.
• Workload: Rated a manageable load · 2/5 in a typical week.
• Judgment/way of working: CRM Optimisation.</t>
        </is>
      </c>
      <c r="FA19" s="53" t="inlineStr">
        <is>
          <t>• Development priorities: Claude certification; Data Analysis and Project Management.
• Learning and Development Need: Vibe coding; Product landscape. Negotiation skills.
• Role evolving toward: Exposure to domain knowledge.</t>
        </is>
      </c>
      <c r="FB19" s="53" t="inlineStr">
        <is>
          <t>• Key challenges: Minimal mentorship.
• Support required: No to less excel files, optimising CRM  and automation to make CEM's life easy and no to less manual data management.</t>
        </is>
      </c>
      <c r="FC19" s="53" t="n"/>
      <c r="FD19" s="53" t="n"/>
      <c r="FE19" s="57"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9" s="56" t="n"/>
      <c r="FG19" s="56" t="n"/>
      <c r="FH19" s="56" t="n"/>
      <c r="FI19" s="56" t="inlineStr">
        <is>
          <t>Upsell, cross, improve NPS, follow up with tech team · US Market</t>
        </is>
      </c>
      <c r="FJ19" s="56" t="inlineStr">
        <is>
          <t>Received · manager annual</t>
        </is>
      </c>
      <c r="FK19" s="56" t="inlineStr">
        <is>
          <t>CARBON Mapping Master · CARBON Talent Mapping · Raw</t>
        </is>
      </c>
      <c r="FL19" s="56" t="n">
        <v>20</v>
      </c>
      <c r="FM19" s="56"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FN19" s="56"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FO19" s="56" t="inlineStr">
        <is>
          <t>• Current capabilities: No input received.
• Tools / software used: No input received.
• Workload: Rated a manageable load · 2/5 in a typical week.
• Judgment/way of working: CRM Optimisation.</t>
        </is>
      </c>
      <c r="FP19" s="56" t="inlineStr">
        <is>
          <t>• Development priorities: Claude certification; Data Analysis and Project Management.
• Learning and Development Need: Vibe coding; Product landscape. Negotiation skills.
• Role evolving toward: Exposure to domain knowledge.</t>
        </is>
      </c>
      <c r="FQ19" s="56" t="inlineStr">
        <is>
          <t>• Key challenges: Minimal mentorship.
• Support required: No to less excel files, optimising CRM  and automation to make CEM's life easy and no to less manual data management.</t>
        </is>
      </c>
      <c r="FR19" s="56" t="inlineStr">
        <is>
          <t>Complexity: Evidence reads like A3: Client enablement, renewals, upsell and cross-sell plus data analysis and sanitisation in CRM → moved up 0.5
Autonomy: Evidence reads like A2: Decides independently only on trainings → matches the start
Accountability: Evidence reads like B1: own survey / KRA answers · summarised by the rater; not quoted → moved up 1
Leadership: Evidence reads like A1: No guidance of others described → matches the start
Business Impact: Moved +0.5: the survey / manager mapping marks it business-critical.</t>
        </is>
      </c>
      <c r="FS19"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9" s="56" t="inlineStr">
        <is>
          <t>Self-identified: Project / programme management · Data, SQL &amp; analytics · Certification / formal course
For the next role: Project / programme management · Data, SQL &amp; analytics · Certification / formal course</t>
        </is>
      </c>
      <c r="FU19" s="56" t="inlineStr">
        <is>
          <t>Per-person summary · CARBON Mapping Master</t>
        </is>
      </c>
    </row>
    <row r="20" ht="90" customHeight="1">
      <c r="A20" s="51" t="inlineStr">
        <is>
          <t>◂ Back</t>
        </is>
      </c>
      <c r="B20" s="29" t="inlineStr">
        <is>
          <t>Mapped</t>
        </is>
      </c>
      <c r="C20" s="28" t="inlineStr">
        <is>
          <t>CARBON</t>
        </is>
      </c>
      <c r="D20" s="29" t="inlineStr">
        <is>
          <t>IRIS0018</t>
        </is>
      </c>
      <c r="E20" s="29" t="inlineStr">
        <is>
          <t>K Ashok Kumar</t>
        </is>
      </c>
      <c r="F20" s="29" t="inlineStr">
        <is>
          <t>Services</t>
        </is>
      </c>
      <c r="G20" s="29" t="inlineStr">
        <is>
          <t>Manager Financial Analyst</t>
        </is>
      </c>
      <c r="H20" s="29" t="inlineStr">
        <is>
          <t>Associate Head – Assisted Services</t>
        </is>
      </c>
      <c r="I20" s="29" t="inlineStr">
        <is>
          <t>L5 – Manager</t>
        </is>
      </c>
      <c r="J20" s="29" t="inlineStr">
        <is>
          <t>C1</t>
        </is>
      </c>
      <c r="K20" s="29" t="inlineStr">
        <is>
          <t>▲ Up</t>
        </is>
      </c>
      <c r="L20" s="29" t="inlineStr">
        <is>
          <t>Executive Leadership</t>
        </is>
      </c>
      <c r="M20" s="29" t="inlineStr">
        <is>
          <t>Business Head</t>
        </is>
      </c>
      <c r="N20" s="29" t="inlineStr">
        <is>
          <t>• Confirm the reporting line — Manager</t>
        </is>
      </c>
      <c r="O20" s="29" t="n">
        <v>20</v>
      </c>
      <c r="P20" s="28" t="inlineStr">
        <is>
          <t>P6 / M5</t>
        </is>
      </c>
      <c r="Q20" s="29" t="inlineStr">
        <is>
          <t>Principal / Director</t>
        </is>
      </c>
      <c r="R20" s="29" t="inlineStr">
        <is>
          <t>5–6</t>
        </is>
      </c>
      <c r="S20" s="29" t="inlineStr">
        <is>
          <t>10–14 yrs</t>
        </is>
      </c>
      <c r="T20" s="29" t="inlineStr">
        <is>
          <t>12–16 · 12–18</t>
        </is>
      </c>
      <c r="U20" s="29" t="inlineStr">
        <is>
          <t>Head of Function / AGM</t>
        </is>
      </c>
      <c r="V20" s="29" t="inlineStr">
        <is>
          <t>Big Four: Associate Director</t>
        </is>
      </c>
      <c r="W20" s="29" t="inlineStr">
        <is>
          <t>XBRL US GAAP Certificate · AICPA &amp; XBRL US; XBRL International specifications; IFRS / US GAAP / Ind AS</t>
        </is>
      </c>
      <c r="X20" s="29" t="inlineStr">
        <is>
          <t>Core 4 · Future 4 · Functional 4 · Leadership 4</t>
        </is>
      </c>
      <c r="Y20" s="52" t="n">
        <v>9</v>
      </c>
      <c r="Z20" s="53" t="inlineStr">
        <is>
          <t>IRIS0018</t>
        </is>
      </c>
      <c r="AA20" s="53" t="inlineStr">
        <is>
          <t>Employee</t>
        </is>
      </c>
      <c r="AB20" s="53" t="inlineStr">
        <is>
          <t>Active</t>
        </is>
      </c>
      <c r="AC20" s="53" t="inlineStr">
        <is>
          <t>K Ashok Kumar</t>
        </is>
      </c>
      <c r="AD20" s="54" t="n">
        <v>38293</v>
      </c>
      <c r="AE20" s="53" t="inlineStr">
        <is>
          <t>Manager Financial Analyst</t>
        </is>
      </c>
      <c r="AF20" s="53" t="inlineStr">
        <is>
          <t>M.Com</t>
        </is>
      </c>
      <c r="AG20" s="53" t="inlineStr">
        <is>
          <t>Suman Adhikary</t>
        </is>
      </c>
      <c r="AH20" s="53" t="inlineStr">
        <is>
          <t>N-4</t>
        </is>
      </c>
      <c r="AI20" s="53" t="inlineStr">
        <is>
          <t>Manager</t>
        </is>
      </c>
      <c r="AJ20" s="53" t="inlineStr">
        <is>
          <t>0 years, 0 months, 0 days</t>
        </is>
      </c>
      <c r="AK20" s="53" t="inlineStr">
        <is>
          <t>21 years, 9 months, 23 days</t>
        </is>
      </c>
      <c r="AL20" s="53" t="inlineStr">
        <is>
          <t>Regtech</t>
        </is>
      </c>
      <c r="AM20" s="53" t="inlineStr">
        <is>
          <t>CARBON</t>
        </is>
      </c>
      <c r="AN20" s="53" t="inlineStr">
        <is>
          <t>Services</t>
        </is>
      </c>
      <c r="AO20" s="53" t="inlineStr">
        <is>
          <t>Expert Assisted services</t>
        </is>
      </c>
      <c r="AP20" s="53" t="inlineStr">
        <is>
          <t>No</t>
        </is>
      </c>
      <c r="AQ20" s="53" t="inlineStr">
        <is>
          <t>Professional Services</t>
        </is>
      </c>
      <c r="AR20" s="53" t="inlineStr">
        <is>
          <t>XBRL Domain</t>
        </is>
      </c>
      <c r="AS20" s="53" t="inlineStr">
        <is>
          <t>Non-technical</t>
        </is>
      </c>
      <c r="AT20" s="53" t="n">
        <v>20</v>
      </c>
      <c r="AU20" s="53" t="inlineStr">
        <is>
          <t>Covered</t>
        </is>
      </c>
      <c r="AV20" s="53" t="inlineStr">
        <is>
          <t>IRIS0018</t>
        </is>
      </c>
      <c r="AW20" s="53" t="inlineStr">
        <is>
          <t>K Ashok Kumar</t>
        </is>
      </c>
      <c r="AX20" s="53" t="inlineStr">
        <is>
          <t>Services</t>
        </is>
      </c>
      <c r="AY20" s="53" t="inlineStr">
        <is>
          <t>Professional Services</t>
        </is>
      </c>
      <c r="AZ20" s="53" t="inlineStr">
        <is>
          <t>AI /Domain Testing</t>
        </is>
      </c>
      <c r="BA20" s="53" t="n"/>
      <c r="BB20" s="53" t="n"/>
      <c r="BC20" s="53" t="inlineStr">
        <is>
          <t>Employee</t>
        </is>
      </c>
      <c r="BD20" s="53" t="inlineStr">
        <is>
          <t>Suman Adhikary</t>
        </is>
      </c>
      <c r="BE20" s="53" t="inlineStr">
        <is>
          <t>Suman Adhikary</t>
        </is>
      </c>
      <c r="BF20" s="53" t="inlineStr">
        <is>
          <t>No</t>
        </is>
      </c>
      <c r="BG20" s="53" t="inlineStr">
        <is>
          <t>Manager Financial Analyst</t>
        </is>
      </c>
      <c r="BH20" s="53" t="inlineStr">
        <is>
          <t>Head - Services</t>
        </is>
      </c>
      <c r="BI20" s="53" t="inlineStr">
        <is>
          <t>Yes</t>
        </is>
      </c>
      <c r="BJ20" s="53" t="n">
        <v>4</v>
      </c>
      <c r="BK20" s="53" t="n">
        <v>4</v>
      </c>
      <c r="BL20" s="53" t="n">
        <v>0</v>
      </c>
      <c r="BM20" s="53" t="inlineStr">
        <is>
          <t>Review</t>
        </is>
      </c>
      <c r="BN20" s="53" t="n">
        <v>4</v>
      </c>
      <c r="BO20" s="53" t="n">
        <v>4</v>
      </c>
      <c r="BP20" s="53" t="n">
        <v>0</v>
      </c>
      <c r="BQ20" s="53" t="inlineStr">
        <is>
          <t>Review</t>
        </is>
      </c>
      <c r="BR20" s="53" t="inlineStr">
        <is>
          <t>No</t>
        </is>
      </c>
      <c r="BS20" s="53" t="inlineStr">
        <is>
          <t>L5 – Manager</t>
        </is>
      </c>
      <c r="BT20" s="53" t="inlineStr">
        <is>
          <t>L7</t>
        </is>
      </c>
      <c r="BU20" s="53" t="inlineStr">
        <is>
          <t>Matched from Title Hierarchy · new designation</t>
        </is>
      </c>
      <c r="BV20" s="53"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W20" s="53" t="n"/>
      <c r="BX20" s="53" t="n"/>
      <c r="BY20" s="53" t="n"/>
      <c r="BZ20" s="53" t="inlineStr">
        <is>
          <t>IRIS0018</t>
        </is>
      </c>
      <c r="CA20" s="53" t="inlineStr">
        <is>
          <t>Employee</t>
        </is>
      </c>
      <c r="CB20" s="53" t="inlineStr">
        <is>
          <t>Active</t>
        </is>
      </c>
      <c r="CC20" s="53" t="inlineStr">
        <is>
          <t>K Ashok Kumar</t>
        </is>
      </c>
      <c r="CD20" s="54" t="n">
        <v>38293</v>
      </c>
      <c r="CE20" s="53" t="inlineStr">
        <is>
          <t>Manager Financial Analyst</t>
        </is>
      </c>
      <c r="CF20" s="53" t="inlineStr">
        <is>
          <t>4. Handle complex pre-sales process, implementations, and ensure effective adoption and customer ratings.</t>
        </is>
      </c>
      <c r="CG20" s="53" t="inlineStr">
        <is>
          <t>Professional Services</t>
        </is>
      </c>
      <c r="CH20" s="53" t="inlineStr">
        <is>
          <t>XBRL / Regulatory Reporting</t>
        </is>
      </c>
      <c r="CI20" s="53" t="inlineStr">
        <is>
          <t>Head - Services</t>
        </is>
      </c>
      <c r="CJ20" s="53" t="inlineStr">
        <is>
          <t>L7 – Head / Sr Director</t>
        </is>
      </c>
      <c r="CK20" s="53" t="inlineStr">
        <is>
          <t>Suman Adhikary</t>
        </is>
      </c>
      <c r="CL20" s="53" t="inlineStr">
        <is>
          <t>N-4</t>
        </is>
      </c>
      <c r="CM20" s="53" t="inlineStr">
        <is>
          <t>Manager</t>
        </is>
      </c>
      <c r="CN20" s="53" t="inlineStr">
        <is>
          <t>Regtech</t>
        </is>
      </c>
      <c r="CO20" s="53" t="inlineStr">
        <is>
          <t>Services</t>
        </is>
      </c>
      <c r="CP20" s="53" t="inlineStr">
        <is>
          <t>21 years, 7 months, 18 days</t>
        </is>
      </c>
      <c r="CQ20" s="53" t="inlineStr">
        <is>
          <t>Head - Services</t>
        </is>
      </c>
      <c r="CR20" s="53" t="inlineStr">
        <is>
          <t>No</t>
        </is>
      </c>
      <c r="CS20" s="53" t="n">
        <v>3</v>
      </c>
      <c r="CT20" s="53" t="inlineStr">
        <is>
          <t>Medium</t>
        </is>
      </c>
      <c r="CU20" s="53" t="inlineStr">
        <is>
          <t>Core Contributor</t>
        </is>
      </c>
      <c r="CV20" s="53" t="n"/>
      <c r="CW20" s="53" t="n"/>
      <c r="CX20" s="53" t="inlineStr">
        <is>
          <t>Yes</t>
        </is>
      </c>
      <c r="CY20" s="53" t="inlineStr">
        <is>
          <t>Shashidhar M</t>
        </is>
      </c>
      <c r="CZ20" s="53" t="inlineStr">
        <is>
          <t>XBRL taxonomy &amp; regulatory updates; domain/accounting refreshers; quality &amp; accuracy practices; tooling proficiency | People management: goal-setting &amp; feedback, 1:1 coaching, performance conversations</t>
        </is>
      </c>
      <c r="DA20" s="53" t="inlineStr">
        <is>
          <t>Leadership development: strategic thinking, cross-functional influence, financial/business acumen, succession &amp; talent development, change management, executive communication</t>
        </is>
      </c>
      <c r="DB20" s="53" t="inlineStr">
        <is>
          <t>Involve more on DM and AI testing. Title to be standardized as Head - Services</t>
        </is>
      </c>
      <c r="DC20" s="53" t="n"/>
      <c r="DD20" s="53" t="n"/>
      <c r="DE20" s="53" t="n"/>
      <c r="DF20" s="53" t="n"/>
      <c r="DG20" s="53" t="n"/>
      <c r="DH20" s="53" t="n"/>
      <c r="DI20" s="53" t="n"/>
      <c r="DJ20" s="53" t="n"/>
      <c r="DK20" s="53" t="n"/>
      <c r="DL20" s="53" t="n"/>
      <c r="DM20" s="53" t="n"/>
      <c r="DN20" s="53" t="n"/>
      <c r="DO20" s="53" t="n"/>
      <c r="DP20" s="53" t="n"/>
      <c r="DQ20" s="53" t="n"/>
      <c r="DR20" s="53" t="n"/>
      <c r="DS20" s="53" t="n"/>
      <c r="DT20" s="53" t="n"/>
      <c r="DU20" s="53" t="n"/>
      <c r="DV20" s="53" t="n"/>
      <c r="DW20" s="53" t="n"/>
      <c r="DX20" s="53" t="n"/>
      <c r="DY20" s="53" t="n"/>
      <c r="DZ20" s="53" t="n"/>
      <c r="EA20" s="53" t="n"/>
      <c r="EB20" s="53" t="n"/>
      <c r="EC20" s="53" t="n"/>
      <c r="ED20" s="53" t="n"/>
      <c r="EE20" s="53" t="n"/>
      <c r="EF20" s="53" t="n"/>
      <c r="EG20" s="53" t="n"/>
      <c r="EH20" s="53" t="n"/>
      <c r="EI20" s="53" t="n"/>
      <c r="EJ20" s="53" t="n"/>
      <c r="EK20" s="53" t="n"/>
      <c r="EL20" s="53" t="n"/>
      <c r="EM20" s="53" t="n"/>
      <c r="EN20" s="53" t="n"/>
      <c r="EO20" s="53" t="n"/>
      <c r="EP20" s="53" t="n"/>
      <c r="EQ20" s="53" t="n"/>
      <c r="ER20" s="53" t="n"/>
      <c r="ES20" s="53" t="n"/>
      <c r="ET20" s="53" t="n"/>
      <c r="EU20" s="53" t="n"/>
      <c r="EV20" s="53" t="n"/>
      <c r="EW20" s="52" t="n"/>
      <c r="EX20" s="53" t="n"/>
      <c r="EY20" s="53" t="n"/>
      <c r="EZ20" s="53" t="n"/>
      <c r="FA20" s="53" t="n"/>
      <c r="FB20" s="53" t="n"/>
      <c r="FC20" s="53" t="n"/>
      <c r="FD20" s="53" t="n"/>
      <c r="FE20" s="57"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FF20" s="56" t="n"/>
      <c r="FG20" s="56" t="n"/>
      <c r="FH20" s="56" t="n"/>
      <c r="FI20" s="56" t="inlineStr">
        <is>
          <t>4. Handle complex pre-sales process, implementations, and ensure effective adoption and customer ratings.</t>
        </is>
      </c>
      <c r="FJ20" s="56" t="inlineStr">
        <is>
          <t>Received · manager annual</t>
        </is>
      </c>
      <c r="FK20" s="56" t="inlineStr">
        <is>
          <t>CARBON Mapping Master · CARBON Talent Mapping · Raw</t>
        </is>
      </c>
      <c r="FL20" s="56" t="n">
        <v>20</v>
      </c>
      <c r="FM20" s="32" t="inlineStr">
        <is>
          <t>Full survey answers not in the files received · How We Grow export needed · HR</t>
        </is>
      </c>
      <c r="FN20" s="56" t="inlineStr">
        <is>
          <t>—</t>
        </is>
      </c>
      <c r="FO20" s="56" t="inlineStr">
        <is>
          <t>—</t>
        </is>
      </c>
      <c r="FP20" s="56" t="inlineStr">
        <is>
          <t>—</t>
        </is>
      </c>
      <c r="FQ20" s="56" t="inlineStr">
        <is>
          <t>—</t>
        </is>
      </c>
      <c r="FR20" s="56"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reporting and test coverage → moved down 0.5
Leadership: Evidence reads like A3: States leading and coordinating AI testing; no people-management detail despite four reports → moved down 0.5
Business Impact: Moved +1: the survey / manager mapping marks it business-critical and it does work no one else does.</t>
        </is>
      </c>
      <c r="FS20" s="56" t="n"/>
      <c r="FT20" s="56" t="inlineStr">
        <is>
          <t>Self-identified: AI / automation · Data, SQL &amp; analytics
For the next role: AI / automation · Data, SQL &amp; analytics</t>
        </is>
      </c>
      <c r="FU20" s="32" t="inlineStr">
        <is>
          <t>Full survey answers not in the files received · How We Grow export needed · HR</t>
        </is>
      </c>
    </row>
    <row r="21" ht="90" customHeight="1">
      <c r="A21" s="51" t="inlineStr">
        <is>
          <t>◂ Back</t>
        </is>
      </c>
      <c r="B21" s="29" t="inlineStr">
        <is>
          <t>Mapped</t>
        </is>
      </c>
      <c r="C21" s="28" t="inlineStr">
        <is>
          <t>CARBON</t>
        </is>
      </c>
      <c r="D21" s="29" t="inlineStr">
        <is>
          <t>IRIS0786</t>
        </is>
      </c>
      <c r="E21" s="29" t="inlineStr">
        <is>
          <t>Shashikant Mudaliar</t>
        </is>
      </c>
      <c r="F21" s="29" t="inlineStr">
        <is>
          <t>Services</t>
        </is>
      </c>
      <c r="G21" s="29" t="inlineStr">
        <is>
          <t>Head - XBRL Assisted Services</t>
        </is>
      </c>
      <c r="H21" s="29" t="inlineStr">
        <is>
          <t>Associate Head – XBRL Assisted Services</t>
        </is>
      </c>
      <c r="I21" s="29" t="inlineStr">
        <is>
          <t>L7 – Head / Sr Director</t>
        </is>
      </c>
      <c r="J21" s="29" t="inlineStr">
        <is>
          <t>C1</t>
        </is>
      </c>
      <c r="K21" s="29" t="inlineStr">
        <is>
          <t>▼ Down · protected</t>
        </is>
      </c>
      <c r="L21" s="29" t="inlineStr">
        <is>
          <t>Consulting &amp; Professional Services</t>
        </is>
      </c>
      <c r="M21" s="29" t="inlineStr">
        <is>
          <t>Professional Services Leadership</t>
        </is>
      </c>
      <c r="N21" s="29" t="n"/>
      <c r="O21" s="29" t="n">
        <v>20</v>
      </c>
      <c r="P21" s="28" t="inlineStr">
        <is>
          <t>P6 / M5</t>
        </is>
      </c>
      <c r="Q21" s="29" t="inlineStr">
        <is>
          <t>Principal / Director</t>
        </is>
      </c>
      <c r="R21" s="29" t="inlineStr">
        <is>
          <t>5–6</t>
        </is>
      </c>
      <c r="S21" s="29" t="inlineStr">
        <is>
          <t>10–14 yrs</t>
        </is>
      </c>
      <c r="T21" s="29" t="inlineStr">
        <is>
          <t>12–16 · 12–18</t>
        </is>
      </c>
      <c r="U21" s="29" t="inlineStr">
        <is>
          <t>Head of Function / AGM</t>
        </is>
      </c>
      <c r="V21" s="29" t="inlineStr">
        <is>
          <t>Big Four: Associate Director</t>
        </is>
      </c>
      <c r="W21" s="29" t="inlineStr">
        <is>
          <t>XBRL US GAAP Certificate · AICPA &amp; XBRL US; XBRL International specifications; IFRS / US GAAP / Ind AS</t>
        </is>
      </c>
      <c r="X21" s="29" t="inlineStr">
        <is>
          <t>Core 4 · Future 4 · Functional 4 · Leadership 4</t>
        </is>
      </c>
      <c r="Y21" s="52" t="n">
        <v>90</v>
      </c>
      <c r="Z21" s="53" t="inlineStr">
        <is>
          <t>IRIS0786</t>
        </is>
      </c>
      <c r="AA21" s="53" t="inlineStr">
        <is>
          <t>Employee</t>
        </is>
      </c>
      <c r="AB21" s="53" t="inlineStr">
        <is>
          <t>Active</t>
        </is>
      </c>
      <c r="AC21" s="53" t="inlineStr">
        <is>
          <t>Shashikant Mudaliar</t>
        </is>
      </c>
      <c r="AD21" s="54" t="n">
        <v>40749</v>
      </c>
      <c r="AE21" s="53" t="inlineStr">
        <is>
          <t>Head - XBRL Assisted Services</t>
        </is>
      </c>
      <c r="AF21" s="53" t="inlineStr">
        <is>
          <t>CMA</t>
        </is>
      </c>
      <c r="AG21" s="53" t="inlineStr">
        <is>
          <t>K Ashok Kumar</t>
        </is>
      </c>
      <c r="AH21" s="53" t="inlineStr">
        <is>
          <t>N-5</t>
        </is>
      </c>
      <c r="AI21" s="53" t="inlineStr">
        <is>
          <t>Manager</t>
        </is>
      </c>
      <c r="AJ21" s="53" t="inlineStr">
        <is>
          <t>0 years, 0 months, 0 days</t>
        </is>
      </c>
      <c r="AK21" s="53" t="inlineStr">
        <is>
          <t>15 years, 1 months, 0 days</t>
        </is>
      </c>
      <c r="AL21" s="53" t="inlineStr">
        <is>
          <t>Regtech</t>
        </is>
      </c>
      <c r="AM21" s="53" t="inlineStr">
        <is>
          <t>CARBON</t>
        </is>
      </c>
      <c r="AN21" s="53" t="inlineStr">
        <is>
          <t>Services</t>
        </is>
      </c>
      <c r="AO21" s="53" t="inlineStr">
        <is>
          <t>Expert Assisted services</t>
        </is>
      </c>
      <c r="AP21" s="53" t="inlineStr">
        <is>
          <t>No</t>
        </is>
      </c>
      <c r="AQ21" s="53" t="inlineStr">
        <is>
          <t>Professional Services</t>
        </is>
      </c>
      <c r="AR21" s="53" t="inlineStr">
        <is>
          <t>XBRL Domain</t>
        </is>
      </c>
      <c r="AS21" s="53" t="inlineStr">
        <is>
          <t>Non-technical</t>
        </is>
      </c>
      <c r="AT21" s="53" t="n">
        <v>20</v>
      </c>
      <c r="AU21" s="53" t="inlineStr">
        <is>
          <t>Covered</t>
        </is>
      </c>
      <c r="AV21" s="53" t="inlineStr">
        <is>
          <t>IRIS0786</t>
        </is>
      </c>
      <c r="AW21" s="53" t="inlineStr">
        <is>
          <t>Shashikant Mudaliar</t>
        </is>
      </c>
      <c r="AX21" s="53" t="inlineStr">
        <is>
          <t>Services</t>
        </is>
      </c>
      <c r="AY21" s="53" t="inlineStr">
        <is>
          <t>Professional Services</t>
        </is>
      </c>
      <c r="AZ21" s="53" t="inlineStr">
        <is>
          <t>XBRL / Regulatory Reporting</t>
        </is>
      </c>
      <c r="BA21" s="53" t="n"/>
      <c r="BB21" s="53" t="n"/>
      <c r="BC21" s="53" t="inlineStr">
        <is>
          <t>Employee</t>
        </is>
      </c>
      <c r="BD21" s="53" t="inlineStr">
        <is>
          <t>K Ashok Kumar</t>
        </is>
      </c>
      <c r="BE21" s="53" t="inlineStr">
        <is>
          <t>K Ashok Kumar</t>
        </is>
      </c>
      <c r="BF21" s="53" t="inlineStr">
        <is>
          <t>No</t>
        </is>
      </c>
      <c r="BG21" s="53" t="inlineStr">
        <is>
          <t>Head - XBRL Assisted Services</t>
        </is>
      </c>
      <c r="BH21" s="53" t="inlineStr">
        <is>
          <t>Manager - Assisted Services</t>
        </is>
      </c>
      <c r="BI21" s="53" t="inlineStr">
        <is>
          <t>Yes</t>
        </is>
      </c>
      <c r="BJ21" s="53" t="n">
        <v>8</v>
      </c>
      <c r="BK21" s="53" t="n">
        <v>8</v>
      </c>
      <c r="BL21" s="53" t="n">
        <v>0</v>
      </c>
      <c r="BM21" s="53" t="inlineStr">
        <is>
          <t>Healthy</t>
        </is>
      </c>
      <c r="BN21" s="53" t="n">
        <v>8</v>
      </c>
      <c r="BO21" s="53" t="n">
        <v>8</v>
      </c>
      <c r="BP21" s="53" t="n">
        <v>0</v>
      </c>
      <c r="BQ21" s="53" t="inlineStr">
        <is>
          <t>Healthy</t>
        </is>
      </c>
      <c r="BR21" s="53" t="inlineStr">
        <is>
          <t>No</t>
        </is>
      </c>
      <c r="BS21" s="53" t="inlineStr">
        <is>
          <t>L7 – Head / Sr Director</t>
        </is>
      </c>
      <c r="BT21" s="53" t="inlineStr">
        <is>
          <t>L4</t>
        </is>
      </c>
      <c r="BU21" s="53" t="inlineStr">
        <is>
          <t>Matched from Title Hierarchy · new designation</t>
        </is>
      </c>
      <c r="BV21"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21" s="53" t="n"/>
      <c r="BX21" s="53" t="inlineStr">
        <is>
          <t>UK-HMRS, USA-SEC, Eurpoe-ESMA, Netherland-KVK</t>
        </is>
      </c>
      <c r="BY21" s="53" t="n"/>
      <c r="BZ21" s="53" t="inlineStr">
        <is>
          <t>IRIS0786</t>
        </is>
      </c>
      <c r="CA21" s="53" t="inlineStr">
        <is>
          <t>Employee</t>
        </is>
      </c>
      <c r="CB21" s="53" t="inlineStr">
        <is>
          <t>Active</t>
        </is>
      </c>
      <c r="CC21" s="53" t="inlineStr">
        <is>
          <t>Shashikant Mudaliar</t>
        </is>
      </c>
      <c r="CD21" s="54" t="n">
        <v>40749</v>
      </c>
      <c r="CE21" s="53" t="inlineStr">
        <is>
          <t>Head - XBRL Assisted Services</t>
        </is>
      </c>
      <c r="CF21" s="53" t="n"/>
      <c r="CG21" s="53" t="inlineStr">
        <is>
          <t>Professional Services</t>
        </is>
      </c>
      <c r="CH21" s="53" t="inlineStr">
        <is>
          <t>XBRL / Regulatory Reporting</t>
        </is>
      </c>
      <c r="CI21" s="53" t="inlineStr">
        <is>
          <t>Head - XBRL Assisted Services</t>
        </is>
      </c>
      <c r="CJ21" s="53" t="inlineStr">
        <is>
          <t>L7 – Head / Sr Director</t>
        </is>
      </c>
      <c r="CK21" s="53" t="inlineStr">
        <is>
          <t>K Ashok Kumar</t>
        </is>
      </c>
      <c r="CL21" s="53" t="inlineStr">
        <is>
          <t>N-5</t>
        </is>
      </c>
      <c r="CM21" s="53" t="inlineStr">
        <is>
          <t>Manager</t>
        </is>
      </c>
      <c r="CN21" s="53" t="inlineStr">
        <is>
          <t>Regtech</t>
        </is>
      </c>
      <c r="CO21" s="53" t="inlineStr">
        <is>
          <t>Services</t>
        </is>
      </c>
      <c r="CP21" s="53" t="inlineStr">
        <is>
          <t>14 years, 10 months, 26 days</t>
        </is>
      </c>
      <c r="CQ21" s="53" t="inlineStr">
        <is>
          <t>Manager - Assisted Services</t>
        </is>
      </c>
      <c r="CR21" s="53" t="n"/>
      <c r="CS21" s="53" t="n">
        <v>5</v>
      </c>
      <c r="CT21" s="53" t="inlineStr">
        <is>
          <t>High</t>
        </is>
      </c>
      <c r="CU21" s="53" t="inlineStr">
        <is>
          <t>Future Leader</t>
        </is>
      </c>
      <c r="CV21" s="53" t="inlineStr">
        <is>
          <t>Yes</t>
        </is>
      </c>
      <c r="CW21" s="53" t="inlineStr">
        <is>
          <t>Yes</t>
        </is>
      </c>
      <c r="CX21" s="53" t="inlineStr">
        <is>
          <t>Yes</t>
        </is>
      </c>
      <c r="CY21" s="53" t="n"/>
      <c r="CZ21" s="53" t="n"/>
      <c r="DA21" s="53" t="n"/>
      <c r="DB21" s="53" t="n"/>
      <c r="DC21" s="53" t="n"/>
      <c r="DD21" s="53" t="n"/>
      <c r="DE21" s="53" t="n"/>
      <c r="DF21" s="53" t="n"/>
      <c r="DG21" s="53" t="n"/>
      <c r="DH21" s="53" t="n"/>
      <c r="DI21" s="53" t="n"/>
      <c r="DJ21" s="53" t="n"/>
      <c r="DK21" s="53" t="n"/>
      <c r="DL21" s="53" t="n"/>
      <c r="DM21" s="53" t="n"/>
      <c r="DN21" s="53" t="n"/>
      <c r="DO21" s="53" t="n"/>
      <c r="DP21" s="53" t="n"/>
      <c r="DQ21" s="53" t="n"/>
      <c r="DR21" s="53" t="n"/>
      <c r="DS21" s="53" t="n"/>
      <c r="DT21" s="53" t="n"/>
      <c r="DU21" s="53" t="n"/>
      <c r="DV21" s="53" t="n"/>
      <c r="DW21" s="53" t="n"/>
      <c r="DX21" s="53" t="n"/>
      <c r="DY21" s="53" t="n"/>
      <c r="DZ21" s="53" t="n"/>
      <c r="EA21" s="53" t="n"/>
      <c r="EB21" s="53" t="n"/>
      <c r="EC21" s="53" t="n"/>
      <c r="ED21" s="53" t="n"/>
      <c r="EE21" s="53" t="n"/>
      <c r="EF21" s="53" t="n"/>
      <c r="EG21" s="53" t="n"/>
      <c r="EH21" s="53" t="n"/>
      <c r="EI21" s="53" t="n"/>
      <c r="EJ21" s="53" t="n"/>
      <c r="EK21" s="53" t="n"/>
      <c r="EL21" s="53" t="n"/>
      <c r="EM21" s="53" t="n"/>
      <c r="EN21" s="53" t="n"/>
      <c r="EO21" s="53" t="n"/>
      <c r="EP21" s="53" t="n"/>
      <c r="EQ21" s="53" t="n"/>
      <c r="ER21" s="53" t="n"/>
      <c r="ES21" s="53" t="n"/>
      <c r="ET21" s="53" t="n"/>
      <c r="EU21" s="53" t="n"/>
      <c r="EV21" s="53" t="n"/>
      <c r="EW21" s="52" t="n"/>
      <c r="EX21" s="53" t="inlineStr">
        <is>
          <t>• Role / sub-team: Assisted Services</t>
        </is>
      </c>
      <c r="EY21" s="53"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EZ21" s="53" t="inlineStr">
        <is>
          <t>• Current capabilities: Patience; Communication; Team bonding; Work experience; Accounting knowledge; Tools / software used: HTML - Editor | Ifile, Iris Instant.</t>
        </is>
      </c>
      <c r="FA21" s="53" t="inlineStr">
        <is>
          <t>• Development priorities: 
• Learning and Development Need: Time management; Work Planning and New Manager Trainings.</t>
        </is>
      </c>
      <c r="FB21" s="53" t="inlineStr">
        <is>
          <t>• Key challenges: Waiting for information; Slow work machines; Tool issues; Client revert.
• Support required: No input received.</t>
        </is>
      </c>
      <c r="FC21" s="53" t="n"/>
      <c r="FD21" s="53" t="n"/>
      <c r="FE21"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21" s="56" t="n"/>
      <c r="FG21" s="56" t="n"/>
      <c r="FH21" s="56" t="n"/>
      <c r="FI21" s="56" t="n"/>
      <c r="FJ21" s="56" t="inlineStr">
        <is>
          <t>Received · manager annual</t>
        </is>
      </c>
      <c r="FK21" s="56" t="inlineStr">
        <is>
          <t>CARBON Mapping Master</t>
        </is>
      </c>
      <c r="FL21" s="56" t="n">
        <v>20</v>
      </c>
      <c r="FM21" s="56" t="inlineStr">
        <is>
          <t>• Role / sub-team: Assisted Services</t>
        </is>
      </c>
      <c r="FN21" s="56"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FO21" s="56" t="inlineStr">
        <is>
          <t>• Current capabilities: Patience; Communication; Team bonding; Work experience; Accounting knowledge; Tools / software used: HTML - Editor | Ifile, Iris Instant.</t>
        </is>
      </c>
      <c r="FP21" s="56" t="inlineStr">
        <is>
          <t>• Development priorities: 
• Learning and Development Need: Time management; Work Planning and New Manager Trainings.</t>
        </is>
      </c>
      <c r="FQ21" s="56" t="inlineStr">
        <is>
          <t>• Key challenges: Waiting for information; Slow work machines; Tool issues; Client revert.
• Support required: No input received.</t>
        </is>
      </c>
      <c r="FR21" s="56" t="inlineStr">
        <is>
          <t>Complexity: Evidence reads like B3: Multi-market XBRL filings; makes tagging calls on complex files; changes internal review steps; researches new mandates → moved down 1
Autonomy: Evidence reads like B3: Decides allocation, who leads each team or mandate, clashing-deadline priorities, review process changes → moved down 1
Accountability: Evidence reads like B3: own survey / KRA answers · summarised by the rater; not quoted → moved down 1
Leadership: Evidence reads like B3: Eight reports; appoints team/mandate leads, trains reviewers, plans capacity for reporting seasons → moved down 1
Business Impact: Moved +0.5: the survey / manager mapping marks it business-critical.</t>
        </is>
      </c>
      <c r="FS21" s="56" t="n"/>
      <c r="FT21" s="56" t="inlineStr">
        <is>
          <t>Self-identified: Project / programme management · Broader exposure &amp; ownership
For the next role: Project / programme management · Broader exposure &amp; ownership</t>
        </is>
      </c>
      <c r="FU21" s="56" t="inlineStr">
        <is>
          <t>Per-person summary · CARBON Mapping Master</t>
        </is>
      </c>
    </row>
    <row r="22" ht="90" customHeight="1">
      <c r="A22" s="51" t="inlineStr">
        <is>
          <t>◂ Back</t>
        </is>
      </c>
      <c r="B22" s="29" t="inlineStr">
        <is>
          <t>Mapped</t>
        </is>
      </c>
      <c r="C22" s="28" t="inlineStr">
        <is>
          <t>CARBON</t>
        </is>
      </c>
      <c r="D22" s="29" t="inlineStr">
        <is>
          <t>IRIS0511</t>
        </is>
      </c>
      <c r="E22" s="29" t="inlineStr">
        <is>
          <t>Jinesh Kumar S</t>
        </is>
      </c>
      <c r="F22" s="29" t="inlineStr">
        <is>
          <t>Services</t>
        </is>
      </c>
      <c r="G22" s="29" t="inlineStr">
        <is>
          <t>Lead - Assisted Services</t>
        </is>
      </c>
      <c r="H22" s="29" t="inlineStr">
        <is>
          <t>Manager – Assisted Services</t>
        </is>
      </c>
      <c r="I22" s="29" t="inlineStr">
        <is>
          <t>L5 – Lead · IC</t>
        </is>
      </c>
      <c r="J22" s="29" t="inlineStr">
        <is>
          <t>B2</t>
        </is>
      </c>
      <c r="K22" s="29" t="inlineStr">
        <is>
          <t>▼ Down · protected</t>
        </is>
      </c>
      <c r="L22" s="29" t="inlineStr">
        <is>
          <t>Consulting &amp; Professional Services</t>
        </is>
      </c>
      <c r="M22" s="29" t="inlineStr">
        <is>
          <t>XBRL Tagging, Conversion &amp; Filing</t>
        </is>
      </c>
      <c r="N22" s="29" t="n"/>
      <c r="O22" s="29" t="n">
        <v>20</v>
      </c>
      <c r="P22" s="28" t="inlineStr">
        <is>
          <t>P4 / M3</t>
        </is>
      </c>
      <c r="Q22" s="29" t="inlineStr">
        <is>
          <t>Senior / Manager</t>
        </is>
      </c>
      <c r="R22" s="29" t="inlineStr">
        <is>
          <t>4–5</t>
        </is>
      </c>
      <c r="S22" s="29" t="inlineStr">
        <is>
          <t>6–9 yrs</t>
        </is>
      </c>
      <c r="T22" s="29" t="inlineStr">
        <is>
          <t>7–10 · 6–11</t>
        </is>
      </c>
      <c r="U22" s="29" t="inlineStr">
        <is>
          <t>Manager</t>
        </is>
      </c>
      <c r="V22" s="29" t="inlineStr">
        <is>
          <t>Big Four: Manager · IRIS Vs Market Benchmark — XBRL US credential pathway: Certificate + review authority</t>
        </is>
      </c>
      <c r="W22" s="29" t="inlineStr">
        <is>
          <t>XBRL US GAAP Certificate · AICPA &amp; XBRL US; XBRL International specifications; IFRS / US GAAP / Ind AS</t>
        </is>
      </c>
      <c r="X22" s="29" t="inlineStr">
        <is>
          <t>Core 3 · Future 3 · Functional 4 · Leadership 3</t>
        </is>
      </c>
      <c r="Y22" s="52" t="n">
        <v>68</v>
      </c>
      <c r="Z22" s="53" t="inlineStr">
        <is>
          <t>IRIS0511</t>
        </is>
      </c>
      <c r="AA22" s="53" t="inlineStr">
        <is>
          <t>Employee</t>
        </is>
      </c>
      <c r="AB22" s="53" t="inlineStr">
        <is>
          <t>Active</t>
        </is>
      </c>
      <c r="AC22" s="53" t="inlineStr">
        <is>
          <t>Jinesh Kumar S</t>
        </is>
      </c>
      <c r="AD22" s="54" t="n">
        <v>40553</v>
      </c>
      <c r="AE22" s="53" t="inlineStr">
        <is>
          <t>Lead - Assisted Services</t>
        </is>
      </c>
      <c r="AF22" s="53" t="inlineStr">
        <is>
          <t>M.Com</t>
        </is>
      </c>
      <c r="AG22" s="53" t="inlineStr">
        <is>
          <t>Shashikant Mudaliar</t>
        </is>
      </c>
      <c r="AH22" s="53" t="inlineStr">
        <is>
          <t>N-6</t>
        </is>
      </c>
      <c r="AI22" s="53" t="inlineStr">
        <is>
          <t>Manager</t>
        </is>
      </c>
      <c r="AJ22" s="53" t="inlineStr">
        <is>
          <t>0 years, 5 months, 0 days</t>
        </is>
      </c>
      <c r="AK22" s="53" t="inlineStr">
        <is>
          <t>15 years, 7 months, 15 days</t>
        </is>
      </c>
      <c r="AL22" s="53" t="inlineStr">
        <is>
          <t>Regtech</t>
        </is>
      </c>
      <c r="AM22" s="53" t="inlineStr">
        <is>
          <t>CARBON</t>
        </is>
      </c>
      <c r="AN22" s="53" t="inlineStr">
        <is>
          <t>Services</t>
        </is>
      </c>
      <c r="AO22" s="53" t="inlineStr">
        <is>
          <t>Expert Assisted services</t>
        </is>
      </c>
      <c r="AP22" s="53" t="inlineStr">
        <is>
          <t>No</t>
        </is>
      </c>
      <c r="AQ22" s="53" t="inlineStr">
        <is>
          <t>Professional Services</t>
        </is>
      </c>
      <c r="AR22" s="53" t="inlineStr">
        <is>
          <t>XBRL Domain</t>
        </is>
      </c>
      <c r="AS22" s="53" t="inlineStr">
        <is>
          <t>Non-technical</t>
        </is>
      </c>
      <c r="AT22" s="53" t="n">
        <v>20</v>
      </c>
      <c r="AU22" s="53" t="inlineStr">
        <is>
          <t>Covered</t>
        </is>
      </c>
      <c r="AV22" s="53" t="inlineStr">
        <is>
          <t>IRIS0511</t>
        </is>
      </c>
      <c r="AW22" s="53" t="inlineStr">
        <is>
          <t>Jinesh Kumar S</t>
        </is>
      </c>
      <c r="AX22" s="53" t="inlineStr">
        <is>
          <t>Services</t>
        </is>
      </c>
      <c r="AY22" s="53" t="inlineStr">
        <is>
          <t>Professional Services</t>
        </is>
      </c>
      <c r="AZ22" s="53" t="inlineStr">
        <is>
          <t>XBRL / Regulatory Reporting</t>
        </is>
      </c>
      <c r="BA22" s="53" t="n"/>
      <c r="BB22" s="53" t="n"/>
      <c r="BC22" s="53" t="inlineStr">
        <is>
          <t>Employee</t>
        </is>
      </c>
      <c r="BD22" s="53" t="inlineStr">
        <is>
          <t>Shashikant Mudaliar</t>
        </is>
      </c>
      <c r="BE22" s="53" t="inlineStr">
        <is>
          <t>Shashikant Mudaliar</t>
        </is>
      </c>
      <c r="BF22" s="53" t="inlineStr">
        <is>
          <t>No</t>
        </is>
      </c>
      <c r="BG22" s="53" t="inlineStr">
        <is>
          <t>Lead - Assisted Services</t>
        </is>
      </c>
      <c r="BH22" s="53" t="inlineStr">
        <is>
          <t>Manager - Services</t>
        </is>
      </c>
      <c r="BI22" s="53" t="inlineStr">
        <is>
          <t>Yes</t>
        </is>
      </c>
      <c r="BJ22" s="53" t="n">
        <v>7</v>
      </c>
      <c r="BK22" s="53" t="n">
        <v>5</v>
      </c>
      <c r="BL22" s="53" t="n">
        <v>2</v>
      </c>
      <c r="BM22" s="53" t="inlineStr">
        <is>
          <t>Healthy</t>
        </is>
      </c>
      <c r="BN22" s="53" t="n">
        <v>7</v>
      </c>
      <c r="BO22" s="53" t="n">
        <v>5</v>
      </c>
      <c r="BP22" s="53" t="n">
        <v>2</v>
      </c>
      <c r="BQ22" s="53" t="inlineStr">
        <is>
          <t>Healthy</t>
        </is>
      </c>
      <c r="BR22" s="53" t="inlineStr">
        <is>
          <t>No</t>
        </is>
      </c>
      <c r="BS22" s="53" t="inlineStr">
        <is>
          <t>L5 – Lead · IC</t>
        </is>
      </c>
      <c r="BT22" s="53" t="inlineStr">
        <is>
          <t>L5</t>
        </is>
      </c>
      <c r="BU22" s="53" t="inlineStr">
        <is>
          <t>Matched from Title Hierarchy · new designation</t>
        </is>
      </c>
      <c r="BV22"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22" s="53" t="n"/>
      <c r="BX22" s="53" t="inlineStr">
        <is>
          <t>USA - SEC.</t>
        </is>
      </c>
      <c r="BY22" s="53" t="n"/>
      <c r="BZ22" s="53" t="inlineStr">
        <is>
          <t>IRIS0511</t>
        </is>
      </c>
      <c r="CA22" s="53" t="inlineStr">
        <is>
          <t>Employee</t>
        </is>
      </c>
      <c r="CB22" s="53" t="inlineStr">
        <is>
          <t>Active</t>
        </is>
      </c>
      <c r="CC22" s="53" t="inlineStr">
        <is>
          <t>Jinesh Kumar S</t>
        </is>
      </c>
      <c r="CD22" s="54" t="n">
        <v>40553</v>
      </c>
      <c r="CE22" s="53" t="inlineStr">
        <is>
          <t>Lead - Assisted Services</t>
        </is>
      </c>
      <c r="CF22" s="53" t="n"/>
      <c r="CG22" s="53" t="inlineStr">
        <is>
          <t>Professional Services</t>
        </is>
      </c>
      <c r="CH22" s="53" t="inlineStr">
        <is>
          <t>XBRL / Regulatory Reporting</t>
        </is>
      </c>
      <c r="CI22" s="53" t="inlineStr">
        <is>
          <t>Lead - Assisted Services</t>
        </is>
      </c>
      <c r="CJ22" s="53" t="inlineStr">
        <is>
          <t>L5 – Lead · IC</t>
        </is>
      </c>
      <c r="CK22" s="53" t="inlineStr">
        <is>
          <t>Shashikant Mudaliar</t>
        </is>
      </c>
      <c r="CL22" s="53" t="inlineStr">
        <is>
          <t>N-6</t>
        </is>
      </c>
      <c r="CM22" s="53" t="inlineStr">
        <is>
          <t>Manager</t>
        </is>
      </c>
      <c r="CN22" s="53" t="inlineStr">
        <is>
          <t>Regtech</t>
        </is>
      </c>
      <c r="CO22" s="53" t="inlineStr">
        <is>
          <t>Services</t>
        </is>
      </c>
      <c r="CP22" s="53" t="inlineStr">
        <is>
          <t>15 years, 10 months, 10 days</t>
        </is>
      </c>
      <c r="CQ22" s="53" t="inlineStr">
        <is>
          <t>Manager - Services</t>
        </is>
      </c>
      <c r="CR22" s="53" t="n"/>
      <c r="CS22" s="53" t="n">
        <v>4</v>
      </c>
      <c r="CT22" s="53" t="inlineStr">
        <is>
          <t>High</t>
        </is>
      </c>
      <c r="CU22" s="53" t="inlineStr">
        <is>
          <t>Emerging Talent</t>
        </is>
      </c>
      <c r="CV22" s="53" t="inlineStr">
        <is>
          <t>Yes</t>
        </is>
      </c>
      <c r="CW22" s="53" t="inlineStr">
        <is>
          <t>No</t>
        </is>
      </c>
      <c r="CX22" s="53" t="inlineStr">
        <is>
          <t>Yes</t>
        </is>
      </c>
      <c r="CY22" s="53" t="n"/>
      <c r="CZ22" s="53" t="n"/>
      <c r="DA22" s="53" t="n"/>
      <c r="DB22" s="53" t="inlineStr">
        <is>
          <t>Title to be standardized to: Manager - Services</t>
        </is>
      </c>
      <c r="DC22" s="53" t="n"/>
      <c r="DD22" s="53" t="n"/>
      <c r="DE22" s="53" t="n"/>
      <c r="DF22" s="53" t="n"/>
      <c r="DG22" s="53" t="n"/>
      <c r="DH22" s="53" t="n"/>
      <c r="DI22" s="53" t="n"/>
      <c r="DJ22" s="53" t="n"/>
      <c r="DK22" s="53" t="n"/>
      <c r="DL22" s="53" t="n"/>
      <c r="DM22" s="53" t="n"/>
      <c r="DN22" s="53" t="n"/>
      <c r="DO22" s="53" t="n"/>
      <c r="DP22" s="53" t="n"/>
      <c r="DQ22" s="53" t="n"/>
      <c r="DR22" s="53" t="n"/>
      <c r="DS22" s="53" t="n"/>
      <c r="DT22" s="53" t="n"/>
      <c r="DU22" s="53" t="n"/>
      <c r="DV22" s="53" t="n"/>
      <c r="DW22" s="53" t="n"/>
      <c r="DX22" s="53" t="n"/>
      <c r="DY22" s="53" t="n"/>
      <c r="DZ22" s="53" t="n"/>
      <c r="EA22" s="53" t="n"/>
      <c r="EB22" s="53" t="n"/>
      <c r="EC22" s="53" t="n"/>
      <c r="ED22" s="53" t="n"/>
      <c r="EE22" s="53" t="n"/>
      <c r="EF22" s="53" t="n"/>
      <c r="EG22" s="53" t="n"/>
      <c r="EH22" s="53" t="n"/>
      <c r="EI22" s="53" t="n"/>
      <c r="EJ22" s="53" t="n"/>
      <c r="EK22" s="53" t="n"/>
      <c r="EL22" s="53" t="n"/>
      <c r="EM22" s="53" t="n"/>
      <c r="EN22" s="53" t="n"/>
      <c r="EO22" s="53" t="n"/>
      <c r="EP22" s="53" t="n"/>
      <c r="EQ22" s="53" t="n"/>
      <c r="ER22" s="53" t="n"/>
      <c r="ES22" s="53" t="n"/>
      <c r="ET22" s="53" t="n"/>
      <c r="EU22" s="53" t="n"/>
      <c r="EV22" s="53" t="n"/>
      <c r="EW22" s="52" t="n"/>
      <c r="EX22" s="53" t="inlineStr">
        <is>
          <t>• Role / sub-team: XBRL Tagging - US SEC.</t>
        </is>
      </c>
      <c r="EY22" s="53"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EZ22" s="53" t="inlineStr">
        <is>
          <t>• Current capabilities: Flexibility Time managmnt; Tools / software used: Both.</t>
        </is>
      </c>
      <c r="FA22" s="53" t="inlineStr">
        <is>
          <t>• Development priorities: No input received.
• Learning and Development Need: Time management; Refresher Trainings.</t>
        </is>
      </c>
      <c r="FB22" s="53" t="inlineStr">
        <is>
          <t>• Key challenges: Technical issues; Info pending from clients; Faveo Communication.
• Support required: No input received.</t>
        </is>
      </c>
      <c r="FC22" s="53" t="n"/>
      <c r="FD22" s="53" t="n"/>
      <c r="FE22"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22" s="56" t="n"/>
      <c r="FG22" s="56" t="n"/>
      <c r="FH22" s="56" t="n"/>
      <c r="FI22" s="56" t="n"/>
      <c r="FJ22" s="56" t="inlineStr">
        <is>
          <t>Received · manager annual</t>
        </is>
      </c>
      <c r="FK22" s="56" t="inlineStr">
        <is>
          <t>CARBON Mapping Master</t>
        </is>
      </c>
      <c r="FL22" s="56" t="n">
        <v>20</v>
      </c>
      <c r="FM22" s="56" t="inlineStr">
        <is>
          <t>• Role / sub-team: XBRL Tagging - US SEC.</t>
        </is>
      </c>
      <c r="FN22" s="56"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FO22" s="56" t="inlineStr">
        <is>
          <t>• Current capabilities: Flexibility Time managmnt; Tools / software used: Both.</t>
        </is>
      </c>
      <c r="FP22" s="56" t="inlineStr">
        <is>
          <t>• Development priorities: No input received.
• Learning and Development Need: Time management; Refresher Trainings.</t>
        </is>
      </c>
      <c r="FQ22" s="56" t="inlineStr">
        <is>
          <t>• Key challenges: Technical issues; Info pending from clients; Faveo Communication.
• Support required: No input received.</t>
        </is>
      </c>
      <c r="FR22" s="56" t="inlineStr">
        <is>
          <t>Complexity: Evidence reads like B1: Runs US SEC XBRL delivery: quality, issue resolution, product/UAT testing, process improvement → matches the start
Autonomy: Evidence reads like B2: Allocates and rebalances team workload, sets task priorities, takes corrective action within established processes → moved up 0.5
Accountability: Evidence reads like B2: US SEC team's delivery, quality, timelines, escalations and process controls → matches the start
Leadership: Evidence reads like B2: Seven direct reports; allocates work, gives day-to-day guidance and training → matches the start
Business Impact: Moved +0.5: the survey / manager mapping marks it business-critical.</t>
        </is>
      </c>
      <c r="FS22"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22" s="56" t="inlineStr">
        <is>
          <t>Self-identified: AI / automation · Leadership &amp; people management · Data, SQL &amp; analytics · Domain, regulatory &amp; XBRL · Strategy &amp; business acumen · Broader exposure &amp; ownership
For the next role: AI / automation · Leadership &amp; people management · Data, SQL &amp; analytics · Domain, regulatory &amp; XBRL · Strategy &amp; business acumen · Broader exposure &amp; ownership</t>
        </is>
      </c>
      <c r="FU22" s="56" t="inlineStr">
        <is>
          <t>Per-person summary · CARBON Mapping Master</t>
        </is>
      </c>
    </row>
    <row r="23" ht="90" customHeight="1">
      <c r="A23" s="51" t="inlineStr">
        <is>
          <t>◂ Back</t>
        </is>
      </c>
      <c r="B23" s="29" t="inlineStr">
        <is>
          <t>Mapped</t>
        </is>
      </c>
      <c r="C23" s="28" t="inlineStr">
        <is>
          <t>CARBON</t>
        </is>
      </c>
      <c r="D23" s="29" t="inlineStr">
        <is>
          <t>IRIS2163</t>
        </is>
      </c>
      <c r="E23" s="29" t="inlineStr">
        <is>
          <t>Abhijit Bhagwan Patil</t>
        </is>
      </c>
      <c r="F23" s="29" t="inlineStr">
        <is>
          <t>Services</t>
        </is>
      </c>
      <c r="G23" s="29" t="inlineStr">
        <is>
          <t>Financial Analyst</t>
        </is>
      </c>
      <c r="H23" s="29" t="inlineStr">
        <is>
          <t>Senior Financial Analyst</t>
        </is>
      </c>
      <c r="I23" s="29" t="inlineStr">
        <is>
          <t>L3 – Professional / Associate</t>
        </is>
      </c>
      <c r="J23" s="29" t="inlineStr">
        <is>
          <t>A3</t>
        </is>
      </c>
      <c r="K23" s="29" t="inlineStr">
        <is>
          <t>▲ Up</t>
        </is>
      </c>
      <c r="L23" s="29" t="inlineStr">
        <is>
          <t>Consulting &amp; Professional Services</t>
        </is>
      </c>
      <c r="M23" s="29" t="inlineStr">
        <is>
          <t>XBRL Tagging, Conversion &amp; Filing</t>
        </is>
      </c>
      <c r="N23" s="29" t="inlineStr">
        <is>
          <t>• Confirm the reporting line — Manager</t>
        </is>
      </c>
      <c r="O23" s="29" t="n">
        <v>20</v>
      </c>
      <c r="P23" s="28" t="inlineStr">
        <is>
          <t>P2</t>
        </is>
      </c>
      <c r="Q23" s="29" t="inlineStr">
        <is>
          <t>Developing</t>
        </is>
      </c>
      <c r="R23" s="29" t="inlineStr">
        <is>
          <t>3 Apply</t>
        </is>
      </c>
      <c r="S23" s="29" t="inlineStr">
        <is>
          <t>2–4 yrs</t>
        </is>
      </c>
      <c r="T23" s="29" t="inlineStr">
        <is>
          <t>3–5 · 2–5</t>
        </is>
      </c>
      <c r="U23" s="29" t="inlineStr">
        <is>
          <t>Senior Analyst / Associate</t>
        </is>
      </c>
      <c r="V23" s="29" t="inlineStr">
        <is>
          <t>DataTracks: Senior Associate · 2–5 yrs · Big Four: Consultant · IRIS Vs Market Benchmark — XBRL US credential pathway: XBRL US GAAP Certificate</t>
        </is>
      </c>
      <c r="W23" s="29" t="inlineStr">
        <is>
          <t>XBRL US GAAP Certificate · AICPA &amp; XBRL US; XBRL International specifications; IFRS / US GAAP / Ind AS</t>
        </is>
      </c>
      <c r="X23" s="29" t="inlineStr">
        <is>
          <t>Core 2 · Future 2 · Functional 3 · Leadership not scored</t>
        </is>
      </c>
      <c r="Y23" s="52" t="n">
        <v>287</v>
      </c>
      <c r="Z23" s="53" t="inlineStr">
        <is>
          <t>IRIS2163</t>
        </is>
      </c>
      <c r="AA23" s="53" t="inlineStr">
        <is>
          <t>Employee</t>
        </is>
      </c>
      <c r="AB23" s="53" t="inlineStr">
        <is>
          <t>Active</t>
        </is>
      </c>
      <c r="AC23" s="53" t="inlineStr">
        <is>
          <t>Abhijit Bhagwan Patil</t>
        </is>
      </c>
      <c r="AD23" s="54" t="n">
        <v>45139</v>
      </c>
      <c r="AE23" s="53" t="inlineStr">
        <is>
          <t>Financial Analyst</t>
        </is>
      </c>
      <c r="AF23" s="53" t="inlineStr">
        <is>
          <t>BAF</t>
        </is>
      </c>
      <c r="AG23" s="53" t="inlineStr">
        <is>
          <t>Jinesh Kumar S</t>
        </is>
      </c>
      <c r="AH23" s="53" t="inlineStr">
        <is>
          <t>N-7</t>
        </is>
      </c>
      <c r="AI23" s="53" t="inlineStr">
        <is>
          <t>Individual Contributor</t>
        </is>
      </c>
      <c r="AJ23" s="53" t="inlineStr">
        <is>
          <t>0 years, 0 months, 0 days</t>
        </is>
      </c>
      <c r="AK23" s="53" t="inlineStr">
        <is>
          <t>3 years, 0 months, 24 days</t>
        </is>
      </c>
      <c r="AL23" s="53" t="inlineStr">
        <is>
          <t>Regtech</t>
        </is>
      </c>
      <c r="AM23" s="53" t="inlineStr">
        <is>
          <t>CARBON</t>
        </is>
      </c>
      <c r="AN23" s="53" t="inlineStr">
        <is>
          <t>Services</t>
        </is>
      </c>
      <c r="AO23" s="53" t="inlineStr">
        <is>
          <t>Expert Assisted services</t>
        </is>
      </c>
      <c r="AP23" s="53" t="inlineStr">
        <is>
          <t>No</t>
        </is>
      </c>
      <c r="AQ23" s="53" t="inlineStr">
        <is>
          <t>Professional Services</t>
        </is>
      </c>
      <c r="AR23" s="53" t="inlineStr">
        <is>
          <t>XBRL Domain</t>
        </is>
      </c>
      <c r="AS23" s="53" t="inlineStr">
        <is>
          <t>Non-technical</t>
        </is>
      </c>
      <c r="AT23" s="53" t="n">
        <v>20</v>
      </c>
      <c r="AU23" s="53" t="inlineStr">
        <is>
          <t>Covered</t>
        </is>
      </c>
      <c r="AV23" s="53" t="inlineStr">
        <is>
          <t>IRIS2163</t>
        </is>
      </c>
      <c r="AW23" s="53" t="inlineStr">
        <is>
          <t>Abhijit Bhagwan Patil</t>
        </is>
      </c>
      <c r="AX23" s="53" t="inlineStr">
        <is>
          <t>Services</t>
        </is>
      </c>
      <c r="AY23" s="53" t="inlineStr">
        <is>
          <t>Professional Services</t>
        </is>
      </c>
      <c r="AZ23" s="53" t="inlineStr">
        <is>
          <t>XBRL / Regulatory Reporting</t>
        </is>
      </c>
      <c r="BA23" s="53" t="n"/>
      <c r="BB23" s="53" t="n"/>
      <c r="BC23" s="53" t="inlineStr">
        <is>
          <t>Employee</t>
        </is>
      </c>
      <c r="BD23" s="53" t="inlineStr">
        <is>
          <t>Jinesh Kumar S</t>
        </is>
      </c>
      <c r="BE23" s="53" t="inlineStr">
        <is>
          <t>Jinesh Kumar S</t>
        </is>
      </c>
      <c r="BF23" s="53" t="inlineStr">
        <is>
          <t>No</t>
        </is>
      </c>
      <c r="BG23" s="53" t="inlineStr">
        <is>
          <t>Financial Analyst</t>
        </is>
      </c>
      <c r="BH23" s="53" t="inlineStr">
        <is>
          <t>Services Associate</t>
        </is>
      </c>
      <c r="BI23" s="53" t="inlineStr">
        <is>
          <t>Yes</t>
        </is>
      </c>
      <c r="BJ23" s="53" t="inlineStr">
        <is>
          <t>—</t>
        </is>
      </c>
      <c r="BK23" s="53" t="inlineStr">
        <is>
          <t>—</t>
        </is>
      </c>
      <c r="BL23" s="53" t="inlineStr">
        <is>
          <t>—</t>
        </is>
      </c>
      <c r="BM23" s="53" t="inlineStr">
        <is>
          <t>Not a manager</t>
        </is>
      </c>
      <c r="BN23" s="53" t="inlineStr">
        <is>
          <t>—</t>
        </is>
      </c>
      <c r="BO23" s="53" t="inlineStr">
        <is>
          <t>—</t>
        </is>
      </c>
      <c r="BP23" s="53" t="inlineStr">
        <is>
          <t>—</t>
        </is>
      </c>
      <c r="BQ23" s="53" t="inlineStr">
        <is>
          <t>Not a manager</t>
        </is>
      </c>
      <c r="BR23" s="53" t="inlineStr">
        <is>
          <t>—</t>
        </is>
      </c>
      <c r="BS23" s="53" t="inlineStr">
        <is>
          <t>L3 – Professional / Associate</t>
        </is>
      </c>
      <c r="BT23" s="53" t="inlineStr">
        <is>
          <t>L1</t>
        </is>
      </c>
      <c r="BU23" s="53" t="inlineStr">
        <is>
          <t>Matched from Title Hierarchy · new designation</t>
        </is>
      </c>
      <c r="BV2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3" s="53" t="n"/>
      <c r="BX23" s="53" t="inlineStr">
        <is>
          <t>USA - SEC.</t>
        </is>
      </c>
      <c r="BY23" s="53" t="n"/>
      <c r="BZ23" s="53" t="inlineStr">
        <is>
          <t>IRIS2163</t>
        </is>
      </c>
      <c r="CA23" s="53" t="inlineStr">
        <is>
          <t>Employee</t>
        </is>
      </c>
      <c r="CB23" s="53" t="inlineStr">
        <is>
          <t>Active</t>
        </is>
      </c>
      <c r="CC23" s="53" t="inlineStr">
        <is>
          <t>Abhijit Bhagwan Patil</t>
        </is>
      </c>
      <c r="CD23" s="54" t="n">
        <v>45139</v>
      </c>
      <c r="CE23" s="53" t="inlineStr">
        <is>
          <t>Financial Analyst</t>
        </is>
      </c>
      <c r="CF23" s="53" t="n"/>
      <c r="CG23" s="53" t="inlineStr">
        <is>
          <t>Professional Services</t>
        </is>
      </c>
      <c r="CH23" s="53" t="inlineStr">
        <is>
          <t>XBRL / Regulatory Reporting</t>
        </is>
      </c>
      <c r="CI23" s="53" t="inlineStr">
        <is>
          <t>Financial Analyst</t>
        </is>
      </c>
      <c r="CJ23" s="53" t="inlineStr">
        <is>
          <t>L3 – Professional / Associate</t>
        </is>
      </c>
      <c r="CK23" s="53" t="inlineStr">
        <is>
          <t>Jinesh Kumar S</t>
        </is>
      </c>
      <c r="CL23" s="53" t="inlineStr">
        <is>
          <t>N-7</t>
        </is>
      </c>
      <c r="CM23" s="53" t="inlineStr">
        <is>
          <t>Individual Contributor</t>
        </is>
      </c>
      <c r="CN23" s="53" t="inlineStr">
        <is>
          <t>Regtech</t>
        </is>
      </c>
      <c r="CO23" s="53" t="inlineStr">
        <is>
          <t>Services</t>
        </is>
      </c>
      <c r="CP23" s="53" t="inlineStr">
        <is>
          <t>2 years, 10 months, 19 days</t>
        </is>
      </c>
      <c r="CQ23" s="53" t="inlineStr">
        <is>
          <t>Services Associate</t>
        </is>
      </c>
      <c r="CR23" s="53" t="n"/>
      <c r="CS23" s="53" t="n">
        <v>4</v>
      </c>
      <c r="CT23" s="53" t="inlineStr">
        <is>
          <t>High</t>
        </is>
      </c>
      <c r="CU23" s="53" t="inlineStr">
        <is>
          <t>Core Contributor</t>
        </is>
      </c>
      <c r="CV23" s="53" t="inlineStr">
        <is>
          <t>Yes</t>
        </is>
      </c>
      <c r="CW23" s="53" t="inlineStr">
        <is>
          <t>No</t>
        </is>
      </c>
      <c r="CX23" s="53" t="inlineStr">
        <is>
          <t>Yes</t>
        </is>
      </c>
      <c r="CY23" s="53" t="n"/>
      <c r="CZ23" s="53" t="n"/>
      <c r="DA23" s="53" t="n"/>
      <c r="DB23" s="53" t="inlineStr">
        <is>
          <t>Title to be standardized to : Services Associate</t>
        </is>
      </c>
      <c r="DC23" s="53" t="n"/>
      <c r="DD23" s="53" t="n"/>
      <c r="DE23" s="53" t="n"/>
      <c r="DF23" s="53" t="n"/>
      <c r="DG23" s="53" t="n"/>
      <c r="DH23" s="53" t="n"/>
      <c r="DI23" s="53" t="n"/>
      <c r="DJ23" s="53" t="n"/>
      <c r="DK23" s="53" t="n"/>
      <c r="DL23" s="53" t="n"/>
      <c r="DM23" s="53" t="n"/>
      <c r="DN23" s="53" t="n"/>
      <c r="DO23" s="53" t="n"/>
      <c r="DP23" s="53" t="n"/>
      <c r="DQ23" s="53" t="n"/>
      <c r="DR23" s="53" t="n"/>
      <c r="DS23" s="53" t="n"/>
      <c r="DT23" s="53" t="n"/>
      <c r="DU23" s="53" t="n"/>
      <c r="DV23" s="53" t="n"/>
      <c r="DW23" s="53" t="n"/>
      <c r="DX23" s="53" t="n"/>
      <c r="DY23" s="53" t="n"/>
      <c r="DZ23" s="53" t="n"/>
      <c r="EA23" s="53" t="n"/>
      <c r="EB23" s="53" t="n"/>
      <c r="EC23" s="53" t="n"/>
      <c r="ED23" s="53" t="n"/>
      <c r="EE23" s="53" t="n"/>
      <c r="EF23" s="53" t="n"/>
      <c r="EG23" s="53" t="n"/>
      <c r="EH23" s="53" t="n"/>
      <c r="EI23" s="53" t="n"/>
      <c r="EJ23" s="53" t="n"/>
      <c r="EK23" s="53" t="n"/>
      <c r="EL23" s="53" t="n"/>
      <c r="EM23" s="53" t="n"/>
      <c r="EN23" s="53" t="n"/>
      <c r="EO23" s="53" t="n"/>
      <c r="EP23" s="53" t="n"/>
      <c r="EQ23" s="53" t="n"/>
      <c r="ER23" s="53" t="n"/>
      <c r="ES23" s="53" t="n"/>
      <c r="ET23" s="53" t="n"/>
      <c r="EU23" s="53" t="n"/>
      <c r="EV23" s="53" t="n"/>
      <c r="EW23" s="52" t="n"/>
      <c r="EX23" s="53" t="inlineStr">
        <is>
          <t>• Role / sub-team: XBRL Tagging and Quality check analyst in Us team.</t>
        </is>
      </c>
      <c r="EY23" s="53"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EZ23" s="53" t="inlineStr">
        <is>
          <t>• Current capabilities: Time management; Tools / software used: Both.</t>
        </is>
      </c>
      <c r="FA23" s="53" t="inlineStr">
        <is>
          <t>• Development priorities: No input received.
• Learning and Development Need: Imp points discuss over c.</t>
        </is>
      </c>
      <c r="FB23" s="53" t="inlineStr">
        <is>
          <t>• Key challenges: Remote desktop issue.
• Support required: No input received.</t>
        </is>
      </c>
      <c r="FC23" s="53" t="n"/>
      <c r="FD23" s="53" t="n"/>
      <c r="FE2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3" s="56" t="n"/>
      <c r="FG23" s="56" t="n"/>
      <c r="FH23" s="56" t="n"/>
      <c r="FI23" s="56" t="n"/>
      <c r="FJ23" s="56" t="inlineStr">
        <is>
          <t>Received · manager annual</t>
        </is>
      </c>
      <c r="FK23" s="56" t="inlineStr">
        <is>
          <t>CARBON Mapping Master</t>
        </is>
      </c>
      <c r="FL23" s="56" t="n">
        <v>20</v>
      </c>
      <c r="FM23" s="56" t="inlineStr">
        <is>
          <t>• Role / sub-team: XBRL Tagging and Quality check analyst in Us team.</t>
        </is>
      </c>
      <c r="FN23" s="56"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FO23" s="56" t="inlineStr">
        <is>
          <t>• Current capabilities: Time management; Tools / software used: Both.</t>
        </is>
      </c>
      <c r="FP23" s="56" t="inlineStr">
        <is>
          <t>• Development priorities: No input received.
• Learning and Development Need: Imp points discuss over c.</t>
        </is>
      </c>
      <c r="FQ23" s="56" t="inlineStr">
        <is>
          <t>• Key challenges: Remote desktop issue.
• Support required: No input received.</t>
        </is>
      </c>
      <c r="FR23" s="56" t="inlineStr">
        <is>
          <t>Complexity: Evidence reads like A3: US mandate tagging, QC, validation and filings; roll-forward, client comments, routine issue resolution → moved up 0.5
Autonomy: Evidence reads like B1: Allocates tasks by workload and resolves routine issues; escalates critical ones to leads → moved up 1
Accountability: Evidence reads like A3: Quality and timeliness of own tagging, QC and filings; supports team delivery → moved up 0.5
Leadership: Evidence reads like A3: Gives daily guidance and QC review to team members; leads sit above → moved up 1
Business Impact: Moved +0.5: the survey / manager mapping marks it business-critical.</t>
        </is>
      </c>
      <c r="FS2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3" s="56" t="inlineStr">
        <is>
          <t>Self-identified: AI / automation · Leadership &amp; people management · Client, sales &amp; stakeholders
For the next role: AI / automation · Leadership &amp; people management · Client, sales &amp; stakeholders · Broader exposure &amp; ownership</t>
        </is>
      </c>
      <c r="FU23" s="56" t="inlineStr">
        <is>
          <t>Per-person summary · CARBON Mapping Master</t>
        </is>
      </c>
    </row>
    <row r="24" ht="90" customHeight="1">
      <c r="A24" s="51" t="inlineStr">
        <is>
          <t>◂ Back</t>
        </is>
      </c>
      <c r="B24" s="29" t="inlineStr">
        <is>
          <t>Mapped</t>
        </is>
      </c>
      <c r="C24" s="28" t="inlineStr">
        <is>
          <t>CARBON</t>
        </is>
      </c>
      <c r="D24" s="29" t="inlineStr">
        <is>
          <t>IRIS0135</t>
        </is>
      </c>
      <c r="E24" s="29" t="inlineStr">
        <is>
          <t>Ashok Yadav</t>
        </is>
      </c>
      <c r="F24" s="29" t="inlineStr">
        <is>
          <t>Services</t>
        </is>
      </c>
      <c r="G24" s="29" t="inlineStr">
        <is>
          <t>Senior Financial Analyst</t>
        </is>
      </c>
      <c r="H24" s="29" t="inlineStr">
        <is>
          <t>Senior Financial Analyst</t>
        </is>
      </c>
      <c r="I24" s="29" t="inlineStr">
        <is>
          <t>L4 – Senior</t>
        </is>
      </c>
      <c r="J24" s="29" t="inlineStr">
        <is>
          <t>A3</t>
        </is>
      </c>
      <c r="K24" s="29" t="inlineStr">
        <is>
          <t>• Same level</t>
        </is>
      </c>
      <c r="L24" s="29" t="inlineStr">
        <is>
          <t>Consulting &amp; Professional Services</t>
        </is>
      </c>
      <c r="M24" s="29" t="inlineStr">
        <is>
          <t>XBRL Tagging, Conversion &amp; Filing</t>
        </is>
      </c>
      <c r="N24" s="29" t="n"/>
      <c r="O24" s="29" t="n">
        <v>19</v>
      </c>
      <c r="P24" s="28" t="inlineStr">
        <is>
          <t>P2</t>
        </is>
      </c>
      <c r="Q24" s="29" t="inlineStr">
        <is>
          <t>Developing</t>
        </is>
      </c>
      <c r="R24" s="29" t="inlineStr">
        <is>
          <t>3 Apply</t>
        </is>
      </c>
      <c r="S24" s="29" t="inlineStr">
        <is>
          <t>2–4 yrs</t>
        </is>
      </c>
      <c r="T24" s="29" t="inlineStr">
        <is>
          <t>3–5 · 2–5</t>
        </is>
      </c>
      <c r="U24" s="29" t="inlineStr">
        <is>
          <t>Senior Analyst / Associate</t>
        </is>
      </c>
      <c r="V24" s="29" t="inlineStr">
        <is>
          <t>DataTracks: Senior Associate · 2–5 yrs · Big Four: Consultant · IRIS Vs Market Benchmark — XBRL US credential pathway: XBRL US GAAP Certificate</t>
        </is>
      </c>
      <c r="W24" s="29" t="inlineStr">
        <is>
          <t>XBRL US GAAP Certificate · AICPA &amp; XBRL US; XBRL International specifications; IFRS / US GAAP / Ind AS</t>
        </is>
      </c>
      <c r="X24" s="29" t="inlineStr">
        <is>
          <t>Core 2 · Future 2 · Functional 3 · Leadership not scored</t>
        </is>
      </c>
      <c r="Y24" s="52" t="n">
        <v>30</v>
      </c>
      <c r="Z24" s="53" t="inlineStr">
        <is>
          <t>IRIS0135</t>
        </is>
      </c>
      <c r="AA24" s="53" t="inlineStr">
        <is>
          <t>Employee</t>
        </is>
      </c>
      <c r="AB24" s="53" t="inlineStr">
        <is>
          <t>Active</t>
        </is>
      </c>
      <c r="AC24" s="53" t="inlineStr">
        <is>
          <t>Ashok Yadav</t>
        </is>
      </c>
      <c r="AD24" s="54" t="n">
        <v>39391</v>
      </c>
      <c r="AE24" s="53" t="inlineStr">
        <is>
          <t>Senior Financial Analyst</t>
        </is>
      </c>
      <c r="AF24" s="53" t="inlineStr">
        <is>
          <t>B.Com</t>
        </is>
      </c>
      <c r="AG24" s="53" t="inlineStr">
        <is>
          <t>Jinesh Kumar S</t>
        </is>
      </c>
      <c r="AH24" s="53" t="inlineStr">
        <is>
          <t>N-7</t>
        </is>
      </c>
      <c r="AI24" s="53" t="inlineStr">
        <is>
          <t>Individual Contributor</t>
        </is>
      </c>
      <c r="AJ24" s="53" t="inlineStr">
        <is>
          <t>0 years, 0 months, 0 days</t>
        </is>
      </c>
      <c r="AK24" s="53" t="inlineStr">
        <is>
          <t>18 years, 9 months, 20 days</t>
        </is>
      </c>
      <c r="AL24" s="53" t="inlineStr">
        <is>
          <t>Regtech</t>
        </is>
      </c>
      <c r="AM24" s="53" t="inlineStr">
        <is>
          <t>CARBON</t>
        </is>
      </c>
      <c r="AN24" s="53" t="inlineStr">
        <is>
          <t>Services</t>
        </is>
      </c>
      <c r="AO24" s="53" t="inlineStr">
        <is>
          <t>Expert Assisted services</t>
        </is>
      </c>
      <c r="AP24" s="53" t="inlineStr">
        <is>
          <t>No</t>
        </is>
      </c>
      <c r="AQ24" s="53" t="inlineStr">
        <is>
          <t>Professional Services</t>
        </is>
      </c>
      <c r="AR24" s="53" t="inlineStr">
        <is>
          <t>XBRL Domain</t>
        </is>
      </c>
      <c r="AS24" s="53" t="inlineStr">
        <is>
          <t>Non-technical</t>
        </is>
      </c>
      <c r="AT24" s="53" t="n">
        <v>20</v>
      </c>
      <c r="AU24" s="53" t="inlineStr">
        <is>
          <t>Covered</t>
        </is>
      </c>
      <c r="AV24" s="53" t="inlineStr">
        <is>
          <t>IRIS0135</t>
        </is>
      </c>
      <c r="AW24" s="53" t="inlineStr">
        <is>
          <t>Ashok Yadav</t>
        </is>
      </c>
      <c r="AX24" s="53" t="inlineStr">
        <is>
          <t>Services</t>
        </is>
      </c>
      <c r="AY24" s="53" t="inlineStr">
        <is>
          <t>Professional Services</t>
        </is>
      </c>
      <c r="AZ24" s="53" t="inlineStr">
        <is>
          <t>XBRL / Regulatory Reporting</t>
        </is>
      </c>
      <c r="BA24" s="53" t="n"/>
      <c r="BB24" s="53" t="n"/>
      <c r="BC24" s="53" t="inlineStr">
        <is>
          <t>Employee</t>
        </is>
      </c>
      <c r="BD24" s="53" t="inlineStr">
        <is>
          <t>Jinesh Kumar S</t>
        </is>
      </c>
      <c r="BE24" s="53" t="inlineStr">
        <is>
          <t>Jinesh Kumar S</t>
        </is>
      </c>
      <c r="BF24" s="53" t="inlineStr">
        <is>
          <t>No</t>
        </is>
      </c>
      <c r="BG24" s="53" t="inlineStr">
        <is>
          <t>Senior Financial Analyst</t>
        </is>
      </c>
      <c r="BH24" s="53" t="inlineStr">
        <is>
          <t>Senior Services Specialist</t>
        </is>
      </c>
      <c r="BI24" s="53" t="inlineStr">
        <is>
          <t>Yes</t>
        </is>
      </c>
      <c r="BJ24" s="53" t="inlineStr">
        <is>
          <t>—</t>
        </is>
      </c>
      <c r="BK24" s="53" t="inlineStr">
        <is>
          <t>—</t>
        </is>
      </c>
      <c r="BL24" s="53" t="inlineStr">
        <is>
          <t>—</t>
        </is>
      </c>
      <c r="BM24" s="53" t="inlineStr">
        <is>
          <t>Not a manager</t>
        </is>
      </c>
      <c r="BN24" s="53" t="inlineStr">
        <is>
          <t>—</t>
        </is>
      </c>
      <c r="BO24" s="53" t="inlineStr">
        <is>
          <t>—</t>
        </is>
      </c>
      <c r="BP24" s="53" t="inlineStr">
        <is>
          <t>—</t>
        </is>
      </c>
      <c r="BQ24" s="53" t="inlineStr">
        <is>
          <t>Not a manager</t>
        </is>
      </c>
      <c r="BR24" s="53" t="inlineStr">
        <is>
          <t>—</t>
        </is>
      </c>
      <c r="BS24" s="53" t="inlineStr">
        <is>
          <t>L4 – Senior</t>
        </is>
      </c>
      <c r="BT24" s="53" t="inlineStr">
        <is>
          <t>L4 – Senior</t>
        </is>
      </c>
      <c r="BU24" s="53" t="inlineStr">
        <is>
          <t>Designation refined from Raw tab Comments column · this update</t>
        </is>
      </c>
      <c r="BV2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4" s="53" t="n"/>
      <c r="BX24" s="53" t="inlineStr">
        <is>
          <t>USA - SEC.</t>
        </is>
      </c>
      <c r="BY24" s="53" t="n"/>
      <c r="BZ24" s="53" t="inlineStr">
        <is>
          <t>IRIS0135</t>
        </is>
      </c>
      <c r="CA24" s="53" t="inlineStr">
        <is>
          <t>Employee</t>
        </is>
      </c>
      <c r="CB24" s="53" t="inlineStr">
        <is>
          <t>Active</t>
        </is>
      </c>
      <c r="CC24" s="53" t="inlineStr">
        <is>
          <t>Ashok Yadav</t>
        </is>
      </c>
      <c r="CD24" s="54" t="n">
        <v>39391</v>
      </c>
      <c r="CE24" s="53" t="inlineStr">
        <is>
          <t>Senior Financial Analyst</t>
        </is>
      </c>
      <c r="CF24" s="53" t="n"/>
      <c r="CG24" s="53" t="inlineStr">
        <is>
          <t>Professional Services</t>
        </is>
      </c>
      <c r="CH24" s="53" t="inlineStr">
        <is>
          <t>XBRL / Regulatory Reporting</t>
        </is>
      </c>
      <c r="CI24" s="53" t="inlineStr">
        <is>
          <t>Senior Financial Analyst</t>
        </is>
      </c>
      <c r="CJ24" s="53" t="inlineStr">
        <is>
          <t>L4 – Senior</t>
        </is>
      </c>
      <c r="CK24" s="53" t="inlineStr">
        <is>
          <t>Jinesh Kumar S</t>
        </is>
      </c>
      <c r="CL24" s="53" t="inlineStr">
        <is>
          <t>N-7</t>
        </is>
      </c>
      <c r="CM24" s="53" t="inlineStr">
        <is>
          <t>Individual Contributor</t>
        </is>
      </c>
      <c r="CN24" s="53" t="inlineStr">
        <is>
          <t>Regtech</t>
        </is>
      </c>
      <c r="CO24" s="53" t="inlineStr">
        <is>
          <t>Services</t>
        </is>
      </c>
      <c r="CP24" s="53" t="inlineStr">
        <is>
          <t>18 years, 7 months, 15 days</t>
        </is>
      </c>
      <c r="CQ24" s="53" t="inlineStr">
        <is>
          <t>Senior Services Specialst</t>
        </is>
      </c>
      <c r="CR24" s="53" t="n"/>
      <c r="CS24" s="53" t="n">
        <v>3</v>
      </c>
      <c r="CT24" s="53" t="inlineStr">
        <is>
          <t>Medium</t>
        </is>
      </c>
      <c r="CU24" s="53" t="inlineStr">
        <is>
          <t>Core Contributor</t>
        </is>
      </c>
      <c r="CV24" s="53" t="inlineStr">
        <is>
          <t>No</t>
        </is>
      </c>
      <c r="CW24" s="53" t="inlineStr">
        <is>
          <t>No</t>
        </is>
      </c>
      <c r="CX24" s="53" t="inlineStr">
        <is>
          <t>Yes</t>
        </is>
      </c>
      <c r="CY24" s="53" t="n"/>
      <c r="CZ24" s="53" t="n"/>
      <c r="DA24" s="53" t="n"/>
      <c r="DB24" s="53" t="inlineStr">
        <is>
          <t>Title to be standardized to: Senior Services Specialist</t>
        </is>
      </c>
      <c r="DC24" s="53" t="n"/>
      <c r="DD24" s="53" t="n"/>
      <c r="DE24" s="53" t="n"/>
      <c r="DF24" s="53" t="n"/>
      <c r="DG24" s="53" t="n"/>
      <c r="DH24" s="53" t="n"/>
      <c r="DI24" s="53" t="n"/>
      <c r="DJ24" s="53" t="n"/>
      <c r="DK24" s="53" t="n"/>
      <c r="DL24" s="53" t="n"/>
      <c r="DM24" s="53" t="n"/>
      <c r="DN24" s="53" t="n"/>
      <c r="DO24" s="53" t="n"/>
      <c r="DP24" s="53" t="n"/>
      <c r="DQ24" s="53" t="n"/>
      <c r="DR24" s="53" t="n"/>
      <c r="DS24" s="53" t="n"/>
      <c r="DT24" s="53" t="n"/>
      <c r="DU24" s="53" t="n"/>
      <c r="DV24" s="53" t="n"/>
      <c r="DW24" s="53" t="n"/>
      <c r="DX24" s="53" t="n"/>
      <c r="DY24" s="53" t="n"/>
      <c r="DZ24" s="53" t="n"/>
      <c r="EA24" s="53" t="n"/>
      <c r="EB24" s="53" t="n"/>
      <c r="EC24" s="53" t="n"/>
      <c r="ED24" s="53" t="n"/>
      <c r="EE24" s="53" t="n"/>
      <c r="EF24" s="53" t="n"/>
      <c r="EG24" s="53" t="n"/>
      <c r="EH24" s="53" t="n"/>
      <c r="EI24" s="53" t="n"/>
      <c r="EJ24" s="53" t="n"/>
      <c r="EK24" s="53" t="n"/>
      <c r="EL24" s="53" t="n"/>
      <c r="EM24" s="53" t="n"/>
      <c r="EN24" s="53" t="n"/>
      <c r="EO24" s="53" t="n"/>
      <c r="EP24" s="53" t="n"/>
      <c r="EQ24" s="53" t="n"/>
      <c r="ER24" s="53" t="n"/>
      <c r="ES24" s="53" t="n"/>
      <c r="ET24" s="53" t="n"/>
      <c r="EU24" s="53" t="n"/>
      <c r="EV24" s="53" t="n"/>
      <c r="EW24" s="52" t="n"/>
      <c r="EX24" s="53" t="inlineStr">
        <is>
          <t>• Role / sub-team: XBRL Tagging and QC in US Service Team.</t>
        </is>
      </c>
      <c r="EY24" s="53"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EZ24" s="53" t="inlineStr">
        <is>
          <t>• Current capabilities: Good relation with team M; Tools / software used: Both.</t>
        </is>
      </c>
      <c r="FA24" s="53" t="inlineStr">
        <is>
          <t>• Development priorities: No input received.
• Learning and Development Need: Shift management.</t>
        </is>
      </c>
      <c r="FB24" s="53" t="inlineStr">
        <is>
          <t>• Key challenges: System issue.
• Support required: No input received.</t>
        </is>
      </c>
      <c r="FC24" s="53" t="n"/>
      <c r="FD24" s="53" t="n"/>
      <c r="FE2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4" s="56" t="n"/>
      <c r="FG24" s="56" t="n"/>
      <c r="FH24" s="56" t="n"/>
      <c r="FI24" s="56" t="n"/>
      <c r="FJ24" s="56" t="inlineStr">
        <is>
          <t>Received · manager annual</t>
        </is>
      </c>
      <c r="FK24" s="56" t="inlineStr">
        <is>
          <t>CARBON Mapping Master</t>
        </is>
      </c>
      <c r="FL24" s="56" t="n">
        <v>19</v>
      </c>
      <c r="FM24" s="56" t="inlineStr">
        <is>
          <t>• Role / sub-team: XBRL Tagging and QC in US Service Team.</t>
        </is>
      </c>
      <c r="FN24" s="56"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FO24" s="56" t="inlineStr">
        <is>
          <t>• Current capabilities: Good relation with team M; Tools / software used: Both.</t>
        </is>
      </c>
      <c r="FP24" s="56" t="inlineStr">
        <is>
          <t>• Development priorities: No input received.
• Learning and Development Need: Shift management.</t>
        </is>
      </c>
      <c r="FQ24" s="56" t="inlineStr">
        <is>
          <t>• Key challenges: System issue.
• Support required: No input received.</t>
        </is>
      </c>
      <c r="FR24" s="56" t="inlineStr">
        <is>
          <t>Complexity: Evidence reads like A3: Prepares, tags and QCs documents and files different US SEC form types → matches the start
Autonomy: Evidence reads like A2: No decisions stated; follows US mandate process, work reallocated via shift lead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FS2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4" s="56" t="inlineStr">
        <is>
          <t>Self-identified: Testing &amp; quality · Domain, regulatory &amp; XBRL · Broader exposure &amp; ownership
For the next role: Testing &amp; quality · Domain, regulatory &amp; XBRL · Broader exposure &amp; ownership</t>
        </is>
      </c>
      <c r="FU24" s="56" t="inlineStr">
        <is>
          <t>Per-person summary · CARBON Mapping Master</t>
        </is>
      </c>
    </row>
    <row r="25" ht="90" customHeight="1">
      <c r="A25" s="51" t="inlineStr">
        <is>
          <t>◂ Back</t>
        </is>
      </c>
      <c r="B25" s="29" t="inlineStr">
        <is>
          <t>Mapped</t>
        </is>
      </c>
      <c r="C25" s="28" t="inlineStr">
        <is>
          <t>CARBON</t>
        </is>
      </c>
      <c r="D25" s="29" t="inlineStr">
        <is>
          <t>IRIS0830</t>
        </is>
      </c>
      <c r="E25" s="29" t="inlineStr">
        <is>
          <t>Bhavik Raparka</t>
        </is>
      </c>
      <c r="F25" s="29" t="inlineStr">
        <is>
          <t>Services</t>
        </is>
      </c>
      <c r="G25" s="29" t="inlineStr">
        <is>
          <t>Senior Financial Analyst</t>
        </is>
      </c>
      <c r="H25" s="29" t="inlineStr">
        <is>
          <t>Senior Financial Analyst</t>
        </is>
      </c>
      <c r="I25" s="29" t="inlineStr">
        <is>
          <t>L4 – Senior</t>
        </is>
      </c>
      <c r="J25" s="29" t="inlineStr">
        <is>
          <t>A3</t>
        </is>
      </c>
      <c r="K25" s="29" t="inlineStr">
        <is>
          <t>• Same level</t>
        </is>
      </c>
      <c r="L25" s="29" t="inlineStr">
        <is>
          <t>Consulting &amp; Professional Services</t>
        </is>
      </c>
      <c r="M25" s="29" t="inlineStr">
        <is>
          <t>XBRL Tagging, Conversion &amp; Filing</t>
        </is>
      </c>
      <c r="N25" s="29" t="n"/>
      <c r="O25" s="29" t="n">
        <v>20</v>
      </c>
      <c r="P25" s="28" t="inlineStr">
        <is>
          <t>P2</t>
        </is>
      </c>
      <c r="Q25" s="29" t="inlineStr">
        <is>
          <t>Developing</t>
        </is>
      </c>
      <c r="R25" s="29" t="inlineStr">
        <is>
          <t>3 Apply</t>
        </is>
      </c>
      <c r="S25" s="29" t="inlineStr">
        <is>
          <t>2–4 yrs</t>
        </is>
      </c>
      <c r="T25" s="29" t="inlineStr">
        <is>
          <t>3–5 · 2–5</t>
        </is>
      </c>
      <c r="U25" s="29" t="inlineStr">
        <is>
          <t>Senior Analyst / Associate</t>
        </is>
      </c>
      <c r="V25" s="29" t="inlineStr">
        <is>
          <t>DataTracks: Senior Associate · 2–5 yrs · Big Four: Consultant · IRIS Vs Market Benchmark — XBRL US credential pathway: XBRL US GAAP Certificate</t>
        </is>
      </c>
      <c r="W25" s="29" t="inlineStr">
        <is>
          <t>XBRL US GAAP Certificate · AICPA &amp; XBRL US; XBRL International specifications; IFRS / US GAAP / Ind AS</t>
        </is>
      </c>
      <c r="X25" s="29" t="inlineStr">
        <is>
          <t>Core 2 · Future 2 · Functional 3 · Leadership not scored</t>
        </is>
      </c>
      <c r="Y25" s="52" t="n">
        <v>95</v>
      </c>
      <c r="Z25" s="53" t="inlineStr">
        <is>
          <t>IRIS0830</t>
        </is>
      </c>
      <c r="AA25" s="53" t="inlineStr">
        <is>
          <t>Employee</t>
        </is>
      </c>
      <c r="AB25" s="53" t="inlineStr">
        <is>
          <t>Active</t>
        </is>
      </c>
      <c r="AC25" s="53" t="inlineStr">
        <is>
          <t>Bhavik Raparka</t>
        </is>
      </c>
      <c r="AD25" s="54" t="n">
        <v>40777</v>
      </c>
      <c r="AE25" s="53" t="inlineStr">
        <is>
          <t>Senior Financial Analyst</t>
        </is>
      </c>
      <c r="AF25" s="53" t="inlineStr">
        <is>
          <t>B.Com</t>
        </is>
      </c>
      <c r="AG25" s="53" t="inlineStr">
        <is>
          <t>Jinesh Kumar S</t>
        </is>
      </c>
      <c r="AH25" s="53" t="inlineStr">
        <is>
          <t>N-7</t>
        </is>
      </c>
      <c r="AI25" s="53" t="inlineStr">
        <is>
          <t>Individual Contributor</t>
        </is>
      </c>
      <c r="AJ25" s="53" t="inlineStr">
        <is>
          <t>0 years, 0 months, 0 days</t>
        </is>
      </c>
      <c r="AK25" s="53" t="inlineStr">
        <is>
          <t>15 years, 0 months, 3 days</t>
        </is>
      </c>
      <c r="AL25" s="53" t="inlineStr">
        <is>
          <t>Regtech</t>
        </is>
      </c>
      <c r="AM25" s="53" t="inlineStr">
        <is>
          <t>CARBON</t>
        </is>
      </c>
      <c r="AN25" s="53" t="inlineStr">
        <is>
          <t>Services</t>
        </is>
      </c>
      <c r="AO25" s="53" t="inlineStr">
        <is>
          <t>Expert Assisted services</t>
        </is>
      </c>
      <c r="AP25" s="53" t="inlineStr">
        <is>
          <t>No</t>
        </is>
      </c>
      <c r="AQ25" s="53" t="inlineStr">
        <is>
          <t>Professional Services</t>
        </is>
      </c>
      <c r="AR25" s="53" t="inlineStr">
        <is>
          <t>XBRL Domain</t>
        </is>
      </c>
      <c r="AS25" s="53" t="inlineStr">
        <is>
          <t>Non-technical</t>
        </is>
      </c>
      <c r="AT25" s="53" t="n">
        <v>20</v>
      </c>
      <c r="AU25" s="53" t="inlineStr">
        <is>
          <t>Covered</t>
        </is>
      </c>
      <c r="AV25" s="53" t="inlineStr">
        <is>
          <t>IRIS0830</t>
        </is>
      </c>
      <c r="AW25" s="53" t="inlineStr">
        <is>
          <t>Bhavik Raparka</t>
        </is>
      </c>
      <c r="AX25" s="53" t="inlineStr">
        <is>
          <t>Services</t>
        </is>
      </c>
      <c r="AY25" s="53" t="inlineStr">
        <is>
          <t>Professional Services</t>
        </is>
      </c>
      <c r="AZ25" s="53" t="inlineStr">
        <is>
          <t>XBRL / Regulatory Reporting</t>
        </is>
      </c>
      <c r="BA25" s="53" t="n"/>
      <c r="BB25" s="53" t="n"/>
      <c r="BC25" s="53" t="inlineStr">
        <is>
          <t>Employee</t>
        </is>
      </c>
      <c r="BD25" s="53" t="inlineStr">
        <is>
          <t>Jinesh Kumar S</t>
        </is>
      </c>
      <c r="BE25" s="53" t="inlineStr">
        <is>
          <t>Jinesh Kumar S</t>
        </is>
      </c>
      <c r="BF25" s="53" t="inlineStr">
        <is>
          <t>No</t>
        </is>
      </c>
      <c r="BG25" s="53" t="inlineStr">
        <is>
          <t>Senior Financial Analyst</t>
        </is>
      </c>
      <c r="BH25" s="53" t="inlineStr">
        <is>
          <t>Senior Services Specialist</t>
        </is>
      </c>
      <c r="BI25" s="53" t="inlineStr">
        <is>
          <t>Yes</t>
        </is>
      </c>
      <c r="BJ25" s="53" t="inlineStr">
        <is>
          <t>—</t>
        </is>
      </c>
      <c r="BK25" s="53" t="inlineStr">
        <is>
          <t>—</t>
        </is>
      </c>
      <c r="BL25" s="53" t="inlineStr">
        <is>
          <t>—</t>
        </is>
      </c>
      <c r="BM25" s="53" t="inlineStr">
        <is>
          <t>Not a manager</t>
        </is>
      </c>
      <c r="BN25" s="53" t="inlineStr">
        <is>
          <t>—</t>
        </is>
      </c>
      <c r="BO25" s="53" t="inlineStr">
        <is>
          <t>—</t>
        </is>
      </c>
      <c r="BP25" s="53" t="inlineStr">
        <is>
          <t>—</t>
        </is>
      </c>
      <c r="BQ25" s="53" t="inlineStr">
        <is>
          <t>Not a manager</t>
        </is>
      </c>
      <c r="BR25" s="53" t="inlineStr">
        <is>
          <t>—</t>
        </is>
      </c>
      <c r="BS25" s="53" t="inlineStr">
        <is>
          <t>L4 – Senior</t>
        </is>
      </c>
      <c r="BT25" s="53" t="inlineStr">
        <is>
          <t>L4 – Senior</t>
        </is>
      </c>
      <c r="BU25" s="53" t="inlineStr">
        <is>
          <t>Designation refined from Raw tab Comments column · this update</t>
        </is>
      </c>
      <c r="BV2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5" s="53" t="n"/>
      <c r="BX25" s="53" t="inlineStr">
        <is>
          <t>South Africa - CIPC; Nigeria - CBN; USA - SEC.</t>
        </is>
      </c>
      <c r="BY25" s="53" t="n"/>
      <c r="BZ25" s="53" t="inlineStr">
        <is>
          <t>IRIS0830</t>
        </is>
      </c>
      <c r="CA25" s="53" t="inlineStr">
        <is>
          <t>Employee</t>
        </is>
      </c>
      <c r="CB25" s="53" t="inlineStr">
        <is>
          <t>Active</t>
        </is>
      </c>
      <c r="CC25" s="53" t="inlineStr">
        <is>
          <t>Bhavik Raparka</t>
        </is>
      </c>
      <c r="CD25" s="54" t="n">
        <v>40777</v>
      </c>
      <c r="CE25" s="53" t="inlineStr">
        <is>
          <t>Senior Financial Analyst</t>
        </is>
      </c>
      <c r="CF25" s="53" t="n"/>
      <c r="CG25" s="53" t="inlineStr">
        <is>
          <t>Professional Services</t>
        </is>
      </c>
      <c r="CH25" s="53" t="inlineStr">
        <is>
          <t>XBRL / Regulatory Reporting</t>
        </is>
      </c>
      <c r="CI25" s="53" t="inlineStr">
        <is>
          <t>Senior Financial Analyst</t>
        </is>
      </c>
      <c r="CJ25" s="53" t="inlineStr">
        <is>
          <t>L4 – Senior</t>
        </is>
      </c>
      <c r="CK25" s="53" t="inlineStr">
        <is>
          <t>Jinesh Kumar S</t>
        </is>
      </c>
      <c r="CL25" s="53" t="inlineStr">
        <is>
          <t>N-7</t>
        </is>
      </c>
      <c r="CM25" s="53" t="inlineStr">
        <is>
          <t>Individual Contributor</t>
        </is>
      </c>
      <c r="CN25" s="53" t="inlineStr">
        <is>
          <t>Regtech</t>
        </is>
      </c>
      <c r="CO25" s="53" t="inlineStr">
        <is>
          <t>Services</t>
        </is>
      </c>
      <c r="CP25" s="53" t="inlineStr">
        <is>
          <t>14 years, 9 months, 29 days</t>
        </is>
      </c>
      <c r="CQ25" s="53" t="inlineStr">
        <is>
          <t>Senior Services Specialst</t>
        </is>
      </c>
      <c r="CR25" s="53" t="n"/>
      <c r="CS25" s="53" t="n">
        <v>3</v>
      </c>
      <c r="CT25" s="53" t="inlineStr">
        <is>
          <t>Medium</t>
        </is>
      </c>
      <c r="CU25" s="53" t="inlineStr">
        <is>
          <t>Core Contributor</t>
        </is>
      </c>
      <c r="CV25" s="53" t="inlineStr">
        <is>
          <t>No</t>
        </is>
      </c>
      <c r="CW25" s="53" t="inlineStr">
        <is>
          <t>No</t>
        </is>
      </c>
      <c r="CX25" s="53" t="inlineStr">
        <is>
          <t>Yes</t>
        </is>
      </c>
      <c r="CY25" s="53" t="n"/>
      <c r="CZ25" s="53" t="n"/>
      <c r="DA25" s="53" t="n"/>
      <c r="DB25" s="53" t="inlineStr">
        <is>
          <t>Title to be standardized to: Senior Services Specialist</t>
        </is>
      </c>
      <c r="DC25" s="53" t="n"/>
      <c r="DD25" s="53" t="n"/>
      <c r="DE25" s="53" t="n"/>
      <c r="DF25" s="53" t="n"/>
      <c r="DG25" s="53" t="n"/>
      <c r="DH25" s="53" t="n"/>
      <c r="DI25" s="53" t="n"/>
      <c r="DJ25" s="53" t="n"/>
      <c r="DK25" s="53" t="n"/>
      <c r="DL25" s="53" t="n"/>
      <c r="DM25" s="53" t="n"/>
      <c r="DN25" s="53" t="n"/>
      <c r="DO25" s="53" t="n"/>
      <c r="DP25" s="53" t="n"/>
      <c r="DQ25" s="53" t="n"/>
      <c r="DR25" s="53" t="n"/>
      <c r="DS25" s="53" t="n"/>
      <c r="DT25" s="53" t="n"/>
      <c r="DU25" s="53" t="n"/>
      <c r="DV25" s="53" t="n"/>
      <c r="DW25" s="53" t="n"/>
      <c r="DX25" s="53" t="n"/>
      <c r="DY25" s="53" t="n"/>
      <c r="DZ25" s="53" t="n"/>
      <c r="EA25" s="53" t="n"/>
      <c r="EB25" s="53" t="n"/>
      <c r="EC25" s="53" t="n"/>
      <c r="ED25" s="53" t="n"/>
      <c r="EE25" s="53" t="n"/>
      <c r="EF25" s="53" t="n"/>
      <c r="EG25" s="53" t="n"/>
      <c r="EH25" s="53" t="n"/>
      <c r="EI25" s="53" t="n"/>
      <c r="EJ25" s="53" t="n"/>
      <c r="EK25" s="53" t="n"/>
      <c r="EL25" s="53" t="n"/>
      <c r="EM25" s="53" t="n"/>
      <c r="EN25" s="53" t="n"/>
      <c r="EO25" s="53" t="n"/>
      <c r="EP25" s="53" t="n"/>
      <c r="EQ25" s="53" t="n"/>
      <c r="ER25" s="53" t="n"/>
      <c r="ES25" s="53" t="n"/>
      <c r="ET25" s="53" t="n"/>
      <c r="EU25" s="53" t="n"/>
      <c r="EV25" s="53" t="n"/>
      <c r="EW25" s="52" t="n"/>
      <c r="EX25" s="53" t="inlineStr">
        <is>
          <t>• Role / sub-team: XBRL Tagging &amp; QC in US Service Team.</t>
        </is>
      </c>
      <c r="EY25" s="53"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EZ25" s="53" t="inlineStr">
        <is>
          <t>• Current capabilities: Staying calm under pressu; Tools / software used: Both.</t>
        </is>
      </c>
      <c r="FA25" s="53" t="inlineStr">
        <is>
          <t>• Development priorities: No input received.
• Learning and Development Need: Productivity skill.</t>
        </is>
      </c>
      <c r="FB25" s="53" t="inlineStr">
        <is>
          <t>• Key challenges: Tool issue and remote des.
• Support required: No input received.</t>
        </is>
      </c>
      <c r="FC25" s="53" t="n"/>
      <c r="FD25" s="53" t="n"/>
      <c r="FE2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5" s="56" t="n"/>
      <c r="FG25" s="56" t="n"/>
      <c r="FH25" s="56" t="n"/>
      <c r="FI25" s="56" t="n"/>
      <c r="FJ25" s="56" t="inlineStr">
        <is>
          <t>Received · manager annual</t>
        </is>
      </c>
      <c r="FK25" s="56" t="inlineStr">
        <is>
          <t>CARBON Mapping Master</t>
        </is>
      </c>
      <c r="FL25" s="56" t="n">
        <v>20</v>
      </c>
      <c r="FM25" s="56" t="inlineStr">
        <is>
          <t>• Role / sub-team: XBRL Tagging &amp; QC in US Service Team.</t>
        </is>
      </c>
      <c r="FN25" s="56"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FO25" s="56" t="inlineStr">
        <is>
          <t>• Current capabilities: Staying calm under pressu; Tools / software used: Both.</t>
        </is>
      </c>
      <c r="FP25" s="56" t="inlineStr">
        <is>
          <t>• Development priorities: No input received.
• Learning and Development Need: Productivity skill.</t>
        </is>
      </c>
      <c r="FQ25" s="56" t="inlineStr">
        <is>
          <t>• Key challenges: Tool issue and remote des.
• Support required: No input received.</t>
        </is>
      </c>
      <c r="FR25" s="56" t="inlineStr">
        <is>
          <t>Complexity: Evidence reads like A3: Tagging, QC reviews and form filings for US mandate; resolves routine issues by guidelines → matches the start
Autonomy: Evidence reads like A2: Prioritises own workload, resolves routine issues; escalates complex or unfamiliar situations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FS2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5" s="56" t="inlineStr">
        <is>
          <t>Self-identified: Testing &amp; quality · Domain, regulatory &amp; XBRL · Broader exposure &amp; ownership
For the next role: Testing &amp; quality · Domain, regulatory &amp; XBRL · Client, sales &amp; stakeholders · Communication &amp; presentation · Broader exposure &amp; ownership</t>
        </is>
      </c>
      <c r="FU25" s="56" t="inlineStr">
        <is>
          <t>Per-person summary · CARBON Mapping Master</t>
        </is>
      </c>
    </row>
    <row r="26" ht="90" customHeight="1">
      <c r="A26" s="51" t="inlineStr">
        <is>
          <t>◂ Back</t>
        </is>
      </c>
      <c r="B26" s="29" t="inlineStr">
        <is>
          <t>Mapped</t>
        </is>
      </c>
      <c r="C26" s="28" t="inlineStr">
        <is>
          <t>CARBON</t>
        </is>
      </c>
      <c r="D26" s="29" t="inlineStr">
        <is>
          <t>IRIS1124</t>
        </is>
      </c>
      <c r="E26" s="29" t="inlineStr">
        <is>
          <t>Kamlesh Bomble</t>
        </is>
      </c>
      <c r="F26" s="29" t="inlineStr">
        <is>
          <t>Services</t>
        </is>
      </c>
      <c r="G26" s="29" t="inlineStr">
        <is>
          <t>Senior Financial Analyst</t>
        </is>
      </c>
      <c r="H26" s="29" t="inlineStr">
        <is>
          <t>Senior Financial Analyst</t>
        </is>
      </c>
      <c r="I26" s="29" t="inlineStr">
        <is>
          <t>L4 – Senior</t>
        </is>
      </c>
      <c r="J26" s="29" t="inlineStr">
        <is>
          <t>A3</t>
        </is>
      </c>
      <c r="K26" s="29" t="inlineStr">
        <is>
          <t>• Same level</t>
        </is>
      </c>
      <c r="L26" s="29" t="inlineStr">
        <is>
          <t>Consulting &amp; Professional Services</t>
        </is>
      </c>
      <c r="M26" s="29" t="inlineStr">
        <is>
          <t>XBRL Tagging, Conversion &amp; Filing</t>
        </is>
      </c>
      <c r="N26" s="29" t="n"/>
      <c r="O26" s="29" t="n">
        <v>20</v>
      </c>
      <c r="P26" s="28" t="inlineStr">
        <is>
          <t>P2</t>
        </is>
      </c>
      <c r="Q26" s="29" t="inlineStr">
        <is>
          <t>Developing</t>
        </is>
      </c>
      <c r="R26" s="29" t="inlineStr">
        <is>
          <t>3 Apply</t>
        </is>
      </c>
      <c r="S26" s="29" t="inlineStr">
        <is>
          <t>2–4 yrs</t>
        </is>
      </c>
      <c r="T26" s="29" t="inlineStr">
        <is>
          <t>3–5 · 2–5</t>
        </is>
      </c>
      <c r="U26" s="29" t="inlineStr">
        <is>
          <t>Senior Analyst / Associate</t>
        </is>
      </c>
      <c r="V26" s="29" t="inlineStr">
        <is>
          <t>DataTracks: Senior Associate · 2–5 yrs · Big Four: Consultant · IRIS Vs Market Benchmark — XBRL US credential pathway: XBRL US GAAP Certificate</t>
        </is>
      </c>
      <c r="W26" s="29" t="inlineStr">
        <is>
          <t>XBRL US GAAP Certificate · AICPA &amp; XBRL US; XBRL International specifications; IFRS / US GAAP / Ind AS</t>
        </is>
      </c>
      <c r="X26" s="29" t="inlineStr">
        <is>
          <t>Core 2 · Future 2 · Functional 3 · Leadership not scored</t>
        </is>
      </c>
      <c r="Y26" s="52" t="n">
        <v>107</v>
      </c>
      <c r="Z26" s="53" t="inlineStr">
        <is>
          <t>IRIS1124</t>
        </is>
      </c>
      <c r="AA26" s="53" t="inlineStr">
        <is>
          <t>Employee</t>
        </is>
      </c>
      <c r="AB26" s="53" t="inlineStr">
        <is>
          <t>Active</t>
        </is>
      </c>
      <c r="AC26" s="53" t="inlineStr">
        <is>
          <t>Kamlesh Bomble</t>
        </is>
      </c>
      <c r="AD26" s="54" t="n">
        <v>41036</v>
      </c>
      <c r="AE26" s="53" t="inlineStr">
        <is>
          <t>Senior Financial Analyst</t>
        </is>
      </c>
      <c r="AF26" s="53" t="inlineStr">
        <is>
          <t>B.Com</t>
        </is>
      </c>
      <c r="AG26" s="53" t="inlineStr">
        <is>
          <t>Jinesh Kumar S</t>
        </is>
      </c>
      <c r="AH26" s="53" t="inlineStr">
        <is>
          <t>N-7</t>
        </is>
      </c>
      <c r="AI26" s="53" t="inlineStr">
        <is>
          <t>Individual Contributor</t>
        </is>
      </c>
      <c r="AJ26" s="53" t="inlineStr">
        <is>
          <t>0 years, 0 months, 0 days</t>
        </is>
      </c>
      <c r="AK26" s="53" t="inlineStr">
        <is>
          <t>14 years, 3 months, 18 days</t>
        </is>
      </c>
      <c r="AL26" s="53" t="inlineStr">
        <is>
          <t>Regtech</t>
        </is>
      </c>
      <c r="AM26" s="53" t="inlineStr">
        <is>
          <t>CARBON</t>
        </is>
      </c>
      <c r="AN26" s="53" t="inlineStr">
        <is>
          <t>Services</t>
        </is>
      </c>
      <c r="AO26" s="53" t="inlineStr">
        <is>
          <t>Expert Assisted services</t>
        </is>
      </c>
      <c r="AP26" s="53" t="inlineStr">
        <is>
          <t>No</t>
        </is>
      </c>
      <c r="AQ26" s="53" t="inlineStr">
        <is>
          <t>Professional Services</t>
        </is>
      </c>
      <c r="AR26" s="53" t="inlineStr">
        <is>
          <t>XBRL Domain</t>
        </is>
      </c>
      <c r="AS26" s="53" t="inlineStr">
        <is>
          <t>Non-technical</t>
        </is>
      </c>
      <c r="AT26" s="53" t="n">
        <v>20</v>
      </c>
      <c r="AU26" s="53" t="inlineStr">
        <is>
          <t>Covered</t>
        </is>
      </c>
      <c r="AV26" s="53" t="inlineStr">
        <is>
          <t>IRIS1124</t>
        </is>
      </c>
      <c r="AW26" s="53" t="inlineStr">
        <is>
          <t>Kamlesh Bomble</t>
        </is>
      </c>
      <c r="AX26" s="53" t="inlineStr">
        <is>
          <t>Services</t>
        </is>
      </c>
      <c r="AY26" s="53" t="inlineStr">
        <is>
          <t>Professional Services</t>
        </is>
      </c>
      <c r="AZ26" s="53" t="inlineStr">
        <is>
          <t>XBRL / Regulatory Reporting</t>
        </is>
      </c>
      <c r="BA26" s="53" t="n"/>
      <c r="BB26" s="53" t="n"/>
      <c r="BC26" s="53" t="inlineStr">
        <is>
          <t>Employee</t>
        </is>
      </c>
      <c r="BD26" s="53" t="inlineStr">
        <is>
          <t>Jinesh Kumar S</t>
        </is>
      </c>
      <c r="BE26" s="53" t="inlineStr">
        <is>
          <t>Jinesh Kumar S</t>
        </is>
      </c>
      <c r="BF26" s="53" t="inlineStr">
        <is>
          <t>No</t>
        </is>
      </c>
      <c r="BG26" s="53" t="inlineStr">
        <is>
          <t>Senior Financial Analyst</t>
        </is>
      </c>
      <c r="BH26" s="53" t="inlineStr">
        <is>
          <t>Senior Services Specialist</t>
        </is>
      </c>
      <c r="BI26" s="53" t="inlineStr">
        <is>
          <t>Yes</t>
        </is>
      </c>
      <c r="BJ26" s="53" t="inlineStr">
        <is>
          <t>—</t>
        </is>
      </c>
      <c r="BK26" s="53" t="inlineStr">
        <is>
          <t>—</t>
        </is>
      </c>
      <c r="BL26" s="53" t="inlineStr">
        <is>
          <t>—</t>
        </is>
      </c>
      <c r="BM26" s="53" t="inlineStr">
        <is>
          <t>Not a manager</t>
        </is>
      </c>
      <c r="BN26" s="53" t="inlineStr">
        <is>
          <t>—</t>
        </is>
      </c>
      <c r="BO26" s="53" t="inlineStr">
        <is>
          <t>—</t>
        </is>
      </c>
      <c r="BP26" s="53" t="inlineStr">
        <is>
          <t>—</t>
        </is>
      </c>
      <c r="BQ26" s="53" t="inlineStr">
        <is>
          <t>Not a manager</t>
        </is>
      </c>
      <c r="BR26" s="53" t="inlineStr">
        <is>
          <t>—</t>
        </is>
      </c>
      <c r="BS26" s="53" t="inlineStr">
        <is>
          <t>L4 – Senior</t>
        </is>
      </c>
      <c r="BT26" s="53" t="inlineStr">
        <is>
          <t>L4 – Senior</t>
        </is>
      </c>
      <c r="BU26" s="53" t="inlineStr">
        <is>
          <t>Designation refined from Raw tab Comments column · this update</t>
        </is>
      </c>
      <c r="BV2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6" s="53" t="n"/>
      <c r="BX26" s="53" t="inlineStr">
        <is>
          <t>USA - SEC.</t>
        </is>
      </c>
      <c r="BY26" s="53" t="n"/>
      <c r="BZ26" s="53" t="inlineStr">
        <is>
          <t>IRIS1124</t>
        </is>
      </c>
      <c r="CA26" s="53" t="inlineStr">
        <is>
          <t>Employee</t>
        </is>
      </c>
      <c r="CB26" s="53" t="inlineStr">
        <is>
          <t>Active</t>
        </is>
      </c>
      <c r="CC26" s="53" t="inlineStr">
        <is>
          <t>Kamlesh Bomble</t>
        </is>
      </c>
      <c r="CD26" s="54" t="n">
        <v>41036</v>
      </c>
      <c r="CE26" s="53" t="inlineStr">
        <is>
          <t>Senior Financial Analyst</t>
        </is>
      </c>
      <c r="CF26" s="53" t="n"/>
      <c r="CG26" s="53" t="inlineStr">
        <is>
          <t>Professional Services</t>
        </is>
      </c>
      <c r="CH26" s="53" t="inlineStr">
        <is>
          <t>XBRL / Regulatory Reporting</t>
        </is>
      </c>
      <c r="CI26" s="53" t="inlineStr">
        <is>
          <t>Senior Financial Analyst</t>
        </is>
      </c>
      <c r="CJ26" s="53" t="inlineStr">
        <is>
          <t>L4 – Senior</t>
        </is>
      </c>
      <c r="CK26" s="53" t="inlineStr">
        <is>
          <t>Jinesh Kumar S</t>
        </is>
      </c>
      <c r="CL26" s="53" t="inlineStr">
        <is>
          <t>N-7</t>
        </is>
      </c>
      <c r="CM26" s="53" t="inlineStr">
        <is>
          <t>Individual Contributor</t>
        </is>
      </c>
      <c r="CN26" s="53" t="inlineStr">
        <is>
          <t>Regtech</t>
        </is>
      </c>
      <c r="CO26" s="53" t="inlineStr">
        <is>
          <t>Services</t>
        </is>
      </c>
      <c r="CP26" s="53" t="inlineStr">
        <is>
          <t>14 years, 1 months, 13 days</t>
        </is>
      </c>
      <c r="CQ26" s="53" t="inlineStr">
        <is>
          <t>Senior Services Specialst</t>
        </is>
      </c>
      <c r="CR26" s="53" t="n"/>
      <c r="CS26" s="53" t="n">
        <v>3</v>
      </c>
      <c r="CT26" s="53" t="inlineStr">
        <is>
          <t>Medium</t>
        </is>
      </c>
      <c r="CU26" s="53" t="inlineStr">
        <is>
          <t>Core Contributor</t>
        </is>
      </c>
      <c r="CV26" s="53" t="inlineStr">
        <is>
          <t>No</t>
        </is>
      </c>
      <c r="CW26" s="53" t="inlineStr">
        <is>
          <t>No</t>
        </is>
      </c>
      <c r="CX26" s="53" t="inlineStr">
        <is>
          <t>Yes</t>
        </is>
      </c>
      <c r="CY26" s="53" t="n"/>
      <c r="CZ26" s="53" t="n"/>
      <c r="DA26" s="53" t="n"/>
      <c r="DB26" s="53" t="inlineStr">
        <is>
          <t>Title to be standardized to: Senior Services Specialist</t>
        </is>
      </c>
      <c r="DC26" s="53" t="n"/>
      <c r="DD26" s="53" t="n"/>
      <c r="DE26" s="53" t="n"/>
      <c r="DF26" s="53" t="n"/>
      <c r="DG26" s="53" t="n"/>
      <c r="DH26" s="53" t="n"/>
      <c r="DI26" s="53" t="n"/>
      <c r="DJ26" s="53" t="n"/>
      <c r="DK26" s="53" t="n"/>
      <c r="DL26" s="53" t="n"/>
      <c r="DM26" s="53" t="n"/>
      <c r="DN26" s="53" t="n"/>
      <c r="DO26" s="53" t="n"/>
      <c r="DP26" s="53" t="n"/>
      <c r="DQ26" s="53" t="n"/>
      <c r="DR26" s="53" t="n"/>
      <c r="DS26" s="53" t="n"/>
      <c r="DT26" s="53" t="n"/>
      <c r="DU26" s="53" t="n"/>
      <c r="DV26" s="53" t="n"/>
      <c r="DW26" s="53" t="n"/>
      <c r="DX26" s="53" t="n"/>
      <c r="DY26" s="53" t="n"/>
      <c r="DZ26" s="53" t="n"/>
      <c r="EA26" s="53" t="n"/>
      <c r="EB26" s="53" t="n"/>
      <c r="EC26" s="53" t="n"/>
      <c r="ED26" s="53" t="n"/>
      <c r="EE26" s="53" t="n"/>
      <c r="EF26" s="53" t="n"/>
      <c r="EG26" s="53" t="n"/>
      <c r="EH26" s="53" t="n"/>
      <c r="EI26" s="53" t="n"/>
      <c r="EJ26" s="53" t="n"/>
      <c r="EK26" s="53" t="n"/>
      <c r="EL26" s="53" t="n"/>
      <c r="EM26" s="53" t="n"/>
      <c r="EN26" s="53" t="n"/>
      <c r="EO26" s="53" t="n"/>
      <c r="EP26" s="53" t="n"/>
      <c r="EQ26" s="53" t="n"/>
      <c r="ER26" s="53" t="n"/>
      <c r="ES26" s="53" t="n"/>
      <c r="ET26" s="53" t="n"/>
      <c r="EU26" s="53" t="n"/>
      <c r="EV26" s="53" t="n"/>
      <c r="EW26" s="52" t="n"/>
      <c r="EX26" s="53" t="inlineStr">
        <is>
          <t>• Role / sub-team: XBRL tagging - US SEC; XBRL Tagging &amp; Qc.</t>
        </is>
      </c>
      <c r="EY26" s="53" t="inlineStr">
        <is>
          <t>• Key responsibilities include: Tagging, and learning about process and step. Practice.
• Reported deliverables and outcomes include: Handed over to the next process, depending on the work allocated.</t>
        </is>
      </c>
      <c r="EZ26" s="53" t="inlineStr">
        <is>
          <t>• Current capabilities: Time management; Tools / software used: Both.</t>
        </is>
      </c>
      <c r="FA26" s="53" t="inlineStr">
        <is>
          <t>• Development priorities: No input received.
• Learning and Development Need: Time management.</t>
        </is>
      </c>
      <c r="FB26" s="53" t="inlineStr">
        <is>
          <t>• Key challenges: Technical issue tool issu.
• Support required: No input received.</t>
        </is>
      </c>
      <c r="FC26" s="53" t="n"/>
      <c r="FD26" s="53" t="n"/>
      <c r="FE2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6" s="56" t="n"/>
      <c r="FG26" s="56" t="n"/>
      <c r="FH26" s="56" t="n"/>
      <c r="FI26" s="56" t="n"/>
      <c r="FJ26" s="56" t="inlineStr">
        <is>
          <t>Received · manager annual</t>
        </is>
      </c>
      <c r="FK26" s="56" t="inlineStr">
        <is>
          <t>CARBON Mapping Master</t>
        </is>
      </c>
      <c r="FL26" s="56" t="n">
        <v>20</v>
      </c>
      <c r="FM26" s="56" t="inlineStr">
        <is>
          <t>• Role / sub-team: XBRL tagging - US SEC; XBRL Tagging &amp; Qc.</t>
        </is>
      </c>
      <c r="FN26" s="56" t="inlineStr">
        <is>
          <t>• Key responsibilities include: Tagging, and learning about process and step. Practice.
• Reported deliverables and outcomes include: Handed over to the next process, depending on the work allocated.</t>
        </is>
      </c>
      <c r="FO26" s="56" t="inlineStr">
        <is>
          <t>• Current capabilities: Time management; Tools / software used: Both.</t>
        </is>
      </c>
      <c r="FP26" s="56" t="inlineStr">
        <is>
          <t>• Development priorities: No input received.
• Learning and Development Need: Time management.</t>
        </is>
      </c>
      <c r="FQ26" s="56" t="inlineStr">
        <is>
          <t>• Key challenges: Technical issue tool issu.
• Support required: No input received.</t>
        </is>
      </c>
      <c r="FR26" s="56" t="inlineStr">
        <is>
          <t>Complexity: Evidence reads like A2: Learning the US mandate; completes assigned tagging, QC and filing tasks for trained processes → moved down 0.5
Autonomy: Evidence reads like A2: Independent only on processes trained for; asks seniors for guidance → moved down 0.5
Accountability: Evidence reads like A2: Accuracy and timeliness of own assigned tagging, QC and filing tasks → moved down 0.5
Leadership: Evidence reads like A1: 'Team support' listed without any detail → moved down 0.5
Business Impact: Moved +0.5: the survey / manager mapping marks it business-critical.</t>
        </is>
      </c>
      <c r="FS2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6" s="56" t="inlineStr">
        <is>
          <t>Self-identified: Testing &amp; quality · Domain, regulatory &amp; XBRL · Broader exposure &amp; ownership
For the next role: Testing &amp; quality · Domain, regulatory &amp; XBRL · Broader exposure &amp; ownership</t>
        </is>
      </c>
      <c r="FU26" s="56" t="inlineStr">
        <is>
          <t>Per-person summary · CARBON Mapping Master</t>
        </is>
      </c>
    </row>
    <row r="27" ht="90" customHeight="1">
      <c r="A27" s="51" t="inlineStr">
        <is>
          <t>◂ Back</t>
        </is>
      </c>
      <c r="B27" s="29" t="inlineStr">
        <is>
          <t>Mapped</t>
        </is>
      </c>
      <c r="C27" s="28" t="inlineStr">
        <is>
          <t>CARBON</t>
        </is>
      </c>
      <c r="D27" s="29" t="inlineStr">
        <is>
          <t>IRIS2328</t>
        </is>
      </c>
      <c r="E27" s="29" t="inlineStr">
        <is>
          <t>Namrata Juvekar</t>
        </is>
      </c>
      <c r="F27" s="29" t="inlineStr">
        <is>
          <t>Services</t>
        </is>
      </c>
      <c r="G27" s="29" t="inlineStr">
        <is>
          <t>Financial Analyst</t>
        </is>
      </c>
      <c r="H27" s="29" t="inlineStr">
        <is>
          <t>Senior Financial Analyst</t>
        </is>
      </c>
      <c r="I27" s="29" t="inlineStr">
        <is>
          <t>L3 – Professional / Associate</t>
        </is>
      </c>
      <c r="J27" s="29" t="inlineStr">
        <is>
          <t>A3</t>
        </is>
      </c>
      <c r="K27" s="29" t="inlineStr">
        <is>
          <t>▲ Up</t>
        </is>
      </c>
      <c r="L27" s="29" t="inlineStr">
        <is>
          <t>Consulting &amp; Professional Services</t>
        </is>
      </c>
      <c r="M27" s="29" t="inlineStr">
        <is>
          <t>XBRL Tagging, Conversion &amp; Filing</t>
        </is>
      </c>
      <c r="N27" s="29" t="inlineStr">
        <is>
          <t>• Confirm the reporting line — Manager</t>
        </is>
      </c>
      <c r="O27" s="29" t="n">
        <v>20</v>
      </c>
      <c r="P27" s="28" t="inlineStr">
        <is>
          <t>P2</t>
        </is>
      </c>
      <c r="Q27" s="29" t="inlineStr">
        <is>
          <t>Developing</t>
        </is>
      </c>
      <c r="R27" s="29" t="inlineStr">
        <is>
          <t>3 Apply</t>
        </is>
      </c>
      <c r="S27" s="29" t="inlineStr">
        <is>
          <t>2–4 yrs</t>
        </is>
      </c>
      <c r="T27" s="29" t="inlineStr">
        <is>
          <t>3–5 · 2–5</t>
        </is>
      </c>
      <c r="U27" s="29" t="inlineStr">
        <is>
          <t>Senior Analyst / Associate</t>
        </is>
      </c>
      <c r="V27" s="29" t="inlineStr">
        <is>
          <t>DataTracks: Senior Associate · 2–5 yrs · Big Four: Consultant · IRIS Vs Market Benchmark — XBRL US credential pathway: XBRL US GAAP Certificate</t>
        </is>
      </c>
      <c r="W27" s="29" t="inlineStr">
        <is>
          <t>XBRL US GAAP Certificate · AICPA &amp; XBRL US; XBRL International specifications; IFRS / US GAAP / Ind AS</t>
        </is>
      </c>
      <c r="X27" s="29" t="inlineStr">
        <is>
          <t>Core 2 · Future 2 · Functional 3 · Leadership not scored</t>
        </is>
      </c>
      <c r="Y27" s="52" t="n">
        <v>354</v>
      </c>
      <c r="Z27" s="53" t="inlineStr">
        <is>
          <t>IRIS2328</t>
        </is>
      </c>
      <c r="AA27" s="53" t="inlineStr">
        <is>
          <t>Employee</t>
        </is>
      </c>
      <c r="AB27" s="53" t="inlineStr">
        <is>
          <t>Active</t>
        </is>
      </c>
      <c r="AC27" s="53" t="inlineStr">
        <is>
          <t>Namrata Juvekar</t>
        </is>
      </c>
      <c r="AD27" s="54" t="n">
        <v>45658</v>
      </c>
      <c r="AE27" s="53" t="inlineStr">
        <is>
          <t>Financial Analyst</t>
        </is>
      </c>
      <c r="AF27" s="53" t="inlineStr">
        <is>
          <t>B.Com</t>
        </is>
      </c>
      <c r="AG27" s="53" t="inlineStr">
        <is>
          <t>Jinesh Kumar S</t>
        </is>
      </c>
      <c r="AH27" s="53" t="inlineStr">
        <is>
          <t>N-7</t>
        </is>
      </c>
      <c r="AI27" s="53" t="inlineStr">
        <is>
          <t>Individual Contributor</t>
        </is>
      </c>
      <c r="AJ27" s="53" t="inlineStr">
        <is>
          <t>0 years, 0 months, 0 days</t>
        </is>
      </c>
      <c r="AK27" s="53" t="inlineStr">
        <is>
          <t>1 years, 7 months, 24 days</t>
        </is>
      </c>
      <c r="AL27" s="53" t="inlineStr">
        <is>
          <t>Regtech</t>
        </is>
      </c>
      <c r="AM27" s="53" t="inlineStr">
        <is>
          <t>CARBON</t>
        </is>
      </c>
      <c r="AN27" s="53" t="inlineStr">
        <is>
          <t>Services</t>
        </is>
      </c>
      <c r="AO27" s="53" t="inlineStr">
        <is>
          <t>Expert Assisted services</t>
        </is>
      </c>
      <c r="AP27" s="53" t="inlineStr">
        <is>
          <t>No</t>
        </is>
      </c>
      <c r="AQ27" s="53" t="inlineStr">
        <is>
          <t>Professional Services</t>
        </is>
      </c>
      <c r="AR27" s="53" t="inlineStr">
        <is>
          <t>XBRL Domain</t>
        </is>
      </c>
      <c r="AS27" s="53" t="inlineStr">
        <is>
          <t>Non-technical</t>
        </is>
      </c>
      <c r="AT27" s="53" t="n">
        <v>20</v>
      </c>
      <c r="AU27" s="53" t="inlineStr">
        <is>
          <t>Covered</t>
        </is>
      </c>
      <c r="AV27" s="53" t="inlineStr">
        <is>
          <t>IRIS2328</t>
        </is>
      </c>
      <c r="AW27" s="53" t="inlineStr">
        <is>
          <t>Namrata Juvekar</t>
        </is>
      </c>
      <c r="AX27" s="53" t="inlineStr">
        <is>
          <t>Services</t>
        </is>
      </c>
      <c r="AY27" s="53" t="inlineStr">
        <is>
          <t>Professional Services</t>
        </is>
      </c>
      <c r="AZ27" s="53" t="inlineStr">
        <is>
          <t>XBRL / Regulatory Reporting</t>
        </is>
      </c>
      <c r="BA27" s="53" t="n"/>
      <c r="BB27" s="53" t="n"/>
      <c r="BC27" s="53" t="inlineStr">
        <is>
          <t>Employee</t>
        </is>
      </c>
      <c r="BD27" s="53" t="inlineStr">
        <is>
          <t>Jinesh Kumar S</t>
        </is>
      </c>
      <c r="BE27" s="53" t="inlineStr">
        <is>
          <t>Jinesh Kumar S</t>
        </is>
      </c>
      <c r="BF27" s="53" t="inlineStr">
        <is>
          <t>No</t>
        </is>
      </c>
      <c r="BG27" s="53" t="inlineStr">
        <is>
          <t>Financial Analyst</t>
        </is>
      </c>
      <c r="BH27" s="53" t="inlineStr">
        <is>
          <t>Services Associate</t>
        </is>
      </c>
      <c r="BI27" s="53" t="inlineStr">
        <is>
          <t>Yes</t>
        </is>
      </c>
      <c r="BJ27" s="53" t="inlineStr">
        <is>
          <t>—</t>
        </is>
      </c>
      <c r="BK27" s="53" t="inlineStr">
        <is>
          <t>—</t>
        </is>
      </c>
      <c r="BL27" s="53" t="inlineStr">
        <is>
          <t>—</t>
        </is>
      </c>
      <c r="BM27" s="53" t="inlineStr">
        <is>
          <t>Not a manager</t>
        </is>
      </c>
      <c r="BN27" s="53" t="inlineStr">
        <is>
          <t>—</t>
        </is>
      </c>
      <c r="BO27" s="53" t="inlineStr">
        <is>
          <t>—</t>
        </is>
      </c>
      <c r="BP27" s="53" t="inlineStr">
        <is>
          <t>—</t>
        </is>
      </c>
      <c r="BQ27" s="53" t="inlineStr">
        <is>
          <t>Not a manager</t>
        </is>
      </c>
      <c r="BR27" s="53" t="inlineStr">
        <is>
          <t>—</t>
        </is>
      </c>
      <c r="BS27" s="53" t="inlineStr">
        <is>
          <t>L3 – Professional / Associate</t>
        </is>
      </c>
      <c r="BT27" s="53" t="inlineStr">
        <is>
          <t>L1</t>
        </is>
      </c>
      <c r="BU27" s="53" t="inlineStr">
        <is>
          <t>Matched from Title Hierarchy · new designation</t>
        </is>
      </c>
      <c r="BV2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7" s="53" t="n"/>
      <c r="BX27" s="53" t="inlineStr">
        <is>
          <t>USA - SEC.</t>
        </is>
      </c>
      <c r="BY27" s="53" t="n"/>
      <c r="BZ27" s="53" t="inlineStr">
        <is>
          <t>IRIS2328</t>
        </is>
      </c>
      <c r="CA27" s="53" t="inlineStr">
        <is>
          <t>Employee</t>
        </is>
      </c>
      <c r="CB27" s="53" t="inlineStr">
        <is>
          <t>Active</t>
        </is>
      </c>
      <c r="CC27" s="53" t="inlineStr">
        <is>
          <t>Namrata Juvekar</t>
        </is>
      </c>
      <c r="CD27" s="54" t="n">
        <v>45658</v>
      </c>
      <c r="CE27" s="53" t="inlineStr">
        <is>
          <t>Financial Analyst</t>
        </is>
      </c>
      <c r="CF27" s="53" t="n"/>
      <c r="CG27" s="53" t="inlineStr">
        <is>
          <t>Professional Services</t>
        </is>
      </c>
      <c r="CH27" s="53" t="inlineStr">
        <is>
          <t>XBRL / Regulatory Reporting</t>
        </is>
      </c>
      <c r="CI27" s="53" t="inlineStr">
        <is>
          <t>Financial Analyst</t>
        </is>
      </c>
      <c r="CJ27" s="53" t="inlineStr">
        <is>
          <t>L3 – Professional / Associate</t>
        </is>
      </c>
      <c r="CK27" s="53" t="inlineStr">
        <is>
          <t>Jinesh Kumar S</t>
        </is>
      </c>
      <c r="CL27" s="53" t="inlineStr">
        <is>
          <t>N-7</t>
        </is>
      </c>
      <c r="CM27" s="53" t="inlineStr">
        <is>
          <t>Individual Contributor</t>
        </is>
      </c>
      <c r="CN27" s="53" t="inlineStr">
        <is>
          <t>Regtech</t>
        </is>
      </c>
      <c r="CO27" s="53" t="inlineStr">
        <is>
          <t>Services</t>
        </is>
      </c>
      <c r="CP27" s="53" t="inlineStr">
        <is>
          <t>1 years, 5 months, 19 days</t>
        </is>
      </c>
      <c r="CQ27" s="53" t="inlineStr">
        <is>
          <t>Services Associate</t>
        </is>
      </c>
      <c r="CR27" s="53" t="n"/>
      <c r="CS27" s="53" t="n">
        <v>4</v>
      </c>
      <c r="CT27" s="53" t="inlineStr">
        <is>
          <t>High</t>
        </is>
      </c>
      <c r="CU27" s="53" t="inlineStr">
        <is>
          <t>Core Contributor</t>
        </is>
      </c>
      <c r="CV27" s="53" t="inlineStr">
        <is>
          <t>Yes</t>
        </is>
      </c>
      <c r="CW27" s="53" t="inlineStr">
        <is>
          <t>No</t>
        </is>
      </c>
      <c r="CX27" s="53" t="inlineStr">
        <is>
          <t>Yes</t>
        </is>
      </c>
      <c r="CY27" s="53" t="n"/>
      <c r="CZ27" s="53" t="n"/>
      <c r="DA27" s="53" t="n"/>
      <c r="DB27" s="53" t="inlineStr">
        <is>
          <t>Title to be standardized to : Services Associate</t>
        </is>
      </c>
      <c r="DC27" s="53" t="n"/>
      <c r="DD27" s="53" t="n"/>
      <c r="DE27" s="53" t="n"/>
      <c r="DF27" s="53" t="n"/>
      <c r="DG27" s="53" t="n"/>
      <c r="DH27" s="53" t="n"/>
      <c r="DI27" s="53" t="n"/>
      <c r="DJ27" s="53" t="n"/>
      <c r="DK27" s="53" t="n"/>
      <c r="DL27" s="53" t="n"/>
      <c r="DM27" s="53" t="n"/>
      <c r="DN27" s="53" t="n"/>
      <c r="DO27" s="53" t="n"/>
      <c r="DP27" s="53" t="n"/>
      <c r="DQ27" s="53" t="n"/>
      <c r="DR27" s="53" t="n"/>
      <c r="DS27" s="53" t="n"/>
      <c r="DT27" s="53" t="n"/>
      <c r="DU27" s="53" t="n"/>
      <c r="DV27" s="53" t="n"/>
      <c r="DW27" s="53" t="n"/>
      <c r="DX27" s="53" t="n"/>
      <c r="DY27" s="53" t="n"/>
      <c r="DZ27" s="53" t="n"/>
      <c r="EA27" s="53" t="n"/>
      <c r="EB27" s="53" t="n"/>
      <c r="EC27" s="53" t="n"/>
      <c r="ED27" s="53" t="n"/>
      <c r="EE27" s="53" t="n"/>
      <c r="EF27" s="53" t="n"/>
      <c r="EG27" s="53" t="n"/>
      <c r="EH27" s="53" t="n"/>
      <c r="EI27" s="53" t="n"/>
      <c r="EJ27" s="53" t="n"/>
      <c r="EK27" s="53" t="n"/>
      <c r="EL27" s="53" t="n"/>
      <c r="EM27" s="53" t="n"/>
      <c r="EN27" s="53" t="n"/>
      <c r="EO27" s="53" t="n"/>
      <c r="EP27" s="53" t="n"/>
      <c r="EQ27" s="53" t="n"/>
      <c r="ER27" s="53" t="n"/>
      <c r="ES27" s="53" t="n"/>
      <c r="ET27" s="53" t="n"/>
      <c r="EU27" s="53" t="n"/>
      <c r="EV27" s="53" t="n"/>
      <c r="EW27" s="52" t="n"/>
      <c r="EX27" s="53" t="inlineStr">
        <is>
          <t>• Role / sub-team: Xbrl tagging and Quality Check in US Service Team.</t>
        </is>
      </c>
      <c r="EY27" s="53"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EZ27" s="53" t="inlineStr">
        <is>
          <t>• Current capabilities: Staying calm under pressu; Tools / software used: Both.</t>
        </is>
      </c>
      <c r="FA27" s="53" t="inlineStr">
        <is>
          <t>• Development priorities: No input received.
• Learning and Development Need: Time management flexibili.</t>
        </is>
      </c>
      <c r="FB27" s="53" t="inlineStr">
        <is>
          <t>• Key challenges: Technical issue.
• Support required: No input received.</t>
        </is>
      </c>
      <c r="FC27" s="53" t="n"/>
      <c r="FD27" s="53" t="n"/>
      <c r="FE2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7" s="56" t="n"/>
      <c r="FG27" s="56" t="n"/>
      <c r="FH27" s="56" t="n"/>
      <c r="FI27" s="56" t="n"/>
      <c r="FJ27" s="56" t="inlineStr">
        <is>
          <t>Received · manager annual</t>
        </is>
      </c>
      <c r="FK27" s="56" t="inlineStr">
        <is>
          <t>CARBON Mapping Master</t>
        </is>
      </c>
      <c r="FL27" s="56" t="n">
        <v>20</v>
      </c>
      <c r="FM27" s="56" t="inlineStr">
        <is>
          <t>• Role / sub-team: Xbrl tagging and Quality Check in US Service Team.</t>
        </is>
      </c>
      <c r="FN27" s="56"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FO27" s="56" t="inlineStr">
        <is>
          <t>• Current capabilities: Staying calm under pressu; Tools / software used: Both.</t>
        </is>
      </c>
      <c r="FP27" s="56" t="inlineStr">
        <is>
          <t>• Development priorities: No input received.
• Learning and Development Need: Time management flexibili.</t>
        </is>
      </c>
      <c r="FQ27" s="56" t="inlineStr">
        <is>
          <t>• Key challenges: Technical issue.
• Support required: No input received.</t>
        </is>
      </c>
      <c r="FR27" s="56" t="inlineStr">
        <is>
          <t>Complexity: Evidence reads like A3: US mandate tagging, QC, validation, filings; roll-forward, product testing, client comments → moved up 0.5
Autonomy: Evidence reads like B1: Allocates and rebalances shift workload; resolves routine issues; escalates complex ones to leads → moved up 1
Accountability: Evidence reads like A3: Own tagging, QC and filings on time; coordinates shift allocation supporting team targets → moved up 0.5
Leadership: Evidence reads like B1: Shift allocation, guidance, doubt solving and training of team members · manager note → moved up 1
Business Impact: Moved +0.5: the survey / manager mapping marks it business-critical.</t>
        </is>
      </c>
      <c r="FS2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7" s="56" t="inlineStr">
        <is>
          <t>Self-identified: Leadership &amp; people management · Client, sales &amp; stakeholders · Broader exposure &amp; ownership
For the next role: AI / automation · Leadership &amp; people management · Project / programme management · Data, SQL &amp; analytics · Domain, regulatory &amp; XBRL · Client, sales &amp; stakeholders · Strategy &amp; business acumen · Broader exposure &amp; ownership</t>
        </is>
      </c>
      <c r="FU27" s="56" t="inlineStr">
        <is>
          <t>Per-person summary · CARBON Mapping Master</t>
        </is>
      </c>
    </row>
    <row r="28" ht="90" customHeight="1">
      <c r="A28" s="51" t="inlineStr">
        <is>
          <t>◂ Back</t>
        </is>
      </c>
      <c r="B28" s="29" t="inlineStr">
        <is>
          <t>Mapped</t>
        </is>
      </c>
      <c r="C28" s="28" t="inlineStr">
        <is>
          <t>CARBON</t>
        </is>
      </c>
      <c r="D28" s="29" t="inlineStr">
        <is>
          <t>IRISC330</t>
        </is>
      </c>
      <c r="E28" s="29" t="inlineStr">
        <is>
          <t>Raj Ratnakar Kumbhar</t>
        </is>
      </c>
      <c r="F28" s="29" t="inlineStr">
        <is>
          <t>Services</t>
        </is>
      </c>
      <c r="G28" s="29" t="inlineStr">
        <is>
          <t>Consultant</t>
        </is>
      </c>
      <c r="H28" s="29" t="inlineStr">
        <is>
          <t>Senior Financial Analyst</t>
        </is>
      </c>
      <c r="I28" s="29" t="inlineStr">
        <is>
          <t>L3 – Professional / Associate</t>
        </is>
      </c>
      <c r="J28" s="29" t="inlineStr">
        <is>
          <t>A3</t>
        </is>
      </c>
      <c r="K28" s="29" t="inlineStr">
        <is>
          <t>▲ Up</t>
        </is>
      </c>
      <c r="L28" s="29" t="inlineStr">
        <is>
          <t>Consulting &amp; Professional Services</t>
        </is>
      </c>
      <c r="M28" s="29" t="inlineStr">
        <is>
          <t>XBRL Tagging, Conversion &amp; Filing</t>
        </is>
      </c>
      <c r="N28" s="29" t="n"/>
      <c r="O28" s="29" t="n">
        <v>20</v>
      </c>
      <c r="P28" s="28" t="inlineStr">
        <is>
          <t>P2</t>
        </is>
      </c>
      <c r="Q28" s="29" t="inlineStr">
        <is>
          <t>Developing</t>
        </is>
      </c>
      <c r="R28" s="29" t="inlineStr">
        <is>
          <t>3 Apply</t>
        </is>
      </c>
      <c r="S28" s="29" t="inlineStr">
        <is>
          <t>2–4 yrs</t>
        </is>
      </c>
      <c r="T28" s="29" t="inlineStr">
        <is>
          <t>3–5 · 2–5</t>
        </is>
      </c>
      <c r="U28" s="29" t="inlineStr">
        <is>
          <t>Senior Analyst / Associate</t>
        </is>
      </c>
      <c r="V28" s="29" t="inlineStr">
        <is>
          <t>DataTracks: Senior Associate · 2–5 yrs · Big Four: Consultant · IRIS Vs Market Benchmark — XBRL US credential pathway: XBRL US GAAP Certificate</t>
        </is>
      </c>
      <c r="W28" s="29" t="inlineStr">
        <is>
          <t>XBRL US GAAP Certificate · AICPA &amp; XBRL US; XBRL International specifications; IFRS / US GAAP / Ind AS</t>
        </is>
      </c>
      <c r="X28" s="29" t="inlineStr">
        <is>
          <t>Core 2 · Future 2 · Functional 3 · Leadership not scored</t>
        </is>
      </c>
      <c r="Y28" s="52" t="n">
        <v>432</v>
      </c>
      <c r="Z28" s="53" t="inlineStr">
        <is>
          <t>IRISC330</t>
        </is>
      </c>
      <c r="AA28" s="53" t="inlineStr">
        <is>
          <t>On Contract</t>
        </is>
      </c>
      <c r="AB28" s="53" t="inlineStr">
        <is>
          <t>Active</t>
        </is>
      </c>
      <c r="AC28" s="53" t="inlineStr">
        <is>
          <t>Raj Ratnakar Kumbhar</t>
        </is>
      </c>
      <c r="AD28" s="54" t="n">
        <v>46027</v>
      </c>
      <c r="AE28" s="53" t="inlineStr">
        <is>
          <t>Consultant</t>
        </is>
      </c>
      <c r="AF28" s="53" t="inlineStr">
        <is>
          <t>B.Com</t>
        </is>
      </c>
      <c r="AG28" s="53" t="inlineStr">
        <is>
          <t>Jinesh Kumar S</t>
        </is>
      </c>
      <c r="AH28" s="53" t="inlineStr">
        <is>
          <t>N-7</t>
        </is>
      </c>
      <c r="AI28" s="53" t="inlineStr">
        <is>
          <t>Individual Contributor</t>
        </is>
      </c>
      <c r="AJ28" s="53" t="inlineStr">
        <is>
          <t>3 years, 8 months, 0 days</t>
        </is>
      </c>
      <c r="AK28" s="53" t="inlineStr">
        <is>
          <t>0 years, 7 months, 20 days</t>
        </is>
      </c>
      <c r="AL28" s="53" t="inlineStr">
        <is>
          <t>Regtech</t>
        </is>
      </c>
      <c r="AM28" s="53" t="inlineStr">
        <is>
          <t>CARBON</t>
        </is>
      </c>
      <c r="AN28" s="53" t="inlineStr">
        <is>
          <t>Services</t>
        </is>
      </c>
      <c r="AO28" s="53" t="inlineStr">
        <is>
          <t>Expert Assisted services</t>
        </is>
      </c>
      <c r="AP28" s="53" t="inlineStr">
        <is>
          <t>No</t>
        </is>
      </c>
      <c r="AQ28" s="53" t="inlineStr">
        <is>
          <t>Professional Services</t>
        </is>
      </c>
      <c r="AR28" s="53" t="inlineStr">
        <is>
          <t>XBRL Domain</t>
        </is>
      </c>
      <c r="AS28" s="53" t="inlineStr">
        <is>
          <t>Non-technical</t>
        </is>
      </c>
      <c r="AT28" s="53" t="n">
        <v>20</v>
      </c>
      <c r="AU28" s="53" t="inlineStr">
        <is>
          <t>Covered</t>
        </is>
      </c>
      <c r="AV28" s="53" t="inlineStr">
        <is>
          <t>IRISC330</t>
        </is>
      </c>
      <c r="AW28" s="53" t="inlineStr">
        <is>
          <t>Raj Ratnakar Kumbhar</t>
        </is>
      </c>
      <c r="AX28" s="53" t="inlineStr">
        <is>
          <t>Services</t>
        </is>
      </c>
      <c r="AY28" s="53" t="inlineStr">
        <is>
          <t>Professional Services</t>
        </is>
      </c>
      <c r="AZ28" s="53" t="inlineStr">
        <is>
          <t>XBRL / Regulatory Reporting</t>
        </is>
      </c>
      <c r="BA28" s="53" t="n"/>
      <c r="BB28" s="53" t="n"/>
      <c r="BC28" s="53" t="inlineStr">
        <is>
          <t>On Contract</t>
        </is>
      </c>
      <c r="BD28" s="53" t="inlineStr">
        <is>
          <t>Jinesh Kumar S</t>
        </is>
      </c>
      <c r="BE28" s="53" t="inlineStr">
        <is>
          <t>Jinesh Kumar S</t>
        </is>
      </c>
      <c r="BF28" s="53" t="inlineStr">
        <is>
          <t>No</t>
        </is>
      </c>
      <c r="BG28" s="53" t="inlineStr">
        <is>
          <t>Consultant</t>
        </is>
      </c>
      <c r="BH28" s="53" t="inlineStr">
        <is>
          <t>Consultant</t>
        </is>
      </c>
      <c r="BI28" s="53" t="inlineStr">
        <is>
          <t>No</t>
        </is>
      </c>
      <c r="BJ28" s="53" t="inlineStr">
        <is>
          <t>—</t>
        </is>
      </c>
      <c r="BK28" s="53" t="inlineStr">
        <is>
          <t>—</t>
        </is>
      </c>
      <c r="BL28" s="53" t="inlineStr">
        <is>
          <t>—</t>
        </is>
      </c>
      <c r="BM28" s="53" t="inlineStr">
        <is>
          <t>Not a manager</t>
        </is>
      </c>
      <c r="BN28" s="53" t="inlineStr">
        <is>
          <t>—</t>
        </is>
      </c>
      <c r="BO28" s="53" t="inlineStr">
        <is>
          <t>—</t>
        </is>
      </c>
      <c r="BP28" s="53" t="inlineStr">
        <is>
          <t>—</t>
        </is>
      </c>
      <c r="BQ28" s="53" t="inlineStr">
        <is>
          <t>Not a manager</t>
        </is>
      </c>
      <c r="BR28" s="53" t="inlineStr">
        <is>
          <t>—</t>
        </is>
      </c>
      <c r="BS28" s="53" t="inlineStr">
        <is>
          <t>L3 – Professional / Associate</t>
        </is>
      </c>
      <c r="BT28" s="53" t="inlineStr">
        <is>
          <t>L3 – Professional / Associate</t>
        </is>
      </c>
      <c r="BU28" s="53" t="inlineStr">
        <is>
          <t>No designation change — current record value carried forward</t>
        </is>
      </c>
      <c r="BV2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8" s="53" t="n"/>
      <c r="BX28" s="53" t="inlineStr">
        <is>
          <t>USA - SEC · On Contract.</t>
        </is>
      </c>
      <c r="BY28" s="53" t="n"/>
      <c r="BZ28" s="53" t="inlineStr">
        <is>
          <t>IRISC330</t>
        </is>
      </c>
      <c r="CA28" s="53" t="inlineStr">
        <is>
          <t>On Contract</t>
        </is>
      </c>
      <c r="CB28" s="53" t="inlineStr">
        <is>
          <t>Active</t>
        </is>
      </c>
      <c r="CC28" s="53" t="inlineStr">
        <is>
          <t>Raj Ratnakar Kumbhar</t>
        </is>
      </c>
      <c r="CD28" s="54" t="n">
        <v>46027</v>
      </c>
      <c r="CE28" s="53" t="inlineStr">
        <is>
          <t>Consultant</t>
        </is>
      </c>
      <c r="CF28" s="53" t="n"/>
      <c r="CG28" s="53" t="inlineStr">
        <is>
          <t>Professional Services</t>
        </is>
      </c>
      <c r="CH28" s="53" t="inlineStr">
        <is>
          <t>XBRL / Regulatory Reporting</t>
        </is>
      </c>
      <c r="CI28" s="53" t="inlineStr">
        <is>
          <t>Consultant</t>
        </is>
      </c>
      <c r="CJ28" s="53" t="inlineStr">
        <is>
          <t>L3 – Professional / Associate</t>
        </is>
      </c>
      <c r="CK28" s="53" t="inlineStr">
        <is>
          <t>Jinesh Kumar S</t>
        </is>
      </c>
      <c r="CL28" s="53" t="inlineStr">
        <is>
          <t>N-7</t>
        </is>
      </c>
      <c r="CM28" s="53" t="inlineStr">
        <is>
          <t>Individual Contributor</t>
        </is>
      </c>
      <c r="CN28" s="53" t="inlineStr">
        <is>
          <t>Regtech</t>
        </is>
      </c>
      <c r="CO28" s="53" t="inlineStr">
        <is>
          <t>Services</t>
        </is>
      </c>
      <c r="CP28" s="53" t="inlineStr">
        <is>
          <t>4 years, 1 months, 15 days</t>
        </is>
      </c>
      <c r="CQ28" s="53" t="n"/>
      <c r="CR28" s="53" t="n"/>
      <c r="CS28" s="53" t="n">
        <v>3</v>
      </c>
      <c r="CT28" s="53" t="inlineStr">
        <is>
          <t>Medium</t>
        </is>
      </c>
      <c r="CU28" s="53" t="inlineStr">
        <is>
          <t>Core Contributor</t>
        </is>
      </c>
      <c r="CV28" s="53" t="inlineStr">
        <is>
          <t>No</t>
        </is>
      </c>
      <c r="CW28" s="53" t="inlineStr">
        <is>
          <t>No</t>
        </is>
      </c>
      <c r="CX28" s="53" t="inlineStr">
        <is>
          <t>Yes</t>
        </is>
      </c>
      <c r="CY28" s="53" t="n"/>
      <c r="CZ28" s="53" t="n"/>
      <c r="DA28" s="53" t="n"/>
      <c r="DB28" s="53" t="n"/>
      <c r="DC28" s="53" t="n"/>
      <c r="DD28" s="53" t="n"/>
      <c r="DE28" s="53" t="n"/>
      <c r="DF28" s="53" t="n"/>
      <c r="DG28" s="53" t="n"/>
      <c r="DH28" s="53" t="n"/>
      <c r="DI28" s="53" t="n"/>
      <c r="DJ28" s="53" t="n"/>
      <c r="DK28" s="53" t="n"/>
      <c r="DL28" s="53" t="n"/>
      <c r="DM28" s="53" t="n"/>
      <c r="DN28" s="53" t="n"/>
      <c r="DO28" s="53" t="n"/>
      <c r="DP28" s="53" t="n"/>
      <c r="DQ28" s="53" t="n"/>
      <c r="DR28" s="53" t="n"/>
      <c r="DS28" s="53" t="n"/>
      <c r="DT28" s="53" t="n"/>
      <c r="DU28" s="53" t="n"/>
      <c r="DV28" s="53" t="n"/>
      <c r="DW28" s="53" t="n"/>
      <c r="DX28" s="53" t="n"/>
      <c r="DY28" s="53" t="n"/>
      <c r="DZ28" s="53" t="n"/>
      <c r="EA28" s="53" t="n"/>
      <c r="EB28" s="53" t="n"/>
      <c r="EC28" s="53" t="n"/>
      <c r="ED28" s="53" t="n"/>
      <c r="EE28" s="53" t="n"/>
      <c r="EF28" s="53" t="n"/>
      <c r="EG28" s="53" t="n"/>
      <c r="EH28" s="53" t="n"/>
      <c r="EI28" s="53" t="n"/>
      <c r="EJ28" s="53" t="n"/>
      <c r="EK28" s="53" t="n"/>
      <c r="EL28" s="53" t="n"/>
      <c r="EM28" s="53" t="n"/>
      <c r="EN28" s="53" t="n"/>
      <c r="EO28" s="53" t="n"/>
      <c r="EP28" s="53" t="n"/>
      <c r="EQ28" s="53" t="n"/>
      <c r="ER28" s="53" t="n"/>
      <c r="ES28" s="53" t="n"/>
      <c r="ET28" s="53" t="n"/>
      <c r="EU28" s="53" t="n"/>
      <c r="EV28" s="53" t="n"/>
      <c r="EW28" s="52" t="n"/>
      <c r="EX28" s="53" t="inlineStr">
        <is>
          <t>• Role / sub-team: XBRL-Tagging in Us Service team.</t>
        </is>
      </c>
      <c r="EY28" s="53" t="inlineStr">
        <is>
          <t>• Key responsibilities include: XBRL Tagging, Validations, Version compare, Mail Monitoring, Training, Practice.
• Reported deliverables and outcomes include: After work informed to shift leads and give handover to next shift person.</t>
        </is>
      </c>
      <c r="EZ28" s="53" t="inlineStr">
        <is>
          <t>• Current capabilities: Time management; Tools / software used: Both.</t>
        </is>
      </c>
      <c r="FA28" s="53" t="inlineStr">
        <is>
          <t>• Development priorities: No input received.
• Learning and Development Need: Time management.</t>
        </is>
      </c>
      <c r="FB28" s="53" t="inlineStr">
        <is>
          <t>• Key challenges: System issues.
• Support required: No input received.</t>
        </is>
      </c>
      <c r="FC28" s="53" t="n"/>
      <c r="FD28" s="53" t="n"/>
      <c r="FE2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8" s="56" t="n"/>
      <c r="FG28" s="56" t="n"/>
      <c r="FH28" s="56" t="n"/>
      <c r="FI28" s="56" t="n"/>
      <c r="FJ28" s="56" t="inlineStr">
        <is>
          <t>Received · manager annual</t>
        </is>
      </c>
      <c r="FK28" s="56" t="inlineStr">
        <is>
          <t>CARBON Mapping Master</t>
        </is>
      </c>
      <c r="FL28" s="56" t="n">
        <v>20</v>
      </c>
      <c r="FM28" s="56" t="inlineStr">
        <is>
          <t>• Role / sub-team: XBRL-Tagging in Us Service team.</t>
        </is>
      </c>
      <c r="FN28" s="56" t="inlineStr">
        <is>
          <t>• Key responsibilities include: XBRL Tagging, Validations, Version compare, Mail Monitoring, Training, Practice.
• Reported deliverables and outcomes include: After work informed to shift leads and give handover to next shift person.</t>
        </is>
      </c>
      <c r="FO28" s="56" t="inlineStr">
        <is>
          <t>• Current capabilities: Time management; Tools / software used: Both.</t>
        </is>
      </c>
      <c r="FP28" s="56" t="inlineStr">
        <is>
          <t>• Development priorities: No input received.
• Learning and Development Need: Time management.</t>
        </is>
      </c>
      <c r="FQ28" s="56" t="inlineStr">
        <is>
          <t>• Key challenges: System issues.
• Support required: No input received.</t>
        </is>
      </c>
      <c r="FR28" s="56" t="inlineStr">
        <is>
          <t>Business Impact: Moved +0.5: the survey / manager mapping marks it business-critical.</t>
        </is>
      </c>
      <c r="FS2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8" s="56" t="inlineStr">
        <is>
          <t>Self-identified: Domain, regulatory &amp; XBRL · Broader exposure &amp; ownership
For the next role: Domain, regulatory &amp; XBRL · Product &amp; tool knowledge · Broader exposure &amp; ownership</t>
        </is>
      </c>
      <c r="FU28" s="56" t="inlineStr">
        <is>
          <t>Per-person summary · CARBON Mapping Master</t>
        </is>
      </c>
    </row>
    <row r="29" ht="90" customHeight="1">
      <c r="A29" s="51" t="inlineStr">
        <is>
          <t>◂ Back</t>
        </is>
      </c>
      <c r="B29" s="29" t="inlineStr">
        <is>
          <t>Mapped</t>
        </is>
      </c>
      <c r="C29" s="28" t="inlineStr">
        <is>
          <t>CARBON</t>
        </is>
      </c>
      <c r="D29" s="29" t="inlineStr">
        <is>
          <t>IRISC240</t>
        </is>
      </c>
      <c r="E29" s="29" t="inlineStr">
        <is>
          <t>Sakina Dholkawala</t>
        </is>
      </c>
      <c r="F29" s="29" t="inlineStr">
        <is>
          <t>Services</t>
        </is>
      </c>
      <c r="G29" s="29" t="inlineStr">
        <is>
          <t>Consultant</t>
        </is>
      </c>
      <c r="H29" s="29" t="inlineStr">
        <is>
          <t>Senior Financial Analyst</t>
        </is>
      </c>
      <c r="I29" s="29" t="inlineStr">
        <is>
          <t>L3 – Professional / Associate</t>
        </is>
      </c>
      <c r="J29" s="29" t="inlineStr">
        <is>
          <t>A3</t>
        </is>
      </c>
      <c r="K29" s="29" t="inlineStr">
        <is>
          <t>▲ Up</t>
        </is>
      </c>
      <c r="L29" s="29" t="inlineStr">
        <is>
          <t>Consulting &amp; Professional Services</t>
        </is>
      </c>
      <c r="M29" s="29" t="inlineStr">
        <is>
          <t>XBRL Tagging, Conversion &amp; Filing</t>
        </is>
      </c>
      <c r="N29" s="29" t="n"/>
      <c r="O29" s="29" t="n">
        <v>19</v>
      </c>
      <c r="P29" s="28" t="inlineStr">
        <is>
          <t>P2</t>
        </is>
      </c>
      <c r="Q29" s="29" t="inlineStr">
        <is>
          <t>Developing</t>
        </is>
      </c>
      <c r="R29" s="29" t="inlineStr">
        <is>
          <t>3 Apply</t>
        </is>
      </c>
      <c r="S29" s="29" t="inlineStr">
        <is>
          <t>2–4 yrs</t>
        </is>
      </c>
      <c r="T29" s="29" t="inlineStr">
        <is>
          <t>3–5 · 2–5</t>
        </is>
      </c>
      <c r="U29" s="29" t="inlineStr">
        <is>
          <t>Senior Analyst / Associate</t>
        </is>
      </c>
      <c r="V29" s="29" t="inlineStr">
        <is>
          <t>DataTracks: Senior Associate · 2–5 yrs · Big Four: Consultant · IRIS Vs Market Benchmark — XBRL US credential pathway: XBRL US GAAP Certificate</t>
        </is>
      </c>
      <c r="W29" s="29" t="inlineStr">
        <is>
          <t>XBRL US GAAP Certificate · AICPA &amp; XBRL US; XBRL International specifications; IFRS / US GAAP / Ind AS</t>
        </is>
      </c>
      <c r="X29" s="29" t="inlineStr">
        <is>
          <t>Core 2 · Future 2 · Functional 3 · Leadership not scored</t>
        </is>
      </c>
      <c r="Y29" s="52" t="n">
        <v>253</v>
      </c>
      <c r="Z29" s="53" t="inlineStr">
        <is>
          <t>IRISC240</t>
        </is>
      </c>
      <c r="AA29" s="53" t="inlineStr">
        <is>
          <t>On Contract</t>
        </is>
      </c>
      <c r="AB29" s="53" t="inlineStr">
        <is>
          <t>Active</t>
        </is>
      </c>
      <c r="AC29" s="53" t="inlineStr">
        <is>
          <t>Sakina Dholkawala</t>
        </is>
      </c>
      <c r="AD29" s="54" t="n">
        <v>44887</v>
      </c>
      <c r="AE29" s="53" t="inlineStr">
        <is>
          <t>Consultant</t>
        </is>
      </c>
      <c r="AF29" s="53" t="inlineStr">
        <is>
          <t>B.Com</t>
        </is>
      </c>
      <c r="AG29" s="53" t="inlineStr">
        <is>
          <t>Jinesh Kumar S</t>
        </is>
      </c>
      <c r="AH29" s="53" t="inlineStr">
        <is>
          <t>N-7</t>
        </is>
      </c>
      <c r="AI29" s="53" t="inlineStr">
        <is>
          <t>Individual Contributor</t>
        </is>
      </c>
      <c r="AJ29" s="53" t="inlineStr">
        <is>
          <t>0 years, 0 months, 0 days</t>
        </is>
      </c>
      <c r="AK29" s="53" t="inlineStr">
        <is>
          <t>3 years, 9 months, 3 days</t>
        </is>
      </c>
      <c r="AL29" s="53" t="inlineStr">
        <is>
          <t>Regtech</t>
        </is>
      </c>
      <c r="AM29" s="53" t="inlineStr">
        <is>
          <t>CARBON</t>
        </is>
      </c>
      <c r="AN29" s="53" t="inlineStr">
        <is>
          <t>Services</t>
        </is>
      </c>
      <c r="AO29" s="53" t="inlineStr">
        <is>
          <t>Expert Assisted services</t>
        </is>
      </c>
      <c r="AP29" s="53" t="inlineStr">
        <is>
          <t>No</t>
        </is>
      </c>
      <c r="AQ29" s="53" t="inlineStr">
        <is>
          <t>Professional Services</t>
        </is>
      </c>
      <c r="AR29" s="53" t="inlineStr">
        <is>
          <t>XBRL Domain</t>
        </is>
      </c>
      <c r="AS29" s="53" t="inlineStr">
        <is>
          <t>Non-technical</t>
        </is>
      </c>
      <c r="AT29" s="53" t="n">
        <v>20</v>
      </c>
      <c r="AU29" s="53" t="inlineStr">
        <is>
          <t>Covered</t>
        </is>
      </c>
      <c r="AV29" s="53" t="inlineStr">
        <is>
          <t>IRISC240</t>
        </is>
      </c>
      <c r="AW29" s="53" t="inlineStr">
        <is>
          <t>Sakina Dholkawala</t>
        </is>
      </c>
      <c r="AX29" s="53" t="inlineStr">
        <is>
          <t>Services</t>
        </is>
      </c>
      <c r="AY29" s="53" t="inlineStr">
        <is>
          <t>Professional Services</t>
        </is>
      </c>
      <c r="AZ29" s="53" t="inlineStr">
        <is>
          <t>XBRL / Regulatory Reporting</t>
        </is>
      </c>
      <c r="BA29" s="53" t="n"/>
      <c r="BB29" s="53" t="n"/>
      <c r="BC29" s="53" t="inlineStr">
        <is>
          <t>On Contract</t>
        </is>
      </c>
      <c r="BD29" s="53" t="inlineStr">
        <is>
          <t>Jinesh Kumar S</t>
        </is>
      </c>
      <c r="BE29" s="53" t="inlineStr">
        <is>
          <t>Jinesh Kumar S</t>
        </is>
      </c>
      <c r="BF29" s="53" t="inlineStr">
        <is>
          <t>No</t>
        </is>
      </c>
      <c r="BG29" s="53" t="inlineStr">
        <is>
          <t>Consultant</t>
        </is>
      </c>
      <c r="BH29" s="53" t="inlineStr">
        <is>
          <t>Consultant</t>
        </is>
      </c>
      <c r="BI29" s="53" t="inlineStr">
        <is>
          <t>No</t>
        </is>
      </c>
      <c r="BJ29" s="53" t="inlineStr">
        <is>
          <t>—</t>
        </is>
      </c>
      <c r="BK29" s="53" t="inlineStr">
        <is>
          <t>—</t>
        </is>
      </c>
      <c r="BL29" s="53" t="inlineStr">
        <is>
          <t>—</t>
        </is>
      </c>
      <c r="BM29" s="53" t="inlineStr">
        <is>
          <t>Not a manager</t>
        </is>
      </c>
      <c r="BN29" s="53" t="inlineStr">
        <is>
          <t>—</t>
        </is>
      </c>
      <c r="BO29" s="53" t="inlineStr">
        <is>
          <t>—</t>
        </is>
      </c>
      <c r="BP29" s="53" t="inlineStr">
        <is>
          <t>—</t>
        </is>
      </c>
      <c r="BQ29" s="53" t="inlineStr">
        <is>
          <t>Not a manager</t>
        </is>
      </c>
      <c r="BR29" s="53" t="inlineStr">
        <is>
          <t>—</t>
        </is>
      </c>
      <c r="BS29" s="53" t="inlineStr">
        <is>
          <t>L3 – Professional / Associate</t>
        </is>
      </c>
      <c r="BT29" s="53" t="inlineStr">
        <is>
          <t>L3 – Professional / Associate</t>
        </is>
      </c>
      <c r="BU29" s="53" t="inlineStr">
        <is>
          <t>No designation change — current record value carried forward</t>
        </is>
      </c>
      <c r="BV2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9" s="53" t="n"/>
      <c r="BX29" s="53" t="inlineStr">
        <is>
          <t>USA - SEC · On Contract.</t>
        </is>
      </c>
      <c r="BY29" s="53" t="n"/>
      <c r="BZ29" s="53" t="inlineStr">
        <is>
          <t>IRISC240</t>
        </is>
      </c>
      <c r="CA29" s="53" t="inlineStr">
        <is>
          <t>On Contract</t>
        </is>
      </c>
      <c r="CB29" s="53" t="inlineStr">
        <is>
          <t>Active</t>
        </is>
      </c>
      <c r="CC29" s="53" t="inlineStr">
        <is>
          <t>Sakina Dholkawala</t>
        </is>
      </c>
      <c r="CD29" s="54" t="n">
        <v>44887</v>
      </c>
      <c r="CE29" s="53" t="inlineStr">
        <is>
          <t>Consultant</t>
        </is>
      </c>
      <c r="CF29" s="53" t="n"/>
      <c r="CG29" s="53" t="inlineStr">
        <is>
          <t>Professional Services</t>
        </is>
      </c>
      <c r="CH29" s="53" t="inlineStr">
        <is>
          <t>Digitization &amp; Image Processing</t>
        </is>
      </c>
      <c r="CI29" s="53" t="inlineStr">
        <is>
          <t>Consultant</t>
        </is>
      </c>
      <c r="CJ29" s="53" t="inlineStr">
        <is>
          <t>L3 – Professional / Associate</t>
        </is>
      </c>
      <c r="CK29" s="53" t="inlineStr">
        <is>
          <t>Jinesh Kumar S</t>
        </is>
      </c>
      <c r="CL29" s="53" t="inlineStr">
        <is>
          <t>N-7</t>
        </is>
      </c>
      <c r="CM29" s="53" t="inlineStr">
        <is>
          <t>Individual Contributor</t>
        </is>
      </c>
      <c r="CN29" s="53" t="inlineStr">
        <is>
          <t>Regtech</t>
        </is>
      </c>
      <c r="CO29" s="53" t="inlineStr">
        <is>
          <t>Digitizing</t>
        </is>
      </c>
      <c r="CP29" s="53" t="inlineStr">
        <is>
          <t>3 years, 6 months, 29 days</t>
        </is>
      </c>
      <c r="CQ29" s="53" t="inlineStr">
        <is>
          <t>Consultant</t>
        </is>
      </c>
      <c r="CR29" s="53" t="n"/>
      <c r="CS29" s="53" t="n">
        <v>3</v>
      </c>
      <c r="CT29" s="53" t="inlineStr">
        <is>
          <t>Medium</t>
        </is>
      </c>
      <c r="CU29" s="53" t="inlineStr">
        <is>
          <t>Core Contributor</t>
        </is>
      </c>
      <c r="CV29" s="53" t="inlineStr">
        <is>
          <t>No</t>
        </is>
      </c>
      <c r="CW29" s="53" t="inlineStr">
        <is>
          <t>No</t>
        </is>
      </c>
      <c r="CX29" s="53" t="inlineStr">
        <is>
          <t>Yes</t>
        </is>
      </c>
      <c r="CY29" s="53" t="n"/>
      <c r="CZ29" s="53" t="n"/>
      <c r="DA29" s="53" t="n"/>
      <c r="DB29" s="53" t="inlineStr">
        <is>
          <t>Moved to Tagging Team</t>
        </is>
      </c>
      <c r="DC29" s="53" t="n"/>
      <c r="DD29" s="53" t="n"/>
      <c r="DE29" s="53" t="n"/>
      <c r="DF29" s="53" t="n"/>
      <c r="DG29" s="53" t="n"/>
      <c r="DH29" s="53" t="n"/>
      <c r="DI29" s="53" t="n"/>
      <c r="DJ29" s="53" t="n"/>
      <c r="DK29" s="53" t="n"/>
      <c r="DL29" s="53" t="n"/>
      <c r="DM29" s="53" t="n"/>
      <c r="DN29" s="53" t="n"/>
      <c r="DO29" s="53" t="n"/>
      <c r="DP29" s="53" t="n"/>
      <c r="DQ29" s="53" t="n"/>
      <c r="DR29" s="53" t="n"/>
      <c r="DS29" s="53" t="n"/>
      <c r="DT29" s="53" t="n"/>
      <c r="DU29" s="53" t="n"/>
      <c r="DV29" s="53" t="n"/>
      <c r="DW29" s="53" t="n"/>
      <c r="DX29" s="53" t="n"/>
      <c r="DY29" s="53" t="n"/>
      <c r="DZ29" s="53" t="n"/>
      <c r="EA29" s="53" t="n"/>
      <c r="EB29" s="53" t="n"/>
      <c r="EC29" s="53" t="n"/>
      <c r="ED29" s="53" t="n"/>
      <c r="EE29" s="53" t="n"/>
      <c r="EF29" s="53" t="n"/>
      <c r="EG29" s="53" t="n"/>
      <c r="EH29" s="53" t="n"/>
      <c r="EI29" s="53" t="n"/>
      <c r="EJ29" s="53" t="n"/>
      <c r="EK29" s="53" t="n"/>
      <c r="EL29" s="53" t="n"/>
      <c r="EM29" s="53" t="n"/>
      <c r="EN29" s="53" t="n"/>
      <c r="EO29" s="53" t="n"/>
      <c r="EP29" s="53" t="n"/>
      <c r="EQ29" s="53" t="n"/>
      <c r="ER29" s="53" t="n"/>
      <c r="ES29" s="53" t="n"/>
      <c r="ET29" s="53" t="n"/>
      <c r="EU29" s="53" t="n"/>
      <c r="EV29" s="53" t="n"/>
      <c r="EW29" s="52" t="n"/>
      <c r="EX29" s="53" t="inlineStr">
        <is>
          <t>• Role / sub-team: Xbrl tagging in US Service team.</t>
        </is>
      </c>
      <c r="EY29" s="53" t="inlineStr">
        <is>
          <t>• Key responsibilities include: Xbrl tagging, training, practice.
• Reported deliverables and outcomes include: Leads and clients.</t>
        </is>
      </c>
      <c r="EZ29" s="53" t="inlineStr">
        <is>
          <t>• Current capabilities: Good communication; Tools / software used: Both.</t>
        </is>
      </c>
      <c r="FA29" s="53" t="inlineStr">
        <is>
          <t>• Development priorities: No input received.
• Learning and Development Need: No input received.</t>
        </is>
      </c>
      <c r="FB29" s="53" t="inlineStr">
        <is>
          <t>• Key challenges: Remote Desktop; Technical issue.
• Support required: No input received.</t>
        </is>
      </c>
      <c r="FC29" s="53" t="n"/>
      <c r="FD29" s="53" t="n"/>
      <c r="FE2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9" s="56" t="n"/>
      <c r="FG29" s="56" t="n"/>
      <c r="FH29" s="56" t="n"/>
      <c r="FI29" s="56" t="n"/>
      <c r="FJ29" s="56" t="inlineStr">
        <is>
          <t>Received · manager annual</t>
        </is>
      </c>
      <c r="FK29" s="56" t="inlineStr">
        <is>
          <t>CARBON Mapping Master</t>
        </is>
      </c>
      <c r="FL29" s="56" t="n">
        <v>19</v>
      </c>
      <c r="FM29" s="56" t="inlineStr">
        <is>
          <t>• Role / sub-team: Xbrl tagging in US Service team.</t>
        </is>
      </c>
      <c r="FN29" s="56" t="inlineStr">
        <is>
          <t>• Key responsibilities include: Xbrl tagging, training, practice.
• Reported deliverables and outcomes include: Leads and clients.</t>
        </is>
      </c>
      <c r="FO29" s="56" t="inlineStr">
        <is>
          <t>• Current capabilities: Good communication; Tools / software used: Both.</t>
        </is>
      </c>
      <c r="FP29" s="56" t="inlineStr">
        <is>
          <t>• Development priorities: No input received.
• Learning and Development Need: No input received.</t>
        </is>
      </c>
      <c r="FQ29" s="56" t="inlineStr">
        <is>
          <t>• Key challenges: Remote Desktop; Technical issue.
• Support required: No input received.</t>
        </is>
      </c>
      <c r="FR29" s="56" t="inlineStr">
        <is>
          <t>Business Impact: Moved +0.5: the survey / manager mapping marks it business-critical.</t>
        </is>
      </c>
      <c r="FS2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9" s="56" t="inlineStr">
        <is>
          <t>Self-identified: Domain, regulatory &amp; XBRL · Broader exposure &amp; ownership
For the next role: Domain, regulatory &amp; XBRL · Product &amp; tool knowledge · Broader exposure &amp; ownership</t>
        </is>
      </c>
      <c r="FU29" s="56" t="inlineStr">
        <is>
          <t>Per-person summary · CARBON Mapping Master</t>
        </is>
      </c>
    </row>
    <row r="30" ht="90" customHeight="1">
      <c r="A30" s="51" t="inlineStr">
        <is>
          <t>◂ Back</t>
        </is>
      </c>
      <c r="B30" s="29" t="inlineStr">
        <is>
          <t>Mapped</t>
        </is>
      </c>
      <c r="C30" s="28" t="inlineStr">
        <is>
          <t>CARBON</t>
        </is>
      </c>
      <c r="D30" s="29" t="inlineStr">
        <is>
          <t>IRIS0977</t>
        </is>
      </c>
      <c r="E30" s="29" t="inlineStr">
        <is>
          <t>Mohammed Dholkawala</t>
        </is>
      </c>
      <c r="F30" s="29" t="inlineStr">
        <is>
          <t>Services</t>
        </is>
      </c>
      <c r="G30" s="29" t="inlineStr">
        <is>
          <t>Lead - Assisted Services</t>
        </is>
      </c>
      <c r="H30" s="29" t="inlineStr">
        <is>
          <t>Manager – Assisted Services</t>
        </is>
      </c>
      <c r="I30" s="29" t="inlineStr">
        <is>
          <t>L5 – Lead · IC</t>
        </is>
      </c>
      <c r="J30" s="29" t="inlineStr">
        <is>
          <t>B2</t>
        </is>
      </c>
      <c r="K30" s="29" t="inlineStr">
        <is>
          <t>▼ Down · protected</t>
        </is>
      </c>
      <c r="L30" s="29" t="inlineStr">
        <is>
          <t>Consulting &amp; Professional Services</t>
        </is>
      </c>
      <c r="M30" s="29" t="inlineStr">
        <is>
          <t>XBRL Tagging, Conversion &amp; Filing</t>
        </is>
      </c>
      <c r="N30" s="29" t="n"/>
      <c r="O30" s="29" t="n">
        <v>20</v>
      </c>
      <c r="P30" s="28" t="inlineStr">
        <is>
          <t>P4 / M3</t>
        </is>
      </c>
      <c r="Q30" s="29" t="inlineStr">
        <is>
          <t>Senior / Manager</t>
        </is>
      </c>
      <c r="R30" s="29" t="inlineStr">
        <is>
          <t>4–5</t>
        </is>
      </c>
      <c r="S30" s="29" t="inlineStr">
        <is>
          <t>6–9 yrs</t>
        </is>
      </c>
      <c r="T30" s="29" t="inlineStr">
        <is>
          <t>7–10 · 6–11</t>
        </is>
      </c>
      <c r="U30" s="29" t="inlineStr">
        <is>
          <t>Manager</t>
        </is>
      </c>
      <c r="V30" s="29" t="inlineStr">
        <is>
          <t>Big Four: Manager · IRIS Vs Market Benchmark — XBRL US credential pathway: Certificate + review authority</t>
        </is>
      </c>
      <c r="W30" s="29" t="inlineStr">
        <is>
          <t>XBRL US GAAP Certificate · AICPA &amp; XBRL US; XBRL International specifications; IFRS / US GAAP / Ind AS</t>
        </is>
      </c>
      <c r="X30" s="29" t="inlineStr">
        <is>
          <t>Core 3 · Future 3 · Functional 4 · Leadership 3</t>
        </is>
      </c>
      <c r="Y30" s="52" t="n">
        <v>102</v>
      </c>
      <c r="Z30" s="53" t="inlineStr">
        <is>
          <t>IRIS0977</t>
        </is>
      </c>
      <c r="AA30" s="53" t="inlineStr">
        <is>
          <t>Employee</t>
        </is>
      </c>
      <c r="AB30" s="53" t="inlineStr">
        <is>
          <t>Active</t>
        </is>
      </c>
      <c r="AC30" s="53" t="inlineStr">
        <is>
          <t>Mohammed Dholkawala</t>
        </is>
      </c>
      <c r="AD30" s="54" t="n">
        <v>40826</v>
      </c>
      <c r="AE30" s="53" t="inlineStr">
        <is>
          <t>Lead - Assisted Services</t>
        </is>
      </c>
      <c r="AF30" s="53" t="inlineStr">
        <is>
          <t>B.Com</t>
        </is>
      </c>
      <c r="AG30" s="53" t="inlineStr">
        <is>
          <t>Shashikant Mudaliar</t>
        </is>
      </c>
      <c r="AH30" s="53" t="inlineStr">
        <is>
          <t>N-6</t>
        </is>
      </c>
      <c r="AI30" s="53" t="inlineStr">
        <is>
          <t>Manager</t>
        </is>
      </c>
      <c r="AJ30" s="53" t="inlineStr">
        <is>
          <t>0 years, 0 months, 0 days</t>
        </is>
      </c>
      <c r="AK30" s="53" t="inlineStr">
        <is>
          <t>14 years, 10 months, 15 days</t>
        </is>
      </c>
      <c r="AL30" s="53" t="inlineStr">
        <is>
          <t>Regtech</t>
        </is>
      </c>
      <c r="AM30" s="53" t="inlineStr">
        <is>
          <t>CARBON</t>
        </is>
      </c>
      <c r="AN30" s="53" t="inlineStr">
        <is>
          <t>Services</t>
        </is>
      </c>
      <c r="AO30" s="53" t="inlineStr">
        <is>
          <t>Expert Assisted services</t>
        </is>
      </c>
      <c r="AP30" s="53" t="inlineStr">
        <is>
          <t>No</t>
        </is>
      </c>
      <c r="AQ30" s="53" t="inlineStr">
        <is>
          <t>Professional Services</t>
        </is>
      </c>
      <c r="AR30" s="53" t="inlineStr">
        <is>
          <t>XBRL Domain</t>
        </is>
      </c>
      <c r="AS30" s="53" t="inlineStr">
        <is>
          <t>Non-technical</t>
        </is>
      </c>
      <c r="AT30" s="53" t="n">
        <v>20</v>
      </c>
      <c r="AU30" s="53" t="inlineStr">
        <is>
          <t>Covered</t>
        </is>
      </c>
      <c r="AV30" s="53" t="inlineStr">
        <is>
          <t>IRIS0977</t>
        </is>
      </c>
      <c r="AW30" s="53" t="inlineStr">
        <is>
          <t>Mohammed Dholkawala</t>
        </is>
      </c>
      <c r="AX30" s="53" t="inlineStr">
        <is>
          <t>Services</t>
        </is>
      </c>
      <c r="AY30" s="53" t="inlineStr">
        <is>
          <t>Professional Services</t>
        </is>
      </c>
      <c r="AZ30" s="53" t="inlineStr">
        <is>
          <t>XBRL / Regulatory Reporting</t>
        </is>
      </c>
      <c r="BA30" s="53" t="n"/>
      <c r="BB30" s="53" t="n"/>
      <c r="BC30" s="53" t="inlineStr">
        <is>
          <t>Employee</t>
        </is>
      </c>
      <c r="BD30" s="53" t="inlineStr">
        <is>
          <t>Shashikant Mudaliar</t>
        </is>
      </c>
      <c r="BE30" s="53" t="inlineStr">
        <is>
          <t>Shashikant Mudaliar</t>
        </is>
      </c>
      <c r="BF30" s="53" t="inlineStr">
        <is>
          <t>No</t>
        </is>
      </c>
      <c r="BG30" s="53" t="inlineStr">
        <is>
          <t>Lead - Assisted Services</t>
        </is>
      </c>
      <c r="BH30" s="53" t="inlineStr">
        <is>
          <t>Lead - Assisted Services</t>
        </is>
      </c>
      <c r="BI30" s="53" t="inlineStr">
        <is>
          <t>No</t>
        </is>
      </c>
      <c r="BJ30" s="53" t="n">
        <v>6</v>
      </c>
      <c r="BK30" s="53" t="n">
        <v>6</v>
      </c>
      <c r="BL30" s="53" t="n">
        <v>0</v>
      </c>
      <c r="BM30" s="53" t="inlineStr">
        <is>
          <t>Healthy</t>
        </is>
      </c>
      <c r="BN30" s="53" t="n">
        <v>6</v>
      </c>
      <c r="BO30" s="53" t="n">
        <v>6</v>
      </c>
      <c r="BP30" s="53" t="n">
        <v>0</v>
      </c>
      <c r="BQ30" s="53" t="inlineStr">
        <is>
          <t>Healthy</t>
        </is>
      </c>
      <c r="BR30" s="53" t="inlineStr">
        <is>
          <t>No</t>
        </is>
      </c>
      <c r="BS30" s="53" t="inlineStr">
        <is>
          <t>L5 – Lead · IC</t>
        </is>
      </c>
      <c r="BT30" s="53" t="inlineStr">
        <is>
          <t>L5 – Lead · IC</t>
        </is>
      </c>
      <c r="BU30" s="53" t="inlineStr">
        <is>
          <t>No designation change — current record value carried forward</t>
        </is>
      </c>
      <c r="BV30"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0" s="53" t="n"/>
      <c r="BX30" s="53" t="inlineStr">
        <is>
          <t>India - MCA; USA - SEC.</t>
        </is>
      </c>
      <c r="BY30" s="53" t="n"/>
      <c r="BZ30" s="53" t="inlineStr">
        <is>
          <t>IRIS0977</t>
        </is>
      </c>
      <c r="CA30" s="53" t="inlineStr">
        <is>
          <t>Employee</t>
        </is>
      </c>
      <c r="CB30" s="53" t="inlineStr">
        <is>
          <t>Active</t>
        </is>
      </c>
      <c r="CC30" s="53" t="inlineStr">
        <is>
          <t>Mohammed Dholkawala</t>
        </is>
      </c>
      <c r="CD30" s="54" t="n">
        <v>40826</v>
      </c>
      <c r="CE30" s="53" t="inlineStr">
        <is>
          <t>Lead - Assisted Services</t>
        </is>
      </c>
      <c r="CF30" s="53" t="n"/>
      <c r="CG30" s="53" t="inlineStr">
        <is>
          <t>Professional Services</t>
        </is>
      </c>
      <c r="CH30" s="53" t="inlineStr">
        <is>
          <t>XBRL / Regulatory Reporting</t>
        </is>
      </c>
      <c r="CI30" s="53" t="inlineStr">
        <is>
          <t>Lead - Assisted Services</t>
        </is>
      </c>
      <c r="CJ30" s="53" t="inlineStr">
        <is>
          <t>L5 – Lead · IC</t>
        </is>
      </c>
      <c r="CK30" s="53" t="inlineStr">
        <is>
          <t>Shashikant Mudaliar</t>
        </is>
      </c>
      <c r="CL30" s="53" t="inlineStr">
        <is>
          <t>N-6</t>
        </is>
      </c>
      <c r="CM30" s="53" t="inlineStr">
        <is>
          <t>Player Cum Coach</t>
        </is>
      </c>
      <c r="CN30" s="53" t="inlineStr">
        <is>
          <t>Regtech</t>
        </is>
      </c>
      <c r="CO30" s="53" t="inlineStr">
        <is>
          <t>Services</t>
        </is>
      </c>
      <c r="CP30" s="53" t="inlineStr">
        <is>
          <t>14 years, 8 months, 10 days</t>
        </is>
      </c>
      <c r="CQ30" s="53" t="n"/>
      <c r="CR30" s="53" t="n"/>
      <c r="CS30" s="53" t="n">
        <v>4</v>
      </c>
      <c r="CT30" s="53" t="inlineStr">
        <is>
          <t>High</t>
        </is>
      </c>
      <c r="CU30" s="53" t="inlineStr">
        <is>
          <t>Emerging Talent</t>
        </is>
      </c>
      <c r="CV30" s="53" t="inlineStr">
        <is>
          <t>Yes</t>
        </is>
      </c>
      <c r="CW30" s="53" t="inlineStr">
        <is>
          <t>No</t>
        </is>
      </c>
      <c r="CX30" s="53" t="inlineStr">
        <is>
          <t>Yes</t>
        </is>
      </c>
      <c r="CY30" s="53" t="n"/>
      <c r="CZ30" s="53" t="n"/>
      <c r="DA30" s="53" t="n"/>
      <c r="DB30" s="53" t="n"/>
      <c r="DC30" s="53" t="n"/>
      <c r="DD30" s="53" t="n"/>
      <c r="DE30" s="53" t="n"/>
      <c r="DF30" s="53" t="n"/>
      <c r="DG30" s="53" t="n"/>
      <c r="DH30" s="53" t="n"/>
      <c r="DI30" s="53" t="n"/>
      <c r="DJ30" s="53" t="n"/>
      <c r="DK30" s="53" t="n"/>
      <c r="DL30" s="53" t="n"/>
      <c r="DM30" s="53" t="n"/>
      <c r="DN30" s="53" t="n"/>
      <c r="DO30" s="53" t="n"/>
      <c r="DP30" s="53" t="n"/>
      <c r="DQ30" s="53" t="n"/>
      <c r="DR30" s="53" t="n"/>
      <c r="DS30" s="53" t="n"/>
      <c r="DT30" s="53" t="n"/>
      <c r="DU30" s="53" t="n"/>
      <c r="DV30" s="53" t="n"/>
      <c r="DW30" s="53" t="n"/>
      <c r="DX30" s="53" t="n"/>
      <c r="DY30" s="53" t="n"/>
      <c r="DZ30" s="53" t="n"/>
      <c r="EA30" s="53" t="n"/>
      <c r="EB30" s="53" t="n"/>
      <c r="EC30" s="53" t="n"/>
      <c r="ED30" s="53" t="n"/>
      <c r="EE30" s="53" t="n"/>
      <c r="EF30" s="53" t="n"/>
      <c r="EG30" s="53" t="n"/>
      <c r="EH30" s="53" t="n"/>
      <c r="EI30" s="53" t="n"/>
      <c r="EJ30" s="53" t="n"/>
      <c r="EK30" s="53" t="n"/>
      <c r="EL30" s="53" t="n"/>
      <c r="EM30" s="53" t="n"/>
      <c r="EN30" s="53" t="n"/>
      <c r="EO30" s="53" t="n"/>
      <c r="EP30" s="53" t="n"/>
      <c r="EQ30" s="53" t="n"/>
      <c r="ER30" s="53" t="n"/>
      <c r="ES30" s="53" t="n"/>
      <c r="ET30" s="53" t="n"/>
      <c r="EU30" s="53" t="n"/>
      <c r="EV30" s="53" t="n"/>
      <c r="EW30" s="52" t="n"/>
      <c r="EX30" s="53" t="inlineStr">
        <is>
          <t>• Role / sub-team: Services - Disclosure management for US Region.</t>
        </is>
      </c>
      <c r="EY30" s="53"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EZ30" s="53" t="inlineStr">
        <is>
          <t>• Current capabilities: Time management collabrat; Working underpressure; Flexible; Adaptiblity; Tools / software used: Both | Ifile [Teams chat].</t>
        </is>
      </c>
      <c r="FA30" s="53" t="inlineStr">
        <is>
          <t>• Development priorities: No input received.
• Learning and Development Need: Refresher training; important-points discussion; shift managing; knowledge sharing to others; checklist preparation.</t>
        </is>
      </c>
      <c r="FB30" s="53" t="inlineStr">
        <is>
          <t>• Key challenges: Peakseason resource short; RDP ISSUE; Technical; Single screen issue; Small laptop screen.
• Support required: No input received.</t>
        </is>
      </c>
      <c r="FC30" s="53" t="n"/>
      <c r="FD30" s="53" t="n"/>
      <c r="FE30"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0" s="56" t="n"/>
      <c r="FG30" s="56" t="n"/>
      <c r="FH30" s="56" t="n"/>
      <c r="FI30" s="56" t="n"/>
      <c r="FJ30" s="56" t="inlineStr">
        <is>
          <t>Received · manager annual</t>
        </is>
      </c>
      <c r="FK30" s="56" t="inlineStr">
        <is>
          <t>CARBON Mapping Master</t>
        </is>
      </c>
      <c r="FL30" s="56" t="n">
        <v>20</v>
      </c>
      <c r="FM30" s="56" t="inlineStr">
        <is>
          <t>• Role / sub-team: Services - Disclosure management for US Region.</t>
        </is>
      </c>
      <c r="FN30" s="56"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FO30" s="56" t="inlineStr">
        <is>
          <t>• Current capabilities: Time management collabrat; Working underpressure; Flexible; Adaptiblity; Tools / software used: Both | Ifile [Teams chat].</t>
        </is>
      </c>
      <c r="FP30" s="56" t="inlineStr">
        <is>
          <t>• Development priorities: No input received.
• Learning and Development Need: Refresher training; important-points discussion; shift managing; knowledge sharing to others; checklist preparation.</t>
        </is>
      </c>
      <c r="FQ30" s="56" t="inlineStr">
        <is>
          <t>• Key challenges: Peakseason resource short; RDP ISSUE; Technical; Single screen issue; Small laptop screen.
• Support required: No input received.</t>
        </is>
      </c>
      <c r="FR30" s="56" t="inlineStr">
        <is>
          <t>Complexity: Evidence reads like B1: Runs US mandate Disclosure Management delivery: quality, issue resolution, UAT sign-off, utilisation reporting → matches the start
Autonomy: Evidence reads like B2: Allocates and rebalances workload, prioritises tasks, takes corrective action within established processes → moved up 0.5
Accountability: Evidence reads like B1: Delivery, quality and timelines of a five-person US mandate team; UAT sign-off → matches the start
Leadership: Evidence reads like B1: Five direct reports; allocates work, day-to-day guidance, training per manager note → matches the start
Business Impact: Moved +0.5: the survey / manager mapping marks it business-critical.</t>
        </is>
      </c>
      <c r="FS30"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30" s="56" t="inlineStr">
        <is>
          <t>Self-identified: Leadership &amp; people management · Data, SQL &amp; analytics · Domain, regulatory &amp; XBRL · Client, sales &amp; stakeholders · Broader exposure &amp; ownership
For the next role: Leadership &amp; people management · Data, SQL &amp; analytics · Domain, regulatory &amp; XBRL · Client, sales &amp; stakeholders · Strategy &amp; business acumen · Broader exposure &amp; ownership</t>
        </is>
      </c>
      <c r="FU30" s="56" t="inlineStr">
        <is>
          <t>Per-person summary · CARBON Mapping Master</t>
        </is>
      </c>
    </row>
    <row r="31" ht="90" customHeight="1">
      <c r="A31" s="51" t="inlineStr">
        <is>
          <t>◂ Back</t>
        </is>
      </c>
      <c r="B31" s="29" t="inlineStr">
        <is>
          <t>Mapped</t>
        </is>
      </c>
      <c r="C31" s="28" t="inlineStr">
        <is>
          <t>CARBON</t>
        </is>
      </c>
      <c r="D31" s="29" t="inlineStr">
        <is>
          <t>IRIS1950</t>
        </is>
      </c>
      <c r="E31" s="29" t="inlineStr">
        <is>
          <t>Manish Lipcha</t>
        </is>
      </c>
      <c r="F31" s="29" t="inlineStr">
        <is>
          <t>Services</t>
        </is>
      </c>
      <c r="G31" s="29" t="inlineStr">
        <is>
          <t>Senior Financial Analyst</t>
        </is>
      </c>
      <c r="H31" s="29" t="inlineStr">
        <is>
          <t>XBRL Specialist</t>
        </is>
      </c>
      <c r="I31" s="29" t="inlineStr">
        <is>
          <t>L4 – Senior</t>
        </is>
      </c>
      <c r="J31" s="29" t="inlineStr">
        <is>
          <t>B1</t>
        </is>
      </c>
      <c r="K31" s="29" t="inlineStr">
        <is>
          <t>▲ Up</t>
        </is>
      </c>
      <c r="L31" s="29" t="inlineStr">
        <is>
          <t>Consulting &amp; Professional Services</t>
        </is>
      </c>
      <c r="M31" s="29" t="inlineStr">
        <is>
          <t>XBRL Tagging, Conversion &amp; Filing</t>
        </is>
      </c>
      <c r="N31" s="29" t="inlineStr">
        <is>
          <t>• Confirm the reporting line — Manager</t>
        </is>
      </c>
      <c r="O31" s="29" t="n">
        <v>20</v>
      </c>
      <c r="P31" s="28" t="inlineStr">
        <is>
          <t>P3 / M2</t>
        </is>
      </c>
      <c r="Q31" s="29" t="inlineStr">
        <is>
          <t>Career / · Team Lead</t>
        </is>
      </c>
      <c r="R31" s="29" t="inlineStr">
        <is>
          <t>4 Enable</t>
        </is>
      </c>
      <c r="S31" s="29" t="inlineStr">
        <is>
          <t>4–7 yrs</t>
        </is>
      </c>
      <c r="T31" s="29" t="inlineStr">
        <is>
          <t>5–8 · 4–8</t>
        </is>
      </c>
      <c r="U31" s="29" t="inlineStr">
        <is>
          <t>Consultant / Senior Associate</t>
        </is>
      </c>
      <c r="V31" s="29" t="inlineStr">
        <is>
          <t>Big Four: Senior Consultant · IRIS Vs Market Benchmark — XBRL US credential pathway: Certificate + specialist taxonomy</t>
        </is>
      </c>
      <c r="W31" s="29" t="inlineStr">
        <is>
          <t>XBRL US GAAP Certificate · AICPA &amp; XBRL US; XBRL International specifications; IFRS / US GAAP / Ind AS</t>
        </is>
      </c>
      <c r="X31" s="29" t="inlineStr">
        <is>
          <t>Core 3 · Future 3 · Functional 3 · Leadership 1</t>
        </is>
      </c>
      <c r="Y31" s="52" t="n">
        <v>196</v>
      </c>
      <c r="Z31" s="53" t="inlineStr">
        <is>
          <t>IRIS1950</t>
        </is>
      </c>
      <c r="AA31" s="53" t="inlineStr">
        <is>
          <t>Employee</t>
        </is>
      </c>
      <c r="AB31" s="53" t="inlineStr">
        <is>
          <t>Active</t>
        </is>
      </c>
      <c r="AC31" s="53" t="inlineStr">
        <is>
          <t>Manish Lipcha</t>
        </is>
      </c>
      <c r="AD31" s="54" t="n">
        <v>44445</v>
      </c>
      <c r="AE31" s="53" t="inlineStr">
        <is>
          <t>Senior Financial Analyst</t>
        </is>
      </c>
      <c r="AF31" s="53" t="inlineStr">
        <is>
          <t>MMS</t>
        </is>
      </c>
      <c r="AG31" s="53" t="inlineStr">
        <is>
          <t>Mohammed Dholkawala</t>
        </is>
      </c>
      <c r="AH31" s="53" t="inlineStr">
        <is>
          <t>N-7</t>
        </is>
      </c>
      <c r="AI31" s="53" t="inlineStr">
        <is>
          <t>Individual Contributor</t>
        </is>
      </c>
      <c r="AJ31" s="53" t="inlineStr">
        <is>
          <t>3 years, 4 months, 0 days</t>
        </is>
      </c>
      <c r="AK31" s="53" t="inlineStr">
        <is>
          <t>4 years, 11 months, 19 days</t>
        </is>
      </c>
      <c r="AL31" s="53" t="inlineStr">
        <is>
          <t>Regtech</t>
        </is>
      </c>
      <c r="AM31" s="53" t="inlineStr">
        <is>
          <t>CARBON</t>
        </is>
      </c>
      <c r="AN31" s="53" t="inlineStr">
        <is>
          <t>Services</t>
        </is>
      </c>
      <c r="AO31" s="53" t="inlineStr">
        <is>
          <t>Expert Assisted services</t>
        </is>
      </c>
      <c r="AP31" s="53" t="inlineStr">
        <is>
          <t>No</t>
        </is>
      </c>
      <c r="AQ31" s="53" t="inlineStr">
        <is>
          <t>Professional Services</t>
        </is>
      </c>
      <c r="AR31" s="53" t="inlineStr">
        <is>
          <t>XBRL Domain</t>
        </is>
      </c>
      <c r="AS31" s="53" t="inlineStr">
        <is>
          <t>Non-technical</t>
        </is>
      </c>
      <c r="AT31" s="53" t="n">
        <v>20</v>
      </c>
      <c r="AU31" s="53" t="inlineStr">
        <is>
          <t>Covered</t>
        </is>
      </c>
      <c r="AV31" s="53" t="inlineStr">
        <is>
          <t>IRIS1950</t>
        </is>
      </c>
      <c r="AW31" s="53" t="inlineStr">
        <is>
          <t>Manish Lipcha</t>
        </is>
      </c>
      <c r="AX31" s="53" t="inlineStr">
        <is>
          <t>Services</t>
        </is>
      </c>
      <c r="AY31" s="53" t="inlineStr">
        <is>
          <t>Professional Services</t>
        </is>
      </c>
      <c r="AZ31" s="53" t="inlineStr">
        <is>
          <t>XBRL / Regulatory Reporting</t>
        </is>
      </c>
      <c r="BA31" s="53" t="n"/>
      <c r="BB31" s="53" t="n"/>
      <c r="BC31" s="53" t="inlineStr">
        <is>
          <t>Employee</t>
        </is>
      </c>
      <c r="BD31" s="53" t="inlineStr">
        <is>
          <t>Mohammed Dholkawala</t>
        </is>
      </c>
      <c r="BE31" s="53" t="inlineStr">
        <is>
          <t>Mohammed Dholkawala</t>
        </is>
      </c>
      <c r="BF31" s="53" t="inlineStr">
        <is>
          <t>No</t>
        </is>
      </c>
      <c r="BG31" s="53" t="inlineStr">
        <is>
          <t>Senior Financial Analyst</t>
        </is>
      </c>
      <c r="BH31" s="53" t="inlineStr">
        <is>
          <t>Senior Services Specialist</t>
        </is>
      </c>
      <c r="BI31" s="53" t="inlineStr">
        <is>
          <t>Yes</t>
        </is>
      </c>
      <c r="BJ31" s="53" t="inlineStr">
        <is>
          <t>—</t>
        </is>
      </c>
      <c r="BK31" s="53" t="inlineStr">
        <is>
          <t>—</t>
        </is>
      </c>
      <c r="BL31" s="53" t="inlineStr">
        <is>
          <t>—</t>
        </is>
      </c>
      <c r="BM31" s="53" t="inlineStr">
        <is>
          <t>Not a manager</t>
        </is>
      </c>
      <c r="BN31" s="53" t="inlineStr">
        <is>
          <t>—</t>
        </is>
      </c>
      <c r="BO31" s="53" t="inlineStr">
        <is>
          <t>—</t>
        </is>
      </c>
      <c r="BP31" s="53" t="inlineStr">
        <is>
          <t>—</t>
        </is>
      </c>
      <c r="BQ31" s="53" t="inlineStr">
        <is>
          <t>Not a manager</t>
        </is>
      </c>
      <c r="BR31" s="53" t="inlineStr">
        <is>
          <t>—</t>
        </is>
      </c>
      <c r="BS31" s="53" t="inlineStr">
        <is>
          <t>L4 – Senior</t>
        </is>
      </c>
      <c r="BT31" s="53" t="inlineStr">
        <is>
          <t>L4 – Senior</t>
        </is>
      </c>
      <c r="BU31" s="53" t="inlineStr">
        <is>
          <t>Designation refined from Raw tab Comments column · this update</t>
        </is>
      </c>
      <c r="BV3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1" s="53" t="n"/>
      <c r="BX31" s="53" t="inlineStr">
        <is>
          <t>USA - SEC.</t>
        </is>
      </c>
      <c r="BY31" s="53" t="n"/>
      <c r="BZ31" s="53" t="inlineStr">
        <is>
          <t>IRIS1950</t>
        </is>
      </c>
      <c r="CA31" s="53" t="inlineStr">
        <is>
          <t>Employee</t>
        </is>
      </c>
      <c r="CB31" s="53" t="inlineStr">
        <is>
          <t>Active</t>
        </is>
      </c>
      <c r="CC31" s="53" t="inlineStr">
        <is>
          <t>Manish Lipcha</t>
        </is>
      </c>
      <c r="CD31" s="54" t="n">
        <v>44445</v>
      </c>
      <c r="CE31" s="53" t="inlineStr">
        <is>
          <t>Senior Financial Analyst</t>
        </is>
      </c>
      <c r="CF31" s="53" t="n"/>
      <c r="CG31" s="53" t="inlineStr">
        <is>
          <t>Professional Services</t>
        </is>
      </c>
      <c r="CH31" s="53" t="inlineStr">
        <is>
          <t>XBRL / Regulatory Reporting</t>
        </is>
      </c>
      <c r="CI31" s="53" t="inlineStr">
        <is>
          <t>Senior Financial Analyst</t>
        </is>
      </c>
      <c r="CJ31" s="53" t="inlineStr">
        <is>
          <t>L4 – Senior</t>
        </is>
      </c>
      <c r="CK31" s="53" t="inlineStr">
        <is>
          <t>Mohammed Dholkawala</t>
        </is>
      </c>
      <c r="CL31" s="53" t="inlineStr">
        <is>
          <t>N-7</t>
        </is>
      </c>
      <c r="CM31" s="53" t="inlineStr">
        <is>
          <t>Individual Contributor</t>
        </is>
      </c>
      <c r="CN31" s="53" t="inlineStr">
        <is>
          <t>Regtech</t>
        </is>
      </c>
      <c r="CO31" s="53" t="inlineStr">
        <is>
          <t>Services</t>
        </is>
      </c>
      <c r="CP31" s="53" t="inlineStr">
        <is>
          <t>8 years, 1 months, 14 days</t>
        </is>
      </c>
      <c r="CQ31" s="53" t="inlineStr">
        <is>
          <t>Senior Services Specialst</t>
        </is>
      </c>
      <c r="CR31" s="53" t="n"/>
      <c r="CS31" s="53" t="n">
        <v>4</v>
      </c>
      <c r="CT31" s="53" t="inlineStr">
        <is>
          <t>High</t>
        </is>
      </c>
      <c r="CU31" s="53" t="inlineStr">
        <is>
          <t>Core Contributor</t>
        </is>
      </c>
      <c r="CV31" s="53" t="inlineStr">
        <is>
          <t>Yes</t>
        </is>
      </c>
      <c r="CW31" s="53" t="inlineStr">
        <is>
          <t>No</t>
        </is>
      </c>
      <c r="CX31" s="53" t="inlineStr">
        <is>
          <t>Yes</t>
        </is>
      </c>
      <c r="CY31" s="53" t="n"/>
      <c r="CZ31" s="53" t="n"/>
      <c r="DA31" s="53" t="n"/>
      <c r="DB31" s="53" t="inlineStr">
        <is>
          <t>Title to be standardized to: Senior Services Specialist</t>
        </is>
      </c>
      <c r="DC31" s="53" t="n"/>
      <c r="DD31" s="53" t="n"/>
      <c r="DE31" s="53" t="n"/>
      <c r="DF31" s="53" t="n"/>
      <c r="DG31" s="53" t="n"/>
      <c r="DH31" s="53" t="n"/>
      <c r="DI31" s="53" t="n"/>
      <c r="DJ31" s="53" t="n"/>
      <c r="DK31" s="53" t="n"/>
      <c r="DL31" s="53" t="n"/>
      <c r="DM31" s="53" t="n"/>
      <c r="DN31" s="53" t="n"/>
      <c r="DO31" s="53" t="n"/>
      <c r="DP31" s="53" t="n"/>
      <c r="DQ31" s="53" t="n"/>
      <c r="DR31" s="53" t="n"/>
      <c r="DS31" s="53" t="n"/>
      <c r="DT31" s="53" t="n"/>
      <c r="DU31" s="53" t="n"/>
      <c r="DV31" s="53" t="n"/>
      <c r="DW31" s="53" t="n"/>
      <c r="DX31" s="53" t="n"/>
      <c r="DY31" s="53" t="n"/>
      <c r="DZ31" s="53" t="n"/>
      <c r="EA31" s="53" t="n"/>
      <c r="EB31" s="53" t="n"/>
      <c r="EC31" s="53" t="n"/>
      <c r="ED31" s="53" t="n"/>
      <c r="EE31" s="53" t="n"/>
      <c r="EF31" s="53" t="n"/>
      <c r="EG31" s="53" t="n"/>
      <c r="EH31" s="53" t="n"/>
      <c r="EI31" s="53" t="n"/>
      <c r="EJ31" s="53" t="n"/>
      <c r="EK31" s="53" t="n"/>
      <c r="EL31" s="53" t="n"/>
      <c r="EM31" s="53" t="n"/>
      <c r="EN31" s="53" t="n"/>
      <c r="EO31" s="53" t="n"/>
      <c r="EP31" s="53" t="n"/>
      <c r="EQ31" s="53" t="n"/>
      <c r="ER31" s="53" t="n"/>
      <c r="ES31" s="53" t="n"/>
      <c r="ET31" s="53" t="n"/>
      <c r="EU31" s="53" t="n"/>
      <c r="EV31" s="53" t="n"/>
      <c r="EW31" s="52" t="n"/>
      <c r="EX31" s="53" t="inlineStr">
        <is>
          <t>• Role / sub-team: Shift lead, XBRL tagging, Quality check, Validation, R&amp;D for US team.</t>
        </is>
      </c>
      <c r="EY31" s="53"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EZ31" s="53" t="inlineStr">
        <is>
          <t>• Current capabilities: Patience; Tools / software used: Both.</t>
        </is>
      </c>
      <c r="FA31" s="53" t="inlineStr">
        <is>
          <t>• Development priorities: No input received.
• Learning and Development Need: Patience.</t>
        </is>
      </c>
      <c r="FB31" s="53" t="inlineStr">
        <is>
          <t>• Key challenges: RDP issue.
• Support required: No input received.</t>
        </is>
      </c>
      <c r="FC31" s="53" t="n"/>
      <c r="FD31" s="53" t="n"/>
      <c r="FE3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1" s="56" t="n"/>
      <c r="FG31" s="56" t="n"/>
      <c r="FH31" s="56" t="n"/>
      <c r="FI31" s="56" t="n"/>
      <c r="FJ31" s="56" t="inlineStr">
        <is>
          <t>Received · manager annual</t>
        </is>
      </c>
      <c r="FK31" s="56" t="inlineStr">
        <is>
          <t>CARBON Mapping Master</t>
        </is>
      </c>
      <c r="FL31" s="56" t="n">
        <v>20</v>
      </c>
      <c r="FM31" s="56" t="inlineStr">
        <is>
          <t>• Role / sub-team: Shift lead, XBRL tagging, Quality check, Validation, R&amp;D for US team.</t>
        </is>
      </c>
      <c r="FN31" s="56"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FO31" s="56" t="inlineStr">
        <is>
          <t>• Current capabilities: Patience; Tools / software used: Both.</t>
        </is>
      </c>
      <c r="FP31" s="56" t="inlineStr">
        <is>
          <t>• Development priorities: No input received.
• Learning and Development Need: Patience.</t>
        </is>
      </c>
      <c r="FQ31" s="56" t="inlineStr">
        <is>
          <t>• Key challenges: RDP issue.
• Support required: No input received.</t>
        </is>
      </c>
      <c r="FR31" s="56" t="inlineStr">
        <is>
          <t>Complexity: Evidence reads like B1: US GAAP/SEC tagging, QC, filings; resolves filing issues; R&amp;D on SEC/FASB taxonomy updates → moved up 0.5
Autonomy: Evidence reads like B1: Assigns and reprioritises work in the shift, resolves routine issues, escalates critical matters → moved up 0.5
Accountability: Evidence reads like A3: Own tagging, reviews and SEC filings plus shift work allocation → matches the start
Leadership: Evidence reads like B1: Shift lead: assigns work and guides team members daily; no formal reports → moved up 1
Business Impact: Moved +0.5: the survey / manager mapping marks it business-critical.</t>
        </is>
      </c>
      <c r="FS3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31" s="56" t="inlineStr">
        <is>
          <t>Self-identified: Leadership &amp; people management · Domain, regulatory &amp; XBRL · Client, sales &amp; stakeholders · Communication &amp; presentation · Broader exposure &amp; ownership
For the next role: AI / automation · Leadership &amp; people management · Project / programme management · Data, SQL &amp; analytics · Domain, regulatory &amp; XBRL · Client, sales &amp; stakeholders · Communication &amp; presentation · Strategy &amp; business acumen · Broader exposure &amp; ownership</t>
        </is>
      </c>
      <c r="FU31" s="56" t="inlineStr">
        <is>
          <t>Per-person summary · CARBON Mapping Master</t>
        </is>
      </c>
    </row>
    <row r="32" ht="90" customHeight="1">
      <c r="A32" s="51" t="inlineStr">
        <is>
          <t>◂ Back</t>
        </is>
      </c>
      <c r="B32" s="29" t="inlineStr">
        <is>
          <t>Mapped</t>
        </is>
      </c>
      <c r="C32" s="28" t="inlineStr">
        <is>
          <t>CARBON</t>
        </is>
      </c>
      <c r="D32" s="29" t="inlineStr">
        <is>
          <t>IRIS0027</t>
        </is>
      </c>
      <c r="E32" s="29" t="inlineStr">
        <is>
          <t>Haresh Misal</t>
        </is>
      </c>
      <c r="F32" s="29" t="inlineStr">
        <is>
          <t>Services</t>
        </is>
      </c>
      <c r="G32" s="29" t="inlineStr">
        <is>
          <t>Senior Financial Analyst</t>
        </is>
      </c>
      <c r="H32" s="29" t="inlineStr">
        <is>
          <t>Senior Financial Analyst</t>
        </is>
      </c>
      <c r="I32" s="29" t="inlineStr">
        <is>
          <t>L4 – Senior</t>
        </is>
      </c>
      <c r="J32" s="29" t="inlineStr">
        <is>
          <t>A3</t>
        </is>
      </c>
      <c r="K32" s="29" t="inlineStr">
        <is>
          <t>• Same level</t>
        </is>
      </c>
      <c r="L32" s="29" t="inlineStr">
        <is>
          <t>Consulting &amp; Professional Services</t>
        </is>
      </c>
      <c r="M32" s="29" t="inlineStr">
        <is>
          <t>XBRL Tagging, Conversion &amp; Filing</t>
        </is>
      </c>
      <c r="N32" s="29" t="n"/>
      <c r="O32" s="29" t="n">
        <v>20</v>
      </c>
      <c r="P32" s="28" t="inlineStr">
        <is>
          <t>P2</t>
        </is>
      </c>
      <c r="Q32" s="29" t="inlineStr">
        <is>
          <t>Developing</t>
        </is>
      </c>
      <c r="R32" s="29" t="inlineStr">
        <is>
          <t>3 Apply</t>
        </is>
      </c>
      <c r="S32" s="29" t="inlineStr">
        <is>
          <t>2–4 yrs</t>
        </is>
      </c>
      <c r="T32" s="29" t="inlineStr">
        <is>
          <t>3–5 · 2–5</t>
        </is>
      </c>
      <c r="U32" s="29" t="inlineStr">
        <is>
          <t>Senior Analyst / Associate</t>
        </is>
      </c>
      <c r="V32" s="29" t="inlineStr">
        <is>
          <t>DataTracks: Senior Associate · 2–5 yrs · Big Four: Consultant · IRIS Vs Market Benchmark — XBRL US credential pathway: XBRL US GAAP Certificate</t>
        </is>
      </c>
      <c r="W32" s="29" t="inlineStr">
        <is>
          <t>XBRL US GAAP Certificate · AICPA &amp; XBRL US; XBRL International specifications; IFRS / US GAAP / Ind AS</t>
        </is>
      </c>
      <c r="X32" s="29" t="inlineStr">
        <is>
          <t>Core 2 · Future 2 · Functional 3 · Leadership not scored</t>
        </is>
      </c>
      <c r="Y32" s="52" t="n">
        <v>13</v>
      </c>
      <c r="Z32" s="53" t="inlineStr">
        <is>
          <t>IRIS0027</t>
        </is>
      </c>
      <c r="AA32" s="53" t="inlineStr">
        <is>
          <t>Employee</t>
        </is>
      </c>
      <c r="AB32" s="53" t="inlineStr">
        <is>
          <t>Active</t>
        </is>
      </c>
      <c r="AC32" s="53" t="inlineStr">
        <is>
          <t>Haresh Misal</t>
        </is>
      </c>
      <c r="AD32" s="54" t="n">
        <v>38558</v>
      </c>
      <c r="AE32" s="53" t="inlineStr">
        <is>
          <t>Senior Financial Analyst</t>
        </is>
      </c>
      <c r="AF32" s="53" t="inlineStr">
        <is>
          <t>B.Com</t>
        </is>
      </c>
      <c r="AG32" s="53" t="inlineStr">
        <is>
          <t>Mohammed Dholkawala</t>
        </is>
      </c>
      <c r="AH32" s="53" t="inlineStr">
        <is>
          <t>N-7</t>
        </is>
      </c>
      <c r="AI32" s="53" t="inlineStr">
        <is>
          <t>Individual Contributor</t>
        </is>
      </c>
      <c r="AJ32" s="53" t="inlineStr">
        <is>
          <t>0 years, 0 months, 0 days</t>
        </is>
      </c>
      <c r="AK32" s="53" t="inlineStr">
        <is>
          <t>21 years, 1 months, 0 days</t>
        </is>
      </c>
      <c r="AL32" s="53" t="inlineStr">
        <is>
          <t>Regtech</t>
        </is>
      </c>
      <c r="AM32" s="53" t="inlineStr">
        <is>
          <t>CARBON</t>
        </is>
      </c>
      <c r="AN32" s="53" t="inlineStr">
        <is>
          <t>Services</t>
        </is>
      </c>
      <c r="AO32" s="53" t="inlineStr">
        <is>
          <t>Expert Assisted services</t>
        </is>
      </c>
      <c r="AP32" s="53" t="inlineStr">
        <is>
          <t>No</t>
        </is>
      </c>
      <c r="AQ32" s="53" t="inlineStr">
        <is>
          <t>Professional Services</t>
        </is>
      </c>
      <c r="AR32" s="53" t="inlineStr">
        <is>
          <t>XBRL Domain</t>
        </is>
      </c>
      <c r="AS32" s="53" t="inlineStr">
        <is>
          <t>Non-technical</t>
        </is>
      </c>
      <c r="AT32" s="53" t="n">
        <v>20</v>
      </c>
      <c r="AU32" s="53" t="inlineStr">
        <is>
          <t>Covered</t>
        </is>
      </c>
      <c r="AV32" s="53" t="inlineStr">
        <is>
          <t>IRIS0027</t>
        </is>
      </c>
      <c r="AW32" s="53" t="inlineStr">
        <is>
          <t>Haresh Misal</t>
        </is>
      </c>
      <c r="AX32" s="53" t="inlineStr">
        <is>
          <t>Services</t>
        </is>
      </c>
      <c r="AY32" s="53" t="inlineStr">
        <is>
          <t>Professional Services</t>
        </is>
      </c>
      <c r="AZ32" s="53" t="inlineStr">
        <is>
          <t>XBRL / Regulatory Reporting</t>
        </is>
      </c>
      <c r="BA32" s="53" t="n"/>
      <c r="BB32" s="53" t="n"/>
      <c r="BC32" s="53" t="inlineStr">
        <is>
          <t>Employee</t>
        </is>
      </c>
      <c r="BD32" s="53" t="inlineStr">
        <is>
          <t>Mohammed Dholkawala</t>
        </is>
      </c>
      <c r="BE32" s="53" t="inlineStr">
        <is>
          <t>Mohammed Dholkawala</t>
        </is>
      </c>
      <c r="BF32" s="53" t="inlineStr">
        <is>
          <t>No</t>
        </is>
      </c>
      <c r="BG32" s="53" t="inlineStr">
        <is>
          <t>Senior Financial Analyst</t>
        </is>
      </c>
      <c r="BH32" s="53" t="inlineStr">
        <is>
          <t>Senior Services Specialist</t>
        </is>
      </c>
      <c r="BI32" s="53" t="inlineStr">
        <is>
          <t>Yes</t>
        </is>
      </c>
      <c r="BJ32" s="53" t="inlineStr">
        <is>
          <t>—</t>
        </is>
      </c>
      <c r="BK32" s="53" t="inlineStr">
        <is>
          <t>—</t>
        </is>
      </c>
      <c r="BL32" s="53" t="inlineStr">
        <is>
          <t>—</t>
        </is>
      </c>
      <c r="BM32" s="53" t="inlineStr">
        <is>
          <t>Not a manager</t>
        </is>
      </c>
      <c r="BN32" s="53" t="inlineStr">
        <is>
          <t>—</t>
        </is>
      </c>
      <c r="BO32" s="53" t="inlineStr">
        <is>
          <t>—</t>
        </is>
      </c>
      <c r="BP32" s="53" t="inlineStr">
        <is>
          <t>—</t>
        </is>
      </c>
      <c r="BQ32" s="53" t="inlineStr">
        <is>
          <t>Not a manager</t>
        </is>
      </c>
      <c r="BR32" s="53" t="inlineStr">
        <is>
          <t>—</t>
        </is>
      </c>
      <c r="BS32" s="53" t="inlineStr">
        <is>
          <t>L4 – Senior</t>
        </is>
      </c>
      <c r="BT32" s="53" t="inlineStr">
        <is>
          <t>L4 – Senior</t>
        </is>
      </c>
      <c r="BU32" s="53" t="inlineStr">
        <is>
          <t>Designation refined from Raw tab Comments column · this update</t>
        </is>
      </c>
      <c r="BV3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2" s="53" t="n"/>
      <c r="BX32" s="53" t="inlineStr">
        <is>
          <t>USA - SEC.</t>
        </is>
      </c>
      <c r="BY32" s="53" t="n"/>
      <c r="BZ32" s="53" t="inlineStr">
        <is>
          <t>IRIS0027</t>
        </is>
      </c>
      <c r="CA32" s="53" t="inlineStr">
        <is>
          <t>Employee</t>
        </is>
      </c>
      <c r="CB32" s="53" t="inlineStr">
        <is>
          <t>Active</t>
        </is>
      </c>
      <c r="CC32" s="53" t="inlineStr">
        <is>
          <t>Haresh Misal</t>
        </is>
      </c>
      <c r="CD32" s="54" t="n">
        <v>38558</v>
      </c>
      <c r="CE32" s="53" t="inlineStr">
        <is>
          <t>Senior Financial Analyst</t>
        </is>
      </c>
      <c r="CF32" s="53" t="n"/>
      <c r="CG32" s="53" t="inlineStr">
        <is>
          <t>Professional Services</t>
        </is>
      </c>
      <c r="CH32" s="53" t="inlineStr">
        <is>
          <t>XBRL / Regulatory Reporting</t>
        </is>
      </c>
      <c r="CI32" s="53" t="inlineStr">
        <is>
          <t>Senior Financial Analyst</t>
        </is>
      </c>
      <c r="CJ32" s="53" t="inlineStr">
        <is>
          <t>L4 – Senior</t>
        </is>
      </c>
      <c r="CK32" s="53" t="inlineStr">
        <is>
          <t>Mohammed Dholkawala</t>
        </is>
      </c>
      <c r="CL32" s="53" t="inlineStr">
        <is>
          <t>N-7</t>
        </is>
      </c>
      <c r="CM32" s="53" t="inlineStr">
        <is>
          <t>Individual Contributor</t>
        </is>
      </c>
      <c r="CN32" s="53" t="inlineStr">
        <is>
          <t>Regtech</t>
        </is>
      </c>
      <c r="CO32" s="53" t="inlineStr">
        <is>
          <t>Services</t>
        </is>
      </c>
      <c r="CP32" s="53" t="inlineStr">
        <is>
          <t>20 years, 10 months, 26 days</t>
        </is>
      </c>
      <c r="CQ32" s="53" t="inlineStr">
        <is>
          <t>Senior Services Specialst</t>
        </is>
      </c>
      <c r="CR32" s="53" t="n"/>
      <c r="CS32" s="53" t="n">
        <v>2</v>
      </c>
      <c r="CT32" s="53" t="inlineStr">
        <is>
          <t>Low</t>
        </is>
      </c>
      <c r="CU32" s="53" t="inlineStr">
        <is>
          <t>Reliable Specialist</t>
        </is>
      </c>
      <c r="CV32" s="53" t="inlineStr">
        <is>
          <t>No</t>
        </is>
      </c>
      <c r="CW32" s="53" t="inlineStr">
        <is>
          <t>No</t>
        </is>
      </c>
      <c r="CX32" s="53" t="inlineStr">
        <is>
          <t>Yes</t>
        </is>
      </c>
      <c r="CY32" s="53" t="n"/>
      <c r="CZ32" s="53" t="n"/>
      <c r="DA32" s="53" t="n"/>
      <c r="DB32" s="53" t="inlineStr">
        <is>
          <t>Title to be standardized to: Senior Services Specialist</t>
        </is>
      </c>
      <c r="DC32" s="53" t="n"/>
      <c r="DD32" s="53" t="n"/>
      <c r="DE32" s="53" t="n"/>
      <c r="DF32" s="53" t="n"/>
      <c r="DG32" s="53" t="n"/>
      <c r="DH32" s="53" t="n"/>
      <c r="DI32" s="53" t="n"/>
      <c r="DJ32" s="53" t="n"/>
      <c r="DK32" s="53" t="n"/>
      <c r="DL32" s="53" t="n"/>
      <c r="DM32" s="53" t="n"/>
      <c r="DN32" s="53" t="n"/>
      <c r="DO32" s="53" t="n"/>
      <c r="DP32" s="53" t="n"/>
      <c r="DQ32" s="53" t="n"/>
      <c r="DR32" s="53" t="n"/>
      <c r="DS32" s="53" t="n"/>
      <c r="DT32" s="53" t="n"/>
      <c r="DU32" s="53" t="n"/>
      <c r="DV32" s="53" t="n"/>
      <c r="DW32" s="53" t="n"/>
      <c r="DX32" s="53" t="n"/>
      <c r="DY32" s="53" t="n"/>
      <c r="DZ32" s="53" t="n"/>
      <c r="EA32" s="53" t="n"/>
      <c r="EB32" s="53" t="n"/>
      <c r="EC32" s="53" t="n"/>
      <c r="ED32" s="53" t="n"/>
      <c r="EE32" s="53" t="n"/>
      <c r="EF32" s="53" t="n"/>
      <c r="EG32" s="53" t="n"/>
      <c r="EH32" s="53" t="n"/>
      <c r="EI32" s="53" t="n"/>
      <c r="EJ32" s="53" t="n"/>
      <c r="EK32" s="53" t="n"/>
      <c r="EL32" s="53" t="n"/>
      <c r="EM32" s="53" t="n"/>
      <c r="EN32" s="53" t="n"/>
      <c r="EO32" s="53" t="n"/>
      <c r="EP32" s="53" t="n"/>
      <c r="EQ32" s="53" t="n"/>
      <c r="ER32" s="53" t="n"/>
      <c r="ES32" s="53" t="n"/>
      <c r="ET32" s="53" t="n"/>
      <c r="EU32" s="53" t="n"/>
      <c r="EV32" s="53" t="n"/>
      <c r="EW32" s="52" t="inlineStr">
        <is>
          <t>Survey response was originally anonymous; manually identified as Haresh Misal · Emp ID IRIS0027 and mapped here on that basis.</t>
        </is>
      </c>
      <c r="EX32" s="53" t="inlineStr">
        <is>
          <t>• Role / sub-team: XBRL Tagging - US Service Team.</t>
        </is>
      </c>
      <c r="EY32" s="53" t="inlineStr">
        <is>
          <t>• Key responsibilities include: XBRL tagging, QC, validation, training, practice.
• Reported deliverables and outcomes include: Informed to shift lead and give hand over to next shift person.</t>
        </is>
      </c>
      <c r="EZ32" s="53" t="inlineStr">
        <is>
          <t>• Current capabilities: Time management; Tools / software used: Both.</t>
        </is>
      </c>
      <c r="FA32" s="53" t="inlineStr">
        <is>
          <t>• Development priorities: No input received.
• Learning and Development Need: Time management.</t>
        </is>
      </c>
      <c r="FB32" s="53" t="inlineStr">
        <is>
          <t>• Key challenges: Remote desktop.
• Support required: No input received.</t>
        </is>
      </c>
      <c r="FC32" s="53" t="n"/>
      <c r="FD32" s="53" t="n"/>
      <c r="FE3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2" s="56" t="n"/>
      <c r="FG32" s="56" t="n"/>
      <c r="FH32" s="56" t="n"/>
      <c r="FI32" s="56" t="n"/>
      <c r="FJ32" s="56" t="inlineStr">
        <is>
          <t>Received · manager annual</t>
        </is>
      </c>
      <c r="FK32" s="56" t="inlineStr">
        <is>
          <t>CARBON Mapping Master</t>
        </is>
      </c>
      <c r="FL32" s="56" t="n">
        <v>20</v>
      </c>
      <c r="FM32" s="56" t="inlineStr">
        <is>
          <t>• Role / sub-team: XBRL Tagging - US Service Team.</t>
        </is>
      </c>
      <c r="FN32" s="56" t="inlineStr">
        <is>
          <t>• Key responsibilities include: XBRL tagging, QC, validation, training, practice.
• Reported deliverables and outcomes include: Informed to shift lead and give hand over to next shift person.</t>
        </is>
      </c>
      <c r="FO32" s="56" t="inlineStr">
        <is>
          <t>• Current capabilities: Time management; Tools / software used: Both.</t>
        </is>
      </c>
      <c r="FP32" s="56" t="inlineStr">
        <is>
          <t>• Development priorities: No input received.
• Learning and Development Need: Time management.</t>
        </is>
      </c>
      <c r="FQ32" s="56" t="inlineStr">
        <is>
          <t>• Key challenges: Remote desktop.
• Support required: No input received.</t>
        </is>
      </c>
      <c r="FR32" s="56" t="inlineStr">
        <is>
          <t>Complexity: Evidence reads like A2: Tagging, QC analysis, client demo preparation and portal filing; text very thin → moved down 0.5
Autonomy: Evidence reads like A2: Only named decision is raising issues to support → moved down 0.5
Accountability: Evidence reads like A2: Error-free completion of own tagging and QC tasks → moved down 0.5
Leadership: Evidence reads like A1: No guiding or leading of others described → moved down 0.5
Business Impact: Moved +0.5: the survey / manager mapping marks it business-critical.</t>
        </is>
      </c>
      <c r="FS3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2" s="56" t="inlineStr">
        <is>
          <t>Self-identified: Testing &amp; quality · Domain, regulatory &amp; XBRL · Client, sales &amp; stakeholders · Broader exposure &amp; ownership
For the next role: Testing &amp; quality · Domain, regulatory &amp; XBRL · Client, sales &amp; stakeholders · Communication &amp; presentation · Broader exposure &amp; ownership</t>
        </is>
      </c>
      <c r="FU32" s="56" t="inlineStr">
        <is>
          <t>Per-person summary · CARBON Mapping Master</t>
        </is>
      </c>
    </row>
    <row r="33" ht="90" customHeight="1">
      <c r="A33" s="51" t="inlineStr">
        <is>
          <t>◂ Back</t>
        </is>
      </c>
      <c r="B33" s="29" t="inlineStr">
        <is>
          <t>Mapped</t>
        </is>
      </c>
      <c r="C33" s="28" t="inlineStr">
        <is>
          <t>CARBON</t>
        </is>
      </c>
      <c r="D33" s="29" t="inlineStr">
        <is>
          <t>IRIS2056</t>
        </is>
      </c>
      <c r="E33" s="29" t="inlineStr">
        <is>
          <t>Monica Patel</t>
        </is>
      </c>
      <c r="F33" s="29" t="inlineStr">
        <is>
          <t>Services</t>
        </is>
      </c>
      <c r="G33" s="29" t="inlineStr">
        <is>
          <t>Senior Financial Analyst</t>
        </is>
      </c>
      <c r="H33" s="29" t="inlineStr">
        <is>
          <t>Senior Financial Analyst</t>
        </is>
      </c>
      <c r="I33" s="29" t="inlineStr">
        <is>
          <t>L4 – Senior</t>
        </is>
      </c>
      <c r="J33" s="29" t="inlineStr">
        <is>
          <t>A3</t>
        </is>
      </c>
      <c r="K33" s="29" t="inlineStr">
        <is>
          <t>• Same level</t>
        </is>
      </c>
      <c r="L33" s="29" t="inlineStr">
        <is>
          <t>Consulting &amp; Professional Services</t>
        </is>
      </c>
      <c r="M33" s="29" t="inlineStr">
        <is>
          <t>XBRL Tagging, Conversion &amp; Filing</t>
        </is>
      </c>
      <c r="N33" s="29" t="inlineStr">
        <is>
          <t>• Confirm the reporting line — Manager</t>
        </is>
      </c>
      <c r="O33" s="29" t="n">
        <v>20</v>
      </c>
      <c r="P33" s="28" t="inlineStr">
        <is>
          <t>P2</t>
        </is>
      </c>
      <c r="Q33" s="29" t="inlineStr">
        <is>
          <t>Developing</t>
        </is>
      </c>
      <c r="R33" s="29" t="inlineStr">
        <is>
          <t>3 Apply</t>
        </is>
      </c>
      <c r="S33" s="29" t="inlineStr">
        <is>
          <t>2–4 yrs</t>
        </is>
      </c>
      <c r="T33" s="29" t="inlineStr">
        <is>
          <t>3–5 · 2–5</t>
        </is>
      </c>
      <c r="U33" s="29" t="inlineStr">
        <is>
          <t>Senior Analyst / Associate</t>
        </is>
      </c>
      <c r="V33" s="29" t="inlineStr">
        <is>
          <t>DataTracks: Senior Associate · 2–5 yrs · Big Four: Consultant · IRIS Vs Market Benchmark — XBRL US credential pathway: XBRL US GAAP Certificate</t>
        </is>
      </c>
      <c r="W33" s="29" t="inlineStr">
        <is>
          <t>XBRL US GAAP Certificate · AICPA &amp; XBRL US; XBRL International specifications; IFRS / US GAAP / Ind AS</t>
        </is>
      </c>
      <c r="X33" s="29" t="inlineStr">
        <is>
          <t>Core 2 · Future 2 · Functional 3 · Leadership not scored</t>
        </is>
      </c>
      <c r="Y33" s="52" t="n">
        <v>238</v>
      </c>
      <c r="Z33" s="53" t="inlineStr">
        <is>
          <t>IRIS2056</t>
        </is>
      </c>
      <c r="AA33" s="53" t="inlineStr">
        <is>
          <t>Employee</t>
        </is>
      </c>
      <c r="AB33" s="53" t="inlineStr">
        <is>
          <t>Active</t>
        </is>
      </c>
      <c r="AC33" s="53" t="inlineStr">
        <is>
          <t>Monica Patel</t>
        </is>
      </c>
      <c r="AD33" s="54" t="n">
        <v>44785</v>
      </c>
      <c r="AE33" s="53" t="inlineStr">
        <is>
          <t>Senior Financial Analyst</t>
        </is>
      </c>
      <c r="AF33" s="53" t="inlineStr">
        <is>
          <t>BMS</t>
        </is>
      </c>
      <c r="AG33" s="53" t="inlineStr">
        <is>
          <t>Mohammed Dholkawala</t>
        </is>
      </c>
      <c r="AH33" s="53" t="inlineStr">
        <is>
          <t>N-7</t>
        </is>
      </c>
      <c r="AI33" s="53" t="inlineStr">
        <is>
          <t>Individual Contributor</t>
        </is>
      </c>
      <c r="AJ33" s="53" t="inlineStr">
        <is>
          <t>7 years, 2 months, 0 days</t>
        </is>
      </c>
      <c r="AK33" s="53" t="inlineStr">
        <is>
          <t>4 years, 0 months, 13 days</t>
        </is>
      </c>
      <c r="AL33" s="53" t="inlineStr">
        <is>
          <t>Regtech</t>
        </is>
      </c>
      <c r="AM33" s="53" t="inlineStr">
        <is>
          <t>CARBON</t>
        </is>
      </c>
      <c r="AN33" s="53" t="inlineStr">
        <is>
          <t>Services</t>
        </is>
      </c>
      <c r="AO33" s="53" t="inlineStr">
        <is>
          <t>Expert Assisted services</t>
        </is>
      </c>
      <c r="AP33" s="53" t="inlineStr">
        <is>
          <t>No</t>
        </is>
      </c>
      <c r="AQ33" s="53" t="inlineStr">
        <is>
          <t>Professional Services</t>
        </is>
      </c>
      <c r="AR33" s="53" t="inlineStr">
        <is>
          <t>XBRL Domain</t>
        </is>
      </c>
      <c r="AS33" s="53" t="inlineStr">
        <is>
          <t>Non-technical</t>
        </is>
      </c>
      <c r="AT33" s="53" t="n">
        <v>20</v>
      </c>
      <c r="AU33" s="53" t="inlineStr">
        <is>
          <t>Covered</t>
        </is>
      </c>
      <c r="AV33" s="53" t="inlineStr">
        <is>
          <t>IRIS2056</t>
        </is>
      </c>
      <c r="AW33" s="53" t="inlineStr">
        <is>
          <t>Monica Patel</t>
        </is>
      </c>
      <c r="AX33" s="53" t="inlineStr">
        <is>
          <t>Services</t>
        </is>
      </c>
      <c r="AY33" s="53" t="inlineStr">
        <is>
          <t>Professional Services</t>
        </is>
      </c>
      <c r="AZ33" s="53" t="inlineStr">
        <is>
          <t>XBRL / Regulatory Reporting</t>
        </is>
      </c>
      <c r="BA33" s="53" t="n"/>
      <c r="BB33" s="53" t="n"/>
      <c r="BC33" s="53" t="inlineStr">
        <is>
          <t>Employee</t>
        </is>
      </c>
      <c r="BD33" s="53" t="inlineStr">
        <is>
          <t>Mohammed Dholkawala</t>
        </is>
      </c>
      <c r="BE33" s="53" t="inlineStr">
        <is>
          <t>Mohammed Dholkawala</t>
        </is>
      </c>
      <c r="BF33" s="53" t="inlineStr">
        <is>
          <t>No</t>
        </is>
      </c>
      <c r="BG33" s="53" t="inlineStr">
        <is>
          <t>Senior Financial Analyst</t>
        </is>
      </c>
      <c r="BH33" s="53" t="inlineStr">
        <is>
          <t>Senior Services Specialist</t>
        </is>
      </c>
      <c r="BI33" s="53" t="inlineStr">
        <is>
          <t>Yes</t>
        </is>
      </c>
      <c r="BJ33" s="53" t="inlineStr">
        <is>
          <t>—</t>
        </is>
      </c>
      <c r="BK33" s="53" t="inlineStr">
        <is>
          <t>—</t>
        </is>
      </c>
      <c r="BL33" s="53" t="inlineStr">
        <is>
          <t>—</t>
        </is>
      </c>
      <c r="BM33" s="53" t="inlineStr">
        <is>
          <t>Not a manager</t>
        </is>
      </c>
      <c r="BN33" s="53" t="inlineStr">
        <is>
          <t>—</t>
        </is>
      </c>
      <c r="BO33" s="53" t="inlineStr">
        <is>
          <t>—</t>
        </is>
      </c>
      <c r="BP33" s="53" t="inlineStr">
        <is>
          <t>—</t>
        </is>
      </c>
      <c r="BQ33" s="53" t="inlineStr">
        <is>
          <t>Not a manager</t>
        </is>
      </c>
      <c r="BR33" s="53" t="inlineStr">
        <is>
          <t>—</t>
        </is>
      </c>
      <c r="BS33" s="53" t="inlineStr">
        <is>
          <t>L4 – Senior</t>
        </is>
      </c>
      <c r="BT33" s="53" t="inlineStr">
        <is>
          <t>L4 – Senior</t>
        </is>
      </c>
      <c r="BU33" s="53" t="inlineStr">
        <is>
          <t>Designation refined from Raw tab Comments column · this update</t>
        </is>
      </c>
      <c r="BV3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3" s="53" t="n"/>
      <c r="BX33" s="53" t="inlineStr">
        <is>
          <t>USA - SEC.</t>
        </is>
      </c>
      <c r="BY33" s="53" t="n"/>
      <c r="BZ33" s="53" t="inlineStr">
        <is>
          <t>IRIS2056</t>
        </is>
      </c>
      <c r="CA33" s="53" t="inlineStr">
        <is>
          <t>Employee</t>
        </is>
      </c>
      <c r="CB33" s="53" t="inlineStr">
        <is>
          <t>Active</t>
        </is>
      </c>
      <c r="CC33" s="53" t="inlineStr">
        <is>
          <t>Monica Patel</t>
        </is>
      </c>
      <c r="CD33" s="54" t="n">
        <v>44785</v>
      </c>
      <c r="CE33" s="53" t="inlineStr">
        <is>
          <t>Senior Financial Analyst</t>
        </is>
      </c>
      <c r="CF33" s="53" t="n"/>
      <c r="CG33" s="53" t="inlineStr">
        <is>
          <t>Professional Services</t>
        </is>
      </c>
      <c r="CH33" s="53" t="inlineStr">
        <is>
          <t>XBRL / Regulatory Reporting</t>
        </is>
      </c>
      <c r="CI33" s="53" t="inlineStr">
        <is>
          <t>Senior Financial Analyst</t>
        </is>
      </c>
      <c r="CJ33" s="53" t="inlineStr">
        <is>
          <t>L4 – Senior</t>
        </is>
      </c>
      <c r="CK33" s="53" t="inlineStr">
        <is>
          <t>Mohammed Dholkawala</t>
        </is>
      </c>
      <c r="CL33" s="53" t="inlineStr">
        <is>
          <t>N-7</t>
        </is>
      </c>
      <c r="CM33" s="53" t="inlineStr">
        <is>
          <t>Individual Contributor</t>
        </is>
      </c>
      <c r="CN33" s="53" t="inlineStr">
        <is>
          <t>Regtech</t>
        </is>
      </c>
      <c r="CO33" s="53" t="inlineStr">
        <is>
          <t>Services</t>
        </is>
      </c>
      <c r="CP33" s="53" t="inlineStr">
        <is>
          <t>11 years, 0 months, 8 days</t>
        </is>
      </c>
      <c r="CQ33" s="53" t="inlineStr">
        <is>
          <t>Senior Services Specialst</t>
        </is>
      </c>
      <c r="CR33" s="53" t="n"/>
      <c r="CS33" s="53" t="n">
        <v>3</v>
      </c>
      <c r="CT33" s="53" t="inlineStr">
        <is>
          <t>High</t>
        </is>
      </c>
      <c r="CU33" s="53" t="inlineStr">
        <is>
          <t>Core Contributor</t>
        </is>
      </c>
      <c r="CV33" s="53" t="inlineStr">
        <is>
          <t>Yes</t>
        </is>
      </c>
      <c r="CW33" s="53" t="inlineStr">
        <is>
          <t>No</t>
        </is>
      </c>
      <c r="CX33" s="53" t="inlineStr">
        <is>
          <t>Yes</t>
        </is>
      </c>
      <c r="CY33" s="53" t="n"/>
      <c r="CZ33" s="53" t="n"/>
      <c r="DA33" s="53" t="n"/>
      <c r="DB33" s="53" t="inlineStr">
        <is>
          <t>Title to be standardized to: Senior Services Specialist</t>
        </is>
      </c>
      <c r="DC33" s="53" t="n"/>
      <c r="DD33" s="53" t="n"/>
      <c r="DE33" s="53" t="n"/>
      <c r="DF33" s="53" t="n"/>
      <c r="DG33" s="53" t="n"/>
      <c r="DH33" s="53" t="n"/>
      <c r="DI33" s="53" t="n"/>
      <c r="DJ33" s="53" t="n"/>
      <c r="DK33" s="53" t="n"/>
      <c r="DL33" s="53" t="n"/>
      <c r="DM33" s="53" t="n"/>
      <c r="DN33" s="53" t="n"/>
      <c r="DO33" s="53" t="n"/>
      <c r="DP33" s="53" t="n"/>
      <c r="DQ33" s="53" t="n"/>
      <c r="DR33" s="53" t="n"/>
      <c r="DS33" s="53" t="n"/>
      <c r="DT33" s="53" t="n"/>
      <c r="DU33" s="53" t="n"/>
      <c r="DV33" s="53" t="n"/>
      <c r="DW33" s="53" t="n"/>
      <c r="DX33" s="53" t="n"/>
      <c r="DY33" s="53" t="n"/>
      <c r="DZ33" s="53" t="n"/>
      <c r="EA33" s="53" t="n"/>
      <c r="EB33" s="53" t="n"/>
      <c r="EC33" s="53" t="n"/>
      <c r="ED33" s="53" t="n"/>
      <c r="EE33" s="53" t="n"/>
      <c r="EF33" s="53" t="n"/>
      <c r="EG33" s="53" t="n"/>
      <c r="EH33" s="53" t="n"/>
      <c r="EI33" s="53" t="n"/>
      <c r="EJ33" s="53" t="n"/>
      <c r="EK33" s="53" t="n"/>
      <c r="EL33" s="53" t="n"/>
      <c r="EM33" s="53" t="n"/>
      <c r="EN33" s="53" t="n"/>
      <c r="EO33" s="53" t="n"/>
      <c r="EP33" s="53" t="n"/>
      <c r="EQ33" s="53" t="n"/>
      <c r="ER33" s="53" t="n"/>
      <c r="ES33" s="53" t="n"/>
      <c r="ET33" s="53" t="n"/>
      <c r="EU33" s="53" t="n"/>
      <c r="EV33" s="53" t="n"/>
      <c r="EW33" s="52" t="inlineStr">
        <is>
          <t>Survey response was filed but the exported file came back blank — profile data still needs to be collected.</t>
        </is>
      </c>
      <c r="EX33" s="53" t="inlineStr">
        <is>
          <t>• Role / sub-team: XBRL tagging in Us service team; US XBRL tagging.</t>
        </is>
      </c>
      <c r="EY33" s="53" t="inlineStr">
        <is>
          <t>• Key responsibilities include: Tagging, and QC.
• Reported deliverables and outcomes include: Handed over to the next process, depending on the work allocated.</t>
        </is>
      </c>
      <c r="EZ33" s="53" t="inlineStr">
        <is>
          <t>• Current capabilities: Input not given by Participant; Tools / software used: Ifile.</t>
        </is>
      </c>
      <c r="FA33" s="53" t="inlineStr">
        <is>
          <t>• Development priorities: No input received.
• Learning and Development Need: No input received.</t>
        </is>
      </c>
      <c r="FB33" s="53" t="inlineStr">
        <is>
          <t>• Key challenges: No input received.
• Support required: No input received.</t>
        </is>
      </c>
      <c r="FC33" s="53" t="n"/>
      <c r="FD33" s="53" t="n"/>
      <c r="FE3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3" s="56" t="n"/>
      <c r="FG33" s="56" t="n"/>
      <c r="FH33" s="56" t="n"/>
      <c r="FI33" s="56" t="n"/>
      <c r="FJ33" s="56" t="inlineStr">
        <is>
          <t>Received · manager annual</t>
        </is>
      </c>
      <c r="FK33" s="56" t="inlineStr">
        <is>
          <t>CARBON Mapping Master</t>
        </is>
      </c>
      <c r="FL33" s="56" t="n">
        <v>20</v>
      </c>
      <c r="FM33" s="56" t="inlineStr">
        <is>
          <t>• Role / sub-team: XBRL tagging in Us service team; US XBRL tagging.</t>
        </is>
      </c>
      <c r="FN33" s="56" t="inlineStr">
        <is>
          <t>• Key responsibilities include: Tagging, and QC.
• Reported deliverables and outcomes include: Handed over to the next process, depending on the work allocated.</t>
        </is>
      </c>
      <c r="FO33" s="56" t="inlineStr">
        <is>
          <t>• Current capabilities: Input not given by Participant; Tools / software used: Ifile.</t>
        </is>
      </c>
      <c r="FP33" s="56" t="inlineStr">
        <is>
          <t>• Development priorities: No input received.
• Learning and Development Need: No input received.</t>
        </is>
      </c>
      <c r="FQ33" s="56" t="inlineStr">
        <is>
          <t>• Key challenges: No input received.
• Support required: No input received.</t>
        </is>
      </c>
      <c r="FR33" s="56" t="inlineStr">
        <is>
          <t>Business Impact: Moved +0.5: the survey / manager mapping marks it business-critical.</t>
        </is>
      </c>
      <c r="FS3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3" s="56" t="inlineStr">
        <is>
          <t>Self-identified: Leadership &amp; people management · Data, SQL &amp; analytics · Domain, regulatory &amp; XBRL · Client, sales &amp; stakeholders
For the next role: AI / automation · Leadership &amp; people management · Project / programme management · Data, SQL &amp; analytics · Domain, regulatory &amp; XBRL · Client, sales &amp; stakeholders · Strategy &amp; business acumen · Broader exposure &amp; ownership</t>
        </is>
      </c>
      <c r="FU33" s="56" t="inlineStr">
        <is>
          <t>Per-person summary · CARBON Mapping Master</t>
        </is>
      </c>
    </row>
    <row r="34" ht="90" customHeight="1">
      <c r="A34" s="51" t="inlineStr">
        <is>
          <t>◂ Back</t>
        </is>
      </c>
      <c r="B34" s="29" t="inlineStr">
        <is>
          <t>Mapped</t>
        </is>
      </c>
      <c r="C34" s="28" t="inlineStr">
        <is>
          <t>CARBON</t>
        </is>
      </c>
      <c r="D34" s="29" t="inlineStr">
        <is>
          <t>IRIS2120</t>
        </is>
      </c>
      <c r="E34" s="29" t="inlineStr">
        <is>
          <t>Rohit Sawant</t>
        </is>
      </c>
      <c r="F34" s="29" t="inlineStr">
        <is>
          <t>Services</t>
        </is>
      </c>
      <c r="G34" s="29" t="inlineStr">
        <is>
          <t>Financial Analyst</t>
        </is>
      </c>
      <c r="H34" s="29" t="inlineStr">
        <is>
          <t>Senior Financial Analyst</t>
        </is>
      </c>
      <c r="I34" s="29" t="inlineStr">
        <is>
          <t>L3 – Professional / Associate</t>
        </is>
      </c>
      <c r="J34" s="29" t="inlineStr">
        <is>
          <t>A3</t>
        </is>
      </c>
      <c r="K34" s="29" t="inlineStr">
        <is>
          <t>▲ Up</t>
        </is>
      </c>
      <c r="L34" s="29" t="inlineStr">
        <is>
          <t>Consulting &amp; Professional Services</t>
        </is>
      </c>
      <c r="M34" s="29" t="inlineStr">
        <is>
          <t>XBRL Tagging, Conversion &amp; Filing</t>
        </is>
      </c>
      <c r="N34" s="29" t="n"/>
      <c r="O34" s="29" t="n">
        <v>19</v>
      </c>
      <c r="P34" s="28" t="inlineStr">
        <is>
          <t>P2</t>
        </is>
      </c>
      <c r="Q34" s="29" t="inlineStr">
        <is>
          <t>Developing</t>
        </is>
      </c>
      <c r="R34" s="29" t="inlineStr">
        <is>
          <t>3 Apply</t>
        </is>
      </c>
      <c r="S34" s="29" t="inlineStr">
        <is>
          <t>2–4 yrs</t>
        </is>
      </c>
      <c r="T34" s="29" t="inlineStr">
        <is>
          <t>3–5 · 2–5</t>
        </is>
      </c>
      <c r="U34" s="29" t="inlineStr">
        <is>
          <t>Senior Analyst / Associate</t>
        </is>
      </c>
      <c r="V34" s="29" t="inlineStr">
        <is>
          <t>DataTracks: Senior Associate · 2–5 yrs · Big Four: Consultant · IRIS Vs Market Benchmark — XBRL US credential pathway: XBRL US GAAP Certificate</t>
        </is>
      </c>
      <c r="W34" s="29" t="inlineStr">
        <is>
          <t>XBRL US GAAP Certificate · AICPA &amp; XBRL US; XBRL International specifications; IFRS / US GAAP / Ind AS</t>
        </is>
      </c>
      <c r="X34" s="29" t="inlineStr">
        <is>
          <t>Core 2 · Future 2 · Functional 3 · Leadership not scored</t>
        </is>
      </c>
      <c r="Y34" s="52" t="n">
        <v>270</v>
      </c>
      <c r="Z34" s="53" t="inlineStr">
        <is>
          <t>IRIS2120</t>
        </is>
      </c>
      <c r="AA34" s="53" t="inlineStr">
        <is>
          <t>Employee</t>
        </is>
      </c>
      <c r="AB34" s="53" t="inlineStr">
        <is>
          <t>Active</t>
        </is>
      </c>
      <c r="AC34" s="53" t="inlineStr">
        <is>
          <t>Rohit Sawant</t>
        </is>
      </c>
      <c r="AD34" s="54" t="n">
        <v>45033</v>
      </c>
      <c r="AE34" s="53" t="inlineStr">
        <is>
          <t>Financial Analyst</t>
        </is>
      </c>
      <c r="AF34" s="53" t="inlineStr">
        <is>
          <t>B.Com</t>
        </is>
      </c>
      <c r="AG34" s="53" t="inlineStr">
        <is>
          <t>Mohammed Dholkawala</t>
        </is>
      </c>
      <c r="AH34" s="53" t="inlineStr">
        <is>
          <t>N-7</t>
        </is>
      </c>
      <c r="AI34" s="53" t="inlineStr">
        <is>
          <t>Individual Contributor</t>
        </is>
      </c>
      <c r="AJ34" s="53" t="inlineStr">
        <is>
          <t>4 years, 0 months, 0 days</t>
        </is>
      </c>
      <c r="AK34" s="53" t="inlineStr">
        <is>
          <t>3 years, 4 months, 8 days</t>
        </is>
      </c>
      <c r="AL34" s="53" t="inlineStr">
        <is>
          <t>Regtech</t>
        </is>
      </c>
      <c r="AM34" s="53" t="inlineStr">
        <is>
          <t>CARBON</t>
        </is>
      </c>
      <c r="AN34" s="53" t="inlineStr">
        <is>
          <t>Services</t>
        </is>
      </c>
      <c r="AO34" s="53" t="inlineStr">
        <is>
          <t>Expert Assisted services</t>
        </is>
      </c>
      <c r="AP34" s="53" t="inlineStr">
        <is>
          <t>No</t>
        </is>
      </c>
      <c r="AQ34" s="53" t="inlineStr">
        <is>
          <t>Professional Services</t>
        </is>
      </c>
      <c r="AR34" s="53" t="inlineStr">
        <is>
          <t>XBRL Domain</t>
        </is>
      </c>
      <c r="AS34" s="53" t="inlineStr">
        <is>
          <t>Non-technical</t>
        </is>
      </c>
      <c r="AT34" s="53" t="n">
        <v>20</v>
      </c>
      <c r="AU34" s="53" t="inlineStr">
        <is>
          <t>Covered</t>
        </is>
      </c>
      <c r="AV34" s="53" t="inlineStr">
        <is>
          <t>IRIS2120</t>
        </is>
      </c>
      <c r="AW34" s="53" t="inlineStr">
        <is>
          <t>Rohit Sawant</t>
        </is>
      </c>
      <c r="AX34" s="53" t="inlineStr">
        <is>
          <t>Services</t>
        </is>
      </c>
      <c r="AY34" s="53" t="inlineStr">
        <is>
          <t>Professional Services</t>
        </is>
      </c>
      <c r="AZ34" s="53" t="inlineStr">
        <is>
          <t>XBRL / Regulatory Reporting</t>
        </is>
      </c>
      <c r="BA34" s="53" t="n"/>
      <c r="BB34" s="53" t="n"/>
      <c r="BC34" s="53" t="inlineStr">
        <is>
          <t>Employee</t>
        </is>
      </c>
      <c r="BD34" s="53" t="inlineStr">
        <is>
          <t>Mohammed Dholkawala</t>
        </is>
      </c>
      <c r="BE34" s="53" t="inlineStr">
        <is>
          <t>Mohammed Dholkawala</t>
        </is>
      </c>
      <c r="BF34" s="53" t="inlineStr">
        <is>
          <t>No</t>
        </is>
      </c>
      <c r="BG34" s="53" t="inlineStr">
        <is>
          <t>Financial Analyst</t>
        </is>
      </c>
      <c r="BH34" s="53" t="inlineStr">
        <is>
          <t>Services Specialist</t>
        </is>
      </c>
      <c r="BI34" s="53" t="inlineStr">
        <is>
          <t>Yes</t>
        </is>
      </c>
      <c r="BJ34" s="53" t="inlineStr">
        <is>
          <t>—</t>
        </is>
      </c>
      <c r="BK34" s="53" t="inlineStr">
        <is>
          <t>—</t>
        </is>
      </c>
      <c r="BL34" s="53" t="inlineStr">
        <is>
          <t>—</t>
        </is>
      </c>
      <c r="BM34" s="53" t="inlineStr">
        <is>
          <t>Not a manager</t>
        </is>
      </c>
      <c r="BN34" s="53" t="inlineStr">
        <is>
          <t>—</t>
        </is>
      </c>
      <c r="BO34" s="53" t="inlineStr">
        <is>
          <t>—</t>
        </is>
      </c>
      <c r="BP34" s="53" t="inlineStr">
        <is>
          <t>—</t>
        </is>
      </c>
      <c r="BQ34" s="53" t="inlineStr">
        <is>
          <t>Not a manager</t>
        </is>
      </c>
      <c r="BR34" s="53" t="inlineStr">
        <is>
          <t>—</t>
        </is>
      </c>
      <c r="BS34" s="53" t="inlineStr">
        <is>
          <t>L3 – Professional / Associate</t>
        </is>
      </c>
      <c r="BT34" s="53" t="inlineStr">
        <is>
          <t>L2</t>
        </is>
      </c>
      <c r="BU34" s="53" t="inlineStr">
        <is>
          <t>Matched from Title Hierarchy · new designation</t>
        </is>
      </c>
      <c r="BV3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4" s="53" t="n"/>
      <c r="BX34" s="53" t="inlineStr">
        <is>
          <t>USA - SEC.</t>
        </is>
      </c>
      <c r="BY34" s="53" t="n"/>
      <c r="BZ34" s="53" t="inlineStr">
        <is>
          <t>IRIS2120</t>
        </is>
      </c>
      <c r="CA34" s="53" t="inlineStr">
        <is>
          <t>Employee</t>
        </is>
      </c>
      <c r="CB34" s="53" t="inlineStr">
        <is>
          <t>Active</t>
        </is>
      </c>
      <c r="CC34" s="53" t="inlineStr">
        <is>
          <t>Rohit Sawant</t>
        </is>
      </c>
      <c r="CD34" s="54" t="n">
        <v>45033</v>
      </c>
      <c r="CE34" s="53" t="inlineStr">
        <is>
          <t>Financial Analyst</t>
        </is>
      </c>
      <c r="CF34" s="53" t="n"/>
      <c r="CG34" s="53" t="inlineStr">
        <is>
          <t>Professional Services</t>
        </is>
      </c>
      <c r="CH34" s="53" t="inlineStr">
        <is>
          <t>XBRL / Regulatory Reporting</t>
        </is>
      </c>
      <c r="CI34" s="53" t="inlineStr">
        <is>
          <t>Financial Analyst</t>
        </is>
      </c>
      <c r="CJ34" s="53" t="inlineStr">
        <is>
          <t>L3 – Professional / Associate</t>
        </is>
      </c>
      <c r="CK34" s="53" t="inlineStr">
        <is>
          <t>Mohammed Dholkawala</t>
        </is>
      </c>
      <c r="CL34" s="53" t="inlineStr">
        <is>
          <t>N-7</t>
        </is>
      </c>
      <c r="CM34" s="53" t="inlineStr">
        <is>
          <t>Individual Contributor</t>
        </is>
      </c>
      <c r="CN34" s="53" t="inlineStr">
        <is>
          <t>Regtech</t>
        </is>
      </c>
      <c r="CO34" s="53" t="inlineStr">
        <is>
          <t>Services</t>
        </is>
      </c>
      <c r="CP34" s="53" t="inlineStr">
        <is>
          <t>7 years, 2 months, 3 days</t>
        </is>
      </c>
      <c r="CQ34" s="53" t="inlineStr">
        <is>
          <t>Services Specialist</t>
        </is>
      </c>
      <c r="CR34" s="53" t="n"/>
      <c r="CS34" s="53" t="n">
        <v>2</v>
      </c>
      <c r="CT34" s="53" t="inlineStr">
        <is>
          <t>Low</t>
        </is>
      </c>
      <c r="CU34" s="53" t="inlineStr">
        <is>
          <t>Reliable Specialist</t>
        </is>
      </c>
      <c r="CV34" s="53" t="inlineStr">
        <is>
          <t>No</t>
        </is>
      </c>
      <c r="CW34" s="53" t="inlineStr">
        <is>
          <t>No</t>
        </is>
      </c>
      <c r="CX34" s="53" t="inlineStr">
        <is>
          <t>Yes</t>
        </is>
      </c>
      <c r="CY34" s="53" t="n"/>
      <c r="CZ34" s="53" t="n"/>
      <c r="DA34" s="53" t="n"/>
      <c r="DB34" s="53" t="inlineStr">
        <is>
          <t>Title to be standardized to : Services Specialist</t>
        </is>
      </c>
      <c r="DC34" s="53" t="n"/>
      <c r="DD34" s="53" t="n"/>
      <c r="DE34" s="53" t="n"/>
      <c r="DF34" s="53" t="n"/>
      <c r="DG34" s="53" t="n"/>
      <c r="DH34" s="53" t="n"/>
      <c r="DI34" s="53" t="n"/>
      <c r="DJ34" s="53" t="n"/>
      <c r="DK34" s="53" t="n"/>
      <c r="DL34" s="53" t="n"/>
      <c r="DM34" s="53" t="n"/>
      <c r="DN34" s="53" t="n"/>
      <c r="DO34" s="53" t="n"/>
      <c r="DP34" s="53" t="n"/>
      <c r="DQ34" s="53" t="n"/>
      <c r="DR34" s="53" t="n"/>
      <c r="DS34" s="53" t="n"/>
      <c r="DT34" s="53" t="n"/>
      <c r="DU34" s="53" t="n"/>
      <c r="DV34" s="53" t="n"/>
      <c r="DW34" s="53" t="n"/>
      <c r="DX34" s="53" t="n"/>
      <c r="DY34" s="53" t="n"/>
      <c r="DZ34" s="53" t="n"/>
      <c r="EA34" s="53" t="n"/>
      <c r="EB34" s="53" t="n"/>
      <c r="EC34" s="53" t="n"/>
      <c r="ED34" s="53" t="n"/>
      <c r="EE34" s="53" t="n"/>
      <c r="EF34" s="53" t="n"/>
      <c r="EG34" s="53" t="n"/>
      <c r="EH34" s="53" t="n"/>
      <c r="EI34" s="53" t="n"/>
      <c r="EJ34" s="53" t="n"/>
      <c r="EK34" s="53" t="n"/>
      <c r="EL34" s="53" t="n"/>
      <c r="EM34" s="53" t="n"/>
      <c r="EN34" s="53" t="n"/>
      <c r="EO34" s="53" t="n"/>
      <c r="EP34" s="53" t="n"/>
      <c r="EQ34" s="53" t="n"/>
      <c r="ER34" s="53" t="n"/>
      <c r="ES34" s="53" t="n"/>
      <c r="ET34" s="53" t="n"/>
      <c r="EU34" s="53" t="n"/>
      <c r="EV34" s="53" t="n"/>
      <c r="EW34" s="52" t="inlineStr">
        <is>
          <t>Survey response was filed but the exported file came back blank — profile data still needs to be collected.</t>
        </is>
      </c>
      <c r="EX34" s="53" t="inlineStr">
        <is>
          <t>• Role / sub-team: XBRL tagging in Us service team; US XBRL tagging.</t>
        </is>
      </c>
      <c r="EY34" s="53" t="inlineStr">
        <is>
          <t>• Key responsibilities include: Tagging, and QC.
• Reported deliverables and outcomes include: Handed over to the next process, depending on the work allocated.</t>
        </is>
      </c>
      <c r="EZ34" s="53" t="inlineStr">
        <is>
          <t>• Current capabilities: Input not given by Participant.</t>
        </is>
      </c>
      <c r="FA34" s="53" t="inlineStr">
        <is>
          <t>• Development priorities: Input not given by Participant.
• Learning and Development Need: Input not given by Participant.</t>
        </is>
      </c>
      <c r="FB34" s="53" t="inlineStr">
        <is>
          <t>• Key challenges: Input not given by Participant.
• Support required: Input not given by Participant.</t>
        </is>
      </c>
      <c r="FC34" s="53" t="n"/>
      <c r="FD34" s="53" t="n"/>
      <c r="FE3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4" s="56" t="n"/>
      <c r="FG34" s="56" t="n"/>
      <c r="FH34" s="56" t="n"/>
      <c r="FI34" s="56" t="n"/>
      <c r="FJ34" s="56" t="inlineStr">
        <is>
          <t>Received · manager annual</t>
        </is>
      </c>
      <c r="FK34" s="56" t="inlineStr">
        <is>
          <t>CARBON Mapping Master</t>
        </is>
      </c>
      <c r="FL34" s="56" t="n">
        <v>19</v>
      </c>
      <c r="FM34" s="56" t="inlineStr">
        <is>
          <t>• Role / sub-team: XBRL tagging in Us service team; US XBRL tagging.</t>
        </is>
      </c>
      <c r="FN34" s="56" t="inlineStr">
        <is>
          <t>• Key responsibilities include: Tagging, and QC.
• Reported deliverables and outcomes include: Handed over to the next process, depending on the work allocated.</t>
        </is>
      </c>
      <c r="FO34" s="56" t="inlineStr">
        <is>
          <t>• Current capabilities: Input not given by Participant.</t>
        </is>
      </c>
      <c r="FP34" s="56" t="inlineStr">
        <is>
          <t>• Development priorities: Input not given by Participant.
• Learning and Development Need: Input not given by Participant.</t>
        </is>
      </c>
      <c r="FQ34" s="56" t="inlineStr">
        <is>
          <t>• Key challenges: Input not given by Participant.
• Support required: Input not given by Participant.</t>
        </is>
      </c>
      <c r="FR34" s="56" t="inlineStr">
        <is>
          <t>Complexity: Evidence reads like A2: Mapping, QC and formatting of US XBRL files in DM; very little detail → matches the start
Autonomy: Evidence reads like A2: Names only tagging and QC as own decisions; issues escalate to manager → matches the start
Accountability: Evidence reads like A2: Accurate delivery of own XBRL output, handed to the next process → matches the start
Leadership: Evidence reads like A1: No guidance or leadership of others described → matches the start
Business Impact: Moved +0.5: the survey / manager mapping marks it business-critical.</t>
        </is>
      </c>
      <c r="FS3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4" s="56" t="inlineStr">
        <is>
          <t>Self-identified: Answered · no common topic
For the next role: Answered · no common topic</t>
        </is>
      </c>
      <c r="FU34" s="56" t="inlineStr">
        <is>
          <t>Per-person summary · CARBON Mapping Master</t>
        </is>
      </c>
    </row>
    <row r="35" ht="90" customHeight="1">
      <c r="A35" s="51" t="inlineStr">
        <is>
          <t>◂ Back</t>
        </is>
      </c>
      <c r="B35" s="29" t="inlineStr">
        <is>
          <t>Mapped</t>
        </is>
      </c>
      <c r="C35" s="28" t="inlineStr">
        <is>
          <t>CARBON</t>
        </is>
      </c>
      <c r="D35" s="29" t="inlineStr">
        <is>
          <t>IRIS1934</t>
        </is>
      </c>
      <c r="E35" s="29" t="inlineStr">
        <is>
          <t>Sagar Barbade</t>
        </is>
      </c>
      <c r="F35" s="29" t="inlineStr">
        <is>
          <t>Services</t>
        </is>
      </c>
      <c r="G35" s="29" t="inlineStr">
        <is>
          <t>Senior Financial Analyst</t>
        </is>
      </c>
      <c r="H35" s="29" t="inlineStr">
        <is>
          <t>XBRL Specialist</t>
        </is>
      </c>
      <c r="I35" s="29" t="inlineStr">
        <is>
          <t>L4 – Senior</t>
        </is>
      </c>
      <c r="J35" s="29" t="inlineStr">
        <is>
          <t>A3</t>
        </is>
      </c>
      <c r="K35" s="29" t="inlineStr">
        <is>
          <t>▲ Up</t>
        </is>
      </c>
      <c r="L35" s="29" t="inlineStr">
        <is>
          <t>Consulting &amp; Professional Services</t>
        </is>
      </c>
      <c r="M35" s="29" t="inlineStr">
        <is>
          <t>XBRL Tagging, Conversion &amp; Filing</t>
        </is>
      </c>
      <c r="N35" s="29" t="inlineStr">
        <is>
          <t>• Confirm the reporting line — Manager</t>
        </is>
      </c>
      <c r="O35" s="29" t="n">
        <v>20</v>
      </c>
      <c r="P35" s="28" t="inlineStr">
        <is>
          <t>P2</t>
        </is>
      </c>
      <c r="Q35" s="29" t="inlineStr">
        <is>
          <t>Developing</t>
        </is>
      </c>
      <c r="R35" s="29" t="inlineStr">
        <is>
          <t>3 Apply</t>
        </is>
      </c>
      <c r="S35" s="29" t="inlineStr">
        <is>
          <t>2–4 yrs</t>
        </is>
      </c>
      <c r="T35" s="29" t="inlineStr">
        <is>
          <t>3–5 · 2–5</t>
        </is>
      </c>
      <c r="U35" s="29" t="inlineStr">
        <is>
          <t>Consultant / Senior Associate</t>
        </is>
      </c>
      <c r="V35" s="29" t="inlineStr">
        <is>
          <t>DataTracks: Senior Associate · 2–5 yrs · Big Four: Consultant · IRIS Vs Market Benchmark — XBRL US credential pathway: XBRL US GAAP Certificate</t>
        </is>
      </c>
      <c r="W35" s="29" t="inlineStr">
        <is>
          <t>XBRL US GAAP Certificate · AICPA &amp; XBRL US; XBRL International specifications; IFRS / US GAAP / Ind AS</t>
        </is>
      </c>
      <c r="X35" s="29" t="inlineStr">
        <is>
          <t>Core 2 · Future 2 · Functional 3 · Leadership not scored</t>
        </is>
      </c>
      <c r="Y35" s="52" t="n">
        <v>190</v>
      </c>
      <c r="Z35" s="53" t="inlineStr">
        <is>
          <t>IRIS1934</t>
        </is>
      </c>
      <c r="AA35" s="53" t="inlineStr">
        <is>
          <t>Employee</t>
        </is>
      </c>
      <c r="AB35" s="53" t="inlineStr">
        <is>
          <t>Active</t>
        </is>
      </c>
      <c r="AC35" s="53" t="inlineStr">
        <is>
          <t>Sagar Barbade</t>
        </is>
      </c>
      <c r="AD35" s="54" t="n">
        <v>44403</v>
      </c>
      <c r="AE35" s="53" t="inlineStr">
        <is>
          <t>Senior Financial Analyst</t>
        </is>
      </c>
      <c r="AF35" s="53" t="inlineStr">
        <is>
          <t>MBA</t>
        </is>
      </c>
      <c r="AG35" s="53" t="inlineStr">
        <is>
          <t>Mohammed Dholkawala</t>
        </is>
      </c>
      <c r="AH35" s="53" t="inlineStr">
        <is>
          <t>N-7</t>
        </is>
      </c>
      <c r="AI35" s="53" t="inlineStr">
        <is>
          <t>Individual Contributor</t>
        </is>
      </c>
      <c r="AJ35" s="53" t="inlineStr">
        <is>
          <t>4 years, 0 months, 0 days</t>
        </is>
      </c>
      <c r="AK35" s="53" t="inlineStr">
        <is>
          <t>5 years, 0 months, 30 days</t>
        </is>
      </c>
      <c r="AL35" s="53" t="inlineStr">
        <is>
          <t>Regtech</t>
        </is>
      </c>
      <c r="AM35" s="53" t="inlineStr">
        <is>
          <t>CARBON</t>
        </is>
      </c>
      <c r="AN35" s="53" t="inlineStr">
        <is>
          <t>Services</t>
        </is>
      </c>
      <c r="AO35" s="53" t="inlineStr">
        <is>
          <t>Expert Assisted services</t>
        </is>
      </c>
      <c r="AP35" s="53" t="inlineStr">
        <is>
          <t>No</t>
        </is>
      </c>
      <c r="AQ35" s="53" t="inlineStr">
        <is>
          <t>Professional Services</t>
        </is>
      </c>
      <c r="AR35" s="53" t="inlineStr">
        <is>
          <t>XBRL Domain</t>
        </is>
      </c>
      <c r="AS35" s="53" t="inlineStr">
        <is>
          <t>Non-technical</t>
        </is>
      </c>
      <c r="AT35" s="53" t="n">
        <v>20</v>
      </c>
      <c r="AU35" s="53" t="inlineStr">
        <is>
          <t>Covered</t>
        </is>
      </c>
      <c r="AV35" s="53" t="inlineStr">
        <is>
          <t>IRIS1934</t>
        </is>
      </c>
      <c r="AW35" s="53" t="inlineStr">
        <is>
          <t>Sagar Barbade</t>
        </is>
      </c>
      <c r="AX35" s="53" t="inlineStr">
        <is>
          <t>Services</t>
        </is>
      </c>
      <c r="AY35" s="53" t="inlineStr">
        <is>
          <t>Professional Services</t>
        </is>
      </c>
      <c r="AZ35" s="53" t="inlineStr">
        <is>
          <t>XBRL / Regulatory Reporting</t>
        </is>
      </c>
      <c r="BA35" s="53" t="n"/>
      <c r="BB35" s="53" t="n"/>
      <c r="BC35" s="53" t="inlineStr">
        <is>
          <t>Employee</t>
        </is>
      </c>
      <c r="BD35" s="53" t="inlineStr">
        <is>
          <t>Mohammed Dholkawala</t>
        </is>
      </c>
      <c r="BE35" s="53" t="inlineStr">
        <is>
          <t>Mohammed Dholkawala</t>
        </is>
      </c>
      <c r="BF35" s="53" t="inlineStr">
        <is>
          <t>No</t>
        </is>
      </c>
      <c r="BG35" s="53" t="inlineStr">
        <is>
          <t>Senior Financial Analyst</t>
        </is>
      </c>
      <c r="BH35" s="53" t="inlineStr">
        <is>
          <t>Senior Services Specialist</t>
        </is>
      </c>
      <c r="BI35" s="53" t="inlineStr">
        <is>
          <t>Yes</t>
        </is>
      </c>
      <c r="BJ35" s="53" t="inlineStr">
        <is>
          <t>—</t>
        </is>
      </c>
      <c r="BK35" s="53" t="inlineStr">
        <is>
          <t>—</t>
        </is>
      </c>
      <c r="BL35" s="53" t="inlineStr">
        <is>
          <t>—</t>
        </is>
      </c>
      <c r="BM35" s="53" t="inlineStr">
        <is>
          <t>Not a manager</t>
        </is>
      </c>
      <c r="BN35" s="53" t="inlineStr">
        <is>
          <t>—</t>
        </is>
      </c>
      <c r="BO35" s="53" t="inlineStr">
        <is>
          <t>—</t>
        </is>
      </c>
      <c r="BP35" s="53" t="inlineStr">
        <is>
          <t>—</t>
        </is>
      </c>
      <c r="BQ35" s="53" t="inlineStr">
        <is>
          <t>Not a manager</t>
        </is>
      </c>
      <c r="BR35" s="53" t="inlineStr">
        <is>
          <t>—</t>
        </is>
      </c>
      <c r="BS35" s="53" t="inlineStr">
        <is>
          <t>L4 – Senior</t>
        </is>
      </c>
      <c r="BT35" s="53" t="inlineStr">
        <is>
          <t>L4 – Senior</t>
        </is>
      </c>
      <c r="BU35" s="53" t="inlineStr">
        <is>
          <t>Designation refined from Raw tab Comments column · this update</t>
        </is>
      </c>
      <c r="BV3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5" s="53" t="n"/>
      <c r="BX35" s="53" t="inlineStr">
        <is>
          <t>USA - SEC.</t>
        </is>
      </c>
      <c r="BY35" s="53" t="n"/>
      <c r="BZ35" s="53" t="inlineStr">
        <is>
          <t>IRIS1934</t>
        </is>
      </c>
      <c r="CA35" s="53" t="inlineStr">
        <is>
          <t>Employee</t>
        </is>
      </c>
      <c r="CB35" s="53" t="inlineStr">
        <is>
          <t>Active</t>
        </is>
      </c>
      <c r="CC35" s="53" t="inlineStr">
        <is>
          <t>Sagar Barbade</t>
        </is>
      </c>
      <c r="CD35" s="54" t="n">
        <v>44403</v>
      </c>
      <c r="CE35" s="53" t="inlineStr">
        <is>
          <t>Senior Financial Analyst</t>
        </is>
      </c>
      <c r="CF35" s="53" t="n"/>
      <c r="CG35" s="53" t="inlineStr">
        <is>
          <t>Professional Services</t>
        </is>
      </c>
      <c r="CH35" s="53" t="inlineStr">
        <is>
          <t>XBRL / Regulatory Reporting</t>
        </is>
      </c>
      <c r="CI35" s="53" t="inlineStr">
        <is>
          <t>Senior Financial Analyst</t>
        </is>
      </c>
      <c r="CJ35" s="53" t="inlineStr">
        <is>
          <t>L4 – Senior</t>
        </is>
      </c>
      <c r="CK35" s="53" t="inlineStr">
        <is>
          <t>Mohammed Dholkawala</t>
        </is>
      </c>
      <c r="CL35" s="53" t="inlineStr">
        <is>
          <t>N-7</t>
        </is>
      </c>
      <c r="CM35" s="53" t="inlineStr">
        <is>
          <t>Individual Contributor</t>
        </is>
      </c>
      <c r="CN35" s="53" t="inlineStr">
        <is>
          <t>Regtech</t>
        </is>
      </c>
      <c r="CO35" s="53" t="inlineStr">
        <is>
          <t>Services</t>
        </is>
      </c>
      <c r="CP35" s="53" t="inlineStr">
        <is>
          <t>8 years, 10 months, 25 days</t>
        </is>
      </c>
      <c r="CQ35" s="53" t="inlineStr">
        <is>
          <t>Senior Services Specialst</t>
        </is>
      </c>
      <c r="CR35" s="53" t="n"/>
      <c r="CS35" s="53" t="n">
        <v>4</v>
      </c>
      <c r="CT35" s="53" t="inlineStr">
        <is>
          <t>High</t>
        </is>
      </c>
      <c r="CU35" s="53" t="inlineStr">
        <is>
          <t>Core Contributor</t>
        </is>
      </c>
      <c r="CV35" s="53" t="inlineStr">
        <is>
          <t>Yes</t>
        </is>
      </c>
      <c r="CW35" s="53" t="inlineStr">
        <is>
          <t>No</t>
        </is>
      </c>
      <c r="CX35" s="53" t="inlineStr">
        <is>
          <t>Yes</t>
        </is>
      </c>
      <c r="CY35" s="53" t="n"/>
      <c r="CZ35" s="53" t="n"/>
      <c r="DA35" s="53" t="n"/>
      <c r="DB35" s="53" t="inlineStr">
        <is>
          <t>Title to be standardized to: Senior Services Specialist</t>
        </is>
      </c>
      <c r="DC35" s="53" t="n"/>
      <c r="DD35" s="53" t="n"/>
      <c r="DE35" s="53" t="n"/>
      <c r="DF35" s="53" t="n"/>
      <c r="DG35" s="53" t="n"/>
      <c r="DH35" s="53" t="n"/>
      <c r="DI35" s="53" t="n"/>
      <c r="DJ35" s="53" t="n"/>
      <c r="DK35" s="53" t="n"/>
      <c r="DL35" s="53" t="n"/>
      <c r="DM35" s="53" t="n"/>
      <c r="DN35" s="53" t="n"/>
      <c r="DO35" s="53" t="n"/>
      <c r="DP35" s="53" t="n"/>
      <c r="DQ35" s="53" t="n"/>
      <c r="DR35" s="53" t="n"/>
      <c r="DS35" s="53" t="n"/>
      <c r="DT35" s="53" t="n"/>
      <c r="DU35" s="53" t="n"/>
      <c r="DV35" s="53" t="n"/>
      <c r="DW35" s="53" t="n"/>
      <c r="DX35" s="53" t="n"/>
      <c r="DY35" s="53" t="n"/>
      <c r="DZ35" s="53" t="n"/>
      <c r="EA35" s="53" t="n"/>
      <c r="EB35" s="53" t="n"/>
      <c r="EC35" s="53" t="n"/>
      <c r="ED35" s="53" t="n"/>
      <c r="EE35" s="53" t="n"/>
      <c r="EF35" s="53" t="n"/>
      <c r="EG35" s="53" t="n"/>
      <c r="EH35" s="53" t="n"/>
      <c r="EI35" s="53" t="n"/>
      <c r="EJ35" s="53" t="n"/>
      <c r="EK35" s="53" t="n"/>
      <c r="EL35" s="53" t="n"/>
      <c r="EM35" s="53" t="n"/>
      <c r="EN35" s="53" t="n"/>
      <c r="EO35" s="53" t="n"/>
      <c r="EP35" s="53" t="n"/>
      <c r="EQ35" s="53" t="n"/>
      <c r="ER35" s="53" t="n"/>
      <c r="ES35" s="53" t="n"/>
      <c r="ET35" s="53" t="n"/>
      <c r="EU35" s="53" t="n"/>
      <c r="EV35" s="53" t="n"/>
      <c r="EW35" s="52" t="n"/>
      <c r="EX35" s="53" t="inlineStr">
        <is>
          <t>• Role / sub-team: XBRL tagging in Us service team; US XBRL tagging.</t>
        </is>
      </c>
      <c r="EY35" s="53"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EZ35" s="53" t="inlineStr">
        <is>
          <t>• Current capabilities: Time management; Team work; Problem solving; Decision making; Attention to details; Tools / software used: Both.</t>
        </is>
      </c>
      <c r="FA35" s="53" t="inlineStr">
        <is>
          <t>• Development priorities: No input received.
• Learning and Development Need: No input received.</t>
        </is>
      </c>
      <c r="FB35" s="53" t="inlineStr">
        <is>
          <t>• Key challenges: Tool issue; Too many meeting; Wait for other teams.
• Support required: No input received.</t>
        </is>
      </c>
      <c r="FC35" s="53" t="n"/>
      <c r="FD35" s="53" t="n"/>
      <c r="FE3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5" s="56" t="n"/>
      <c r="FG35" s="56" t="n"/>
      <c r="FH35" s="56" t="n"/>
      <c r="FI35" s="56" t="n"/>
      <c r="FJ35" s="56" t="inlineStr">
        <is>
          <t>Received · manager annual</t>
        </is>
      </c>
      <c r="FK35" s="56" t="inlineStr">
        <is>
          <t>CARBON Mapping Master</t>
        </is>
      </c>
      <c r="FL35" s="56" t="n">
        <v>20</v>
      </c>
      <c r="FM35" s="56" t="inlineStr">
        <is>
          <t>• Role / sub-team: XBRL tagging in Us service team; US XBRL tagging.</t>
        </is>
      </c>
      <c r="FN35" s="56"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FO35" s="56" t="inlineStr">
        <is>
          <t>• Current capabilities: Time management; Team work; Problem solving; Decision making; Attention to details; Tools / software used: Both.</t>
        </is>
      </c>
      <c r="FP35" s="56" t="inlineStr">
        <is>
          <t>• Development priorities: No input received.
• Learning and Development Need: No input received.</t>
        </is>
      </c>
      <c r="FQ35" s="56" t="inlineStr">
        <is>
          <t>• Key challenges: Tool issue; Too many meeting; Wait for other teams.
• Support required: No input received.</t>
        </is>
      </c>
      <c r="FR35" s="56" t="inlineStr">
        <is>
          <t>Complexity: Evidence reads like A3: Tagging, QC, validation, filings across US mandate stages; resolves routine process issues → matches the start
Autonomy: Evidence reads like B1: Allocates and rebalances shift work by priority and resources; escalates critical issues → moved up 0.5
Accountability: Evidence reads like A3: Own tagging, QC and filing work plus effective shift/work allocation → matches the start
Leadership: Evidence reads like B1: Shift lead: allocates work to the shift team and gives guidance; no formal reports → moved up 1
Business Impact: Moved +0.5: the survey / manager mapping marks it business-critical.</t>
        </is>
      </c>
      <c r="FS3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5" s="56"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FU35" s="56" t="inlineStr">
        <is>
          <t>Per-person summary · CARBON Mapping Master</t>
        </is>
      </c>
    </row>
    <row r="36" ht="90" customHeight="1">
      <c r="A36" s="51" t="inlineStr">
        <is>
          <t>◂ Back</t>
        </is>
      </c>
      <c r="B36" s="29" t="inlineStr">
        <is>
          <t>Mapped</t>
        </is>
      </c>
      <c r="C36" s="28" t="inlineStr">
        <is>
          <t>CARBON</t>
        </is>
      </c>
      <c r="D36" s="29" t="inlineStr">
        <is>
          <t>IRIS0589</t>
        </is>
      </c>
      <c r="E36" s="29" t="inlineStr">
        <is>
          <t>Mohammed Sameer Shamsudin</t>
        </is>
      </c>
      <c r="F36" s="29" t="inlineStr">
        <is>
          <t>Services</t>
        </is>
      </c>
      <c r="G36" s="29" t="inlineStr">
        <is>
          <t>Lead - Assisted Services</t>
        </is>
      </c>
      <c r="H36" s="29" t="inlineStr">
        <is>
          <t>Senior QA Specialist – POD Lead</t>
        </is>
      </c>
      <c r="I36" s="29" t="inlineStr">
        <is>
          <t>L5 – Lead · IC</t>
        </is>
      </c>
      <c r="J36" s="29" t="inlineStr">
        <is>
          <t>B2</t>
        </is>
      </c>
      <c r="K36" s="29" t="inlineStr">
        <is>
          <t>▼ Down · protected</t>
        </is>
      </c>
      <c r="L36" s="29" t="inlineStr">
        <is>
          <t>Quality Assurance</t>
        </is>
      </c>
      <c r="M36" s="29" t="inlineStr">
        <is>
          <t>Functional &amp; Domain Testing</t>
        </is>
      </c>
      <c r="N36" s="29" t="n"/>
      <c r="O36" s="29" t="n">
        <v>20</v>
      </c>
      <c r="P36" s="28" t="inlineStr">
        <is>
          <t>P4 / M3</t>
        </is>
      </c>
      <c r="Q36" s="29" t="inlineStr">
        <is>
          <t>Senior / Manager</t>
        </is>
      </c>
      <c r="R36" s="29" t="inlineStr">
        <is>
          <t>4–5</t>
        </is>
      </c>
      <c r="S36" s="29" t="inlineStr">
        <is>
          <t>6–9 yrs</t>
        </is>
      </c>
      <c r="T36" s="29" t="inlineStr">
        <is>
          <t>7–10 · 6–11</t>
        </is>
      </c>
      <c r="U36" s="29" t="inlineStr">
        <is>
          <t>QA Lead / Senior SDET</t>
        </is>
      </c>
      <c r="V36" s="29" t="inlineStr">
        <is>
          <t>Workiva: Senior SE · Broadridge India: Lead SE · Nasdaq / AxiomSL: Senior SE · IRIS Vs Market Benchmark — ISTQB certification pathway: Advanced · Test Manager / TAE · IRIS Vs Competitor Benchmark — testing managers: QA Manager</t>
        </is>
      </c>
      <c r="W36" s="29" t="inlineStr">
        <is>
          <t>ISTQB Foundation → Advanced → Expert; SFIA testing</t>
        </is>
      </c>
      <c r="X36" s="29" t="inlineStr">
        <is>
          <t>Core 3 · Future 3 · Functional 4 · Leadership 3</t>
        </is>
      </c>
      <c r="Y36" s="52" t="n">
        <v>78</v>
      </c>
      <c r="Z36" s="53" t="inlineStr">
        <is>
          <t>IRIS0589</t>
        </is>
      </c>
      <c r="AA36" s="53" t="inlineStr">
        <is>
          <t>Employee</t>
        </is>
      </c>
      <c r="AB36" s="53" t="inlineStr">
        <is>
          <t>Active</t>
        </is>
      </c>
      <c r="AC36" s="53" t="inlineStr">
        <is>
          <t>Mohammed Sameer Shamsudin</t>
        </is>
      </c>
      <c r="AD36" s="54" t="n">
        <v>40644</v>
      </c>
      <c r="AE36" s="53" t="inlineStr">
        <is>
          <t>Lead - Assisted Services</t>
        </is>
      </c>
      <c r="AF36" s="53" t="inlineStr">
        <is>
          <t>B.Com</t>
        </is>
      </c>
      <c r="AG36" s="53" t="inlineStr">
        <is>
          <t>Shashikant Mudaliar</t>
        </is>
      </c>
      <c r="AH36" s="53" t="inlineStr">
        <is>
          <t>N-6</t>
        </is>
      </c>
      <c r="AI36" s="53" t="inlineStr">
        <is>
          <t>Manager</t>
        </is>
      </c>
      <c r="AJ36" s="53" t="inlineStr">
        <is>
          <t>0 years, 0 months, 0 days</t>
        </is>
      </c>
      <c r="AK36" s="53" t="inlineStr">
        <is>
          <t>15 years, 4 months, 14 days</t>
        </is>
      </c>
      <c r="AL36" s="53" t="inlineStr">
        <is>
          <t>Regtech</t>
        </is>
      </c>
      <c r="AM36" s="53" t="inlineStr">
        <is>
          <t>CARBON</t>
        </is>
      </c>
      <c r="AN36" s="53" t="inlineStr">
        <is>
          <t>Services</t>
        </is>
      </c>
      <c r="AO36" s="53" t="inlineStr">
        <is>
          <t>Expert Assisted services</t>
        </is>
      </c>
      <c r="AP36" s="53" t="inlineStr">
        <is>
          <t>No</t>
        </is>
      </c>
      <c r="AQ36" s="53" t="inlineStr">
        <is>
          <t>Professional Services</t>
        </is>
      </c>
      <c r="AR36" s="53" t="inlineStr">
        <is>
          <t>XBRL Domain</t>
        </is>
      </c>
      <c r="AS36" s="53" t="inlineStr">
        <is>
          <t>Non-technical</t>
        </is>
      </c>
      <c r="AT36" s="53" t="n">
        <v>20</v>
      </c>
      <c r="AU36" s="53" t="inlineStr">
        <is>
          <t>Covered</t>
        </is>
      </c>
      <c r="AV36" s="53" t="inlineStr">
        <is>
          <t>IRIS0589</t>
        </is>
      </c>
      <c r="AW36" s="53" t="inlineStr">
        <is>
          <t>Mohammed Sameer Shamsudin</t>
        </is>
      </c>
      <c r="AX36" s="53" t="inlineStr">
        <is>
          <t>Services</t>
        </is>
      </c>
      <c r="AY36" s="53" t="inlineStr">
        <is>
          <t>Professional Services</t>
        </is>
      </c>
      <c r="AZ36" s="53" t="inlineStr">
        <is>
          <t>AI /Domain Testing</t>
        </is>
      </c>
      <c r="BA36" s="53" t="n"/>
      <c r="BB36" s="53" t="n"/>
      <c r="BC36" s="53" t="inlineStr">
        <is>
          <t>Employee</t>
        </is>
      </c>
      <c r="BD36" s="53" t="inlineStr">
        <is>
          <t>Shashikant Mudaliar</t>
        </is>
      </c>
      <c r="BE36" s="53" t="inlineStr">
        <is>
          <t>Shashikant Mudaliar</t>
        </is>
      </c>
      <c r="BF36" s="53" t="inlineStr">
        <is>
          <t>No</t>
        </is>
      </c>
      <c r="BG36" s="53" t="inlineStr">
        <is>
          <t>Lead - Assisted Services</t>
        </is>
      </c>
      <c r="BH36" s="53" t="inlineStr">
        <is>
          <t>Lead - Assisted Services</t>
        </is>
      </c>
      <c r="BI36" s="53" t="inlineStr">
        <is>
          <t>No</t>
        </is>
      </c>
      <c r="BJ36" s="53" t="n">
        <v>3</v>
      </c>
      <c r="BK36" s="53" t="n">
        <v>3</v>
      </c>
      <c r="BL36" s="53" t="n">
        <v>0</v>
      </c>
      <c r="BM36" s="53" t="inlineStr">
        <is>
          <t>Review</t>
        </is>
      </c>
      <c r="BN36" s="53" t="n">
        <v>3</v>
      </c>
      <c r="BO36" s="53" t="n">
        <v>3</v>
      </c>
      <c r="BP36" s="53" t="n">
        <v>0</v>
      </c>
      <c r="BQ36" s="53" t="inlineStr">
        <is>
          <t>Review</t>
        </is>
      </c>
      <c r="BR36" s="53" t="inlineStr">
        <is>
          <t>No</t>
        </is>
      </c>
      <c r="BS36" s="53" t="inlineStr">
        <is>
          <t>L5 – Lead · IC</t>
        </is>
      </c>
      <c r="BT36" s="53" t="inlineStr">
        <is>
          <t>L5 – Lead · IC</t>
        </is>
      </c>
      <c r="BU36" s="53" t="inlineStr">
        <is>
          <t>No designation change — current record value carried forward</t>
        </is>
      </c>
      <c r="BV36"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6" s="53" t="n"/>
      <c r="BX36" s="53" t="inlineStr">
        <is>
          <t>Netherland - KVK; USA - SEC; Europe - ESEF; India - MCA.</t>
        </is>
      </c>
      <c r="BY36" s="53" t="n"/>
      <c r="BZ36" s="53" t="inlineStr">
        <is>
          <t>IRIS0589</t>
        </is>
      </c>
      <c r="CA36" s="53" t="inlineStr">
        <is>
          <t>Employee</t>
        </is>
      </c>
      <c r="CB36" s="53" t="inlineStr">
        <is>
          <t>Active</t>
        </is>
      </c>
      <c r="CC36" s="53" t="inlineStr">
        <is>
          <t>Mohammed Sameer Shamsudin</t>
        </is>
      </c>
      <c r="CD36" s="54" t="n">
        <v>40644</v>
      </c>
      <c r="CE36" s="53" t="inlineStr">
        <is>
          <t>Lead - Assisted Services</t>
        </is>
      </c>
      <c r="CF36" s="53" t="n"/>
      <c r="CG36" s="53" t="inlineStr">
        <is>
          <t>Professional Services</t>
        </is>
      </c>
      <c r="CH36" s="53" t="inlineStr">
        <is>
          <t>XBRL / Regulatory Reporting</t>
        </is>
      </c>
      <c r="CI36" s="53" t="inlineStr">
        <is>
          <t>Lead - Assisted Services</t>
        </is>
      </c>
      <c r="CJ36" s="53" t="inlineStr">
        <is>
          <t>L5 – Lead · IC</t>
        </is>
      </c>
      <c r="CK36" s="53" t="inlineStr">
        <is>
          <t>Shashikant Mudaliar</t>
        </is>
      </c>
      <c r="CL36" s="53" t="inlineStr">
        <is>
          <t>N-6</t>
        </is>
      </c>
      <c r="CM36" s="53" t="inlineStr">
        <is>
          <t>Player Cum Coach</t>
        </is>
      </c>
      <c r="CN36" s="53" t="inlineStr">
        <is>
          <t>Regtech</t>
        </is>
      </c>
      <c r="CO36" s="53" t="inlineStr">
        <is>
          <t>Services</t>
        </is>
      </c>
      <c r="CP36" s="53" t="inlineStr">
        <is>
          <t>15 years, 2 months, 9 days</t>
        </is>
      </c>
      <c r="CQ36" s="53" t="n"/>
      <c r="CR36" s="53" t="n"/>
      <c r="CS36" s="53" t="n">
        <v>3</v>
      </c>
      <c r="CT36" s="53" t="inlineStr">
        <is>
          <t>Medium</t>
        </is>
      </c>
      <c r="CU36" s="53" t="inlineStr">
        <is>
          <t>Core Contributor</t>
        </is>
      </c>
      <c r="CV36" s="53" t="inlineStr">
        <is>
          <t>No</t>
        </is>
      </c>
      <c r="CW36" s="53" t="inlineStr">
        <is>
          <t>No</t>
        </is>
      </c>
      <c r="CX36" s="53" t="inlineStr">
        <is>
          <t>Yes</t>
        </is>
      </c>
      <c r="CY36" s="53" t="n"/>
      <c r="CZ36" s="53" t="n"/>
      <c r="DA36" s="53" t="n"/>
      <c r="DB36" s="53" t="n"/>
      <c r="DC36" s="53" t="n"/>
      <c r="DD36" s="53" t="n"/>
      <c r="DE36" s="53" t="n"/>
      <c r="DF36" s="53" t="n"/>
      <c r="DG36" s="53" t="n"/>
      <c r="DH36" s="53" t="n"/>
      <c r="DI36" s="53" t="n"/>
      <c r="DJ36" s="53" t="n"/>
      <c r="DK36" s="53" t="n"/>
      <c r="DL36" s="53" t="n"/>
      <c r="DM36" s="53" t="n"/>
      <c r="DN36" s="53" t="n"/>
      <c r="DO36" s="53" t="n"/>
      <c r="DP36" s="53" t="n"/>
      <c r="DQ36" s="53" t="n"/>
      <c r="DR36" s="53" t="n"/>
      <c r="DS36" s="53" t="n"/>
      <c r="DT36" s="53" t="n"/>
      <c r="DU36" s="53" t="n"/>
      <c r="DV36" s="53" t="n"/>
      <c r="DW36" s="53" t="n"/>
      <c r="DX36" s="53" t="n"/>
      <c r="DY36" s="53" t="n"/>
      <c r="DZ36" s="53" t="n"/>
      <c r="EA36" s="53" t="n"/>
      <c r="EB36" s="53" t="n"/>
      <c r="EC36" s="53" t="n"/>
      <c r="ED36" s="53" t="n"/>
      <c r="EE36" s="53" t="n"/>
      <c r="EF36" s="53" t="n"/>
      <c r="EG36" s="53" t="n"/>
      <c r="EH36" s="53" t="n"/>
      <c r="EI36" s="53" t="n"/>
      <c r="EJ36" s="53" t="n"/>
      <c r="EK36" s="53" t="n"/>
      <c r="EL36" s="53" t="n"/>
      <c r="EM36" s="53" t="n"/>
      <c r="EN36" s="53" t="n"/>
      <c r="EO36" s="53" t="n"/>
      <c r="EP36" s="53" t="n"/>
      <c r="EQ36" s="53" t="n"/>
      <c r="ER36" s="53" t="n"/>
      <c r="ES36" s="53" t="n"/>
      <c r="ET36" s="53" t="n"/>
      <c r="EU36" s="53" t="n"/>
      <c r="EV36" s="53" t="n"/>
      <c r="EW36" s="52" t="n"/>
      <c r="EX36" s="53" t="inlineStr">
        <is>
          <t>• Role / sub-team: AI Testing.</t>
        </is>
      </c>
      <c r="EY36" s="53"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EZ36" s="53" t="inlineStr">
        <is>
          <t>• Current capabilities: Teamwork Collaboration; Problem-Solving; Analytical Thinking; Time Management; Adaptability; Tools / software used: Both.</t>
        </is>
      </c>
      <c r="FA36" s="53" t="inlineStr">
        <is>
          <t>• Development priorities: No input received.
• Learning and Development Need: Team work and time manage; technical development.
• AI Enablement Need: AI prompt engineering and using AI to increase efficiency, given their reported use of AI.</t>
        </is>
      </c>
      <c r="FB36" s="53" t="inlineStr">
        <is>
          <t>• Key challenges: Turbhe office travelling.
• Support required: No input received.</t>
        </is>
      </c>
      <c r="FC36" s="53" t="n"/>
      <c r="FD36" s="53" t="n"/>
      <c r="FE36"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6" s="56" t="n"/>
      <c r="FG36" s="56" t="n"/>
      <c r="FH36" s="56" t="n"/>
      <c r="FI36" s="56" t="n"/>
      <c r="FJ36" s="56" t="inlineStr">
        <is>
          <t>Received · manager annual</t>
        </is>
      </c>
      <c r="FK36" s="56" t="inlineStr">
        <is>
          <t>CARBON Mapping Master</t>
        </is>
      </c>
      <c r="FL36" s="56" t="n">
        <v>20</v>
      </c>
      <c r="FM36" s="56" t="inlineStr">
        <is>
          <t>• Role / sub-team: AI Testing.</t>
        </is>
      </c>
      <c r="FN36" s="56"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FO36" s="56" t="inlineStr">
        <is>
          <t>• Current capabilities: Teamwork Collaboration; Problem-Solving; Analytical Thinking; Time Management; Adaptability; Tools / software used: Both.</t>
        </is>
      </c>
      <c r="FP36" s="56" t="inlineStr">
        <is>
          <t>• Development priorities: No input received.
• Learning and Development Need: Team work and time manage; technical development.
• AI Enablement Need: AI prompt engineering and using AI to increase efficiency, given their reported use of AI.</t>
        </is>
      </c>
      <c r="FQ36" s="56" t="inlineStr">
        <is>
          <t>• Key challenges: Turbhe office travelling.
• Support required: No input received.</t>
        </is>
      </c>
      <c r="FR36" s="56" t="inlineStr">
        <is>
          <t>Business Impact: Moved +0.5: the survey / manager mapping marks it business-critical.</t>
        </is>
      </c>
      <c r="FS36"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36" s="56" t="inlineStr">
        <is>
          <t>Self-identified: AI / automation · Testing &amp; quality · Data, SQL &amp; analytics · Strategy &amp; business acumen · Broader exposure &amp; ownership
For the next role: AI / automation · Project / programme management · Testing &amp; quality · Data, SQL &amp; analytics · Strategy &amp; business acumen · Broader exposure &amp; ownership</t>
        </is>
      </c>
      <c r="FU36" s="56" t="inlineStr">
        <is>
          <t>Per-person summary · CARBON Mapping Master</t>
        </is>
      </c>
    </row>
    <row r="37" ht="90" customHeight="1">
      <c r="A37" s="51" t="inlineStr">
        <is>
          <t>◂ Back</t>
        </is>
      </c>
      <c r="B37" s="29" t="inlineStr">
        <is>
          <t>Mapped</t>
        </is>
      </c>
      <c r="C37" s="28" t="inlineStr">
        <is>
          <t>CARBON</t>
        </is>
      </c>
      <c r="D37" s="29" t="inlineStr">
        <is>
          <t>IRIS0621</t>
        </is>
      </c>
      <c r="E37" s="29" t="inlineStr">
        <is>
          <t>Anjum Shaikh</t>
        </is>
      </c>
      <c r="F37" s="29" t="inlineStr">
        <is>
          <t>Services</t>
        </is>
      </c>
      <c r="G37" s="29" t="inlineStr">
        <is>
          <t>Senior Financial Analyst</t>
        </is>
      </c>
      <c r="H37" s="29" t="inlineStr">
        <is>
          <t>Senior Financial Analyst</t>
        </is>
      </c>
      <c r="I37" s="29" t="inlineStr">
        <is>
          <t>L4 – Senior</t>
        </is>
      </c>
      <c r="J37" s="29" t="inlineStr">
        <is>
          <t>A3</t>
        </is>
      </c>
      <c r="K37" s="29" t="inlineStr">
        <is>
          <t>• Same level</t>
        </is>
      </c>
      <c r="L37" s="29" t="inlineStr">
        <is>
          <t>Consulting &amp; Professional Services</t>
        </is>
      </c>
      <c r="M37" s="29" t="inlineStr">
        <is>
          <t>XBRL Tagging, Conversion &amp; Filing</t>
        </is>
      </c>
      <c r="N37" s="29" t="n"/>
      <c r="O37" s="29" t="n">
        <v>20</v>
      </c>
      <c r="P37" s="28" t="inlineStr">
        <is>
          <t>P2</t>
        </is>
      </c>
      <c r="Q37" s="29" t="inlineStr">
        <is>
          <t>Developing</t>
        </is>
      </c>
      <c r="R37" s="29" t="inlineStr">
        <is>
          <t>3 Apply</t>
        </is>
      </c>
      <c r="S37" s="29" t="inlineStr">
        <is>
          <t>2–4 yrs</t>
        </is>
      </c>
      <c r="T37" s="29" t="inlineStr">
        <is>
          <t>3–5 · 2–5</t>
        </is>
      </c>
      <c r="U37" s="29" t="inlineStr">
        <is>
          <t>Senior Analyst / Associate</t>
        </is>
      </c>
      <c r="V37" s="29" t="inlineStr">
        <is>
          <t>DataTracks: Senior Associate · 2–5 yrs · Big Four: Consultant · IRIS Vs Market Benchmark — XBRL US credential pathway: XBRL US GAAP Certificate</t>
        </is>
      </c>
      <c r="W37" s="29" t="inlineStr">
        <is>
          <t>XBRL US GAAP Certificate · AICPA &amp; XBRL US; XBRL International specifications; IFRS / US GAAP / Ind AS</t>
        </is>
      </c>
      <c r="X37" s="29" t="inlineStr">
        <is>
          <t>Core 2 · Future 2 · Functional 3 · Leadership not scored</t>
        </is>
      </c>
      <c r="Y37" s="52" t="n">
        <v>82</v>
      </c>
      <c r="Z37" s="53" t="inlineStr">
        <is>
          <t>IRIS0621</t>
        </is>
      </c>
      <c r="AA37" s="53" t="inlineStr">
        <is>
          <t>Employee</t>
        </is>
      </c>
      <c r="AB37" s="53" t="inlineStr">
        <is>
          <t>Active</t>
        </is>
      </c>
      <c r="AC37" s="53" t="inlineStr">
        <is>
          <t>Anjum Ali</t>
        </is>
      </c>
      <c r="AD37" s="54" t="n">
        <v>40669</v>
      </c>
      <c r="AE37" s="53" t="inlineStr">
        <is>
          <t>Senior Financial Analyst</t>
        </is>
      </c>
      <c r="AF37" s="53" t="inlineStr">
        <is>
          <t>B.Com</t>
        </is>
      </c>
      <c r="AG37" s="53" t="inlineStr">
        <is>
          <t>Mohammed Sameer Shamsudin</t>
        </is>
      </c>
      <c r="AH37" s="53" t="inlineStr">
        <is>
          <t>N-7</t>
        </is>
      </c>
      <c r="AI37" s="53" t="inlineStr">
        <is>
          <t>Individual Contributor</t>
        </is>
      </c>
      <c r="AJ37" s="53" t="inlineStr">
        <is>
          <t>1 years, 7 months, 0 days</t>
        </is>
      </c>
      <c r="AK37" s="53" t="inlineStr">
        <is>
          <t>15 years, 3 months, 19 days</t>
        </is>
      </c>
      <c r="AL37" s="53" t="inlineStr">
        <is>
          <t>Regtech</t>
        </is>
      </c>
      <c r="AM37" s="53" t="inlineStr">
        <is>
          <t>CARBON</t>
        </is>
      </c>
      <c r="AN37" s="53" t="inlineStr">
        <is>
          <t>Services</t>
        </is>
      </c>
      <c r="AO37" s="53" t="inlineStr">
        <is>
          <t>Expert Assisted services</t>
        </is>
      </c>
      <c r="AP37" s="53" t="inlineStr">
        <is>
          <t>No</t>
        </is>
      </c>
      <c r="AQ37" s="53" t="inlineStr">
        <is>
          <t>Professional Services</t>
        </is>
      </c>
      <c r="AR37" s="53" t="inlineStr">
        <is>
          <t>XBRL Domain</t>
        </is>
      </c>
      <c r="AS37" s="53" t="inlineStr">
        <is>
          <t>Non-technical</t>
        </is>
      </c>
      <c r="AT37" s="53" t="n">
        <v>20</v>
      </c>
      <c r="AU37" s="53" t="inlineStr">
        <is>
          <t>Covered</t>
        </is>
      </c>
      <c r="AV37" s="53" t="inlineStr">
        <is>
          <t>IRIS0621</t>
        </is>
      </c>
      <c r="AW37" s="53" t="inlineStr">
        <is>
          <t>Anjum Ali</t>
        </is>
      </c>
      <c r="AX37" s="53" t="inlineStr">
        <is>
          <t>Services</t>
        </is>
      </c>
      <c r="AY37" s="53" t="inlineStr">
        <is>
          <t>Professional Services</t>
        </is>
      </c>
      <c r="AZ37" s="53" t="inlineStr">
        <is>
          <t>XBRL / Regulatory Reporting</t>
        </is>
      </c>
      <c r="BA37" s="53" t="n"/>
      <c r="BB37" s="53" t="n"/>
      <c r="BC37" s="53" t="inlineStr">
        <is>
          <t>Employee</t>
        </is>
      </c>
      <c r="BD37" s="53" t="inlineStr">
        <is>
          <t>Mohammed Sameer Shamsudin</t>
        </is>
      </c>
      <c r="BE37" s="53" t="inlineStr">
        <is>
          <t>Mohammed Sameer Shamsudin</t>
        </is>
      </c>
      <c r="BF37" s="53" t="inlineStr">
        <is>
          <t>No</t>
        </is>
      </c>
      <c r="BG37" s="53" t="inlineStr">
        <is>
          <t>Senior Financial Analyst</t>
        </is>
      </c>
      <c r="BH37" s="53" t="inlineStr">
        <is>
          <t>Senior Services Specialist</t>
        </is>
      </c>
      <c r="BI37" s="53" t="inlineStr">
        <is>
          <t>Yes</t>
        </is>
      </c>
      <c r="BJ37" s="53" t="inlineStr">
        <is>
          <t>—</t>
        </is>
      </c>
      <c r="BK37" s="53" t="inlineStr">
        <is>
          <t>—</t>
        </is>
      </c>
      <c r="BL37" s="53" t="inlineStr">
        <is>
          <t>—</t>
        </is>
      </c>
      <c r="BM37" s="53" t="inlineStr">
        <is>
          <t>Not a manager</t>
        </is>
      </c>
      <c r="BN37" s="53" t="inlineStr">
        <is>
          <t>—</t>
        </is>
      </c>
      <c r="BO37" s="53" t="inlineStr">
        <is>
          <t>—</t>
        </is>
      </c>
      <c r="BP37" s="53" t="inlineStr">
        <is>
          <t>—</t>
        </is>
      </c>
      <c r="BQ37" s="53" t="inlineStr">
        <is>
          <t>Not a manager</t>
        </is>
      </c>
      <c r="BR37" s="53" t="inlineStr">
        <is>
          <t>—</t>
        </is>
      </c>
      <c r="BS37" s="53" t="inlineStr">
        <is>
          <t>L4 – Senior</t>
        </is>
      </c>
      <c r="BT37" s="53" t="inlineStr">
        <is>
          <t>L4 – Senior</t>
        </is>
      </c>
      <c r="BU37" s="53" t="inlineStr">
        <is>
          <t>Designation refined from Raw tab Comments column · this update</t>
        </is>
      </c>
      <c r="BV3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7" s="53" t="n"/>
      <c r="BX37" s="53" t="inlineStr">
        <is>
          <t>UK - HMRC; Netherland - KVK; Europe - ESEF.</t>
        </is>
      </c>
      <c r="BY37" s="53" t="n"/>
      <c r="BZ37" s="53" t="inlineStr">
        <is>
          <t>IRIS0621</t>
        </is>
      </c>
      <c r="CA37" s="53" t="inlineStr">
        <is>
          <t>Employee</t>
        </is>
      </c>
      <c r="CB37" s="53" t="inlineStr">
        <is>
          <t>Active</t>
        </is>
      </c>
      <c r="CC37" s="53" t="inlineStr">
        <is>
          <t>Anjum Ali</t>
        </is>
      </c>
      <c r="CD37" s="54" t="n">
        <v>40669</v>
      </c>
      <c r="CE37" s="53" t="inlineStr">
        <is>
          <t>Senior Financial Analyst</t>
        </is>
      </c>
      <c r="CF37" s="53" t="n"/>
      <c r="CG37" s="53" t="inlineStr">
        <is>
          <t>Professional Services</t>
        </is>
      </c>
      <c r="CH37" s="53" t="inlineStr">
        <is>
          <t>XBRL / Regulatory Reporting</t>
        </is>
      </c>
      <c r="CI37" s="53" t="inlineStr">
        <is>
          <t>Senior Financial Analyst</t>
        </is>
      </c>
      <c r="CJ37" s="53" t="inlineStr">
        <is>
          <t>L4 – Senior</t>
        </is>
      </c>
      <c r="CK37" s="53" t="inlineStr">
        <is>
          <t>Mohammed Sameer Shamsudin</t>
        </is>
      </c>
      <c r="CL37" s="53" t="inlineStr">
        <is>
          <t>N-7</t>
        </is>
      </c>
      <c r="CM37" s="53" t="inlineStr">
        <is>
          <t>Individual Contributor</t>
        </is>
      </c>
      <c r="CN37" s="53" t="inlineStr">
        <is>
          <t>Regtech</t>
        </is>
      </c>
      <c r="CO37" s="53" t="inlineStr">
        <is>
          <t>Services</t>
        </is>
      </c>
      <c r="CP37" s="53" t="inlineStr">
        <is>
          <t>16 years, 8 months, 14 days</t>
        </is>
      </c>
      <c r="CQ37" s="53" t="inlineStr">
        <is>
          <t>Senior Services Specialst</t>
        </is>
      </c>
      <c r="CR37" s="53" t="n"/>
      <c r="CS37" s="53" t="n">
        <v>3</v>
      </c>
      <c r="CT37" s="53" t="inlineStr">
        <is>
          <t>Medium</t>
        </is>
      </c>
      <c r="CU37" s="53" t="inlineStr">
        <is>
          <t>Core Contributor</t>
        </is>
      </c>
      <c r="CV37" s="53" t="inlineStr">
        <is>
          <t>No</t>
        </is>
      </c>
      <c r="CW37" s="53" t="inlineStr">
        <is>
          <t>No</t>
        </is>
      </c>
      <c r="CX37" s="53" t="inlineStr">
        <is>
          <t>Yes</t>
        </is>
      </c>
      <c r="CY37" s="53" t="n"/>
      <c r="CZ37" s="53" t="n"/>
      <c r="DA37" s="53" t="n"/>
      <c r="DB37" s="53" t="inlineStr">
        <is>
          <t>Title to be standardized to: Senior Services Specialist</t>
        </is>
      </c>
      <c r="DC37" s="53" t="n"/>
      <c r="DD37" s="53" t="n"/>
      <c r="DE37" s="53" t="n"/>
      <c r="DF37" s="53" t="n"/>
      <c r="DG37" s="53" t="n"/>
      <c r="DH37" s="53" t="n"/>
      <c r="DI37" s="53" t="n"/>
      <c r="DJ37" s="53" t="n"/>
      <c r="DK37" s="53" t="n"/>
      <c r="DL37" s="53" t="n"/>
      <c r="DM37" s="53" t="n"/>
      <c r="DN37" s="53" t="n"/>
      <c r="DO37" s="53" t="n"/>
      <c r="DP37" s="53" t="n"/>
      <c r="DQ37" s="53" t="n"/>
      <c r="DR37" s="53" t="n"/>
      <c r="DS37" s="53" t="n"/>
      <c r="DT37" s="53" t="n"/>
      <c r="DU37" s="53" t="n"/>
      <c r="DV37" s="53" t="n"/>
      <c r="DW37" s="53" t="n"/>
      <c r="DX37" s="53" t="n"/>
      <c r="DY37" s="53" t="n"/>
      <c r="DZ37" s="53" t="n"/>
      <c r="EA37" s="53" t="n"/>
      <c r="EB37" s="53" t="n"/>
      <c r="EC37" s="53" t="n"/>
      <c r="ED37" s="53" t="n"/>
      <c r="EE37" s="53" t="n"/>
      <c r="EF37" s="53" t="n"/>
      <c r="EG37" s="53" t="n"/>
      <c r="EH37" s="53" t="n"/>
      <c r="EI37" s="53" t="n"/>
      <c r="EJ37" s="53" t="n"/>
      <c r="EK37" s="53" t="n"/>
      <c r="EL37" s="53" t="n"/>
      <c r="EM37" s="53" t="n"/>
      <c r="EN37" s="53" t="n"/>
      <c r="EO37" s="53" t="n"/>
      <c r="EP37" s="53" t="n"/>
      <c r="EQ37" s="53" t="n"/>
      <c r="ER37" s="53" t="n"/>
      <c r="ES37" s="53" t="n"/>
      <c r="ET37" s="53" t="n"/>
      <c r="EU37" s="53" t="n"/>
      <c r="EV37" s="53" t="n"/>
      <c r="EW37" s="52" t="n"/>
      <c r="EX37" s="53" t="inlineStr">
        <is>
          <t>• Role / sub-team: XBRL Conversion Service.</t>
        </is>
      </c>
      <c r="EY37" s="53" t="inlineStr">
        <is>
          <t>• Key responsibilities include: Tagging; Tagging and QC of ESMA, KVK and ESG.
• Reported deliverables and outcomes include: CEM · Customer engagement manager.</t>
        </is>
      </c>
      <c r="EZ37" s="53" t="inlineStr">
        <is>
          <t>• Current capabilities: Communication; Tools / software used: HTML - Editor.</t>
        </is>
      </c>
      <c r="FA37" s="53" t="inlineStr">
        <is>
          <t>• Development priorities: No input received.
• Learning and Development Need: Time management.</t>
        </is>
      </c>
      <c r="FB37" s="53" t="inlineStr">
        <is>
          <t>• Key challenges: While using VPN.
• Support required: No input received.</t>
        </is>
      </c>
      <c r="FC37" s="53" t="n"/>
      <c r="FD37" s="53" t="n"/>
      <c r="FE3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7" s="56" t="n"/>
      <c r="FG37" s="56" t="n"/>
      <c r="FH37" s="56" t="n"/>
      <c r="FI37" s="56" t="n"/>
      <c r="FJ37" s="56" t="inlineStr">
        <is>
          <t>Received · manager annual</t>
        </is>
      </c>
      <c r="FK37" s="56" t="inlineStr">
        <is>
          <t>CARBON Mapping Master</t>
        </is>
      </c>
      <c r="FL37" s="56" t="n">
        <v>20</v>
      </c>
      <c r="FM37" s="56" t="inlineStr">
        <is>
          <t>• Role / sub-team: XBRL Conversion Service.</t>
        </is>
      </c>
      <c r="FN37" s="56" t="inlineStr">
        <is>
          <t>• Key responsibilities include: Tagging; Tagging and QC of ESMA, KVK and ESG.
• Reported deliverables and outcomes include: CEM · Customer engagement manager.</t>
        </is>
      </c>
      <c r="FO37" s="56" t="inlineStr">
        <is>
          <t>• Current capabilities: Communication; Tools / software used: HTML - Editor.</t>
        </is>
      </c>
      <c r="FP37" s="56" t="inlineStr">
        <is>
          <t>• Development priorities: No input received.
• Learning and Development Need: Time management.</t>
        </is>
      </c>
      <c r="FQ37" s="56" t="inlineStr">
        <is>
          <t>• Key challenges: While using VPN.
• Support required: No input received.</t>
        </is>
      </c>
      <c r="FR37" s="56" t="inlineStr">
        <is>
          <t>Complexity: Evidence reads like A3: ESEF/IFRS tagging across markets plus ESG taxonomies, validation and quality assurance → matches the start
Autonomy: Evidence reads like A2: Only validation issues named as independent decisions → moved down 0.5
Accountability: Evidence reads like A2: Accuracy and completeness of own tagging and validation; output goes to the CEM → moved down 0.5
Leadership: Evidence reads like A1: No guiding or leading of others described → moved down 0.5
Business Impact: Moved +0.5: the survey / manager mapping marks it business-critical.</t>
        </is>
      </c>
      <c r="FS3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7" s="56" t="inlineStr">
        <is>
          <t>Self-identified: Answered · no common topic
For the next role: Answered · no common topic</t>
        </is>
      </c>
      <c r="FU37" s="56" t="inlineStr">
        <is>
          <t>Per-person summary · CARBON Mapping Master</t>
        </is>
      </c>
    </row>
    <row r="38" ht="90" customHeight="1">
      <c r="A38" s="51" t="inlineStr">
        <is>
          <t>◂ Back</t>
        </is>
      </c>
      <c r="B38" s="29" t="inlineStr">
        <is>
          <t>Mapped</t>
        </is>
      </c>
      <c r="C38" s="28" t="inlineStr">
        <is>
          <t>CARBON</t>
        </is>
      </c>
      <c r="D38" s="29" t="inlineStr">
        <is>
          <t>IRIS0508</t>
        </is>
      </c>
      <c r="E38" s="29" t="inlineStr">
        <is>
          <t>Dhananjay Bavkar</t>
        </is>
      </c>
      <c r="F38" s="29" t="inlineStr">
        <is>
          <t>Services</t>
        </is>
      </c>
      <c r="G38" s="29" t="inlineStr">
        <is>
          <t>Senior Financial Analyst</t>
        </is>
      </c>
      <c r="H38" s="29" t="inlineStr">
        <is>
          <t>Senior Financial Analyst</t>
        </is>
      </c>
      <c r="I38" s="29" t="inlineStr">
        <is>
          <t>L4 – Senior</t>
        </is>
      </c>
      <c r="J38" s="29" t="inlineStr">
        <is>
          <t>A3</t>
        </is>
      </c>
      <c r="K38" s="29" t="inlineStr">
        <is>
          <t>• Same level</t>
        </is>
      </c>
      <c r="L38" s="29" t="inlineStr">
        <is>
          <t>Consulting &amp; Professional Services</t>
        </is>
      </c>
      <c r="M38" s="29" t="inlineStr">
        <is>
          <t>XBRL Tagging, Conversion &amp; Filing</t>
        </is>
      </c>
      <c r="N38" s="29" t="n"/>
      <c r="O38" s="29" t="n">
        <v>18</v>
      </c>
      <c r="P38" s="28" t="inlineStr">
        <is>
          <t>P2</t>
        </is>
      </c>
      <c r="Q38" s="29" t="inlineStr">
        <is>
          <t>Developing</t>
        </is>
      </c>
      <c r="R38" s="29" t="inlineStr">
        <is>
          <t>3 Apply</t>
        </is>
      </c>
      <c r="S38" s="29" t="inlineStr">
        <is>
          <t>2–4 yrs</t>
        </is>
      </c>
      <c r="T38" s="29" t="inlineStr">
        <is>
          <t>3–5 · 2–5</t>
        </is>
      </c>
      <c r="U38" s="29" t="inlineStr">
        <is>
          <t>Senior Analyst / Associate</t>
        </is>
      </c>
      <c r="V38" s="29" t="inlineStr">
        <is>
          <t>DataTracks: Senior Associate · 2–5 yrs · Big Four: Consultant · IRIS Vs Market Benchmark — XBRL US credential pathway: XBRL US GAAP Certificate</t>
        </is>
      </c>
      <c r="W38" s="29" t="inlineStr">
        <is>
          <t>XBRL US GAAP Certificate · AICPA &amp; XBRL US; XBRL International specifications; IFRS / US GAAP / Ind AS</t>
        </is>
      </c>
      <c r="X38" s="29" t="inlineStr">
        <is>
          <t>Core 2 · Future 2 · Functional 3 · Leadership not scored</t>
        </is>
      </c>
      <c r="Y38" s="52" t="n">
        <v>67</v>
      </c>
      <c r="Z38" s="53" t="inlineStr">
        <is>
          <t>IRIS0508</t>
        </is>
      </c>
      <c r="AA38" s="53" t="inlineStr">
        <is>
          <t>Employee</t>
        </is>
      </c>
      <c r="AB38" s="53" t="inlineStr">
        <is>
          <t>Active</t>
        </is>
      </c>
      <c r="AC38" s="53" t="inlineStr">
        <is>
          <t>Dhananjay Bavkar</t>
        </is>
      </c>
      <c r="AD38" s="54" t="n">
        <v>40553</v>
      </c>
      <c r="AE38" s="53" t="inlineStr">
        <is>
          <t>Senior Financial Analyst</t>
        </is>
      </c>
      <c r="AF38" s="53" t="inlineStr">
        <is>
          <t>B.Com</t>
        </is>
      </c>
      <c r="AG38" s="53" t="inlineStr">
        <is>
          <t>Mohammed Sameer Shamsudin</t>
        </is>
      </c>
      <c r="AH38" s="53" t="inlineStr">
        <is>
          <t>N-7</t>
        </is>
      </c>
      <c r="AI38" s="53" t="inlineStr">
        <is>
          <t>Individual Contributor</t>
        </is>
      </c>
      <c r="AJ38" s="53" t="inlineStr">
        <is>
          <t>0 years, 0 months, 0 days</t>
        </is>
      </c>
      <c r="AK38" s="53" t="inlineStr">
        <is>
          <t>15 years, 7 months, 15 days</t>
        </is>
      </c>
      <c r="AL38" s="53" t="inlineStr">
        <is>
          <t>Regtech</t>
        </is>
      </c>
      <c r="AM38" s="53" t="inlineStr">
        <is>
          <t>CARBON</t>
        </is>
      </c>
      <c r="AN38" s="53" t="inlineStr">
        <is>
          <t>Services</t>
        </is>
      </c>
      <c r="AO38" s="53" t="inlineStr">
        <is>
          <t>Expert Assisted services</t>
        </is>
      </c>
      <c r="AP38" s="53" t="inlineStr">
        <is>
          <t>No</t>
        </is>
      </c>
      <c r="AQ38" s="53" t="inlineStr">
        <is>
          <t>Professional Services</t>
        </is>
      </c>
      <c r="AR38" s="53" t="inlineStr">
        <is>
          <t>XBRL Domain</t>
        </is>
      </c>
      <c r="AS38" s="53" t="inlineStr">
        <is>
          <t>Non-technical</t>
        </is>
      </c>
      <c r="AT38" s="53" t="n">
        <v>20</v>
      </c>
      <c r="AU38" s="53" t="inlineStr">
        <is>
          <t>Covered</t>
        </is>
      </c>
      <c r="AV38" s="53" t="inlineStr">
        <is>
          <t>IRIS0508</t>
        </is>
      </c>
      <c r="AW38" s="53" t="inlineStr">
        <is>
          <t>Dhananjay Bavkar</t>
        </is>
      </c>
      <c r="AX38" s="53" t="inlineStr">
        <is>
          <t>Services</t>
        </is>
      </c>
      <c r="AY38" s="53" t="inlineStr">
        <is>
          <t>Professional Services</t>
        </is>
      </c>
      <c r="AZ38" s="53" t="inlineStr">
        <is>
          <t>XBRL / Regulatory Reporting</t>
        </is>
      </c>
      <c r="BA38" s="53" t="n"/>
      <c r="BB38" s="53" t="n"/>
      <c r="BC38" s="53" t="inlineStr">
        <is>
          <t>Employee</t>
        </is>
      </c>
      <c r="BD38" s="53" t="inlineStr">
        <is>
          <t>Mohammed Sameer Shamsudin</t>
        </is>
      </c>
      <c r="BE38" s="53" t="inlineStr">
        <is>
          <t>Mohammed Sameer Shamsudin</t>
        </is>
      </c>
      <c r="BF38" s="53" t="inlineStr">
        <is>
          <t>No</t>
        </is>
      </c>
      <c r="BG38" s="53" t="inlineStr">
        <is>
          <t>Senior Financial Analyst</t>
        </is>
      </c>
      <c r="BH38" s="53" t="inlineStr">
        <is>
          <t>Senior Services Specialist</t>
        </is>
      </c>
      <c r="BI38" s="53" t="inlineStr">
        <is>
          <t>Yes</t>
        </is>
      </c>
      <c r="BJ38" s="53" t="inlineStr">
        <is>
          <t>—</t>
        </is>
      </c>
      <c r="BK38" s="53" t="inlineStr">
        <is>
          <t>—</t>
        </is>
      </c>
      <c r="BL38" s="53" t="inlineStr">
        <is>
          <t>—</t>
        </is>
      </c>
      <c r="BM38" s="53" t="inlineStr">
        <is>
          <t>Not a manager</t>
        </is>
      </c>
      <c r="BN38" s="53" t="inlineStr">
        <is>
          <t>—</t>
        </is>
      </c>
      <c r="BO38" s="53" t="inlineStr">
        <is>
          <t>—</t>
        </is>
      </c>
      <c r="BP38" s="53" t="inlineStr">
        <is>
          <t>—</t>
        </is>
      </c>
      <c r="BQ38" s="53" t="inlineStr">
        <is>
          <t>Not a manager</t>
        </is>
      </c>
      <c r="BR38" s="53" t="inlineStr">
        <is>
          <t>—</t>
        </is>
      </c>
      <c r="BS38" s="53" t="inlineStr">
        <is>
          <t>L4 – Senior</t>
        </is>
      </c>
      <c r="BT38" s="53" t="inlineStr">
        <is>
          <t>L4 – Senior</t>
        </is>
      </c>
      <c r="BU38" s="53" t="inlineStr">
        <is>
          <t>Designation refined from Raw tab Comments column · this update</t>
        </is>
      </c>
      <c r="BV3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8" s="53" t="n"/>
      <c r="BX38" s="53" t="inlineStr">
        <is>
          <t>Europe - ESEF; Netherland - KVK; UK - HMRC; Italy - Infocamere.</t>
        </is>
      </c>
      <c r="BY38" s="53" t="n"/>
      <c r="BZ38" s="53" t="inlineStr">
        <is>
          <t>IRIS0508</t>
        </is>
      </c>
      <c r="CA38" s="53" t="inlineStr">
        <is>
          <t>Employee</t>
        </is>
      </c>
      <c r="CB38" s="53" t="inlineStr">
        <is>
          <t>Active</t>
        </is>
      </c>
      <c r="CC38" s="53" t="inlineStr">
        <is>
          <t>Dhananjay Bavkar</t>
        </is>
      </c>
      <c r="CD38" s="54" t="n">
        <v>40553</v>
      </c>
      <c r="CE38" s="53" t="inlineStr">
        <is>
          <t>Senior Financial Analyst</t>
        </is>
      </c>
      <c r="CF38" s="53" t="n"/>
      <c r="CG38" s="53" t="inlineStr">
        <is>
          <t>Professional Services</t>
        </is>
      </c>
      <c r="CH38" s="53" t="inlineStr">
        <is>
          <t>XBRL / Regulatory Reporting</t>
        </is>
      </c>
      <c r="CI38" s="53" t="inlineStr">
        <is>
          <t>Senior Financial Analyst</t>
        </is>
      </c>
      <c r="CJ38" s="53" t="inlineStr">
        <is>
          <t>L4 – Senior</t>
        </is>
      </c>
      <c r="CK38" s="53" t="inlineStr">
        <is>
          <t>Mohammed Sameer Shamsudin</t>
        </is>
      </c>
      <c r="CL38" s="53" t="inlineStr">
        <is>
          <t>N-7</t>
        </is>
      </c>
      <c r="CM38" s="53" t="inlineStr">
        <is>
          <t>Individual Contributor</t>
        </is>
      </c>
      <c r="CN38" s="53" t="inlineStr">
        <is>
          <t>Regtech</t>
        </is>
      </c>
      <c r="CO38" s="53" t="inlineStr">
        <is>
          <t>Services</t>
        </is>
      </c>
      <c r="CP38" s="53" t="inlineStr">
        <is>
          <t>15 years, 5 months, 10 days</t>
        </is>
      </c>
      <c r="CQ38" s="53" t="inlineStr">
        <is>
          <t>Senior Services Specialst</t>
        </is>
      </c>
      <c r="CR38" s="53" t="n"/>
      <c r="CS38" s="53" t="n">
        <v>3</v>
      </c>
      <c r="CT38" s="53" t="inlineStr">
        <is>
          <t>Medium</t>
        </is>
      </c>
      <c r="CU38" s="53" t="inlineStr">
        <is>
          <t>Core Contributor</t>
        </is>
      </c>
      <c r="CV38" s="53" t="inlineStr">
        <is>
          <t>No</t>
        </is>
      </c>
      <c r="CW38" s="53" t="inlineStr">
        <is>
          <t>No</t>
        </is>
      </c>
      <c r="CX38" s="53" t="inlineStr">
        <is>
          <t>Yes</t>
        </is>
      </c>
      <c r="CY38" s="53" t="n"/>
      <c r="CZ38" s="53" t="n"/>
      <c r="DA38" s="53" t="n"/>
      <c r="DB38" s="53" t="inlineStr">
        <is>
          <t>Title to be standardized to: Senior Services Specialist</t>
        </is>
      </c>
      <c r="DC38" s="53" t="n"/>
      <c r="DD38" s="53" t="n"/>
      <c r="DE38" s="53" t="n"/>
      <c r="DF38" s="53" t="n"/>
      <c r="DG38" s="53" t="n"/>
      <c r="DH38" s="53" t="n"/>
      <c r="DI38" s="53" t="n"/>
      <c r="DJ38" s="53" t="n"/>
      <c r="DK38" s="53" t="n"/>
      <c r="DL38" s="53" t="n"/>
      <c r="DM38" s="53" t="n"/>
      <c r="DN38" s="53" t="n"/>
      <c r="DO38" s="53" t="n"/>
      <c r="DP38" s="53" t="n"/>
      <c r="DQ38" s="53" t="n"/>
      <c r="DR38" s="53" t="n"/>
      <c r="DS38" s="53" t="n"/>
      <c r="DT38" s="53" t="n"/>
      <c r="DU38" s="53" t="n"/>
      <c r="DV38" s="53" t="n"/>
      <c r="DW38" s="53" t="n"/>
      <c r="DX38" s="53" t="n"/>
      <c r="DY38" s="53" t="n"/>
      <c r="DZ38" s="53" t="n"/>
      <c r="EA38" s="53" t="n"/>
      <c r="EB38" s="53" t="n"/>
      <c r="EC38" s="53" t="n"/>
      <c r="ED38" s="53" t="n"/>
      <c r="EE38" s="53" t="n"/>
      <c r="EF38" s="53" t="n"/>
      <c r="EG38" s="53" t="n"/>
      <c r="EH38" s="53" t="n"/>
      <c r="EI38" s="53" t="n"/>
      <c r="EJ38" s="53" t="n"/>
      <c r="EK38" s="53" t="n"/>
      <c r="EL38" s="53" t="n"/>
      <c r="EM38" s="53" t="n"/>
      <c r="EN38" s="53" t="n"/>
      <c r="EO38" s="53" t="n"/>
      <c r="EP38" s="53" t="n"/>
      <c r="EQ38" s="53" t="n"/>
      <c r="ER38" s="53" t="n"/>
      <c r="ES38" s="53" t="n"/>
      <c r="ET38" s="53" t="n"/>
      <c r="EU38" s="53" t="n"/>
      <c r="EV38" s="53" t="n"/>
      <c r="EW38" s="52" t="inlineStr">
        <is>
          <t>Also works on the EU-DM · EU Disclosure Management project — not currently reflected in product/role mapping.</t>
        </is>
      </c>
      <c r="EX38" s="53" t="inlineStr">
        <is>
          <t>• Role / sub-team: Quality check Analyst And disclosure management processing.</t>
        </is>
      </c>
      <c r="EY38" s="53" t="inlineStr">
        <is>
          <t>• Key responsibilities include: Esma file Tagging and Quality check, DM File Process, Mail monitor, Infocamere, ESG and KVK Tagging, Product testing.
• Reported deliverables and outcomes include: DM and xrbl file send to CEM.</t>
        </is>
      </c>
      <c r="EZ38" s="53" t="inlineStr">
        <is>
          <t>• Current capabilities: Team work; Tools / software used: Both.</t>
        </is>
      </c>
      <c r="FA38" s="53" t="inlineStr">
        <is>
          <t>• Development priorities: No input received.
• Learning and Development Need: Time management.</t>
        </is>
      </c>
      <c r="FB38" s="53" t="inlineStr">
        <is>
          <t>• Key challenges: Remote desktop issue.
• Support required: No input received.</t>
        </is>
      </c>
      <c r="FC38" s="53" t="n"/>
      <c r="FD38" s="53" t="n"/>
      <c r="FE3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8" s="56" t="n"/>
      <c r="FG38" s="56" t="n"/>
      <c r="FH38" s="56" t="n"/>
      <c r="FI38" s="56" t="n"/>
      <c r="FJ38" s="56" t="inlineStr">
        <is>
          <t>Received · manager annual</t>
        </is>
      </c>
      <c r="FK38" s="56" t="inlineStr">
        <is>
          <t>CARBON Mapping Master</t>
        </is>
      </c>
      <c r="FL38" s="56" t="n">
        <v>18</v>
      </c>
      <c r="FM38" s="56" t="inlineStr">
        <is>
          <t>• Role / sub-team: Quality check Analyst And disclosure management processing.</t>
        </is>
      </c>
      <c r="FN38" s="56" t="inlineStr">
        <is>
          <t>• Key responsibilities include: Esma file Tagging and Quality check, DM File Process, Mail monitor, Infocamere, ESG and KVK Tagging, Product testing.
• Reported deliverables and outcomes include: DM and xrbl file send to CEM.</t>
        </is>
      </c>
      <c r="FO38" s="56" t="inlineStr">
        <is>
          <t>• Current capabilities: Team work; Tools / software used: Both.</t>
        </is>
      </c>
      <c r="FP38" s="56" t="inlineStr">
        <is>
          <t>• Development priorities: No input received.
• Learning and Development Need: Time management.</t>
        </is>
      </c>
      <c r="FQ38" s="56" t="inlineStr">
        <is>
          <t>• Key challenges: Remote desktop issue.
• Support required: No input received.</t>
        </is>
      </c>
      <c r="FR38" s="56" t="inlineStr">
        <is>
          <t>Complexity: Evidence reads like A3: Disclosure management, ESMA tagging and QA, taxonomy mapping, validation, software-update testing → matches the start
Autonomy: Evidence reads like A3: Independently investigates validation errors, decides taxonomy mapping and makes corrections → matches the start
Accountability: Evidence reads like A2: Accuracy of own tagging, validation and disclosure updates; files go to CEM → moved down 0.5
Leadership: Evidence reads like A1: No guiding or leading of others described → moved down 0.5
Business Impact: Moved +0.5: the survey / manager mapping marks it business-critical.</t>
        </is>
      </c>
      <c r="FS3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8" s="56" t="inlineStr">
        <is>
          <t>Self-identified: Project / programme management · Domain, regulatory &amp; XBRL · Broader exposure &amp; ownership
For the next role: Project / programme management · Domain, regulatory &amp; XBRL · Broader exposure &amp; ownership</t>
        </is>
      </c>
      <c r="FU38" s="56" t="inlineStr">
        <is>
          <t>Per-person summary · CARBON Mapping Master</t>
        </is>
      </c>
    </row>
    <row r="39" ht="90" customHeight="1">
      <c r="A39" s="51" t="inlineStr">
        <is>
          <t>◂ Back</t>
        </is>
      </c>
      <c r="B39" s="29" t="inlineStr">
        <is>
          <t>Mapped</t>
        </is>
      </c>
      <c r="C39" s="28" t="inlineStr">
        <is>
          <t>CARBON</t>
        </is>
      </c>
      <c r="D39" s="29" t="inlineStr">
        <is>
          <t>IRIS0616</t>
        </is>
      </c>
      <c r="E39" s="29" t="inlineStr">
        <is>
          <t>Priyanka Jadhav</t>
        </is>
      </c>
      <c r="F39" s="29" t="inlineStr">
        <is>
          <t>Services</t>
        </is>
      </c>
      <c r="G39" s="29" t="inlineStr">
        <is>
          <t>Lead - Assisted Services</t>
        </is>
      </c>
      <c r="H39" s="29" t="inlineStr">
        <is>
          <t>Manager – Assisted Services</t>
        </is>
      </c>
      <c r="I39" s="29" t="inlineStr">
        <is>
          <t>L5 – Lead · IC</t>
        </is>
      </c>
      <c r="J39" s="29" t="inlineStr">
        <is>
          <t>B2</t>
        </is>
      </c>
      <c r="K39" s="29" t="inlineStr">
        <is>
          <t>▼ Down · protected</t>
        </is>
      </c>
      <c r="L39" s="29" t="inlineStr">
        <is>
          <t>Consulting &amp; Professional Services</t>
        </is>
      </c>
      <c r="M39" s="29" t="inlineStr">
        <is>
          <t>XBRL Tagging, Conversion &amp; Filing</t>
        </is>
      </c>
      <c r="N39" s="29" t="n"/>
      <c r="O39" s="29" t="n">
        <v>20</v>
      </c>
      <c r="P39" s="28" t="inlineStr">
        <is>
          <t>P4 / M3</t>
        </is>
      </c>
      <c r="Q39" s="29" t="inlineStr">
        <is>
          <t>Senior / Manager</t>
        </is>
      </c>
      <c r="R39" s="29" t="inlineStr">
        <is>
          <t>4–5</t>
        </is>
      </c>
      <c r="S39" s="29" t="inlineStr">
        <is>
          <t>6–9 yrs</t>
        </is>
      </c>
      <c r="T39" s="29" t="inlineStr">
        <is>
          <t>7–10 · 6–11</t>
        </is>
      </c>
      <c r="U39" s="29" t="inlineStr">
        <is>
          <t>Manager</t>
        </is>
      </c>
      <c r="V39" s="29" t="inlineStr">
        <is>
          <t>Big Four: Manager · IRIS Vs Market Benchmark — XBRL US credential pathway: Certificate + review authority</t>
        </is>
      </c>
      <c r="W39" s="29" t="inlineStr">
        <is>
          <t>XBRL US GAAP Certificate · AICPA &amp; XBRL US; XBRL International specifications; IFRS / US GAAP / Ind AS</t>
        </is>
      </c>
      <c r="X39" s="29" t="inlineStr">
        <is>
          <t>Core 3 · Future 3 · Functional 4 · Leadership 3</t>
        </is>
      </c>
      <c r="Y39" s="52" t="n">
        <v>80</v>
      </c>
      <c r="Z39" s="53" t="inlineStr">
        <is>
          <t>IRIS0616</t>
        </is>
      </c>
      <c r="AA39" s="53" t="inlineStr">
        <is>
          <t>Employee</t>
        </is>
      </c>
      <c r="AB39" s="53" t="inlineStr">
        <is>
          <t>Active</t>
        </is>
      </c>
      <c r="AC39" s="53" t="inlineStr">
        <is>
          <t>Priyanka Jadhav</t>
        </is>
      </c>
      <c r="AD39" s="54" t="n">
        <v>40665</v>
      </c>
      <c r="AE39" s="53" t="inlineStr">
        <is>
          <t>Lead - Assisted Services</t>
        </is>
      </c>
      <c r="AF39" s="53" t="inlineStr">
        <is>
          <t>BCAF</t>
        </is>
      </c>
      <c r="AG39" s="53" t="inlineStr">
        <is>
          <t>Shashikant Mudaliar</t>
        </is>
      </c>
      <c r="AH39" s="53" t="inlineStr">
        <is>
          <t>N-6</t>
        </is>
      </c>
      <c r="AI39" s="53" t="inlineStr">
        <is>
          <t>Manager</t>
        </is>
      </c>
      <c r="AJ39" s="53" t="inlineStr">
        <is>
          <t>0 years, 0 months, 0 days</t>
        </is>
      </c>
      <c r="AK39" s="53" t="inlineStr">
        <is>
          <t>15 years, 3 months, 23 days</t>
        </is>
      </c>
      <c r="AL39" s="53" t="inlineStr">
        <is>
          <t>Regtech</t>
        </is>
      </c>
      <c r="AM39" s="53" t="inlineStr">
        <is>
          <t>CARBON</t>
        </is>
      </c>
      <c r="AN39" s="53" t="inlineStr">
        <is>
          <t>Services</t>
        </is>
      </c>
      <c r="AO39" s="53" t="inlineStr">
        <is>
          <t>Expert Assisted services</t>
        </is>
      </c>
      <c r="AP39" s="53" t="inlineStr">
        <is>
          <t>No</t>
        </is>
      </c>
      <c r="AQ39" s="53" t="inlineStr">
        <is>
          <t>Professional Services</t>
        </is>
      </c>
      <c r="AR39" s="53" t="inlineStr">
        <is>
          <t>XBRL Domain</t>
        </is>
      </c>
      <c r="AS39" s="53" t="inlineStr">
        <is>
          <t>Non-technical</t>
        </is>
      </c>
      <c r="AT39" s="53" t="n">
        <v>20</v>
      </c>
      <c r="AU39" s="53" t="inlineStr">
        <is>
          <t>Covered</t>
        </is>
      </c>
      <c r="AV39" s="53" t="inlineStr">
        <is>
          <t>IRIS0616</t>
        </is>
      </c>
      <c r="AW39" s="53" t="inlineStr">
        <is>
          <t>Priyanka Jadhav</t>
        </is>
      </c>
      <c r="AX39" s="53" t="inlineStr">
        <is>
          <t>Services</t>
        </is>
      </c>
      <c r="AY39" s="53" t="inlineStr">
        <is>
          <t>Professional Services</t>
        </is>
      </c>
      <c r="AZ39" s="53" t="inlineStr">
        <is>
          <t>XBRL / Regulatory Reporting</t>
        </is>
      </c>
      <c r="BA39" s="53" t="n"/>
      <c r="BB39" s="53" t="n"/>
      <c r="BC39" s="53" t="inlineStr">
        <is>
          <t>Employee</t>
        </is>
      </c>
      <c r="BD39" s="53" t="inlineStr">
        <is>
          <t>Shashikant Mudaliar</t>
        </is>
      </c>
      <c r="BE39" s="53" t="inlineStr">
        <is>
          <t>Shashikant Mudaliar</t>
        </is>
      </c>
      <c r="BF39" s="53" t="inlineStr">
        <is>
          <t>No</t>
        </is>
      </c>
      <c r="BG39" s="53" t="inlineStr">
        <is>
          <t>Lead - Assisted Services</t>
        </is>
      </c>
      <c r="BH39" s="53" t="inlineStr">
        <is>
          <t>Manager Services</t>
        </is>
      </c>
      <c r="BI39" s="53" t="inlineStr">
        <is>
          <t>Yes</t>
        </is>
      </c>
      <c r="BJ39" s="53" t="n">
        <v>7</v>
      </c>
      <c r="BK39" s="53" t="n">
        <v>7</v>
      </c>
      <c r="BL39" s="53" t="n">
        <v>0</v>
      </c>
      <c r="BM39" s="53" t="inlineStr">
        <is>
          <t>Healthy</t>
        </is>
      </c>
      <c r="BN39" s="53" t="n">
        <v>7</v>
      </c>
      <c r="BO39" s="53" t="n">
        <v>7</v>
      </c>
      <c r="BP39" s="53" t="n">
        <v>0</v>
      </c>
      <c r="BQ39" s="53" t="inlineStr">
        <is>
          <t>Healthy</t>
        </is>
      </c>
      <c r="BR39" s="53" t="inlineStr">
        <is>
          <t>No</t>
        </is>
      </c>
      <c r="BS39" s="53" t="inlineStr">
        <is>
          <t>L5 – Lead · IC</t>
        </is>
      </c>
      <c r="BT39" s="53" t="inlineStr">
        <is>
          <t>L5</t>
        </is>
      </c>
      <c r="BU39" s="53" t="inlineStr">
        <is>
          <t>Designation refined from Raw tab Comments column · this update</t>
        </is>
      </c>
      <c r="BV39"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9" s="53" t="n"/>
      <c r="BX39" s="53" t="inlineStr">
        <is>
          <t>India - MCA; Netherland - KVK; Italy - Infocamere; Europe - ESEF.</t>
        </is>
      </c>
      <c r="BY39" s="53" t="n"/>
      <c r="BZ39" s="53" t="inlineStr">
        <is>
          <t>IRIS0616</t>
        </is>
      </c>
      <c r="CA39" s="53" t="inlineStr">
        <is>
          <t>Employee</t>
        </is>
      </c>
      <c r="CB39" s="53" t="inlineStr">
        <is>
          <t>Active</t>
        </is>
      </c>
      <c r="CC39" s="53" t="inlineStr">
        <is>
          <t>Priyanka Jadhav</t>
        </is>
      </c>
      <c r="CD39" s="54" t="n">
        <v>40665</v>
      </c>
      <c r="CE39" s="53" t="inlineStr">
        <is>
          <t>Lead - Assisted Services</t>
        </is>
      </c>
      <c r="CF39" s="53" t="n"/>
      <c r="CG39" s="53" t="inlineStr">
        <is>
          <t>Professional Services</t>
        </is>
      </c>
      <c r="CH39" s="53" t="inlineStr">
        <is>
          <t>XBRL / Regulatory Reporting</t>
        </is>
      </c>
      <c r="CI39" s="53" t="inlineStr">
        <is>
          <t>Lead - Assisted Services</t>
        </is>
      </c>
      <c r="CJ39" s="53" t="inlineStr">
        <is>
          <t>L5 – Lead · IC</t>
        </is>
      </c>
      <c r="CK39" s="53" t="inlineStr">
        <is>
          <t>Shashikant Mudaliar</t>
        </is>
      </c>
      <c r="CL39" s="53" t="inlineStr">
        <is>
          <t>N-6</t>
        </is>
      </c>
      <c r="CM39" s="53" t="inlineStr">
        <is>
          <t>Manager</t>
        </is>
      </c>
      <c r="CN39" s="53" t="inlineStr">
        <is>
          <t>Regtech</t>
        </is>
      </c>
      <c r="CO39" s="53" t="inlineStr">
        <is>
          <t>Services</t>
        </is>
      </c>
      <c r="CP39" s="53" t="inlineStr">
        <is>
          <t>15 years, 1 months, 18 days</t>
        </is>
      </c>
      <c r="CQ39" s="53" t="inlineStr">
        <is>
          <t>Manager - Services</t>
        </is>
      </c>
      <c r="CR39" s="53" t="n"/>
      <c r="CS39" s="53" t="n">
        <v>4</v>
      </c>
      <c r="CT39" s="53" t="inlineStr">
        <is>
          <t>High</t>
        </is>
      </c>
      <c r="CU39" s="53" t="inlineStr">
        <is>
          <t>Emerging Talent</t>
        </is>
      </c>
      <c r="CV39" s="53" t="inlineStr">
        <is>
          <t>Yes</t>
        </is>
      </c>
      <c r="CW39" s="53" t="inlineStr">
        <is>
          <t>No</t>
        </is>
      </c>
      <c r="CX39" s="53" t="inlineStr">
        <is>
          <t>Yes</t>
        </is>
      </c>
      <c r="CY39" s="53" t="n"/>
      <c r="CZ39" s="53" t="n"/>
      <c r="DA39" s="53" t="n"/>
      <c r="DB39" s="53" t="inlineStr">
        <is>
          <t>Title to be changed to Manager Services</t>
        </is>
      </c>
      <c r="DC39" s="53" t="n"/>
      <c r="DD39" s="53" t="n"/>
      <c r="DE39" s="53" t="n"/>
      <c r="DF39" s="53" t="n"/>
      <c r="DG39" s="53" t="n"/>
      <c r="DH39" s="53" t="n"/>
      <c r="DI39" s="53" t="n"/>
      <c r="DJ39" s="53" t="n"/>
      <c r="DK39" s="53" t="n"/>
      <c r="DL39" s="53" t="n"/>
      <c r="DM39" s="53" t="n"/>
      <c r="DN39" s="53" t="n"/>
      <c r="DO39" s="53" t="n"/>
      <c r="DP39" s="53" t="n"/>
      <c r="DQ39" s="53" t="n"/>
      <c r="DR39" s="53" t="n"/>
      <c r="DS39" s="53" t="n"/>
      <c r="DT39" s="53" t="n"/>
      <c r="DU39" s="53" t="n"/>
      <c r="DV39" s="53" t="n"/>
      <c r="DW39" s="53" t="n"/>
      <c r="DX39" s="53" t="n"/>
      <c r="DY39" s="53" t="n"/>
      <c r="DZ39" s="53" t="n"/>
      <c r="EA39" s="53" t="n"/>
      <c r="EB39" s="53" t="n"/>
      <c r="EC39" s="53" t="n"/>
      <c r="ED39" s="53" t="n"/>
      <c r="EE39" s="53" t="n"/>
      <c r="EF39" s="53" t="n"/>
      <c r="EG39" s="53" t="n"/>
      <c r="EH39" s="53" t="n"/>
      <c r="EI39" s="53" t="n"/>
      <c r="EJ39" s="53" t="n"/>
      <c r="EK39" s="53" t="n"/>
      <c r="EL39" s="53" t="n"/>
      <c r="EM39" s="53" t="n"/>
      <c r="EN39" s="53" t="n"/>
      <c r="EO39" s="53" t="n"/>
      <c r="EP39" s="53" t="n"/>
      <c r="EQ39" s="53" t="n"/>
      <c r="ER39" s="53" t="n"/>
      <c r="ES39" s="53" t="n"/>
      <c r="ET39" s="53" t="n"/>
      <c r="EU39" s="53" t="n"/>
      <c r="EV39" s="53" t="n"/>
      <c r="EW39" s="52" t="n"/>
      <c r="EX39" s="53" t="inlineStr">
        <is>
          <t>• Role / sub-team: EU Assisted Services · ixbl Filing.</t>
        </is>
      </c>
      <c r="EY39" s="53"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EZ39" s="53" t="inlineStr">
        <is>
          <t>• Current capabilities: Smart work; Tools / software used: Both.</t>
        </is>
      </c>
      <c r="FA39" s="53" t="inlineStr">
        <is>
          <t>• Development priorities: No input received.
• Learning and Development Need: Prioritization task.</t>
        </is>
      </c>
      <c r="FB39" s="53" t="inlineStr">
        <is>
          <t>• Key challenges: No input received.
• Support required: No input received.</t>
        </is>
      </c>
      <c r="FC39" s="53" t="n"/>
      <c r="FD39" s="53" t="n"/>
      <c r="FE39"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9" s="56" t="n"/>
      <c r="FG39" s="56" t="n"/>
      <c r="FH39" s="56" t="n"/>
      <c r="FI39" s="56" t="n"/>
      <c r="FJ39" s="56" t="inlineStr">
        <is>
          <t>Received · manager annual</t>
        </is>
      </c>
      <c r="FK39" s="56" t="inlineStr">
        <is>
          <t>CARBON Mapping Master</t>
        </is>
      </c>
      <c r="FL39" s="56" t="n">
        <v>20</v>
      </c>
      <c r="FM39" s="56" t="inlineStr">
        <is>
          <t>• Role / sub-team: EU Assisted Services · ixbl Filing.</t>
        </is>
      </c>
      <c r="FN39" s="56"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FO39" s="56" t="inlineStr">
        <is>
          <t>• Current capabilities: Smart work; Tools / software used: Both.</t>
        </is>
      </c>
      <c r="FP39" s="56" t="inlineStr">
        <is>
          <t>• Development priorities: No input received.
• Learning and Development Need: Prioritization task.</t>
        </is>
      </c>
      <c r="FQ39" s="56" t="inlineStr">
        <is>
          <t>• Key challenges: No input received.
• Support required: No input received.</t>
        </is>
      </c>
      <c r="FR39" s="56" t="inlineStr">
        <is>
          <t>Complexity: Evidence reads like B2: Covers ESEF, KVK, InfoCamere, EU DM and ESG mandates; resolves process/tool issues; R&amp;D for new mandates → moved up 0.5
Autonomy: Evidence reads like B2: Sets priorities, allocates work and resources, changes ways of working without approval → moved up 0.5
Accountability: Evidence reads like B2: own survey / KRA answers · summarised by the rater; not quoted → matches the start
Leadership: Evidence reads like B2: Seven direct reports; manages team performance, trains and guides team on new mandates → matches the start
Business Impact: Moved +0.5: the survey / manager mapping marks it business-critical.</t>
        </is>
      </c>
      <c r="FS39"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39" s="56" t="inlineStr">
        <is>
          <t>Self-identified: Answered · no common topic
For the next role: Answered · no common topic</t>
        </is>
      </c>
      <c r="FU39" s="56" t="inlineStr">
        <is>
          <t>Per-person summary · CARBON Mapping Master</t>
        </is>
      </c>
    </row>
    <row r="40" ht="90" customHeight="1">
      <c r="A40" s="51" t="inlineStr">
        <is>
          <t>◂ Back</t>
        </is>
      </c>
      <c r="B40" s="29" t="inlineStr">
        <is>
          <t>Mapped</t>
        </is>
      </c>
      <c r="C40" s="28" t="inlineStr">
        <is>
          <t>CARBON</t>
        </is>
      </c>
      <c r="D40" s="29" t="inlineStr">
        <is>
          <t>IRIS0567</t>
        </is>
      </c>
      <c r="E40" s="29" t="inlineStr">
        <is>
          <t>Amruta Mirashi</t>
        </is>
      </c>
      <c r="F40" s="29" t="inlineStr">
        <is>
          <t>Services</t>
        </is>
      </c>
      <c r="G40" s="29" t="inlineStr">
        <is>
          <t>Financial Analyst</t>
        </is>
      </c>
      <c r="H40" s="29" t="inlineStr">
        <is>
          <t>XBRL Specialist</t>
        </is>
      </c>
      <c r="I40" s="29" t="inlineStr">
        <is>
          <t>L3 – Professional / Associate</t>
        </is>
      </c>
      <c r="J40" s="29" t="inlineStr">
        <is>
          <t>B1</t>
        </is>
      </c>
      <c r="K40" s="29" t="inlineStr">
        <is>
          <t>▲ Up</t>
        </is>
      </c>
      <c r="L40" s="29" t="inlineStr">
        <is>
          <t>Consulting &amp; Professional Services</t>
        </is>
      </c>
      <c r="M40" s="29" t="inlineStr">
        <is>
          <t>XBRL Tagging, Conversion &amp; Filing</t>
        </is>
      </c>
      <c r="N40" s="29" t="inlineStr">
        <is>
          <t>• Confirm the reporting line — Manager</t>
        </is>
      </c>
      <c r="O40" s="29" t="n">
        <v>20</v>
      </c>
      <c r="P40" s="28" t="inlineStr">
        <is>
          <t>P3 / M2</t>
        </is>
      </c>
      <c r="Q40" s="29" t="inlineStr">
        <is>
          <t>Career / · Team Lead</t>
        </is>
      </c>
      <c r="R40" s="29" t="inlineStr">
        <is>
          <t>4 Enable</t>
        </is>
      </c>
      <c r="S40" s="29" t="inlineStr">
        <is>
          <t>4–7 yrs</t>
        </is>
      </c>
      <c r="T40" s="29" t="inlineStr">
        <is>
          <t>5–8 · 4–8</t>
        </is>
      </c>
      <c r="U40" s="29" t="inlineStr">
        <is>
          <t>Consultant / Senior Associate</t>
        </is>
      </c>
      <c r="V40" s="29" t="inlineStr">
        <is>
          <t>Big Four: Senior Consultant · IRIS Vs Market Benchmark — XBRL US credential pathway: Certificate + specialist taxonomy</t>
        </is>
      </c>
      <c r="W40" s="29" t="inlineStr">
        <is>
          <t>XBRL US GAAP Certificate · AICPA &amp; XBRL US; XBRL International specifications; IFRS / US GAAP / Ind AS</t>
        </is>
      </c>
      <c r="X40" s="29" t="inlineStr">
        <is>
          <t>Core 3 · Future 3 · Functional 3 · Leadership 1</t>
        </is>
      </c>
      <c r="Y40" s="52" t="n">
        <v>76</v>
      </c>
      <c r="Z40" s="53" t="inlineStr">
        <is>
          <t>IRIS0567</t>
        </is>
      </c>
      <c r="AA40" s="53" t="inlineStr">
        <is>
          <t>Employee</t>
        </is>
      </c>
      <c r="AB40" s="53" t="inlineStr">
        <is>
          <t>Active</t>
        </is>
      </c>
      <c r="AC40" s="53" t="inlineStr">
        <is>
          <t>Amruta Mirashi</t>
        </is>
      </c>
      <c r="AD40" s="54" t="n">
        <v>40630</v>
      </c>
      <c r="AE40" s="53" t="inlineStr">
        <is>
          <t>Financial Analyst</t>
        </is>
      </c>
      <c r="AF40" s="53" t="inlineStr">
        <is>
          <t>M.Com</t>
        </is>
      </c>
      <c r="AG40" s="53" t="inlineStr">
        <is>
          <t>Priyanka Jadhav</t>
        </is>
      </c>
      <c r="AH40" s="53" t="inlineStr">
        <is>
          <t>N-7</t>
        </is>
      </c>
      <c r="AI40" s="53" t="inlineStr">
        <is>
          <t>Individual Contributor</t>
        </is>
      </c>
      <c r="AJ40" s="53" t="inlineStr">
        <is>
          <t>0 years, 0 months, 0 days</t>
        </is>
      </c>
      <c r="AK40" s="53" t="inlineStr">
        <is>
          <t>15 years, 4 months, 28 days</t>
        </is>
      </c>
      <c r="AL40" s="53" t="inlineStr">
        <is>
          <t>Regtech</t>
        </is>
      </c>
      <c r="AM40" s="53" t="inlineStr">
        <is>
          <t>CARBON</t>
        </is>
      </c>
      <c r="AN40" s="53" t="inlineStr">
        <is>
          <t>Services</t>
        </is>
      </c>
      <c r="AO40" s="53" t="inlineStr">
        <is>
          <t>Expert Assisted services</t>
        </is>
      </c>
      <c r="AP40" s="53" t="inlineStr">
        <is>
          <t>No</t>
        </is>
      </c>
      <c r="AQ40" s="53" t="inlineStr">
        <is>
          <t>Professional Services</t>
        </is>
      </c>
      <c r="AR40" s="53" t="inlineStr">
        <is>
          <t>XBRL Domain</t>
        </is>
      </c>
      <c r="AS40" s="53" t="inlineStr">
        <is>
          <t>Non-technical</t>
        </is>
      </c>
      <c r="AT40" s="53" t="n">
        <v>20</v>
      </c>
      <c r="AU40" s="53" t="inlineStr">
        <is>
          <t>Covered</t>
        </is>
      </c>
      <c r="AV40" s="53" t="inlineStr">
        <is>
          <t>IRIS0567</t>
        </is>
      </c>
      <c r="AW40" s="53" t="inlineStr">
        <is>
          <t>Amruta Mirashi</t>
        </is>
      </c>
      <c r="AX40" s="53" t="inlineStr">
        <is>
          <t>Services</t>
        </is>
      </c>
      <c r="AY40" s="53" t="inlineStr">
        <is>
          <t>Professional Services</t>
        </is>
      </c>
      <c r="AZ40" s="53" t="inlineStr">
        <is>
          <t>XBRL / Regulatory Reporting</t>
        </is>
      </c>
      <c r="BA40" s="53" t="n"/>
      <c r="BB40" s="53" t="n"/>
      <c r="BC40" s="53" t="inlineStr">
        <is>
          <t>Employee</t>
        </is>
      </c>
      <c r="BD40" s="53" t="inlineStr">
        <is>
          <t>Priyanka Jadhav</t>
        </is>
      </c>
      <c r="BE40" s="53" t="inlineStr">
        <is>
          <t>Priyanka Jadhav</t>
        </is>
      </c>
      <c r="BF40" s="53" t="inlineStr">
        <is>
          <t>No</t>
        </is>
      </c>
      <c r="BG40" s="53" t="inlineStr">
        <is>
          <t>Financial Analyst</t>
        </is>
      </c>
      <c r="BH40" s="53" t="inlineStr">
        <is>
          <t>Senior Services Specialist</t>
        </is>
      </c>
      <c r="BI40" s="53" t="inlineStr">
        <is>
          <t>Yes</t>
        </is>
      </c>
      <c r="BJ40" s="53" t="inlineStr">
        <is>
          <t>—</t>
        </is>
      </c>
      <c r="BK40" s="53" t="inlineStr">
        <is>
          <t>—</t>
        </is>
      </c>
      <c r="BL40" s="53" t="inlineStr">
        <is>
          <t>—</t>
        </is>
      </c>
      <c r="BM40" s="53" t="inlineStr">
        <is>
          <t>Not a manager</t>
        </is>
      </c>
      <c r="BN40" s="53" t="inlineStr">
        <is>
          <t>—</t>
        </is>
      </c>
      <c r="BO40" s="53" t="inlineStr">
        <is>
          <t>—</t>
        </is>
      </c>
      <c r="BP40" s="53" t="inlineStr">
        <is>
          <t>—</t>
        </is>
      </c>
      <c r="BQ40" s="53" t="inlineStr">
        <is>
          <t>Not a manager</t>
        </is>
      </c>
      <c r="BR40" s="53" t="inlineStr">
        <is>
          <t>—</t>
        </is>
      </c>
      <c r="BS40" s="53" t="inlineStr">
        <is>
          <t>L3 – Professional / Associate</t>
        </is>
      </c>
      <c r="BT40" s="53" t="inlineStr">
        <is>
          <t>L2</t>
        </is>
      </c>
      <c r="BU40" s="53" t="inlineStr">
        <is>
          <t>Designation refined from Raw tab Comments column · this update</t>
        </is>
      </c>
      <c r="BV4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0" s="53" t="n"/>
      <c r="BX40" s="53" t="inlineStr">
        <is>
          <t>India - MCA; Europe - ESEF; Italy - Infocamere.</t>
        </is>
      </c>
      <c r="BY40" s="53" t="n"/>
      <c r="BZ40" s="53" t="inlineStr">
        <is>
          <t>IRIS0567</t>
        </is>
      </c>
      <c r="CA40" s="53" t="inlineStr">
        <is>
          <t>Employee</t>
        </is>
      </c>
      <c r="CB40" s="53" t="inlineStr">
        <is>
          <t>Active</t>
        </is>
      </c>
      <c r="CC40" s="53" t="inlineStr">
        <is>
          <t>Amruta Mirashi</t>
        </is>
      </c>
      <c r="CD40" s="54" t="n">
        <v>40630</v>
      </c>
      <c r="CE40" s="53" t="inlineStr">
        <is>
          <t>Financial Analyst</t>
        </is>
      </c>
      <c r="CF40" s="53" t="n"/>
      <c r="CG40" s="53" t="inlineStr">
        <is>
          <t>Professional Services</t>
        </is>
      </c>
      <c r="CH40" s="53" t="inlineStr">
        <is>
          <t>XBRL / Regulatory Reporting</t>
        </is>
      </c>
      <c r="CI40" s="53" t="inlineStr">
        <is>
          <t>Financial Analyst</t>
        </is>
      </c>
      <c r="CJ40" s="53" t="inlineStr">
        <is>
          <t>L3 – Professional / Associate</t>
        </is>
      </c>
      <c r="CK40" s="53" t="inlineStr">
        <is>
          <t>Priyanka Jadhav</t>
        </is>
      </c>
      <c r="CL40" s="53" t="inlineStr">
        <is>
          <t>N-7</t>
        </is>
      </c>
      <c r="CM40" s="53" t="inlineStr">
        <is>
          <t>Individual Contributor</t>
        </is>
      </c>
      <c r="CN40" s="53" t="inlineStr">
        <is>
          <t>Regtech</t>
        </is>
      </c>
      <c r="CO40" s="53" t="inlineStr">
        <is>
          <t>Services</t>
        </is>
      </c>
      <c r="CP40" s="53" t="inlineStr">
        <is>
          <t>15 years, 2 months, 23 days</t>
        </is>
      </c>
      <c r="CQ40" s="53" t="inlineStr">
        <is>
          <t>Services Specialist</t>
        </is>
      </c>
      <c r="CR40" s="53" t="n"/>
      <c r="CS40" s="53" t="n">
        <v>4</v>
      </c>
      <c r="CT40" s="53" t="inlineStr">
        <is>
          <t>High</t>
        </is>
      </c>
      <c r="CU40" s="53" t="inlineStr">
        <is>
          <t>Core Contributor</t>
        </is>
      </c>
      <c r="CV40" s="53" t="inlineStr">
        <is>
          <t>Yes</t>
        </is>
      </c>
      <c r="CW40" s="53" t="inlineStr">
        <is>
          <t>No</t>
        </is>
      </c>
      <c r="CX40" s="53" t="inlineStr">
        <is>
          <t>Yes</t>
        </is>
      </c>
      <c r="CY40" s="53" t="n"/>
      <c r="CZ40" s="53" t="n"/>
      <c r="DA40" s="53" t="n"/>
      <c r="DB40" s="53" t="inlineStr">
        <is>
          <t>Title to be standardized to : Senior Services Specialist</t>
        </is>
      </c>
      <c r="DC40" s="53" t="n"/>
      <c r="DD40" s="53" t="n"/>
      <c r="DE40" s="53" t="n"/>
      <c r="DF40" s="53" t="n"/>
      <c r="DG40" s="53" t="n"/>
      <c r="DH40" s="53" t="n"/>
      <c r="DI40" s="53" t="n"/>
      <c r="DJ40" s="53" t="n"/>
      <c r="DK40" s="53" t="n"/>
      <c r="DL40" s="53" t="n"/>
      <c r="DM40" s="53" t="n"/>
      <c r="DN40" s="53" t="n"/>
      <c r="DO40" s="53" t="n"/>
      <c r="DP40" s="53" t="n"/>
      <c r="DQ40" s="53" t="n"/>
      <c r="DR40" s="53" t="n"/>
      <c r="DS40" s="53" t="n"/>
      <c r="DT40" s="53" t="n"/>
      <c r="DU40" s="53" t="n"/>
      <c r="DV40" s="53" t="n"/>
      <c r="DW40" s="53" t="n"/>
      <c r="DX40" s="53" t="n"/>
      <c r="DY40" s="53" t="n"/>
      <c r="DZ40" s="53" t="n"/>
      <c r="EA40" s="53" t="n"/>
      <c r="EB40" s="53" t="n"/>
      <c r="EC40" s="53" t="n"/>
      <c r="ED40" s="53" t="n"/>
      <c r="EE40" s="53" t="n"/>
      <c r="EF40" s="53" t="n"/>
      <c r="EG40" s="53" t="n"/>
      <c r="EH40" s="53" t="n"/>
      <c r="EI40" s="53" t="n"/>
      <c r="EJ40" s="53" t="n"/>
      <c r="EK40" s="53" t="n"/>
      <c r="EL40" s="53" t="n"/>
      <c r="EM40" s="53" t="n"/>
      <c r="EN40" s="53" t="n"/>
      <c r="EO40" s="53" t="n"/>
      <c r="EP40" s="53" t="n"/>
      <c r="EQ40" s="53" t="n"/>
      <c r="ER40" s="53" t="n"/>
      <c r="ES40" s="53" t="n"/>
      <c r="ET40" s="53" t="n"/>
      <c r="EU40" s="53" t="n"/>
      <c r="EV40" s="53" t="n"/>
      <c r="EW40" s="52" t="inlineStr">
        <is>
          <t>Also works on the EU-DM · EU Disclosure Management project — not currently reflected in product/role mapping.</t>
        </is>
      </c>
      <c r="EX40" s="53" t="inlineStr">
        <is>
          <t>• Role / sub-team: Service - Tagging and shift leading.</t>
        </is>
      </c>
      <c r="EY40" s="53"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EZ40" s="53" t="inlineStr">
        <is>
          <t>• Current capabilities: Time managment; Product or tool issues; Tools / software used: Both.</t>
        </is>
      </c>
      <c r="FA40" s="53" t="inlineStr">
        <is>
          <t>• Development priorities: No input received.
• Learning and Development Need: Clear information to all.</t>
        </is>
      </c>
      <c r="FB40" s="53" t="inlineStr">
        <is>
          <t>• Key challenges: No input received.
• Support required: No input received.</t>
        </is>
      </c>
      <c r="FC40" s="53" t="n"/>
      <c r="FD40" s="53" t="n"/>
      <c r="FE4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0" s="56" t="n"/>
      <c r="FG40" s="56" t="n"/>
      <c r="FH40" s="56" t="n"/>
      <c r="FI40" s="56" t="n"/>
      <c r="FJ40" s="56" t="inlineStr">
        <is>
          <t>Received · manager annual</t>
        </is>
      </c>
      <c r="FK40" s="56" t="inlineStr">
        <is>
          <t>CARBON Mapping Master</t>
        </is>
      </c>
      <c r="FL40" s="56" t="n">
        <v>20</v>
      </c>
      <c r="FM40" s="56" t="inlineStr">
        <is>
          <t>• Role / sub-team: Service - Tagging and shift leading.</t>
        </is>
      </c>
      <c r="FN40" s="56"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FO40" s="56" t="inlineStr">
        <is>
          <t>• Current capabilities: Time managment; Product or tool issues; Tools / software used: Both.</t>
        </is>
      </c>
      <c r="FP40" s="56" t="inlineStr">
        <is>
          <t>• Development priorities: No input received.
• Learning and Development Need: Clear information to all.</t>
        </is>
      </c>
      <c r="FQ40" s="56" t="inlineStr">
        <is>
          <t>• Key challenges: No input received.
• Support required: No input received.</t>
        </is>
      </c>
      <c r="FR40" s="56" t="inlineStr">
        <is>
          <t>Complexity: Evidence reads like B1: Tags and reviews ESEF, KVK, MCA, Infocamere and DM files; product testing; solves team doubts → moved up 1
Autonomy: Evidence reads like B1: Decides file allocation for the shift and keeps records of all requests → moved up 1
Accountability: Evidence reads like B1: Shift's allocation and timely delivery of files, plus own tagging and review → moved up 1
Leadership: Evidence reads like B1: Shift lead: allocates files, solves doubts, trains team on new updates → moved up 1
Business Impact: Moved +0.5: the survey / manager mapping marks it business-critical.</t>
        </is>
      </c>
      <c r="FS40"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0" s="56" t="inlineStr">
        <is>
          <t>Self-identified: AI / automation · Project / programme management · Product &amp; tool knowledge · Certification / formal course
For the next role: AI / automation · Project / programme management · Product &amp; tool knowledge · Certification / formal course</t>
        </is>
      </c>
      <c r="FU40" s="56" t="inlineStr">
        <is>
          <t>Per-person summary · CARBON Mapping Master</t>
        </is>
      </c>
    </row>
    <row r="41" ht="90" customHeight="1">
      <c r="A41" s="51" t="inlineStr">
        <is>
          <t>◂ Back</t>
        </is>
      </c>
      <c r="B41" s="29" t="inlineStr">
        <is>
          <t>Mapped</t>
        </is>
      </c>
      <c r="C41" s="28" t="inlineStr">
        <is>
          <t>CARBON</t>
        </is>
      </c>
      <c r="D41" s="29" t="inlineStr">
        <is>
          <t>IRIS0547</t>
        </is>
      </c>
      <c r="E41" s="29" t="inlineStr">
        <is>
          <t>Pradul Meshram</t>
        </is>
      </c>
      <c r="F41" s="29" t="inlineStr">
        <is>
          <t>Services</t>
        </is>
      </c>
      <c r="G41" s="29" t="inlineStr">
        <is>
          <t>Senior Financial Analyst</t>
        </is>
      </c>
      <c r="H41" s="29" t="inlineStr">
        <is>
          <t>XBRL Specialist</t>
        </is>
      </c>
      <c r="I41" s="29" t="inlineStr">
        <is>
          <t>L4 – Senior</t>
        </is>
      </c>
      <c r="J41" s="29" t="inlineStr">
        <is>
          <t>B1</t>
        </is>
      </c>
      <c r="K41" s="29" t="inlineStr">
        <is>
          <t>▲ Up</t>
        </is>
      </c>
      <c r="L41" s="29" t="inlineStr">
        <is>
          <t>Consulting &amp; Professional Services</t>
        </is>
      </c>
      <c r="M41" s="29" t="inlineStr">
        <is>
          <t>XBRL Tagging, Conversion &amp; Filing</t>
        </is>
      </c>
      <c r="N41" s="29" t="n"/>
      <c r="O41" s="29" t="n">
        <v>20</v>
      </c>
      <c r="P41" s="28" t="inlineStr">
        <is>
          <t>P3 / M2</t>
        </is>
      </c>
      <c r="Q41" s="29" t="inlineStr">
        <is>
          <t>Career / · Team Lead</t>
        </is>
      </c>
      <c r="R41" s="29" t="inlineStr">
        <is>
          <t>4 Enable</t>
        </is>
      </c>
      <c r="S41" s="29" t="inlineStr">
        <is>
          <t>4–7 yrs</t>
        </is>
      </c>
      <c r="T41" s="29" t="inlineStr">
        <is>
          <t>5–8 · 4–8</t>
        </is>
      </c>
      <c r="U41" s="29" t="inlineStr">
        <is>
          <t>Consultant / Senior Associate</t>
        </is>
      </c>
      <c r="V41" s="29" t="inlineStr">
        <is>
          <t>Big Four: Senior Consultant · IRIS Vs Market Benchmark — XBRL US credential pathway: Certificate + specialist taxonomy</t>
        </is>
      </c>
      <c r="W41" s="29" t="inlineStr">
        <is>
          <t>XBRL US GAAP Certificate · AICPA &amp; XBRL US; XBRL International specifications; IFRS / US GAAP / Ind AS</t>
        </is>
      </c>
      <c r="X41" s="29" t="inlineStr">
        <is>
          <t>Core 3 · Future 3 · Functional 3 · Leadership 1</t>
        </is>
      </c>
      <c r="Y41" s="52" t="n">
        <v>72</v>
      </c>
      <c r="Z41" s="53" t="inlineStr">
        <is>
          <t>IRIS0547</t>
        </is>
      </c>
      <c r="AA41" s="53" t="inlineStr">
        <is>
          <t>Employee</t>
        </is>
      </c>
      <c r="AB41" s="53" t="inlineStr">
        <is>
          <t>Active</t>
        </is>
      </c>
      <c r="AC41" s="53" t="inlineStr">
        <is>
          <t>Pradul Meshram</t>
        </is>
      </c>
      <c r="AD41" s="54" t="n">
        <v>40603</v>
      </c>
      <c r="AE41" s="53" t="inlineStr">
        <is>
          <t>Senior Financial Analyst</t>
        </is>
      </c>
      <c r="AF41" s="53" t="inlineStr">
        <is>
          <t>M.Com</t>
        </is>
      </c>
      <c r="AG41" s="53" t="inlineStr">
        <is>
          <t>Priyanka Jadhav</t>
        </is>
      </c>
      <c r="AH41" s="53" t="inlineStr">
        <is>
          <t>N-7</t>
        </is>
      </c>
      <c r="AI41" s="53" t="inlineStr">
        <is>
          <t>Individual Contributor</t>
        </is>
      </c>
      <c r="AJ41" s="53" t="inlineStr">
        <is>
          <t>0 years, 0 months, 0 days</t>
        </is>
      </c>
      <c r="AK41" s="53" t="inlineStr">
        <is>
          <t>15 years, 5 months, 24 days</t>
        </is>
      </c>
      <c r="AL41" s="53" t="inlineStr">
        <is>
          <t>Regtech</t>
        </is>
      </c>
      <c r="AM41" s="53" t="inlineStr">
        <is>
          <t>CARBON</t>
        </is>
      </c>
      <c r="AN41" s="53" t="inlineStr">
        <is>
          <t>Services</t>
        </is>
      </c>
      <c r="AO41" s="53" t="inlineStr">
        <is>
          <t>Expert Assisted services</t>
        </is>
      </c>
      <c r="AP41" s="53" t="inlineStr">
        <is>
          <t>No</t>
        </is>
      </c>
      <c r="AQ41" s="53" t="inlineStr">
        <is>
          <t>Professional Services</t>
        </is>
      </c>
      <c r="AR41" s="53" t="inlineStr">
        <is>
          <t>XBRL Domain</t>
        </is>
      </c>
      <c r="AS41" s="53" t="inlineStr">
        <is>
          <t>Non-technical</t>
        </is>
      </c>
      <c r="AT41" s="53" t="n">
        <v>20</v>
      </c>
      <c r="AU41" s="53" t="inlineStr">
        <is>
          <t>Covered</t>
        </is>
      </c>
      <c r="AV41" s="53" t="inlineStr">
        <is>
          <t>IRIS0547</t>
        </is>
      </c>
      <c r="AW41" s="53" t="inlineStr">
        <is>
          <t>Pradul Meshram</t>
        </is>
      </c>
      <c r="AX41" s="53" t="inlineStr">
        <is>
          <t>Services</t>
        </is>
      </c>
      <c r="AY41" s="53" t="inlineStr">
        <is>
          <t>Professional Services</t>
        </is>
      </c>
      <c r="AZ41" s="53" t="inlineStr">
        <is>
          <t>XBRL / Regulatory Reporting</t>
        </is>
      </c>
      <c r="BA41" s="53" t="n"/>
      <c r="BB41" s="53" t="n"/>
      <c r="BC41" s="53" t="inlineStr">
        <is>
          <t>Employee</t>
        </is>
      </c>
      <c r="BD41" s="53" t="inlineStr">
        <is>
          <t>Priyanka Jadhav</t>
        </is>
      </c>
      <c r="BE41" s="53" t="inlineStr">
        <is>
          <t>Priyanka Jadhav</t>
        </is>
      </c>
      <c r="BF41" s="53" t="inlineStr">
        <is>
          <t>No</t>
        </is>
      </c>
      <c r="BG41" s="53" t="inlineStr">
        <is>
          <t>Senior Financial Analyst</t>
        </is>
      </c>
      <c r="BH41" s="53" t="inlineStr">
        <is>
          <t>Senior Services Specialist</t>
        </is>
      </c>
      <c r="BI41" s="53" t="inlineStr">
        <is>
          <t>Yes</t>
        </is>
      </c>
      <c r="BJ41" s="53" t="inlineStr">
        <is>
          <t>—</t>
        </is>
      </c>
      <c r="BK41" s="53" t="inlineStr">
        <is>
          <t>—</t>
        </is>
      </c>
      <c r="BL41" s="53" t="inlineStr">
        <is>
          <t>—</t>
        </is>
      </c>
      <c r="BM41" s="53" t="inlineStr">
        <is>
          <t>Not a manager</t>
        </is>
      </c>
      <c r="BN41" s="53" t="inlineStr">
        <is>
          <t>—</t>
        </is>
      </c>
      <c r="BO41" s="53" t="inlineStr">
        <is>
          <t>—</t>
        </is>
      </c>
      <c r="BP41" s="53" t="inlineStr">
        <is>
          <t>—</t>
        </is>
      </c>
      <c r="BQ41" s="53" t="inlineStr">
        <is>
          <t>Not a manager</t>
        </is>
      </c>
      <c r="BR41" s="53" t="inlineStr">
        <is>
          <t>—</t>
        </is>
      </c>
      <c r="BS41" s="53" t="inlineStr">
        <is>
          <t>L4 – Senior</t>
        </is>
      </c>
      <c r="BT41" s="53" t="inlineStr">
        <is>
          <t>L4 – Senior</t>
        </is>
      </c>
      <c r="BU41" s="53" t="inlineStr">
        <is>
          <t>Designation refined from Raw tab Comments column · this update</t>
        </is>
      </c>
      <c r="BV4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1" s="53" t="n"/>
      <c r="BX41" s="53" t="inlineStr">
        <is>
          <t>Europe - ESEF; UK - HMRC.</t>
        </is>
      </c>
      <c r="BY41" s="53" t="n"/>
      <c r="BZ41" s="53" t="inlineStr">
        <is>
          <t>IRIS0547</t>
        </is>
      </c>
      <c r="CA41" s="53" t="inlineStr">
        <is>
          <t>Employee</t>
        </is>
      </c>
      <c r="CB41" s="53" t="inlineStr">
        <is>
          <t>Active</t>
        </is>
      </c>
      <c r="CC41" s="53" t="inlineStr">
        <is>
          <t>Pradul Meshram</t>
        </is>
      </c>
      <c r="CD41" s="54" t="n">
        <v>40603</v>
      </c>
      <c r="CE41" s="53" t="inlineStr">
        <is>
          <t>Senior Financial Analyst</t>
        </is>
      </c>
      <c r="CF41" s="53" t="n"/>
      <c r="CG41" s="53" t="inlineStr">
        <is>
          <t>Professional Services</t>
        </is>
      </c>
      <c r="CH41" s="53" t="inlineStr">
        <is>
          <t>XBRL / Regulatory Reporting</t>
        </is>
      </c>
      <c r="CI41" s="53" t="inlineStr">
        <is>
          <t>Senior Financial Analyst</t>
        </is>
      </c>
      <c r="CJ41" s="53" t="inlineStr">
        <is>
          <t>L4 – Senior</t>
        </is>
      </c>
      <c r="CK41" s="53" t="inlineStr">
        <is>
          <t>Priyanka Jadhav</t>
        </is>
      </c>
      <c r="CL41" s="53" t="inlineStr">
        <is>
          <t>N-7</t>
        </is>
      </c>
      <c r="CM41" s="53" t="inlineStr">
        <is>
          <t>Individual Contributor</t>
        </is>
      </c>
      <c r="CN41" s="53" t="inlineStr">
        <is>
          <t>Regtech</t>
        </is>
      </c>
      <c r="CO41" s="53" t="inlineStr">
        <is>
          <t>Services</t>
        </is>
      </c>
      <c r="CP41" s="53" t="inlineStr">
        <is>
          <t>15 years, 3 months, 19 days</t>
        </is>
      </c>
      <c r="CQ41" s="53" t="inlineStr">
        <is>
          <t>Senior Services Specialst</t>
        </is>
      </c>
      <c r="CR41" s="53" t="n"/>
      <c r="CS41" s="53" t="n">
        <v>4</v>
      </c>
      <c r="CT41" s="53" t="inlineStr">
        <is>
          <t>High</t>
        </is>
      </c>
      <c r="CU41" s="53" t="inlineStr">
        <is>
          <t>Core Contributor</t>
        </is>
      </c>
      <c r="CV41" s="53" t="inlineStr">
        <is>
          <t>Yes</t>
        </is>
      </c>
      <c r="CW41" s="53" t="inlineStr">
        <is>
          <t>No</t>
        </is>
      </c>
      <c r="CX41" s="53" t="inlineStr">
        <is>
          <t>Yes</t>
        </is>
      </c>
      <c r="CY41" s="53" t="n"/>
      <c r="CZ41" s="53" t="n"/>
      <c r="DA41" s="53" t="n"/>
      <c r="DB41" s="53" t="inlineStr">
        <is>
          <t>Title to be standardized to: Senior Services Specialist</t>
        </is>
      </c>
      <c r="DC41" s="53" t="n"/>
      <c r="DD41" s="53" t="n"/>
      <c r="DE41" s="53" t="n"/>
      <c r="DF41" s="53" t="n"/>
      <c r="DG41" s="53" t="n"/>
      <c r="DH41" s="53" t="n"/>
      <c r="DI41" s="53" t="n"/>
      <c r="DJ41" s="53" t="n"/>
      <c r="DK41" s="53" t="n"/>
      <c r="DL41" s="53" t="n"/>
      <c r="DM41" s="53" t="n"/>
      <c r="DN41" s="53" t="n"/>
      <c r="DO41" s="53" t="n"/>
      <c r="DP41" s="53" t="n"/>
      <c r="DQ41" s="53" t="n"/>
      <c r="DR41" s="53" t="n"/>
      <c r="DS41" s="53" t="n"/>
      <c r="DT41" s="53" t="n"/>
      <c r="DU41" s="53" t="n"/>
      <c r="DV41" s="53" t="n"/>
      <c r="DW41" s="53" t="n"/>
      <c r="DX41" s="53" t="n"/>
      <c r="DY41" s="53" t="n"/>
      <c r="DZ41" s="53" t="n"/>
      <c r="EA41" s="53" t="n"/>
      <c r="EB41" s="53" t="n"/>
      <c r="EC41" s="53" t="n"/>
      <c r="ED41" s="53" t="n"/>
      <c r="EE41" s="53" t="n"/>
      <c r="EF41" s="53" t="n"/>
      <c r="EG41" s="53" t="n"/>
      <c r="EH41" s="53" t="n"/>
      <c r="EI41" s="53" t="n"/>
      <c r="EJ41" s="53" t="n"/>
      <c r="EK41" s="53" t="n"/>
      <c r="EL41" s="53" t="n"/>
      <c r="EM41" s="53" t="n"/>
      <c r="EN41" s="53" t="n"/>
      <c r="EO41" s="53" t="n"/>
      <c r="EP41" s="53" t="n"/>
      <c r="EQ41" s="53" t="n"/>
      <c r="ER41" s="53" t="n"/>
      <c r="ES41" s="53" t="n"/>
      <c r="ET41" s="53" t="n"/>
      <c r="EU41" s="53" t="n"/>
      <c r="EV41" s="53" t="n"/>
      <c r="EW41" s="52" t="inlineStr">
        <is>
          <t>Also works on the EU-DM · EU Disclosure Management project — not currently reflected in product/role mapping.</t>
        </is>
      </c>
      <c r="EX41" s="53" t="inlineStr">
        <is>
          <t>• Role / sub-team: Services team Disclosure Manageme for Europe countries.</t>
        </is>
      </c>
      <c r="EY41" s="53"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EZ41" s="53" t="inlineStr">
        <is>
          <t>• Current capabilities: Communication skills and; Tools / software used: Both.</t>
        </is>
      </c>
      <c r="FA41" s="53" t="inlineStr">
        <is>
          <t>• Development priorities: No input received.
• Learning and Development Need: Highlight main points.</t>
        </is>
      </c>
      <c r="FB41" s="53" t="inlineStr">
        <is>
          <t>• Key challenges: Product related queries.
• Support required: No input received.</t>
        </is>
      </c>
      <c r="FC41" s="53" t="n"/>
      <c r="FD41" s="53" t="n"/>
      <c r="FE4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1" s="56" t="n"/>
      <c r="FG41" s="56" t="n"/>
      <c r="FH41" s="56" t="n"/>
      <c r="FI41" s="56" t="n"/>
      <c r="FJ41" s="56" t="inlineStr">
        <is>
          <t>Received · manager annual</t>
        </is>
      </c>
      <c r="FK41" s="56" t="inlineStr">
        <is>
          <t>CARBON Mapping Master</t>
        </is>
      </c>
      <c r="FL41" s="56" t="n">
        <v>20</v>
      </c>
      <c r="FM41" s="56" t="inlineStr">
        <is>
          <t>• Role / sub-team: Services team Disclosure Manageme for Europe countries.</t>
        </is>
      </c>
      <c r="FN41" s="56"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FO41" s="56" t="inlineStr">
        <is>
          <t>• Current capabilities: Communication skills and; Tools / software used: Both.</t>
        </is>
      </c>
      <c r="FP41" s="56" t="inlineStr">
        <is>
          <t>• Development priorities: No input received.
• Learning and Development Need: Highlight main points.</t>
        </is>
      </c>
      <c r="FQ41" s="56" t="inlineStr">
        <is>
          <t>• Key challenges: Product related queries.
• Support required: No input received.</t>
        </is>
      </c>
      <c r="FR41" s="56" t="inlineStr">
        <is>
          <t>Complexity: Evidence reads like A3: Processes DM and ESMA files/edits, tests releases on Dev/Stage/Live, suggests automations → matches the start
Autonomy: Evidence reads like A3: Gives release sign-off to Carbon/DM team from own testing; analyses documents independently → matches the start
Accountability: Evidence reads like A3: Own processed files and edits, plus sign-off of new product versions before release → matches the start
Leadership: Evidence reads like A2: Manager note mentions doubt-solving and training of teammates; survey shows none → matches the start
Business Impact: Moved +1: the survey / manager mapping marks it business-critical and it does work no one else does.</t>
        </is>
      </c>
      <c r="FS4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1" s="56" t="inlineStr">
        <is>
          <t>Self-identified: Product &amp; tool knowledge · Broader exposure &amp; ownership
For the next role: Product &amp; tool knowledge · Broader exposure &amp; ownership</t>
        </is>
      </c>
      <c r="FU41" s="56" t="inlineStr">
        <is>
          <t>Per-person summary · CARBON Mapping Master</t>
        </is>
      </c>
    </row>
    <row r="42" ht="90" customHeight="1">
      <c r="A42" s="51" t="inlineStr">
        <is>
          <t>◂ Back</t>
        </is>
      </c>
      <c r="B42" s="29" t="inlineStr">
        <is>
          <t>Mapped</t>
        </is>
      </c>
      <c r="C42" s="28" t="inlineStr">
        <is>
          <t>CARBON</t>
        </is>
      </c>
      <c r="D42" s="29" t="inlineStr">
        <is>
          <t>IRIS0812</t>
        </is>
      </c>
      <c r="E42" s="29" t="inlineStr">
        <is>
          <t>Purva Shrivastava</t>
        </is>
      </c>
      <c r="F42" s="29" t="inlineStr">
        <is>
          <t>Services</t>
        </is>
      </c>
      <c r="G42" s="29" t="inlineStr">
        <is>
          <t>Senior Financial Analyst</t>
        </is>
      </c>
      <c r="H42" s="29" t="inlineStr">
        <is>
          <t>XBRL Specialist</t>
        </is>
      </c>
      <c r="I42" s="29" t="inlineStr">
        <is>
          <t>L4 – Senior</t>
        </is>
      </c>
      <c r="J42" s="29" t="inlineStr">
        <is>
          <t>B1</t>
        </is>
      </c>
      <c r="K42" s="29" t="inlineStr">
        <is>
          <t>▲ Up</t>
        </is>
      </c>
      <c r="L42" s="29" t="inlineStr">
        <is>
          <t>Consulting &amp; Professional Services</t>
        </is>
      </c>
      <c r="M42" s="29" t="inlineStr">
        <is>
          <t>XBRL Tagging, Conversion &amp; Filing</t>
        </is>
      </c>
      <c r="N42" s="29" t="n"/>
      <c r="O42" s="29" t="n">
        <v>19</v>
      </c>
      <c r="P42" s="28" t="inlineStr">
        <is>
          <t>P3 / M2</t>
        </is>
      </c>
      <c r="Q42" s="29" t="inlineStr">
        <is>
          <t>Career / · Team Lead</t>
        </is>
      </c>
      <c r="R42" s="29" t="inlineStr">
        <is>
          <t>4 Enable</t>
        </is>
      </c>
      <c r="S42" s="29" t="inlineStr">
        <is>
          <t>4–7 yrs</t>
        </is>
      </c>
      <c r="T42" s="29" t="inlineStr">
        <is>
          <t>5–8 · 4–8</t>
        </is>
      </c>
      <c r="U42" s="29" t="inlineStr">
        <is>
          <t>Consultant / Senior Associate</t>
        </is>
      </c>
      <c r="V42" s="29" t="inlineStr">
        <is>
          <t>Big Four: Senior Consultant · IRIS Vs Market Benchmark — XBRL US credential pathway: Certificate + specialist taxonomy</t>
        </is>
      </c>
      <c r="W42" s="29" t="inlineStr">
        <is>
          <t>XBRL US GAAP Certificate · AICPA &amp; XBRL US; XBRL International specifications; IFRS / US GAAP / Ind AS</t>
        </is>
      </c>
      <c r="X42" s="29" t="inlineStr">
        <is>
          <t>Core 3 · Future 3 · Functional 3 · Leadership 1</t>
        </is>
      </c>
      <c r="Y42" s="52" t="n">
        <v>92</v>
      </c>
      <c r="Z42" s="53" t="inlineStr">
        <is>
          <t>IRIS0812</t>
        </is>
      </c>
      <c r="AA42" s="53" t="inlineStr">
        <is>
          <t>Employee</t>
        </is>
      </c>
      <c r="AB42" s="53" t="inlineStr">
        <is>
          <t>Active</t>
        </is>
      </c>
      <c r="AC42" s="53" t="inlineStr">
        <is>
          <t>Purva Shrivastava</t>
        </is>
      </c>
      <c r="AD42" s="54" t="n">
        <v>40756</v>
      </c>
      <c r="AE42" s="53" t="inlineStr">
        <is>
          <t>Senior Financial Analyst</t>
        </is>
      </c>
      <c r="AF42" s="53" t="inlineStr">
        <is>
          <t>MBA</t>
        </is>
      </c>
      <c r="AG42" s="53" t="inlineStr">
        <is>
          <t>Priyanka Jadhav</t>
        </is>
      </c>
      <c r="AH42" s="53" t="inlineStr">
        <is>
          <t>N-7</t>
        </is>
      </c>
      <c r="AI42" s="53" t="inlineStr">
        <is>
          <t>Individual Contributor</t>
        </is>
      </c>
      <c r="AJ42" s="53" t="inlineStr">
        <is>
          <t>1 years, 0 months, 0 days</t>
        </is>
      </c>
      <c r="AK42" s="53" t="inlineStr">
        <is>
          <t>15 years, 0 months, 24 days</t>
        </is>
      </c>
      <c r="AL42" s="53" t="inlineStr">
        <is>
          <t>Regtech</t>
        </is>
      </c>
      <c r="AM42" s="53" t="inlineStr">
        <is>
          <t>CARBON</t>
        </is>
      </c>
      <c r="AN42" s="53" t="inlineStr">
        <is>
          <t>Services</t>
        </is>
      </c>
      <c r="AO42" s="53" t="inlineStr">
        <is>
          <t>Expert Assisted services</t>
        </is>
      </c>
      <c r="AP42" s="53" t="inlineStr">
        <is>
          <t>No</t>
        </is>
      </c>
      <c r="AQ42" s="53" t="inlineStr">
        <is>
          <t>Professional Services</t>
        </is>
      </c>
      <c r="AR42" s="53" t="inlineStr">
        <is>
          <t>XBRL Domain</t>
        </is>
      </c>
      <c r="AS42" s="53" t="inlineStr">
        <is>
          <t>Non-technical</t>
        </is>
      </c>
      <c r="AT42" s="53" t="n">
        <v>20</v>
      </c>
      <c r="AU42" s="53" t="inlineStr">
        <is>
          <t>Covered</t>
        </is>
      </c>
      <c r="AV42" s="53" t="inlineStr">
        <is>
          <t>IRIS0812</t>
        </is>
      </c>
      <c r="AW42" s="53" t="inlineStr">
        <is>
          <t>Purva Shrivastava</t>
        </is>
      </c>
      <c r="AX42" s="53" t="inlineStr">
        <is>
          <t>Services</t>
        </is>
      </c>
      <c r="AY42" s="53" t="inlineStr">
        <is>
          <t>Professional Services</t>
        </is>
      </c>
      <c r="AZ42" s="53" t="inlineStr">
        <is>
          <t>XBRL / Regulatory Reporting</t>
        </is>
      </c>
      <c r="BA42" s="53" t="n"/>
      <c r="BB42" s="53" t="n"/>
      <c r="BC42" s="53" t="inlineStr">
        <is>
          <t>Employee</t>
        </is>
      </c>
      <c r="BD42" s="53" t="inlineStr">
        <is>
          <t>Priyanka Jadhav</t>
        </is>
      </c>
      <c r="BE42" s="53" t="inlineStr">
        <is>
          <t>Priyanka Jadhav</t>
        </is>
      </c>
      <c r="BF42" s="53" t="inlineStr">
        <is>
          <t>No</t>
        </is>
      </c>
      <c r="BG42" s="53" t="inlineStr">
        <is>
          <t>Senior Financial Analyst</t>
        </is>
      </c>
      <c r="BH42" s="53" t="inlineStr">
        <is>
          <t>Senior Services Specialist</t>
        </is>
      </c>
      <c r="BI42" s="53" t="inlineStr">
        <is>
          <t>Yes</t>
        </is>
      </c>
      <c r="BJ42" s="53" t="inlineStr">
        <is>
          <t>—</t>
        </is>
      </c>
      <c r="BK42" s="53" t="inlineStr">
        <is>
          <t>—</t>
        </is>
      </c>
      <c r="BL42" s="53" t="inlineStr">
        <is>
          <t>—</t>
        </is>
      </c>
      <c r="BM42" s="53" t="inlineStr">
        <is>
          <t>Not a manager</t>
        </is>
      </c>
      <c r="BN42" s="53" t="inlineStr">
        <is>
          <t>—</t>
        </is>
      </c>
      <c r="BO42" s="53" t="inlineStr">
        <is>
          <t>—</t>
        </is>
      </c>
      <c r="BP42" s="53" t="inlineStr">
        <is>
          <t>—</t>
        </is>
      </c>
      <c r="BQ42" s="53" t="inlineStr">
        <is>
          <t>Not a manager</t>
        </is>
      </c>
      <c r="BR42" s="53" t="inlineStr">
        <is>
          <t>—</t>
        </is>
      </c>
      <c r="BS42" s="53" t="inlineStr">
        <is>
          <t>L4 – Senior</t>
        </is>
      </c>
      <c r="BT42" s="53" t="inlineStr">
        <is>
          <t>L4 – Senior</t>
        </is>
      </c>
      <c r="BU42" s="53" t="inlineStr">
        <is>
          <t>Designation refined from Raw tab Comments column · this update</t>
        </is>
      </c>
      <c r="BV4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2" s="53" t="n"/>
      <c r="BX42" s="53" t="inlineStr">
        <is>
          <t>Netherland - KVK; Europe - ESEF; Italy - Infocamere.</t>
        </is>
      </c>
      <c r="BY42" s="53" t="n"/>
      <c r="BZ42" s="53" t="inlineStr">
        <is>
          <t>IRIS0812</t>
        </is>
      </c>
      <c r="CA42" s="53" t="inlineStr">
        <is>
          <t>Employee</t>
        </is>
      </c>
      <c r="CB42" s="53" t="inlineStr">
        <is>
          <t>Active</t>
        </is>
      </c>
      <c r="CC42" s="53" t="inlineStr">
        <is>
          <t>Purva Shrivastava</t>
        </is>
      </c>
      <c r="CD42" s="54" t="n">
        <v>40756</v>
      </c>
      <c r="CE42" s="53" t="inlineStr">
        <is>
          <t>Senior Financial Analyst</t>
        </is>
      </c>
      <c r="CF42" s="53" t="n"/>
      <c r="CG42" s="53" t="inlineStr">
        <is>
          <t>Professional Services</t>
        </is>
      </c>
      <c r="CH42" s="53" t="inlineStr">
        <is>
          <t>XBRL / Regulatory Reporting</t>
        </is>
      </c>
      <c r="CI42" s="53" t="inlineStr">
        <is>
          <t>Senior Financial Analyst</t>
        </is>
      </c>
      <c r="CJ42" s="53" t="inlineStr">
        <is>
          <t>L4 – Senior</t>
        </is>
      </c>
      <c r="CK42" s="53" t="inlineStr">
        <is>
          <t>Priyanka Jadhav</t>
        </is>
      </c>
      <c r="CL42" s="53" t="inlineStr">
        <is>
          <t>N-7</t>
        </is>
      </c>
      <c r="CM42" s="53" t="inlineStr">
        <is>
          <t>Individual Contributor</t>
        </is>
      </c>
      <c r="CN42" s="53" t="inlineStr">
        <is>
          <t>Regtech</t>
        </is>
      </c>
      <c r="CO42" s="53" t="inlineStr">
        <is>
          <t>Services</t>
        </is>
      </c>
      <c r="CP42" s="53" t="inlineStr">
        <is>
          <t>15 years, 10 months, 19 days</t>
        </is>
      </c>
      <c r="CQ42" s="53" t="inlineStr">
        <is>
          <t>Senior Services Specialst</t>
        </is>
      </c>
      <c r="CR42" s="53" t="n"/>
      <c r="CS42" s="53" t="n">
        <v>3</v>
      </c>
      <c r="CT42" s="53" t="inlineStr">
        <is>
          <t>Medium</t>
        </is>
      </c>
      <c r="CU42" s="53" t="inlineStr">
        <is>
          <t>Core Contributor</t>
        </is>
      </c>
      <c r="CV42" s="53" t="inlineStr">
        <is>
          <t>No</t>
        </is>
      </c>
      <c r="CW42" s="53" t="inlineStr">
        <is>
          <t>No</t>
        </is>
      </c>
      <c r="CX42" s="53" t="inlineStr">
        <is>
          <t>Yes</t>
        </is>
      </c>
      <c r="CY42" s="53" t="n"/>
      <c r="CZ42" s="53" t="n"/>
      <c r="DA42" s="53" t="n"/>
      <c r="DB42" s="53" t="inlineStr">
        <is>
          <t>Title to be standardized to: Senior Services Specialist</t>
        </is>
      </c>
      <c r="DC42" s="53" t="n"/>
      <c r="DD42" s="53" t="n"/>
      <c r="DE42" s="53" t="n"/>
      <c r="DF42" s="53" t="n"/>
      <c r="DG42" s="53" t="n"/>
      <c r="DH42" s="53" t="n"/>
      <c r="DI42" s="53" t="n"/>
      <c r="DJ42" s="53" t="n"/>
      <c r="DK42" s="53" t="n"/>
      <c r="DL42" s="53" t="n"/>
      <c r="DM42" s="53" t="n"/>
      <c r="DN42" s="53" t="n"/>
      <c r="DO42" s="53" t="n"/>
      <c r="DP42" s="53" t="n"/>
      <c r="DQ42" s="53" t="n"/>
      <c r="DR42" s="53" t="n"/>
      <c r="DS42" s="53" t="n"/>
      <c r="DT42" s="53" t="n"/>
      <c r="DU42" s="53" t="n"/>
      <c r="DV42" s="53" t="n"/>
      <c r="DW42" s="53" t="n"/>
      <c r="DX42" s="53" t="n"/>
      <c r="DY42" s="53" t="n"/>
      <c r="DZ42" s="53" t="n"/>
      <c r="EA42" s="53" t="n"/>
      <c r="EB42" s="53" t="n"/>
      <c r="EC42" s="53" t="n"/>
      <c r="ED42" s="53" t="n"/>
      <c r="EE42" s="53" t="n"/>
      <c r="EF42" s="53" t="n"/>
      <c r="EG42" s="53" t="n"/>
      <c r="EH42" s="53" t="n"/>
      <c r="EI42" s="53" t="n"/>
      <c r="EJ42" s="53" t="n"/>
      <c r="EK42" s="53" t="n"/>
      <c r="EL42" s="53" t="n"/>
      <c r="EM42" s="53" t="n"/>
      <c r="EN42" s="53" t="n"/>
      <c r="EO42" s="53" t="n"/>
      <c r="EP42" s="53" t="n"/>
      <c r="EQ42" s="53" t="n"/>
      <c r="ER42" s="53" t="n"/>
      <c r="ES42" s="53" t="n"/>
      <c r="ET42" s="53" t="n"/>
      <c r="EU42" s="53" t="n"/>
      <c r="EV42" s="53" t="n"/>
      <c r="EW42" s="52" t="inlineStr">
        <is>
          <t>Also works on the EU-DM · EU Disclosure Management project — not currently reflected in product/role mapping.</t>
        </is>
      </c>
      <c r="EX42" s="53" t="inlineStr">
        <is>
          <t>• Role / sub-team: Quality check analyst, Disclosure management, Infocamere, KVK, ESG documents processing.</t>
        </is>
      </c>
      <c r="EY42" s="53"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EZ42" s="53" t="inlineStr">
        <is>
          <t>• Current capabilities: Work under pressure; Communication skills; time management; Tools / software used: Both.</t>
        </is>
      </c>
      <c r="FA42" s="53" t="inlineStr">
        <is>
          <t>• Development priorities: No input received.
• Learning and Development Need: Timemanagement flexibilty; Multiple Process knowlge.</t>
        </is>
      </c>
      <c r="FB42" s="53" t="inlineStr">
        <is>
          <t>• Key challenges: Tool issue; Query raised to CEM; Remote desktop issue; System issues.
• Support required: No input received.</t>
        </is>
      </c>
      <c r="FC42" s="53" t="n"/>
      <c r="FD42" s="53" t="n"/>
      <c r="FE4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2" s="56" t="n"/>
      <c r="FG42" s="56" t="n"/>
      <c r="FH42" s="56" t="n"/>
      <c r="FI42" s="56" t="n"/>
      <c r="FJ42" s="56" t="inlineStr">
        <is>
          <t>Received · manager annual</t>
        </is>
      </c>
      <c r="FK42" s="56" t="inlineStr">
        <is>
          <t>CARBON Mapping Master</t>
        </is>
      </c>
      <c r="FL42" s="56" t="n">
        <v>19</v>
      </c>
      <c r="FM42" s="56" t="inlineStr">
        <is>
          <t>• Role / sub-team: Quality check analyst, Disclosure management, Infocamere, KVK, ESG documents processing.</t>
        </is>
      </c>
      <c r="FN42" s="56"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FO42" s="56" t="inlineStr">
        <is>
          <t>• Current capabilities: Work under pressure; Communication skills; time management; Tools / software used: Both.</t>
        </is>
      </c>
      <c r="FP42" s="56" t="inlineStr">
        <is>
          <t>• Development priorities: No input received.
• Learning and Development Need: Timemanagement flexibilty; Multiple Process knowlge.</t>
        </is>
      </c>
      <c r="FQ42" s="56" t="inlineStr">
        <is>
          <t>• Key challenges: Tool issue; Query raised to CEM; Remote desktop issue; System issues.
• Support required: No input received.</t>
        </is>
      </c>
      <c r="FR42" s="56" t="inlineStr">
        <is>
          <t>Complexity: Evidence reads like A3: iXBRL conversion for KVK, ESG, ESEF, Infocamere; DM templates with Word-Excel linking; Deloitte billing; UAT → matches the start
Autonomy: Evidence reads like A2: States no independent decisions; runs billing and conversion steps to a set process → moved down 0.5
Accountability: Evidence reads like A3: Document quality; monthly Deloitte Italy billing counts that drive invoices; UAT sign-off → matches the start
Leadership: Evidence reads like A3: Trains team members on Infocamere processing and solves their doubts → moved up 0.5
Business Impact: Moved +0.5: the survey / manager mapping marks it business-critical.</t>
        </is>
      </c>
      <c r="FS42"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2" s="56" t="inlineStr">
        <is>
          <t>Self-identified: AI / automation · Testing &amp; quality · Communication &amp; presentation · Certification / formal course · Broader exposure &amp; ownership
For the next role: AI / automation · Testing &amp; quality · Communication &amp; presentation · Certification / formal course · Broader exposure &amp; ownership</t>
        </is>
      </c>
      <c r="FU42" s="56" t="inlineStr">
        <is>
          <t>Per-person summary · CARBON Mapping Master</t>
        </is>
      </c>
    </row>
    <row r="43" ht="90" customHeight="1">
      <c r="A43" s="51" t="inlineStr">
        <is>
          <t>◂ Back</t>
        </is>
      </c>
      <c r="B43" s="29" t="inlineStr">
        <is>
          <t>Mapped</t>
        </is>
      </c>
      <c r="C43" s="28" t="inlineStr">
        <is>
          <t>CARBON</t>
        </is>
      </c>
      <c r="D43" s="29" t="inlineStr">
        <is>
          <t>IRIS0882</t>
        </is>
      </c>
      <c r="E43" s="29" t="inlineStr">
        <is>
          <t>Rupesh Gaikwad</t>
        </is>
      </c>
      <c r="F43" s="29" t="inlineStr">
        <is>
          <t>Services</t>
        </is>
      </c>
      <c r="G43" s="29" t="inlineStr">
        <is>
          <t>Senior Financial Analyst</t>
        </is>
      </c>
      <c r="H43" s="29" t="inlineStr">
        <is>
          <t>Service Delivery Specialist</t>
        </is>
      </c>
      <c r="I43" s="29" t="inlineStr">
        <is>
          <t>L4 – Senior</t>
        </is>
      </c>
      <c r="J43" s="29" t="inlineStr">
        <is>
          <t>B1</t>
        </is>
      </c>
      <c r="K43" s="29" t="inlineStr">
        <is>
          <t>▲ Up</t>
        </is>
      </c>
      <c r="L43" s="29" t="inlineStr">
        <is>
          <t>Consulting &amp; Professional Services</t>
        </is>
      </c>
      <c r="M43" s="29" t="inlineStr">
        <is>
          <t>Service Delivery Operations</t>
        </is>
      </c>
      <c r="N43" s="29" t="inlineStr">
        <is>
          <t>• Confirm the reporting line — Manager</t>
        </is>
      </c>
      <c r="O43" s="29" t="n">
        <v>18</v>
      </c>
      <c r="P43" s="28" t="inlineStr">
        <is>
          <t>P3 / M2</t>
        </is>
      </c>
      <c r="Q43" s="29" t="inlineStr">
        <is>
          <t>Career / · Team Lead</t>
        </is>
      </c>
      <c r="R43" s="29" t="inlineStr">
        <is>
          <t>4 Enable</t>
        </is>
      </c>
      <c r="S43" s="29" t="inlineStr">
        <is>
          <t>4–7 yrs</t>
        </is>
      </c>
      <c r="T43" s="29" t="inlineStr">
        <is>
          <t>5–8 · 4–8</t>
        </is>
      </c>
      <c r="U43" s="29" t="inlineStr">
        <is>
          <t>Consultant / Senior Associate</t>
        </is>
      </c>
      <c r="V43" s="29" t="inlineStr">
        <is>
          <t>Big Four: Senior Consultant · IRIS Vs Market Benchmark — XBRL US credential pathway: Certificate + specialist taxonomy</t>
        </is>
      </c>
      <c r="W43" s="29" t="inlineStr">
        <is>
          <t>XBRL US GAAP Certificate · AICPA &amp; XBRL US; XBRL International specifications; IFRS / US GAAP / Ind AS</t>
        </is>
      </c>
      <c r="X43" s="29" t="inlineStr">
        <is>
          <t>Core 3 · Future 3 · Functional 3 · Leadership 1</t>
        </is>
      </c>
      <c r="Y43" s="52" t="n">
        <v>97</v>
      </c>
      <c r="Z43" s="53" t="inlineStr">
        <is>
          <t>IRIS0882</t>
        </is>
      </c>
      <c r="AA43" s="53" t="inlineStr">
        <is>
          <t>Employee</t>
        </is>
      </c>
      <c r="AB43" s="53" t="inlineStr">
        <is>
          <t>Active</t>
        </is>
      </c>
      <c r="AC43" s="53" t="inlineStr">
        <is>
          <t>Rupesh Gaikwad</t>
        </is>
      </c>
      <c r="AD43" s="54" t="n">
        <v>40791</v>
      </c>
      <c r="AE43" s="53" t="inlineStr">
        <is>
          <t>Senior Financial Analyst</t>
        </is>
      </c>
      <c r="AF43" s="53" t="inlineStr">
        <is>
          <t>B.Com</t>
        </is>
      </c>
      <c r="AG43" s="53" t="inlineStr">
        <is>
          <t>Priyanka Jadhav</t>
        </is>
      </c>
      <c r="AH43" s="53" t="inlineStr">
        <is>
          <t>N-7</t>
        </is>
      </c>
      <c r="AI43" s="53" t="inlineStr">
        <is>
          <t>Individual Contributor</t>
        </is>
      </c>
      <c r="AJ43" s="53" t="inlineStr">
        <is>
          <t>0 years, 0 months, 0 days</t>
        </is>
      </c>
      <c r="AK43" s="53" t="inlineStr">
        <is>
          <t>14 years, 11 months, 20 days</t>
        </is>
      </c>
      <c r="AL43" s="53" t="inlineStr">
        <is>
          <t>Regtech</t>
        </is>
      </c>
      <c r="AM43" s="53" t="inlineStr">
        <is>
          <t>CARBON</t>
        </is>
      </c>
      <c r="AN43" s="53" t="inlineStr">
        <is>
          <t>Services</t>
        </is>
      </c>
      <c r="AO43" s="53" t="inlineStr">
        <is>
          <t>Expert Assisted services</t>
        </is>
      </c>
      <c r="AP43" s="53" t="inlineStr">
        <is>
          <t>No</t>
        </is>
      </c>
      <c r="AQ43" s="53" t="inlineStr">
        <is>
          <t>Professional Services</t>
        </is>
      </c>
      <c r="AR43" s="53" t="inlineStr">
        <is>
          <t>XBRL Domain</t>
        </is>
      </c>
      <c r="AS43" s="53" t="inlineStr">
        <is>
          <t>Non-technical</t>
        </is>
      </c>
      <c r="AT43" s="53" t="n">
        <v>20</v>
      </c>
      <c r="AU43" s="53" t="inlineStr">
        <is>
          <t>Covered</t>
        </is>
      </c>
      <c r="AV43" s="53" t="inlineStr">
        <is>
          <t>IRIS0882</t>
        </is>
      </c>
      <c r="AW43" s="53" t="inlineStr">
        <is>
          <t>Rupesh Gaikwad</t>
        </is>
      </c>
      <c r="AX43" s="53" t="inlineStr">
        <is>
          <t>Services</t>
        </is>
      </c>
      <c r="AY43" s="53" t="inlineStr">
        <is>
          <t>Professional Services</t>
        </is>
      </c>
      <c r="AZ43" s="53" t="inlineStr">
        <is>
          <t>XBRL / Regulatory Reporting</t>
        </is>
      </c>
      <c r="BA43" s="53" t="n"/>
      <c r="BB43" s="53" t="n"/>
      <c r="BC43" s="53" t="inlineStr">
        <is>
          <t>Employee</t>
        </is>
      </c>
      <c r="BD43" s="53" t="inlineStr">
        <is>
          <t>Priyanka Jadhav</t>
        </is>
      </c>
      <c r="BE43" s="53" t="inlineStr">
        <is>
          <t>Priyanka Jadhav</t>
        </is>
      </c>
      <c r="BF43" s="53" t="inlineStr">
        <is>
          <t>No</t>
        </is>
      </c>
      <c r="BG43" s="53" t="inlineStr">
        <is>
          <t>Senior Financial Analyst</t>
        </is>
      </c>
      <c r="BH43" s="53" t="inlineStr">
        <is>
          <t>Senior Services Specialist</t>
        </is>
      </c>
      <c r="BI43" s="53" t="inlineStr">
        <is>
          <t>Yes</t>
        </is>
      </c>
      <c r="BJ43" s="53" t="inlineStr">
        <is>
          <t>—</t>
        </is>
      </c>
      <c r="BK43" s="53" t="inlineStr">
        <is>
          <t>—</t>
        </is>
      </c>
      <c r="BL43" s="53" t="inlineStr">
        <is>
          <t>—</t>
        </is>
      </c>
      <c r="BM43" s="53" t="inlineStr">
        <is>
          <t>Not a manager</t>
        </is>
      </c>
      <c r="BN43" s="53" t="inlineStr">
        <is>
          <t>—</t>
        </is>
      </c>
      <c r="BO43" s="53" t="inlineStr">
        <is>
          <t>—</t>
        </is>
      </c>
      <c r="BP43" s="53" t="inlineStr">
        <is>
          <t>—</t>
        </is>
      </c>
      <c r="BQ43" s="53" t="inlineStr">
        <is>
          <t>Not a manager</t>
        </is>
      </c>
      <c r="BR43" s="53" t="inlineStr">
        <is>
          <t>—</t>
        </is>
      </c>
      <c r="BS43" s="53" t="inlineStr">
        <is>
          <t>L4 – Senior</t>
        </is>
      </c>
      <c r="BT43" s="53" t="inlineStr">
        <is>
          <t>L4 – Senior</t>
        </is>
      </c>
      <c r="BU43" s="53" t="inlineStr">
        <is>
          <t>Designation refined from Raw tab Comments column · this update</t>
        </is>
      </c>
      <c r="BV4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3" s="53" t="n"/>
      <c r="BX43" s="53" t="inlineStr">
        <is>
          <t>Netherland - KVK; Europe - ESEF; India - MCA; Italy - Infocamere.</t>
        </is>
      </c>
      <c r="BY43" s="53" t="n"/>
      <c r="BZ43" s="53" t="inlineStr">
        <is>
          <t>IRIS0882</t>
        </is>
      </c>
      <c r="CA43" s="53" t="inlineStr">
        <is>
          <t>Employee</t>
        </is>
      </c>
      <c r="CB43" s="53" t="inlineStr">
        <is>
          <t>Active</t>
        </is>
      </c>
      <c r="CC43" s="53" t="inlineStr">
        <is>
          <t>Rupesh Gaikwad</t>
        </is>
      </c>
      <c r="CD43" s="54" t="n">
        <v>40791</v>
      </c>
      <c r="CE43" s="53" t="inlineStr">
        <is>
          <t>Senior Financial Analyst</t>
        </is>
      </c>
      <c r="CF43" s="53" t="n"/>
      <c r="CG43" s="53" t="inlineStr">
        <is>
          <t>Professional Services</t>
        </is>
      </c>
      <c r="CH43" s="53" t="inlineStr">
        <is>
          <t>XBRL / Regulatory Reporting</t>
        </is>
      </c>
      <c r="CI43" s="53" t="inlineStr">
        <is>
          <t>Senior Financial Analyst</t>
        </is>
      </c>
      <c r="CJ43" s="53" t="inlineStr">
        <is>
          <t>L4 – Senior</t>
        </is>
      </c>
      <c r="CK43" s="53" t="inlineStr">
        <is>
          <t>Priyanka Jadhav</t>
        </is>
      </c>
      <c r="CL43" s="53" t="inlineStr">
        <is>
          <t>N-7</t>
        </is>
      </c>
      <c r="CM43" s="53" t="inlineStr">
        <is>
          <t>Individual Contributor</t>
        </is>
      </c>
      <c r="CN43" s="53" t="inlineStr">
        <is>
          <t>Regtech</t>
        </is>
      </c>
      <c r="CO43" s="53" t="inlineStr">
        <is>
          <t>Services</t>
        </is>
      </c>
      <c r="CP43" s="53" t="inlineStr">
        <is>
          <t>14 years, 9 months, 15 days</t>
        </is>
      </c>
      <c r="CQ43" s="53" t="inlineStr">
        <is>
          <t>Senior Services Specialst</t>
        </is>
      </c>
      <c r="CR43" s="53" t="n"/>
      <c r="CS43" s="53" t="n">
        <v>4</v>
      </c>
      <c r="CT43" s="53" t="inlineStr">
        <is>
          <t>High</t>
        </is>
      </c>
      <c r="CU43" s="53" t="inlineStr">
        <is>
          <t>Core Contributor</t>
        </is>
      </c>
      <c r="CV43" s="53" t="inlineStr">
        <is>
          <t>Yes</t>
        </is>
      </c>
      <c r="CW43" s="53" t="inlineStr">
        <is>
          <t>No</t>
        </is>
      </c>
      <c r="CX43" s="53" t="inlineStr">
        <is>
          <t>Yes</t>
        </is>
      </c>
      <c r="CY43" s="53" t="n"/>
      <c r="CZ43" s="53" t="n"/>
      <c r="DA43" s="53" t="n"/>
      <c r="DB43" s="53" t="inlineStr">
        <is>
          <t>Title to be standardized to: Senior Services Specialist</t>
        </is>
      </c>
      <c r="DC43" s="53" t="n"/>
      <c r="DD43" s="53" t="n"/>
      <c r="DE43" s="53" t="n"/>
      <c r="DF43" s="53" t="n"/>
      <c r="DG43" s="53" t="n"/>
      <c r="DH43" s="53" t="n"/>
      <c r="DI43" s="53" t="n"/>
      <c r="DJ43" s="53" t="n"/>
      <c r="DK43" s="53" t="n"/>
      <c r="DL43" s="53" t="n"/>
      <c r="DM43" s="53" t="n"/>
      <c r="DN43" s="53" t="n"/>
      <c r="DO43" s="53" t="n"/>
      <c r="DP43" s="53" t="n"/>
      <c r="DQ43" s="53" t="n"/>
      <c r="DR43" s="53" t="n"/>
      <c r="DS43" s="53" t="n"/>
      <c r="DT43" s="53" t="n"/>
      <c r="DU43" s="53" t="n"/>
      <c r="DV43" s="53" t="n"/>
      <c r="DW43" s="53" t="n"/>
      <c r="DX43" s="53" t="n"/>
      <c r="DY43" s="53" t="n"/>
      <c r="DZ43" s="53" t="n"/>
      <c r="EA43" s="53" t="n"/>
      <c r="EB43" s="53" t="n"/>
      <c r="EC43" s="53" t="n"/>
      <c r="ED43" s="53" t="n"/>
      <c r="EE43" s="53" t="n"/>
      <c r="EF43" s="53" t="n"/>
      <c r="EG43" s="53" t="n"/>
      <c r="EH43" s="53" t="n"/>
      <c r="EI43" s="53" t="n"/>
      <c r="EJ43" s="53" t="n"/>
      <c r="EK43" s="53" t="n"/>
      <c r="EL43" s="53" t="n"/>
      <c r="EM43" s="53" t="n"/>
      <c r="EN43" s="53" t="n"/>
      <c r="EO43" s="53" t="n"/>
      <c r="EP43" s="53" t="n"/>
      <c r="EQ43" s="53" t="n"/>
      <c r="ER43" s="53" t="n"/>
      <c r="ES43" s="53" t="n"/>
      <c r="ET43" s="53" t="n"/>
      <c r="EU43" s="53" t="n"/>
      <c r="EV43" s="53" t="n"/>
      <c r="EW43" s="52" t="inlineStr">
        <is>
          <t>Also works on the EU-DM · EU Disclosure Management project — not currently reflected in product/role mapping.</t>
        </is>
      </c>
      <c r="EX43" s="53" t="inlineStr">
        <is>
          <t>• Role / sub-team: Shift handling and XBRL tagging for EU, Mauritius and MCA market.</t>
        </is>
      </c>
      <c r="EY43" s="53"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EZ43" s="53" t="inlineStr">
        <is>
          <t>• Current capabilities: Good communication; Tools / software used: Both.</t>
        </is>
      </c>
      <c r="FA43" s="53" t="inlineStr">
        <is>
          <t>• Development priorities: No input received.
• Learning and Development Need: Flexibility and time mana.</t>
        </is>
      </c>
      <c r="FB43" s="53" t="inlineStr">
        <is>
          <t>• Key challenges: Large documents size Netw.
• Support required: No input received.</t>
        </is>
      </c>
      <c r="FC43" s="53" t="n"/>
      <c r="FD43" s="53" t="n"/>
      <c r="FE4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3" s="56" t="n"/>
      <c r="FG43" s="56" t="n"/>
      <c r="FH43" s="56" t="n"/>
      <c r="FI43" s="56" t="n"/>
      <c r="FJ43" s="56" t="inlineStr">
        <is>
          <t>Received · manager annual</t>
        </is>
      </c>
      <c r="FK43" s="56" t="inlineStr">
        <is>
          <t>CARBON Mapping Master</t>
        </is>
      </c>
      <c r="FL43" s="56" t="n">
        <v>18</v>
      </c>
      <c r="FM43" s="56" t="inlineStr">
        <is>
          <t>• Role / sub-team: Shift handling and XBRL tagging for EU, Mauritius and MCA market.</t>
        </is>
      </c>
      <c r="FN43" s="56"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FO43" s="56" t="inlineStr">
        <is>
          <t>• Current capabilities: Good communication; Tools / software used: Both.</t>
        </is>
      </c>
      <c r="FP43" s="56" t="inlineStr">
        <is>
          <t>• Development priorities: No input received.
• Learning and Development Need: Flexibility and time mana.</t>
        </is>
      </c>
      <c r="FQ43" s="56" t="inlineStr">
        <is>
          <t>• Key challenges: Large documents size Netw.
• Support required: No input received.</t>
        </is>
      </c>
      <c r="FR43" s="56" t="inlineStr">
        <is>
          <t>Complexity: Evidence reads like A3: own survey / KRA answers · summarised by the rater; not quoted → matches the start
Autonomy: Evidence reads like B1: Assigns and reassigns work among shift team members → moved up 0.5
Accountability: Evidence reads like B1: own survey / KRA answers · summarised by the rater; not quoted → moved up 0.5
Leadership: Evidence reads like B1: Shift lead: allocates tasks, manages handovers, leave and backup planning; no formal reports → moved up 1
Business Impact: Moved +0.5: the survey / manager mapping marks it business-critical.</t>
        </is>
      </c>
      <c r="FS43"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43" s="56"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FU43" s="56" t="inlineStr">
        <is>
          <t>Per-person summary · CARBON Mapping Master</t>
        </is>
      </c>
    </row>
    <row r="44" ht="90" customHeight="1">
      <c r="A44" s="51" t="inlineStr">
        <is>
          <t>◂ Back</t>
        </is>
      </c>
      <c r="B44" s="29" t="inlineStr">
        <is>
          <t>Mapped</t>
        </is>
      </c>
      <c r="C44" s="28" t="inlineStr">
        <is>
          <t>CARBON</t>
        </is>
      </c>
      <c r="D44" s="29" t="inlineStr">
        <is>
          <t>IRIS0145</t>
        </is>
      </c>
      <c r="E44" s="29" t="inlineStr">
        <is>
          <t>Sunita Ram Singh</t>
        </is>
      </c>
      <c r="F44" s="29" t="inlineStr">
        <is>
          <t>Services</t>
        </is>
      </c>
      <c r="G44" s="29" t="inlineStr">
        <is>
          <t>Senior Financial Analyst</t>
        </is>
      </c>
      <c r="H44" s="29" t="inlineStr">
        <is>
          <t>Senior Financial Analyst</t>
        </is>
      </c>
      <c r="I44" s="29" t="inlineStr">
        <is>
          <t>L4 – Senior</t>
        </is>
      </c>
      <c r="J44" s="29" t="inlineStr">
        <is>
          <t>A3</t>
        </is>
      </c>
      <c r="K44" s="29" t="inlineStr">
        <is>
          <t>• Same level</t>
        </is>
      </c>
      <c r="L44" s="29" t="inlineStr">
        <is>
          <t>Consulting &amp; Professional Services</t>
        </is>
      </c>
      <c r="M44" s="29" t="inlineStr">
        <is>
          <t>XBRL Tagging, Conversion &amp; Filing</t>
        </is>
      </c>
      <c r="N44" s="29" t="n"/>
      <c r="O44" s="29" t="n">
        <v>20</v>
      </c>
      <c r="P44" s="28" t="inlineStr">
        <is>
          <t>P2</t>
        </is>
      </c>
      <c r="Q44" s="29" t="inlineStr">
        <is>
          <t>Developing</t>
        </is>
      </c>
      <c r="R44" s="29" t="inlineStr">
        <is>
          <t>3 Apply</t>
        </is>
      </c>
      <c r="S44" s="29" t="inlineStr">
        <is>
          <t>2–4 yrs</t>
        </is>
      </c>
      <c r="T44" s="29" t="inlineStr">
        <is>
          <t>3–5 · 2–5</t>
        </is>
      </c>
      <c r="U44" s="29" t="inlineStr">
        <is>
          <t>Senior Analyst / Associate</t>
        </is>
      </c>
      <c r="V44" s="29" t="inlineStr">
        <is>
          <t>DataTracks: Senior Associate · 2–5 yrs · Big Four: Consultant · IRIS Vs Market Benchmark — XBRL US credential pathway: XBRL US GAAP Certificate</t>
        </is>
      </c>
      <c r="W44" s="29" t="inlineStr">
        <is>
          <t>XBRL US GAAP Certificate · AICPA &amp; XBRL US; XBRL International specifications; IFRS / US GAAP / Ind AS</t>
        </is>
      </c>
      <c r="X44" s="29" t="inlineStr">
        <is>
          <t>Core 2 · Future 2 · Functional 3 · Leadership not scored</t>
        </is>
      </c>
      <c r="Y44" s="52" t="n">
        <v>32</v>
      </c>
      <c r="Z44" s="53" t="inlineStr">
        <is>
          <t>IRIS0145</t>
        </is>
      </c>
      <c r="AA44" s="53" t="inlineStr">
        <is>
          <t>Employee</t>
        </is>
      </c>
      <c r="AB44" s="53" t="inlineStr">
        <is>
          <t>Active</t>
        </is>
      </c>
      <c r="AC44" s="53" t="inlineStr">
        <is>
          <t>Sunita Ram Singh</t>
        </is>
      </c>
      <c r="AD44" s="54" t="n">
        <v>39419</v>
      </c>
      <c r="AE44" s="53" t="inlineStr">
        <is>
          <t>Senior Financial Analyst</t>
        </is>
      </c>
      <c r="AF44" s="53" t="inlineStr">
        <is>
          <t>B.Com</t>
        </is>
      </c>
      <c r="AG44" s="53" t="inlineStr">
        <is>
          <t>Priyanka Jadhav</t>
        </is>
      </c>
      <c r="AH44" s="53" t="inlineStr">
        <is>
          <t>N-7</t>
        </is>
      </c>
      <c r="AI44" s="53" t="inlineStr">
        <is>
          <t>Individual Contributor</t>
        </is>
      </c>
      <c r="AJ44" s="53" t="inlineStr">
        <is>
          <t>0 years, 0 months, 0 days</t>
        </is>
      </c>
      <c r="AK44" s="53" t="inlineStr">
        <is>
          <t>18 years, 8 months, 22 days</t>
        </is>
      </c>
      <c r="AL44" s="53" t="inlineStr">
        <is>
          <t>Regtech</t>
        </is>
      </c>
      <c r="AM44" s="53" t="inlineStr">
        <is>
          <t>CARBON</t>
        </is>
      </c>
      <c r="AN44" s="53" t="inlineStr">
        <is>
          <t>Services</t>
        </is>
      </c>
      <c r="AO44" s="53" t="inlineStr">
        <is>
          <t>Expert Assisted services</t>
        </is>
      </c>
      <c r="AP44" s="53" t="inlineStr">
        <is>
          <t>No</t>
        </is>
      </c>
      <c r="AQ44" s="53" t="inlineStr">
        <is>
          <t>Professional Services</t>
        </is>
      </c>
      <c r="AR44" s="53" t="inlineStr">
        <is>
          <t>XBRL Domain</t>
        </is>
      </c>
      <c r="AS44" s="53" t="inlineStr">
        <is>
          <t>Non-technical</t>
        </is>
      </c>
      <c r="AT44" s="53" t="n">
        <v>20</v>
      </c>
      <c r="AU44" s="53" t="inlineStr">
        <is>
          <t>Covered</t>
        </is>
      </c>
      <c r="AV44" s="53" t="inlineStr">
        <is>
          <t>IRIS0145</t>
        </is>
      </c>
      <c r="AW44" s="53" t="inlineStr">
        <is>
          <t>Sunita Ram Singh</t>
        </is>
      </c>
      <c r="AX44" s="53" t="inlineStr">
        <is>
          <t>Services</t>
        </is>
      </c>
      <c r="AY44" s="53" t="inlineStr">
        <is>
          <t>Professional Services</t>
        </is>
      </c>
      <c r="AZ44" s="53" t="inlineStr">
        <is>
          <t>XBRL / Regulatory Reporting</t>
        </is>
      </c>
      <c r="BA44" s="53" t="n"/>
      <c r="BB44" s="53" t="n"/>
      <c r="BC44" s="53" t="inlineStr">
        <is>
          <t>Employee</t>
        </is>
      </c>
      <c r="BD44" s="53" t="inlineStr">
        <is>
          <t>Priyanka Jadhav</t>
        </is>
      </c>
      <c r="BE44" s="53" t="inlineStr">
        <is>
          <t>Priyanka Jadhav</t>
        </is>
      </c>
      <c r="BF44" s="53" t="inlineStr">
        <is>
          <t>No</t>
        </is>
      </c>
      <c r="BG44" s="53" t="inlineStr">
        <is>
          <t>Senior Financial Analyst</t>
        </is>
      </c>
      <c r="BH44" s="53" t="inlineStr">
        <is>
          <t>Senior Services Specialist</t>
        </is>
      </c>
      <c r="BI44" s="53" t="inlineStr">
        <is>
          <t>Yes</t>
        </is>
      </c>
      <c r="BJ44" s="53" t="inlineStr">
        <is>
          <t>—</t>
        </is>
      </c>
      <c r="BK44" s="53" t="inlineStr">
        <is>
          <t>—</t>
        </is>
      </c>
      <c r="BL44" s="53" t="inlineStr">
        <is>
          <t>—</t>
        </is>
      </c>
      <c r="BM44" s="53" t="inlineStr">
        <is>
          <t>Not a manager</t>
        </is>
      </c>
      <c r="BN44" s="53" t="inlineStr">
        <is>
          <t>—</t>
        </is>
      </c>
      <c r="BO44" s="53" t="inlineStr">
        <is>
          <t>—</t>
        </is>
      </c>
      <c r="BP44" s="53" t="inlineStr">
        <is>
          <t>—</t>
        </is>
      </c>
      <c r="BQ44" s="53" t="inlineStr">
        <is>
          <t>Not a manager</t>
        </is>
      </c>
      <c r="BR44" s="53" t="inlineStr">
        <is>
          <t>—</t>
        </is>
      </c>
      <c r="BS44" s="53" t="inlineStr">
        <is>
          <t>L4 – Senior</t>
        </is>
      </c>
      <c r="BT44" s="53" t="inlineStr">
        <is>
          <t>L4 – Senior</t>
        </is>
      </c>
      <c r="BU44" s="53" t="inlineStr">
        <is>
          <t>Designation refined from Raw tab Comments column · this update</t>
        </is>
      </c>
      <c r="BV4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4" s="53" t="n"/>
      <c r="BX44" s="53" t="inlineStr">
        <is>
          <t>Europe - ESEF.</t>
        </is>
      </c>
      <c r="BY44" s="53" t="n"/>
      <c r="BZ44" s="53" t="inlineStr">
        <is>
          <t>IRIS0145</t>
        </is>
      </c>
      <c r="CA44" s="53" t="inlineStr">
        <is>
          <t>Employee</t>
        </is>
      </c>
      <c r="CB44" s="53" t="inlineStr">
        <is>
          <t>Active</t>
        </is>
      </c>
      <c r="CC44" s="53" t="inlineStr">
        <is>
          <t>Sunita Ram Singh</t>
        </is>
      </c>
      <c r="CD44" s="54" t="n">
        <v>39419</v>
      </c>
      <c r="CE44" s="53" t="inlineStr">
        <is>
          <t>Senior Financial Analyst</t>
        </is>
      </c>
      <c r="CF44" s="53" t="n"/>
      <c r="CG44" s="53" t="inlineStr">
        <is>
          <t>Professional Services</t>
        </is>
      </c>
      <c r="CH44" s="53" t="inlineStr">
        <is>
          <t>XBRL / Regulatory Reporting</t>
        </is>
      </c>
      <c r="CI44" s="53" t="inlineStr">
        <is>
          <t>Senior Financial Analyst</t>
        </is>
      </c>
      <c r="CJ44" s="53" t="inlineStr">
        <is>
          <t>L4 – Senior</t>
        </is>
      </c>
      <c r="CK44" s="53" t="inlineStr">
        <is>
          <t>Priyanka Jadhav</t>
        </is>
      </c>
      <c r="CL44" s="53" t="inlineStr">
        <is>
          <t>N-7</t>
        </is>
      </c>
      <c r="CM44" s="53" t="inlineStr">
        <is>
          <t>Individual Contributor</t>
        </is>
      </c>
      <c r="CN44" s="53" t="inlineStr">
        <is>
          <t>Regtech</t>
        </is>
      </c>
      <c r="CO44" s="53" t="inlineStr">
        <is>
          <t>Services</t>
        </is>
      </c>
      <c r="CP44" s="53" t="inlineStr">
        <is>
          <t>18 years, 6 months, 17 days</t>
        </is>
      </c>
      <c r="CQ44" s="53" t="inlineStr">
        <is>
          <t>Senior Services Specialst</t>
        </is>
      </c>
      <c r="CR44" s="53" t="n"/>
      <c r="CS44" s="53" t="n">
        <v>3</v>
      </c>
      <c r="CT44" s="53" t="inlineStr">
        <is>
          <t>Medium</t>
        </is>
      </c>
      <c r="CU44" s="53" t="inlineStr">
        <is>
          <t>Core Contributor</t>
        </is>
      </c>
      <c r="CV44" s="53" t="inlineStr">
        <is>
          <t>No</t>
        </is>
      </c>
      <c r="CW44" s="53" t="inlineStr">
        <is>
          <t>No</t>
        </is>
      </c>
      <c r="CX44" s="53" t="inlineStr">
        <is>
          <t>Yes</t>
        </is>
      </c>
      <c r="CY44" s="53" t="n"/>
      <c r="CZ44" s="53" t="n"/>
      <c r="DA44" s="53" t="n"/>
      <c r="DB44" s="53" t="inlineStr">
        <is>
          <t>Title to be standardized to: Senior Services Specialist</t>
        </is>
      </c>
      <c r="DC44" s="53" t="n"/>
      <c r="DD44" s="53" t="n"/>
      <c r="DE44" s="53" t="n"/>
      <c r="DF44" s="53" t="n"/>
      <c r="DG44" s="53" t="n"/>
      <c r="DH44" s="53" t="n"/>
      <c r="DI44" s="53" t="n"/>
      <c r="DJ44" s="53" t="n"/>
      <c r="DK44" s="53" t="n"/>
      <c r="DL44" s="53" t="n"/>
      <c r="DM44" s="53" t="n"/>
      <c r="DN44" s="53" t="n"/>
      <c r="DO44" s="53" t="n"/>
      <c r="DP44" s="53" t="n"/>
      <c r="DQ44" s="53" t="n"/>
      <c r="DR44" s="53" t="n"/>
      <c r="DS44" s="53" t="n"/>
      <c r="DT44" s="53" t="n"/>
      <c r="DU44" s="53" t="n"/>
      <c r="DV44" s="53" t="n"/>
      <c r="DW44" s="53" t="n"/>
      <c r="DX44" s="53" t="n"/>
      <c r="DY44" s="53" t="n"/>
      <c r="DZ44" s="53" t="n"/>
      <c r="EA44" s="53" t="n"/>
      <c r="EB44" s="53" t="n"/>
      <c r="EC44" s="53" t="n"/>
      <c r="ED44" s="53" t="n"/>
      <c r="EE44" s="53" t="n"/>
      <c r="EF44" s="53" t="n"/>
      <c r="EG44" s="53" t="n"/>
      <c r="EH44" s="53" t="n"/>
      <c r="EI44" s="53" t="n"/>
      <c r="EJ44" s="53" t="n"/>
      <c r="EK44" s="53" t="n"/>
      <c r="EL44" s="53" t="n"/>
      <c r="EM44" s="53" t="n"/>
      <c r="EN44" s="53" t="n"/>
      <c r="EO44" s="53" t="n"/>
      <c r="EP44" s="53" t="n"/>
      <c r="EQ44" s="53" t="n"/>
      <c r="ER44" s="53" t="n"/>
      <c r="ES44" s="53" t="n"/>
      <c r="ET44" s="53" t="n"/>
      <c r="EU44" s="53" t="n"/>
      <c r="EV44" s="53" t="n"/>
      <c r="EW44" s="52" t="inlineStr">
        <is>
          <t>Survey response was originally anonymous; manually identified as Sunita Ram Singh · Emp ID IRIS0145 and mapped here on that basis. Also works on the EU-DM · EU Disclosure Management project — not currently reflected in product/role mapping.</t>
        </is>
      </c>
      <c r="EX44" s="53" t="inlineStr">
        <is>
          <t>• No input received.</t>
        </is>
      </c>
      <c r="EY44" s="53"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EZ44" s="53" t="inlineStr">
        <is>
          <t>• Current capabilities: Accuracy of work time; Tools / software used: Disclosure Management - DM - Word editor.</t>
        </is>
      </c>
      <c r="FA44" s="53" t="inlineStr">
        <is>
          <t>• Development priorities: No input received.
• Learning and Development Need: No input received.</t>
        </is>
      </c>
      <c r="FB44" s="53" t="inlineStr">
        <is>
          <t>• Key challenges: No input received.
• Support required: No input received.</t>
        </is>
      </c>
      <c r="FC44" s="53" t="n"/>
      <c r="FD44" s="53" t="n"/>
      <c r="FE4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4" s="56" t="n"/>
      <c r="FG44" s="56" t="n"/>
      <c r="FH44" s="56" t="n"/>
      <c r="FI44" s="56" t="n"/>
      <c r="FJ44" s="56" t="inlineStr">
        <is>
          <t>Received · manager annual</t>
        </is>
      </c>
      <c r="FK44" s="56" t="inlineStr">
        <is>
          <t>CARBON Mapping Master</t>
        </is>
      </c>
      <c r="FL44" s="56" t="n">
        <v>20</v>
      </c>
      <c r="FM44" s="56" t="inlineStr">
        <is>
          <t>• No input received.</t>
        </is>
      </c>
      <c r="FN44" s="56"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FO44" s="56" t="inlineStr">
        <is>
          <t>• Current capabilities: Accuracy of work time; Tools / software used: Disclosure Management - DM - Word editor.</t>
        </is>
      </c>
      <c r="FP44" s="56" t="inlineStr">
        <is>
          <t>• Development priorities: No input received.
• Learning and Development Need: No input received.</t>
        </is>
      </c>
      <c r="FQ44" s="56" t="inlineStr">
        <is>
          <t>• Key challenges: No input received.
• Support required: No input received.</t>
        </is>
      </c>
      <c r="FR44" s="56" t="inlineStr">
        <is>
          <t>Complexity: Evidence reads like A3: Prepares and checks DM annual reports · Word/Excel, validates KVK, ESMA, Infocamere XBRL files → matches the start
Autonomy: Evidence reads like A2: Routine checking, formatting and minor corrections; major or client changes need CM approval → moved down 0.5
Accountability: Evidence reads like A2: Correctness of data checks and final report review; file goes to CM → moved down 0.5
Leadership: Evidence reads like A1: No guiding or leading of others described → moved down 0.5
Business Impact: Moved +0.5: the survey / manager mapping marks it business-critical.</t>
        </is>
      </c>
      <c r="FS4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 s="56" t="inlineStr">
        <is>
          <t>Self-identified: Testing &amp; quality · Domain, regulatory &amp; XBRL · Communication &amp; presentation · Broader exposure &amp; ownership
For the next role: Testing &amp; quality · Domain, regulatory &amp; XBRL · Communication &amp; presentation · Strategy &amp; business acumen · Broader exposure &amp; ownership</t>
        </is>
      </c>
      <c r="FU44" s="56" t="inlineStr">
        <is>
          <t>Per-person summary · CARBON Mapping Master</t>
        </is>
      </c>
    </row>
    <row r="45" ht="90" customHeight="1">
      <c r="A45" s="51" t="inlineStr">
        <is>
          <t>◂ Back</t>
        </is>
      </c>
      <c r="B45" s="29" t="inlineStr">
        <is>
          <t>Mapped</t>
        </is>
      </c>
      <c r="C45" s="28" t="inlineStr">
        <is>
          <t>CARBON</t>
        </is>
      </c>
      <c r="D45" s="29" t="inlineStr">
        <is>
          <t>IRIS0128</t>
        </is>
      </c>
      <c r="E45" s="29" t="inlineStr">
        <is>
          <t>Supriya Thakur</t>
        </is>
      </c>
      <c r="F45" s="29" t="inlineStr">
        <is>
          <t>Services</t>
        </is>
      </c>
      <c r="G45" s="29" t="inlineStr">
        <is>
          <t>Financial Analyst</t>
        </is>
      </c>
      <c r="H45" s="29" t="inlineStr">
        <is>
          <t>Senior Financial Analyst</t>
        </is>
      </c>
      <c r="I45" s="29" t="inlineStr">
        <is>
          <t>L3 – Professional / Associate</t>
        </is>
      </c>
      <c r="J45" s="29" t="inlineStr">
        <is>
          <t>A3</t>
        </is>
      </c>
      <c r="K45" s="29" t="inlineStr">
        <is>
          <t>▲ Up</t>
        </is>
      </c>
      <c r="L45" s="29" t="inlineStr">
        <is>
          <t>Consulting &amp; Professional Services</t>
        </is>
      </c>
      <c r="M45" s="29" t="inlineStr">
        <is>
          <t>XBRL Tagging, Conversion &amp; Filing</t>
        </is>
      </c>
      <c r="N45" s="29" t="n"/>
      <c r="O45" s="29" t="n">
        <v>19</v>
      </c>
      <c r="P45" s="28" t="inlineStr">
        <is>
          <t>P2</t>
        </is>
      </c>
      <c r="Q45" s="29" t="inlineStr">
        <is>
          <t>Developing</t>
        </is>
      </c>
      <c r="R45" s="29" t="inlineStr">
        <is>
          <t>3 Apply</t>
        </is>
      </c>
      <c r="S45" s="29" t="inlineStr">
        <is>
          <t>2–4 yrs</t>
        </is>
      </c>
      <c r="T45" s="29" t="inlineStr">
        <is>
          <t>3–5 · 2–5</t>
        </is>
      </c>
      <c r="U45" s="29" t="inlineStr">
        <is>
          <t>Senior Analyst / Associate</t>
        </is>
      </c>
      <c r="V45" s="29" t="inlineStr">
        <is>
          <t>DataTracks: Senior Associate · 2–5 yrs · Big Four: Consultant · IRIS Vs Market Benchmark — XBRL US credential pathway: XBRL US GAAP Certificate</t>
        </is>
      </c>
      <c r="W45" s="29" t="inlineStr">
        <is>
          <t>XBRL US GAAP Certificate · AICPA &amp; XBRL US; XBRL International specifications; IFRS / US GAAP / Ind AS</t>
        </is>
      </c>
      <c r="X45" s="29" t="inlineStr">
        <is>
          <t>Core 2 · Future 2 · Functional 3 · Leadership not scored</t>
        </is>
      </c>
      <c r="Y45" s="52" t="n">
        <v>29</v>
      </c>
      <c r="Z45" s="53" t="inlineStr">
        <is>
          <t>IRIS0128</t>
        </is>
      </c>
      <c r="AA45" s="53" t="inlineStr">
        <is>
          <t>Employee</t>
        </is>
      </c>
      <c r="AB45" s="53" t="inlineStr">
        <is>
          <t>Active</t>
        </is>
      </c>
      <c r="AC45" s="53" t="inlineStr">
        <is>
          <t>Supriya Thakur</t>
        </is>
      </c>
      <c r="AD45" s="54" t="n">
        <v>39377</v>
      </c>
      <c r="AE45" s="53" t="inlineStr">
        <is>
          <t>Financial Analyst</t>
        </is>
      </c>
      <c r="AF45" s="53" t="inlineStr">
        <is>
          <t>B.Com</t>
        </is>
      </c>
      <c r="AG45" s="53" t="inlineStr">
        <is>
          <t>Priyanka Jadhav</t>
        </is>
      </c>
      <c r="AH45" s="53" t="inlineStr">
        <is>
          <t>N-7</t>
        </is>
      </c>
      <c r="AI45" s="53" t="inlineStr">
        <is>
          <t>Individual Contributor</t>
        </is>
      </c>
      <c r="AJ45" s="53" t="inlineStr">
        <is>
          <t>0 years, 0 months, 0 days</t>
        </is>
      </c>
      <c r="AK45" s="53" t="inlineStr">
        <is>
          <t>18 years, 10 months, 3 days</t>
        </is>
      </c>
      <c r="AL45" s="53" t="inlineStr">
        <is>
          <t>Regtech</t>
        </is>
      </c>
      <c r="AM45" s="53" t="inlineStr">
        <is>
          <t>CARBON</t>
        </is>
      </c>
      <c r="AN45" s="53" t="inlineStr">
        <is>
          <t>Services</t>
        </is>
      </c>
      <c r="AO45" s="53" t="inlineStr">
        <is>
          <t>Expert Assisted services</t>
        </is>
      </c>
      <c r="AP45" s="53" t="inlineStr">
        <is>
          <t>No</t>
        </is>
      </c>
      <c r="AQ45" s="53" t="inlineStr">
        <is>
          <t>Professional Services</t>
        </is>
      </c>
      <c r="AR45" s="53" t="inlineStr">
        <is>
          <t>XBRL Domain</t>
        </is>
      </c>
      <c r="AS45" s="53" t="inlineStr">
        <is>
          <t>Non-technical</t>
        </is>
      </c>
      <c r="AT45" s="53" t="n">
        <v>20</v>
      </c>
      <c r="AU45" s="53" t="inlineStr">
        <is>
          <t>Covered</t>
        </is>
      </c>
      <c r="AV45" s="53" t="inlineStr">
        <is>
          <t>IRIS0128</t>
        </is>
      </c>
      <c r="AW45" s="53" t="inlineStr">
        <is>
          <t>Supriya Thakur</t>
        </is>
      </c>
      <c r="AX45" s="53" t="inlineStr">
        <is>
          <t>Services</t>
        </is>
      </c>
      <c r="AY45" s="53" t="inlineStr">
        <is>
          <t>Professional Services</t>
        </is>
      </c>
      <c r="AZ45" s="53" t="inlineStr">
        <is>
          <t>XBRL / Regulatory Reporting</t>
        </is>
      </c>
      <c r="BA45" s="53" t="n"/>
      <c r="BB45" s="53" t="n"/>
      <c r="BC45" s="53" t="inlineStr">
        <is>
          <t>Employee</t>
        </is>
      </c>
      <c r="BD45" s="53" t="inlineStr">
        <is>
          <t>Priyanka Jadhav</t>
        </is>
      </c>
      <c r="BE45" s="53" t="inlineStr">
        <is>
          <t>Priyanka Jadhav</t>
        </is>
      </c>
      <c r="BF45" s="53" t="inlineStr">
        <is>
          <t>No</t>
        </is>
      </c>
      <c r="BG45" s="53" t="inlineStr">
        <is>
          <t>Financial Analyst</t>
        </is>
      </c>
      <c r="BH45" s="53" t="inlineStr">
        <is>
          <t>Services Specialist</t>
        </is>
      </c>
      <c r="BI45" s="53" t="inlineStr">
        <is>
          <t>Yes</t>
        </is>
      </c>
      <c r="BJ45" s="53" t="inlineStr">
        <is>
          <t>—</t>
        </is>
      </c>
      <c r="BK45" s="53" t="inlineStr">
        <is>
          <t>—</t>
        </is>
      </c>
      <c r="BL45" s="53" t="inlineStr">
        <is>
          <t>—</t>
        </is>
      </c>
      <c r="BM45" s="53" t="inlineStr">
        <is>
          <t>Not a manager</t>
        </is>
      </c>
      <c r="BN45" s="53" t="inlineStr">
        <is>
          <t>—</t>
        </is>
      </c>
      <c r="BO45" s="53" t="inlineStr">
        <is>
          <t>—</t>
        </is>
      </c>
      <c r="BP45" s="53" t="inlineStr">
        <is>
          <t>—</t>
        </is>
      </c>
      <c r="BQ45" s="53" t="inlineStr">
        <is>
          <t>Not a manager</t>
        </is>
      </c>
      <c r="BR45" s="53" t="inlineStr">
        <is>
          <t>—</t>
        </is>
      </c>
      <c r="BS45" s="53" t="inlineStr">
        <is>
          <t>L3 – Professional / Associate</t>
        </is>
      </c>
      <c r="BT45" s="53" t="inlineStr">
        <is>
          <t>L2</t>
        </is>
      </c>
      <c r="BU45" s="53" t="inlineStr">
        <is>
          <t>Matched from Title Hierarchy · new designation</t>
        </is>
      </c>
      <c r="BV4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5" s="53" t="n"/>
      <c r="BX45" s="53" t="inlineStr">
        <is>
          <t>Europe - ESEF; Netherland - KVK; India - MCA.</t>
        </is>
      </c>
      <c r="BY45" s="53" t="n"/>
      <c r="BZ45" s="53" t="inlineStr">
        <is>
          <t>IRIS0128</t>
        </is>
      </c>
      <c r="CA45" s="53" t="inlineStr">
        <is>
          <t>Employee</t>
        </is>
      </c>
      <c r="CB45" s="53" t="inlineStr">
        <is>
          <t>Active</t>
        </is>
      </c>
      <c r="CC45" s="53" t="inlineStr">
        <is>
          <t>Supriya Thakur</t>
        </is>
      </c>
      <c r="CD45" s="54" t="n">
        <v>39377</v>
      </c>
      <c r="CE45" s="53" t="inlineStr">
        <is>
          <t>Financial Analyst</t>
        </is>
      </c>
      <c r="CF45" s="53" t="n"/>
      <c r="CG45" s="53" t="inlineStr">
        <is>
          <t>Professional Services</t>
        </is>
      </c>
      <c r="CH45" s="53" t="inlineStr">
        <is>
          <t>XBRL / Regulatory Reporting</t>
        </is>
      </c>
      <c r="CI45" s="53" t="inlineStr">
        <is>
          <t>Financial Analyst</t>
        </is>
      </c>
      <c r="CJ45" s="53" t="inlineStr">
        <is>
          <t>L3 – Professional / Associate</t>
        </is>
      </c>
      <c r="CK45" s="53" t="inlineStr">
        <is>
          <t>Priyanka Jadhav</t>
        </is>
      </c>
      <c r="CL45" s="53" t="inlineStr">
        <is>
          <t>N-7</t>
        </is>
      </c>
      <c r="CM45" s="53" t="inlineStr">
        <is>
          <t>Individual Contributor</t>
        </is>
      </c>
      <c r="CN45" s="53" t="inlineStr">
        <is>
          <t>Regtech</t>
        </is>
      </c>
      <c r="CO45" s="53" t="inlineStr">
        <is>
          <t>Services</t>
        </is>
      </c>
      <c r="CP45" s="53" t="inlineStr">
        <is>
          <t>18 years, 7 months, 29 days</t>
        </is>
      </c>
      <c r="CQ45" s="53" t="inlineStr">
        <is>
          <t>Services Specialist</t>
        </is>
      </c>
      <c r="CR45" s="53" t="n"/>
      <c r="CS45" s="53" t="n">
        <v>3</v>
      </c>
      <c r="CT45" s="53" t="inlineStr">
        <is>
          <t>Medium</t>
        </is>
      </c>
      <c r="CU45" s="53" t="inlineStr">
        <is>
          <t>Core Contributor</t>
        </is>
      </c>
      <c r="CV45" s="53" t="inlineStr">
        <is>
          <t>No</t>
        </is>
      </c>
      <c r="CW45" s="53" t="inlineStr">
        <is>
          <t>No</t>
        </is>
      </c>
      <c r="CX45" s="53" t="inlineStr">
        <is>
          <t>Yes</t>
        </is>
      </c>
      <c r="CY45" s="53" t="n"/>
      <c r="CZ45" s="53" t="n"/>
      <c r="DA45" s="53" t="n"/>
      <c r="DB45" s="53" t="inlineStr">
        <is>
          <t>Title to be standardized to : Services Specialist</t>
        </is>
      </c>
      <c r="DC45" s="53" t="n"/>
      <c r="DD45" s="53" t="n"/>
      <c r="DE45" s="53" t="n"/>
      <c r="DF45" s="53" t="n"/>
      <c r="DG45" s="53" t="n"/>
      <c r="DH45" s="53" t="n"/>
      <c r="DI45" s="53" t="n"/>
      <c r="DJ45" s="53" t="n"/>
      <c r="DK45" s="53" t="n"/>
      <c r="DL45" s="53" t="n"/>
      <c r="DM45" s="53" t="n"/>
      <c r="DN45" s="53" t="n"/>
      <c r="DO45" s="53" t="n"/>
      <c r="DP45" s="53" t="n"/>
      <c r="DQ45" s="53" t="n"/>
      <c r="DR45" s="53" t="n"/>
      <c r="DS45" s="53" t="n"/>
      <c r="DT45" s="53" t="n"/>
      <c r="DU45" s="53" t="n"/>
      <c r="DV45" s="53" t="n"/>
      <c r="DW45" s="53" t="n"/>
      <c r="DX45" s="53" t="n"/>
      <c r="DY45" s="53" t="n"/>
      <c r="DZ45" s="53" t="n"/>
      <c r="EA45" s="53" t="n"/>
      <c r="EB45" s="53" t="n"/>
      <c r="EC45" s="53" t="n"/>
      <c r="ED45" s="53" t="n"/>
      <c r="EE45" s="53" t="n"/>
      <c r="EF45" s="53" t="n"/>
      <c r="EG45" s="53" t="n"/>
      <c r="EH45" s="53" t="n"/>
      <c r="EI45" s="53" t="n"/>
      <c r="EJ45" s="53" t="n"/>
      <c r="EK45" s="53" t="n"/>
      <c r="EL45" s="53" t="n"/>
      <c r="EM45" s="53" t="n"/>
      <c r="EN45" s="53" t="n"/>
      <c r="EO45" s="53" t="n"/>
      <c r="EP45" s="53" t="n"/>
      <c r="EQ45" s="53" t="n"/>
      <c r="ER45" s="53" t="n"/>
      <c r="ES45" s="53" t="n"/>
      <c r="ET45" s="53" t="n"/>
      <c r="EU45" s="53" t="n"/>
      <c r="EV45" s="53" t="n"/>
      <c r="EW45" s="52" t="n"/>
      <c r="EX45" s="53" t="inlineStr">
        <is>
          <t>• Role / sub-team: XBRL Conversion Service.</t>
        </is>
      </c>
      <c r="EY45" s="53" t="inlineStr">
        <is>
          <t>• Key responsibilities include: Tagging and QC of ESMA, KVK and MCA.
• Reported deliverables and outcomes include: Share with client.</t>
        </is>
      </c>
      <c r="EZ45" s="53" t="inlineStr">
        <is>
          <t>• Current capabilities: Time management; Tools / software used: Carbon [Teams chat].</t>
        </is>
      </c>
      <c r="FA45" s="53" t="inlineStr">
        <is>
          <t>• Development priorities: No input received.
• Learning and Development Need: Time and work management.</t>
        </is>
      </c>
      <c r="FB45" s="53" t="inlineStr">
        <is>
          <t>• Key challenges: Tool issue.
• Support required: No input received.</t>
        </is>
      </c>
      <c r="FC45" s="53" t="n"/>
      <c r="FD45" s="53" t="n"/>
      <c r="FE4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5" s="56" t="n"/>
      <c r="FG45" s="56" t="n"/>
      <c r="FH45" s="56" t="n"/>
      <c r="FI45" s="56" t="n"/>
      <c r="FJ45" s="56" t="inlineStr">
        <is>
          <t>Received · manager annual</t>
        </is>
      </c>
      <c r="FK45" s="56" t="inlineStr">
        <is>
          <t>CARBON Mapping Master</t>
        </is>
      </c>
      <c r="FL45" s="56" t="n">
        <v>19</v>
      </c>
      <c r="FM45" s="56" t="inlineStr">
        <is>
          <t>• Role / sub-team: XBRL Conversion Service.</t>
        </is>
      </c>
      <c r="FN45" s="56" t="inlineStr">
        <is>
          <t>• Key responsibilities include: Tagging and QC of ESMA, KVK and MCA.
• Reported deliverables and outcomes include: Share with client.</t>
        </is>
      </c>
      <c r="FO45" s="56" t="inlineStr">
        <is>
          <t>• Current capabilities: Time management; Tools / software used: Carbon [Teams chat].</t>
        </is>
      </c>
      <c r="FP45" s="56" t="inlineStr">
        <is>
          <t>• Development priorities: No input received.
• Learning and Development Need: Time and work management.</t>
        </is>
      </c>
      <c r="FQ45" s="56" t="inlineStr">
        <is>
          <t>• Key challenges: Tool issue.
• Support required: No input received.</t>
        </is>
      </c>
      <c r="FR45" s="56" t="inlineStr">
        <is>
          <t>Complexity: Evidence reads like A3: Runs MCA, ESMA and KVK filings start to finish: tagging, QC, validations, client queries → moved up 0.5
Autonomy: Evidence reads like A2: No decisions stated; works to the defined filing process with QC and validation steps → matches the start
Accountability: Evidence reads like A3: Timely, accurate HTML/XML deliverables shared with the client; resolves client queries on MCA → moved up 0.5
Leadership: Evidence reads like A1: No guiding or leading of others described → matches the start
Business Impact: Moved +0.5: the survey / manager mapping marks it business-critical.</t>
        </is>
      </c>
      <c r="FS4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5" s="56" t="inlineStr">
        <is>
          <t>Self-identified: Answered · no common topic
For the next role: Answered · no common topic</t>
        </is>
      </c>
      <c r="FU45" s="56" t="inlineStr">
        <is>
          <t>Per-person summary · CARBON Mapping Master</t>
        </is>
      </c>
    </row>
    <row r="46" ht="90" customHeight="1">
      <c r="A46" s="51" t="inlineStr">
        <is>
          <t>◂ Back</t>
        </is>
      </c>
      <c r="B46" s="29" t="inlineStr">
        <is>
          <t>Mapped</t>
        </is>
      </c>
      <c r="C46" s="28" t="inlineStr">
        <is>
          <t>CARBON</t>
        </is>
      </c>
      <c r="D46" s="29" t="inlineStr">
        <is>
          <t>IRIS0819</t>
        </is>
      </c>
      <c r="E46" s="29" t="inlineStr">
        <is>
          <t>Vikram Bangera</t>
        </is>
      </c>
      <c r="F46" s="29" t="inlineStr">
        <is>
          <t>Services</t>
        </is>
      </c>
      <c r="G46" s="29" t="inlineStr">
        <is>
          <t>Senior Financial Analyst</t>
        </is>
      </c>
      <c r="H46" s="29" t="inlineStr">
        <is>
          <t>Senior Financial Analyst</t>
        </is>
      </c>
      <c r="I46" s="29" t="inlineStr">
        <is>
          <t>L4 – Senior</t>
        </is>
      </c>
      <c r="J46" s="29" t="inlineStr">
        <is>
          <t>A3</t>
        </is>
      </c>
      <c r="K46" s="29" t="inlineStr">
        <is>
          <t>• Same level</t>
        </is>
      </c>
      <c r="L46" s="29" t="inlineStr">
        <is>
          <t>Consulting &amp; Professional Services</t>
        </is>
      </c>
      <c r="M46" s="29" t="inlineStr">
        <is>
          <t>XBRL Tagging, Conversion &amp; Filing</t>
        </is>
      </c>
      <c r="N46" s="29" t="inlineStr">
        <is>
          <t>• Confirm the reporting line — Manager</t>
        </is>
      </c>
      <c r="O46" s="29" t="n">
        <v>18</v>
      </c>
      <c r="P46" s="28" t="inlineStr">
        <is>
          <t>P2</t>
        </is>
      </c>
      <c r="Q46" s="29" t="inlineStr">
        <is>
          <t>Developing</t>
        </is>
      </c>
      <c r="R46" s="29" t="inlineStr">
        <is>
          <t>3 Apply</t>
        </is>
      </c>
      <c r="S46" s="29" t="inlineStr">
        <is>
          <t>2–4 yrs</t>
        </is>
      </c>
      <c r="T46" s="29" t="inlineStr">
        <is>
          <t>3–5 · 2–5</t>
        </is>
      </c>
      <c r="U46" s="29" t="inlineStr">
        <is>
          <t>Senior Analyst / Associate</t>
        </is>
      </c>
      <c r="V46" s="29" t="inlineStr">
        <is>
          <t>DataTracks: Senior Associate · 2–5 yrs · Big Four: Consultant · IRIS Vs Market Benchmark — XBRL US credential pathway: XBRL US GAAP Certificate</t>
        </is>
      </c>
      <c r="W46" s="29" t="inlineStr">
        <is>
          <t>XBRL US GAAP Certificate · AICPA &amp; XBRL US; XBRL International specifications; IFRS / US GAAP / Ind AS</t>
        </is>
      </c>
      <c r="X46" s="29" t="inlineStr">
        <is>
          <t>Core 2 · Future 2 · Functional 3 · Leadership not scored</t>
        </is>
      </c>
      <c r="Y46" s="52" t="n">
        <v>93</v>
      </c>
      <c r="Z46" s="53" t="inlineStr">
        <is>
          <t>IRIS0819</t>
        </is>
      </c>
      <c r="AA46" s="53" t="inlineStr">
        <is>
          <t>Employee</t>
        </is>
      </c>
      <c r="AB46" s="53" t="inlineStr">
        <is>
          <t>Active</t>
        </is>
      </c>
      <c r="AC46" s="53" t="inlineStr">
        <is>
          <t>Vikram Bangera</t>
        </is>
      </c>
      <c r="AD46" s="54" t="n">
        <v>40771</v>
      </c>
      <c r="AE46" s="53" t="inlineStr">
        <is>
          <t>Senior Financial Analyst</t>
        </is>
      </c>
      <c r="AF46" s="53" t="inlineStr">
        <is>
          <t>B.Com</t>
        </is>
      </c>
      <c r="AG46" s="53" t="inlineStr">
        <is>
          <t>Priyanka Jadhav</t>
        </is>
      </c>
      <c r="AH46" s="53" t="inlineStr">
        <is>
          <t>N-7</t>
        </is>
      </c>
      <c r="AI46" s="53" t="inlineStr">
        <is>
          <t>Individual Contributor</t>
        </is>
      </c>
      <c r="AJ46" s="53" t="inlineStr">
        <is>
          <t>0 years, 6 months, 0 days</t>
        </is>
      </c>
      <c r="AK46" s="53" t="inlineStr">
        <is>
          <t>15 years, 0 months, 9 days</t>
        </is>
      </c>
      <c r="AL46" s="53" t="inlineStr">
        <is>
          <t>Regtech</t>
        </is>
      </c>
      <c r="AM46" s="53" t="inlineStr">
        <is>
          <t>CARBON</t>
        </is>
      </c>
      <c r="AN46" s="53" t="inlineStr">
        <is>
          <t>Services</t>
        </is>
      </c>
      <c r="AO46" s="53" t="inlineStr">
        <is>
          <t>Expert Assisted services</t>
        </is>
      </c>
      <c r="AP46" s="53" t="inlineStr">
        <is>
          <t>No</t>
        </is>
      </c>
      <c r="AQ46" s="53" t="inlineStr">
        <is>
          <t>Professional Services</t>
        </is>
      </c>
      <c r="AR46" s="53" t="inlineStr">
        <is>
          <t>XBRL Domain</t>
        </is>
      </c>
      <c r="AS46" s="53" t="inlineStr">
        <is>
          <t>Non-technical</t>
        </is>
      </c>
      <c r="AT46" s="53" t="n">
        <v>20</v>
      </c>
      <c r="AU46" s="53" t="inlineStr">
        <is>
          <t>Covered</t>
        </is>
      </c>
      <c r="AV46" s="53" t="inlineStr">
        <is>
          <t>IRIS0819</t>
        </is>
      </c>
      <c r="AW46" s="53" t="inlineStr">
        <is>
          <t>Vikram Bangera</t>
        </is>
      </c>
      <c r="AX46" s="53" t="inlineStr">
        <is>
          <t>Services</t>
        </is>
      </c>
      <c r="AY46" s="53" t="inlineStr">
        <is>
          <t>Professional Services</t>
        </is>
      </c>
      <c r="AZ46" s="53" t="inlineStr">
        <is>
          <t>XBRL / Regulatory Reporting</t>
        </is>
      </c>
      <c r="BA46" s="53" t="n"/>
      <c r="BB46" s="53" t="n"/>
      <c r="BC46" s="53" t="inlineStr">
        <is>
          <t>Employee</t>
        </is>
      </c>
      <c r="BD46" s="53" t="inlineStr">
        <is>
          <t>Priyanka Jadhav</t>
        </is>
      </c>
      <c r="BE46" s="53" t="inlineStr">
        <is>
          <t>Priyanka Jadhav</t>
        </is>
      </c>
      <c r="BF46" s="53" t="inlineStr">
        <is>
          <t>No</t>
        </is>
      </c>
      <c r="BG46" s="53" t="inlineStr">
        <is>
          <t>Senior Financial Analyst</t>
        </is>
      </c>
      <c r="BH46" s="53" t="inlineStr">
        <is>
          <t>Senior Services Specialist</t>
        </is>
      </c>
      <c r="BI46" s="53" t="inlineStr">
        <is>
          <t>Yes</t>
        </is>
      </c>
      <c r="BJ46" s="53" t="inlineStr">
        <is>
          <t>—</t>
        </is>
      </c>
      <c r="BK46" s="53" t="inlineStr">
        <is>
          <t>—</t>
        </is>
      </c>
      <c r="BL46" s="53" t="inlineStr">
        <is>
          <t>—</t>
        </is>
      </c>
      <c r="BM46" s="53" t="inlineStr">
        <is>
          <t>Not a manager</t>
        </is>
      </c>
      <c r="BN46" s="53" t="inlineStr">
        <is>
          <t>—</t>
        </is>
      </c>
      <c r="BO46" s="53" t="inlineStr">
        <is>
          <t>—</t>
        </is>
      </c>
      <c r="BP46" s="53" t="inlineStr">
        <is>
          <t>—</t>
        </is>
      </c>
      <c r="BQ46" s="53" t="inlineStr">
        <is>
          <t>Not a manager</t>
        </is>
      </c>
      <c r="BR46" s="53" t="inlineStr">
        <is>
          <t>—</t>
        </is>
      </c>
      <c r="BS46" s="53" t="inlineStr">
        <is>
          <t>L4 – Senior</t>
        </is>
      </c>
      <c r="BT46" s="53" t="inlineStr">
        <is>
          <t>L4 – Senior</t>
        </is>
      </c>
      <c r="BU46" s="53" t="inlineStr">
        <is>
          <t>Designation refined from Raw tab Comments column · this update</t>
        </is>
      </c>
      <c r="BV4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6" s="53" t="n"/>
      <c r="BX46" s="53" t="inlineStr">
        <is>
          <t>Europe - ESEF; UK - HMRC; Netherland - KVK.</t>
        </is>
      </c>
      <c r="BY46" s="53" t="n"/>
      <c r="BZ46" s="53" t="inlineStr">
        <is>
          <t>IRIS0819</t>
        </is>
      </c>
      <c r="CA46" s="53" t="inlineStr">
        <is>
          <t>Employee</t>
        </is>
      </c>
      <c r="CB46" s="53" t="inlineStr">
        <is>
          <t>Active</t>
        </is>
      </c>
      <c r="CC46" s="53" t="inlineStr">
        <is>
          <t>Vikram Bangera</t>
        </is>
      </c>
      <c r="CD46" s="54" t="n">
        <v>40771</v>
      </c>
      <c r="CE46" s="53" t="inlineStr">
        <is>
          <t>Senior Financial Analyst</t>
        </is>
      </c>
      <c r="CF46" s="53" t="n"/>
      <c r="CG46" s="53" t="inlineStr">
        <is>
          <t>Professional Services</t>
        </is>
      </c>
      <c r="CH46" s="53" t="inlineStr">
        <is>
          <t>XBRL / Regulatory Reporting</t>
        </is>
      </c>
      <c r="CI46" s="53" t="inlineStr">
        <is>
          <t>Senior Financial Analyst</t>
        </is>
      </c>
      <c r="CJ46" s="53" t="inlineStr">
        <is>
          <t>L4 – Senior</t>
        </is>
      </c>
      <c r="CK46" s="53" t="inlineStr">
        <is>
          <t>Priyanka Jadhav</t>
        </is>
      </c>
      <c r="CL46" s="53" t="inlineStr">
        <is>
          <t>N-7</t>
        </is>
      </c>
      <c r="CM46" s="53" t="inlineStr">
        <is>
          <t>Individual Contributor</t>
        </is>
      </c>
      <c r="CN46" s="53" t="inlineStr">
        <is>
          <t>Regtech</t>
        </is>
      </c>
      <c r="CO46" s="53" t="inlineStr">
        <is>
          <t>Services</t>
        </is>
      </c>
      <c r="CP46" s="53" t="inlineStr">
        <is>
          <t>15 years, 4 months, 4 days</t>
        </is>
      </c>
      <c r="CQ46" s="53" t="inlineStr">
        <is>
          <t>Senior Services Specialst</t>
        </is>
      </c>
      <c r="CR46" s="53" t="n"/>
      <c r="CS46" s="53" t="n">
        <v>3</v>
      </c>
      <c r="CT46" s="53" t="inlineStr">
        <is>
          <t>High</t>
        </is>
      </c>
      <c r="CU46" s="53" t="inlineStr">
        <is>
          <t>Core Contributor</t>
        </is>
      </c>
      <c r="CV46" s="53" t="inlineStr">
        <is>
          <t>Yes</t>
        </is>
      </c>
      <c r="CW46" s="53" t="inlineStr">
        <is>
          <t>No</t>
        </is>
      </c>
      <c r="CX46" s="53" t="inlineStr">
        <is>
          <t>Yes</t>
        </is>
      </c>
      <c r="CY46" s="53" t="n"/>
      <c r="CZ46" s="53" t="n"/>
      <c r="DA46" s="53" t="n"/>
      <c r="DB46" s="53" t="inlineStr">
        <is>
          <t>Title to be standardized to: Senior Services Specialist</t>
        </is>
      </c>
      <c r="DC46" s="53" t="n"/>
      <c r="DD46" s="53" t="n"/>
      <c r="DE46" s="53" t="n"/>
      <c r="DF46" s="53" t="n"/>
      <c r="DG46" s="53" t="n"/>
      <c r="DH46" s="53" t="n"/>
      <c r="DI46" s="53" t="n"/>
      <c r="DJ46" s="53" t="n"/>
      <c r="DK46" s="53" t="n"/>
      <c r="DL46" s="53" t="n"/>
      <c r="DM46" s="53" t="n"/>
      <c r="DN46" s="53" t="n"/>
      <c r="DO46" s="53" t="n"/>
      <c r="DP46" s="53" t="n"/>
      <c r="DQ46" s="53" t="n"/>
      <c r="DR46" s="53" t="n"/>
      <c r="DS46" s="53" t="n"/>
      <c r="DT46" s="53" t="n"/>
      <c r="DU46" s="53" t="n"/>
      <c r="DV46" s="53" t="n"/>
      <c r="DW46" s="53" t="n"/>
      <c r="DX46" s="53" t="n"/>
      <c r="DY46" s="53" t="n"/>
      <c r="DZ46" s="53" t="n"/>
      <c r="EA46" s="53" t="n"/>
      <c r="EB46" s="53" t="n"/>
      <c r="EC46" s="53" t="n"/>
      <c r="ED46" s="53" t="n"/>
      <c r="EE46" s="53" t="n"/>
      <c r="EF46" s="53" t="n"/>
      <c r="EG46" s="53" t="n"/>
      <c r="EH46" s="53" t="n"/>
      <c r="EI46" s="53" t="n"/>
      <c r="EJ46" s="53" t="n"/>
      <c r="EK46" s="53" t="n"/>
      <c r="EL46" s="53" t="n"/>
      <c r="EM46" s="53" t="n"/>
      <c r="EN46" s="53" t="n"/>
      <c r="EO46" s="53" t="n"/>
      <c r="EP46" s="53" t="n"/>
      <c r="EQ46" s="53" t="n"/>
      <c r="ER46" s="53" t="n"/>
      <c r="ES46" s="53" t="n"/>
      <c r="ET46" s="53" t="n"/>
      <c r="EU46" s="53" t="n"/>
      <c r="EV46" s="53" t="n"/>
      <c r="EW46" s="52" t="inlineStr">
        <is>
          <t>Also works on the EU-DM · EU Disclosure Management project — not currently reflected in product/role mapping.</t>
        </is>
      </c>
      <c r="EX46" s="53" t="inlineStr">
        <is>
          <t>• Role / sub-team: Tagging Analyst, Disclosure management.</t>
        </is>
      </c>
      <c r="EY46" s="53" t="inlineStr">
        <is>
          <t>• Key responsibilities include: DM file process, Tagging, Mail Monitoring, Testing Activity.
• Reported deliverables and outcomes include: DM file or Xbrl file to Customer Engagement team.</t>
        </is>
      </c>
      <c r="EZ46" s="53" t="inlineStr">
        <is>
          <t>• Current capabilities: Team Work; Tools / software used: Both.</t>
        </is>
      </c>
      <c r="FA46" s="53" t="inlineStr">
        <is>
          <t>• Development priorities: No input received.
• Learning and Development Need: Time Management skills.</t>
        </is>
      </c>
      <c r="FB46" s="53" t="inlineStr">
        <is>
          <t>• Key challenges: Remote desktop applicatio.
• Support required: No input received.</t>
        </is>
      </c>
      <c r="FC46" s="53" t="n"/>
      <c r="FD46" s="53" t="n"/>
      <c r="FE4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6" s="56" t="n"/>
      <c r="FG46" s="56" t="n"/>
      <c r="FH46" s="56" t="n"/>
      <c r="FI46" s="56" t="n"/>
      <c r="FJ46" s="56" t="inlineStr">
        <is>
          <t>Received · manager annual</t>
        </is>
      </c>
      <c r="FK46" s="56" t="inlineStr">
        <is>
          <t>CARBON Mapping Master</t>
        </is>
      </c>
      <c r="FL46" s="56" t="n">
        <v>18</v>
      </c>
      <c r="FM46" s="56" t="inlineStr">
        <is>
          <t>• Role / sub-team: Tagging Analyst, Disclosure management.</t>
        </is>
      </c>
      <c r="FN46" s="56" t="inlineStr">
        <is>
          <t>• Key responsibilities include: DM file process, Tagging, Mail Monitoring, Testing Activity.
• Reported deliverables and outcomes include: DM file or Xbrl file to Customer Engagement team.</t>
        </is>
      </c>
      <c r="FO46" s="56" t="inlineStr">
        <is>
          <t>• Current capabilities: Team Work; Tools / software used: Both.</t>
        </is>
      </c>
      <c r="FP46" s="56" t="inlineStr">
        <is>
          <t>• Development priorities: No input received.
• Learning and Development Need: Time Management skills.</t>
        </is>
      </c>
      <c r="FQ46" s="56" t="inlineStr">
        <is>
          <t>• Key challenges: Remote desktop applicatio.
• Support required: No input received.</t>
        </is>
      </c>
      <c r="FR46" s="56" t="inlineStr">
        <is>
          <t>Complexity: Evidence reads like A3: DM report processing, XBRL tagging and analysis, validation, testing; shift-lead duty named → matches the start
Autonomy: Evidence reads like A3: Resolves routine tagging/disclosure issues, makes corrections, prioritises testing; raises other issues → matches the start
Accountability: Evidence reads like A2: Accuracy of own tagging, disclosure updates and testing results; output to Customer Engagement team → moved down 0.5
Leadership: Evidence reads like A3: Lists shift-lead responsibility without detail; no formal reports → moved up 0.5
Business Impact: Moved +0.5: the survey / manager mapping marks it business-critical.</t>
        </is>
      </c>
      <c r="FS4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6" s="56" t="inlineStr">
        <is>
          <t>Self-identified: Client, sales &amp; stakeholders · Communication &amp; presentation
For the next role: Client, sales &amp; stakeholders · Communication &amp; presentation</t>
        </is>
      </c>
      <c r="FU46" s="56" t="inlineStr">
        <is>
          <t>Per-person summary · CARBON Mapping Master</t>
        </is>
      </c>
    </row>
    <row r="47" ht="90" customHeight="1">
      <c r="A47" s="51" t="inlineStr">
        <is>
          <t>◂ Back</t>
        </is>
      </c>
      <c r="B47" s="29" t="inlineStr">
        <is>
          <t>Mapped</t>
        </is>
      </c>
      <c r="C47" s="28" t="inlineStr">
        <is>
          <t>CARBON</t>
        </is>
      </c>
      <c r="D47" s="29" t="inlineStr">
        <is>
          <t>IRIS0506</t>
        </is>
      </c>
      <c r="E47" s="29" t="inlineStr">
        <is>
          <t>Shailesh Kumar Sharma</t>
        </is>
      </c>
      <c r="F47" s="29" t="inlineStr">
        <is>
          <t>Services</t>
        </is>
      </c>
      <c r="G47" s="29" t="inlineStr">
        <is>
          <t>Process Manager</t>
        </is>
      </c>
      <c r="H47" s="29" t="inlineStr">
        <is>
          <t>Senior Manager – Service Delivery</t>
        </is>
      </c>
      <c r="I47" s="29" t="inlineStr">
        <is>
          <t>L5 – Manager</t>
        </is>
      </c>
      <c r="J47" s="29" t="inlineStr">
        <is>
          <t>B2</t>
        </is>
      </c>
      <c r="K47" s="29" t="inlineStr">
        <is>
          <t>▲ Up</t>
        </is>
      </c>
      <c r="L47" s="29" t="inlineStr">
        <is>
          <t>Consulting &amp; Professional Services</t>
        </is>
      </c>
      <c r="M47" s="29" t="inlineStr">
        <is>
          <t>Service Delivery Operations</t>
        </is>
      </c>
      <c r="N47" s="29" t="n"/>
      <c r="O47" s="29" t="n">
        <v>20</v>
      </c>
      <c r="P47" s="28" t="inlineStr">
        <is>
          <t>P4 / M3</t>
        </is>
      </c>
      <c r="Q47" s="29" t="inlineStr">
        <is>
          <t>Senior / Manager</t>
        </is>
      </c>
      <c r="R47" s="29" t="inlineStr">
        <is>
          <t>4–5</t>
        </is>
      </c>
      <c r="S47" s="29" t="inlineStr">
        <is>
          <t>6–9 yrs</t>
        </is>
      </c>
      <c r="T47" s="29" t="inlineStr">
        <is>
          <t>7–10 · 6–11</t>
        </is>
      </c>
      <c r="U47" s="29" t="inlineStr">
        <is>
          <t>Senior Manager</t>
        </is>
      </c>
      <c r="V47" s="29" t="inlineStr">
        <is>
          <t>Big Four: Manager · IRIS Vs Market Benchmark — XBRL US credential pathway: Certificate + review authority</t>
        </is>
      </c>
      <c r="W47" s="29" t="inlineStr">
        <is>
          <t>XBRL US GAAP Certificate · AICPA &amp; XBRL US; XBRL International specifications; IFRS / US GAAP / Ind AS</t>
        </is>
      </c>
      <c r="X47" s="29" t="inlineStr">
        <is>
          <t>Core 3 · Future 3 · Functional 4 · Leadership 3</t>
        </is>
      </c>
      <c r="Y47" s="52" t="n">
        <v>66</v>
      </c>
      <c r="Z47" s="53" t="inlineStr">
        <is>
          <t>IRIS0506</t>
        </is>
      </c>
      <c r="AA47" s="53" t="inlineStr">
        <is>
          <t>Employee</t>
        </is>
      </c>
      <c r="AB47" s="53" t="inlineStr">
        <is>
          <t>Active</t>
        </is>
      </c>
      <c r="AC47" s="53" t="inlineStr">
        <is>
          <t>Shailesh Kumar Sharma</t>
        </is>
      </c>
      <c r="AD47" s="54" t="n">
        <v>40553</v>
      </c>
      <c r="AE47" s="53" t="inlineStr">
        <is>
          <t>Process Manager</t>
        </is>
      </c>
      <c r="AF47" s="53" t="inlineStr">
        <is>
          <t>B.Com</t>
        </is>
      </c>
      <c r="AG47" s="53" t="inlineStr">
        <is>
          <t>Shashikant Mudaliar</t>
        </is>
      </c>
      <c r="AH47" s="53" t="inlineStr">
        <is>
          <t>N-6</t>
        </is>
      </c>
      <c r="AI47" s="53" t="inlineStr">
        <is>
          <t>Manager</t>
        </is>
      </c>
      <c r="AJ47" s="53" t="inlineStr">
        <is>
          <t>0 years, 4 months, 0 days</t>
        </is>
      </c>
      <c r="AK47" s="53" t="inlineStr">
        <is>
          <t>15 years, 7 months, 15 days</t>
        </is>
      </c>
      <c r="AL47" s="53" t="inlineStr">
        <is>
          <t>Regtech</t>
        </is>
      </c>
      <c r="AM47" s="53" t="inlineStr">
        <is>
          <t>CARBON</t>
        </is>
      </c>
      <c r="AN47" s="53" t="inlineStr">
        <is>
          <t>Services</t>
        </is>
      </c>
      <c r="AO47" s="53" t="inlineStr">
        <is>
          <t>Expert Assisted services</t>
        </is>
      </c>
      <c r="AP47" s="53" t="inlineStr">
        <is>
          <t>No</t>
        </is>
      </c>
      <c r="AQ47" s="53" t="inlineStr">
        <is>
          <t>Professional Services</t>
        </is>
      </c>
      <c r="AR47" s="53" t="inlineStr">
        <is>
          <t>XBRL Domain</t>
        </is>
      </c>
      <c r="AS47" s="53" t="inlineStr">
        <is>
          <t>Non-technical</t>
        </is>
      </c>
      <c r="AT47" s="53" t="n">
        <v>20</v>
      </c>
      <c r="AU47" s="53" t="inlineStr">
        <is>
          <t>Covered</t>
        </is>
      </c>
      <c r="AV47" s="53" t="inlineStr">
        <is>
          <t>IRIS0506</t>
        </is>
      </c>
      <c r="AW47" s="53" t="inlineStr">
        <is>
          <t>Shailesh Kumar Sharma</t>
        </is>
      </c>
      <c r="AX47" s="53" t="inlineStr">
        <is>
          <t>Services</t>
        </is>
      </c>
      <c r="AY47" s="53" t="inlineStr">
        <is>
          <t>Professional Services</t>
        </is>
      </c>
      <c r="AZ47" s="53" t="inlineStr">
        <is>
          <t>XBRL / Regulatory Reporting</t>
        </is>
      </c>
      <c r="BA47" s="53" t="n"/>
      <c r="BB47" s="53" t="n"/>
      <c r="BC47" s="53" t="inlineStr">
        <is>
          <t>Employee</t>
        </is>
      </c>
      <c r="BD47" s="53" t="inlineStr">
        <is>
          <t>Shashikant Mudaliar</t>
        </is>
      </c>
      <c r="BE47" s="53" t="inlineStr">
        <is>
          <t>Shashikant Mudaliar</t>
        </is>
      </c>
      <c r="BF47" s="53" t="inlineStr">
        <is>
          <t>No</t>
        </is>
      </c>
      <c r="BG47" s="53" t="inlineStr">
        <is>
          <t>Process Manager</t>
        </is>
      </c>
      <c r="BH47" s="53" t="inlineStr">
        <is>
          <t>Manager Services</t>
        </is>
      </c>
      <c r="BI47" s="53" t="inlineStr">
        <is>
          <t>Yes</t>
        </is>
      </c>
      <c r="BJ47" s="53" t="n">
        <v>5</v>
      </c>
      <c r="BK47" s="53" t="n">
        <v>5</v>
      </c>
      <c r="BL47" s="53" t="n">
        <v>0</v>
      </c>
      <c r="BM47" s="53" t="inlineStr">
        <is>
          <t>Healthy</t>
        </is>
      </c>
      <c r="BN47" s="53" t="n">
        <v>5</v>
      </c>
      <c r="BO47" s="53" t="n">
        <v>5</v>
      </c>
      <c r="BP47" s="53" t="n">
        <v>0</v>
      </c>
      <c r="BQ47" s="53" t="inlineStr">
        <is>
          <t>Healthy</t>
        </is>
      </c>
      <c r="BR47" s="53" t="inlineStr">
        <is>
          <t>No</t>
        </is>
      </c>
      <c r="BS47" s="53" t="inlineStr">
        <is>
          <t>L5 – Manager</t>
        </is>
      </c>
      <c r="BT47" s="53" t="inlineStr">
        <is>
          <t>L4</t>
        </is>
      </c>
      <c r="BU47" s="53" t="inlineStr">
        <is>
          <t>Matched from Title Hierarchy · new designation</t>
        </is>
      </c>
      <c r="BV47"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47" s="53" t="inlineStr">
        <is>
          <t>allocation of files,</t>
        </is>
      </c>
      <c r="BX47" s="53" t="inlineStr">
        <is>
          <t>UK - HMRC; Europe - ESEF.</t>
        </is>
      </c>
      <c r="BY47" s="53" t="n"/>
      <c r="BZ47" s="53" t="inlineStr">
        <is>
          <t>IRIS0506</t>
        </is>
      </c>
      <c r="CA47" s="53" t="inlineStr">
        <is>
          <t>Employee</t>
        </is>
      </c>
      <c r="CB47" s="53" t="inlineStr">
        <is>
          <t>Active</t>
        </is>
      </c>
      <c r="CC47" s="53" t="inlineStr">
        <is>
          <t>Shailesh Kumar Sharma</t>
        </is>
      </c>
      <c r="CD47" s="54" t="n">
        <v>40553</v>
      </c>
      <c r="CE47" s="53" t="inlineStr">
        <is>
          <t>Process Manager</t>
        </is>
      </c>
      <c r="CF47" s="53" t="n"/>
      <c r="CG47" s="53" t="inlineStr">
        <is>
          <t>Professional Services</t>
        </is>
      </c>
      <c r="CH47" s="53" t="inlineStr">
        <is>
          <t>XBRL / Regulatory Reporting</t>
        </is>
      </c>
      <c r="CI47" s="53" t="inlineStr">
        <is>
          <t>Process Manager</t>
        </is>
      </c>
      <c r="CJ47" s="53" t="inlineStr">
        <is>
          <t>L5 – Manager</t>
        </is>
      </c>
      <c r="CK47" s="53" t="inlineStr">
        <is>
          <t>Shashikant Mudaliar</t>
        </is>
      </c>
      <c r="CL47" s="53" t="inlineStr">
        <is>
          <t>N-6</t>
        </is>
      </c>
      <c r="CM47" s="53" t="inlineStr">
        <is>
          <t>Manager</t>
        </is>
      </c>
      <c r="CN47" s="53" t="inlineStr">
        <is>
          <t>Regtech</t>
        </is>
      </c>
      <c r="CO47" s="53" t="inlineStr">
        <is>
          <t>Services</t>
        </is>
      </c>
      <c r="CP47" s="53" t="inlineStr">
        <is>
          <t>15 years, 9 months, 10 days</t>
        </is>
      </c>
      <c r="CQ47" s="53" t="inlineStr">
        <is>
          <t>Manager Services</t>
        </is>
      </c>
      <c r="CR47" s="53" t="n"/>
      <c r="CS47" s="53" t="n">
        <v>3</v>
      </c>
      <c r="CT47" s="53" t="inlineStr">
        <is>
          <t>Medium</t>
        </is>
      </c>
      <c r="CU47" s="53" t="inlineStr">
        <is>
          <t>Core Contributor</t>
        </is>
      </c>
      <c r="CV47" s="53" t="inlineStr">
        <is>
          <t>No</t>
        </is>
      </c>
      <c r="CW47" s="53" t="inlineStr">
        <is>
          <t>No</t>
        </is>
      </c>
      <c r="CX47" s="53" t="inlineStr">
        <is>
          <t>Yes</t>
        </is>
      </c>
      <c r="CY47" s="53" t="n"/>
      <c r="CZ47" s="53" t="n"/>
      <c r="DA47" s="53" t="n"/>
      <c r="DB47" s="53" t="inlineStr">
        <is>
          <t>Title to be standardized to Manager Services</t>
        </is>
      </c>
      <c r="DC47" s="53" t="n"/>
      <c r="DD47" s="53" t="n"/>
      <c r="DE47" s="53" t="n"/>
      <c r="DF47" s="53" t="n"/>
      <c r="DG47" s="53" t="n"/>
      <c r="DH47" s="53" t="n"/>
      <c r="DI47" s="53" t="n"/>
      <c r="DJ47" s="53" t="n"/>
      <c r="DK47" s="53" t="n"/>
      <c r="DL47" s="53" t="n"/>
      <c r="DM47" s="53" t="n"/>
      <c r="DN47" s="53" t="n"/>
      <c r="DO47" s="53" t="n"/>
      <c r="DP47" s="53" t="n"/>
      <c r="DQ47" s="53" t="n"/>
      <c r="DR47" s="53" t="n"/>
      <c r="DS47" s="53" t="n"/>
      <c r="DT47" s="53" t="n"/>
      <c r="DU47" s="53" t="n"/>
      <c r="DV47" s="53" t="n"/>
      <c r="DW47" s="53" t="n"/>
      <c r="DX47" s="53" t="n"/>
      <c r="DY47" s="53" t="n"/>
      <c r="DZ47" s="53" t="n"/>
      <c r="EA47" s="53" t="n"/>
      <c r="EB47" s="53" t="n"/>
      <c r="EC47" s="53" t="n"/>
      <c r="ED47" s="53" t="n"/>
      <c r="EE47" s="53" t="n"/>
      <c r="EF47" s="53" t="n"/>
      <c r="EG47" s="53" t="n"/>
      <c r="EH47" s="53" t="n"/>
      <c r="EI47" s="53" t="n"/>
      <c r="EJ47" s="53" t="n"/>
      <c r="EK47" s="53" t="n"/>
      <c r="EL47" s="53" t="n"/>
      <c r="EM47" s="53" t="n"/>
      <c r="EN47" s="53" t="n"/>
      <c r="EO47" s="53" t="n"/>
      <c r="EP47" s="53" t="n"/>
      <c r="EQ47" s="53" t="n"/>
      <c r="ER47" s="53" t="n"/>
      <c r="ES47" s="53" t="n"/>
      <c r="ET47" s="53" t="n"/>
      <c r="EU47" s="53" t="n"/>
      <c r="EV47" s="53" t="n"/>
      <c r="EW47" s="52" t="n"/>
      <c r="EX47" s="53" t="inlineStr">
        <is>
          <t>• Role / sub-team: XBRL Service as Pmo.</t>
        </is>
      </c>
      <c r="EY47" s="53"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EZ47" s="53" t="inlineStr">
        <is>
          <t>• Current capabilities: Han; Time management; Tools / software used: Carbon.</t>
        </is>
      </c>
      <c r="FA47" s="53" t="inlineStr">
        <is>
          <t>• Development priorities: No input received.
• Learning and Development Need: Managing Multiple tasks.</t>
        </is>
      </c>
      <c r="FB47" s="53" t="inlineStr">
        <is>
          <t>• Key challenges: No input received.
• Support required: No input received.</t>
        </is>
      </c>
      <c r="FC47" s="53" t="n"/>
      <c r="FD47" s="53" t="n"/>
      <c r="FE47"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47" s="56" t="n"/>
      <c r="FG47" s="56" t="n"/>
      <c r="FH47" s="56" t="n"/>
      <c r="FI47" s="56" t="n"/>
      <c r="FJ47" s="56" t="inlineStr">
        <is>
          <t>Received · manager annual</t>
        </is>
      </c>
      <c r="FK47" s="56" t="inlineStr">
        <is>
          <t>CARBON Mapping Master</t>
        </is>
      </c>
      <c r="FL47" s="56" t="n">
        <v>20</v>
      </c>
      <c r="FM47" s="56" t="inlineStr">
        <is>
          <t>• Role / sub-team: XBRL Service as Pmo.</t>
        </is>
      </c>
      <c r="FN47" s="56"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FO47" s="56" t="inlineStr">
        <is>
          <t>• Current capabilities: Han; Time management; Tools / software used: Carbon.</t>
        </is>
      </c>
      <c r="FP47" s="56" t="inlineStr">
        <is>
          <t>• Development priorities: No input received.
• Learning and Development Need: Managing Multiple tasks.</t>
        </is>
      </c>
      <c r="FQ47" s="56" t="inlineStr">
        <is>
          <t>• Key challenges: No input received.
• Support required: No input received.</t>
        </is>
      </c>
      <c r="FR47" s="56" t="inlineStr">
        <is>
          <t>Complexity: Evidence reads like A3: PMO coordination: tracks project status, handles amendments, client coordination, billing; no technical problem-solving described → moved down 1
Autonomy: Evidence reads like B2: Allocates team work, tracks projects and coordinates delivery with clients independently → matches the start
Accountability: Evidence reads like B2: own survey / KRA answers · summarised by the rater; not quoted → moved down 0.5
Leadership: Evidence reads like B1: Five direct reports; team management and work monitoring → moved down 1
Business Impact: Moved +0.5: the survey / manager mapping marks it business-critical.</t>
        </is>
      </c>
      <c r="FS47"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47" s="56" t="inlineStr">
        <is>
          <t>Self-identified: Leadership &amp; people management · Project / programme management · Client, sales &amp; stakeholders · Broader exposure &amp; ownership
For the next role: Leadership &amp; people management · Project / programme management · Client, sales &amp; stakeholders · Broader exposure &amp; ownership</t>
        </is>
      </c>
      <c r="FU47" s="56" t="inlineStr">
        <is>
          <t>Per-person summary · CARBON Mapping Master</t>
        </is>
      </c>
    </row>
    <row r="48" ht="90" customHeight="1">
      <c r="A48" s="51" t="inlineStr">
        <is>
          <t>◂ Back</t>
        </is>
      </c>
      <c r="B48" s="29" t="inlineStr">
        <is>
          <t>Mapped</t>
        </is>
      </c>
      <c r="C48" s="28" t="inlineStr">
        <is>
          <t>CARBON</t>
        </is>
      </c>
      <c r="D48" s="29" t="inlineStr">
        <is>
          <t>IRIS0530</t>
        </is>
      </c>
      <c r="E48" s="29" t="inlineStr">
        <is>
          <t>Vipul Kurhade</t>
        </is>
      </c>
      <c r="F48" s="29" t="inlineStr">
        <is>
          <t>Services</t>
        </is>
      </c>
      <c r="G48" s="29" t="inlineStr">
        <is>
          <t>Senior Financial Analyst</t>
        </is>
      </c>
      <c r="H48" s="29" t="inlineStr">
        <is>
          <t>Team Lead – Assisted Services</t>
        </is>
      </c>
      <c r="I48" s="29" t="inlineStr">
        <is>
          <t>L4 – Senior</t>
        </is>
      </c>
      <c r="J48" s="29" t="inlineStr">
        <is>
          <t>B1</t>
        </is>
      </c>
      <c r="K48" s="29" t="inlineStr">
        <is>
          <t>▲ Up</t>
        </is>
      </c>
      <c r="L48" s="29" t="inlineStr">
        <is>
          <t>Consulting &amp; Professional Services</t>
        </is>
      </c>
      <c r="M48" s="29" t="inlineStr">
        <is>
          <t>XBRL Tagging, Conversion &amp; Filing</t>
        </is>
      </c>
      <c r="N48" s="29" t="n"/>
      <c r="O48" s="29" t="n">
        <v>20</v>
      </c>
      <c r="P48" s="28" t="inlineStr">
        <is>
          <t>P3 / M2</t>
        </is>
      </c>
      <c r="Q48" s="29" t="inlineStr">
        <is>
          <t>Career / · Team Lead</t>
        </is>
      </c>
      <c r="R48" s="29" t="inlineStr">
        <is>
          <t>4 Enable</t>
        </is>
      </c>
      <c r="S48" s="29" t="inlineStr">
        <is>
          <t>4–7 yrs</t>
        </is>
      </c>
      <c r="T48" s="29" t="inlineStr">
        <is>
          <t>5–8 · 4–8</t>
        </is>
      </c>
      <c r="U48" s="29" t="inlineStr">
        <is>
          <t>Team Lead / Assistant Manager</t>
        </is>
      </c>
      <c r="V48" s="29" t="inlineStr">
        <is>
          <t>Big Four: Senior Consultant · IRIS Vs Market Benchmark — XBRL US credential pathway: Certificate + specialist taxonomy</t>
        </is>
      </c>
      <c r="W48" s="29" t="inlineStr">
        <is>
          <t>XBRL US GAAP Certificate · AICPA &amp; XBRL US; XBRL International specifications; IFRS / US GAAP / Ind AS</t>
        </is>
      </c>
      <c r="X48" s="29" t="inlineStr">
        <is>
          <t>Core 3 · Future 3 · Functional 3 · Leadership 2</t>
        </is>
      </c>
      <c r="Y48" s="52" t="n">
        <v>70</v>
      </c>
      <c r="Z48" s="53" t="inlineStr">
        <is>
          <t>IRIS0530</t>
        </is>
      </c>
      <c r="AA48" s="53" t="inlineStr">
        <is>
          <t>Employee</t>
        </is>
      </c>
      <c r="AB48" s="53" t="inlineStr">
        <is>
          <t>Active</t>
        </is>
      </c>
      <c r="AC48" s="53" t="inlineStr">
        <is>
          <t>Vipul Kurhade</t>
        </is>
      </c>
      <c r="AD48" s="54" t="n">
        <v>40575</v>
      </c>
      <c r="AE48" s="53" t="inlineStr">
        <is>
          <t>Senior Financial Analyst</t>
        </is>
      </c>
      <c r="AF48" s="53" t="inlineStr">
        <is>
          <t>B.Com</t>
        </is>
      </c>
      <c r="AG48" s="53" t="inlineStr">
        <is>
          <t>Shailesh Kumar Sharma</t>
        </is>
      </c>
      <c r="AH48" s="53" t="inlineStr">
        <is>
          <t>N-7</t>
        </is>
      </c>
      <c r="AI48" s="53" t="inlineStr">
        <is>
          <t>Manager</t>
        </is>
      </c>
      <c r="AJ48" s="53" t="inlineStr">
        <is>
          <t>1 years, 0 months, 0 days</t>
        </is>
      </c>
      <c r="AK48" s="53" t="inlineStr">
        <is>
          <t>15 years, 6 months, 24 days</t>
        </is>
      </c>
      <c r="AL48" s="53" t="inlineStr">
        <is>
          <t>Regtech</t>
        </is>
      </c>
      <c r="AM48" s="53" t="inlineStr">
        <is>
          <t>CARBON</t>
        </is>
      </c>
      <c r="AN48" s="53" t="inlineStr">
        <is>
          <t>Services</t>
        </is>
      </c>
      <c r="AO48" s="53" t="inlineStr">
        <is>
          <t>Expert Assisted services</t>
        </is>
      </c>
      <c r="AP48" s="53" t="inlineStr">
        <is>
          <t>No</t>
        </is>
      </c>
      <c r="AQ48" s="53" t="inlineStr">
        <is>
          <t>Professional Services</t>
        </is>
      </c>
      <c r="AR48" s="53" t="inlineStr">
        <is>
          <t>XBRL Domain</t>
        </is>
      </c>
      <c r="AS48" s="53" t="inlineStr">
        <is>
          <t>Non-technical</t>
        </is>
      </c>
      <c r="AT48" s="53" t="n">
        <v>20</v>
      </c>
      <c r="AU48" s="53" t="inlineStr">
        <is>
          <t>Covered</t>
        </is>
      </c>
      <c r="AV48" s="53" t="inlineStr">
        <is>
          <t>IRIS0530</t>
        </is>
      </c>
      <c r="AW48" s="53" t="inlineStr">
        <is>
          <t>Vipul Kurhade</t>
        </is>
      </c>
      <c r="AX48" s="53" t="inlineStr">
        <is>
          <t>Services</t>
        </is>
      </c>
      <c r="AY48" s="53" t="inlineStr">
        <is>
          <t>Professional Services</t>
        </is>
      </c>
      <c r="AZ48" s="53" t="inlineStr">
        <is>
          <t>XBRL / Regulatory Reporting</t>
        </is>
      </c>
      <c r="BA48" s="53" t="n"/>
      <c r="BB48" s="53" t="n"/>
      <c r="BC48" s="53" t="inlineStr">
        <is>
          <t>Employee</t>
        </is>
      </c>
      <c r="BD48" s="53" t="inlineStr">
        <is>
          <t>Shailesh Kumar Sharma</t>
        </is>
      </c>
      <c r="BE48" s="53" t="inlineStr">
        <is>
          <t>Shailesh Kumar Sharma</t>
        </is>
      </c>
      <c r="BF48" s="53" t="inlineStr">
        <is>
          <t>No</t>
        </is>
      </c>
      <c r="BG48" s="53" t="inlineStr">
        <is>
          <t>Senior Financial Analyst</t>
        </is>
      </c>
      <c r="BH48" s="53" t="inlineStr">
        <is>
          <t>Professional Service Lead</t>
        </is>
      </c>
      <c r="BI48" s="53" t="inlineStr">
        <is>
          <t>Yes</t>
        </is>
      </c>
      <c r="BJ48" s="53" t="n">
        <v>4</v>
      </c>
      <c r="BK48" s="53" t="n">
        <v>4</v>
      </c>
      <c r="BL48" s="53" t="n">
        <v>0</v>
      </c>
      <c r="BM48" s="53" t="inlineStr">
        <is>
          <t>Review</t>
        </is>
      </c>
      <c r="BN48" s="53" t="n">
        <v>4</v>
      </c>
      <c r="BO48" s="53" t="n">
        <v>4</v>
      </c>
      <c r="BP48" s="53" t="n">
        <v>0</v>
      </c>
      <c r="BQ48" s="53" t="inlineStr">
        <is>
          <t>Review</t>
        </is>
      </c>
      <c r="BR48" s="53" t="inlineStr">
        <is>
          <t>No</t>
        </is>
      </c>
      <c r="BS48" s="53" t="inlineStr">
        <is>
          <t>L4 – Senior</t>
        </is>
      </c>
      <c r="BT48" s="53" t="inlineStr">
        <is>
          <t>L3</t>
        </is>
      </c>
      <c r="BU48" s="53" t="inlineStr">
        <is>
          <t>Matched from Title Hierarchy · new designation</t>
        </is>
      </c>
      <c r="BV4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8" s="53" t="n"/>
      <c r="BX48" s="53" t="inlineStr">
        <is>
          <t>No input received.</t>
        </is>
      </c>
      <c r="BY48" s="53" t="n"/>
      <c r="BZ48" s="53" t="inlineStr">
        <is>
          <t>IRIS0530</t>
        </is>
      </c>
      <c r="CA48" s="53" t="inlineStr">
        <is>
          <t>Employee</t>
        </is>
      </c>
      <c r="CB48" s="53" t="inlineStr">
        <is>
          <t>Active</t>
        </is>
      </c>
      <c r="CC48" s="53" t="inlineStr">
        <is>
          <t>Vipul Kurhade</t>
        </is>
      </c>
      <c r="CD48" s="54" t="n">
        <v>40575</v>
      </c>
      <c r="CE48" s="53" t="inlineStr">
        <is>
          <t>Senior Financial Analyst</t>
        </is>
      </c>
      <c r="CF48" s="53" t="n"/>
      <c r="CG48" s="53" t="inlineStr">
        <is>
          <t>Professional Services</t>
        </is>
      </c>
      <c r="CH48" s="53" t="inlineStr">
        <is>
          <t>XBRL / Regulatory Reporting</t>
        </is>
      </c>
      <c r="CI48" s="53" t="inlineStr">
        <is>
          <t>Senior Financial Analyst</t>
        </is>
      </c>
      <c r="CJ48" s="53" t="inlineStr">
        <is>
          <t>L4 – Senior</t>
        </is>
      </c>
      <c r="CK48" s="53" t="inlineStr">
        <is>
          <t>Shailesh Kumar Sharma</t>
        </is>
      </c>
      <c r="CL48" s="53" t="inlineStr">
        <is>
          <t>N-7</t>
        </is>
      </c>
      <c r="CM48" s="53" t="inlineStr">
        <is>
          <t>Player Cum Coach</t>
        </is>
      </c>
      <c r="CN48" s="53" t="inlineStr">
        <is>
          <t>Regtech</t>
        </is>
      </c>
      <c r="CO48" s="53" t="inlineStr">
        <is>
          <t>Services</t>
        </is>
      </c>
      <c r="CP48" s="53" t="inlineStr">
        <is>
          <t>16 years, 4 months, 19 days</t>
        </is>
      </c>
      <c r="CQ48" s="53" t="inlineStr">
        <is>
          <t>Professional Service Lead</t>
        </is>
      </c>
      <c r="CR48" s="53" t="n"/>
      <c r="CS48" s="53" t="n">
        <v>4</v>
      </c>
      <c r="CT48" s="53" t="inlineStr">
        <is>
          <t>High</t>
        </is>
      </c>
      <c r="CU48" s="53" t="inlineStr">
        <is>
          <t>Core Contributor</t>
        </is>
      </c>
      <c r="CV48" s="53" t="inlineStr">
        <is>
          <t>Yes</t>
        </is>
      </c>
      <c r="CW48" s="53" t="inlineStr">
        <is>
          <t>No</t>
        </is>
      </c>
      <c r="CX48" s="53" t="inlineStr">
        <is>
          <t>Yes</t>
        </is>
      </c>
      <c r="CY48" s="53" t="n"/>
      <c r="CZ48" s="53" t="n"/>
      <c r="DA48" s="53" t="n"/>
      <c r="DB48" s="53" t="inlineStr">
        <is>
          <t>Title to be standardized: Professional Services Lead</t>
        </is>
      </c>
      <c r="DC48" s="53" t="n"/>
      <c r="DD48" s="53" t="n"/>
      <c r="DE48" s="53" t="n"/>
      <c r="DF48" s="53" t="n"/>
      <c r="DG48" s="53" t="n"/>
      <c r="DH48" s="53" t="n"/>
      <c r="DI48" s="53" t="n"/>
      <c r="DJ48" s="53" t="n"/>
      <c r="DK48" s="53" t="n"/>
      <c r="DL48" s="53" t="n"/>
      <c r="DM48" s="53" t="n"/>
      <c r="DN48" s="53" t="n"/>
      <c r="DO48" s="53" t="n"/>
      <c r="DP48" s="53" t="n"/>
      <c r="DQ48" s="53" t="n"/>
      <c r="DR48" s="53" t="n"/>
      <c r="DS48" s="53" t="n"/>
      <c r="DT48" s="53" t="n"/>
      <c r="DU48" s="53" t="n"/>
      <c r="DV48" s="53" t="n"/>
      <c r="DW48" s="53" t="n"/>
      <c r="DX48" s="53" t="n"/>
      <c r="DY48" s="53" t="n"/>
      <c r="DZ48" s="53" t="n"/>
      <c r="EA48" s="53" t="n"/>
      <c r="EB48" s="53" t="n"/>
      <c r="EC48" s="53" t="n"/>
      <c r="ED48" s="53" t="n"/>
      <c r="EE48" s="53" t="n"/>
      <c r="EF48" s="53" t="n"/>
      <c r="EG48" s="53" t="n"/>
      <c r="EH48" s="53" t="n"/>
      <c r="EI48" s="53" t="n"/>
      <c r="EJ48" s="53" t="n"/>
      <c r="EK48" s="53" t="n"/>
      <c r="EL48" s="53" t="n"/>
      <c r="EM48" s="53" t="n"/>
      <c r="EN48" s="53" t="n"/>
      <c r="EO48" s="53" t="n"/>
      <c r="EP48" s="53" t="n"/>
      <c r="EQ48" s="53" t="n"/>
      <c r="ER48" s="53" t="n"/>
      <c r="ES48" s="53" t="n"/>
      <c r="ET48" s="53" t="n"/>
      <c r="EU48" s="53" t="n"/>
      <c r="EV48" s="53" t="n"/>
      <c r="EW48" s="52" t="n"/>
      <c r="EX48" s="53" t="inlineStr">
        <is>
          <t>• Role / sub-team: Team Lead / PMO - UK conversion team · role inferred from description.</t>
        </is>
      </c>
      <c r="EY48" s="53"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EZ48" s="53" t="inlineStr">
        <is>
          <t>• Current capabilities: Input not given by Participant; Tools / software used: Carbon.</t>
        </is>
      </c>
      <c r="FA48" s="53" t="inlineStr">
        <is>
          <t>• Development priorities: No input received.
• Learning and Development Need: No input received.</t>
        </is>
      </c>
      <c r="FB48" s="53" t="inlineStr">
        <is>
          <t>• Key challenges: No input received.
• Support required: No input received.</t>
        </is>
      </c>
      <c r="FC48" s="53" t="n"/>
      <c r="FD48" s="53" t="n"/>
      <c r="FE4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8" s="56" t="n"/>
      <c r="FG48" s="56" t="n"/>
      <c r="FH48" s="56" t="n"/>
      <c r="FI48" s="56" t="n"/>
      <c r="FJ48" s="56" t="inlineStr">
        <is>
          <t>Received · manager annual</t>
        </is>
      </c>
      <c r="FK48" s="56" t="inlineStr">
        <is>
          <t>CARBON Mapping Master</t>
        </is>
      </c>
      <c r="FL48" s="56" t="n">
        <v>20</v>
      </c>
      <c r="FM48" s="56" t="inlineStr">
        <is>
          <t>• Role / sub-team: Team Lead / PMO - UK conversion team · role inferred from description.</t>
        </is>
      </c>
      <c r="FN48" s="56"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FO48" s="56" t="inlineStr">
        <is>
          <t>• Current capabilities: Input not given by Participant; Tools / software used: Carbon.</t>
        </is>
      </c>
      <c r="FP48" s="56" t="inlineStr">
        <is>
          <t>• Development priorities: No input received.
• Learning and Development Need: No input received.</t>
        </is>
      </c>
      <c r="FQ48" s="56" t="inlineStr">
        <is>
          <t>• Key challenges: No input received.
• Support required: No input received.</t>
        </is>
      </c>
      <c r="FR48" s="56" t="inlineStr">
        <is>
          <t>Complexity: Evidence reads like A3: Quality-checks UK iXBRL files, finds tagging errors and suggests corrections; also tracks team deliverables → matches the start
Autonomy: Evidence reads like A2: Performs QC, reports errors, suggests corrections and prioritises assigned files; no wider calls stated → moved down 0.5
Accountability: Evidence reads like A3: Accuracy of UK iXBRL QC and delivery deadlines; errors cause client reporting issues → moved down 0.5
Leadership: Evidence reads like A3: Monitors team members' status and upcoming deliverables; 'assists' coordination, four reports → moved down 0.5
Business Impact: Moved +0.5: the survey / manager mapping marks it business-critical.</t>
        </is>
      </c>
      <c r="FS48" s="56"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FT48" s="56" t="inlineStr">
        <is>
          <t>Self-identified: Leadership &amp; people management · Project / programme management · Client, sales &amp; stakeholders · Communication &amp; presentation · Broader exposure &amp; ownership
For the next role: Leadership &amp; people management · Project / programme management · Client, sales &amp; stakeholders · Communication &amp; presentation · Broader exposure &amp; ownership</t>
        </is>
      </c>
      <c r="FU48" s="56" t="inlineStr">
        <is>
          <t>Per-person summary · CARBON Mapping Master</t>
        </is>
      </c>
    </row>
    <row r="49" ht="90" customHeight="1">
      <c r="A49" s="51" t="inlineStr">
        <is>
          <t>◂ Back</t>
        </is>
      </c>
      <c r="B49" s="29" t="inlineStr">
        <is>
          <t>Mapped</t>
        </is>
      </c>
      <c r="C49" s="28" t="inlineStr">
        <is>
          <t>CARBON</t>
        </is>
      </c>
      <c r="D49" s="29" t="inlineStr">
        <is>
          <t>IRIS0415</t>
        </is>
      </c>
      <c r="E49" s="29" t="inlineStr">
        <is>
          <t>Amol Keskar</t>
        </is>
      </c>
      <c r="F49" s="29" t="inlineStr">
        <is>
          <t>Services</t>
        </is>
      </c>
      <c r="G49" s="29" t="inlineStr">
        <is>
          <t>Financial Analyst</t>
        </is>
      </c>
      <c r="H49" s="29" t="inlineStr">
        <is>
          <t>Senior Financial Analyst</t>
        </is>
      </c>
      <c r="I49" s="29" t="inlineStr">
        <is>
          <t>L3 – Professional / Associate</t>
        </is>
      </c>
      <c r="J49" s="29" t="inlineStr">
        <is>
          <t>A3</t>
        </is>
      </c>
      <c r="K49" s="29" t="inlineStr">
        <is>
          <t>▲ Up</t>
        </is>
      </c>
      <c r="L49" s="29" t="inlineStr">
        <is>
          <t>Consulting &amp; Professional Services</t>
        </is>
      </c>
      <c r="M49" s="29" t="inlineStr">
        <is>
          <t>XBRL Tagging, Conversion &amp; Filing</t>
        </is>
      </c>
      <c r="N49" s="29" t="n"/>
      <c r="O49" s="29" t="n">
        <v>19</v>
      </c>
      <c r="P49" s="28" t="inlineStr">
        <is>
          <t>P2</t>
        </is>
      </c>
      <c r="Q49" s="29" t="inlineStr">
        <is>
          <t>Developing</t>
        </is>
      </c>
      <c r="R49" s="29" t="inlineStr">
        <is>
          <t>3 Apply</t>
        </is>
      </c>
      <c r="S49" s="29" t="inlineStr">
        <is>
          <t>2–4 yrs</t>
        </is>
      </c>
      <c r="T49" s="29" t="inlineStr">
        <is>
          <t>3–5 · 2–5</t>
        </is>
      </c>
      <c r="U49" s="29" t="inlineStr">
        <is>
          <t>Senior Analyst / Associate</t>
        </is>
      </c>
      <c r="V49" s="29" t="inlineStr">
        <is>
          <t>DataTracks: Senior Associate · 2–5 yrs · Big Four: Consultant · IRIS Vs Market Benchmark — XBRL US credential pathway: XBRL US GAAP Certificate</t>
        </is>
      </c>
      <c r="W49" s="29" t="inlineStr">
        <is>
          <t>XBRL US GAAP Certificate · AICPA &amp; XBRL US; XBRL International specifications; IFRS / US GAAP / Ind AS</t>
        </is>
      </c>
      <c r="X49" s="29" t="inlineStr">
        <is>
          <t>Core 2 · Future 2 · Functional 3 · Leadership not scored</t>
        </is>
      </c>
      <c r="Y49" s="52" t="n">
        <v>60</v>
      </c>
      <c r="Z49" s="53" t="inlineStr">
        <is>
          <t>IRIS0415</t>
        </is>
      </c>
      <c r="AA49" s="53" t="inlineStr">
        <is>
          <t>Employee</t>
        </is>
      </c>
      <c r="AB49" s="53" t="inlineStr">
        <is>
          <t>Active</t>
        </is>
      </c>
      <c r="AC49" s="53" t="inlineStr">
        <is>
          <t>Amol Keskar</t>
        </is>
      </c>
      <c r="AD49" s="54" t="n">
        <v>40448</v>
      </c>
      <c r="AE49" s="53" t="inlineStr">
        <is>
          <t>Financial Analyst</t>
        </is>
      </c>
      <c r="AF49" s="53" t="inlineStr">
        <is>
          <t>B.Com</t>
        </is>
      </c>
      <c r="AG49" s="53" t="inlineStr">
        <is>
          <t>Vipul Kurhade</t>
        </is>
      </c>
      <c r="AH49" s="53" t="inlineStr">
        <is>
          <t>N-8</t>
        </is>
      </c>
      <c r="AI49" s="53" t="inlineStr">
        <is>
          <t>Individual Contributor</t>
        </is>
      </c>
      <c r="AJ49" s="53" t="inlineStr">
        <is>
          <t>0 years, 0 months, 0 days</t>
        </is>
      </c>
      <c r="AK49" s="53" t="inlineStr">
        <is>
          <t>15 years, 10 months, 29 days</t>
        </is>
      </c>
      <c r="AL49" s="53" t="inlineStr">
        <is>
          <t>Regtech</t>
        </is>
      </c>
      <c r="AM49" s="53" t="inlineStr">
        <is>
          <t>CARBON</t>
        </is>
      </c>
      <c r="AN49" s="53" t="inlineStr">
        <is>
          <t>Services</t>
        </is>
      </c>
      <c r="AO49" s="53" t="inlineStr">
        <is>
          <t>Expert Assisted services</t>
        </is>
      </c>
      <c r="AP49" s="53" t="inlineStr">
        <is>
          <t>No</t>
        </is>
      </c>
      <c r="AQ49" s="53" t="inlineStr">
        <is>
          <t>Professional Services</t>
        </is>
      </c>
      <c r="AR49" s="53" t="inlineStr">
        <is>
          <t>XBRL Domain</t>
        </is>
      </c>
      <c r="AS49" s="53" t="inlineStr">
        <is>
          <t>Non-technical</t>
        </is>
      </c>
      <c r="AT49" s="53" t="n">
        <v>20</v>
      </c>
      <c r="AU49" s="53" t="inlineStr">
        <is>
          <t>Covered</t>
        </is>
      </c>
      <c r="AV49" s="53" t="inlineStr">
        <is>
          <t>IRIS0415</t>
        </is>
      </c>
      <c r="AW49" s="53" t="inlineStr">
        <is>
          <t>Amol Keskar</t>
        </is>
      </c>
      <c r="AX49" s="53" t="inlineStr">
        <is>
          <t>Services</t>
        </is>
      </c>
      <c r="AY49" s="53" t="inlineStr">
        <is>
          <t>Professional Services</t>
        </is>
      </c>
      <c r="AZ49" s="53" t="inlineStr">
        <is>
          <t>XBRL / Regulatory Reporting</t>
        </is>
      </c>
      <c r="BA49" s="53" t="n"/>
      <c r="BB49" s="53" t="n"/>
      <c r="BC49" s="53" t="inlineStr">
        <is>
          <t>Employee</t>
        </is>
      </c>
      <c r="BD49" s="53" t="inlineStr">
        <is>
          <t>Vipul Kurhade</t>
        </is>
      </c>
      <c r="BE49" s="53" t="inlineStr">
        <is>
          <t>Vipul Kurhade</t>
        </is>
      </c>
      <c r="BF49" s="53" t="inlineStr">
        <is>
          <t>No</t>
        </is>
      </c>
      <c r="BG49" s="53" t="inlineStr">
        <is>
          <t>Financial Analyst</t>
        </is>
      </c>
      <c r="BH49" s="53" t="inlineStr">
        <is>
          <t>Services Specialist</t>
        </is>
      </c>
      <c r="BI49" s="53" t="inlineStr">
        <is>
          <t>Yes</t>
        </is>
      </c>
      <c r="BJ49" s="53" t="inlineStr">
        <is>
          <t>—</t>
        </is>
      </c>
      <c r="BK49" s="53" t="inlineStr">
        <is>
          <t>—</t>
        </is>
      </c>
      <c r="BL49" s="53" t="inlineStr">
        <is>
          <t>—</t>
        </is>
      </c>
      <c r="BM49" s="53" t="inlineStr">
        <is>
          <t>Not a manager</t>
        </is>
      </c>
      <c r="BN49" s="53" t="inlineStr">
        <is>
          <t>—</t>
        </is>
      </c>
      <c r="BO49" s="53" t="inlineStr">
        <is>
          <t>—</t>
        </is>
      </c>
      <c r="BP49" s="53" t="inlineStr">
        <is>
          <t>—</t>
        </is>
      </c>
      <c r="BQ49" s="53" t="inlineStr">
        <is>
          <t>Not a manager</t>
        </is>
      </c>
      <c r="BR49" s="53" t="inlineStr">
        <is>
          <t>—</t>
        </is>
      </c>
      <c r="BS49" s="53" t="inlineStr">
        <is>
          <t>L3 – Professional / Associate</t>
        </is>
      </c>
      <c r="BT49" s="53" t="inlineStr">
        <is>
          <t>L2</t>
        </is>
      </c>
      <c r="BU49" s="53" t="inlineStr">
        <is>
          <t>Matched from Title Hierarchy · new designation</t>
        </is>
      </c>
      <c r="BV4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9" s="53" t="n"/>
      <c r="BX49" s="53" t="inlineStr">
        <is>
          <t>UK.</t>
        </is>
      </c>
      <c r="BY49" s="53" t="n"/>
      <c r="BZ49" s="53" t="inlineStr">
        <is>
          <t>IRIS0415</t>
        </is>
      </c>
      <c r="CA49" s="53" t="inlineStr">
        <is>
          <t>Employee</t>
        </is>
      </c>
      <c r="CB49" s="53" t="inlineStr">
        <is>
          <t>Active</t>
        </is>
      </c>
      <c r="CC49" s="53" t="inlineStr">
        <is>
          <t>Amol Keskar</t>
        </is>
      </c>
      <c r="CD49" s="54" t="n">
        <v>40448</v>
      </c>
      <c r="CE49" s="53" t="inlineStr">
        <is>
          <t>Financial Analyst</t>
        </is>
      </c>
      <c r="CF49" s="53" t="n"/>
      <c r="CG49" s="53" t="inlineStr">
        <is>
          <t>Professional Services</t>
        </is>
      </c>
      <c r="CH49" s="53" t="inlineStr">
        <is>
          <t>XBRL / Regulatory Reporting</t>
        </is>
      </c>
      <c r="CI49" s="53" t="inlineStr">
        <is>
          <t>Financial Analyst</t>
        </is>
      </c>
      <c r="CJ49" s="53" t="inlineStr">
        <is>
          <t>L3 – Professional / Associate</t>
        </is>
      </c>
      <c r="CK49" s="53" t="inlineStr">
        <is>
          <t>Vipul Kurhade</t>
        </is>
      </c>
      <c r="CL49" s="53" t="inlineStr">
        <is>
          <t>N-8</t>
        </is>
      </c>
      <c r="CM49" s="53" t="inlineStr">
        <is>
          <t>Individual Contributor</t>
        </is>
      </c>
      <c r="CN49" s="53" t="inlineStr">
        <is>
          <t>Regtech</t>
        </is>
      </c>
      <c r="CO49" s="53" t="inlineStr">
        <is>
          <t>Services</t>
        </is>
      </c>
      <c r="CP49" s="53" t="inlineStr">
        <is>
          <t>15 years, 8 months, 24 days</t>
        </is>
      </c>
      <c r="CQ49" s="53" t="inlineStr">
        <is>
          <t>Services Specialist</t>
        </is>
      </c>
      <c r="CR49" s="53" t="n"/>
      <c r="CS49" s="53" t="n">
        <v>3</v>
      </c>
      <c r="CT49" s="53" t="inlineStr">
        <is>
          <t>Medium</t>
        </is>
      </c>
      <c r="CU49" s="53" t="inlineStr">
        <is>
          <t>Core Contributor</t>
        </is>
      </c>
      <c r="CV49" s="53" t="inlineStr">
        <is>
          <t>No</t>
        </is>
      </c>
      <c r="CW49" s="53" t="inlineStr">
        <is>
          <t>No</t>
        </is>
      </c>
      <c r="CX49" s="53" t="inlineStr">
        <is>
          <t>Yes</t>
        </is>
      </c>
      <c r="CY49" s="53" t="n"/>
      <c r="CZ49" s="53" t="n"/>
      <c r="DA49" s="53" t="n"/>
      <c r="DB49" s="53" t="inlineStr">
        <is>
          <t>Title to be standardized to : Services Specialist</t>
        </is>
      </c>
      <c r="DC49" s="53" t="n"/>
      <c r="DD49" s="53" t="n"/>
      <c r="DE49" s="53" t="n"/>
      <c r="DF49" s="53" t="n"/>
      <c r="DG49" s="53" t="n"/>
      <c r="DH49" s="53" t="n"/>
      <c r="DI49" s="53" t="n"/>
      <c r="DJ49" s="53" t="n"/>
      <c r="DK49" s="53" t="n"/>
      <c r="DL49" s="53" t="n"/>
      <c r="DM49" s="53" t="n"/>
      <c r="DN49" s="53" t="n"/>
      <c r="DO49" s="53" t="n"/>
      <c r="DP49" s="53" t="n"/>
      <c r="DQ49" s="53" t="n"/>
      <c r="DR49" s="53" t="n"/>
      <c r="DS49" s="53" t="n"/>
      <c r="DT49" s="53" t="n"/>
      <c r="DU49" s="53" t="n"/>
      <c r="DV49" s="53" t="n"/>
      <c r="DW49" s="53" t="n"/>
      <c r="DX49" s="53" t="n"/>
      <c r="DY49" s="53" t="n"/>
      <c r="DZ49" s="53" t="n"/>
      <c r="EA49" s="53" t="n"/>
      <c r="EB49" s="53" t="n"/>
      <c r="EC49" s="53" t="n"/>
      <c r="ED49" s="53" t="n"/>
      <c r="EE49" s="53" t="n"/>
      <c r="EF49" s="53" t="n"/>
      <c r="EG49" s="53" t="n"/>
      <c r="EH49" s="53" t="n"/>
      <c r="EI49" s="53" t="n"/>
      <c r="EJ49" s="53" t="n"/>
      <c r="EK49" s="53" t="n"/>
      <c r="EL49" s="53" t="n"/>
      <c r="EM49" s="53" t="n"/>
      <c r="EN49" s="53" t="n"/>
      <c r="EO49" s="53" t="n"/>
      <c r="EP49" s="53" t="n"/>
      <c r="EQ49" s="53" t="n"/>
      <c r="ER49" s="53" t="n"/>
      <c r="ES49" s="53" t="n"/>
      <c r="ET49" s="53" t="n"/>
      <c r="EU49" s="53" t="n"/>
      <c r="EV49" s="53" t="n"/>
      <c r="EW49" s="52" t="n"/>
      <c r="EX49" s="53"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EY49" s="53"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EZ49" s="53" t="inlineStr">
        <is>
          <t>• Current capabilities: Using xbrl taxonomies.
• Tools / software used: Carbon Tool.
• Workload: Rated a moderate load · 3/5 in a typical week.
• Judgment/way of working: Same as everyone else.</t>
        </is>
      </c>
      <c r="FA49" s="53" t="inlineStr">
        <is>
          <t>• Development priorities: Knowledge of different xbrl taxonomies which are used for tagging.
• Learning and Development Need: Training of xbrl taxonomy. Same as everyone else; NA.
• Role evolving toward: Different tools.</t>
        </is>
      </c>
      <c r="FB49" s="53" t="inlineStr">
        <is>
          <t>• Key challenges: NA.
• Support required: It is perfect.</t>
        </is>
      </c>
      <c r="FC49" s="53" t="n"/>
      <c r="FD49" s="53" t="n"/>
      <c r="FE4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9" s="56" t="n"/>
      <c r="FG49" s="56" t="n"/>
      <c r="FH49" s="56" t="n"/>
      <c r="FI49" s="56" t="n"/>
      <c r="FJ49" s="56" t="inlineStr">
        <is>
          <t>Received · manager annual</t>
        </is>
      </c>
      <c r="FK49" s="56" t="inlineStr">
        <is>
          <t>CARBON Mapping Master</t>
        </is>
      </c>
      <c r="FL49" s="56" t="n">
        <v>19</v>
      </c>
      <c r="FM49" s="56"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FN49" s="56"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FO49" s="56" t="inlineStr">
        <is>
          <t>• Current capabilities: Using xbrl taxonomies.
• Tools / software used: Carbon Tool.
• Workload: Rated a moderate load · 3/5 in a typical week.
• Judgment/way of working: Same as everyone else.</t>
        </is>
      </c>
      <c r="FP49" s="56" t="inlineStr">
        <is>
          <t>• Development priorities: Knowledge of different xbrl taxonomies which are used for tagging.
• Learning and Development Need: Training of xbrl taxonomy. Same as everyone else; NA.
• Role evolving toward: Different tools.</t>
        </is>
      </c>
      <c r="FQ49" s="56" t="inlineStr">
        <is>
          <t>• Key challenges: NA.
• Support required: It is perfect.</t>
        </is>
      </c>
      <c r="FR49" s="56" t="inlineStr">
        <is>
          <t>Complexity: Evidence reads like A2: Tags UK financial statements and footnotes from the taxonomy in Carbon → matches the start
Autonomy: Evidence reads like A2: Only decision named is creating the HTML project → matches the start
Accountability: Evidence reads like A2: Own tagging and project creation; errors cause quality issues in files → matches the start
Leadership: Evidence reads like A1: No guidance of others described; 'same work as everyone' → matches the start
Business Impact: Moved +0.5: the survey / manager mapping marks it business-critical.</t>
        </is>
      </c>
      <c r="FS4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9" s="56" t="inlineStr">
        <is>
          <t>Self-identified: Domain, regulatory &amp; XBRL
For the next role: Domain, regulatory &amp; XBRL</t>
        </is>
      </c>
      <c r="FU49" s="56" t="inlineStr">
        <is>
          <t>Per-person summary · CARBON Mapping Master</t>
        </is>
      </c>
    </row>
    <row r="50" ht="90" customHeight="1">
      <c r="A50" s="51" t="inlineStr">
        <is>
          <t>◂ Back</t>
        </is>
      </c>
      <c r="B50" s="29" t="inlineStr">
        <is>
          <t>Mapped</t>
        </is>
      </c>
      <c r="C50" s="28" t="inlineStr">
        <is>
          <t>CARBON</t>
        </is>
      </c>
      <c r="D50" s="29" t="inlineStr">
        <is>
          <t>IRIS0566</t>
        </is>
      </c>
      <c r="E50" s="29" t="inlineStr">
        <is>
          <t>Dipak Warkhade</t>
        </is>
      </c>
      <c r="F50" s="29" t="inlineStr">
        <is>
          <t>Services</t>
        </is>
      </c>
      <c r="G50" s="29" t="inlineStr">
        <is>
          <t>Financial Analyst</t>
        </is>
      </c>
      <c r="H50" s="29" t="inlineStr">
        <is>
          <t>Senior Financial Analyst</t>
        </is>
      </c>
      <c r="I50" s="29" t="inlineStr">
        <is>
          <t>L3 – Professional / Associate</t>
        </is>
      </c>
      <c r="J50" s="29" t="inlineStr">
        <is>
          <t>A3</t>
        </is>
      </c>
      <c r="K50" s="29" t="inlineStr">
        <is>
          <t>▲ Up</t>
        </is>
      </c>
      <c r="L50" s="29" t="inlineStr">
        <is>
          <t>Consulting &amp; Professional Services</t>
        </is>
      </c>
      <c r="M50" s="29" t="inlineStr">
        <is>
          <t>XBRL Tagging, Conversion &amp; Filing</t>
        </is>
      </c>
      <c r="N50" s="29" t="n"/>
      <c r="O50" s="29" t="n">
        <v>20</v>
      </c>
      <c r="P50" s="28" t="inlineStr">
        <is>
          <t>P2</t>
        </is>
      </c>
      <c r="Q50" s="29" t="inlineStr">
        <is>
          <t>Developing</t>
        </is>
      </c>
      <c r="R50" s="29" t="inlineStr">
        <is>
          <t>3 Apply</t>
        </is>
      </c>
      <c r="S50" s="29" t="inlineStr">
        <is>
          <t>2–4 yrs</t>
        </is>
      </c>
      <c r="T50" s="29" t="inlineStr">
        <is>
          <t>3–5 · 2–5</t>
        </is>
      </c>
      <c r="U50" s="29" t="inlineStr">
        <is>
          <t>Senior Analyst / Associate</t>
        </is>
      </c>
      <c r="V50" s="29" t="inlineStr">
        <is>
          <t>DataTracks: Senior Associate · 2–5 yrs · Big Four: Consultant · IRIS Vs Market Benchmark — XBRL US credential pathway: XBRL US GAAP Certificate</t>
        </is>
      </c>
      <c r="W50" s="29" t="inlineStr">
        <is>
          <t>XBRL US GAAP Certificate · AICPA &amp; XBRL US; XBRL International specifications; IFRS / US GAAP / Ind AS</t>
        </is>
      </c>
      <c r="X50" s="29" t="inlineStr">
        <is>
          <t>Core 2 · Future 2 · Functional 3 · Leadership not scored</t>
        </is>
      </c>
      <c r="Y50" s="52" t="n">
        <v>75</v>
      </c>
      <c r="Z50" s="53" t="inlineStr">
        <is>
          <t>IRIS0566</t>
        </is>
      </c>
      <c r="AA50" s="53" t="inlineStr">
        <is>
          <t>Employee</t>
        </is>
      </c>
      <c r="AB50" s="53" t="inlineStr">
        <is>
          <t>Active</t>
        </is>
      </c>
      <c r="AC50" s="53" t="inlineStr">
        <is>
          <t>Dipak Warkhade</t>
        </is>
      </c>
      <c r="AD50" s="54" t="n">
        <v>40630</v>
      </c>
      <c r="AE50" s="53" t="inlineStr">
        <is>
          <t>Financial Analyst</t>
        </is>
      </c>
      <c r="AF50" s="53" t="inlineStr">
        <is>
          <t>B.Com</t>
        </is>
      </c>
      <c r="AG50" s="53" t="inlineStr">
        <is>
          <t>Vipul Kurhade</t>
        </is>
      </c>
      <c r="AH50" s="53" t="inlineStr">
        <is>
          <t>N-8</t>
        </is>
      </c>
      <c r="AI50" s="53" t="inlineStr">
        <is>
          <t>Individual Contributor</t>
        </is>
      </c>
      <c r="AJ50" s="53" t="inlineStr">
        <is>
          <t>0 years, 0 months, 0 days</t>
        </is>
      </c>
      <c r="AK50" s="53" t="inlineStr">
        <is>
          <t>15 years, 4 months, 28 days</t>
        </is>
      </c>
      <c r="AL50" s="53" t="inlineStr">
        <is>
          <t>Regtech</t>
        </is>
      </c>
      <c r="AM50" s="53" t="inlineStr">
        <is>
          <t>CARBON</t>
        </is>
      </c>
      <c r="AN50" s="53" t="inlineStr">
        <is>
          <t>Services</t>
        </is>
      </c>
      <c r="AO50" s="53" t="inlineStr">
        <is>
          <t>Expert Assisted services</t>
        </is>
      </c>
      <c r="AP50" s="53" t="inlineStr">
        <is>
          <t>No</t>
        </is>
      </c>
      <c r="AQ50" s="53" t="inlineStr">
        <is>
          <t>Professional Services</t>
        </is>
      </c>
      <c r="AR50" s="53" t="inlineStr">
        <is>
          <t>XBRL Domain</t>
        </is>
      </c>
      <c r="AS50" s="53" t="inlineStr">
        <is>
          <t>Non-technical</t>
        </is>
      </c>
      <c r="AT50" s="53" t="n">
        <v>20</v>
      </c>
      <c r="AU50" s="53" t="inlineStr">
        <is>
          <t>Covered</t>
        </is>
      </c>
      <c r="AV50" s="53" t="inlineStr">
        <is>
          <t>IRIS0566</t>
        </is>
      </c>
      <c r="AW50" s="53" t="inlineStr">
        <is>
          <t>Dipak Warkhade</t>
        </is>
      </c>
      <c r="AX50" s="53" t="inlineStr">
        <is>
          <t>Services</t>
        </is>
      </c>
      <c r="AY50" s="53" t="inlineStr">
        <is>
          <t>Professional Services</t>
        </is>
      </c>
      <c r="AZ50" s="53" t="inlineStr">
        <is>
          <t>XBRL / Regulatory Reporting</t>
        </is>
      </c>
      <c r="BA50" s="53" t="n"/>
      <c r="BB50" s="53" t="n"/>
      <c r="BC50" s="53" t="inlineStr">
        <is>
          <t>Employee</t>
        </is>
      </c>
      <c r="BD50" s="53" t="inlineStr">
        <is>
          <t>Vipul Kurhade</t>
        </is>
      </c>
      <c r="BE50" s="53" t="inlineStr">
        <is>
          <t>Vipul Kurhade</t>
        </is>
      </c>
      <c r="BF50" s="53" t="inlineStr">
        <is>
          <t>No</t>
        </is>
      </c>
      <c r="BG50" s="53" t="inlineStr">
        <is>
          <t>Financial Analyst</t>
        </is>
      </c>
      <c r="BH50" s="53" t="inlineStr">
        <is>
          <t>Services Specialist</t>
        </is>
      </c>
      <c r="BI50" s="53" t="inlineStr">
        <is>
          <t>Yes</t>
        </is>
      </c>
      <c r="BJ50" s="53" t="inlineStr">
        <is>
          <t>—</t>
        </is>
      </c>
      <c r="BK50" s="53" t="inlineStr">
        <is>
          <t>—</t>
        </is>
      </c>
      <c r="BL50" s="53" t="inlineStr">
        <is>
          <t>—</t>
        </is>
      </c>
      <c r="BM50" s="53" t="inlineStr">
        <is>
          <t>Not a manager</t>
        </is>
      </c>
      <c r="BN50" s="53" t="inlineStr">
        <is>
          <t>—</t>
        </is>
      </c>
      <c r="BO50" s="53" t="inlineStr">
        <is>
          <t>—</t>
        </is>
      </c>
      <c r="BP50" s="53" t="inlineStr">
        <is>
          <t>—</t>
        </is>
      </c>
      <c r="BQ50" s="53" t="inlineStr">
        <is>
          <t>Not a manager</t>
        </is>
      </c>
      <c r="BR50" s="53" t="inlineStr">
        <is>
          <t>—</t>
        </is>
      </c>
      <c r="BS50" s="53" t="inlineStr">
        <is>
          <t>L3 – Professional / Associate</t>
        </is>
      </c>
      <c r="BT50" s="53" t="inlineStr">
        <is>
          <t>L2</t>
        </is>
      </c>
      <c r="BU50" s="53" t="inlineStr">
        <is>
          <t>Matched from Title Hierarchy · new designation</t>
        </is>
      </c>
      <c r="BV5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0" s="53" t="n"/>
      <c r="BX50" s="53" t="inlineStr">
        <is>
          <t>Nigeria - CBN; Europe - ESEF; South Africa - CIPC; UK - HMRC.</t>
        </is>
      </c>
      <c r="BY50" s="53" t="n"/>
      <c r="BZ50" s="53" t="inlineStr">
        <is>
          <t>IRIS0566</t>
        </is>
      </c>
      <c r="CA50" s="53" t="inlineStr">
        <is>
          <t>Employee</t>
        </is>
      </c>
      <c r="CB50" s="53" t="inlineStr">
        <is>
          <t>Active</t>
        </is>
      </c>
      <c r="CC50" s="53" t="inlineStr">
        <is>
          <t>Dipak Warkhade</t>
        </is>
      </c>
      <c r="CD50" s="54" t="n">
        <v>40630</v>
      </c>
      <c r="CE50" s="53" t="inlineStr">
        <is>
          <t>Financial Analyst</t>
        </is>
      </c>
      <c r="CF50" s="53" t="n"/>
      <c r="CG50" s="53" t="inlineStr">
        <is>
          <t>Professional Services</t>
        </is>
      </c>
      <c r="CH50" s="53" t="inlineStr">
        <is>
          <t>XBRL / Regulatory Reporting</t>
        </is>
      </c>
      <c r="CI50" s="53" t="inlineStr">
        <is>
          <t>Financial Analyst</t>
        </is>
      </c>
      <c r="CJ50" s="53" t="inlineStr">
        <is>
          <t>L3 – Professional / Associate</t>
        </is>
      </c>
      <c r="CK50" s="53" t="inlineStr">
        <is>
          <t>Vipul Kurhade</t>
        </is>
      </c>
      <c r="CL50" s="53" t="inlineStr">
        <is>
          <t>N-8</t>
        </is>
      </c>
      <c r="CM50" s="53" t="inlineStr">
        <is>
          <t>Individual Contributor</t>
        </is>
      </c>
      <c r="CN50" s="53" t="inlineStr">
        <is>
          <t>Regtech</t>
        </is>
      </c>
      <c r="CO50" s="53" t="inlineStr">
        <is>
          <t>Services</t>
        </is>
      </c>
      <c r="CP50" s="53" t="inlineStr">
        <is>
          <t>15 years, 2 months, 23 days</t>
        </is>
      </c>
      <c r="CQ50" s="53" t="inlineStr">
        <is>
          <t>Services Specialist</t>
        </is>
      </c>
      <c r="CR50" s="53" t="n"/>
      <c r="CS50" s="53" t="n">
        <v>3</v>
      </c>
      <c r="CT50" s="53" t="inlineStr">
        <is>
          <t>Medium</t>
        </is>
      </c>
      <c r="CU50" s="53" t="inlineStr">
        <is>
          <t>Core Contributor</t>
        </is>
      </c>
      <c r="CV50" s="53" t="inlineStr">
        <is>
          <t>No</t>
        </is>
      </c>
      <c r="CW50" s="53" t="inlineStr">
        <is>
          <t>No</t>
        </is>
      </c>
      <c r="CX50" s="53" t="inlineStr">
        <is>
          <t>Yes</t>
        </is>
      </c>
      <c r="CY50" s="53" t="n"/>
      <c r="CZ50" s="53" t="n"/>
      <c r="DA50" s="53" t="n"/>
      <c r="DB50" s="53" t="inlineStr">
        <is>
          <t>Title to be standardized to : Services Specialist</t>
        </is>
      </c>
      <c r="DC50" s="53" t="n"/>
      <c r="DD50" s="53" t="n"/>
      <c r="DE50" s="53" t="n"/>
      <c r="DF50" s="53" t="n"/>
      <c r="DG50" s="53" t="n"/>
      <c r="DH50" s="53" t="n"/>
      <c r="DI50" s="53" t="n"/>
      <c r="DJ50" s="53" t="n"/>
      <c r="DK50" s="53" t="n"/>
      <c r="DL50" s="53" t="n"/>
      <c r="DM50" s="53" t="n"/>
      <c r="DN50" s="53" t="n"/>
      <c r="DO50" s="53" t="n"/>
      <c r="DP50" s="53" t="n"/>
      <c r="DQ50" s="53" t="n"/>
      <c r="DR50" s="53" t="n"/>
      <c r="DS50" s="53" t="n"/>
      <c r="DT50" s="53" t="n"/>
      <c r="DU50" s="53" t="n"/>
      <c r="DV50" s="53" t="n"/>
      <c r="DW50" s="53" t="n"/>
      <c r="DX50" s="53" t="n"/>
      <c r="DY50" s="53" t="n"/>
      <c r="DZ50" s="53" t="n"/>
      <c r="EA50" s="53" t="n"/>
      <c r="EB50" s="53" t="n"/>
      <c r="EC50" s="53" t="n"/>
      <c r="ED50" s="53" t="n"/>
      <c r="EE50" s="53" t="n"/>
      <c r="EF50" s="53" t="n"/>
      <c r="EG50" s="53" t="n"/>
      <c r="EH50" s="53" t="n"/>
      <c r="EI50" s="53" t="n"/>
      <c r="EJ50" s="53" t="n"/>
      <c r="EK50" s="53" t="n"/>
      <c r="EL50" s="53" t="n"/>
      <c r="EM50" s="53" t="n"/>
      <c r="EN50" s="53" t="n"/>
      <c r="EO50" s="53" t="n"/>
      <c r="EP50" s="53" t="n"/>
      <c r="EQ50" s="53" t="n"/>
      <c r="ER50" s="53" t="n"/>
      <c r="ES50" s="53" t="n"/>
      <c r="ET50" s="53" t="n"/>
      <c r="EU50" s="53" t="n"/>
      <c r="EV50" s="53" t="n"/>
      <c r="EW50" s="52" t="n"/>
      <c r="EX50" s="53" t="inlineStr">
        <is>
          <t>• Role / sub-team: ESMA and CIPC.</t>
        </is>
      </c>
      <c r="EY50" s="53" t="inlineStr">
        <is>
          <t>• Key responsibilities include: Formatting, tagging, validation Qc: review, rendering.
• Reported deliverables and outcomes include: After tagging: Qc team Final files: PMO.</t>
        </is>
      </c>
      <c r="EZ50" s="53" t="inlineStr">
        <is>
          <t>• Current capabilities: Tagging speed.</t>
        </is>
      </c>
      <c r="FA50" s="53" t="inlineStr">
        <is>
          <t>• Development priorities: No input received.
• Learning and Development Need: Doubts solving sessions.</t>
        </is>
      </c>
      <c r="FB50" s="53" t="inlineStr">
        <is>
          <t>• Key challenges: No input received.
• Support required: No input received.</t>
        </is>
      </c>
      <c r="FC50" s="53" t="n"/>
      <c r="FD50" s="53" t="n"/>
      <c r="FE5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0" s="56" t="n"/>
      <c r="FG50" s="56" t="n"/>
      <c r="FH50" s="56" t="n"/>
      <c r="FI50" s="56" t="n"/>
      <c r="FJ50" s="56" t="inlineStr">
        <is>
          <t>Received · manager annual</t>
        </is>
      </c>
      <c r="FK50" s="56" t="inlineStr">
        <is>
          <t>CARBON Mapping Master</t>
        </is>
      </c>
      <c r="FL50" s="56" t="n">
        <v>20</v>
      </c>
      <c r="FM50" s="56" t="inlineStr">
        <is>
          <t>• Role / sub-team: ESMA and CIPC.</t>
        </is>
      </c>
      <c r="FN50" s="56" t="inlineStr">
        <is>
          <t>• Key responsibilities include: Formatting, tagging, validation Qc: review, rendering.
• Reported deliverables and outcomes include: After tagging: Qc team Final files: PMO.</t>
        </is>
      </c>
      <c r="FO50" s="56" t="inlineStr">
        <is>
          <t>• Current capabilities: Tagging speed.</t>
        </is>
      </c>
      <c r="FP50" s="56" t="inlineStr">
        <is>
          <t>• Development priorities: No input received.
• Learning and Development Need: Doubts solving sessions.</t>
        </is>
      </c>
      <c r="FQ50" s="56" t="inlineStr">
        <is>
          <t>• Key challenges: No input received.
• Support required: No input received.</t>
        </is>
      </c>
      <c r="FR50" s="56" t="inlineStr">
        <is>
          <t>Complexity: Evidence reads like A2: Formats, tags, reviews and validates files for ESMA, CIPC and HMRC to a set process → matches the start
Autonomy: Evidence reads like A2: Decides tagging, review and validation on own files; output goes to QC team → matches the start
Accountability: Evidence reads like A2: Own mapping, tagging and validation; errors return as client amendments → matches the start
Leadership: Evidence reads like A1: No guidance or leadership of others described → matches the start
Business Impact: Moved +0.5: the survey / manager mapping marks it business-critical.</t>
        </is>
      </c>
      <c r="FS5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0" s="56" t="inlineStr">
        <is>
          <t>Self-identified: Domain, regulatory &amp; XBRL
For the next role: Domain, regulatory &amp; XBRL</t>
        </is>
      </c>
      <c r="FU50" s="56" t="inlineStr">
        <is>
          <t>Per-person summary · CARBON Mapping Master</t>
        </is>
      </c>
    </row>
    <row r="51" ht="90" customHeight="1">
      <c r="A51" s="51" t="inlineStr">
        <is>
          <t>◂ Back</t>
        </is>
      </c>
      <c r="B51" s="29" t="inlineStr">
        <is>
          <t>Mapped</t>
        </is>
      </c>
      <c r="C51" s="28" t="inlineStr">
        <is>
          <t>CARBON</t>
        </is>
      </c>
      <c r="D51" s="29" t="inlineStr">
        <is>
          <t>IRIS1607</t>
        </is>
      </c>
      <c r="E51" s="29" t="inlineStr">
        <is>
          <t>Payal Gala</t>
        </is>
      </c>
      <c r="F51" s="29" t="inlineStr">
        <is>
          <t>Services</t>
        </is>
      </c>
      <c r="G51" s="29" t="inlineStr">
        <is>
          <t>Senior Financial Analyst</t>
        </is>
      </c>
      <c r="H51" s="29" t="inlineStr">
        <is>
          <t>Senior Financial Analyst</t>
        </is>
      </c>
      <c r="I51" s="29" t="inlineStr">
        <is>
          <t>L4 – Senior</t>
        </is>
      </c>
      <c r="J51" s="29" t="inlineStr">
        <is>
          <t>A3</t>
        </is>
      </c>
      <c r="K51" s="29" t="inlineStr">
        <is>
          <t>• Same level</t>
        </is>
      </c>
      <c r="L51" s="29" t="inlineStr">
        <is>
          <t>Consulting &amp; Professional Services</t>
        </is>
      </c>
      <c r="M51" s="29" t="inlineStr">
        <is>
          <t>XBRL Tagging, Conversion &amp; Filing</t>
        </is>
      </c>
      <c r="N51" s="29" t="n"/>
      <c r="O51" s="29" t="n">
        <v>20</v>
      </c>
      <c r="P51" s="28" t="inlineStr">
        <is>
          <t>P2</t>
        </is>
      </c>
      <c r="Q51" s="29" t="inlineStr">
        <is>
          <t>Developing</t>
        </is>
      </c>
      <c r="R51" s="29" t="inlineStr">
        <is>
          <t>3 Apply</t>
        </is>
      </c>
      <c r="S51" s="29" t="inlineStr">
        <is>
          <t>2–4 yrs</t>
        </is>
      </c>
      <c r="T51" s="29" t="inlineStr">
        <is>
          <t>3–5 · 2–5</t>
        </is>
      </c>
      <c r="U51" s="29" t="inlineStr">
        <is>
          <t>Senior Analyst / Associate</t>
        </is>
      </c>
      <c r="V51" s="29" t="inlineStr">
        <is>
          <t>DataTracks: Senior Associate · 2–5 yrs · Big Four: Consultant · IRIS Vs Market Benchmark — XBRL US credential pathway: XBRL US GAAP Certificate</t>
        </is>
      </c>
      <c r="W51" s="29" t="inlineStr">
        <is>
          <t>XBRL US GAAP Certificate · AICPA &amp; XBRL US; XBRL International specifications; IFRS / US GAAP / Ind AS</t>
        </is>
      </c>
      <c r="X51" s="29" t="inlineStr">
        <is>
          <t>Core 2 · Future 2 · Functional 3 · Leadership not scored</t>
        </is>
      </c>
      <c r="Y51" s="52" t="n">
        <v>131</v>
      </c>
      <c r="Z51" s="53" t="inlineStr">
        <is>
          <t>IRIS1607</t>
        </is>
      </c>
      <c r="AA51" s="53" t="inlineStr">
        <is>
          <t>Employee</t>
        </is>
      </c>
      <c r="AB51" s="53" t="inlineStr">
        <is>
          <t>Active</t>
        </is>
      </c>
      <c r="AC51" s="53" t="inlineStr">
        <is>
          <t>Payal Gala</t>
        </is>
      </c>
      <c r="AD51" s="54" t="n">
        <v>42697</v>
      </c>
      <c r="AE51" s="53" t="inlineStr">
        <is>
          <t>Senior Financial Analyst</t>
        </is>
      </c>
      <c r="AF51" s="53" t="inlineStr">
        <is>
          <t>B.Com</t>
        </is>
      </c>
      <c r="AG51" s="53" t="inlineStr">
        <is>
          <t>Vipul Kurhade</t>
        </is>
      </c>
      <c r="AH51" s="53" t="inlineStr">
        <is>
          <t>N-8</t>
        </is>
      </c>
      <c r="AI51" s="53" t="inlineStr">
        <is>
          <t>Individual Contributor</t>
        </is>
      </c>
      <c r="AJ51" s="53" t="inlineStr">
        <is>
          <t>6 years, 0 months, 0 days</t>
        </is>
      </c>
      <c r="AK51" s="53" t="inlineStr">
        <is>
          <t>9 years, 9 months, 2 days</t>
        </is>
      </c>
      <c r="AL51" s="53" t="inlineStr">
        <is>
          <t>Regtech</t>
        </is>
      </c>
      <c r="AM51" s="53" t="inlineStr">
        <is>
          <t>CARBON</t>
        </is>
      </c>
      <c r="AN51" s="53" t="inlineStr">
        <is>
          <t>Services</t>
        </is>
      </c>
      <c r="AO51" s="53" t="inlineStr">
        <is>
          <t>Expert Assisted services</t>
        </is>
      </c>
      <c r="AP51" s="53" t="inlineStr">
        <is>
          <t>No</t>
        </is>
      </c>
      <c r="AQ51" s="53" t="inlineStr">
        <is>
          <t>Professional Services</t>
        </is>
      </c>
      <c r="AR51" s="53" t="inlineStr">
        <is>
          <t>XBRL Domain</t>
        </is>
      </c>
      <c r="AS51" s="53" t="inlineStr">
        <is>
          <t>Non-technical</t>
        </is>
      </c>
      <c r="AT51" s="53" t="n">
        <v>20</v>
      </c>
      <c r="AU51" s="53" t="inlineStr">
        <is>
          <t>Covered</t>
        </is>
      </c>
      <c r="AV51" s="53" t="inlineStr">
        <is>
          <t>IRIS1607</t>
        </is>
      </c>
      <c r="AW51" s="53" t="inlineStr">
        <is>
          <t>Payal Gala</t>
        </is>
      </c>
      <c r="AX51" s="53" t="inlineStr">
        <is>
          <t>Services</t>
        </is>
      </c>
      <c r="AY51" s="53" t="inlineStr">
        <is>
          <t>Professional Services</t>
        </is>
      </c>
      <c r="AZ51" s="53" t="inlineStr">
        <is>
          <t>XBRL / Regulatory Reporting</t>
        </is>
      </c>
      <c r="BA51" s="53" t="n"/>
      <c r="BB51" s="53" t="n"/>
      <c r="BC51" s="53" t="inlineStr">
        <is>
          <t>Employee</t>
        </is>
      </c>
      <c r="BD51" s="53" t="inlineStr">
        <is>
          <t>Vipul Kurhade</t>
        </is>
      </c>
      <c r="BE51" s="53" t="inlineStr">
        <is>
          <t>Vipul Kurhade</t>
        </is>
      </c>
      <c r="BF51" s="53" t="inlineStr">
        <is>
          <t>No</t>
        </is>
      </c>
      <c r="BG51" s="53" t="inlineStr">
        <is>
          <t>Senior Financial Analyst</t>
        </is>
      </c>
      <c r="BH51" s="53" t="inlineStr">
        <is>
          <t>Senior Services Specialist</t>
        </is>
      </c>
      <c r="BI51" s="53" t="inlineStr">
        <is>
          <t>Yes</t>
        </is>
      </c>
      <c r="BJ51" s="53" t="inlineStr">
        <is>
          <t>—</t>
        </is>
      </c>
      <c r="BK51" s="53" t="inlineStr">
        <is>
          <t>—</t>
        </is>
      </c>
      <c r="BL51" s="53" t="inlineStr">
        <is>
          <t>—</t>
        </is>
      </c>
      <c r="BM51" s="53" t="inlineStr">
        <is>
          <t>Not a manager</t>
        </is>
      </c>
      <c r="BN51" s="53" t="inlineStr">
        <is>
          <t>—</t>
        </is>
      </c>
      <c r="BO51" s="53" t="inlineStr">
        <is>
          <t>—</t>
        </is>
      </c>
      <c r="BP51" s="53" t="inlineStr">
        <is>
          <t>—</t>
        </is>
      </c>
      <c r="BQ51" s="53" t="inlineStr">
        <is>
          <t>Not a manager</t>
        </is>
      </c>
      <c r="BR51" s="53" t="inlineStr">
        <is>
          <t>—</t>
        </is>
      </c>
      <c r="BS51" s="53" t="inlineStr">
        <is>
          <t>L4 – Senior</t>
        </is>
      </c>
      <c r="BT51" s="53" t="inlineStr">
        <is>
          <t>L4 – Senior</t>
        </is>
      </c>
      <c r="BU51" s="53" t="inlineStr">
        <is>
          <t>Designation refined from Raw tab Comments column · this update</t>
        </is>
      </c>
      <c r="BV5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1" s="53" t="n"/>
      <c r="BX51" s="53" t="inlineStr">
        <is>
          <t>No input received.</t>
        </is>
      </c>
      <c r="BY51" s="53" t="n"/>
      <c r="BZ51" s="53" t="inlineStr">
        <is>
          <t>IRIS1607</t>
        </is>
      </c>
      <c r="CA51" s="53" t="inlineStr">
        <is>
          <t>Employee</t>
        </is>
      </c>
      <c r="CB51" s="53" t="inlineStr">
        <is>
          <t>Active</t>
        </is>
      </c>
      <c r="CC51" s="53" t="inlineStr">
        <is>
          <t>Payal Gala</t>
        </is>
      </c>
      <c r="CD51" s="54" t="n">
        <v>42697</v>
      </c>
      <c r="CE51" s="53" t="inlineStr">
        <is>
          <t>Senior Financial Analyst</t>
        </is>
      </c>
      <c r="CF51" s="53" t="n"/>
      <c r="CG51" s="53" t="inlineStr">
        <is>
          <t>Professional Services</t>
        </is>
      </c>
      <c r="CH51" s="53" t="inlineStr">
        <is>
          <t>XBRL / Regulatory Reporting</t>
        </is>
      </c>
      <c r="CI51" s="53" t="inlineStr">
        <is>
          <t>Senior Financial Analyst</t>
        </is>
      </c>
      <c r="CJ51" s="53" t="inlineStr">
        <is>
          <t>L4 – Senior</t>
        </is>
      </c>
      <c r="CK51" s="53" t="inlineStr">
        <is>
          <t>Vipul Kurhade</t>
        </is>
      </c>
      <c r="CL51" s="53" t="inlineStr">
        <is>
          <t>N-8</t>
        </is>
      </c>
      <c r="CM51" s="53" t="inlineStr">
        <is>
          <t>Individual Contributor</t>
        </is>
      </c>
      <c r="CN51" s="53" t="inlineStr">
        <is>
          <t>Regtech</t>
        </is>
      </c>
      <c r="CO51" s="53" t="inlineStr">
        <is>
          <t>Services</t>
        </is>
      </c>
      <c r="CP51" s="53" t="inlineStr">
        <is>
          <t>15 years, 6 months, 28 days</t>
        </is>
      </c>
      <c r="CQ51" s="53" t="inlineStr">
        <is>
          <t>Senior Services Specialst</t>
        </is>
      </c>
      <c r="CR51" s="53" t="n"/>
      <c r="CS51" s="53" t="n">
        <v>3</v>
      </c>
      <c r="CT51" s="53" t="inlineStr">
        <is>
          <t>Medium</t>
        </is>
      </c>
      <c r="CU51" s="53" t="inlineStr">
        <is>
          <t>Core Contributor</t>
        </is>
      </c>
      <c r="CV51" s="53" t="inlineStr">
        <is>
          <t>No</t>
        </is>
      </c>
      <c r="CW51" s="53" t="inlineStr">
        <is>
          <t>No</t>
        </is>
      </c>
      <c r="CX51" s="53" t="inlineStr">
        <is>
          <t>Yes</t>
        </is>
      </c>
      <c r="CY51" s="53" t="n"/>
      <c r="CZ51" s="53" t="n"/>
      <c r="DA51" s="53" t="n"/>
      <c r="DB51" s="53" t="inlineStr">
        <is>
          <t>Title to be standardized to: Senior Services Specialist</t>
        </is>
      </c>
      <c r="DC51" s="53" t="n"/>
      <c r="DD51" s="53" t="n"/>
      <c r="DE51" s="53" t="n"/>
      <c r="DF51" s="53" t="n"/>
      <c r="DG51" s="53" t="n"/>
      <c r="DH51" s="53" t="n"/>
      <c r="DI51" s="53" t="n"/>
      <c r="DJ51" s="53" t="n"/>
      <c r="DK51" s="53" t="n"/>
      <c r="DL51" s="53" t="n"/>
      <c r="DM51" s="53" t="n"/>
      <c r="DN51" s="53" t="n"/>
      <c r="DO51" s="53" t="n"/>
      <c r="DP51" s="53" t="n"/>
      <c r="DQ51" s="53" t="n"/>
      <c r="DR51" s="53" t="n"/>
      <c r="DS51" s="53" t="n"/>
      <c r="DT51" s="53" t="n"/>
      <c r="DU51" s="53" t="n"/>
      <c r="DV51" s="53" t="n"/>
      <c r="DW51" s="53" t="n"/>
      <c r="DX51" s="53" t="n"/>
      <c r="DY51" s="53" t="n"/>
      <c r="DZ51" s="53" t="n"/>
      <c r="EA51" s="53" t="n"/>
      <c r="EB51" s="53" t="n"/>
      <c r="EC51" s="53" t="n"/>
      <c r="ED51" s="53" t="n"/>
      <c r="EE51" s="53" t="n"/>
      <c r="EF51" s="53" t="n"/>
      <c r="EG51" s="53" t="n"/>
      <c r="EH51" s="53" t="n"/>
      <c r="EI51" s="53" t="n"/>
      <c r="EJ51" s="53" t="n"/>
      <c r="EK51" s="53" t="n"/>
      <c r="EL51" s="53" t="n"/>
      <c r="EM51" s="53" t="n"/>
      <c r="EN51" s="53" t="n"/>
      <c r="EO51" s="53" t="n"/>
      <c r="EP51" s="53" t="n"/>
      <c r="EQ51" s="53" t="n"/>
      <c r="ER51" s="53" t="n"/>
      <c r="ES51" s="53" t="n"/>
      <c r="ET51" s="53" t="n"/>
      <c r="EU51" s="53" t="n"/>
      <c r="EV51" s="53" t="n"/>
      <c r="EW51" s="52" t="n"/>
      <c r="EX51" s="53" t="inlineStr">
        <is>
          <t>• No input received.</t>
        </is>
      </c>
      <c r="EY51" s="53" t="inlineStr">
        <is>
          <t>• No input received.</t>
        </is>
      </c>
      <c r="EZ51" s="53" t="inlineStr">
        <is>
          <t>• Current capabilities: Input not given by Participant; Tools / software used: Carbon.</t>
        </is>
      </c>
      <c r="FA51" s="53" t="inlineStr">
        <is>
          <t>• Development priorities: No input received.
• Learning and Development Need: No input received.</t>
        </is>
      </c>
      <c r="FB51" s="53" t="inlineStr">
        <is>
          <t>• Key challenges: No input received.
• Support required: No input received.</t>
        </is>
      </c>
      <c r="FC51" s="53" t="n"/>
      <c r="FD51" s="53" t="n"/>
      <c r="FE5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1" s="56" t="n"/>
      <c r="FG51" s="56" t="n"/>
      <c r="FH51" s="56" t="n"/>
      <c r="FI51" s="56" t="n"/>
      <c r="FJ51" s="56" t="inlineStr">
        <is>
          <t>Received · manager annual</t>
        </is>
      </c>
      <c r="FK51" s="56" t="inlineStr">
        <is>
          <t>CARBON Mapping Master</t>
        </is>
      </c>
      <c r="FL51" s="56" t="n">
        <v>20</v>
      </c>
      <c r="FM51" s="56" t="inlineStr">
        <is>
          <t>• No input received.</t>
        </is>
      </c>
      <c r="FN51" s="56" t="inlineStr">
        <is>
          <t>• No input received.</t>
        </is>
      </c>
      <c r="FO51" s="56" t="inlineStr">
        <is>
          <t>• Current capabilities: Input not given by Participant; Tools / software used: Carbon.</t>
        </is>
      </c>
      <c r="FP51" s="56" t="inlineStr">
        <is>
          <t>• Development priorities: No input received.
• Learning and Development Need: No input received.</t>
        </is>
      </c>
      <c r="FQ51" s="56" t="inlineStr">
        <is>
          <t>• Key challenges: No input received.
• Support required: No input received.</t>
        </is>
      </c>
      <c r="FR51" s="56" t="inlineStr">
        <is>
          <t>Complexity: Evidence reads like A3: Tags iXBRL files including complex ones for a quality-strict HMRC customer → matches the start
Autonomy: Evidence reads like A2: Only decision named is how to tag complex files → moved down 0.5
Accountability: Evidence reads like A2: Accuracy of own tagging output → moved down 0.5
Leadership: Evidence reads like A1: 'I guide iXBRL tagging' stated once; no people or team described → moved down 0.5
Business Impact: Moved +0.5: the survey / manager mapping marks it business-critical.</t>
        </is>
      </c>
      <c r="FS51"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1" s="56" t="inlineStr">
        <is>
          <t>Self-identified: Answered · no common topic
For the next role: Answered · no common topic</t>
        </is>
      </c>
      <c r="FU51" s="56" t="inlineStr">
        <is>
          <t>Per-person summary · CARBON Mapping Master</t>
        </is>
      </c>
    </row>
    <row r="52" ht="90" customHeight="1">
      <c r="A52" s="51" t="inlineStr">
        <is>
          <t>◂ Back</t>
        </is>
      </c>
      <c r="B52" s="29" t="inlineStr">
        <is>
          <t>Mapped</t>
        </is>
      </c>
      <c r="C52" s="28" t="inlineStr">
        <is>
          <t>CARBON</t>
        </is>
      </c>
      <c r="D52" s="29" t="inlineStr">
        <is>
          <t>IRIS0222</t>
        </is>
      </c>
      <c r="E52" s="29" t="inlineStr">
        <is>
          <t>Prerna Savaratkar</t>
        </is>
      </c>
      <c r="F52" s="29" t="inlineStr">
        <is>
          <t>Services</t>
        </is>
      </c>
      <c r="G52" s="29" t="inlineStr">
        <is>
          <t>Financial Analyst</t>
        </is>
      </c>
      <c r="H52" s="29" t="inlineStr">
        <is>
          <t>Senior Financial Analyst</t>
        </is>
      </c>
      <c r="I52" s="29" t="inlineStr">
        <is>
          <t>L3 – Professional / Associate</t>
        </is>
      </c>
      <c r="J52" s="29" t="inlineStr">
        <is>
          <t>A3</t>
        </is>
      </c>
      <c r="K52" s="29" t="inlineStr">
        <is>
          <t>▲ Up</t>
        </is>
      </c>
      <c r="L52" s="29" t="inlineStr">
        <is>
          <t>Consulting &amp; Professional Services</t>
        </is>
      </c>
      <c r="M52" s="29" t="inlineStr">
        <is>
          <t>XBRL Tagging, Conversion &amp; Filing</t>
        </is>
      </c>
      <c r="N52" s="29" t="n"/>
      <c r="O52" s="29" t="n">
        <v>19</v>
      </c>
      <c r="P52" s="28" t="inlineStr">
        <is>
          <t>P2</t>
        </is>
      </c>
      <c r="Q52" s="29" t="inlineStr">
        <is>
          <t>Developing</t>
        </is>
      </c>
      <c r="R52" s="29" t="inlineStr">
        <is>
          <t>3 Apply</t>
        </is>
      </c>
      <c r="S52" s="29" t="inlineStr">
        <is>
          <t>2–4 yrs</t>
        </is>
      </c>
      <c r="T52" s="29" t="inlineStr">
        <is>
          <t>3–5 · 2–5</t>
        </is>
      </c>
      <c r="U52" s="29" t="inlineStr">
        <is>
          <t>Senior Analyst / Associate</t>
        </is>
      </c>
      <c r="V52" s="29" t="inlineStr">
        <is>
          <t>DataTracks: Senior Associate · 2–5 yrs · Big Four: Consultant · IRIS Vs Market Benchmark — XBRL US credential pathway: XBRL US GAAP Certificate</t>
        </is>
      </c>
      <c r="W52" s="29" t="inlineStr">
        <is>
          <t>XBRL US GAAP Certificate · AICPA &amp; XBRL US; XBRL International specifications; IFRS / US GAAP / Ind AS</t>
        </is>
      </c>
      <c r="X52" s="29" t="inlineStr">
        <is>
          <t>Core 2 · Future 2 · Functional 3 · Leadership not scored</t>
        </is>
      </c>
      <c r="Y52" s="52" t="n">
        <v>40</v>
      </c>
      <c r="Z52" s="53" t="inlineStr">
        <is>
          <t>IRIS0222</t>
        </is>
      </c>
      <c r="AA52" s="53" t="inlineStr">
        <is>
          <t>Employee</t>
        </is>
      </c>
      <c r="AB52" s="53" t="inlineStr">
        <is>
          <t>Active</t>
        </is>
      </c>
      <c r="AC52" s="53" t="inlineStr">
        <is>
          <t>Prerna Savaratkar</t>
        </is>
      </c>
      <c r="AD52" s="54" t="n">
        <v>39722</v>
      </c>
      <c r="AE52" s="53" t="inlineStr">
        <is>
          <t>Financial Analyst</t>
        </is>
      </c>
      <c r="AF52" s="53" t="inlineStr">
        <is>
          <t>B.Com</t>
        </is>
      </c>
      <c r="AG52" s="53" t="inlineStr">
        <is>
          <t>Vipul Kurhade</t>
        </is>
      </c>
      <c r="AH52" s="53" t="inlineStr">
        <is>
          <t>N-8</t>
        </is>
      </c>
      <c r="AI52" s="53" t="inlineStr">
        <is>
          <t>Individual Contributor</t>
        </is>
      </c>
      <c r="AJ52" s="53" t="inlineStr">
        <is>
          <t>0 years, 0 months, 0 days</t>
        </is>
      </c>
      <c r="AK52" s="53" t="inlineStr">
        <is>
          <t>17 years, 10 months, 24 days</t>
        </is>
      </c>
      <c r="AL52" s="53" t="inlineStr">
        <is>
          <t>Regtech</t>
        </is>
      </c>
      <c r="AM52" s="53" t="inlineStr">
        <is>
          <t>CARBON</t>
        </is>
      </c>
      <c r="AN52" s="53" t="inlineStr">
        <is>
          <t>Services</t>
        </is>
      </c>
      <c r="AO52" s="53" t="inlineStr">
        <is>
          <t>Expert Assisted services</t>
        </is>
      </c>
      <c r="AP52" s="53" t="inlineStr">
        <is>
          <t>No</t>
        </is>
      </c>
      <c r="AQ52" s="53" t="inlineStr">
        <is>
          <t>Professional Services</t>
        </is>
      </c>
      <c r="AR52" s="53" t="inlineStr">
        <is>
          <t>XBRL Domain</t>
        </is>
      </c>
      <c r="AS52" s="53" t="inlineStr">
        <is>
          <t>Non-technical</t>
        </is>
      </c>
      <c r="AT52" s="53" t="n">
        <v>20</v>
      </c>
      <c r="AU52" s="53" t="inlineStr">
        <is>
          <t>Covered</t>
        </is>
      </c>
      <c r="AV52" s="53" t="inlineStr">
        <is>
          <t>IRIS0222</t>
        </is>
      </c>
      <c r="AW52" s="53" t="inlineStr">
        <is>
          <t>Prerna Savaratkar</t>
        </is>
      </c>
      <c r="AX52" s="53" t="inlineStr">
        <is>
          <t>Services</t>
        </is>
      </c>
      <c r="AY52" s="53" t="inlineStr">
        <is>
          <t>Professional Services</t>
        </is>
      </c>
      <c r="AZ52" s="53" t="inlineStr">
        <is>
          <t>XBRL / Regulatory Reporting</t>
        </is>
      </c>
      <c r="BA52" s="53" t="n"/>
      <c r="BB52" s="53" t="n"/>
      <c r="BC52" s="53" t="inlineStr">
        <is>
          <t>Employee</t>
        </is>
      </c>
      <c r="BD52" s="53" t="inlineStr">
        <is>
          <t>Vipul Kurhade</t>
        </is>
      </c>
      <c r="BE52" s="53" t="inlineStr">
        <is>
          <t>Vipul Kurhade</t>
        </is>
      </c>
      <c r="BF52" s="53" t="inlineStr">
        <is>
          <t>No</t>
        </is>
      </c>
      <c r="BG52" s="53" t="inlineStr">
        <is>
          <t>Financial Analyst</t>
        </is>
      </c>
      <c r="BH52" s="53" t="inlineStr">
        <is>
          <t>Services Specialist</t>
        </is>
      </c>
      <c r="BI52" s="53" t="inlineStr">
        <is>
          <t>Yes</t>
        </is>
      </c>
      <c r="BJ52" s="53" t="inlineStr">
        <is>
          <t>—</t>
        </is>
      </c>
      <c r="BK52" s="53" t="inlineStr">
        <is>
          <t>—</t>
        </is>
      </c>
      <c r="BL52" s="53" t="inlineStr">
        <is>
          <t>—</t>
        </is>
      </c>
      <c r="BM52" s="53" t="inlineStr">
        <is>
          <t>Not a manager</t>
        </is>
      </c>
      <c r="BN52" s="53" t="inlineStr">
        <is>
          <t>—</t>
        </is>
      </c>
      <c r="BO52" s="53" t="inlineStr">
        <is>
          <t>—</t>
        </is>
      </c>
      <c r="BP52" s="53" t="inlineStr">
        <is>
          <t>—</t>
        </is>
      </c>
      <c r="BQ52" s="53" t="inlineStr">
        <is>
          <t>Not a manager</t>
        </is>
      </c>
      <c r="BR52" s="53" t="inlineStr">
        <is>
          <t>—</t>
        </is>
      </c>
      <c r="BS52" s="53" t="inlineStr">
        <is>
          <t>L3 – Professional / Associate</t>
        </is>
      </c>
      <c r="BT52" s="53" t="inlineStr">
        <is>
          <t>L2</t>
        </is>
      </c>
      <c r="BU52" s="53" t="inlineStr">
        <is>
          <t>Matched from Title Hierarchy · new designation</t>
        </is>
      </c>
      <c r="BV5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2" s="53" t="n"/>
      <c r="BX52" s="53" t="inlineStr">
        <is>
          <t>UK - HMRC.</t>
        </is>
      </c>
      <c r="BY52" s="53" t="n"/>
      <c r="BZ52" s="53" t="inlineStr">
        <is>
          <t>IRIS0222</t>
        </is>
      </c>
      <c r="CA52" s="53" t="inlineStr">
        <is>
          <t>Employee</t>
        </is>
      </c>
      <c r="CB52" s="53" t="inlineStr">
        <is>
          <t>Active</t>
        </is>
      </c>
      <c r="CC52" s="53" t="inlineStr">
        <is>
          <t>Prerna Savaratkar</t>
        </is>
      </c>
      <c r="CD52" s="54" t="n">
        <v>39722</v>
      </c>
      <c r="CE52" s="53" t="inlineStr">
        <is>
          <t>Financial Analyst</t>
        </is>
      </c>
      <c r="CF52" s="53" t="n"/>
      <c r="CG52" s="53" t="inlineStr">
        <is>
          <t>Professional Services</t>
        </is>
      </c>
      <c r="CH52" s="53" t="inlineStr">
        <is>
          <t>XBRL / Regulatory Reporting</t>
        </is>
      </c>
      <c r="CI52" s="53" t="inlineStr">
        <is>
          <t>Financial Analyst</t>
        </is>
      </c>
      <c r="CJ52" s="53" t="inlineStr">
        <is>
          <t>L3 – Professional / Associate</t>
        </is>
      </c>
      <c r="CK52" s="53" t="inlineStr">
        <is>
          <t>Vipul Kurhade</t>
        </is>
      </c>
      <c r="CL52" s="53" t="inlineStr">
        <is>
          <t>N-8</t>
        </is>
      </c>
      <c r="CM52" s="53" t="inlineStr">
        <is>
          <t>Individual Contributor</t>
        </is>
      </c>
      <c r="CN52" s="53" t="inlineStr">
        <is>
          <t>Regtech</t>
        </is>
      </c>
      <c r="CO52" s="53" t="inlineStr">
        <is>
          <t>Services</t>
        </is>
      </c>
      <c r="CP52" s="53" t="inlineStr">
        <is>
          <t>17 years, 8 months, 19 days</t>
        </is>
      </c>
      <c r="CQ52" s="53" t="inlineStr">
        <is>
          <t>Services Specialist</t>
        </is>
      </c>
      <c r="CR52" s="53" t="n"/>
      <c r="CS52" s="53" t="n">
        <v>3</v>
      </c>
      <c r="CT52" s="53" t="inlineStr">
        <is>
          <t>Medium</t>
        </is>
      </c>
      <c r="CU52" s="53" t="inlineStr">
        <is>
          <t>Core Contributor</t>
        </is>
      </c>
      <c r="CV52" s="53" t="inlineStr">
        <is>
          <t>No</t>
        </is>
      </c>
      <c r="CW52" s="53" t="inlineStr">
        <is>
          <t>No</t>
        </is>
      </c>
      <c r="CX52" s="53" t="inlineStr">
        <is>
          <t>Yes</t>
        </is>
      </c>
      <c r="CY52" s="53" t="n"/>
      <c r="CZ52" s="53" t="n"/>
      <c r="DA52" s="53" t="n"/>
      <c r="DB52" s="53" t="inlineStr">
        <is>
          <t>Title to be standardized to : Services Specialist</t>
        </is>
      </c>
      <c r="DC52" s="53" t="n"/>
      <c r="DD52" s="53" t="n"/>
      <c r="DE52" s="53" t="n"/>
      <c r="DF52" s="53" t="n"/>
      <c r="DG52" s="53" t="n"/>
      <c r="DH52" s="53" t="n"/>
      <c r="DI52" s="53" t="n"/>
      <c r="DJ52" s="53" t="n"/>
      <c r="DK52" s="53" t="n"/>
      <c r="DL52" s="53" t="n"/>
      <c r="DM52" s="53" t="n"/>
      <c r="DN52" s="53" t="n"/>
      <c r="DO52" s="53" t="n"/>
      <c r="DP52" s="53" t="n"/>
      <c r="DQ52" s="53" t="n"/>
      <c r="DR52" s="53" t="n"/>
      <c r="DS52" s="53" t="n"/>
      <c r="DT52" s="53" t="n"/>
      <c r="DU52" s="53" t="n"/>
      <c r="DV52" s="53" t="n"/>
      <c r="DW52" s="53" t="n"/>
      <c r="DX52" s="53" t="n"/>
      <c r="DY52" s="53" t="n"/>
      <c r="DZ52" s="53" t="n"/>
      <c r="EA52" s="53" t="n"/>
      <c r="EB52" s="53" t="n"/>
      <c r="EC52" s="53" t="n"/>
      <c r="ED52" s="53" t="n"/>
      <c r="EE52" s="53" t="n"/>
      <c r="EF52" s="53" t="n"/>
      <c r="EG52" s="53" t="n"/>
      <c r="EH52" s="53" t="n"/>
      <c r="EI52" s="53" t="n"/>
      <c r="EJ52" s="53" t="n"/>
      <c r="EK52" s="53" t="n"/>
      <c r="EL52" s="53" t="n"/>
      <c r="EM52" s="53" t="n"/>
      <c r="EN52" s="53" t="n"/>
      <c r="EO52" s="53" t="n"/>
      <c r="EP52" s="53" t="n"/>
      <c r="EQ52" s="53" t="n"/>
      <c r="ER52" s="53" t="n"/>
      <c r="ES52" s="53" t="n"/>
      <c r="ET52" s="53" t="n"/>
      <c r="EU52" s="53" t="n"/>
      <c r="EV52" s="53" t="n"/>
      <c r="EW52" s="52" t="n"/>
      <c r="EX52" s="53" t="inlineStr">
        <is>
          <t>• Role / sub-team: Tagging Ixbrl - uk.</t>
        </is>
      </c>
      <c r="EY52" s="53" t="inlineStr">
        <is>
          <t>• Key responsibilities include: Downloads allocated files, loads and formats them in Carbon, completes tagging, and forwards to QC.
• Reported deliverables and outcomes include: After Tagging don, files share with QC analysts.</t>
        </is>
      </c>
      <c r="EZ52" s="53" t="inlineStr">
        <is>
          <t>• Current capabilities: Time management; Tools / software used: HTML - Editor | Carbon [Teams chat].</t>
        </is>
      </c>
      <c r="FA52" s="53" t="inlineStr">
        <is>
          <t>• Development priorities: No input received.
• Learning and Development Need: Setting a realistic goal.</t>
        </is>
      </c>
      <c r="FB52" s="53" t="inlineStr">
        <is>
          <t>• Key challenges: No input received.
• Support required: No input received.</t>
        </is>
      </c>
      <c r="FC52" s="53" t="n"/>
      <c r="FD52" s="53" t="n"/>
      <c r="FE5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2" s="56" t="n"/>
      <c r="FG52" s="56" t="n"/>
      <c r="FH52" s="56" t="n"/>
      <c r="FI52" s="56" t="n"/>
      <c r="FJ52" s="56" t="inlineStr">
        <is>
          <t>Received · manager annual</t>
        </is>
      </c>
      <c r="FK52" s="56" t="inlineStr">
        <is>
          <t>CARBON Mapping Master</t>
        </is>
      </c>
      <c r="FL52" s="56" t="n">
        <v>19</v>
      </c>
      <c r="FM52" s="56" t="inlineStr">
        <is>
          <t>• Role / sub-team: Tagging Ixbrl - uk.</t>
        </is>
      </c>
      <c r="FN52" s="56" t="inlineStr">
        <is>
          <t>• Key responsibilities include: Downloads allocated files, loads and formats them in Carbon, completes tagging, and forwards to QC.
• Reported deliverables and outcomes include: After Tagging don, files share with QC analysts.</t>
        </is>
      </c>
      <c r="FO52" s="56" t="inlineStr">
        <is>
          <t>• Current capabilities: Time management; Tools / software used: HTML - Editor | Carbon [Teams chat].</t>
        </is>
      </c>
      <c r="FP52" s="56" t="inlineStr">
        <is>
          <t>• Development priorities: No input received.
• Learning and Development Need: Setting a realistic goal.</t>
        </is>
      </c>
      <c r="FQ52" s="56" t="inlineStr">
        <is>
          <t>• Key challenges: No input received.
• Support required: No input received.</t>
        </is>
      </c>
      <c r="FR52" s="56" t="inlineStr">
        <is>
          <t>Complexity: Evidence reads like A3: Tags average, complex and special-case UK files · charity, banking, insurance; formatting, validation → moved up 0.5
Autonomy: Evidence reads like A2: Resolves routine errors within guidelines, with a team member's approval; files go to QC → matches the start
Accountability: Evidence reads like A2: Accuracy and timeliness of own tagged files, which pass to QC analysts → matches the start
Leadership: Evidence reads like A1: Discusses calls with the team; no guidance of others described → matches the start
Business Impact: Moved +0.5: the survey / manager mapping marks it business-critical.</t>
        </is>
      </c>
      <c r="FS5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2" s="56" t="inlineStr">
        <is>
          <t>Self-identified: Testing &amp; quality · Communication &amp; presentation
For the next role: Testing &amp; quality · Communication &amp; presentation</t>
        </is>
      </c>
      <c r="FU52" s="56" t="inlineStr">
        <is>
          <t>Per-person summary · CARBON Mapping Master</t>
        </is>
      </c>
    </row>
    <row r="53" ht="90" customHeight="1">
      <c r="A53" s="51" t="inlineStr">
        <is>
          <t>◂ Back</t>
        </is>
      </c>
      <c r="B53" s="29" t="inlineStr">
        <is>
          <t>Mapped</t>
        </is>
      </c>
      <c r="C53" s="28" t="inlineStr">
        <is>
          <t>CARBON</t>
        </is>
      </c>
      <c r="D53" s="29" t="inlineStr">
        <is>
          <t>IRIS0474</t>
        </is>
      </c>
      <c r="E53" s="29" t="inlineStr">
        <is>
          <t>Kiran Mane</t>
        </is>
      </c>
      <c r="F53" s="29" t="inlineStr">
        <is>
          <t>Services</t>
        </is>
      </c>
      <c r="G53" s="29" t="inlineStr">
        <is>
          <t>Financial Analyst</t>
        </is>
      </c>
      <c r="H53" s="29" t="inlineStr">
        <is>
          <t>Senior Financial Analyst</t>
        </is>
      </c>
      <c r="I53" s="29" t="inlineStr">
        <is>
          <t>L3 – Professional / Associate</t>
        </is>
      </c>
      <c r="J53" s="29" t="inlineStr">
        <is>
          <t>A3</t>
        </is>
      </c>
      <c r="K53" s="29" t="inlineStr">
        <is>
          <t>▲ Up</t>
        </is>
      </c>
      <c r="L53" s="29" t="inlineStr">
        <is>
          <t>Consulting &amp; Professional Services</t>
        </is>
      </c>
      <c r="M53" s="29" t="inlineStr">
        <is>
          <t>XBRL Tagging, Conversion &amp; Filing</t>
        </is>
      </c>
      <c r="N53" s="29" t="n"/>
      <c r="O53" s="29" t="n">
        <v>20</v>
      </c>
      <c r="P53" s="28" t="inlineStr">
        <is>
          <t>P2</t>
        </is>
      </c>
      <c r="Q53" s="29" t="inlineStr">
        <is>
          <t>Developing</t>
        </is>
      </c>
      <c r="R53" s="29" t="inlineStr">
        <is>
          <t>3 Apply</t>
        </is>
      </c>
      <c r="S53" s="29" t="inlineStr">
        <is>
          <t>2–4 yrs</t>
        </is>
      </c>
      <c r="T53" s="29" t="inlineStr">
        <is>
          <t>3–5 · 2–5</t>
        </is>
      </c>
      <c r="U53" s="29" t="inlineStr">
        <is>
          <t>Senior Analyst / Associate</t>
        </is>
      </c>
      <c r="V53" s="29" t="inlineStr">
        <is>
          <t>DataTracks: Senior Associate · 2–5 yrs · Big Four: Consultant · IRIS Vs Market Benchmark — XBRL US credential pathway: XBRL US GAAP Certificate</t>
        </is>
      </c>
      <c r="W53" s="29" t="inlineStr">
        <is>
          <t>XBRL US GAAP Certificate · AICPA &amp; XBRL US; XBRL International specifications; IFRS / US GAAP / Ind AS</t>
        </is>
      </c>
      <c r="X53" s="29" t="inlineStr">
        <is>
          <t>Core 2 · Future 2 · Functional 3 · Leadership not scored</t>
        </is>
      </c>
      <c r="Y53" s="52" t="n">
        <v>64</v>
      </c>
      <c r="Z53" s="53" t="inlineStr">
        <is>
          <t>IRIS0474</t>
        </is>
      </c>
      <c r="AA53" s="53" t="inlineStr">
        <is>
          <t>Employee</t>
        </is>
      </c>
      <c r="AB53" s="53" t="inlineStr">
        <is>
          <t>Active</t>
        </is>
      </c>
      <c r="AC53" s="53" t="inlineStr">
        <is>
          <t>Kiran Mane</t>
        </is>
      </c>
      <c r="AD53" s="54" t="n">
        <v>40512</v>
      </c>
      <c r="AE53" s="53" t="inlineStr">
        <is>
          <t>Financial Analyst</t>
        </is>
      </c>
      <c r="AF53" s="53" t="inlineStr">
        <is>
          <t>B.Com</t>
        </is>
      </c>
      <c r="AG53" s="53" t="inlineStr">
        <is>
          <t>Shailesh Kumar Sharma</t>
        </is>
      </c>
      <c r="AH53" s="53" t="inlineStr">
        <is>
          <t>N-7</t>
        </is>
      </c>
      <c r="AI53" s="53" t="inlineStr">
        <is>
          <t>Individual Contributor</t>
        </is>
      </c>
      <c r="AJ53" s="53" t="inlineStr">
        <is>
          <t>0 years, 0 months, 0 days</t>
        </is>
      </c>
      <c r="AK53" s="53" t="inlineStr">
        <is>
          <t>15 years, 8 months, 26 days</t>
        </is>
      </c>
      <c r="AL53" s="53" t="inlineStr">
        <is>
          <t>Regtech</t>
        </is>
      </c>
      <c r="AM53" s="53" t="inlineStr">
        <is>
          <t>CARBON</t>
        </is>
      </c>
      <c r="AN53" s="53" t="inlineStr">
        <is>
          <t>Services</t>
        </is>
      </c>
      <c r="AO53" s="53" t="inlineStr">
        <is>
          <t>Expert Assisted services</t>
        </is>
      </c>
      <c r="AP53" s="53" t="inlineStr">
        <is>
          <t>No</t>
        </is>
      </c>
      <c r="AQ53" s="53" t="inlineStr">
        <is>
          <t>Professional Services</t>
        </is>
      </c>
      <c r="AR53" s="53" t="inlineStr">
        <is>
          <t>XBRL Domain</t>
        </is>
      </c>
      <c r="AS53" s="53" t="inlineStr">
        <is>
          <t>Non-technical</t>
        </is>
      </c>
      <c r="AT53" s="53" t="n">
        <v>20</v>
      </c>
      <c r="AU53" s="53" t="inlineStr">
        <is>
          <t>Covered</t>
        </is>
      </c>
      <c r="AV53" s="53" t="inlineStr">
        <is>
          <t>IRIS0474</t>
        </is>
      </c>
      <c r="AW53" s="53" t="inlineStr">
        <is>
          <t>Kiran Mane</t>
        </is>
      </c>
      <c r="AX53" s="53" t="inlineStr">
        <is>
          <t>Services</t>
        </is>
      </c>
      <c r="AY53" s="53" t="inlineStr">
        <is>
          <t>Professional Services</t>
        </is>
      </c>
      <c r="AZ53" s="53" t="inlineStr">
        <is>
          <t>XBRL / Regulatory Reporting</t>
        </is>
      </c>
      <c r="BA53" s="53" t="n"/>
      <c r="BB53" s="53" t="n"/>
      <c r="BC53" s="53" t="inlineStr">
        <is>
          <t>Employee</t>
        </is>
      </c>
      <c r="BD53" s="53" t="inlineStr">
        <is>
          <t>Shailesh Kumar Sharma</t>
        </is>
      </c>
      <c r="BE53" s="53" t="inlineStr">
        <is>
          <t>Shailesh Kumar Sharma</t>
        </is>
      </c>
      <c r="BF53" s="53" t="inlineStr">
        <is>
          <t>No</t>
        </is>
      </c>
      <c r="BG53" s="53" t="inlineStr">
        <is>
          <t>Financial Analyst</t>
        </is>
      </c>
      <c r="BH53" s="53" t="inlineStr">
        <is>
          <t>Services Specialist</t>
        </is>
      </c>
      <c r="BI53" s="53" t="inlineStr">
        <is>
          <t>Yes</t>
        </is>
      </c>
      <c r="BJ53" s="53" t="inlineStr">
        <is>
          <t>—</t>
        </is>
      </c>
      <c r="BK53" s="53" t="inlineStr">
        <is>
          <t>—</t>
        </is>
      </c>
      <c r="BL53" s="53" t="inlineStr">
        <is>
          <t>—</t>
        </is>
      </c>
      <c r="BM53" s="53" t="inlineStr">
        <is>
          <t>Not a manager</t>
        </is>
      </c>
      <c r="BN53" s="53" t="inlineStr">
        <is>
          <t>—</t>
        </is>
      </c>
      <c r="BO53" s="53" t="inlineStr">
        <is>
          <t>—</t>
        </is>
      </c>
      <c r="BP53" s="53" t="inlineStr">
        <is>
          <t>—</t>
        </is>
      </c>
      <c r="BQ53" s="53" t="inlineStr">
        <is>
          <t>Not a manager</t>
        </is>
      </c>
      <c r="BR53" s="53" t="inlineStr">
        <is>
          <t>—</t>
        </is>
      </c>
      <c r="BS53" s="53" t="inlineStr">
        <is>
          <t>L3 – Professional / Associate</t>
        </is>
      </c>
      <c r="BT53" s="53" t="inlineStr">
        <is>
          <t>L2</t>
        </is>
      </c>
      <c r="BU53" s="53" t="inlineStr">
        <is>
          <t>Matched from Title Hierarchy · new designation</t>
        </is>
      </c>
      <c r="BV5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3" s="53" t="n"/>
      <c r="BX53" s="53" t="inlineStr">
        <is>
          <t>UK - HMRC; Europe - ESEF.</t>
        </is>
      </c>
      <c r="BY53" s="53" t="n"/>
      <c r="BZ53" s="53" t="inlineStr">
        <is>
          <t>IRIS0474</t>
        </is>
      </c>
      <c r="CA53" s="53" t="inlineStr">
        <is>
          <t>Employee</t>
        </is>
      </c>
      <c r="CB53" s="53" t="inlineStr">
        <is>
          <t>Active</t>
        </is>
      </c>
      <c r="CC53" s="53" t="inlineStr">
        <is>
          <t>Kiran Mane</t>
        </is>
      </c>
      <c r="CD53" s="54" t="n">
        <v>40512</v>
      </c>
      <c r="CE53" s="53" t="inlineStr">
        <is>
          <t>Financial Analyst</t>
        </is>
      </c>
      <c r="CF53" s="53" t="n"/>
      <c r="CG53" s="53" t="inlineStr">
        <is>
          <t>Professional Services</t>
        </is>
      </c>
      <c r="CH53" s="53" t="inlineStr">
        <is>
          <t>XBRL / Regulatory Reporting</t>
        </is>
      </c>
      <c r="CI53" s="53" t="inlineStr">
        <is>
          <t>Financial Analyst</t>
        </is>
      </c>
      <c r="CJ53" s="53" t="inlineStr">
        <is>
          <t>L3 – Professional / Associate</t>
        </is>
      </c>
      <c r="CK53" s="53" t="inlineStr">
        <is>
          <t>Shailesh Kumar Sharma</t>
        </is>
      </c>
      <c r="CL53" s="53" t="inlineStr">
        <is>
          <t>N-7</t>
        </is>
      </c>
      <c r="CM53" s="53" t="inlineStr">
        <is>
          <t>Individual Contributor</t>
        </is>
      </c>
      <c r="CN53" s="53" t="inlineStr">
        <is>
          <t>Regtech</t>
        </is>
      </c>
      <c r="CO53" s="53" t="inlineStr">
        <is>
          <t>Services</t>
        </is>
      </c>
      <c r="CP53" s="53" t="inlineStr">
        <is>
          <t>15 years, 6 months, 21 days</t>
        </is>
      </c>
      <c r="CQ53" s="53" t="inlineStr">
        <is>
          <t>Services Specialist</t>
        </is>
      </c>
      <c r="CR53" s="53" t="n"/>
      <c r="CS53" s="53" t="n">
        <v>3</v>
      </c>
      <c r="CT53" s="53" t="inlineStr">
        <is>
          <t>Medium</t>
        </is>
      </c>
      <c r="CU53" s="53" t="inlineStr">
        <is>
          <t>Core Contributor</t>
        </is>
      </c>
      <c r="CV53" s="53" t="inlineStr">
        <is>
          <t>No</t>
        </is>
      </c>
      <c r="CW53" s="53" t="inlineStr">
        <is>
          <t>No</t>
        </is>
      </c>
      <c r="CX53" s="53" t="inlineStr">
        <is>
          <t>Yes</t>
        </is>
      </c>
      <c r="CY53" s="53" t="n"/>
      <c r="CZ53" s="53" t="n"/>
      <c r="DA53" s="53" t="n"/>
      <c r="DB53" s="53" t="inlineStr">
        <is>
          <t>Title to be standardized to : Services Specialist</t>
        </is>
      </c>
      <c r="DC53" s="53" t="n"/>
      <c r="DD53" s="53" t="n"/>
      <c r="DE53" s="53" t="n"/>
      <c r="DF53" s="53" t="n"/>
      <c r="DG53" s="53" t="n"/>
      <c r="DH53" s="53" t="n"/>
      <c r="DI53" s="53" t="n"/>
      <c r="DJ53" s="53" t="n"/>
      <c r="DK53" s="53" t="n"/>
      <c r="DL53" s="53" t="n"/>
      <c r="DM53" s="53" t="n"/>
      <c r="DN53" s="53" t="n"/>
      <c r="DO53" s="53" t="n"/>
      <c r="DP53" s="53" t="n"/>
      <c r="DQ53" s="53" t="n"/>
      <c r="DR53" s="53" t="n"/>
      <c r="DS53" s="53" t="n"/>
      <c r="DT53" s="53" t="n"/>
      <c r="DU53" s="53" t="n"/>
      <c r="DV53" s="53" t="n"/>
      <c r="DW53" s="53" t="n"/>
      <c r="DX53" s="53" t="n"/>
      <c r="DY53" s="53" t="n"/>
      <c r="DZ53" s="53" t="n"/>
      <c r="EA53" s="53" t="n"/>
      <c r="EB53" s="53" t="n"/>
      <c r="EC53" s="53" t="n"/>
      <c r="ED53" s="53" t="n"/>
      <c r="EE53" s="53" t="n"/>
      <c r="EF53" s="53" t="n"/>
      <c r="EG53" s="53" t="n"/>
      <c r="EH53" s="53" t="n"/>
      <c r="EI53" s="53" t="n"/>
      <c r="EJ53" s="53" t="n"/>
      <c r="EK53" s="53" t="n"/>
      <c r="EL53" s="53" t="n"/>
      <c r="EM53" s="53" t="n"/>
      <c r="EN53" s="53" t="n"/>
      <c r="EO53" s="53" t="n"/>
      <c r="EP53" s="53" t="n"/>
      <c r="EQ53" s="53" t="n"/>
      <c r="ER53" s="53" t="n"/>
      <c r="ES53" s="53" t="n"/>
      <c r="ET53" s="53" t="n"/>
      <c r="EU53" s="53" t="n"/>
      <c r="EV53" s="53" t="n"/>
      <c r="EW53" s="52" t="n"/>
      <c r="EX53" s="53" t="inlineStr">
        <is>
          <t>• Role / sub-team: XBRL Conversion Services.</t>
        </is>
      </c>
      <c r="EY53" s="53" t="inlineStr">
        <is>
          <t>• Key responsibilities include: QC of UK files, ESMA files tagging.
• Reported deliverables and outcomes include: In UK after qc gives changes to tagger. In ESMA handover the file to PMO.</t>
        </is>
      </c>
      <c r="EZ53" s="53" t="inlineStr">
        <is>
          <t>• Current capabilities: Team bonding; Tools / software used: Carbon.</t>
        </is>
      </c>
      <c r="FA53" s="53" t="inlineStr">
        <is>
          <t>• Development priorities: No input received.
• Learning and Development Need: Proper coordination.</t>
        </is>
      </c>
      <c r="FB53" s="53" t="inlineStr">
        <is>
          <t>• Key challenges: No input received.
• Support required: No input received.</t>
        </is>
      </c>
      <c r="FC53" s="53" t="n"/>
      <c r="FD53" s="53" t="n"/>
      <c r="FE5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3" s="56" t="n"/>
      <c r="FG53" s="56" t="n"/>
      <c r="FH53" s="56" t="n"/>
      <c r="FI53" s="56" t="n"/>
      <c r="FJ53" s="56" t="inlineStr">
        <is>
          <t>Received · manager annual</t>
        </is>
      </c>
      <c r="FK53" s="56" t="inlineStr">
        <is>
          <t>CARBON Mapping Master</t>
        </is>
      </c>
      <c r="FL53" s="56" t="n">
        <v>20</v>
      </c>
      <c r="FM53" s="56" t="inlineStr">
        <is>
          <t>• Role / sub-team: XBRL Conversion Services.</t>
        </is>
      </c>
      <c r="FN53" s="56" t="inlineStr">
        <is>
          <t>• Key responsibilities include: QC of UK files, ESMA files tagging.
• Reported deliverables and outcomes include: In UK after qc gives changes to tagger. In ESMA handover the file to PMO.</t>
        </is>
      </c>
      <c r="FO53" s="56" t="inlineStr">
        <is>
          <t>• Current capabilities: Team bonding; Tools / software used: Carbon.</t>
        </is>
      </c>
      <c r="FP53" s="56" t="inlineStr">
        <is>
          <t>• Development priorities: No input received.
• Learning and Development Need: Proper coordination.</t>
        </is>
      </c>
      <c r="FQ53" s="56" t="inlineStr">
        <is>
          <t>• Key challenges: No input received.
• Support required: No input received.</t>
        </is>
      </c>
      <c r="FR53" s="56" t="inlineStr">
        <is>
          <t>Complexity: Evidence reads like A3: QCs UK iXBRL files and tags ESEF files; validation error analysis across two taxonomies → moved up 0.5
Autonomy: Evidence reads like A2: Corrects issues within the defined process; raises others for clarification → matches the start
Accountability: Evidence reads like A3: Final filing meeting HMRC / ESEF rules; errors must be caught before submission → moved up 0.5
Leadership: Evidence reads like A3: QC reviewer: returns changes to taggers on UK files → moved up 1
Business Impact: Moved +0.5: the survey / manager mapping marks it business-critical.</t>
        </is>
      </c>
      <c r="FS5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3" s="56" t="inlineStr">
        <is>
          <t>Self-identified: AI / automation · Domain, regulatory &amp; XBRL · Broader exposure &amp; ownership
For the next role: AI / automation · Domain, regulatory &amp; XBRL · Client, sales &amp; stakeholders · Broader exposure &amp; ownership</t>
        </is>
      </c>
      <c r="FU53" s="56" t="inlineStr">
        <is>
          <t>Per-person summary · CARBON Mapping Master</t>
        </is>
      </c>
    </row>
    <row r="54" ht="90" customHeight="1">
      <c r="A54" s="51" t="inlineStr">
        <is>
          <t>◂ Back</t>
        </is>
      </c>
      <c r="B54" s="29" t="inlineStr">
        <is>
          <t>Mapped</t>
        </is>
      </c>
      <c r="C54" s="28" t="inlineStr">
        <is>
          <t>CARBON</t>
        </is>
      </c>
      <c r="D54" s="29" t="inlineStr">
        <is>
          <t>IRIS0520</t>
        </is>
      </c>
      <c r="E54" s="29" t="inlineStr">
        <is>
          <t>Mandar Vatare</t>
        </is>
      </c>
      <c r="F54" s="29" t="inlineStr">
        <is>
          <t>Services</t>
        </is>
      </c>
      <c r="G54" s="29" t="inlineStr">
        <is>
          <t>Financial Analyst</t>
        </is>
      </c>
      <c r="H54" s="29" t="inlineStr">
        <is>
          <t>Senior Financial Analyst</t>
        </is>
      </c>
      <c r="I54" s="29" t="inlineStr">
        <is>
          <t>L3 – Professional / Associate</t>
        </is>
      </c>
      <c r="J54" s="29" t="inlineStr">
        <is>
          <t>A3</t>
        </is>
      </c>
      <c r="K54" s="29" t="inlineStr">
        <is>
          <t>▲ Up</t>
        </is>
      </c>
      <c r="L54" s="29" t="inlineStr">
        <is>
          <t>Consulting &amp; Professional Services</t>
        </is>
      </c>
      <c r="M54" s="29" t="inlineStr">
        <is>
          <t>XBRL Tagging, Conversion &amp; Filing</t>
        </is>
      </c>
      <c r="N54" s="29" t="n"/>
      <c r="O54" s="29" t="n">
        <v>20</v>
      </c>
      <c r="P54" s="28" t="inlineStr">
        <is>
          <t>P2</t>
        </is>
      </c>
      <c r="Q54" s="29" t="inlineStr">
        <is>
          <t>Developing</t>
        </is>
      </c>
      <c r="R54" s="29" t="inlineStr">
        <is>
          <t>3 Apply</t>
        </is>
      </c>
      <c r="S54" s="29" t="inlineStr">
        <is>
          <t>2–4 yrs</t>
        </is>
      </c>
      <c r="T54" s="29" t="inlineStr">
        <is>
          <t>3–5 · 2–5</t>
        </is>
      </c>
      <c r="U54" s="29" t="inlineStr">
        <is>
          <t>Senior Analyst / Associate</t>
        </is>
      </c>
      <c r="V54" s="29" t="inlineStr">
        <is>
          <t>DataTracks: Senior Associate · 2–5 yrs · Big Four: Consultant · IRIS Vs Market Benchmark — XBRL US credential pathway: XBRL US GAAP Certificate</t>
        </is>
      </c>
      <c r="W54" s="29" t="inlineStr">
        <is>
          <t>XBRL US GAAP Certificate · AICPA &amp; XBRL US; XBRL International specifications; IFRS / US GAAP / Ind AS</t>
        </is>
      </c>
      <c r="X54" s="29" t="inlineStr">
        <is>
          <t>Core 2 · Future 2 · Functional 3 · Leadership not scored</t>
        </is>
      </c>
      <c r="Y54" s="52" t="n">
        <v>55</v>
      </c>
      <c r="Z54" s="53" t="inlineStr">
        <is>
          <t>IRIS0520</t>
        </is>
      </c>
      <c r="AA54" s="53" t="inlineStr">
        <is>
          <t>Employee</t>
        </is>
      </c>
      <c r="AB54" s="53" t="inlineStr">
        <is>
          <t>Active</t>
        </is>
      </c>
      <c r="AC54" s="53" t="inlineStr">
        <is>
          <t>Mandar Vatare</t>
        </is>
      </c>
      <c r="AD54" s="54" t="n">
        <v>40325</v>
      </c>
      <c r="AE54" s="53" t="inlineStr">
        <is>
          <t>Financial Analyst</t>
        </is>
      </c>
      <c r="AF54" s="53" t="inlineStr">
        <is>
          <t>B.Com</t>
        </is>
      </c>
      <c r="AG54" s="53" t="inlineStr">
        <is>
          <t>Shailesh Kumar Sharma</t>
        </is>
      </c>
      <c r="AH54" s="53" t="inlineStr">
        <is>
          <t>N-7</t>
        </is>
      </c>
      <c r="AI54" s="53" t="inlineStr">
        <is>
          <t>Individual Contributor</t>
        </is>
      </c>
      <c r="AJ54" s="53" t="inlineStr">
        <is>
          <t>1 years, 0 months, 0 days</t>
        </is>
      </c>
      <c r="AK54" s="53" t="inlineStr">
        <is>
          <t>16 years, 2 months, 29 days</t>
        </is>
      </c>
      <c r="AL54" s="53" t="inlineStr">
        <is>
          <t>Regtech</t>
        </is>
      </c>
      <c r="AM54" s="53" t="inlineStr">
        <is>
          <t>CARBON</t>
        </is>
      </c>
      <c r="AN54" s="53" t="inlineStr">
        <is>
          <t>Services</t>
        </is>
      </c>
      <c r="AO54" s="53" t="inlineStr">
        <is>
          <t>Expert Assisted services</t>
        </is>
      </c>
      <c r="AP54" s="53" t="inlineStr">
        <is>
          <t>No</t>
        </is>
      </c>
      <c r="AQ54" s="53" t="inlineStr">
        <is>
          <t>Professional Services</t>
        </is>
      </c>
      <c r="AR54" s="53" t="inlineStr">
        <is>
          <t>XBRL Domain</t>
        </is>
      </c>
      <c r="AS54" s="53" t="inlineStr">
        <is>
          <t>Non-technical</t>
        </is>
      </c>
      <c r="AT54" s="53" t="n">
        <v>20</v>
      </c>
      <c r="AU54" s="53" t="inlineStr">
        <is>
          <t>Covered</t>
        </is>
      </c>
      <c r="AV54" s="53" t="inlineStr">
        <is>
          <t>IRIS0520</t>
        </is>
      </c>
      <c r="AW54" s="53" t="inlineStr">
        <is>
          <t>Mandar Vatare</t>
        </is>
      </c>
      <c r="AX54" s="53" t="inlineStr">
        <is>
          <t>Services</t>
        </is>
      </c>
      <c r="AY54" s="53" t="inlineStr">
        <is>
          <t>Professional Services</t>
        </is>
      </c>
      <c r="AZ54" s="53" t="inlineStr">
        <is>
          <t>XBRL / Regulatory Reporting</t>
        </is>
      </c>
      <c r="BA54" s="53" t="n"/>
      <c r="BB54" s="53" t="n"/>
      <c r="BC54" s="53" t="inlineStr">
        <is>
          <t>Employee</t>
        </is>
      </c>
      <c r="BD54" s="53" t="inlineStr">
        <is>
          <t>Shailesh Kumar Sharma</t>
        </is>
      </c>
      <c r="BE54" s="53" t="inlineStr">
        <is>
          <t>Shailesh Kumar Sharma</t>
        </is>
      </c>
      <c r="BF54" s="53" t="inlineStr">
        <is>
          <t>No</t>
        </is>
      </c>
      <c r="BG54" s="53" t="inlineStr">
        <is>
          <t>Financial Analyst</t>
        </is>
      </c>
      <c r="BH54" s="53" t="inlineStr">
        <is>
          <t>Services Specialist</t>
        </is>
      </c>
      <c r="BI54" s="53" t="inlineStr">
        <is>
          <t>Yes</t>
        </is>
      </c>
      <c r="BJ54" s="53" t="inlineStr">
        <is>
          <t>—</t>
        </is>
      </c>
      <c r="BK54" s="53" t="inlineStr">
        <is>
          <t>—</t>
        </is>
      </c>
      <c r="BL54" s="53" t="inlineStr">
        <is>
          <t>—</t>
        </is>
      </c>
      <c r="BM54" s="53" t="inlineStr">
        <is>
          <t>Not a manager</t>
        </is>
      </c>
      <c r="BN54" s="53" t="inlineStr">
        <is>
          <t>—</t>
        </is>
      </c>
      <c r="BO54" s="53" t="inlineStr">
        <is>
          <t>—</t>
        </is>
      </c>
      <c r="BP54" s="53" t="inlineStr">
        <is>
          <t>—</t>
        </is>
      </c>
      <c r="BQ54" s="53" t="inlineStr">
        <is>
          <t>Not a manager</t>
        </is>
      </c>
      <c r="BR54" s="53" t="inlineStr">
        <is>
          <t>—</t>
        </is>
      </c>
      <c r="BS54" s="53" t="inlineStr">
        <is>
          <t>L3 – Professional / Associate</t>
        </is>
      </c>
      <c r="BT54" s="53" t="inlineStr">
        <is>
          <t>L2</t>
        </is>
      </c>
      <c r="BU54" s="53" t="inlineStr">
        <is>
          <t>Matched from Title Hierarchy · new designation</t>
        </is>
      </c>
      <c r="BV5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4" s="53" t="n"/>
      <c r="BX54" s="53" t="inlineStr">
        <is>
          <t>UK - HMRC; Europe - ESEF; Netherland - KVK.</t>
        </is>
      </c>
      <c r="BY54" s="53" t="n"/>
      <c r="BZ54" s="53" t="inlineStr">
        <is>
          <t>IRIS0520</t>
        </is>
      </c>
      <c r="CA54" s="53" t="inlineStr">
        <is>
          <t>Employee</t>
        </is>
      </c>
      <c r="CB54" s="53" t="inlineStr">
        <is>
          <t>Active</t>
        </is>
      </c>
      <c r="CC54" s="53" t="inlineStr">
        <is>
          <t>Mandar Vatare</t>
        </is>
      </c>
      <c r="CD54" s="54" t="n">
        <v>40325</v>
      </c>
      <c r="CE54" s="53" t="inlineStr">
        <is>
          <t>Financial Analyst</t>
        </is>
      </c>
      <c r="CF54" s="53" t="n"/>
      <c r="CG54" s="53" t="inlineStr">
        <is>
          <t>Professional Services</t>
        </is>
      </c>
      <c r="CH54" s="53" t="inlineStr">
        <is>
          <t>XBRL / Regulatory Reporting</t>
        </is>
      </c>
      <c r="CI54" s="53" t="inlineStr">
        <is>
          <t>Financial Analyst</t>
        </is>
      </c>
      <c r="CJ54" s="53" t="inlineStr">
        <is>
          <t>L3 – Professional / Associate</t>
        </is>
      </c>
      <c r="CK54" s="53" t="inlineStr">
        <is>
          <t>Shailesh Kumar Sharma</t>
        </is>
      </c>
      <c r="CL54" s="53" t="inlineStr">
        <is>
          <t>N-7</t>
        </is>
      </c>
      <c r="CM54" s="53" t="inlineStr">
        <is>
          <t>Individual Contributor</t>
        </is>
      </c>
      <c r="CN54" s="53" t="inlineStr">
        <is>
          <t>Regtech</t>
        </is>
      </c>
      <c r="CO54" s="53" t="inlineStr">
        <is>
          <t>Services</t>
        </is>
      </c>
      <c r="CP54" s="53" t="inlineStr">
        <is>
          <t>17 years, 0 months, 24 days</t>
        </is>
      </c>
      <c r="CQ54" s="53" t="inlineStr">
        <is>
          <t>Services Specialist</t>
        </is>
      </c>
      <c r="CR54" s="53" t="n"/>
      <c r="CS54" s="53" t="n">
        <v>3</v>
      </c>
      <c r="CT54" s="53" t="inlineStr">
        <is>
          <t>Medium</t>
        </is>
      </c>
      <c r="CU54" s="53" t="inlineStr">
        <is>
          <t>Core Contributor</t>
        </is>
      </c>
      <c r="CV54" s="53" t="inlineStr">
        <is>
          <t>No</t>
        </is>
      </c>
      <c r="CW54" s="53" t="inlineStr">
        <is>
          <t>No</t>
        </is>
      </c>
      <c r="CX54" s="53" t="inlineStr">
        <is>
          <t>Yes</t>
        </is>
      </c>
      <c r="CY54" s="53" t="n"/>
      <c r="CZ54" s="53" t="n"/>
      <c r="DA54" s="53" t="n"/>
      <c r="DB54" s="53" t="inlineStr">
        <is>
          <t>Title to be standardized to : Services Specialist</t>
        </is>
      </c>
      <c r="DC54" s="53" t="n"/>
      <c r="DD54" s="53" t="n"/>
      <c r="DE54" s="53" t="n"/>
      <c r="DF54" s="53" t="n"/>
      <c r="DG54" s="53" t="n"/>
      <c r="DH54" s="53" t="n"/>
      <c r="DI54" s="53" t="n"/>
      <c r="DJ54" s="53" t="n"/>
      <c r="DK54" s="53" t="n"/>
      <c r="DL54" s="53" t="n"/>
      <c r="DM54" s="53" t="n"/>
      <c r="DN54" s="53" t="n"/>
      <c r="DO54" s="53" t="n"/>
      <c r="DP54" s="53" t="n"/>
      <c r="DQ54" s="53" t="n"/>
      <c r="DR54" s="53" t="n"/>
      <c r="DS54" s="53" t="n"/>
      <c r="DT54" s="53" t="n"/>
      <c r="DU54" s="53" t="n"/>
      <c r="DV54" s="53" t="n"/>
      <c r="DW54" s="53" t="n"/>
      <c r="DX54" s="53" t="n"/>
      <c r="DY54" s="53" t="n"/>
      <c r="DZ54" s="53" t="n"/>
      <c r="EA54" s="53" t="n"/>
      <c r="EB54" s="53" t="n"/>
      <c r="EC54" s="53" t="n"/>
      <c r="ED54" s="53" t="n"/>
      <c r="EE54" s="53" t="n"/>
      <c r="EF54" s="53" t="n"/>
      <c r="EG54" s="53" t="n"/>
      <c r="EH54" s="53" t="n"/>
      <c r="EI54" s="53" t="n"/>
      <c r="EJ54" s="53" t="n"/>
      <c r="EK54" s="53" t="n"/>
      <c r="EL54" s="53" t="n"/>
      <c r="EM54" s="53" t="n"/>
      <c r="EN54" s="53" t="n"/>
      <c r="EO54" s="53" t="n"/>
      <c r="EP54" s="53" t="n"/>
      <c r="EQ54" s="53" t="n"/>
      <c r="ER54" s="53" t="n"/>
      <c r="ES54" s="53" t="n"/>
      <c r="ET54" s="53" t="n"/>
      <c r="EU54" s="53" t="n"/>
      <c r="EV54" s="53" t="n"/>
      <c r="EW54" s="52" t="n"/>
      <c r="EX54" s="53" t="inlineStr">
        <is>
          <t>• Role / sub-team: Quality Check analyst XCS- Uk, XBRL Tagging in EU &amp; KVK.</t>
        </is>
      </c>
      <c r="EY54" s="53" t="inlineStr">
        <is>
          <t>• Key responsibilities include: Tagging, QC &amp; Edits in EU &amp; KVK files.
• Reported deliverables and outcomes include: Email the final files to CEM.</t>
        </is>
      </c>
      <c r="EZ54" s="53" t="inlineStr">
        <is>
          <t>• Current capabilities: Time management; Good team communication; Tools / software used: Both.</t>
        </is>
      </c>
      <c r="FA54" s="53" t="inlineStr">
        <is>
          <t>• Development priorities: No input received.
• Learning and Development Need: Time management.</t>
        </is>
      </c>
      <c r="FB54" s="53" t="inlineStr">
        <is>
          <t>• Key challenges: Remote desktop - VPN.
• Support required: No input received.</t>
        </is>
      </c>
      <c r="FC54" s="53" t="n"/>
      <c r="FD54" s="53" t="n"/>
      <c r="FE5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4" s="56" t="n"/>
      <c r="FG54" s="56" t="n"/>
      <c r="FH54" s="56" t="n"/>
      <c r="FI54" s="56" t="n"/>
      <c r="FJ54" s="56" t="inlineStr">
        <is>
          <t>Received · manager annual</t>
        </is>
      </c>
      <c r="FK54" s="56" t="inlineStr">
        <is>
          <t>CARBON Mapping Master</t>
        </is>
      </c>
      <c r="FL54" s="56" t="n">
        <v>20</v>
      </c>
      <c r="FM54" s="56" t="inlineStr">
        <is>
          <t>• Role / sub-team: Quality Check analyst XCS- Uk, XBRL Tagging in EU &amp; KVK.</t>
        </is>
      </c>
      <c r="FN54" s="56" t="inlineStr">
        <is>
          <t>• Key responsibilities include: Tagging, QC &amp; Edits in EU &amp; KVK files.
• Reported deliverables and outcomes include: Email the final files to CEM.</t>
        </is>
      </c>
      <c r="FO54" s="56" t="inlineStr">
        <is>
          <t>• Current capabilities: Time management; Good team communication; Tools / software used: Both.</t>
        </is>
      </c>
      <c r="FP54" s="56" t="inlineStr">
        <is>
          <t>• Development priorities: No input received.
• Learning and Development Need: Time management.</t>
        </is>
      </c>
      <c r="FQ54" s="56" t="inlineStr">
        <is>
          <t>• Key challenges: Remote desktop - VPN.
• Support required: No input received.</t>
        </is>
      </c>
      <c r="FR54" s="56" t="inlineStr">
        <is>
          <t>Complexity: Evidence reads like A3: QC of iXBRL reports plus ESMA and KVK tagging, tag selection, validation error resolution → moved up 0.5
Autonomy: Evidence reads like A2: Selects tags and makes corrections; resolves only standard validation issues alone → matches the start
Accountability: Evidence reads like A3: Completeness of QC checklist and review before finalisation; final files emailed to CEM → moved up 0.5
Leadership: Evidence reads like A3: QC analyst reviewing and editing other taggers' files → moved up 1
Business Impact: Moved +0.5: the survey / manager mapping marks it business-critical.</t>
        </is>
      </c>
      <c r="FS5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4" s="56" t="inlineStr">
        <is>
          <t>Self-identified: AI / automation · Domain, regulatory &amp; XBRL · Broader exposure &amp; ownership
For the next role: AI / automation · Leadership &amp; people management · Domain, regulatory &amp; XBRL · Broader exposure &amp; ownership</t>
        </is>
      </c>
      <c r="FU54" s="56" t="inlineStr">
        <is>
          <t>Per-person summary · CARBON Mapping Master</t>
        </is>
      </c>
    </row>
    <row r="55" ht="90" customHeight="1">
      <c r="A55" s="51" t="inlineStr">
        <is>
          <t>◂ Back</t>
        </is>
      </c>
      <c r="B55" s="29" t="inlineStr">
        <is>
          <t>Mapped</t>
        </is>
      </c>
      <c r="C55" s="28" t="inlineStr">
        <is>
          <t>CARBON</t>
        </is>
      </c>
      <c r="D55" s="29" t="inlineStr">
        <is>
          <t>IRIS0466</t>
        </is>
      </c>
      <c r="E55" s="29" t="inlineStr">
        <is>
          <t>Nirmala Kalyadappu</t>
        </is>
      </c>
      <c r="F55" s="29" t="inlineStr">
        <is>
          <t>Services</t>
        </is>
      </c>
      <c r="G55" s="29" t="inlineStr">
        <is>
          <t>Financial Analyst</t>
        </is>
      </c>
      <c r="H55" s="29" t="inlineStr">
        <is>
          <t>Senior Financial Analyst</t>
        </is>
      </c>
      <c r="I55" s="29" t="inlineStr">
        <is>
          <t>L3 – Professional / Associate</t>
        </is>
      </c>
      <c r="J55" s="29" t="inlineStr">
        <is>
          <t>A3</t>
        </is>
      </c>
      <c r="K55" s="29" t="inlineStr">
        <is>
          <t>▲ Up</t>
        </is>
      </c>
      <c r="L55" s="29" t="inlineStr">
        <is>
          <t>Consulting &amp; Professional Services</t>
        </is>
      </c>
      <c r="M55" s="29" t="inlineStr">
        <is>
          <t>XBRL Tagging, Conversion &amp; Filing</t>
        </is>
      </c>
      <c r="N55" s="29" t="n"/>
      <c r="O55" s="29" t="n">
        <v>20</v>
      </c>
      <c r="P55" s="28" t="inlineStr">
        <is>
          <t>P2</t>
        </is>
      </c>
      <c r="Q55" s="29" t="inlineStr">
        <is>
          <t>Developing</t>
        </is>
      </c>
      <c r="R55" s="29" t="inlineStr">
        <is>
          <t>3 Apply</t>
        </is>
      </c>
      <c r="S55" s="29" t="inlineStr">
        <is>
          <t>2–4 yrs</t>
        </is>
      </c>
      <c r="T55" s="29" t="inlineStr">
        <is>
          <t>3–5 · 2–5</t>
        </is>
      </c>
      <c r="U55" s="29" t="inlineStr">
        <is>
          <t>Senior Analyst / Associate</t>
        </is>
      </c>
      <c r="V55" s="29" t="inlineStr">
        <is>
          <t>DataTracks: Senior Associate · 2–5 yrs · Big Four: Consultant · IRIS Vs Market Benchmark — XBRL US credential pathway: XBRL US GAAP Certificate</t>
        </is>
      </c>
      <c r="W55" s="29" t="inlineStr">
        <is>
          <t>XBRL US GAAP Certificate · AICPA &amp; XBRL US; XBRL International specifications; IFRS / US GAAP / Ind AS</t>
        </is>
      </c>
      <c r="X55" s="29" t="inlineStr">
        <is>
          <t>Core 2 · Future 2 · Functional 3 · Leadership not scored</t>
        </is>
      </c>
      <c r="Y55" s="52" t="n">
        <v>62</v>
      </c>
      <c r="Z55" s="53" t="inlineStr">
        <is>
          <t>IRIS0466</t>
        </is>
      </c>
      <c r="AA55" s="53" t="inlineStr">
        <is>
          <t>Employee</t>
        </is>
      </c>
      <c r="AB55" s="53" t="inlineStr">
        <is>
          <t>Active</t>
        </is>
      </c>
      <c r="AC55" s="53" t="inlineStr">
        <is>
          <t>Nirmala Kalyadappu</t>
        </is>
      </c>
      <c r="AD55" s="54" t="n">
        <v>40511</v>
      </c>
      <c r="AE55" s="53" t="inlineStr">
        <is>
          <t>Financial Analyst</t>
        </is>
      </c>
      <c r="AF55" s="53" t="inlineStr">
        <is>
          <t>B.Com</t>
        </is>
      </c>
      <c r="AG55" s="53" t="inlineStr">
        <is>
          <t>Shailesh Kumar Sharma</t>
        </is>
      </c>
      <c r="AH55" s="53" t="inlineStr">
        <is>
          <t>N-7</t>
        </is>
      </c>
      <c r="AI55" s="53" t="inlineStr">
        <is>
          <t>Individual Contributor</t>
        </is>
      </c>
      <c r="AJ55" s="53" t="inlineStr">
        <is>
          <t>1 years, 1 months, 0 days</t>
        </is>
      </c>
      <c r="AK55" s="53" t="inlineStr">
        <is>
          <t>15 years, 8 months, 27 days</t>
        </is>
      </c>
      <c r="AL55" s="53" t="inlineStr">
        <is>
          <t>Regtech</t>
        </is>
      </c>
      <c r="AM55" s="53" t="inlineStr">
        <is>
          <t>CARBON</t>
        </is>
      </c>
      <c r="AN55" s="53" t="inlineStr">
        <is>
          <t>Services</t>
        </is>
      </c>
      <c r="AO55" s="53" t="inlineStr">
        <is>
          <t>Expert Assisted services</t>
        </is>
      </c>
      <c r="AP55" s="53" t="inlineStr">
        <is>
          <t>No</t>
        </is>
      </c>
      <c r="AQ55" s="53" t="inlineStr">
        <is>
          <t>Professional Services</t>
        </is>
      </c>
      <c r="AR55" s="53" t="inlineStr">
        <is>
          <t>XBRL Domain</t>
        </is>
      </c>
      <c r="AS55" s="53" t="inlineStr">
        <is>
          <t>Non-technical</t>
        </is>
      </c>
      <c r="AT55" s="53" t="n">
        <v>20</v>
      </c>
      <c r="AU55" s="53" t="inlineStr">
        <is>
          <t>Covered</t>
        </is>
      </c>
      <c r="AV55" s="53" t="inlineStr">
        <is>
          <t>IRIS0466</t>
        </is>
      </c>
      <c r="AW55" s="53" t="inlineStr">
        <is>
          <t>Nirmala Kalyadappu</t>
        </is>
      </c>
      <c r="AX55" s="53" t="inlineStr">
        <is>
          <t>Services</t>
        </is>
      </c>
      <c r="AY55" s="53" t="inlineStr">
        <is>
          <t>Professional Services</t>
        </is>
      </c>
      <c r="AZ55" s="53" t="inlineStr">
        <is>
          <t>XBRL / Regulatory Reporting</t>
        </is>
      </c>
      <c r="BA55" s="53" t="n"/>
      <c r="BB55" s="53" t="n"/>
      <c r="BC55" s="53" t="inlineStr">
        <is>
          <t>Employee</t>
        </is>
      </c>
      <c r="BD55" s="53" t="inlineStr">
        <is>
          <t>Shailesh Kumar Sharma</t>
        </is>
      </c>
      <c r="BE55" s="53" t="inlineStr">
        <is>
          <t>Shailesh Kumar Sharma</t>
        </is>
      </c>
      <c r="BF55" s="53" t="inlineStr">
        <is>
          <t>No</t>
        </is>
      </c>
      <c r="BG55" s="53" t="inlineStr">
        <is>
          <t>Financial Analyst</t>
        </is>
      </c>
      <c r="BH55" s="53" t="inlineStr">
        <is>
          <t>Services Specialist</t>
        </is>
      </c>
      <c r="BI55" s="53" t="inlineStr">
        <is>
          <t>Yes</t>
        </is>
      </c>
      <c r="BJ55" s="53" t="inlineStr">
        <is>
          <t>—</t>
        </is>
      </c>
      <c r="BK55" s="53" t="inlineStr">
        <is>
          <t>—</t>
        </is>
      </c>
      <c r="BL55" s="53" t="inlineStr">
        <is>
          <t>—</t>
        </is>
      </c>
      <c r="BM55" s="53" t="inlineStr">
        <is>
          <t>Not a manager</t>
        </is>
      </c>
      <c r="BN55" s="53" t="inlineStr">
        <is>
          <t>—</t>
        </is>
      </c>
      <c r="BO55" s="53" t="inlineStr">
        <is>
          <t>—</t>
        </is>
      </c>
      <c r="BP55" s="53" t="inlineStr">
        <is>
          <t>—</t>
        </is>
      </c>
      <c r="BQ55" s="53" t="inlineStr">
        <is>
          <t>Not a manager</t>
        </is>
      </c>
      <c r="BR55" s="53" t="inlineStr">
        <is>
          <t>—</t>
        </is>
      </c>
      <c r="BS55" s="53" t="inlineStr">
        <is>
          <t>L3 – Professional / Associate</t>
        </is>
      </c>
      <c r="BT55" s="53" t="inlineStr">
        <is>
          <t>L2</t>
        </is>
      </c>
      <c r="BU55" s="53" t="inlineStr">
        <is>
          <t>Matched from Title Hierarchy · new designation</t>
        </is>
      </c>
      <c r="BV5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5" s="53" t="n"/>
      <c r="BX55" s="53" t="inlineStr">
        <is>
          <t>Europe - ESEF; UK - HMRC.</t>
        </is>
      </c>
      <c r="BY55" s="53" t="n"/>
      <c r="BZ55" s="53" t="inlineStr">
        <is>
          <t>IRIS0466</t>
        </is>
      </c>
      <c r="CA55" s="53" t="inlineStr">
        <is>
          <t>Employee</t>
        </is>
      </c>
      <c r="CB55" s="53" t="inlineStr">
        <is>
          <t>Active</t>
        </is>
      </c>
      <c r="CC55" s="53" t="inlineStr">
        <is>
          <t>Nirmala Kalyadappu</t>
        </is>
      </c>
      <c r="CD55" s="54" t="n">
        <v>40511</v>
      </c>
      <c r="CE55" s="53" t="inlineStr">
        <is>
          <t>Financial Analyst</t>
        </is>
      </c>
      <c r="CF55" s="53" t="n"/>
      <c r="CG55" s="53" t="inlineStr">
        <is>
          <t>Professional Services</t>
        </is>
      </c>
      <c r="CH55" s="53" t="inlineStr">
        <is>
          <t>XBRL / Regulatory Reporting</t>
        </is>
      </c>
      <c r="CI55" s="53" t="inlineStr">
        <is>
          <t>Financial Analyst</t>
        </is>
      </c>
      <c r="CJ55" s="53" t="inlineStr">
        <is>
          <t>L3 – Professional / Associate</t>
        </is>
      </c>
      <c r="CK55" s="53" t="inlineStr">
        <is>
          <t>Shailesh Kumar Sharma</t>
        </is>
      </c>
      <c r="CL55" s="53" t="inlineStr">
        <is>
          <t>N-7</t>
        </is>
      </c>
      <c r="CM55" s="53" t="inlineStr">
        <is>
          <t>Individual Contributor</t>
        </is>
      </c>
      <c r="CN55" s="53" t="inlineStr">
        <is>
          <t>Regtech</t>
        </is>
      </c>
      <c r="CO55" s="53" t="inlineStr">
        <is>
          <t>Services</t>
        </is>
      </c>
      <c r="CP55" s="53" t="inlineStr">
        <is>
          <t>16 years, 7 months, 22 days</t>
        </is>
      </c>
      <c r="CQ55" s="53" t="inlineStr">
        <is>
          <t>Services Specialist</t>
        </is>
      </c>
      <c r="CR55" s="53" t="n"/>
      <c r="CS55" s="53" t="n">
        <v>4</v>
      </c>
      <c r="CT55" s="53" t="inlineStr">
        <is>
          <t>High</t>
        </is>
      </c>
      <c r="CU55" s="53" t="inlineStr">
        <is>
          <t>Core Contributor</t>
        </is>
      </c>
      <c r="CV55" s="53" t="inlineStr">
        <is>
          <t>Yes</t>
        </is>
      </c>
      <c r="CW55" s="53" t="inlineStr">
        <is>
          <t>No</t>
        </is>
      </c>
      <c r="CX55" s="53" t="inlineStr">
        <is>
          <t>Yes</t>
        </is>
      </c>
      <c r="CY55" s="53" t="n"/>
      <c r="CZ55" s="53" t="n"/>
      <c r="DA55" s="53" t="n"/>
      <c r="DB55" s="53" t="inlineStr">
        <is>
          <t>Title to be standardized to : Services Specialist</t>
        </is>
      </c>
      <c r="DC55" s="53" t="n"/>
      <c r="DD55" s="53" t="n"/>
      <c r="DE55" s="53" t="n"/>
      <c r="DF55" s="53" t="n"/>
      <c r="DG55" s="53" t="n"/>
      <c r="DH55" s="53" t="n"/>
      <c r="DI55" s="53" t="n"/>
      <c r="DJ55" s="53" t="n"/>
      <c r="DK55" s="53" t="n"/>
      <c r="DL55" s="53" t="n"/>
      <c r="DM55" s="53" t="n"/>
      <c r="DN55" s="53" t="n"/>
      <c r="DO55" s="53" t="n"/>
      <c r="DP55" s="53" t="n"/>
      <c r="DQ55" s="53" t="n"/>
      <c r="DR55" s="53" t="n"/>
      <c r="DS55" s="53" t="n"/>
      <c r="DT55" s="53" t="n"/>
      <c r="DU55" s="53" t="n"/>
      <c r="DV55" s="53" t="n"/>
      <c r="DW55" s="53" t="n"/>
      <c r="DX55" s="53" t="n"/>
      <c r="DY55" s="53" t="n"/>
      <c r="DZ55" s="53" t="n"/>
      <c r="EA55" s="53" t="n"/>
      <c r="EB55" s="53" t="n"/>
      <c r="EC55" s="53" t="n"/>
      <c r="ED55" s="53" t="n"/>
      <c r="EE55" s="53" t="n"/>
      <c r="EF55" s="53" t="n"/>
      <c r="EG55" s="53" t="n"/>
      <c r="EH55" s="53" t="n"/>
      <c r="EI55" s="53" t="n"/>
      <c r="EJ55" s="53" t="n"/>
      <c r="EK55" s="53" t="n"/>
      <c r="EL55" s="53" t="n"/>
      <c r="EM55" s="53" t="n"/>
      <c r="EN55" s="53" t="n"/>
      <c r="EO55" s="53" t="n"/>
      <c r="EP55" s="53" t="n"/>
      <c r="EQ55" s="53" t="n"/>
      <c r="ER55" s="53" t="n"/>
      <c r="ES55" s="53" t="n"/>
      <c r="ET55" s="53" t="n"/>
      <c r="EU55" s="53" t="n"/>
      <c r="EV55" s="53" t="n"/>
      <c r="EW55" s="52" t="n"/>
      <c r="EX55" s="53" t="inlineStr">
        <is>
          <t>• Role / sub-team: XBRL Conversion Services.</t>
        </is>
      </c>
      <c r="EY55" s="53" t="inlineStr">
        <is>
          <t>• Key responsibilities include: QC of UK files,ESMA files tagging.
• Reported deliverables and outcomes include: After completing QC it is handover to PMO.</t>
        </is>
      </c>
      <c r="EZ55" s="53" t="inlineStr">
        <is>
          <t>• Current capabilities: Time management; Tools / software used: Carbon [Teams chat].</t>
        </is>
      </c>
      <c r="FA55" s="53" t="inlineStr">
        <is>
          <t>• Development priorities: No input received.
• Learning and Development Need: Proper planning.</t>
        </is>
      </c>
      <c r="FB55" s="53" t="inlineStr">
        <is>
          <t>• Key challenges: No input received.
• Support required: No input received.</t>
        </is>
      </c>
      <c r="FC55" s="53" t="n"/>
      <c r="FD55" s="53" t="n"/>
      <c r="FE5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5" s="56" t="n"/>
      <c r="FG55" s="56" t="n"/>
      <c r="FH55" s="56" t="n"/>
      <c r="FI55" s="56" t="n"/>
      <c r="FJ55" s="56" t="inlineStr">
        <is>
          <t>Received · manager annual</t>
        </is>
      </c>
      <c r="FK55" s="56" t="inlineStr">
        <is>
          <t>CARBON Mapping Master</t>
        </is>
      </c>
      <c r="FL55" s="56" t="n">
        <v>20</v>
      </c>
      <c r="FM55" s="56" t="inlineStr">
        <is>
          <t>• Role / sub-team: XBRL Conversion Services.</t>
        </is>
      </c>
      <c r="FN55" s="56" t="inlineStr">
        <is>
          <t>• Key responsibilities include: QC of UK files,ESMA files tagging.
• Reported deliverables and outcomes include: After completing QC it is handover to PMO.</t>
        </is>
      </c>
      <c r="FO55" s="56" t="inlineStr">
        <is>
          <t>• Current capabilities: Time management; Tools / software used: Carbon [Teams chat].</t>
        </is>
      </c>
      <c r="FP55" s="56" t="inlineStr">
        <is>
          <t>• Development priorities: No input received.
• Learning and Development Need: Proper planning.</t>
        </is>
      </c>
      <c r="FQ55" s="56" t="inlineStr">
        <is>
          <t>• Key challenges: No input received.
• Support required: No input received.</t>
        </is>
      </c>
      <c r="FR55" s="56" t="inlineStr">
        <is>
          <t>Business Impact: Moved +0.5: the survey / manager mapping marks it business-critical.</t>
        </is>
      </c>
      <c r="FS5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5" s="56" t="inlineStr">
        <is>
          <t>Self-identified: AI / automation · Domain, regulatory &amp; XBRL · Broader exposure &amp; ownership
For the next role: AI / automation · Domain, regulatory &amp; XBRL · Client, sales &amp; stakeholders · Broader exposure &amp; ownership</t>
        </is>
      </c>
      <c r="FU55" s="56" t="inlineStr">
        <is>
          <t>Per-person summary · CARBON Mapping Master</t>
        </is>
      </c>
    </row>
    <row r="56" ht="90" customHeight="1">
      <c r="A56" s="51" t="inlineStr">
        <is>
          <t>◂ Back</t>
        </is>
      </c>
      <c r="B56" s="29" t="inlineStr">
        <is>
          <t>Mapped</t>
        </is>
      </c>
      <c r="C56" s="28" t="inlineStr">
        <is>
          <t>CARBON</t>
        </is>
      </c>
      <c r="D56" s="29" t="inlineStr">
        <is>
          <t>IRIS0149</t>
        </is>
      </c>
      <c r="E56" s="29" t="inlineStr">
        <is>
          <t>Sunny Kirtane</t>
        </is>
      </c>
      <c r="F56" s="29" t="inlineStr">
        <is>
          <t>Services</t>
        </is>
      </c>
      <c r="G56" s="29" t="inlineStr">
        <is>
          <t>Senior Financial Analyst</t>
        </is>
      </c>
      <c r="H56" s="29" t="inlineStr">
        <is>
          <t>Senior Financial Analyst</t>
        </is>
      </c>
      <c r="I56" s="29" t="inlineStr">
        <is>
          <t>L4 – Senior</t>
        </is>
      </c>
      <c r="J56" s="29" t="inlineStr">
        <is>
          <t>A3</t>
        </is>
      </c>
      <c r="K56" s="29" t="inlineStr">
        <is>
          <t>• Same level</t>
        </is>
      </c>
      <c r="L56" s="29" t="inlineStr">
        <is>
          <t>Consulting &amp; Professional Services</t>
        </is>
      </c>
      <c r="M56" s="29" t="inlineStr">
        <is>
          <t>XBRL Tagging, Conversion &amp; Filing</t>
        </is>
      </c>
      <c r="N56" s="29" t="n"/>
      <c r="O56" s="29" t="n">
        <v>20</v>
      </c>
      <c r="P56" s="28" t="inlineStr">
        <is>
          <t>P2</t>
        </is>
      </c>
      <c r="Q56" s="29" t="inlineStr">
        <is>
          <t>Developing</t>
        </is>
      </c>
      <c r="R56" s="29" t="inlineStr">
        <is>
          <t>3 Apply</t>
        </is>
      </c>
      <c r="S56" s="29" t="inlineStr">
        <is>
          <t>2–4 yrs</t>
        </is>
      </c>
      <c r="T56" s="29" t="inlineStr">
        <is>
          <t>3–5 · 2–5</t>
        </is>
      </c>
      <c r="U56" s="29" t="inlineStr">
        <is>
          <t>Senior Analyst / Associate</t>
        </is>
      </c>
      <c r="V56" s="29" t="inlineStr">
        <is>
          <t>DataTracks: Senior Associate · 2–5 yrs · Big Four: Consultant · IRIS Vs Market Benchmark — XBRL US credential pathway: XBRL US GAAP Certificate</t>
        </is>
      </c>
      <c r="W56" s="29" t="inlineStr">
        <is>
          <t>XBRL US GAAP Certificate · AICPA &amp; XBRL US; XBRL International specifications; IFRS / US GAAP / Ind AS</t>
        </is>
      </c>
      <c r="X56" s="29" t="inlineStr">
        <is>
          <t>Core 2 · Future 2 · Functional 3 · Leadership not scored</t>
        </is>
      </c>
      <c r="Y56" s="52" t="n">
        <v>33</v>
      </c>
      <c r="Z56" s="53" t="inlineStr">
        <is>
          <t>IRIS0149</t>
        </is>
      </c>
      <c r="AA56" s="53" t="inlineStr">
        <is>
          <t>Employee</t>
        </is>
      </c>
      <c r="AB56" s="53" t="inlineStr">
        <is>
          <t>Active</t>
        </is>
      </c>
      <c r="AC56" s="53" t="inlineStr">
        <is>
          <t>Sunny Kirtane</t>
        </is>
      </c>
      <c r="AD56" s="54" t="n">
        <v>39426</v>
      </c>
      <c r="AE56" s="53" t="inlineStr">
        <is>
          <t>Senior Financial Analyst</t>
        </is>
      </c>
      <c r="AF56" s="53" t="inlineStr">
        <is>
          <t>B.Com</t>
        </is>
      </c>
      <c r="AG56" s="53" t="inlineStr">
        <is>
          <t>Shailesh Kumar Sharma</t>
        </is>
      </c>
      <c r="AH56" s="53" t="inlineStr">
        <is>
          <t>N-7</t>
        </is>
      </c>
      <c r="AI56" s="53" t="inlineStr">
        <is>
          <t>Individual Contributor</t>
        </is>
      </c>
      <c r="AJ56" s="53" t="inlineStr">
        <is>
          <t>0 years, 0 months, 0 days</t>
        </is>
      </c>
      <c r="AK56" s="53" t="inlineStr">
        <is>
          <t>18 years, 8 months, 15 days</t>
        </is>
      </c>
      <c r="AL56" s="53" t="inlineStr">
        <is>
          <t>Regtech</t>
        </is>
      </c>
      <c r="AM56" s="53" t="inlineStr">
        <is>
          <t>CARBON</t>
        </is>
      </c>
      <c r="AN56" s="53" t="inlineStr">
        <is>
          <t>Services</t>
        </is>
      </c>
      <c r="AO56" s="53" t="inlineStr">
        <is>
          <t>Expert Assisted services</t>
        </is>
      </c>
      <c r="AP56" s="53" t="inlineStr">
        <is>
          <t>No</t>
        </is>
      </c>
      <c r="AQ56" s="53" t="inlineStr">
        <is>
          <t>Professional Services</t>
        </is>
      </c>
      <c r="AR56" s="53" t="inlineStr">
        <is>
          <t>XBRL Domain</t>
        </is>
      </c>
      <c r="AS56" s="53" t="inlineStr">
        <is>
          <t>Non-technical</t>
        </is>
      </c>
      <c r="AT56" s="53" t="n">
        <v>20</v>
      </c>
      <c r="AU56" s="53" t="inlineStr">
        <is>
          <t>Covered</t>
        </is>
      </c>
      <c r="AV56" s="53" t="inlineStr">
        <is>
          <t>IRIS0149</t>
        </is>
      </c>
      <c r="AW56" s="53" t="inlineStr">
        <is>
          <t>Sunny Kirtane</t>
        </is>
      </c>
      <c r="AX56" s="53" t="inlineStr">
        <is>
          <t>Services</t>
        </is>
      </c>
      <c r="AY56" s="53" t="inlineStr">
        <is>
          <t>Professional Services</t>
        </is>
      </c>
      <c r="AZ56" s="53" t="inlineStr">
        <is>
          <t>XBRL / Regulatory Reporting</t>
        </is>
      </c>
      <c r="BA56" s="53" t="n"/>
      <c r="BB56" s="53" t="n"/>
      <c r="BC56" s="53" t="inlineStr">
        <is>
          <t>Employee</t>
        </is>
      </c>
      <c r="BD56" s="53" t="inlineStr">
        <is>
          <t>Shailesh Kumar Sharma</t>
        </is>
      </c>
      <c r="BE56" s="53" t="inlineStr">
        <is>
          <t>Shailesh Kumar Sharma</t>
        </is>
      </c>
      <c r="BF56" s="53" t="inlineStr">
        <is>
          <t>No</t>
        </is>
      </c>
      <c r="BG56" s="53" t="inlineStr">
        <is>
          <t>Senior Financial Analyst</t>
        </is>
      </c>
      <c r="BH56" s="53" t="inlineStr">
        <is>
          <t>Senior Services Specialist</t>
        </is>
      </c>
      <c r="BI56" s="53" t="inlineStr">
        <is>
          <t>Yes</t>
        </is>
      </c>
      <c r="BJ56" s="53" t="inlineStr">
        <is>
          <t>—</t>
        </is>
      </c>
      <c r="BK56" s="53" t="inlineStr">
        <is>
          <t>—</t>
        </is>
      </c>
      <c r="BL56" s="53" t="inlineStr">
        <is>
          <t>—</t>
        </is>
      </c>
      <c r="BM56" s="53" t="inlineStr">
        <is>
          <t>Not a manager</t>
        </is>
      </c>
      <c r="BN56" s="53" t="inlineStr">
        <is>
          <t>—</t>
        </is>
      </c>
      <c r="BO56" s="53" t="inlineStr">
        <is>
          <t>—</t>
        </is>
      </c>
      <c r="BP56" s="53" t="inlineStr">
        <is>
          <t>—</t>
        </is>
      </c>
      <c r="BQ56" s="53" t="inlineStr">
        <is>
          <t>Not a manager</t>
        </is>
      </c>
      <c r="BR56" s="53" t="inlineStr">
        <is>
          <t>—</t>
        </is>
      </c>
      <c r="BS56" s="53" t="inlineStr">
        <is>
          <t>L4 – Senior</t>
        </is>
      </c>
      <c r="BT56" s="53" t="inlineStr">
        <is>
          <t>L4 – Senior</t>
        </is>
      </c>
      <c r="BU56" s="53" t="inlineStr">
        <is>
          <t>Designation refined from Raw tab Comments column · this update</t>
        </is>
      </c>
      <c r="BV5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6" s="53" t="n"/>
      <c r="BX56" s="53" t="inlineStr">
        <is>
          <t>South Africa - CIPC; UK - HMRC; Europe - ESEF.</t>
        </is>
      </c>
      <c r="BY56" s="53" t="n"/>
      <c r="BZ56" s="53" t="inlineStr">
        <is>
          <t>IRIS0149</t>
        </is>
      </c>
      <c r="CA56" s="53" t="inlineStr">
        <is>
          <t>Employee</t>
        </is>
      </c>
      <c r="CB56" s="53" t="inlineStr">
        <is>
          <t>Active</t>
        </is>
      </c>
      <c r="CC56" s="53" t="inlineStr">
        <is>
          <t>Sunny Kirtane</t>
        </is>
      </c>
      <c r="CD56" s="54" t="n">
        <v>39426</v>
      </c>
      <c r="CE56" s="53" t="inlineStr">
        <is>
          <t>Senior Financial Analyst</t>
        </is>
      </c>
      <c r="CF56" s="53" t="n"/>
      <c r="CG56" s="53" t="inlineStr">
        <is>
          <t>Professional Services</t>
        </is>
      </c>
      <c r="CH56" s="53" t="inlineStr">
        <is>
          <t>XBRL / Regulatory Reporting</t>
        </is>
      </c>
      <c r="CI56" s="53" t="inlineStr">
        <is>
          <t>Senior Financial Analyst</t>
        </is>
      </c>
      <c r="CJ56" s="53" t="inlineStr">
        <is>
          <t>L4 – Senior</t>
        </is>
      </c>
      <c r="CK56" s="53" t="inlineStr">
        <is>
          <t>Shailesh Kumar Sharma</t>
        </is>
      </c>
      <c r="CL56" s="53" t="inlineStr">
        <is>
          <t>N-7</t>
        </is>
      </c>
      <c r="CM56" s="53" t="inlineStr">
        <is>
          <t>Individual Contributor</t>
        </is>
      </c>
      <c r="CN56" s="53" t="inlineStr">
        <is>
          <t>Regtech</t>
        </is>
      </c>
      <c r="CO56" s="53" t="inlineStr">
        <is>
          <t>Services</t>
        </is>
      </c>
      <c r="CP56" s="53" t="inlineStr">
        <is>
          <t>18 years, 6 months, 10 days</t>
        </is>
      </c>
      <c r="CQ56" s="53" t="inlineStr">
        <is>
          <t>Senior Services Specialst</t>
        </is>
      </c>
      <c r="CR56" s="53" t="n"/>
      <c r="CS56" s="53" t="n">
        <v>3</v>
      </c>
      <c r="CT56" s="53" t="inlineStr">
        <is>
          <t>Medium</t>
        </is>
      </c>
      <c r="CU56" s="53" t="inlineStr">
        <is>
          <t>Core Contributor</t>
        </is>
      </c>
      <c r="CV56" s="53" t="inlineStr">
        <is>
          <t>No</t>
        </is>
      </c>
      <c r="CW56" s="53" t="inlineStr">
        <is>
          <t>No</t>
        </is>
      </c>
      <c r="CX56" s="53" t="inlineStr">
        <is>
          <t>Yes</t>
        </is>
      </c>
      <c r="CY56" s="53" t="n"/>
      <c r="CZ56" s="53" t="n"/>
      <c r="DA56" s="53" t="n"/>
      <c r="DB56" s="53" t="inlineStr">
        <is>
          <t>Title to be standardized to: Senior Services Specialist</t>
        </is>
      </c>
      <c r="DC56" s="53" t="n"/>
      <c r="DD56" s="53" t="n"/>
      <c r="DE56" s="53" t="n"/>
      <c r="DF56" s="53" t="n"/>
      <c r="DG56" s="53" t="n"/>
      <c r="DH56" s="53" t="n"/>
      <c r="DI56" s="53" t="n"/>
      <c r="DJ56" s="53" t="n"/>
      <c r="DK56" s="53" t="n"/>
      <c r="DL56" s="53" t="n"/>
      <c r="DM56" s="53" t="n"/>
      <c r="DN56" s="53" t="n"/>
      <c r="DO56" s="53" t="n"/>
      <c r="DP56" s="53" t="n"/>
      <c r="DQ56" s="53" t="n"/>
      <c r="DR56" s="53" t="n"/>
      <c r="DS56" s="53" t="n"/>
      <c r="DT56" s="53" t="n"/>
      <c r="DU56" s="53" t="n"/>
      <c r="DV56" s="53" t="n"/>
      <c r="DW56" s="53" t="n"/>
      <c r="DX56" s="53" t="n"/>
      <c r="DY56" s="53" t="n"/>
      <c r="DZ56" s="53" t="n"/>
      <c r="EA56" s="53" t="n"/>
      <c r="EB56" s="53" t="n"/>
      <c r="EC56" s="53" t="n"/>
      <c r="ED56" s="53" t="n"/>
      <c r="EE56" s="53" t="n"/>
      <c r="EF56" s="53" t="n"/>
      <c r="EG56" s="53" t="n"/>
      <c r="EH56" s="53" t="n"/>
      <c r="EI56" s="53" t="n"/>
      <c r="EJ56" s="53" t="n"/>
      <c r="EK56" s="53" t="n"/>
      <c r="EL56" s="53" t="n"/>
      <c r="EM56" s="53" t="n"/>
      <c r="EN56" s="53" t="n"/>
      <c r="EO56" s="53" t="n"/>
      <c r="EP56" s="53" t="n"/>
      <c r="EQ56" s="53" t="n"/>
      <c r="ER56" s="53" t="n"/>
      <c r="ES56" s="53" t="n"/>
      <c r="ET56" s="53" t="n"/>
      <c r="EU56" s="53" t="n"/>
      <c r="EV56" s="53" t="n"/>
      <c r="EW56" s="52" t="n"/>
      <c r="EX56" s="53" t="inlineStr">
        <is>
          <t>• Role / sub-team: UK ESMA CIPC.</t>
        </is>
      </c>
      <c r="EY56" s="53" t="inlineStr">
        <is>
          <t>• Key responsibilities include: Formatting, tagging and quality analysis of allotted files.
• Reported deliverables and outcomes include: On ESMA, completed work with pending-task details is handed over to whoever is on the next shift.</t>
        </is>
      </c>
      <c r="EZ56" s="53" t="inlineStr">
        <is>
          <t>• Current capabilities: Adaptability of work; Tools / software used: HTML - Editor.</t>
        </is>
      </c>
      <c r="FA56" s="53" t="inlineStr">
        <is>
          <t>• Development priorities: No input received.
• Learning and Development Need: Work efficiently.</t>
        </is>
      </c>
      <c r="FB56" s="53" t="inlineStr">
        <is>
          <t>• Key challenges: No input received.
• Support required: No input received.</t>
        </is>
      </c>
      <c r="FC56" s="53" t="n"/>
      <c r="FD56" s="53" t="n"/>
      <c r="FE5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6" s="56" t="n"/>
      <c r="FG56" s="56" t="n"/>
      <c r="FH56" s="56" t="n"/>
      <c r="FI56" s="56" t="n"/>
      <c r="FJ56" s="56" t="inlineStr">
        <is>
          <t>Received · manager annual</t>
        </is>
      </c>
      <c r="FK56" s="56" t="inlineStr">
        <is>
          <t>CARBON Mapping Master</t>
        </is>
      </c>
      <c r="FL56" s="56" t="n">
        <v>20</v>
      </c>
      <c r="FM56" s="56" t="inlineStr">
        <is>
          <t>• Role / sub-team: UK ESMA CIPC.</t>
        </is>
      </c>
      <c r="FN56" s="56" t="inlineStr">
        <is>
          <t>• Key responsibilities include: Formatting, tagging and quality analysis of allotted files.
• Reported deliverables and outcomes include: On ESMA, completed work with pending-task details is handed over to whoever is on the next shift.</t>
        </is>
      </c>
      <c r="FO56" s="56" t="inlineStr">
        <is>
          <t>• Current capabilities: Adaptability of work; Tools / software used: HTML - Editor.</t>
        </is>
      </c>
      <c r="FP56" s="56" t="inlineStr">
        <is>
          <t>• Development priorities: No input received.
• Learning and Development Need: Work efficiently.</t>
        </is>
      </c>
      <c r="FQ56" s="56" t="inlineStr">
        <is>
          <t>• Key challenges: No input received.
• Support required: No input received.</t>
        </is>
      </c>
      <c r="FR56" s="56" t="inlineStr">
        <is>
          <t>Complexity: Evidence reads like A3: own survey / KRA answers · summarised by the rater; not quoted → matches the start
Autonomy: Evidence reads like A2: Decision scope stated only vaguely; works on allotted files → moved down 0.5
Accountability: Evidence reads like A2: own survey / KRA answers · summarised by the rater; not quoted → moved down 0.5
Leadership: Evidence reads like A1: No guiding or leading of others described → moved down 0.5
Business Impact: Moved +0.5: the survey / manager mapping marks it business-critical.</t>
        </is>
      </c>
      <c r="FS5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6" s="56" t="inlineStr">
        <is>
          <t>Self-identified: Project / programme management · Domain, regulatory &amp; XBRL
For the next role: Project / programme management · Domain, regulatory &amp; XBRL</t>
        </is>
      </c>
      <c r="FU56" s="56" t="inlineStr">
        <is>
          <t>Per-person summary · CARBON Mapping Master</t>
        </is>
      </c>
    </row>
    <row r="57" ht="90" customHeight="1">
      <c r="A57" s="51" t="inlineStr">
        <is>
          <t>◂ Back</t>
        </is>
      </c>
      <c r="B57" s="29" t="inlineStr">
        <is>
          <t>Mapped</t>
        </is>
      </c>
      <c r="C57" s="28" t="inlineStr">
        <is>
          <t>CARBON</t>
        </is>
      </c>
      <c r="D57" s="29" t="inlineStr">
        <is>
          <t>IRIS0558</t>
        </is>
      </c>
      <c r="E57" s="29" t="inlineStr">
        <is>
          <t>Jayaprakash Arumugam</t>
        </is>
      </c>
      <c r="F57" s="29" t="inlineStr">
        <is>
          <t>Services</t>
        </is>
      </c>
      <c r="G57" s="29" t="inlineStr">
        <is>
          <t>Senior Financial Analyst</t>
        </is>
      </c>
      <c r="H57" s="29" t="inlineStr">
        <is>
          <t>XBRL Specialist</t>
        </is>
      </c>
      <c r="I57" s="29" t="inlineStr">
        <is>
          <t>L4 – Senior</t>
        </is>
      </c>
      <c r="J57" s="29" t="inlineStr">
        <is>
          <t>B1</t>
        </is>
      </c>
      <c r="K57" s="29" t="inlineStr">
        <is>
          <t>▲ Up</t>
        </is>
      </c>
      <c r="L57" s="29" t="inlineStr">
        <is>
          <t>Consulting &amp; Professional Services</t>
        </is>
      </c>
      <c r="M57" s="29" t="inlineStr">
        <is>
          <t>XBRL Tagging, Conversion &amp; Filing</t>
        </is>
      </c>
      <c r="N57" s="29" t="n"/>
      <c r="O57" s="29" t="n">
        <v>18</v>
      </c>
      <c r="P57" s="28" t="inlineStr">
        <is>
          <t>P3 / M2</t>
        </is>
      </c>
      <c r="Q57" s="29" t="inlineStr">
        <is>
          <t>Career / · Team Lead</t>
        </is>
      </c>
      <c r="R57" s="29" t="inlineStr">
        <is>
          <t>4 Enable</t>
        </is>
      </c>
      <c r="S57" s="29" t="inlineStr">
        <is>
          <t>4–7 yrs</t>
        </is>
      </c>
      <c r="T57" s="29" t="inlineStr">
        <is>
          <t>5–8 · 4–8</t>
        </is>
      </c>
      <c r="U57" s="29" t="inlineStr">
        <is>
          <t>Consultant / Senior Associate</t>
        </is>
      </c>
      <c r="V57" s="29" t="inlineStr">
        <is>
          <t>Big Four: Senior Consultant · IRIS Vs Market Benchmark — XBRL US credential pathway: Certificate + specialist taxonomy</t>
        </is>
      </c>
      <c r="W57" s="29" t="inlineStr">
        <is>
          <t>XBRL US GAAP Certificate · AICPA &amp; XBRL US; XBRL International specifications; IFRS / US GAAP / Ind AS</t>
        </is>
      </c>
      <c r="X57" s="29" t="inlineStr">
        <is>
          <t>Core 3 · Future 3 · Functional 3 · Leadership 1</t>
        </is>
      </c>
      <c r="Y57" s="52" t="n">
        <v>74</v>
      </c>
      <c r="Z57" s="53" t="inlineStr">
        <is>
          <t>IRIS0558</t>
        </is>
      </c>
      <c r="AA57" s="53" t="inlineStr">
        <is>
          <t>Employee</t>
        </is>
      </c>
      <c r="AB57" s="53" t="inlineStr">
        <is>
          <t>Active</t>
        </is>
      </c>
      <c r="AC57" s="53" t="inlineStr">
        <is>
          <t>Jayaprakash Arumugam</t>
        </is>
      </c>
      <c r="AD57" s="54" t="n">
        <v>40609</v>
      </c>
      <c r="AE57" s="53" t="inlineStr">
        <is>
          <t>Senior Financial Analyst</t>
        </is>
      </c>
      <c r="AF57" s="53" t="inlineStr">
        <is>
          <t>B.Com</t>
        </is>
      </c>
      <c r="AG57" s="53" t="inlineStr">
        <is>
          <t>Shashikant Mudaliar</t>
        </is>
      </c>
      <c r="AH57" s="53" t="inlineStr">
        <is>
          <t>N-6</t>
        </is>
      </c>
      <c r="AI57" s="53" t="inlineStr">
        <is>
          <t>Individual Contributor</t>
        </is>
      </c>
      <c r="AJ57" s="53" t="inlineStr">
        <is>
          <t>3 years, 5 months, 0 days</t>
        </is>
      </c>
      <c r="AK57" s="53" t="inlineStr">
        <is>
          <t>15 years, 5 months, 18 days</t>
        </is>
      </c>
      <c r="AL57" s="53" t="inlineStr">
        <is>
          <t>Regtech</t>
        </is>
      </c>
      <c r="AM57" s="53" t="inlineStr">
        <is>
          <t>CARBON</t>
        </is>
      </c>
      <c r="AN57" s="53" t="inlineStr">
        <is>
          <t>Services</t>
        </is>
      </c>
      <c r="AO57" s="53" t="inlineStr">
        <is>
          <t>Expert Assisted services</t>
        </is>
      </c>
      <c r="AP57" s="53" t="inlineStr">
        <is>
          <t>No</t>
        </is>
      </c>
      <c r="AQ57" s="53" t="inlineStr">
        <is>
          <t>Professional Services</t>
        </is>
      </c>
      <c r="AR57" s="53" t="inlineStr">
        <is>
          <t>XBRL Domain</t>
        </is>
      </c>
      <c r="AS57" s="53" t="inlineStr">
        <is>
          <t>Non-technical</t>
        </is>
      </c>
      <c r="AT57" s="53" t="n">
        <v>20</v>
      </c>
      <c r="AU57" s="53" t="inlineStr">
        <is>
          <t>Covered</t>
        </is>
      </c>
      <c r="AV57" s="53" t="inlineStr">
        <is>
          <t>IRIS0558</t>
        </is>
      </c>
      <c r="AW57" s="53" t="inlineStr">
        <is>
          <t>Jayaprakash Arumugam</t>
        </is>
      </c>
      <c r="AX57" s="53" t="inlineStr">
        <is>
          <t>Services</t>
        </is>
      </c>
      <c r="AY57" s="53" t="inlineStr">
        <is>
          <t>Professional Services</t>
        </is>
      </c>
      <c r="AZ57" s="53" t="inlineStr">
        <is>
          <t>XBRL / Regulatory Reporting</t>
        </is>
      </c>
      <c r="BA57" s="53" t="n"/>
      <c r="BB57" s="53" t="n"/>
      <c r="BC57" s="53" t="inlineStr">
        <is>
          <t>Employee</t>
        </is>
      </c>
      <c r="BD57" s="53" t="inlineStr">
        <is>
          <t>Shashikant Mudaliar</t>
        </is>
      </c>
      <c r="BE57" s="53" t="inlineStr">
        <is>
          <t>Shashikant Mudaliar</t>
        </is>
      </c>
      <c r="BF57" s="53" t="inlineStr">
        <is>
          <t>No</t>
        </is>
      </c>
      <c r="BG57" s="53" t="inlineStr">
        <is>
          <t>Senior Financial Analyst</t>
        </is>
      </c>
      <c r="BH57" s="53" t="inlineStr">
        <is>
          <t>Senior Services Specialist</t>
        </is>
      </c>
      <c r="BI57" s="53" t="inlineStr">
        <is>
          <t>Yes</t>
        </is>
      </c>
      <c r="BJ57" s="53" t="inlineStr">
        <is>
          <t>—</t>
        </is>
      </c>
      <c r="BK57" s="53" t="inlineStr">
        <is>
          <t>—</t>
        </is>
      </c>
      <c r="BL57" s="53" t="inlineStr">
        <is>
          <t>—</t>
        </is>
      </c>
      <c r="BM57" s="53" t="inlineStr">
        <is>
          <t>Not a manager</t>
        </is>
      </c>
      <c r="BN57" s="53" t="inlineStr">
        <is>
          <t>—</t>
        </is>
      </c>
      <c r="BO57" s="53" t="inlineStr">
        <is>
          <t>—</t>
        </is>
      </c>
      <c r="BP57" s="53" t="inlineStr">
        <is>
          <t>—</t>
        </is>
      </c>
      <c r="BQ57" s="53" t="inlineStr">
        <is>
          <t>Not a manager</t>
        </is>
      </c>
      <c r="BR57" s="53" t="inlineStr">
        <is>
          <t>—</t>
        </is>
      </c>
      <c r="BS57" s="53" t="inlineStr">
        <is>
          <t>L4 – Senior</t>
        </is>
      </c>
      <c r="BT57" s="53" t="inlineStr">
        <is>
          <t>L4 – Senior</t>
        </is>
      </c>
      <c r="BU57" s="53" t="inlineStr">
        <is>
          <t>Designation refined from Raw tab Comments column · this update</t>
        </is>
      </c>
      <c r="BV57"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7" s="53" t="n"/>
      <c r="BX57" s="53" t="inlineStr">
        <is>
          <t>USA - SEC.</t>
        </is>
      </c>
      <c r="BY57" s="53" t="n"/>
      <c r="BZ57" s="53" t="inlineStr">
        <is>
          <t>IRIS0558</t>
        </is>
      </c>
      <c r="CA57" s="53" t="inlineStr">
        <is>
          <t>Employee</t>
        </is>
      </c>
      <c r="CB57" s="53" t="inlineStr">
        <is>
          <t>Active</t>
        </is>
      </c>
      <c r="CC57" s="53" t="inlineStr">
        <is>
          <t>Jayaprakash Arumugam</t>
        </is>
      </c>
      <c r="CD57" s="54" t="n">
        <v>40609</v>
      </c>
      <c r="CE57" s="53" t="inlineStr">
        <is>
          <t>Senior Financial Analyst</t>
        </is>
      </c>
      <c r="CF57" s="53" t="n"/>
      <c r="CG57" s="53" t="inlineStr">
        <is>
          <t>Professional Services</t>
        </is>
      </c>
      <c r="CH57" s="53" t="inlineStr">
        <is>
          <t>XBRL / Regulatory Reporting</t>
        </is>
      </c>
      <c r="CI57" s="53" t="inlineStr">
        <is>
          <t>Senior Financial Analyst</t>
        </is>
      </c>
      <c r="CJ57" s="53" t="inlineStr">
        <is>
          <t>L4 – Senior</t>
        </is>
      </c>
      <c r="CK57" s="53" t="inlineStr">
        <is>
          <t>Shashikant Mudaliar</t>
        </is>
      </c>
      <c r="CL57" s="53" t="inlineStr">
        <is>
          <t>N-6</t>
        </is>
      </c>
      <c r="CM57" s="53" t="inlineStr">
        <is>
          <t>Individual Contributor</t>
        </is>
      </c>
      <c r="CN57" s="53" t="inlineStr">
        <is>
          <t>Regtech</t>
        </is>
      </c>
      <c r="CO57" s="53" t="inlineStr">
        <is>
          <t>Services</t>
        </is>
      </c>
      <c r="CP57" s="53" t="inlineStr">
        <is>
          <t>18 years, 8 months, 13 days</t>
        </is>
      </c>
      <c r="CQ57" s="53" t="inlineStr">
        <is>
          <t>Senior Services Specialst</t>
        </is>
      </c>
      <c r="CR57" s="53" t="n"/>
      <c r="CS57" s="53" t="n">
        <v>4</v>
      </c>
      <c r="CT57" s="53" t="inlineStr">
        <is>
          <t>High</t>
        </is>
      </c>
      <c r="CU57" s="53" t="inlineStr">
        <is>
          <t>Core Contributor</t>
        </is>
      </c>
      <c r="CV57" s="53" t="inlineStr">
        <is>
          <t>No</t>
        </is>
      </c>
      <c r="CW57" s="53" t="inlineStr">
        <is>
          <t>No</t>
        </is>
      </c>
      <c r="CX57" s="53" t="inlineStr">
        <is>
          <t>Yes</t>
        </is>
      </c>
      <c r="CY57" s="53" t="n"/>
      <c r="CZ57" s="53" t="n"/>
      <c r="DA57" s="53" t="n"/>
      <c r="DB57" s="53" t="inlineStr">
        <is>
          <t>Title to be standardized to: Senior Services Specialist</t>
        </is>
      </c>
      <c r="DC57" s="53" t="n"/>
      <c r="DD57" s="53" t="n"/>
      <c r="DE57" s="53" t="n"/>
      <c r="DF57" s="53" t="n"/>
      <c r="DG57" s="53" t="n"/>
      <c r="DH57" s="53" t="n"/>
      <c r="DI57" s="53" t="n"/>
      <c r="DJ57" s="53" t="n"/>
      <c r="DK57" s="53" t="n"/>
      <c r="DL57" s="53" t="n"/>
      <c r="DM57" s="53" t="n"/>
      <c r="DN57" s="53" t="n"/>
      <c r="DO57" s="53" t="n"/>
      <c r="DP57" s="53" t="n"/>
      <c r="DQ57" s="53" t="n"/>
      <c r="DR57" s="53" t="n"/>
      <c r="DS57" s="53" t="n"/>
      <c r="DT57" s="53" t="n"/>
      <c r="DU57" s="53" t="n"/>
      <c r="DV57" s="53" t="n"/>
      <c r="DW57" s="53" t="n"/>
      <c r="DX57" s="53" t="n"/>
      <c r="DY57" s="53" t="n"/>
      <c r="DZ57" s="53" t="n"/>
      <c r="EA57" s="53" t="n"/>
      <c r="EB57" s="53" t="n"/>
      <c r="EC57" s="53" t="n"/>
      <c r="ED57" s="53" t="n"/>
      <c r="EE57" s="53" t="n"/>
      <c r="EF57" s="53" t="n"/>
      <c r="EG57" s="53" t="n"/>
      <c r="EH57" s="53" t="n"/>
      <c r="EI57" s="53" t="n"/>
      <c r="EJ57" s="53" t="n"/>
      <c r="EK57" s="53" t="n"/>
      <c r="EL57" s="53" t="n"/>
      <c r="EM57" s="53" t="n"/>
      <c r="EN57" s="53" t="n"/>
      <c r="EO57" s="53" t="n"/>
      <c r="EP57" s="53" t="n"/>
      <c r="EQ57" s="53" t="n"/>
      <c r="ER57" s="53" t="n"/>
      <c r="ES57" s="53" t="n"/>
      <c r="ET57" s="53" t="n"/>
      <c r="EU57" s="53" t="n"/>
      <c r="EV57" s="53" t="n"/>
      <c r="EW57" s="52" t="n"/>
      <c r="EX57" s="53" t="inlineStr">
        <is>
          <t>• Role / sub-team: XBRL Convertion Services; XBRL Convertion Services as a Excel Mapper.</t>
        </is>
      </c>
      <c r="EY57" s="53"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EZ57" s="53" t="inlineStr">
        <is>
          <t>• Current capabilities: Quick learner; Tools / software used: Both.</t>
        </is>
      </c>
      <c r="FA57" s="53" t="inlineStr">
        <is>
          <t>• Development priorities: No input received.
• Learning and Development Need: Nothing else required.</t>
        </is>
      </c>
      <c r="FB57" s="53" t="inlineStr">
        <is>
          <t>• Key challenges: No input received.
• Support required: No input received.</t>
        </is>
      </c>
      <c r="FC57" s="53" t="n"/>
      <c r="FD57" s="53" t="n"/>
      <c r="FE57"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7" s="56" t="n"/>
      <c r="FG57" s="56" t="n"/>
      <c r="FH57" s="56" t="n"/>
      <c r="FI57" s="56" t="n"/>
      <c r="FJ57" s="56" t="inlineStr">
        <is>
          <t>Received · manager annual</t>
        </is>
      </c>
      <c r="FK57" s="56" t="inlineStr">
        <is>
          <t>CARBON Mapping Master</t>
        </is>
      </c>
      <c r="FL57" s="56" t="n">
        <v>18</v>
      </c>
      <c r="FM57" s="56" t="inlineStr">
        <is>
          <t>• Role / sub-team: XBRL Convertion Services; XBRL Convertion Services as a Excel Mapper.</t>
        </is>
      </c>
      <c r="FN57" s="56"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FO57" s="56" t="inlineStr">
        <is>
          <t>• Current capabilities: Quick learner; Tools / software used: Both.</t>
        </is>
      </c>
      <c r="FP57" s="56" t="inlineStr">
        <is>
          <t>• Development priorities: No input received.
• Learning and Development Need: Nothing else required.</t>
        </is>
      </c>
      <c r="FQ57" s="56" t="inlineStr">
        <is>
          <t>• Key challenges: No input received.
• Support required: No input received.</t>
        </is>
      </c>
      <c r="FR57" s="56" t="inlineStr">
        <is>
          <t>Complexity: Evidence reads like B2: US Excel mapping, DQC error clearance, new-taxonomy/mandate analysis, QA for new clients; solves teams' doubts → moved up 1
Autonomy: Evidence reads like B1: Decides mapping and quality-analysis outcomes and mandate interpretations that tagging/QC teams follow → moved up 0.5
Accountability: Evidence reads like A3: Mapping accuracy, validation and quality analysis for existing, new and prospective client files → matches the start
Leadership: Evidence reads like B1: Periodically trains all team members on new mandates; standing doubt-solving for QC and tagging teams → moved up 1
Business Impact: Moved +0.5: the survey / manager mapping marks it business-critical.</t>
        </is>
      </c>
      <c r="FS57"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7" s="56" t="inlineStr">
        <is>
          <t>Self-identified: Answered · no common topic</t>
        </is>
      </c>
      <c r="FU57" s="56" t="inlineStr">
        <is>
          <t>Per-person summary · CARBON Mapping Master</t>
        </is>
      </c>
    </row>
    <row r="58" ht="90" customHeight="1">
      <c r="A58" s="51" t="inlineStr">
        <is>
          <t>◂ Back</t>
        </is>
      </c>
      <c r="B58" s="29" t="inlineStr">
        <is>
          <t>Mapped</t>
        </is>
      </c>
      <c r="C58" s="28" t="inlineStr">
        <is>
          <t>CARBON</t>
        </is>
      </c>
      <c r="D58" s="29" t="inlineStr">
        <is>
          <t>IRIS0704</t>
        </is>
      </c>
      <c r="E58" s="29" t="inlineStr">
        <is>
          <t>Jivika Wadhwani</t>
        </is>
      </c>
      <c r="F58" s="29" t="inlineStr">
        <is>
          <t>Services</t>
        </is>
      </c>
      <c r="G58" s="29" t="inlineStr">
        <is>
          <t>Senior Financial Analyst</t>
        </is>
      </c>
      <c r="H58" s="29" t="inlineStr">
        <is>
          <t>XBRL Specialist – POD Lead</t>
        </is>
      </c>
      <c r="I58" s="29" t="inlineStr">
        <is>
          <t>L4 – Senior</t>
        </is>
      </c>
      <c r="J58" s="29" t="inlineStr">
        <is>
          <t>B1</t>
        </is>
      </c>
      <c r="K58" s="29" t="inlineStr">
        <is>
          <t>▲ Up</t>
        </is>
      </c>
      <c r="L58" s="29" t="inlineStr">
        <is>
          <t>Consulting &amp; Professional Services</t>
        </is>
      </c>
      <c r="M58" s="29" t="inlineStr">
        <is>
          <t>XBRL Tagging, Conversion &amp; Filing</t>
        </is>
      </c>
      <c r="N58" s="29" t="n"/>
      <c r="O58" s="29" t="n">
        <v>20</v>
      </c>
      <c r="P58" s="28" t="inlineStr">
        <is>
          <t>P3 / M2</t>
        </is>
      </c>
      <c r="Q58" s="29" t="inlineStr">
        <is>
          <t>Career / · Team Lead</t>
        </is>
      </c>
      <c r="R58" s="29" t="inlineStr">
        <is>
          <t>4 Enable</t>
        </is>
      </c>
      <c r="S58" s="29" t="inlineStr">
        <is>
          <t>4–7 yrs</t>
        </is>
      </c>
      <c r="T58" s="29" t="inlineStr">
        <is>
          <t>5–8 · 4–8</t>
        </is>
      </c>
      <c r="U58" s="29" t="inlineStr">
        <is>
          <t>Consultant / Senior Associate</t>
        </is>
      </c>
      <c r="V58" s="29" t="inlineStr">
        <is>
          <t>Big Four: Senior Consultant · IRIS Vs Market Benchmark — XBRL US credential pathway: Certificate + specialist taxonomy</t>
        </is>
      </c>
      <c r="W58" s="29" t="inlineStr">
        <is>
          <t>XBRL US GAAP Certificate · AICPA &amp; XBRL US; XBRL International specifications; IFRS / US GAAP / Ind AS</t>
        </is>
      </c>
      <c r="X58" s="29" t="inlineStr">
        <is>
          <t>Core 3 · Future 3 · Functional 3 · Leadership 2</t>
        </is>
      </c>
      <c r="Y58" s="52" t="n">
        <v>88</v>
      </c>
      <c r="Z58" s="53" t="inlineStr">
        <is>
          <t>IRIS0704</t>
        </is>
      </c>
      <c r="AA58" s="53" t="inlineStr">
        <is>
          <t>Employee</t>
        </is>
      </c>
      <c r="AB58" s="53" t="inlineStr">
        <is>
          <t>Active</t>
        </is>
      </c>
      <c r="AC58" s="53" t="inlineStr">
        <is>
          <t>Jivika Wadhwani</t>
        </is>
      </c>
      <c r="AD58" s="54" t="n">
        <v>40686</v>
      </c>
      <c r="AE58" s="53" t="inlineStr">
        <is>
          <t>Senior Financial Analyst</t>
        </is>
      </c>
      <c r="AF58" s="53" t="inlineStr">
        <is>
          <t>MBA</t>
        </is>
      </c>
      <c r="AG58" s="53" t="inlineStr">
        <is>
          <t>Shashikant Mudaliar</t>
        </is>
      </c>
      <c r="AH58" s="53" t="inlineStr">
        <is>
          <t>N-6</t>
        </is>
      </c>
      <c r="AI58" s="53" t="inlineStr">
        <is>
          <t>Manager</t>
        </is>
      </c>
      <c r="AJ58" s="53" t="inlineStr">
        <is>
          <t>0 years, 0 months, 0 days</t>
        </is>
      </c>
      <c r="AK58" s="53" t="inlineStr">
        <is>
          <t>15 years, 3 months, 2 days</t>
        </is>
      </c>
      <c r="AL58" s="53" t="inlineStr">
        <is>
          <t>Regtech</t>
        </is>
      </c>
      <c r="AM58" s="53" t="inlineStr">
        <is>
          <t>CARBON</t>
        </is>
      </c>
      <c r="AN58" s="53" t="inlineStr">
        <is>
          <t>Services</t>
        </is>
      </c>
      <c r="AO58" s="53" t="inlineStr">
        <is>
          <t>Expert Assisted services</t>
        </is>
      </c>
      <c r="AP58" s="53" t="inlineStr">
        <is>
          <t>No</t>
        </is>
      </c>
      <c r="AQ58" s="53" t="inlineStr">
        <is>
          <t>Professional Services</t>
        </is>
      </c>
      <c r="AR58" s="53" t="inlineStr">
        <is>
          <t>XBRL Domain</t>
        </is>
      </c>
      <c r="AS58" s="53" t="inlineStr">
        <is>
          <t>Non-technical</t>
        </is>
      </c>
      <c r="AT58" s="53" t="n">
        <v>20</v>
      </c>
      <c r="AU58" s="53" t="inlineStr">
        <is>
          <t>Covered</t>
        </is>
      </c>
      <c r="AV58" s="53" t="inlineStr">
        <is>
          <t>IRIS0704</t>
        </is>
      </c>
      <c r="AW58" s="53" t="inlineStr">
        <is>
          <t>Jivika Wadhwani</t>
        </is>
      </c>
      <c r="AX58" s="53" t="inlineStr">
        <is>
          <t>Services</t>
        </is>
      </c>
      <c r="AY58" s="53" t="inlineStr">
        <is>
          <t>Professional Services</t>
        </is>
      </c>
      <c r="AZ58" s="53" t="inlineStr">
        <is>
          <t>XBRL / Regulatory Reporting</t>
        </is>
      </c>
      <c r="BA58" s="53" t="n"/>
      <c r="BB58" s="53" t="n"/>
      <c r="BC58" s="53" t="inlineStr">
        <is>
          <t>Employee</t>
        </is>
      </c>
      <c r="BD58" s="53" t="inlineStr">
        <is>
          <t>Shashikant Mudaliar</t>
        </is>
      </c>
      <c r="BE58" s="53" t="inlineStr">
        <is>
          <t>Shashikant Mudaliar</t>
        </is>
      </c>
      <c r="BF58" s="53" t="inlineStr">
        <is>
          <t>No</t>
        </is>
      </c>
      <c r="BG58" s="53" t="inlineStr">
        <is>
          <t>Senior Financial Analyst</t>
        </is>
      </c>
      <c r="BH58" s="53" t="inlineStr">
        <is>
          <t>Senior Services Specialist</t>
        </is>
      </c>
      <c r="BI58" s="53" t="inlineStr">
        <is>
          <t>Yes</t>
        </is>
      </c>
      <c r="BJ58" s="53" t="n">
        <v>2</v>
      </c>
      <c r="BK58" s="53" t="n">
        <v>2</v>
      </c>
      <c r="BL58" s="53" t="n">
        <v>0</v>
      </c>
      <c r="BM58" s="53" t="inlineStr">
        <is>
          <t>Consolidate / flatten</t>
        </is>
      </c>
      <c r="BN58" s="53" t="n">
        <v>2</v>
      </c>
      <c r="BO58" s="53" t="n">
        <v>2</v>
      </c>
      <c r="BP58" s="53" t="n">
        <v>0</v>
      </c>
      <c r="BQ58" s="53" t="inlineStr">
        <is>
          <t>Consolidate / flatten</t>
        </is>
      </c>
      <c r="BR58" s="53" t="inlineStr">
        <is>
          <t>No</t>
        </is>
      </c>
      <c r="BS58" s="53" t="inlineStr">
        <is>
          <t>L4 – Senior</t>
        </is>
      </c>
      <c r="BT58" s="53" t="inlineStr">
        <is>
          <t>L4 – Senior</t>
        </is>
      </c>
      <c r="BU58" s="53" t="inlineStr">
        <is>
          <t>Designation refined from Raw tab Comments column · this update</t>
        </is>
      </c>
      <c r="BV58"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8" s="53" t="n"/>
      <c r="BX58" s="53" t="inlineStr">
        <is>
          <t>UK - HMRC; Europe - ESEF; Nigeria - CBN; Netherland - KVK.</t>
        </is>
      </c>
      <c r="BY58" s="53" t="n"/>
      <c r="BZ58" s="53" t="inlineStr">
        <is>
          <t>IRIS0704</t>
        </is>
      </c>
      <c r="CA58" s="53" t="inlineStr">
        <is>
          <t>Employee</t>
        </is>
      </c>
      <c r="CB58" s="53" t="inlineStr">
        <is>
          <t>Active</t>
        </is>
      </c>
      <c r="CC58" s="53" t="inlineStr">
        <is>
          <t>Jivika Wadhwani</t>
        </is>
      </c>
      <c r="CD58" s="54" t="n">
        <v>40686</v>
      </c>
      <c r="CE58" s="53" t="inlineStr">
        <is>
          <t>Senior Financial Analyst</t>
        </is>
      </c>
      <c r="CF58" s="53" t="n"/>
      <c r="CG58" s="53" t="inlineStr">
        <is>
          <t>Professional Services</t>
        </is>
      </c>
      <c r="CH58" s="53" t="inlineStr">
        <is>
          <t>XBRL / Regulatory Reporting</t>
        </is>
      </c>
      <c r="CI58" s="53" t="inlineStr">
        <is>
          <t>Senior Financial Analyst</t>
        </is>
      </c>
      <c r="CJ58" s="53" t="inlineStr">
        <is>
          <t>L4 – Senior</t>
        </is>
      </c>
      <c r="CK58" s="53" t="inlineStr">
        <is>
          <t>Shashikant Mudaliar</t>
        </is>
      </c>
      <c r="CL58" s="53" t="inlineStr">
        <is>
          <t>N-6</t>
        </is>
      </c>
      <c r="CM58" s="53" t="inlineStr">
        <is>
          <t>Player Cum Coach</t>
        </is>
      </c>
      <c r="CN58" s="53" t="inlineStr">
        <is>
          <t>Regtech</t>
        </is>
      </c>
      <c r="CO58" s="53" t="inlineStr">
        <is>
          <t>Services</t>
        </is>
      </c>
      <c r="CP58" s="53" t="inlineStr">
        <is>
          <t>15 years, 0 months, 28 days</t>
        </is>
      </c>
      <c r="CQ58" s="53" t="inlineStr">
        <is>
          <t>Senior Services Specialst</t>
        </is>
      </c>
      <c r="CR58" s="53" t="n"/>
      <c r="CS58" s="53" t="n">
        <v>4</v>
      </c>
      <c r="CT58" s="53" t="inlineStr">
        <is>
          <t>High</t>
        </is>
      </c>
      <c r="CU58" s="53" t="inlineStr">
        <is>
          <t>Core Contributor</t>
        </is>
      </c>
      <c r="CV58" s="53" t="inlineStr">
        <is>
          <t>Yes</t>
        </is>
      </c>
      <c r="CW58" s="53" t="inlineStr">
        <is>
          <t>No</t>
        </is>
      </c>
      <c r="CX58" s="53" t="inlineStr">
        <is>
          <t>Yes</t>
        </is>
      </c>
      <c r="CY58" s="53" t="n"/>
      <c r="CZ58" s="53" t="n"/>
      <c r="DA58" s="53" t="n"/>
      <c r="DB58" s="53" t="inlineStr">
        <is>
          <t>Title to be standardized to: Senior Services Specialist</t>
        </is>
      </c>
      <c r="DC58" s="53" t="n"/>
      <c r="DD58" s="53" t="n"/>
      <c r="DE58" s="53" t="n"/>
      <c r="DF58" s="53" t="n"/>
      <c r="DG58" s="53" t="n"/>
      <c r="DH58" s="53" t="n"/>
      <c r="DI58" s="53" t="n"/>
      <c r="DJ58" s="53" t="n"/>
      <c r="DK58" s="53" t="n"/>
      <c r="DL58" s="53" t="n"/>
      <c r="DM58" s="53" t="n"/>
      <c r="DN58" s="53" t="n"/>
      <c r="DO58" s="53" t="n"/>
      <c r="DP58" s="53" t="n"/>
      <c r="DQ58" s="53" t="n"/>
      <c r="DR58" s="53" t="n"/>
      <c r="DS58" s="53" t="n"/>
      <c r="DT58" s="53" t="n"/>
      <c r="DU58" s="53" t="n"/>
      <c r="DV58" s="53" t="n"/>
      <c r="DW58" s="53" t="n"/>
      <c r="DX58" s="53" t="n"/>
      <c r="DY58" s="53" t="n"/>
      <c r="DZ58" s="53" t="n"/>
      <c r="EA58" s="53" t="n"/>
      <c r="EB58" s="53" t="n"/>
      <c r="EC58" s="53" t="n"/>
      <c r="ED58" s="53" t="n"/>
      <c r="EE58" s="53" t="n"/>
      <c r="EF58" s="53" t="n"/>
      <c r="EG58" s="53" t="n"/>
      <c r="EH58" s="53" t="n"/>
      <c r="EI58" s="53" t="n"/>
      <c r="EJ58" s="53" t="n"/>
      <c r="EK58" s="53" t="n"/>
      <c r="EL58" s="53" t="n"/>
      <c r="EM58" s="53" t="n"/>
      <c r="EN58" s="53" t="n"/>
      <c r="EO58" s="53" t="n"/>
      <c r="EP58" s="53" t="n"/>
      <c r="EQ58" s="53" t="n"/>
      <c r="ER58" s="53" t="n"/>
      <c r="ES58" s="53" t="n"/>
      <c r="ET58" s="53" t="n"/>
      <c r="EU58" s="53" t="n"/>
      <c r="EV58" s="53" t="n"/>
      <c r="EW58" s="52" t="n"/>
      <c r="EX58" s="53" t="inlineStr">
        <is>
          <t>• Role / sub-team: Mapping under Service Team.</t>
        </is>
      </c>
      <c r="EY58" s="53" t="inlineStr">
        <is>
          <t>• Key responsibilities include: Provide mapping for multiple regions; Quality analysis for ESEF filings.
• Reported deliverables and outcomes include: Provide mapping to tagging team for further processing and share quality analysis report with CEM.</t>
        </is>
      </c>
      <c r="EZ58" s="53" t="inlineStr">
        <is>
          <t>• Current capabilities: Coordination with team; Tools / software used: HTML - Editor.</t>
        </is>
      </c>
      <c r="FA58" s="53" t="inlineStr">
        <is>
          <t>• Development priorities: No input received.
• Learning and Development Need: Proper planning.</t>
        </is>
      </c>
      <c r="FB58" s="53" t="inlineStr">
        <is>
          <t>• Key challenges: No input received.
• Support required: No input received.</t>
        </is>
      </c>
      <c r="FC58" s="53" t="n"/>
      <c r="FD58" s="53" t="n"/>
      <c r="FE58"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8" s="56" t="n"/>
      <c r="FG58" s="56" t="n"/>
      <c r="FH58" s="56" t="n"/>
      <c r="FI58" s="56" t="n"/>
      <c r="FJ58" s="56" t="inlineStr">
        <is>
          <t>Received · manager annual</t>
        </is>
      </c>
      <c r="FK58" s="56" t="inlineStr">
        <is>
          <t>CARBON Mapping Master</t>
        </is>
      </c>
      <c r="FL58" s="56" t="n">
        <v>20</v>
      </c>
      <c r="FM58" s="56" t="inlineStr">
        <is>
          <t>• Role / sub-team: Mapping under Service Team.</t>
        </is>
      </c>
      <c r="FN58" s="56" t="inlineStr">
        <is>
          <t>• Key responsibilities include: Provide mapping for multiple regions; Quality analysis for ESEF filings.
• Reported deliverables and outcomes include: Provide mapping to tagging team for further processing and share quality analysis report with CEM.</t>
        </is>
      </c>
      <c r="FO58" s="56" t="inlineStr">
        <is>
          <t>• Current capabilities: Coordination with team; Tools / software used: HTML - Editor.</t>
        </is>
      </c>
      <c r="FP58" s="56" t="inlineStr">
        <is>
          <t>• Development priorities: No input received.
• Learning and Development Need: Proper planning.</t>
        </is>
      </c>
      <c r="FQ58" s="56" t="inlineStr">
        <is>
          <t>• Key challenges: No input received.
• Support required: No input received.</t>
        </is>
      </c>
      <c r="FR58" s="56" t="inlineStr">
        <is>
          <t>Complexity: Evidence reads like B1: Maps reports to several regulators' taxonomies; extension vs reclassify calls; quality analysis of competitor filings → moved up 0.5
Autonomy: Evidence reads like A3: Selects taxonomy elements, resolves minor discrepancies, prioritises filings; escalates interpretation cases → matches the start
Accountability: Evidence reads like A3: own survey / KRA answers · summarised by the rater; not quoted → moved down 0.5
Leadership: Evidence reads like A1: No guiding or leading described despite two HR reports → moved down 1
Business Impact: Moved +0.5: the survey / manager mapping marks it business-critical.</t>
        </is>
      </c>
      <c r="FS58"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8" s="56" t="inlineStr">
        <is>
          <t>Self-identified: Testing &amp; quality · Domain, regulatory &amp; XBRL · Broader exposure &amp; ownership
For the next role: Leadership &amp; people management · Testing &amp; quality · Domain, regulatory &amp; XBRL · Broader exposure &amp; ownership</t>
        </is>
      </c>
      <c r="FU58" s="56" t="inlineStr">
        <is>
          <t>Per-person summary · CARBON Mapping Master</t>
        </is>
      </c>
    </row>
    <row r="59" ht="90" customHeight="1">
      <c r="A59" s="51" t="inlineStr">
        <is>
          <t>◂ Back</t>
        </is>
      </c>
      <c r="B59" s="29" t="inlineStr">
        <is>
          <t>Mapped</t>
        </is>
      </c>
      <c r="C59" s="28" t="inlineStr">
        <is>
          <t>CARBON</t>
        </is>
      </c>
      <c r="D59" s="29" t="inlineStr">
        <is>
          <t>IRIS2169</t>
        </is>
      </c>
      <c r="E59" s="29" t="inlineStr">
        <is>
          <t>Chetan Newase</t>
        </is>
      </c>
      <c r="F59" s="29" t="inlineStr">
        <is>
          <t>Services</t>
        </is>
      </c>
      <c r="G59" s="29" t="inlineStr">
        <is>
          <t>Senior Financial Analyst</t>
        </is>
      </c>
      <c r="H59" s="29" t="inlineStr">
        <is>
          <t>XBRL Specialist</t>
        </is>
      </c>
      <c r="I59" s="29" t="inlineStr">
        <is>
          <t>L4 – Senior</t>
        </is>
      </c>
      <c r="J59" s="29" t="inlineStr">
        <is>
          <t>B1</t>
        </is>
      </c>
      <c r="K59" s="29" t="inlineStr">
        <is>
          <t>▲ Up</t>
        </is>
      </c>
      <c r="L59" s="29" t="inlineStr">
        <is>
          <t>Consulting &amp; Professional Services</t>
        </is>
      </c>
      <c r="M59" s="29" t="inlineStr">
        <is>
          <t>XBRL Tagging, Conversion &amp; Filing</t>
        </is>
      </c>
      <c r="N59" s="29" t="n"/>
      <c r="O59" s="29" t="n">
        <v>18</v>
      </c>
      <c r="P59" s="28" t="inlineStr">
        <is>
          <t>P3 / M2</t>
        </is>
      </c>
      <c r="Q59" s="29" t="inlineStr">
        <is>
          <t>Career / · Team Lead</t>
        </is>
      </c>
      <c r="R59" s="29" t="inlineStr">
        <is>
          <t>4 Enable</t>
        </is>
      </c>
      <c r="S59" s="29" t="inlineStr">
        <is>
          <t>4–7 yrs</t>
        </is>
      </c>
      <c r="T59" s="29" t="inlineStr">
        <is>
          <t>5–8 · 4–8</t>
        </is>
      </c>
      <c r="U59" s="29" t="inlineStr">
        <is>
          <t>Consultant / Senior Associate</t>
        </is>
      </c>
      <c r="V59" s="29" t="inlineStr">
        <is>
          <t>Big Four: Senior Consultant · IRIS Vs Market Benchmark — XBRL US credential pathway: Certificate + specialist taxonomy</t>
        </is>
      </c>
      <c r="W59" s="29" t="inlineStr">
        <is>
          <t>XBRL US GAAP Certificate · AICPA &amp; XBRL US; XBRL International specifications; IFRS / US GAAP / Ind AS</t>
        </is>
      </c>
      <c r="X59" s="29" t="inlineStr">
        <is>
          <t>Core 3 · Future 3 · Functional 3 · Leadership 1</t>
        </is>
      </c>
      <c r="Y59" s="52" t="n">
        <v>288</v>
      </c>
      <c r="Z59" s="53" t="inlineStr">
        <is>
          <t>IRIS2169</t>
        </is>
      </c>
      <c r="AA59" s="53" t="inlineStr">
        <is>
          <t>Employee</t>
        </is>
      </c>
      <c r="AB59" s="53" t="inlineStr">
        <is>
          <t>Active</t>
        </is>
      </c>
      <c r="AC59" s="53" t="inlineStr">
        <is>
          <t>Chetan Newase</t>
        </is>
      </c>
      <c r="AD59" s="54" t="n">
        <v>45148</v>
      </c>
      <c r="AE59" s="53" t="inlineStr">
        <is>
          <t>Senior Financial Analyst</t>
        </is>
      </c>
      <c r="AF59" s="53" t="inlineStr">
        <is>
          <t>MBA</t>
        </is>
      </c>
      <c r="AG59" s="53" t="inlineStr">
        <is>
          <t>Jivika Wadhwani</t>
        </is>
      </c>
      <c r="AH59" s="53" t="inlineStr">
        <is>
          <t>N-7</t>
        </is>
      </c>
      <c r="AI59" s="53" t="inlineStr">
        <is>
          <t>Individual Contributor</t>
        </is>
      </c>
      <c r="AJ59" s="53" t="inlineStr">
        <is>
          <t>13 years, 0 months, 00 days</t>
        </is>
      </c>
      <c r="AK59" s="53" t="inlineStr">
        <is>
          <t>3 years, 0 months, 15 days</t>
        </is>
      </c>
      <c r="AL59" s="53" t="inlineStr">
        <is>
          <t>Regtech</t>
        </is>
      </c>
      <c r="AM59" s="53" t="inlineStr">
        <is>
          <t>CARBON</t>
        </is>
      </c>
      <c r="AN59" s="53" t="inlineStr">
        <is>
          <t>Services</t>
        </is>
      </c>
      <c r="AO59" s="53" t="inlineStr">
        <is>
          <t>Expert Assisted services</t>
        </is>
      </c>
      <c r="AP59" s="53" t="inlineStr">
        <is>
          <t>No</t>
        </is>
      </c>
      <c r="AQ59" s="53" t="inlineStr">
        <is>
          <t>Professional Services</t>
        </is>
      </c>
      <c r="AR59" s="53" t="inlineStr">
        <is>
          <t>XBRL Domain</t>
        </is>
      </c>
      <c r="AS59" s="53" t="inlineStr">
        <is>
          <t>Non-technical</t>
        </is>
      </c>
      <c r="AT59" s="53" t="n">
        <v>20</v>
      </c>
      <c r="AU59" s="53" t="inlineStr">
        <is>
          <t>Covered</t>
        </is>
      </c>
      <c r="AV59" s="53" t="inlineStr">
        <is>
          <t>IRIS2169</t>
        </is>
      </c>
      <c r="AW59" s="53" t="inlineStr">
        <is>
          <t>Chetan Newase</t>
        </is>
      </c>
      <c r="AX59" s="53" t="inlineStr">
        <is>
          <t>Services</t>
        </is>
      </c>
      <c r="AY59" s="53" t="inlineStr">
        <is>
          <t>Professional Services</t>
        </is>
      </c>
      <c r="AZ59" s="53" t="inlineStr">
        <is>
          <t>XBRL / Regulatory Reporting</t>
        </is>
      </c>
      <c r="BA59" s="53" t="n"/>
      <c r="BB59" s="53" t="n"/>
      <c r="BC59" s="53" t="inlineStr">
        <is>
          <t>Employee</t>
        </is>
      </c>
      <c r="BD59" s="53" t="inlineStr">
        <is>
          <t>Jivika Wadhwani</t>
        </is>
      </c>
      <c r="BE59" s="53" t="inlineStr">
        <is>
          <t>Jivika Wadhwani</t>
        </is>
      </c>
      <c r="BF59" s="53" t="inlineStr">
        <is>
          <t>No</t>
        </is>
      </c>
      <c r="BG59" s="53" t="inlineStr">
        <is>
          <t>Senior Financial Analyst</t>
        </is>
      </c>
      <c r="BH59" s="53" t="inlineStr">
        <is>
          <t>Senior Services Specialist</t>
        </is>
      </c>
      <c r="BI59" s="53" t="inlineStr">
        <is>
          <t>Yes</t>
        </is>
      </c>
      <c r="BJ59" s="53" t="inlineStr">
        <is>
          <t>—</t>
        </is>
      </c>
      <c r="BK59" s="53" t="inlineStr">
        <is>
          <t>—</t>
        </is>
      </c>
      <c r="BL59" s="53" t="inlineStr">
        <is>
          <t>—</t>
        </is>
      </c>
      <c r="BM59" s="53" t="inlineStr">
        <is>
          <t>Not a manager</t>
        </is>
      </c>
      <c r="BN59" s="53" t="inlineStr">
        <is>
          <t>—</t>
        </is>
      </c>
      <c r="BO59" s="53" t="inlineStr">
        <is>
          <t>—</t>
        </is>
      </c>
      <c r="BP59" s="53" t="inlineStr">
        <is>
          <t>—</t>
        </is>
      </c>
      <c r="BQ59" s="53" t="inlineStr">
        <is>
          <t>Not a manager</t>
        </is>
      </c>
      <c r="BR59" s="53" t="inlineStr">
        <is>
          <t>—</t>
        </is>
      </c>
      <c r="BS59" s="53" t="inlineStr">
        <is>
          <t>L4 – Senior</t>
        </is>
      </c>
      <c r="BT59" s="53" t="inlineStr">
        <is>
          <t>L4 – Senior</t>
        </is>
      </c>
      <c r="BU59" s="53" t="inlineStr">
        <is>
          <t>Designation refined from Raw tab Comments column · this update</t>
        </is>
      </c>
      <c r="BV59"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9" s="53" t="n"/>
      <c r="BX59" s="53" t="inlineStr">
        <is>
          <t>USA - SEC.</t>
        </is>
      </c>
      <c r="BY59" s="53" t="n"/>
      <c r="BZ59" s="53" t="inlineStr">
        <is>
          <t>IRIS2169</t>
        </is>
      </c>
      <c r="CA59" s="53" t="inlineStr">
        <is>
          <t>Employee</t>
        </is>
      </c>
      <c r="CB59" s="53" t="inlineStr">
        <is>
          <t>Active</t>
        </is>
      </c>
      <c r="CC59" s="53" t="inlineStr">
        <is>
          <t>Chetan Newase</t>
        </is>
      </c>
      <c r="CD59" s="54" t="n">
        <v>45148</v>
      </c>
      <c r="CE59" s="53" t="inlineStr">
        <is>
          <t>Senior Financial Analyst</t>
        </is>
      </c>
      <c r="CF59" s="53" t="n"/>
      <c r="CG59" s="53" t="inlineStr">
        <is>
          <t>Professional Services</t>
        </is>
      </c>
      <c r="CH59" s="53" t="inlineStr">
        <is>
          <t>XBRL / Regulatory Reporting</t>
        </is>
      </c>
      <c r="CI59" s="53" t="inlineStr">
        <is>
          <t>Senior Financial Analyst</t>
        </is>
      </c>
      <c r="CJ59" s="53" t="inlineStr">
        <is>
          <t>L4 – Senior</t>
        </is>
      </c>
      <c r="CK59" s="53" t="inlineStr">
        <is>
          <t>Jivika Wadhwani</t>
        </is>
      </c>
      <c r="CL59" s="53" t="inlineStr">
        <is>
          <t>N-7</t>
        </is>
      </c>
      <c r="CM59" s="53" t="inlineStr">
        <is>
          <t>Individual Contributor</t>
        </is>
      </c>
      <c r="CN59" s="53" t="inlineStr">
        <is>
          <t>Regtech</t>
        </is>
      </c>
      <c r="CO59" s="53" t="inlineStr">
        <is>
          <t>Services</t>
        </is>
      </c>
      <c r="CP59" s="53" t="inlineStr">
        <is>
          <t>15 years, 10 months, 10 days</t>
        </is>
      </c>
      <c r="CQ59" s="53" t="inlineStr">
        <is>
          <t>Senior Services Specialst</t>
        </is>
      </c>
      <c r="CR59" s="53" t="n"/>
      <c r="CS59" s="53" t="n">
        <v>3</v>
      </c>
      <c r="CT59" s="53" t="inlineStr">
        <is>
          <t>Medium</t>
        </is>
      </c>
      <c r="CU59" s="53" t="inlineStr">
        <is>
          <t>Core Contributor</t>
        </is>
      </c>
      <c r="CV59" s="53" t="inlineStr">
        <is>
          <t>No</t>
        </is>
      </c>
      <c r="CW59" s="53" t="inlineStr">
        <is>
          <t>No</t>
        </is>
      </c>
      <c r="CX59" s="53" t="inlineStr">
        <is>
          <t>Yes</t>
        </is>
      </c>
      <c r="CY59" s="53" t="n"/>
      <c r="CZ59" s="53" t="n"/>
      <c r="DA59" s="53" t="n"/>
      <c r="DB59" s="53" t="inlineStr">
        <is>
          <t>Title to be standardized to: Senior Services Specialist</t>
        </is>
      </c>
      <c r="DC59" s="53" t="n"/>
      <c r="DD59" s="53" t="n"/>
      <c r="DE59" s="53" t="n"/>
      <c r="DF59" s="53" t="n"/>
      <c r="DG59" s="53" t="n"/>
      <c r="DH59" s="53" t="n"/>
      <c r="DI59" s="53" t="n"/>
      <c r="DJ59" s="53" t="n"/>
      <c r="DK59" s="53" t="n"/>
      <c r="DL59" s="53" t="n"/>
      <c r="DM59" s="53" t="n"/>
      <c r="DN59" s="53" t="n"/>
      <c r="DO59" s="53" t="n"/>
      <c r="DP59" s="53" t="n"/>
      <c r="DQ59" s="53" t="n"/>
      <c r="DR59" s="53" t="n"/>
      <c r="DS59" s="53" t="n"/>
      <c r="DT59" s="53" t="n"/>
      <c r="DU59" s="53" t="n"/>
      <c r="DV59" s="53" t="n"/>
      <c r="DW59" s="53" t="n"/>
      <c r="DX59" s="53" t="n"/>
      <c r="DY59" s="53" t="n"/>
      <c r="DZ59" s="53" t="n"/>
      <c r="EA59" s="53" t="n"/>
      <c r="EB59" s="53" t="n"/>
      <c r="EC59" s="53" t="n"/>
      <c r="ED59" s="53" t="n"/>
      <c r="EE59" s="53" t="n"/>
      <c r="EF59" s="53" t="n"/>
      <c r="EG59" s="53" t="n"/>
      <c r="EH59" s="53" t="n"/>
      <c r="EI59" s="53" t="n"/>
      <c r="EJ59" s="53" t="n"/>
      <c r="EK59" s="53" t="n"/>
      <c r="EL59" s="53" t="n"/>
      <c r="EM59" s="53" t="n"/>
      <c r="EN59" s="53" t="n"/>
      <c r="EO59" s="53" t="n"/>
      <c r="EP59" s="53" t="n"/>
      <c r="EQ59" s="53" t="n"/>
      <c r="ER59" s="53" t="n"/>
      <c r="ES59" s="53" t="n"/>
      <c r="ET59" s="53" t="n"/>
      <c r="EU59" s="53" t="n"/>
      <c r="EV59" s="53" t="n"/>
      <c r="EW59" s="52" t="n"/>
      <c r="EX59" s="53" t="inlineStr">
        <is>
          <t>• Role / sub-team: XBRL mapping.</t>
        </is>
      </c>
      <c r="EY59" s="53" t="inlineStr">
        <is>
          <t>• Key responsibilities include: XBRL mapping, Quality Analysis, DQC Errors,.
• Reported deliverables and outcomes include: US assisted - Tagging Team.</t>
        </is>
      </c>
      <c r="EZ59" s="53" t="inlineStr">
        <is>
          <t>• Current capabilities: Team management communica; Tools / software used: Disclosure Management - DM - Word editor.</t>
        </is>
      </c>
      <c r="FA59" s="53" t="inlineStr">
        <is>
          <t>• Development priorities: No input received.
• Learning and Development Need: Time management.</t>
        </is>
      </c>
      <c r="FB59" s="53" t="inlineStr">
        <is>
          <t>• Key challenges: No input received.
• Support required: No input received.</t>
        </is>
      </c>
      <c r="FC59" s="53" t="n"/>
      <c r="FD59" s="53" t="n"/>
      <c r="FE59"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9" s="56" t="n"/>
      <c r="FG59" s="56" t="n"/>
      <c r="FH59" s="56" t="n"/>
      <c r="FI59" s="56" t="n"/>
      <c r="FJ59" s="56" t="inlineStr">
        <is>
          <t>Received · manager annual</t>
        </is>
      </c>
      <c r="FK59" s="56" t="inlineStr">
        <is>
          <t>CARBON Mapping Master</t>
        </is>
      </c>
      <c r="FL59" s="56" t="n">
        <v>18</v>
      </c>
      <c r="FM59" s="56" t="inlineStr">
        <is>
          <t>• Role / sub-team: XBRL mapping.</t>
        </is>
      </c>
      <c r="FN59" s="56" t="inlineStr">
        <is>
          <t>• Key responsibilities include: XBRL mapping, Quality Analysis, DQC Errors,.
• Reported deliverables and outcomes include: US assisted - Tagging Team.</t>
        </is>
      </c>
      <c r="FO59" s="56" t="inlineStr">
        <is>
          <t>• Current capabilities: Team management communica; Tools / software used: Disclosure Management - DM - Word editor.</t>
        </is>
      </c>
      <c r="FP59" s="56" t="inlineStr">
        <is>
          <t>• Development priorities: No input received.
• Learning and Development Need: Time management.</t>
        </is>
      </c>
      <c r="FQ59" s="56" t="inlineStr">
        <is>
          <t>• Key challenges: No input received.
• Support required: No input received.</t>
        </is>
      </c>
      <c r="FR59" s="56" t="inlineStr">
        <is>
          <t>Complexity: Evidence reads like B1: US XBRL Excel mapping, DQC/duplicate error clearance, quality analysis, mandate-update analysis across regions → moved up 0.5
Autonomy: Evidence reads like A3: Manages own mapping, validation-error clearance and quality analysis work → matches the start
Accountability: Evidence reads like A3: Quality and timeliness of mapping, validation and filing support feeding the tagging team's filings → matches the start
Leadership: Evidence reads like A2: Supports the tagging team; no standing guidance or allocation duties shown → matches the start
Business Impact: Moved +0.5: the survey / manager mapping marks it business-critical.</t>
        </is>
      </c>
      <c r="FS59"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9" s="56" t="inlineStr">
        <is>
          <t>Self-identified: AI / automation · Broader exposure &amp; ownership
For the next role: AI / automation · Broader exposure &amp; ownership</t>
        </is>
      </c>
      <c r="FU59" s="56" t="inlineStr">
        <is>
          <t>Per-person summary · CARBON Mapping Master</t>
        </is>
      </c>
    </row>
    <row r="60" ht="90" customHeight="1">
      <c r="A60" s="51" t="inlineStr">
        <is>
          <t>◂ Back</t>
        </is>
      </c>
      <c r="B60" s="29" t="inlineStr">
        <is>
          <t>Mapped</t>
        </is>
      </c>
      <c r="C60" s="28" t="inlineStr">
        <is>
          <t>CARBON</t>
        </is>
      </c>
      <c r="D60" s="29" t="inlineStr">
        <is>
          <t>IRIS2050</t>
        </is>
      </c>
      <c r="E60" s="29" t="inlineStr">
        <is>
          <t>Ruhee Chita</t>
        </is>
      </c>
      <c r="F60" s="29" t="inlineStr">
        <is>
          <t>Services</t>
        </is>
      </c>
      <c r="G60" s="29" t="inlineStr">
        <is>
          <t>Senior Financial Analyst</t>
        </is>
      </c>
      <c r="H60" s="29" t="inlineStr">
        <is>
          <t>XBRL Specialist</t>
        </is>
      </c>
      <c r="I60" s="29" t="inlineStr">
        <is>
          <t>L4 – Senior</t>
        </is>
      </c>
      <c r="J60" s="29" t="inlineStr">
        <is>
          <t>A3</t>
        </is>
      </c>
      <c r="K60" s="29" t="inlineStr">
        <is>
          <t>▲ Up</t>
        </is>
      </c>
      <c r="L60" s="29" t="inlineStr">
        <is>
          <t>Consulting &amp; Professional Services</t>
        </is>
      </c>
      <c r="M60" s="29" t="inlineStr">
        <is>
          <t>XBRL Tagging, Conversion &amp; Filing</t>
        </is>
      </c>
      <c r="N60" s="29" t="n"/>
      <c r="O60" s="29" t="n">
        <v>20</v>
      </c>
      <c r="P60" s="28" t="inlineStr">
        <is>
          <t>P2</t>
        </is>
      </c>
      <c r="Q60" s="29" t="inlineStr">
        <is>
          <t>Developing</t>
        </is>
      </c>
      <c r="R60" s="29" t="inlineStr">
        <is>
          <t>3 Apply</t>
        </is>
      </c>
      <c r="S60" s="29" t="inlineStr">
        <is>
          <t>2–4 yrs</t>
        </is>
      </c>
      <c r="T60" s="29" t="inlineStr">
        <is>
          <t>3–5 · 2–5</t>
        </is>
      </c>
      <c r="U60" s="29" t="inlineStr">
        <is>
          <t>Consultant / Senior Associate</t>
        </is>
      </c>
      <c r="V60" s="29" t="inlineStr">
        <is>
          <t>DataTracks: Senior Associate · 2–5 yrs · Big Four: Consultant · IRIS Vs Market Benchmark — XBRL US credential pathway: XBRL US GAAP Certificate</t>
        </is>
      </c>
      <c r="W60" s="29" t="inlineStr">
        <is>
          <t>XBRL US GAAP Certificate · AICPA &amp; XBRL US; XBRL International specifications; IFRS / US GAAP / Ind AS</t>
        </is>
      </c>
      <c r="X60" s="29" t="inlineStr">
        <is>
          <t>Core 2 · Future 2 · Functional 3 · Leadership not scored</t>
        </is>
      </c>
      <c r="Y60" s="52" t="n">
        <v>235</v>
      </c>
      <c r="Z60" s="53" t="inlineStr">
        <is>
          <t>IRIS2050</t>
        </is>
      </c>
      <c r="AA60" s="53" t="inlineStr">
        <is>
          <t>Employee</t>
        </is>
      </c>
      <c r="AB60" s="53" t="inlineStr">
        <is>
          <t>Active</t>
        </is>
      </c>
      <c r="AC60" s="53" t="inlineStr">
        <is>
          <t>Ruhee Chita</t>
        </is>
      </c>
      <c r="AD60" s="54" t="n">
        <v>44774</v>
      </c>
      <c r="AE60" s="53" t="inlineStr">
        <is>
          <t>Senior Financial Analyst</t>
        </is>
      </c>
      <c r="AF60" s="53" t="inlineStr">
        <is>
          <t>CMA</t>
        </is>
      </c>
      <c r="AG60" s="53" t="inlineStr">
        <is>
          <t>Jivika Wadhwani</t>
        </is>
      </c>
      <c r="AH60" s="53" t="inlineStr">
        <is>
          <t>N-7</t>
        </is>
      </c>
      <c r="AI60" s="53" t="inlineStr">
        <is>
          <t>Individual Contributor</t>
        </is>
      </c>
      <c r="AJ60" s="53" t="inlineStr">
        <is>
          <t>3 years, 7 months, 0 days</t>
        </is>
      </c>
      <c r="AK60" s="53" t="inlineStr">
        <is>
          <t>4 years, 0 months, 24 days</t>
        </is>
      </c>
      <c r="AL60" s="53" t="inlineStr">
        <is>
          <t>Regtech</t>
        </is>
      </c>
      <c r="AM60" s="53" t="inlineStr">
        <is>
          <t>CARBON</t>
        </is>
      </c>
      <c r="AN60" s="53" t="inlineStr">
        <is>
          <t>Services</t>
        </is>
      </c>
      <c r="AO60" s="53" t="inlineStr">
        <is>
          <t>Expert Assisted services</t>
        </is>
      </c>
      <c r="AP60" s="53" t="inlineStr">
        <is>
          <t>No</t>
        </is>
      </c>
      <c r="AQ60" s="53" t="inlineStr">
        <is>
          <t>Professional Services</t>
        </is>
      </c>
      <c r="AR60" s="53" t="inlineStr">
        <is>
          <t>XBRL Domain</t>
        </is>
      </c>
      <c r="AS60" s="53" t="inlineStr">
        <is>
          <t>Non-technical</t>
        </is>
      </c>
      <c r="AT60" s="53" t="n">
        <v>20</v>
      </c>
      <c r="AU60" s="53" t="inlineStr">
        <is>
          <t>Covered</t>
        </is>
      </c>
      <c r="AV60" s="53" t="inlineStr">
        <is>
          <t>IRIS2050</t>
        </is>
      </c>
      <c r="AW60" s="53" t="inlineStr">
        <is>
          <t>Ruhee Chita</t>
        </is>
      </c>
      <c r="AX60" s="53" t="inlineStr">
        <is>
          <t>Services</t>
        </is>
      </c>
      <c r="AY60" s="53" t="inlineStr">
        <is>
          <t>Professional Services</t>
        </is>
      </c>
      <c r="AZ60" s="53" t="inlineStr">
        <is>
          <t>XBRL / Regulatory Reporting</t>
        </is>
      </c>
      <c r="BA60" s="53" t="n"/>
      <c r="BB60" s="53" t="n"/>
      <c r="BC60" s="53" t="inlineStr">
        <is>
          <t>Employee</t>
        </is>
      </c>
      <c r="BD60" s="53" t="inlineStr">
        <is>
          <t>Jivika Wadhwani</t>
        </is>
      </c>
      <c r="BE60" s="53" t="inlineStr">
        <is>
          <t>Jivika Wadhwani</t>
        </is>
      </c>
      <c r="BF60" s="53" t="inlineStr">
        <is>
          <t>No</t>
        </is>
      </c>
      <c r="BG60" s="53" t="inlineStr">
        <is>
          <t>Senior Financial Analyst</t>
        </is>
      </c>
      <c r="BH60" s="53" t="inlineStr">
        <is>
          <t>Senior Services Specialist</t>
        </is>
      </c>
      <c r="BI60" s="53" t="inlineStr">
        <is>
          <t>Yes</t>
        </is>
      </c>
      <c r="BJ60" s="53" t="inlineStr">
        <is>
          <t>—</t>
        </is>
      </c>
      <c r="BK60" s="53" t="inlineStr">
        <is>
          <t>—</t>
        </is>
      </c>
      <c r="BL60" s="53" t="inlineStr">
        <is>
          <t>—</t>
        </is>
      </c>
      <c r="BM60" s="53" t="inlineStr">
        <is>
          <t>Not a manager</t>
        </is>
      </c>
      <c r="BN60" s="53" t="inlineStr">
        <is>
          <t>—</t>
        </is>
      </c>
      <c r="BO60" s="53" t="inlineStr">
        <is>
          <t>—</t>
        </is>
      </c>
      <c r="BP60" s="53" t="inlineStr">
        <is>
          <t>—</t>
        </is>
      </c>
      <c r="BQ60" s="53" t="inlineStr">
        <is>
          <t>Not a manager</t>
        </is>
      </c>
      <c r="BR60" s="53" t="inlineStr">
        <is>
          <t>—</t>
        </is>
      </c>
      <c r="BS60" s="53" t="inlineStr">
        <is>
          <t>L4 – Senior</t>
        </is>
      </c>
      <c r="BT60" s="53" t="inlineStr">
        <is>
          <t>L4 – Senior</t>
        </is>
      </c>
      <c r="BU60" s="53" t="inlineStr">
        <is>
          <t>Designation refined from Raw tab Comments column · this update</t>
        </is>
      </c>
      <c r="BV60"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60" s="53" t="n"/>
      <c r="BX60" s="53" t="inlineStr">
        <is>
          <t>UK - HMRC; Netherland - KVK; Nigeria - CBN; Europe - ESEF.</t>
        </is>
      </c>
      <c r="BY60" s="53" t="n"/>
      <c r="BZ60" s="53" t="inlineStr">
        <is>
          <t>IRIS2050</t>
        </is>
      </c>
      <c r="CA60" s="53" t="inlineStr">
        <is>
          <t>Employee</t>
        </is>
      </c>
      <c r="CB60" s="53" t="inlineStr">
        <is>
          <t>Active</t>
        </is>
      </c>
      <c r="CC60" s="53" t="inlineStr">
        <is>
          <t>Ruhee Chita</t>
        </is>
      </c>
      <c r="CD60" s="54" t="n">
        <v>44774</v>
      </c>
      <c r="CE60" s="53" t="inlineStr">
        <is>
          <t>Senior Financial Analyst</t>
        </is>
      </c>
      <c r="CF60" s="53" t="n"/>
      <c r="CG60" s="53" t="inlineStr">
        <is>
          <t>Professional Services</t>
        </is>
      </c>
      <c r="CH60" s="53" t="inlineStr">
        <is>
          <t>XBRL / Regulatory Reporting</t>
        </is>
      </c>
      <c r="CI60" s="53" t="inlineStr">
        <is>
          <t>Senior Financial Analyst</t>
        </is>
      </c>
      <c r="CJ60" s="53" t="inlineStr">
        <is>
          <t>L4 – Senior</t>
        </is>
      </c>
      <c r="CK60" s="53" t="inlineStr">
        <is>
          <t>Jivika Wadhwani</t>
        </is>
      </c>
      <c r="CL60" s="53" t="inlineStr">
        <is>
          <t>N-7</t>
        </is>
      </c>
      <c r="CM60" s="53" t="inlineStr">
        <is>
          <t>Individual Contributor</t>
        </is>
      </c>
      <c r="CN60" s="53" t="inlineStr">
        <is>
          <t>Regtech</t>
        </is>
      </c>
      <c r="CO60" s="53" t="inlineStr">
        <is>
          <t>Services</t>
        </is>
      </c>
      <c r="CP60" s="53" t="inlineStr">
        <is>
          <t>7 years, 5 months, 19 days</t>
        </is>
      </c>
      <c r="CQ60" s="53" t="inlineStr">
        <is>
          <t>Senior Services Specialst</t>
        </is>
      </c>
      <c r="CR60" s="53" t="n"/>
      <c r="CS60" s="53" t="n">
        <v>3</v>
      </c>
      <c r="CT60" s="53" t="inlineStr">
        <is>
          <t>Medium</t>
        </is>
      </c>
      <c r="CU60" s="53" t="inlineStr">
        <is>
          <t>Core Contributor</t>
        </is>
      </c>
      <c r="CV60" s="53" t="inlineStr">
        <is>
          <t>No</t>
        </is>
      </c>
      <c r="CW60" s="53" t="inlineStr">
        <is>
          <t>No</t>
        </is>
      </c>
      <c r="CX60" s="53" t="inlineStr">
        <is>
          <t>Yes</t>
        </is>
      </c>
      <c r="CY60" s="53" t="n"/>
      <c r="CZ60" s="53" t="n"/>
      <c r="DA60" s="53" t="n"/>
      <c r="DB60" s="53" t="inlineStr">
        <is>
          <t>Title to be standardized to: Senior Services Specialist</t>
        </is>
      </c>
      <c r="DC60" s="53" t="n"/>
      <c r="DD60" s="53" t="n"/>
      <c r="DE60" s="53" t="n"/>
      <c r="DF60" s="53" t="n"/>
      <c r="DG60" s="53" t="n"/>
      <c r="DH60" s="53" t="n"/>
      <c r="DI60" s="53" t="n"/>
      <c r="DJ60" s="53" t="n"/>
      <c r="DK60" s="53" t="n"/>
      <c r="DL60" s="53" t="n"/>
      <c r="DM60" s="53" t="n"/>
      <c r="DN60" s="53" t="n"/>
      <c r="DO60" s="53" t="n"/>
      <c r="DP60" s="53" t="n"/>
      <c r="DQ60" s="53" t="n"/>
      <c r="DR60" s="53" t="n"/>
      <c r="DS60" s="53" t="n"/>
      <c r="DT60" s="53" t="n"/>
      <c r="DU60" s="53" t="n"/>
      <c r="DV60" s="53" t="n"/>
      <c r="DW60" s="53" t="n"/>
      <c r="DX60" s="53" t="n"/>
      <c r="DY60" s="53" t="n"/>
      <c r="DZ60" s="53" t="n"/>
      <c r="EA60" s="53" t="n"/>
      <c r="EB60" s="53" t="n"/>
      <c r="EC60" s="53" t="n"/>
      <c r="ED60" s="53" t="n"/>
      <c r="EE60" s="53" t="n"/>
      <c r="EF60" s="53" t="n"/>
      <c r="EG60" s="53" t="n"/>
      <c r="EH60" s="53" t="n"/>
      <c r="EI60" s="53" t="n"/>
      <c r="EJ60" s="53" t="n"/>
      <c r="EK60" s="53" t="n"/>
      <c r="EL60" s="53" t="n"/>
      <c r="EM60" s="53" t="n"/>
      <c r="EN60" s="53" t="n"/>
      <c r="EO60" s="53" t="n"/>
      <c r="EP60" s="53" t="n"/>
      <c r="EQ60" s="53" t="n"/>
      <c r="ER60" s="53" t="n"/>
      <c r="ES60" s="53" t="n"/>
      <c r="ET60" s="53" t="n"/>
      <c r="EU60" s="53" t="n"/>
      <c r="EV60" s="53" t="n"/>
      <c r="EW60" s="52" t="n"/>
      <c r="EX60" s="53" t="inlineStr">
        <is>
          <t>• Role / sub-team: Service team: Mapping.</t>
        </is>
      </c>
      <c r="EY60" s="53" t="inlineStr">
        <is>
          <t>• Key responsibilities include: Provide mapping for different projects.; Quality analysis.
• Reported deliverables and outcomes include: Tagging team and sometimes directly to the CEM.</t>
        </is>
      </c>
      <c r="EZ60" s="53" t="inlineStr">
        <is>
          <t>• Current capabilities: Team collaboration.</t>
        </is>
      </c>
      <c r="FA60" s="53" t="inlineStr">
        <is>
          <t>• Development priorities: No input received.
• Learning and Development Need: Planning of work.</t>
        </is>
      </c>
      <c r="FB60" s="53" t="inlineStr">
        <is>
          <t>• Key challenges: No input received.
• Support required: No input received.</t>
        </is>
      </c>
      <c r="FC60" s="53" t="n"/>
      <c r="FD60" s="53" t="n"/>
      <c r="FE60"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60" s="56" t="n"/>
      <c r="FG60" s="56" t="n"/>
      <c r="FH60" s="56" t="n"/>
      <c r="FI60" s="56" t="n"/>
      <c r="FJ60" s="56" t="inlineStr">
        <is>
          <t>Received · manager annual</t>
        </is>
      </c>
      <c r="FK60" s="56" t="inlineStr">
        <is>
          <t>CARBON Mapping Master</t>
        </is>
      </c>
      <c r="FL60" s="56" t="n">
        <v>20</v>
      </c>
      <c r="FM60" s="56" t="inlineStr">
        <is>
          <t>• Role / sub-team: Service team: Mapping.</t>
        </is>
      </c>
      <c r="FN60" s="56" t="inlineStr">
        <is>
          <t>• Key responsibilities include: Provide mapping for different projects.; Quality analysis.
• Reported deliverables and outcomes include: Tagging team and sometimes directly to the CEM.</t>
        </is>
      </c>
      <c r="FO60" s="56" t="inlineStr">
        <is>
          <t>• Current capabilities: Team collaboration.</t>
        </is>
      </c>
      <c r="FP60" s="56" t="inlineStr">
        <is>
          <t>• Development priorities: No input received.
• Learning and Development Need: Planning of work.</t>
        </is>
      </c>
      <c r="FQ60" s="56" t="inlineStr">
        <is>
          <t>• Key challenges: No input received.
• Support required: No input received.</t>
        </is>
      </c>
      <c r="FR60" s="56" t="inlineStr">
        <is>
          <t>Complexity: Evidence reads like B1: Maps statements to ESEF, Dutch, Nigeria, UK taxonomies; extension decisions; resolves auditor comments; reviews filings → moved up 0.5
Autonomy: Evidence reads like A3: Maps independently, selects taxonomy concepts, incorporates auditor comments, prioritises filings by deadline → matches the start
Accountability: Evidence reads like A3: Mapping accuracy and ESEF/KVK compliance of filings; addresses auditor comments → matches the start
Leadership: Evidence reads like A1: No guiding or leading of others described → moved down 0.5
Business Impact: Moved +0.5: the survey / manager mapping marks it business-critical.</t>
        </is>
      </c>
      <c r="FS6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60" s="56" t="inlineStr">
        <is>
          <t>Self-identified: Testing &amp; quality · Domain, regulatory &amp; XBRL · Broader exposure &amp; ownership
For the next role: Testing &amp; quality · Domain, regulatory &amp; XBRL · Broader exposure &amp; ownership</t>
        </is>
      </c>
      <c r="FU60" s="56" t="inlineStr">
        <is>
          <t>Per-person summary · CARBON Mapping Master</t>
        </is>
      </c>
    </row>
    <row r="61" ht="90" customHeight="1">
      <c r="A61" s="51" t="inlineStr">
        <is>
          <t>◂ Back</t>
        </is>
      </c>
      <c r="B61" s="29" t="inlineStr">
        <is>
          <t>Mapped</t>
        </is>
      </c>
      <c r="C61" s="28" t="inlineStr">
        <is>
          <t>CARBON</t>
        </is>
      </c>
      <c r="D61" s="29" t="inlineStr">
        <is>
          <t>IRIS0305</t>
        </is>
      </c>
      <c r="E61" s="29" t="inlineStr">
        <is>
          <t>Vivek Patil</t>
        </is>
      </c>
      <c r="F61" s="29" t="inlineStr">
        <is>
          <t>Services</t>
        </is>
      </c>
      <c r="G61" s="29" t="inlineStr">
        <is>
          <t>Senior Financial Analyst</t>
        </is>
      </c>
      <c r="H61" s="29" t="inlineStr">
        <is>
          <t>XBRL Specialist</t>
        </is>
      </c>
      <c r="I61" s="29" t="inlineStr">
        <is>
          <t>L4 – Senior</t>
        </is>
      </c>
      <c r="J61" s="29" t="inlineStr">
        <is>
          <t>B1</t>
        </is>
      </c>
      <c r="K61" s="29" t="inlineStr">
        <is>
          <t>▲ Up</t>
        </is>
      </c>
      <c r="L61" s="29" t="inlineStr">
        <is>
          <t>Consulting &amp; Professional Services</t>
        </is>
      </c>
      <c r="M61" s="29" t="inlineStr">
        <is>
          <t>XBRL Tagging, Conversion &amp; Filing</t>
        </is>
      </c>
      <c r="N61" s="29" t="inlineStr">
        <is>
          <t>• Confirm the reporting line — Manager</t>
        </is>
      </c>
      <c r="O61" s="29" t="n">
        <v>20</v>
      </c>
      <c r="P61" s="28" t="inlineStr">
        <is>
          <t>P3 / M2</t>
        </is>
      </c>
      <c r="Q61" s="29" t="inlineStr">
        <is>
          <t>Career / · Team Lead</t>
        </is>
      </c>
      <c r="R61" s="29" t="inlineStr">
        <is>
          <t>4 Enable</t>
        </is>
      </c>
      <c r="S61" s="29" t="inlineStr">
        <is>
          <t>4–7 yrs</t>
        </is>
      </c>
      <c r="T61" s="29" t="inlineStr">
        <is>
          <t>5–8 · 4–8</t>
        </is>
      </c>
      <c r="U61" s="29" t="inlineStr">
        <is>
          <t>Consultant / Senior Associate</t>
        </is>
      </c>
      <c r="V61" s="29" t="inlineStr">
        <is>
          <t>Big Four: Senior Consultant · IRIS Vs Market Benchmark — XBRL US credential pathway: Certificate + specialist taxonomy</t>
        </is>
      </c>
      <c r="W61" s="29" t="inlineStr">
        <is>
          <t>XBRL US GAAP Certificate · AICPA &amp; XBRL US; XBRL International specifications; IFRS / US GAAP / Ind AS</t>
        </is>
      </c>
      <c r="X61" s="29" t="inlineStr">
        <is>
          <t>Core 3 · Future 3 · Functional 3 · Leadership 1</t>
        </is>
      </c>
      <c r="Y61" s="52" t="n">
        <v>48</v>
      </c>
      <c r="Z61" s="53" t="inlineStr">
        <is>
          <t>IRIS0305</t>
        </is>
      </c>
      <c r="AA61" s="53" t="inlineStr">
        <is>
          <t>Employee</t>
        </is>
      </c>
      <c r="AB61" s="53" t="inlineStr">
        <is>
          <t>Active</t>
        </is>
      </c>
      <c r="AC61" s="53" t="inlineStr">
        <is>
          <t>Vivek Patil</t>
        </is>
      </c>
      <c r="AD61" s="54" t="n">
        <v>40224</v>
      </c>
      <c r="AE61" s="53" t="inlineStr">
        <is>
          <t>Senior Financial Analyst</t>
        </is>
      </c>
      <c r="AF61" s="53" t="inlineStr">
        <is>
          <t>B.Com</t>
        </is>
      </c>
      <c r="AG61" s="53" t="inlineStr">
        <is>
          <t>Shashikant Mudaliar</t>
        </is>
      </c>
      <c r="AH61" s="53" t="inlineStr">
        <is>
          <t>N-6</t>
        </is>
      </c>
      <c r="AI61" s="53" t="inlineStr">
        <is>
          <t>Individual Contributor</t>
        </is>
      </c>
      <c r="AJ61" s="53" t="inlineStr">
        <is>
          <t>0 years, 0 months, 0 days</t>
        </is>
      </c>
      <c r="AK61" s="53" t="inlineStr">
        <is>
          <t>16 years, 6 months, 10 days</t>
        </is>
      </c>
      <c r="AL61" s="53" t="inlineStr">
        <is>
          <t>Regtech</t>
        </is>
      </c>
      <c r="AM61" s="53" t="inlineStr">
        <is>
          <t>CARBON</t>
        </is>
      </c>
      <c r="AN61" s="53" t="inlineStr">
        <is>
          <t>Services</t>
        </is>
      </c>
      <c r="AO61" s="53" t="inlineStr">
        <is>
          <t>Expert Assisted services</t>
        </is>
      </c>
      <c r="AP61" s="53" t="inlineStr">
        <is>
          <t>No</t>
        </is>
      </c>
      <c r="AQ61" s="53" t="inlineStr">
        <is>
          <t>Professional Services</t>
        </is>
      </c>
      <c r="AR61" s="53" t="inlineStr">
        <is>
          <t>XBRL Domain</t>
        </is>
      </c>
      <c r="AS61" s="53" t="inlineStr">
        <is>
          <t>Non-technical</t>
        </is>
      </c>
      <c r="AT61" s="53" t="n">
        <v>20</v>
      </c>
      <c r="AU61" s="53" t="inlineStr">
        <is>
          <t>Covered</t>
        </is>
      </c>
      <c r="AV61" s="53" t="inlineStr">
        <is>
          <t>IRIS0305</t>
        </is>
      </c>
      <c r="AW61" s="53" t="inlineStr">
        <is>
          <t>Vivek Patil</t>
        </is>
      </c>
      <c r="AX61" s="53" t="inlineStr">
        <is>
          <t>Services</t>
        </is>
      </c>
      <c r="AY61" s="53" t="inlineStr">
        <is>
          <t>Professional Services</t>
        </is>
      </c>
      <c r="AZ61" s="53" t="inlineStr">
        <is>
          <t>XBRL / Regulatory Reporting</t>
        </is>
      </c>
      <c r="BA61" s="53" t="n"/>
      <c r="BB61" s="53" t="n"/>
      <c r="BC61" s="53" t="inlineStr">
        <is>
          <t>Employee</t>
        </is>
      </c>
      <c r="BD61" s="53" t="inlineStr">
        <is>
          <t>Shashikant Mudaliar</t>
        </is>
      </c>
      <c r="BE61" s="53" t="inlineStr">
        <is>
          <t>Shashikant Mudaliar</t>
        </is>
      </c>
      <c r="BF61" s="53" t="inlineStr">
        <is>
          <t>No</t>
        </is>
      </c>
      <c r="BG61" s="53" t="inlineStr">
        <is>
          <t>Senior Financial Analyst</t>
        </is>
      </c>
      <c r="BH61" s="53" t="inlineStr">
        <is>
          <t>Senior Services Specialist</t>
        </is>
      </c>
      <c r="BI61" s="53" t="inlineStr">
        <is>
          <t>Yes</t>
        </is>
      </c>
      <c r="BJ61" s="53" t="inlineStr">
        <is>
          <t>—</t>
        </is>
      </c>
      <c r="BK61" s="53" t="inlineStr">
        <is>
          <t>—</t>
        </is>
      </c>
      <c r="BL61" s="53" t="inlineStr">
        <is>
          <t>—</t>
        </is>
      </c>
      <c r="BM61" s="53" t="inlineStr">
        <is>
          <t>Not a manager</t>
        </is>
      </c>
      <c r="BN61" s="53" t="inlineStr">
        <is>
          <t>—</t>
        </is>
      </c>
      <c r="BO61" s="53" t="inlineStr">
        <is>
          <t>—</t>
        </is>
      </c>
      <c r="BP61" s="53" t="inlineStr">
        <is>
          <t>—</t>
        </is>
      </c>
      <c r="BQ61" s="53" t="inlineStr">
        <is>
          <t>Not a manager</t>
        </is>
      </c>
      <c r="BR61" s="53" t="inlineStr">
        <is>
          <t>—</t>
        </is>
      </c>
      <c r="BS61" s="53" t="inlineStr">
        <is>
          <t>L4 – Senior</t>
        </is>
      </c>
      <c r="BT61" s="53" t="inlineStr">
        <is>
          <t>L4 – Senior</t>
        </is>
      </c>
      <c r="BU61" s="53" t="inlineStr">
        <is>
          <t>Designation refined from Raw tab Comments column · this update</t>
        </is>
      </c>
      <c r="BV6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61" s="53" t="n"/>
      <c r="BX61" s="53" t="inlineStr">
        <is>
          <t>Italy - Infocamere; India - MCA; USA - SEC.</t>
        </is>
      </c>
      <c r="BY61" s="53" t="n"/>
      <c r="BZ61" s="53" t="inlineStr">
        <is>
          <t>IRIS0305</t>
        </is>
      </c>
      <c r="CA61" s="53" t="inlineStr">
        <is>
          <t>Employee</t>
        </is>
      </c>
      <c r="CB61" s="53" t="inlineStr">
        <is>
          <t>Active</t>
        </is>
      </c>
      <c r="CC61" s="53" t="inlineStr">
        <is>
          <t>Vivek Patil</t>
        </is>
      </c>
      <c r="CD61" s="54" t="n">
        <v>40224</v>
      </c>
      <c r="CE61" s="53" t="inlineStr">
        <is>
          <t>Senior Financial Analyst</t>
        </is>
      </c>
      <c r="CF61" s="53" t="n"/>
      <c r="CG61" s="53" t="inlineStr">
        <is>
          <t>Professional Services</t>
        </is>
      </c>
      <c r="CH61" s="53" t="inlineStr">
        <is>
          <t>XBRL / Regulatory Reporting</t>
        </is>
      </c>
      <c r="CI61" s="53" t="inlineStr">
        <is>
          <t>Senior Financial Analyst</t>
        </is>
      </c>
      <c r="CJ61" s="53" t="inlineStr">
        <is>
          <t>L4 – Senior</t>
        </is>
      </c>
      <c r="CK61" s="53" t="inlineStr">
        <is>
          <t>Shashikant Mudaliar</t>
        </is>
      </c>
      <c r="CL61" s="53" t="inlineStr">
        <is>
          <t>N-6</t>
        </is>
      </c>
      <c r="CM61" s="53" t="inlineStr">
        <is>
          <t>Individual Contributor</t>
        </is>
      </c>
      <c r="CN61" s="53" t="inlineStr">
        <is>
          <t>Regtech</t>
        </is>
      </c>
      <c r="CO61" s="53" t="inlineStr">
        <is>
          <t>Services</t>
        </is>
      </c>
      <c r="CP61" s="53" t="inlineStr">
        <is>
          <t>16 years, 4 months, 5 days</t>
        </is>
      </c>
      <c r="CQ61" s="53" t="inlineStr">
        <is>
          <t>Senior Services Specialst</t>
        </is>
      </c>
      <c r="CR61" s="53" t="n"/>
      <c r="CS61" s="53" t="n">
        <v>3</v>
      </c>
      <c r="CT61" s="53" t="inlineStr">
        <is>
          <t>High</t>
        </is>
      </c>
      <c r="CU61" s="53" t="inlineStr">
        <is>
          <t>Core Contributor</t>
        </is>
      </c>
      <c r="CV61" s="53" t="inlineStr">
        <is>
          <t>Yes</t>
        </is>
      </c>
      <c r="CW61" s="53" t="inlineStr">
        <is>
          <t>No</t>
        </is>
      </c>
      <c r="CX61" s="53" t="inlineStr">
        <is>
          <t>Yes</t>
        </is>
      </c>
      <c r="CY61" s="53" t="n"/>
      <c r="CZ61" s="53" t="n"/>
      <c r="DA61" s="53" t="n"/>
      <c r="DB61" s="53" t="inlineStr">
        <is>
          <t>Title to be standardized to: Senior Services Specialist</t>
        </is>
      </c>
      <c r="DC61" s="53" t="n"/>
      <c r="DD61" s="53" t="n"/>
      <c r="DE61" s="53" t="n"/>
      <c r="DF61" s="53" t="n"/>
      <c r="DG61" s="53" t="n"/>
      <c r="DH61" s="53" t="n"/>
      <c r="DI61" s="53" t="n"/>
      <c r="DJ61" s="53" t="n"/>
      <c r="DK61" s="53" t="n"/>
      <c r="DL61" s="53" t="n"/>
      <c r="DM61" s="53" t="n"/>
      <c r="DN61" s="53" t="n"/>
      <c r="DO61" s="53" t="n"/>
      <c r="DP61" s="53" t="n"/>
      <c r="DQ61" s="53" t="n"/>
      <c r="DR61" s="53" t="n"/>
      <c r="DS61" s="53" t="n"/>
      <c r="DT61" s="53" t="n"/>
      <c r="DU61" s="53" t="n"/>
      <c r="DV61" s="53" t="n"/>
      <c r="DW61" s="53" t="n"/>
      <c r="DX61" s="53" t="n"/>
      <c r="DY61" s="53" t="n"/>
      <c r="DZ61" s="53" t="n"/>
      <c r="EA61" s="53" t="n"/>
      <c r="EB61" s="53" t="n"/>
      <c r="EC61" s="53" t="n"/>
      <c r="ED61" s="53" t="n"/>
      <c r="EE61" s="53" t="n"/>
      <c r="EF61" s="53" t="n"/>
      <c r="EG61" s="53" t="n"/>
      <c r="EH61" s="53" t="n"/>
      <c r="EI61" s="53" t="n"/>
      <c r="EJ61" s="53" t="n"/>
      <c r="EK61" s="53" t="n"/>
      <c r="EL61" s="53" t="n"/>
      <c r="EM61" s="53" t="n"/>
      <c r="EN61" s="53" t="n"/>
      <c r="EO61" s="53" t="n"/>
      <c r="EP61" s="53" t="n"/>
      <c r="EQ61" s="53" t="n"/>
      <c r="ER61" s="53" t="n"/>
      <c r="ES61" s="53" t="n"/>
      <c r="ET61" s="53" t="n"/>
      <c r="EU61" s="53" t="n"/>
      <c r="EV61" s="53" t="n"/>
      <c r="EW61" s="52" t="n"/>
      <c r="EX61" s="53" t="inlineStr">
        <is>
          <t>• Role / sub-team: Quality check analyst and shift leading - US-Service team.</t>
        </is>
      </c>
      <c r="EY61" s="53" t="inlineStr">
        <is>
          <t>• Key responsibilities include: Task allocations, Update task sheets, Tagging, quality check, Training sessions, Shift management, Doubt solving of team members,.</t>
        </is>
      </c>
      <c r="EZ61" s="53" t="inlineStr">
        <is>
          <t>• Current capabilities: Patient positive attitude; Tools / software used: Both | Ifile [Teams chat].</t>
        </is>
      </c>
      <c r="FA61" s="53" t="inlineStr">
        <is>
          <t>• Development priorities: No input received.
• Learning and Development Need: Efficient task management.</t>
        </is>
      </c>
      <c r="FB61" s="53" t="inlineStr">
        <is>
          <t>• Key challenges: Technical issue.
• Support required: No input received.</t>
        </is>
      </c>
      <c r="FC61" s="53" t="n"/>
      <c r="FD61" s="53" t="n"/>
      <c r="FE6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61" s="56" t="n"/>
      <c r="FG61" s="56" t="n"/>
      <c r="FH61" s="56" t="n"/>
      <c r="FI61" s="56" t="n"/>
      <c r="FJ61" s="56" t="inlineStr">
        <is>
          <t>Received · manager annual</t>
        </is>
      </c>
      <c r="FK61" s="56" t="inlineStr">
        <is>
          <t>CARBON Mapping Master</t>
        </is>
      </c>
      <c r="FL61" s="56" t="n">
        <v>20</v>
      </c>
      <c r="FM61" s="56" t="inlineStr">
        <is>
          <t>• Role / sub-team: Quality check analyst and shift leading - US-Service team.</t>
        </is>
      </c>
      <c r="FN61" s="56" t="inlineStr">
        <is>
          <t>• Key responsibilities include: Task allocations, Update task sheets, Tagging, quality check, Training sessions, Shift management, Doubt solving of team members,.</t>
        </is>
      </c>
      <c r="FO61" s="56" t="inlineStr">
        <is>
          <t>• Current capabilities: Patient positive attitude; Tools / software used: Both | Ifile [Teams chat].</t>
        </is>
      </c>
      <c r="FP61" s="56" t="inlineStr">
        <is>
          <t>• Development priorities: No input received.
• Learning and Development Need: Efficient task management.</t>
        </is>
      </c>
      <c r="FQ61" s="56" t="inlineStr">
        <is>
          <t>• Key challenges: Technical issue.
• Support required: No input received.</t>
        </is>
      </c>
      <c r="FR61" s="56" t="inlineStr">
        <is>
          <t>Complexity: Evidence reads like A3: Covers tagging, QC, validation and SEC filing for US mandate; resolves team members' doubts → matches the start
Autonomy: Evidence reads like B1: Allocates work and shifts, prioritises tasks by deadline, resolves routine operational issues for the shift → moved up 0.5
Accountability: Evidence reads like B1: Shift's tagged documents, QC, validation and timely filing of assigned forms → moved up 0.5
Leadership: Evidence reads like B1: Allocates shifts and work, guides team members, runs training sessions; manager confirms shift lead → moved up 1
Business Impact: Moved +0.5: the survey / manager mapping marks it business-critical.</t>
        </is>
      </c>
      <c r="FS6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61" s="56"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FU61" s="56" t="inlineStr">
        <is>
          <t>Per-person summary · CARBON Mapping Master</t>
        </is>
      </c>
    </row>
    <row r="62" ht="90" customHeight="1">
      <c r="A62" s="51" t="inlineStr">
        <is>
          <t>◂ Back</t>
        </is>
      </c>
      <c r="B62" s="29" t="inlineStr">
        <is>
          <t>Mapped</t>
        </is>
      </c>
      <c r="C62" s="28" t="inlineStr">
        <is>
          <t>CARBON</t>
        </is>
      </c>
      <c r="D62" s="29" t="inlineStr">
        <is>
          <t>IRIS0055</t>
        </is>
      </c>
      <c r="E62" s="29" t="inlineStr">
        <is>
          <t>Vijay Parulekar</t>
        </is>
      </c>
      <c r="F62" s="29" t="inlineStr">
        <is>
          <t>Digitizing</t>
        </is>
      </c>
      <c r="G62" s="29" t="inlineStr">
        <is>
          <t>Head Image Processing</t>
        </is>
      </c>
      <c r="H62" s="29" t="inlineStr">
        <is>
          <t>Associate Head – Digitization</t>
        </is>
      </c>
      <c r="I62" s="29" t="inlineStr">
        <is>
          <t>L7 – Head / Sr Director</t>
        </is>
      </c>
      <c r="J62" s="29" t="inlineStr">
        <is>
          <t>C1</t>
        </is>
      </c>
      <c r="K62" s="29" t="inlineStr">
        <is>
          <t>▼ Down · protected</t>
        </is>
      </c>
      <c r="L62" s="29" t="inlineStr">
        <is>
          <t>Executive Leadership</t>
        </is>
      </c>
      <c r="M62" s="29" t="inlineStr">
        <is>
          <t>Business Head</t>
        </is>
      </c>
      <c r="N62" s="29" t="n"/>
      <c r="O62" s="29" t="n">
        <v>20</v>
      </c>
      <c r="P62" s="28" t="inlineStr">
        <is>
          <t>P6 / M5</t>
        </is>
      </c>
      <c r="Q62" s="29" t="inlineStr">
        <is>
          <t>Principal / Director</t>
        </is>
      </c>
      <c r="R62" s="29" t="inlineStr">
        <is>
          <t>5–6</t>
        </is>
      </c>
      <c r="S62" s="29" t="inlineStr">
        <is>
          <t>10–14 yrs</t>
        </is>
      </c>
      <c r="T62" s="29" t="inlineStr">
        <is>
          <t>12–16 · 12–18</t>
        </is>
      </c>
      <c r="U62" s="29" t="inlineStr">
        <is>
          <t>Head of Function / AGM</t>
        </is>
      </c>
      <c r="V62" s="29" t="inlineStr">
        <is>
          <t>Accenture Operations: L6 Senior Manager · IRIS Vs Competitor Benchmark — operations roles: Head of Delivery</t>
        </is>
      </c>
      <c r="W62" s="29" t="inlineStr">
        <is>
          <t>COPC CX Standard · leadership &amp; planning, people, processes, performance; ISO 9001; Lean / Six Sigma</t>
        </is>
      </c>
      <c r="X62" s="29" t="inlineStr">
        <is>
          <t>Core 4 · Future 4 · Functional 4 · Leadership 4</t>
        </is>
      </c>
      <c r="Y62" s="52" t="n">
        <v>19</v>
      </c>
      <c r="Z62" s="53" t="inlineStr">
        <is>
          <t>IRIS0055</t>
        </is>
      </c>
      <c r="AA62" s="53" t="inlineStr">
        <is>
          <t>Employee</t>
        </is>
      </c>
      <c r="AB62" s="53" t="inlineStr">
        <is>
          <t>Active</t>
        </is>
      </c>
      <c r="AC62" s="53" t="inlineStr">
        <is>
          <t>Vijay Parulekar</t>
        </is>
      </c>
      <c r="AD62" s="54" t="n">
        <v>39038</v>
      </c>
      <c r="AE62" s="53" t="inlineStr">
        <is>
          <t>Head Image Processing</t>
        </is>
      </c>
      <c r="AF62" s="53" t="inlineStr">
        <is>
          <t>B.Com</t>
        </is>
      </c>
      <c r="AG62" s="53" t="inlineStr">
        <is>
          <t>K Ashok Kumar</t>
        </is>
      </c>
      <c r="AH62" s="53" t="inlineStr">
        <is>
          <t>N-5</t>
        </is>
      </c>
      <c r="AI62" s="53" t="inlineStr">
        <is>
          <t>Manager</t>
        </is>
      </c>
      <c r="AJ62" s="53" t="inlineStr">
        <is>
          <t>6 years, 6 months, 0 days</t>
        </is>
      </c>
      <c r="AK62" s="53" t="inlineStr">
        <is>
          <t>19 years, 9 months, 8 days</t>
        </is>
      </c>
      <c r="AL62" s="53" t="inlineStr">
        <is>
          <t>Regtech</t>
        </is>
      </c>
      <c r="AM62" s="53" t="inlineStr">
        <is>
          <t>CARBON</t>
        </is>
      </c>
      <c r="AN62" s="53" t="inlineStr">
        <is>
          <t>Digitizing</t>
        </is>
      </c>
      <c r="AO62" s="53" t="inlineStr">
        <is>
          <t>Digitizing Assisted services</t>
        </is>
      </c>
      <c r="AP62" s="53" t="inlineStr">
        <is>
          <t>No</t>
        </is>
      </c>
      <c r="AQ62" s="53" t="inlineStr">
        <is>
          <t>Professional Services</t>
        </is>
      </c>
      <c r="AR62" s="53" t="inlineStr">
        <is>
          <t>OCR/Image procesing</t>
        </is>
      </c>
      <c r="AS62" s="53" t="inlineStr">
        <is>
          <t>Non-technical</t>
        </is>
      </c>
      <c r="AT62" s="53" t="n">
        <v>20</v>
      </c>
      <c r="AU62" s="53" t="inlineStr">
        <is>
          <t>Covered</t>
        </is>
      </c>
      <c r="AV62" s="53" t="inlineStr">
        <is>
          <t>IRIS0055</t>
        </is>
      </c>
      <c r="AW62" s="53" t="inlineStr">
        <is>
          <t>Vijay Parulekar</t>
        </is>
      </c>
      <c r="AX62" s="53" t="inlineStr">
        <is>
          <t>Digitizing</t>
        </is>
      </c>
      <c r="AY62" s="53" t="inlineStr">
        <is>
          <t>Professional Services</t>
        </is>
      </c>
      <c r="AZ62" s="53" t="inlineStr">
        <is>
          <t>Digitization &amp; Image Processing</t>
        </is>
      </c>
      <c r="BA62" s="53" t="n"/>
      <c r="BB62" s="53" t="n"/>
      <c r="BC62" s="53" t="inlineStr">
        <is>
          <t>Employee</t>
        </is>
      </c>
      <c r="BD62" s="53" t="inlineStr">
        <is>
          <t>K Ashok Kumar</t>
        </is>
      </c>
      <c r="BE62" s="53" t="inlineStr">
        <is>
          <t>Shashikant Mudaliar</t>
        </is>
      </c>
      <c r="BF62" s="53" t="inlineStr">
        <is>
          <t>No</t>
        </is>
      </c>
      <c r="BG62" s="53" t="inlineStr">
        <is>
          <t>Head Image Processing</t>
        </is>
      </c>
      <c r="BH62" s="53" t="inlineStr">
        <is>
          <t>Head Image Processing</t>
        </is>
      </c>
      <c r="BI62" s="53" t="inlineStr">
        <is>
          <t>No</t>
        </is>
      </c>
      <c r="BJ62" s="53" t="n">
        <v>5</v>
      </c>
      <c r="BK62" s="53" t="n">
        <v>5</v>
      </c>
      <c r="BL62" s="53" t="n">
        <v>0</v>
      </c>
      <c r="BM62" s="53" t="inlineStr">
        <is>
          <t>Healthy</t>
        </is>
      </c>
      <c r="BN62" s="53" t="n">
        <v>5</v>
      </c>
      <c r="BO62" s="53" t="n">
        <v>5</v>
      </c>
      <c r="BP62" s="53" t="n">
        <v>0</v>
      </c>
      <c r="BQ62" s="53" t="inlineStr">
        <is>
          <t>Healthy</t>
        </is>
      </c>
      <c r="BR62" s="53" t="inlineStr">
        <is>
          <t>No</t>
        </is>
      </c>
      <c r="BS62" s="53" t="inlineStr">
        <is>
          <t>L7 – Head / Sr Director</t>
        </is>
      </c>
      <c r="BT62" s="53" t="inlineStr">
        <is>
          <t>L7 – Head / Sr Director</t>
        </is>
      </c>
      <c r="BU62" s="53" t="inlineStr">
        <is>
          <t>No designation change — current record value carried forward</t>
        </is>
      </c>
      <c r="BV62"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62" s="53" t="n"/>
      <c r="BX62" s="53" t="inlineStr">
        <is>
          <t>Italy - Infocamere; Netherland - KVK; South Africa - CIPC; India - MCA; USA - SEC; Europe - ESEF; UK - HMRC; Nigeria - CBN.</t>
        </is>
      </c>
      <c r="BY62" s="53" t="n"/>
      <c r="BZ62" s="53" t="inlineStr">
        <is>
          <t>IRIS0055</t>
        </is>
      </c>
      <c r="CA62" s="53" t="inlineStr">
        <is>
          <t>Employee</t>
        </is>
      </c>
      <c r="CB62" s="53" t="inlineStr">
        <is>
          <t>Active</t>
        </is>
      </c>
      <c r="CC62" s="53" t="inlineStr">
        <is>
          <t>Vijay Parulekar</t>
        </is>
      </c>
      <c r="CD62" s="54" t="n">
        <v>39038</v>
      </c>
      <c r="CE62" s="53" t="inlineStr">
        <is>
          <t>Head Image Processing</t>
        </is>
      </c>
      <c r="CF62" s="53" t="n"/>
      <c r="CG62" s="53" t="inlineStr">
        <is>
          <t>Professional Services</t>
        </is>
      </c>
      <c r="CH62" s="53" t="inlineStr">
        <is>
          <t>Digitization &amp; Image Processing</t>
        </is>
      </c>
      <c r="CI62" s="53" t="inlineStr">
        <is>
          <t>Head Image Processing</t>
        </is>
      </c>
      <c r="CJ62" s="53" t="inlineStr">
        <is>
          <t>L7 – Head / Sr Director</t>
        </is>
      </c>
      <c r="CK62" s="53" t="inlineStr">
        <is>
          <t>K Ashok Kumar</t>
        </is>
      </c>
      <c r="CL62" s="53" t="inlineStr">
        <is>
          <t>N-5</t>
        </is>
      </c>
      <c r="CM62" s="53" t="inlineStr">
        <is>
          <t>Manager</t>
        </is>
      </c>
      <c r="CN62" s="53" t="inlineStr">
        <is>
          <t>Regtech</t>
        </is>
      </c>
      <c r="CO62" s="53" t="inlineStr">
        <is>
          <t>Digitizing</t>
        </is>
      </c>
      <c r="CP62" s="53" t="inlineStr">
        <is>
          <t>26 years, 1 months, 3 days</t>
        </is>
      </c>
      <c r="CQ62" s="53" t="inlineStr">
        <is>
          <t>Head Image Processing</t>
        </is>
      </c>
      <c r="CR62" s="53" t="n"/>
      <c r="CS62" s="53" t="n">
        <v>4</v>
      </c>
      <c r="CT62" s="53" t="inlineStr">
        <is>
          <t>High</t>
        </is>
      </c>
      <c r="CU62" s="53" t="inlineStr">
        <is>
          <t>Core Contributor</t>
        </is>
      </c>
      <c r="CV62" s="53" t="inlineStr">
        <is>
          <t>Yes</t>
        </is>
      </c>
      <c r="CW62" s="53" t="inlineStr">
        <is>
          <t>No</t>
        </is>
      </c>
      <c r="CX62" s="53" t="inlineStr">
        <is>
          <t>Yes</t>
        </is>
      </c>
      <c r="CY62" s="53" t="n"/>
      <c r="CZ62" s="53" t="n"/>
      <c r="DA62" s="53" t="n"/>
      <c r="DB62" s="53" t="n"/>
      <c r="DC62" s="53" t="n"/>
      <c r="DD62" s="53" t="n"/>
      <c r="DE62" s="53" t="n"/>
      <c r="DF62" s="53" t="n"/>
      <c r="DG62" s="53" t="n"/>
      <c r="DH62" s="53" t="n"/>
      <c r="DI62" s="53" t="n"/>
      <c r="DJ62" s="53" t="n"/>
      <c r="DK62" s="53" t="n"/>
      <c r="DL62" s="53" t="n"/>
      <c r="DM62" s="53" t="n"/>
      <c r="DN62" s="53" t="n"/>
      <c r="DO62" s="53" t="n"/>
      <c r="DP62" s="53" t="n"/>
      <c r="DQ62" s="53" t="n"/>
      <c r="DR62" s="53" t="n"/>
      <c r="DS62" s="53" t="n"/>
      <c r="DT62" s="53" t="n"/>
      <c r="DU62" s="53" t="n"/>
      <c r="DV62" s="53" t="n"/>
      <c r="DW62" s="53" t="n"/>
      <c r="DX62" s="53" t="n"/>
      <c r="DY62" s="53" t="n"/>
      <c r="DZ62" s="53" t="n"/>
      <c r="EA62" s="53" t="n"/>
      <c r="EB62" s="53" t="n"/>
      <c r="EC62" s="53" t="n"/>
      <c r="ED62" s="53" t="n"/>
      <c r="EE62" s="53" t="n"/>
      <c r="EF62" s="53" t="n"/>
      <c r="EG62" s="53" t="n"/>
      <c r="EH62" s="53" t="n"/>
      <c r="EI62" s="53" t="n"/>
      <c r="EJ62" s="53" t="n"/>
      <c r="EK62" s="53" t="n"/>
      <c r="EL62" s="53" t="n"/>
      <c r="EM62" s="53" t="n"/>
      <c r="EN62" s="53" t="n"/>
      <c r="EO62" s="53" t="n"/>
      <c r="EP62" s="53" t="n"/>
      <c r="EQ62" s="53" t="n"/>
      <c r="ER62" s="53" t="n"/>
      <c r="ES62" s="53" t="n"/>
      <c r="ET62" s="53" t="n"/>
      <c r="EU62" s="53" t="n"/>
      <c r="EV62" s="53" t="n"/>
      <c r="EW62" s="52" t="n"/>
      <c r="EX62" s="53" t="inlineStr">
        <is>
          <t>• Role / sub-team: Digitizing Assisted Services.</t>
        </is>
      </c>
      <c r="EY62" s="53"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EZ62" s="53" t="inlineStr">
        <is>
          <t>• Current capabilities: Use of AI for problem sol; Team management skiil; Tools / software used: Both | InDesign, Abbyy FineReader, Microsoft Web Expression.</t>
        </is>
      </c>
      <c r="FA62" s="53" t="inlineStr">
        <is>
          <t>• Development priorities: AI promoting.
• Learning and Development Need: Communication and Presentation. XBRL Tagging Process and Domain Knowledge.
• AI Enablement Need: AI prompt engineering and using AI to increase efficiency, given their reported use of AI.</t>
        </is>
      </c>
      <c r="FB62" s="53" t="inlineStr">
        <is>
          <t>• Key challenges: Quality of report.
• Support required: No input received.</t>
        </is>
      </c>
      <c r="FC62" s="53" t="n"/>
      <c r="FD62" s="53" t="n"/>
      <c r="FE62"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62" s="56" t="n"/>
      <c r="FG62" s="56" t="n"/>
      <c r="FH62" s="56" t="n"/>
      <c r="FI62" s="56" t="n"/>
      <c r="FJ62" s="56" t="inlineStr">
        <is>
          <t>Received · manager annual</t>
        </is>
      </c>
      <c r="FK62" s="56" t="inlineStr">
        <is>
          <t>CARBON Mapping Master</t>
        </is>
      </c>
      <c r="FL62" s="56" t="n">
        <v>20</v>
      </c>
      <c r="FM62" s="56" t="inlineStr">
        <is>
          <t>• Role / sub-team: Digitizing Assisted Services.</t>
        </is>
      </c>
      <c r="FN62" s="56"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FO62" s="56" t="inlineStr">
        <is>
          <t>• Current capabilities: Use of AI for problem sol; Team management skiil; Tools / software used: Both | InDesign, Abbyy FineReader, Microsoft Web Expression.</t>
        </is>
      </c>
      <c r="FP62" s="56" t="inlineStr">
        <is>
          <t>• Development priorities: AI promoting.
• Learning and Development Need: Communication and Presentation. XBRL Tagging Process and Domain Knowledge.
• AI Enablement Need: AI prompt engineering and using AI to increase efficiency, given their reported use of AI.</t>
        </is>
      </c>
      <c r="FQ62" s="56" t="inlineStr">
        <is>
          <t>• Key challenges: Quality of report.
• Support required: No input received.</t>
        </is>
      </c>
      <c r="FR62" s="56" t="inlineStr">
        <is>
          <t>Complexity: Evidence reads like B1: Plans formatting deliveries across all markets and two teams; process improvement; InDesign demos → moved down 1
Autonomy: Evidence reads like B2: Allocates workload and priority files; operational decisions on routine work → moved down 1
Accountability: Evidence reads like B2: Accountable for all work of the Carbon Formatting and RBI CMS team → moved down 1
Leadership: Evidence reads like B2: Manages team with 6 reports: allocation, monitoring, guiding and training → moved down 1
Business Impact: Moved +0.5: the survey / manager mapping marks it business-critical.</t>
        </is>
      </c>
      <c r="FS62" s="56" t="n"/>
      <c r="FT62" s="56" t="inlineStr">
        <is>
          <t>Self-identified: Product &amp; tool knowledge · Broader exposure &amp; ownership
For the next role: Product &amp; tool knowledge · Broader exposure &amp; ownership</t>
        </is>
      </c>
      <c r="FU62" s="56" t="inlineStr">
        <is>
          <t>Per-person summary · CARBON Mapping Master</t>
        </is>
      </c>
    </row>
    <row r="63" ht="90" customHeight="1">
      <c r="A63" s="51" t="inlineStr">
        <is>
          <t>◂ Back</t>
        </is>
      </c>
      <c r="B63" s="29" t="inlineStr">
        <is>
          <t>Mapped</t>
        </is>
      </c>
      <c r="C63" s="28" t="inlineStr">
        <is>
          <t>CARBON</t>
        </is>
      </c>
      <c r="D63" s="29" t="inlineStr">
        <is>
          <t>IRIS0470</t>
        </is>
      </c>
      <c r="E63" s="29" t="inlineStr">
        <is>
          <t>Janardan Bale</t>
        </is>
      </c>
      <c r="F63" s="29" t="inlineStr">
        <is>
          <t>Digitizing</t>
        </is>
      </c>
      <c r="G63" s="29" t="inlineStr">
        <is>
          <t>Image Processing Specialist</t>
        </is>
      </c>
      <c r="H63" s="29" t="inlineStr">
        <is>
          <t>Digitization Manager</t>
        </is>
      </c>
      <c r="I63" s="29" t="inlineStr">
        <is>
          <t>L3 – Professional / Associate</t>
        </is>
      </c>
      <c r="J63" s="29" t="inlineStr">
        <is>
          <t>B2</t>
        </is>
      </c>
      <c r="K63" s="29" t="inlineStr">
        <is>
          <t>▲ Up</t>
        </is>
      </c>
      <c r="L63" s="29" t="inlineStr">
        <is>
          <t>Data Operations &amp; Digitization</t>
        </is>
      </c>
      <c r="M63" s="29" t="inlineStr">
        <is>
          <t>Document Conversion, Formatting &amp; Web Publishing</t>
        </is>
      </c>
      <c r="N63" s="29" t="inlineStr">
        <is>
          <t>• Confirm the reporting line — Manager</t>
        </is>
      </c>
      <c r="O63" s="29" t="n">
        <v>20</v>
      </c>
      <c r="P63" s="28" t="inlineStr">
        <is>
          <t>P4 / M3</t>
        </is>
      </c>
      <c r="Q63" s="29" t="inlineStr">
        <is>
          <t>Senior / Manager</t>
        </is>
      </c>
      <c r="R63" s="29" t="inlineStr">
        <is>
          <t>4–5</t>
        </is>
      </c>
      <c r="S63" s="29" t="inlineStr">
        <is>
          <t>6–9 yrs</t>
        </is>
      </c>
      <c r="T63" s="29" t="inlineStr">
        <is>
          <t>7–10 · 6–11</t>
        </is>
      </c>
      <c r="U63" s="29" t="inlineStr">
        <is>
          <t>Manager</t>
        </is>
      </c>
      <c r="V63" s="29" t="inlineStr">
        <is>
          <t>Accenture Operations: L8 Associate Manager · IRIS Vs Competitor Benchmark — operations roles: Operations Manager</t>
        </is>
      </c>
      <c r="W63" s="29" t="inlineStr">
        <is>
          <t>COPC CX Standard · leadership &amp; planning, people, processes, performance; ISO 9001; Lean / Six Sigma</t>
        </is>
      </c>
      <c r="X63" s="29" t="inlineStr">
        <is>
          <t>Core 3 · Future 3 · Functional 4 · Leadership 3</t>
        </is>
      </c>
      <c r="Y63" s="52" t="n">
        <v>42</v>
      </c>
      <c r="Z63" s="53" t="inlineStr">
        <is>
          <t>IRIS0470</t>
        </is>
      </c>
      <c r="AA63" s="53" t="inlineStr">
        <is>
          <t>Employee</t>
        </is>
      </c>
      <c r="AB63" s="53" t="inlineStr">
        <is>
          <t>Active</t>
        </is>
      </c>
      <c r="AC63" s="53" t="inlineStr">
        <is>
          <t>Janardan Bale</t>
        </is>
      </c>
      <c r="AD63" s="54" t="n">
        <v>39724</v>
      </c>
      <c r="AE63" s="53" t="inlineStr">
        <is>
          <t>Image Processing Specialist</t>
        </is>
      </c>
      <c r="AF63" s="53" t="inlineStr">
        <is>
          <t>B.Com</t>
        </is>
      </c>
      <c r="AG63" s="53" t="inlineStr">
        <is>
          <t>Vijay Parulekar</t>
        </is>
      </c>
      <c r="AH63" s="53" t="inlineStr">
        <is>
          <t>N-6</t>
        </is>
      </c>
      <c r="AI63" s="53" t="inlineStr">
        <is>
          <t>Manager</t>
        </is>
      </c>
      <c r="AJ63" s="53" t="inlineStr">
        <is>
          <t>0 years, 0 months, 0 days</t>
        </is>
      </c>
      <c r="AK63" s="53" t="inlineStr">
        <is>
          <t>17 years, 10 months, 22 days</t>
        </is>
      </c>
      <c r="AL63" s="53" t="inlineStr">
        <is>
          <t>Regtech</t>
        </is>
      </c>
      <c r="AM63" s="53" t="inlineStr">
        <is>
          <t>CARBON</t>
        </is>
      </c>
      <c r="AN63" s="53" t="inlineStr">
        <is>
          <t>Digitizing</t>
        </is>
      </c>
      <c r="AO63" s="53" t="inlineStr">
        <is>
          <t>Digitizing Assisted services</t>
        </is>
      </c>
      <c r="AP63" s="53" t="inlineStr">
        <is>
          <t>No</t>
        </is>
      </c>
      <c r="AQ63" s="53" t="inlineStr">
        <is>
          <t>Professional Services</t>
        </is>
      </c>
      <c r="AR63" s="53" t="inlineStr">
        <is>
          <t>OCR/Image procesing</t>
        </is>
      </c>
      <c r="AS63" s="53" t="inlineStr">
        <is>
          <t>Non-technical</t>
        </is>
      </c>
      <c r="AT63" s="53" t="n">
        <v>20</v>
      </c>
      <c r="AU63" s="53" t="inlineStr">
        <is>
          <t>Covered</t>
        </is>
      </c>
      <c r="AV63" s="53" t="inlineStr">
        <is>
          <t>IRIS0470</t>
        </is>
      </c>
      <c r="AW63" s="53" t="inlineStr">
        <is>
          <t>Janardan Bale</t>
        </is>
      </c>
      <c r="AX63" s="53" t="inlineStr">
        <is>
          <t>Digitizing</t>
        </is>
      </c>
      <c r="AY63" s="53" t="inlineStr">
        <is>
          <t>Professional Services</t>
        </is>
      </c>
      <c r="AZ63" s="53" t="inlineStr">
        <is>
          <t>Digitization &amp; Image Processing</t>
        </is>
      </c>
      <c r="BA63" s="53" t="n"/>
      <c r="BB63" s="53" t="n"/>
      <c r="BC63" s="53" t="inlineStr">
        <is>
          <t>Employee</t>
        </is>
      </c>
      <c r="BD63" s="53" t="inlineStr">
        <is>
          <t>Vijay Parulekar</t>
        </is>
      </c>
      <c r="BE63" s="53" t="inlineStr">
        <is>
          <t>Vijay Digamber Parulekar</t>
        </is>
      </c>
      <c r="BF63" s="53" t="inlineStr">
        <is>
          <t>No</t>
        </is>
      </c>
      <c r="BG63" s="53" t="inlineStr">
        <is>
          <t>Image Processing Specialist</t>
        </is>
      </c>
      <c r="BH63" s="53" t="inlineStr">
        <is>
          <t>Manager - Digitizing</t>
        </is>
      </c>
      <c r="BI63" s="53" t="inlineStr">
        <is>
          <t>Yes</t>
        </is>
      </c>
      <c r="BJ63" s="53" t="n">
        <v>7</v>
      </c>
      <c r="BK63" s="53" t="n">
        <v>1</v>
      </c>
      <c r="BL63" s="53" t="n">
        <v>6</v>
      </c>
      <c r="BM63" s="53" t="inlineStr">
        <is>
          <t>Healthy</t>
        </is>
      </c>
      <c r="BN63" s="53" t="n">
        <v>7</v>
      </c>
      <c r="BO63" s="53" t="n">
        <v>1</v>
      </c>
      <c r="BP63" s="53" t="n">
        <v>6</v>
      </c>
      <c r="BQ63" s="53" t="inlineStr">
        <is>
          <t>Healthy</t>
        </is>
      </c>
      <c r="BR63" s="53" t="inlineStr">
        <is>
          <t>No</t>
        </is>
      </c>
      <c r="BS63" s="53" t="inlineStr">
        <is>
          <t>L3 – Professional / Associate</t>
        </is>
      </c>
      <c r="BT63" s="53" t="inlineStr">
        <is>
          <t>L5</t>
        </is>
      </c>
      <c r="BU63" s="53" t="inlineStr">
        <is>
          <t>Matched from Title Hierarchy · new designation</t>
        </is>
      </c>
      <c r="BV63"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W63" s="53" t="n"/>
      <c r="BX63" s="53" t="inlineStr">
        <is>
          <t>UK - HMRC; South Africa - CIPC; India - MCA; Italy - Infocamere; USA - SEC; Europe - ESEF.</t>
        </is>
      </c>
      <c r="BY63" s="53" t="n"/>
      <c r="BZ63" s="53" t="inlineStr">
        <is>
          <t>IRIS0470</t>
        </is>
      </c>
      <c r="CA63" s="53" t="inlineStr">
        <is>
          <t>Employee</t>
        </is>
      </c>
      <c r="CB63" s="53" t="inlineStr">
        <is>
          <t>Active</t>
        </is>
      </c>
      <c r="CC63" s="53" t="inlineStr">
        <is>
          <t>Janardan Bale</t>
        </is>
      </c>
      <c r="CD63" s="54" t="n">
        <v>39724</v>
      </c>
      <c r="CE63" s="53" t="inlineStr">
        <is>
          <t>Image Processing Specialist</t>
        </is>
      </c>
      <c r="CF63" s="53" t="n"/>
      <c r="CG63" s="53" t="inlineStr">
        <is>
          <t>Professional Services</t>
        </is>
      </c>
      <c r="CH63" s="53" t="inlineStr">
        <is>
          <t>Digitization &amp; Image Processing</t>
        </is>
      </c>
      <c r="CI63" s="53" t="inlineStr">
        <is>
          <t>Image Processing Specialist</t>
        </is>
      </c>
      <c r="CJ63" s="53" t="inlineStr">
        <is>
          <t>L3 – Professional / Associate</t>
        </is>
      </c>
      <c r="CK63" s="53" t="inlineStr">
        <is>
          <t>Vijay Parulekar</t>
        </is>
      </c>
      <c r="CL63" s="53" t="inlineStr">
        <is>
          <t>N-6</t>
        </is>
      </c>
      <c r="CM63" s="53" t="inlineStr">
        <is>
          <t>Manager</t>
        </is>
      </c>
      <c r="CN63" s="53" t="inlineStr">
        <is>
          <t>Regtech</t>
        </is>
      </c>
      <c r="CO63" s="53" t="inlineStr">
        <is>
          <t>Digitizing</t>
        </is>
      </c>
      <c r="CP63" s="53" t="inlineStr">
        <is>
          <t>17 years, 8 months, 17 days</t>
        </is>
      </c>
      <c r="CQ63" s="53" t="inlineStr">
        <is>
          <t>Manager - Digitizing</t>
        </is>
      </c>
      <c r="CR63" s="53" t="n"/>
      <c r="CS63" s="53" t="n">
        <v>5</v>
      </c>
      <c r="CT63" s="53" t="inlineStr">
        <is>
          <t>High</t>
        </is>
      </c>
      <c r="CU63" s="53" t="inlineStr">
        <is>
          <t>Core Contributor</t>
        </is>
      </c>
      <c r="CV63" s="53" t="inlineStr">
        <is>
          <t>No</t>
        </is>
      </c>
      <c r="CW63" s="53" t="inlineStr">
        <is>
          <t>No</t>
        </is>
      </c>
      <c r="CX63" s="53" t="inlineStr">
        <is>
          <t>Yes</t>
        </is>
      </c>
      <c r="CY63" s="53" t="n"/>
      <c r="CZ63" s="53" t="n"/>
      <c r="DA63" s="53" t="n"/>
      <c r="DB63" s="53" t="inlineStr">
        <is>
          <t>Title to be changed to Manager -Digitizing</t>
        </is>
      </c>
      <c r="DC63" s="53" t="n"/>
      <c r="DD63" s="53" t="n"/>
      <c r="DE63" s="53" t="n"/>
      <c r="DF63" s="53" t="n"/>
      <c r="DG63" s="53" t="n"/>
      <c r="DH63" s="53" t="n"/>
      <c r="DI63" s="53" t="n"/>
      <c r="DJ63" s="53" t="n"/>
      <c r="DK63" s="53" t="n"/>
      <c r="DL63" s="53" t="n"/>
      <c r="DM63" s="53" t="n"/>
      <c r="DN63" s="53" t="n"/>
      <c r="DO63" s="53" t="n"/>
      <c r="DP63" s="53" t="n"/>
      <c r="DQ63" s="53" t="n"/>
      <c r="DR63" s="53" t="n"/>
      <c r="DS63" s="53" t="n"/>
      <c r="DT63" s="53" t="n"/>
      <c r="DU63" s="53" t="n"/>
      <c r="DV63" s="53" t="n"/>
      <c r="DW63" s="53" t="n"/>
      <c r="DX63" s="53" t="n"/>
      <c r="DY63" s="53" t="n"/>
      <c r="DZ63" s="53" t="n"/>
      <c r="EA63" s="53" t="n"/>
      <c r="EB63" s="53" t="n"/>
      <c r="EC63" s="53" t="n"/>
      <c r="ED63" s="53" t="n"/>
      <c r="EE63" s="53" t="n"/>
      <c r="EF63" s="53" t="n"/>
      <c r="EG63" s="53" t="n"/>
      <c r="EH63" s="53" t="n"/>
      <c r="EI63" s="53" t="n"/>
      <c r="EJ63" s="53" t="n"/>
      <c r="EK63" s="53" t="n"/>
      <c r="EL63" s="53" t="n"/>
      <c r="EM63" s="53" t="n"/>
      <c r="EN63" s="53" t="n"/>
      <c r="EO63" s="53" t="n"/>
      <c r="EP63" s="53" t="n"/>
      <c r="EQ63" s="53" t="n"/>
      <c r="ER63" s="53" t="n"/>
      <c r="ES63" s="53" t="n"/>
      <c r="ET63" s="53" t="n"/>
      <c r="EU63" s="53" t="n"/>
      <c r="EV63" s="53" t="n"/>
      <c r="EW63" s="52" t="n"/>
      <c r="EX63" s="53" t="inlineStr">
        <is>
          <t>• Role / sub-team: Digitalizing Assisted Services Team.</t>
        </is>
      </c>
      <c r="EY63" s="53"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EZ63" s="53" t="inlineStr">
        <is>
          <t>• Current capabilities: Typing; Ai tool - Copilot Chat GP; Tools / software used: Both.</t>
        </is>
      </c>
      <c r="FA63" s="53" t="inlineStr">
        <is>
          <t>• Communications skills.
• Presentation skills.</t>
        </is>
      </c>
      <c r="FB63" s="53" t="inlineStr">
        <is>
          <t>• Key challenges: Quality of report, RDP issue.
• Support required: No input received.</t>
        </is>
      </c>
      <c r="FC63" s="53" t="n"/>
      <c r="FD63" s="53" t="n"/>
      <c r="FE63"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FF63" s="56" t="n"/>
      <c r="FG63" s="56" t="n"/>
      <c r="FH63" s="56" t="n"/>
      <c r="FI63" s="56" t="n"/>
      <c r="FJ63" s="56" t="inlineStr">
        <is>
          <t>Received · manager annual</t>
        </is>
      </c>
      <c r="FK63" s="56" t="inlineStr">
        <is>
          <t>CARBON Mapping Master</t>
        </is>
      </c>
      <c r="FL63" s="56" t="n">
        <v>20</v>
      </c>
      <c r="FM63" s="56" t="inlineStr">
        <is>
          <t>• Role / sub-team: Digitalizing Assisted Services Team.</t>
        </is>
      </c>
      <c r="FN63" s="56"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FO63" s="56" t="inlineStr">
        <is>
          <t>• Current capabilities: Typing; Ai tool - Copilot Chat GP; Tools / software used: Both.</t>
        </is>
      </c>
      <c r="FP63" s="56" t="inlineStr">
        <is>
          <t>• Communications skills.
• Presentation skills.</t>
        </is>
      </c>
      <c r="FQ63" s="56" t="inlineStr">
        <is>
          <t>• Key challenges: Quality of report, RDP issue.
• Support required: No input received.</t>
        </is>
      </c>
      <c r="FR63" s="56" t="inlineStr">
        <is>
          <t>Complexity: Evidence reads like A3: Go-to for US DM / HTML Editor: solves unsolved issues, QCs HMRC, CIPC, MCA → moved down 0.5
Autonomy: Evidence reads like B1: Allocates HMRC and CIPC documents among team members and delivers → moved down 0.5
Accountability: Evidence reads like B1: Leads US formatting team's output as team leader; own answer cites document confidentiality → moved down 1
Leadership: Evidence reads like B2: Team leader of US formatting team with 6 reports; trains new joiners → moved down 0.5
Business Impact: Moved +0.5: the survey / manager mapping marks it business-critical.</t>
        </is>
      </c>
      <c r="FS63"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63" s="56" t="inlineStr">
        <is>
          <t>Self-identified: Product &amp; tool knowledge · Communication &amp; presentation · Certification / formal course
For the next role: Product &amp; tool knowledge · Communication &amp; presentation · Certification / formal course</t>
        </is>
      </c>
      <c r="FU63" s="56" t="inlineStr">
        <is>
          <t>Per-person summary · CARBON Mapping Master</t>
        </is>
      </c>
    </row>
    <row r="64" ht="90" customHeight="1">
      <c r="A64" s="51" t="inlineStr">
        <is>
          <t>◂ Back</t>
        </is>
      </c>
      <c r="B64" s="29" t="inlineStr">
        <is>
          <t>Mapped</t>
        </is>
      </c>
      <c r="C64" s="28" t="inlineStr">
        <is>
          <t>CARBON</t>
        </is>
      </c>
      <c r="D64" s="29" t="inlineStr">
        <is>
          <t>IRIS1210</t>
        </is>
      </c>
      <c r="E64" s="29" t="inlineStr">
        <is>
          <t>Tejas Kat</t>
        </is>
      </c>
      <c r="F64" s="29" t="inlineStr">
        <is>
          <t>Digitizing</t>
        </is>
      </c>
      <c r="G64" s="29" t="inlineStr">
        <is>
          <t>Image Processing Specialist</t>
        </is>
      </c>
      <c r="H64" s="29" t="inlineStr">
        <is>
          <t>Digitization Specialist – POD Lead</t>
        </is>
      </c>
      <c r="I64" s="29" t="inlineStr">
        <is>
          <t>L3 – Professional / Associate</t>
        </is>
      </c>
      <c r="J64" s="29" t="inlineStr">
        <is>
          <t>B1</t>
        </is>
      </c>
      <c r="K64" s="29" t="inlineStr">
        <is>
          <t>▲ Up</t>
        </is>
      </c>
      <c r="L64" s="29" t="inlineStr">
        <is>
          <t>Data Operations &amp; Digitization</t>
        </is>
      </c>
      <c r="M64" s="29" t="inlineStr">
        <is>
          <t>Document Conversion, Formatting &amp; Web Publishing</t>
        </is>
      </c>
      <c r="N64" s="29" t="n"/>
      <c r="O64" s="29" t="n">
        <v>20</v>
      </c>
      <c r="P64" s="28" t="inlineStr">
        <is>
          <t>P3 / M2</t>
        </is>
      </c>
      <c r="Q64" s="29" t="inlineStr">
        <is>
          <t>Career / · Team Lead</t>
        </is>
      </c>
      <c r="R64" s="29" t="inlineStr">
        <is>
          <t>4 Enable</t>
        </is>
      </c>
      <c r="S64" s="29" t="inlineStr">
        <is>
          <t>4–7 yrs</t>
        </is>
      </c>
      <c r="T64" s="29" t="inlineStr">
        <is>
          <t>5–8 · 4–8</t>
        </is>
      </c>
      <c r="U64" s="29" t="inlineStr">
        <is>
          <t>Specialist / QC Analyst</t>
        </is>
      </c>
      <c r="V64" s="29" t="inlineStr">
        <is>
          <t>Accenture Operations: L9 Team Lead · IRIS Vs Competitor Benchmark — operations roles: Team Lead / Quality Lead</t>
        </is>
      </c>
      <c r="W64" s="29" t="inlineStr">
        <is>
          <t>COPC CX Standard · leadership &amp; planning, people, processes, performance; ISO 9001; Lean / Six Sigma</t>
        </is>
      </c>
      <c r="X64" s="29" t="inlineStr">
        <is>
          <t>Core 3 · Future 3 · Functional 3 · Leadership 2</t>
        </is>
      </c>
      <c r="Y64" s="52" t="n">
        <v>52</v>
      </c>
      <c r="Z64" s="53" t="inlineStr">
        <is>
          <t>IRIS1210</t>
        </is>
      </c>
      <c r="AA64" s="53" t="inlineStr">
        <is>
          <t>Employee</t>
        </is>
      </c>
      <c r="AB64" s="53" t="inlineStr">
        <is>
          <t>Active</t>
        </is>
      </c>
      <c r="AC64" s="53" t="inlineStr">
        <is>
          <t>Tejas Kat</t>
        </is>
      </c>
      <c r="AD64" s="54" t="n">
        <v>40294</v>
      </c>
      <c r="AE64" s="53" t="inlineStr">
        <is>
          <t>Image Processing Specialist</t>
        </is>
      </c>
      <c r="AF64" s="53" t="inlineStr">
        <is>
          <t>Undergraduate</t>
        </is>
      </c>
      <c r="AG64" s="53" t="inlineStr">
        <is>
          <t>Janardan Bale</t>
        </is>
      </c>
      <c r="AH64" s="53" t="inlineStr">
        <is>
          <t>N-7</t>
        </is>
      </c>
      <c r="AI64" s="53" t="inlineStr">
        <is>
          <t>manager</t>
        </is>
      </c>
      <c r="AJ64" s="53" t="inlineStr">
        <is>
          <t>1 years, 0 months, 0 days</t>
        </is>
      </c>
      <c r="AK64" s="53" t="inlineStr">
        <is>
          <t>16 years, 3 months, 30 days</t>
        </is>
      </c>
      <c r="AL64" s="53" t="inlineStr">
        <is>
          <t>Regtech</t>
        </is>
      </c>
      <c r="AM64" s="53" t="inlineStr">
        <is>
          <t>CARBON</t>
        </is>
      </c>
      <c r="AN64" s="53" t="inlineStr">
        <is>
          <t>Digitizing</t>
        </is>
      </c>
      <c r="AO64" s="53" t="inlineStr">
        <is>
          <t>Digitizing Assisted services</t>
        </is>
      </c>
      <c r="AP64" s="53" t="inlineStr">
        <is>
          <t>No</t>
        </is>
      </c>
      <c r="AQ64" s="53" t="inlineStr">
        <is>
          <t>Professional Services</t>
        </is>
      </c>
      <c r="AR64" s="53" t="inlineStr">
        <is>
          <t>OCR/Image procesing</t>
        </is>
      </c>
      <c r="AS64" s="53" t="inlineStr">
        <is>
          <t>Non-technical</t>
        </is>
      </c>
      <c r="AT64" s="53" t="n">
        <v>20</v>
      </c>
      <c r="AU64" s="53" t="inlineStr">
        <is>
          <t>Covered</t>
        </is>
      </c>
      <c r="AV64" s="53" t="inlineStr">
        <is>
          <t>IRIS1210</t>
        </is>
      </c>
      <c r="AW64" s="53" t="inlineStr">
        <is>
          <t>Tejas Kat</t>
        </is>
      </c>
      <c r="AX64" s="53" t="inlineStr">
        <is>
          <t>Digitizing</t>
        </is>
      </c>
      <c r="AY64" s="53" t="inlineStr">
        <is>
          <t>Professional Services</t>
        </is>
      </c>
      <c r="AZ64" s="53" t="inlineStr">
        <is>
          <t>Digitization &amp; Image Processing</t>
        </is>
      </c>
      <c r="BA64" s="53" t="n"/>
      <c r="BB64" s="53" t="n"/>
      <c r="BC64" s="53" t="inlineStr">
        <is>
          <t>Employee</t>
        </is>
      </c>
      <c r="BD64" s="53" t="inlineStr">
        <is>
          <t>Janardan Bale</t>
        </is>
      </c>
      <c r="BE64" s="53" t="inlineStr">
        <is>
          <t>Vijay Digamber Parulekar</t>
        </is>
      </c>
      <c r="BF64" s="53" t="inlineStr">
        <is>
          <t>No</t>
        </is>
      </c>
      <c r="BG64" s="53" t="inlineStr">
        <is>
          <t>Image Processing Specialist</t>
        </is>
      </c>
      <c r="BH64" s="53" t="inlineStr">
        <is>
          <t>Digitizing - Lead</t>
        </is>
      </c>
      <c r="BI64" s="53" t="inlineStr">
        <is>
          <t>Yes</t>
        </is>
      </c>
      <c r="BJ64" s="53" t="n">
        <v>3</v>
      </c>
      <c r="BK64" s="53" t="n">
        <v>0</v>
      </c>
      <c r="BL64" s="53" t="n">
        <v>3</v>
      </c>
      <c r="BM64" s="53" t="inlineStr">
        <is>
          <t>Review</t>
        </is>
      </c>
      <c r="BN64" s="53" t="n">
        <v>3</v>
      </c>
      <c r="BO64" s="53" t="n">
        <v>0</v>
      </c>
      <c r="BP64" s="53" t="n">
        <v>3</v>
      </c>
      <c r="BQ64" s="53" t="inlineStr">
        <is>
          <t>Review</t>
        </is>
      </c>
      <c r="BR64" s="53" t="inlineStr">
        <is>
          <t>No</t>
        </is>
      </c>
      <c r="BS64" s="53" t="inlineStr">
        <is>
          <t>L3 – Professional / Associate</t>
        </is>
      </c>
      <c r="BT64" s="53" t="inlineStr">
        <is>
          <t>L3</t>
        </is>
      </c>
      <c r="BU64" s="53" t="inlineStr">
        <is>
          <t>Designation refined from Raw tab Comments column · this update</t>
        </is>
      </c>
      <c r="BV64"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W64" s="53" t="n"/>
      <c r="BX64" s="53" t="inlineStr">
        <is>
          <t>UK - HMRC; South Africa - CIPC; Nigeria - CBN; Netherland - KVK; Europe - ESEF, India - MCA.</t>
        </is>
      </c>
      <c r="BY64" s="53" t="n"/>
      <c r="BZ64" s="53" t="inlineStr">
        <is>
          <t>IRIS1210</t>
        </is>
      </c>
      <c r="CA64" s="53" t="inlineStr">
        <is>
          <t>Employee</t>
        </is>
      </c>
      <c r="CB64" s="53" t="inlineStr">
        <is>
          <t>Active</t>
        </is>
      </c>
      <c r="CC64" s="53" t="inlineStr">
        <is>
          <t>Tejas Kat</t>
        </is>
      </c>
      <c r="CD64" s="54" t="n">
        <v>40294</v>
      </c>
      <c r="CE64" s="53" t="inlineStr">
        <is>
          <t>Image Processing Specialist</t>
        </is>
      </c>
      <c r="CF64" s="53" t="n"/>
      <c r="CG64" s="53" t="inlineStr">
        <is>
          <t>Professional Services</t>
        </is>
      </c>
      <c r="CH64" s="53" t="inlineStr">
        <is>
          <t>Digitization &amp; Image Processing</t>
        </is>
      </c>
      <c r="CI64" s="53" t="inlineStr">
        <is>
          <t>Image Processing Specialist</t>
        </is>
      </c>
      <c r="CJ64" s="53" t="inlineStr">
        <is>
          <t>L3 – Professional / Associate</t>
        </is>
      </c>
      <c r="CK64" s="53" t="inlineStr">
        <is>
          <t>Janardan Bale</t>
        </is>
      </c>
      <c r="CL64" s="53" t="inlineStr">
        <is>
          <t>N-7</t>
        </is>
      </c>
      <c r="CM64" s="53" t="inlineStr">
        <is>
          <t>Player cum Coach</t>
        </is>
      </c>
      <c r="CN64" s="53" t="inlineStr">
        <is>
          <t>Regtech</t>
        </is>
      </c>
      <c r="CO64" s="53" t="inlineStr">
        <is>
          <t>Digitizing</t>
        </is>
      </c>
      <c r="CP64" s="53" t="inlineStr">
        <is>
          <t>17 years, 1 months, 25 days</t>
        </is>
      </c>
      <c r="CQ64" s="53" t="inlineStr">
        <is>
          <t>Sr.Image Processing Specialist</t>
        </is>
      </c>
      <c r="CR64" s="53" t="n"/>
      <c r="CS64" s="53" t="n">
        <v>4</v>
      </c>
      <c r="CT64" s="53" t="inlineStr">
        <is>
          <t>High</t>
        </is>
      </c>
      <c r="CU64" s="53" t="inlineStr">
        <is>
          <t>Core Contributor</t>
        </is>
      </c>
      <c r="CV64" s="53" t="inlineStr">
        <is>
          <t>No</t>
        </is>
      </c>
      <c r="CW64" s="53" t="inlineStr">
        <is>
          <t>No</t>
        </is>
      </c>
      <c r="CX64" s="53" t="inlineStr">
        <is>
          <t>Yes</t>
        </is>
      </c>
      <c r="CY64" s="53" t="n"/>
      <c r="CZ64" s="53" t="n"/>
      <c r="DA64" s="53" t="n"/>
      <c r="DB64" s="53" t="inlineStr">
        <is>
          <t>Title to be changed to : Digitizing - Lead</t>
        </is>
      </c>
      <c r="DC64" s="53" t="n"/>
      <c r="DD64" s="53" t="n"/>
      <c r="DE64" s="53" t="n"/>
      <c r="DF64" s="53" t="n"/>
      <c r="DG64" s="53" t="n"/>
      <c r="DH64" s="53" t="n"/>
      <c r="DI64" s="53" t="n"/>
      <c r="DJ64" s="53" t="n"/>
      <c r="DK64" s="53" t="n"/>
      <c r="DL64" s="53" t="n"/>
      <c r="DM64" s="53" t="n"/>
      <c r="DN64" s="53" t="n"/>
      <c r="DO64" s="53" t="n"/>
      <c r="DP64" s="53" t="n"/>
      <c r="DQ64" s="53" t="n"/>
      <c r="DR64" s="53" t="n"/>
      <c r="DS64" s="53" t="n"/>
      <c r="DT64" s="53" t="n"/>
      <c r="DU64" s="53" t="n"/>
      <c r="DV64" s="53" t="n"/>
      <c r="DW64" s="53" t="n"/>
      <c r="DX64" s="53" t="n"/>
      <c r="DY64" s="53" t="n"/>
      <c r="DZ64" s="53" t="n"/>
      <c r="EA64" s="53" t="n"/>
      <c r="EB64" s="53" t="n"/>
      <c r="EC64" s="53" t="n"/>
      <c r="ED64" s="53" t="n"/>
      <c r="EE64" s="53" t="n"/>
      <c r="EF64" s="53" t="n"/>
      <c r="EG64" s="53" t="n"/>
      <c r="EH64" s="53" t="n"/>
      <c r="EI64" s="53" t="n"/>
      <c r="EJ64" s="53" t="n"/>
      <c r="EK64" s="53" t="n"/>
      <c r="EL64" s="53" t="n"/>
      <c r="EM64" s="53" t="n"/>
      <c r="EN64" s="53" t="n"/>
      <c r="EO64" s="53" t="n"/>
      <c r="EP64" s="53" t="n"/>
      <c r="EQ64" s="53" t="n"/>
      <c r="ER64" s="53" t="n"/>
      <c r="ES64" s="53" t="n"/>
      <c r="ET64" s="53" t="n"/>
      <c r="EU64" s="53" t="n"/>
      <c r="EV64" s="53" t="n"/>
      <c r="EW64" s="52" t="n"/>
      <c r="EX64" s="53" t="inlineStr">
        <is>
          <t>• Role / sub-team: Digitizing Associte Service.</t>
        </is>
      </c>
      <c r="EY64" s="53"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EZ64" s="53" t="inlineStr">
        <is>
          <t>• Current capabilities: Ai copilot tool skill; Tools / software used: Both | Abbyy FineReader, Microsoft Web Expression, Carbon tool [Teams chat].</t>
        </is>
      </c>
      <c r="FA64" s="53" t="inlineStr">
        <is>
          <t>• Communications skills.
• Presentation skills.</t>
        </is>
      </c>
      <c r="FB64" s="53" t="inlineStr">
        <is>
          <t>• Key challenges: Quality of report, RDP issue.
• Support required: No input received.</t>
        </is>
      </c>
      <c r="FC64" s="53" t="n"/>
      <c r="FD64" s="53" t="n"/>
      <c r="FE64"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FF64" s="56" t="n"/>
      <c r="FG64" s="56" t="n"/>
      <c r="FH64" s="56" t="n"/>
      <c r="FI64" s="56" t="n"/>
      <c r="FJ64" s="56" t="inlineStr">
        <is>
          <t>Received · manager annual</t>
        </is>
      </c>
      <c r="FK64" s="56" t="inlineStr">
        <is>
          <t>CARBON Mapping Master</t>
        </is>
      </c>
      <c r="FL64" s="56" t="n">
        <v>20</v>
      </c>
      <c r="FM64" s="56" t="inlineStr">
        <is>
          <t>• Role / sub-team: Digitizing Associte Service.</t>
        </is>
      </c>
      <c r="FN64" s="56"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FO64" s="56" t="inlineStr">
        <is>
          <t>• Current capabilities: Ai copilot tool skill; Tools / software used: Both | Abbyy FineReader, Microsoft Web Expression, Carbon tool [Teams chat].</t>
        </is>
      </c>
      <c r="FP64" s="56" t="inlineStr">
        <is>
          <t>• Communications skills.
• Presentation skills.</t>
        </is>
      </c>
      <c r="FQ64" s="56" t="inlineStr">
        <is>
          <t>• Key challenges: Quality of report, RDP issue.
• Support required: No input received.</t>
        </is>
      </c>
      <c r="FR64" s="56" t="inlineStr">
        <is>
          <t>Complexity: Evidence reads like A3: Document quality checks, query solving and CIPC/MCA HTML conversion across UK, CIPC, ESMA work → matches the start
Autonomy: Evidence reads like A3: Allocates UK/CIPC/ESMA files; says takes decisions without asking manager when needed → matches the start
Accountability: Evidence reads like A3: Allocation, QC and on-time completion of formatting/conversion files sent on to services teams → moved down 0.5
Leadership: Evidence reads like A3: Allocates work and solves queries for the team; 2 direct reports → moved down 0.5
Business Impact: Moved +0.5: the survey / manager mapping marks it business-critical.</t>
        </is>
      </c>
      <c r="FS64"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64" s="56" t="inlineStr">
        <is>
          <t>Self-identified: Data, SQL &amp; analytics · Domain, regulatory &amp; XBRL · Communication &amp; presentation · Broader exposure &amp; ownership
For the next role: Data, SQL &amp; analytics · Domain, regulatory &amp; XBRL · Communication &amp; presentation · Broader exposure &amp; ownership</t>
        </is>
      </c>
      <c r="FU64" s="56" t="inlineStr">
        <is>
          <t>Per-person summary · CARBON Mapping Master</t>
        </is>
      </c>
    </row>
    <row r="65" ht="90" customHeight="1">
      <c r="A65" s="51" t="inlineStr">
        <is>
          <t>◂ Back</t>
        </is>
      </c>
      <c r="B65" s="29" t="inlineStr">
        <is>
          <t>Mapped</t>
        </is>
      </c>
      <c r="C65" s="28" t="inlineStr">
        <is>
          <t>CARBON</t>
        </is>
      </c>
      <c r="D65" s="29" t="inlineStr">
        <is>
          <t>IRISC224</t>
        </is>
      </c>
      <c r="E65" s="29" t="inlineStr">
        <is>
          <t>Dhanraj Patil</t>
        </is>
      </c>
      <c r="F65" s="29" t="inlineStr">
        <is>
          <t>Digitizing</t>
        </is>
      </c>
      <c r="G65" s="29" t="inlineStr">
        <is>
          <t>Consultant</t>
        </is>
      </c>
      <c r="H65" s="29" t="inlineStr">
        <is>
          <t>Senior Digitization Associate</t>
        </is>
      </c>
      <c r="I65" s="29" t="inlineStr">
        <is>
          <t>L3 – Professional / Associate</t>
        </is>
      </c>
      <c r="J65" s="29" t="inlineStr">
        <is>
          <t>A3</t>
        </is>
      </c>
      <c r="K65" s="29" t="inlineStr">
        <is>
          <t>▲ Up</t>
        </is>
      </c>
      <c r="L65" s="29" t="inlineStr">
        <is>
          <t>Data Operations &amp; Digitization</t>
        </is>
      </c>
      <c r="M65" s="29" t="inlineStr">
        <is>
          <t>Document Conversion, Formatting &amp; Web Publishing</t>
        </is>
      </c>
      <c r="N65" s="29" t="n"/>
      <c r="O65" s="29" t="n">
        <v>20</v>
      </c>
      <c r="P65" s="28" t="inlineStr">
        <is>
          <t>P2</t>
        </is>
      </c>
      <c r="Q65" s="29" t="inlineStr">
        <is>
          <t>Developing</t>
        </is>
      </c>
      <c r="R65" s="29" t="inlineStr">
        <is>
          <t>3 Apply</t>
        </is>
      </c>
      <c r="S65" s="29" t="inlineStr">
        <is>
          <t>2–4 yrs</t>
        </is>
      </c>
      <c r="T65" s="29" t="inlineStr">
        <is>
          <t>3–5 · 2–5</t>
        </is>
      </c>
      <c r="U65" s="29" t="inlineStr">
        <is>
          <t>Senior Associate</t>
        </is>
      </c>
      <c r="V65" s="29" t="inlineStr">
        <is>
          <t>DataTracks: Senior Associate · 2–5 yrs · Accenture Operations: L10 Senior Analyst · IRIS Vs Competitor Benchmark — operations roles: Senior Processor / QC</t>
        </is>
      </c>
      <c r="W65" s="29" t="inlineStr">
        <is>
          <t>COPC CX Standard · leadership &amp; planning, people, processes, performance; ISO 9001; Lean / Six Sigma</t>
        </is>
      </c>
      <c r="X65" s="29" t="inlineStr">
        <is>
          <t>Core 2 · Future 2 · Functional 3 · Leadership not scored</t>
        </is>
      </c>
      <c r="Y65" s="52" t="n">
        <v>211</v>
      </c>
      <c r="Z65" s="53" t="inlineStr">
        <is>
          <t>IRISC224</t>
        </is>
      </c>
      <c r="AA65" s="53" t="inlineStr">
        <is>
          <t>On Contract</t>
        </is>
      </c>
      <c r="AB65" s="53" t="inlineStr">
        <is>
          <t>Active</t>
        </is>
      </c>
      <c r="AC65" s="53" t="inlineStr">
        <is>
          <t>Dhanraj Patil</t>
        </is>
      </c>
      <c r="AD65" s="54" t="n">
        <v>44623</v>
      </c>
      <c r="AE65" s="53" t="inlineStr">
        <is>
          <t>Consultant</t>
        </is>
      </c>
      <c r="AF65" s="53" t="inlineStr">
        <is>
          <t>B.Com</t>
        </is>
      </c>
      <c r="AG65" s="53" t="inlineStr">
        <is>
          <t>Tejas Kat</t>
        </is>
      </c>
      <c r="AH65" s="53" t="inlineStr">
        <is>
          <t>N-8</t>
        </is>
      </c>
      <c r="AI65" s="53" t="inlineStr">
        <is>
          <t>Individual Contributor</t>
        </is>
      </c>
      <c r="AJ65" s="53" t="inlineStr">
        <is>
          <t>8 years, 6 months, 0 days</t>
        </is>
      </c>
      <c r="AK65" s="53" t="inlineStr">
        <is>
          <t>4 years, 5 months, 22 days</t>
        </is>
      </c>
      <c r="AL65" s="53" t="inlineStr">
        <is>
          <t>Regtech</t>
        </is>
      </c>
      <c r="AM65" s="53" t="inlineStr">
        <is>
          <t>CARBON</t>
        </is>
      </c>
      <c r="AN65" s="53" t="inlineStr">
        <is>
          <t>Digitizing</t>
        </is>
      </c>
      <c r="AO65" s="53" t="inlineStr">
        <is>
          <t>Digitizing Assisted services</t>
        </is>
      </c>
      <c r="AP65" s="53" t="inlineStr">
        <is>
          <t>No</t>
        </is>
      </c>
      <c r="AQ65" s="53" t="inlineStr">
        <is>
          <t>Professional Services</t>
        </is>
      </c>
      <c r="AR65" s="53" t="inlineStr">
        <is>
          <t>OCR/Image procesing</t>
        </is>
      </c>
      <c r="AS65" s="53" t="inlineStr">
        <is>
          <t>Non-technical</t>
        </is>
      </c>
      <c r="AT65" s="53" t="n">
        <v>20</v>
      </c>
      <c r="AU65" s="53" t="inlineStr">
        <is>
          <t>Covered</t>
        </is>
      </c>
      <c r="AV65" s="53" t="inlineStr">
        <is>
          <t>IRISC224</t>
        </is>
      </c>
      <c r="AW65" s="53" t="inlineStr">
        <is>
          <t>Dhanraj Patil</t>
        </is>
      </c>
      <c r="AX65" s="53" t="inlineStr">
        <is>
          <t>Digitizing</t>
        </is>
      </c>
      <c r="AY65" s="53" t="inlineStr">
        <is>
          <t>Professional Services</t>
        </is>
      </c>
      <c r="AZ65" s="53" t="inlineStr">
        <is>
          <t>Digitization &amp; Image Processing</t>
        </is>
      </c>
      <c r="BA65" s="53" t="n"/>
      <c r="BB65" s="53" t="n"/>
      <c r="BC65" s="53" t="inlineStr">
        <is>
          <t>On Contract</t>
        </is>
      </c>
      <c r="BD65" s="53" t="inlineStr">
        <is>
          <t>Tejas Kat</t>
        </is>
      </c>
      <c r="BE65" s="53" t="inlineStr">
        <is>
          <t>Tejas Subhash Kat</t>
        </is>
      </c>
      <c r="BF65" s="53" t="inlineStr">
        <is>
          <t>No</t>
        </is>
      </c>
      <c r="BG65" s="53" t="inlineStr">
        <is>
          <t>Consultant</t>
        </is>
      </c>
      <c r="BH65" s="53" t="inlineStr">
        <is>
          <t>Senior Consultant</t>
        </is>
      </c>
      <c r="BI65" s="53" t="inlineStr">
        <is>
          <t>Yes</t>
        </is>
      </c>
      <c r="BJ65" s="53" t="inlineStr">
        <is>
          <t>—</t>
        </is>
      </c>
      <c r="BK65" s="53" t="inlineStr">
        <is>
          <t>—</t>
        </is>
      </c>
      <c r="BL65" s="53" t="inlineStr">
        <is>
          <t>—</t>
        </is>
      </c>
      <c r="BM65" s="53" t="inlineStr">
        <is>
          <t>Not a manager</t>
        </is>
      </c>
      <c r="BN65" s="53" t="inlineStr">
        <is>
          <t>—</t>
        </is>
      </c>
      <c r="BO65" s="53" t="inlineStr">
        <is>
          <t>—</t>
        </is>
      </c>
      <c r="BP65" s="53" t="inlineStr">
        <is>
          <t>—</t>
        </is>
      </c>
      <c r="BQ65" s="53" t="inlineStr">
        <is>
          <t>Not a manager</t>
        </is>
      </c>
      <c r="BR65" s="53" t="inlineStr">
        <is>
          <t>—</t>
        </is>
      </c>
      <c r="BS65" s="53" t="inlineStr">
        <is>
          <t>L3 – Professional / Associate</t>
        </is>
      </c>
      <c r="BT65" s="53" t="inlineStr">
        <is>
          <t>L3 – Professional / Associate</t>
        </is>
      </c>
      <c r="BU65" s="53" t="inlineStr">
        <is>
          <t>No exact Title Hierarchy match — retained current record value</t>
        </is>
      </c>
      <c r="BV65"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5" s="53" t="n"/>
      <c r="BX65" s="53" t="inlineStr">
        <is>
          <t>India - MCA; Europe - ESEF; South Africa - CIPC; UK - HMRC · On Contract.</t>
        </is>
      </c>
      <c r="BY65" s="53" t="n"/>
      <c r="BZ65" s="53" t="inlineStr">
        <is>
          <t>IRISC224</t>
        </is>
      </c>
      <c r="CA65" s="53" t="inlineStr">
        <is>
          <t>On Contract</t>
        </is>
      </c>
      <c r="CB65" s="53" t="inlineStr">
        <is>
          <t>Active</t>
        </is>
      </c>
      <c r="CC65" s="53" t="inlineStr">
        <is>
          <t>Dhanraj Patil</t>
        </is>
      </c>
      <c r="CD65" s="54" t="n">
        <v>44623</v>
      </c>
      <c r="CE65" s="53" t="inlineStr">
        <is>
          <t>Consultant</t>
        </is>
      </c>
      <c r="CF65" s="53" t="n"/>
      <c r="CG65" s="53" t="inlineStr">
        <is>
          <t>Professional Services</t>
        </is>
      </c>
      <c r="CH65" s="53" t="inlineStr">
        <is>
          <t>Digitization &amp; Image Processing</t>
        </is>
      </c>
      <c r="CI65" s="53" t="inlineStr">
        <is>
          <t>Consultant</t>
        </is>
      </c>
      <c r="CJ65" s="53" t="inlineStr">
        <is>
          <t>L3 – Professional / Associate</t>
        </is>
      </c>
      <c r="CK65" s="53" t="inlineStr">
        <is>
          <t>Tejas Kat</t>
        </is>
      </c>
      <c r="CL65" s="53" t="inlineStr">
        <is>
          <t>N-8</t>
        </is>
      </c>
      <c r="CM65" s="53" t="inlineStr">
        <is>
          <t>Individual Contributor</t>
        </is>
      </c>
      <c r="CN65" s="53" t="inlineStr">
        <is>
          <t>Regtech</t>
        </is>
      </c>
      <c r="CO65" s="53" t="inlineStr">
        <is>
          <t>Digitizing</t>
        </is>
      </c>
      <c r="CP65" s="53" t="inlineStr">
        <is>
          <t>12 years, 9 months, 17 days</t>
        </is>
      </c>
      <c r="CQ65" s="53" t="inlineStr">
        <is>
          <t>Senior Consultant · review – experience supports senior band</t>
        </is>
      </c>
      <c r="CR65" s="53" t="n"/>
      <c r="CS65" s="53" t="n">
        <v>3</v>
      </c>
      <c r="CT65" s="53" t="inlineStr">
        <is>
          <t>Medium</t>
        </is>
      </c>
      <c r="CU65" s="53" t="inlineStr">
        <is>
          <t>Core Contributor</t>
        </is>
      </c>
      <c r="CV65" s="53" t="inlineStr">
        <is>
          <t>No</t>
        </is>
      </c>
      <c r="CW65" s="53" t="inlineStr">
        <is>
          <t>No</t>
        </is>
      </c>
      <c r="CX65" s="53" t="inlineStr">
        <is>
          <t>Yes</t>
        </is>
      </c>
      <c r="CY65" s="53" t="n"/>
      <c r="CZ65" s="53" t="n"/>
      <c r="DA65" s="53" t="n"/>
      <c r="DB65" s="53" t="inlineStr">
        <is>
          <t>Title to change to Senior Services Specialist</t>
        </is>
      </c>
      <c r="DC65" s="53" t="n"/>
      <c r="DD65" s="53" t="n"/>
      <c r="DE65" s="53" t="n"/>
      <c r="DF65" s="53" t="n"/>
      <c r="DG65" s="53" t="n"/>
      <c r="DH65" s="53" t="n"/>
      <c r="DI65" s="53" t="n"/>
      <c r="DJ65" s="53" t="n"/>
      <c r="DK65" s="53" t="n"/>
      <c r="DL65" s="53" t="n"/>
      <c r="DM65" s="53" t="n"/>
      <c r="DN65" s="53" t="n"/>
      <c r="DO65" s="53" t="n"/>
      <c r="DP65" s="53" t="n"/>
      <c r="DQ65" s="53" t="n"/>
      <c r="DR65" s="53" t="n"/>
      <c r="DS65" s="53" t="n"/>
      <c r="DT65" s="53" t="n"/>
      <c r="DU65" s="53" t="n"/>
      <c r="DV65" s="53" t="n"/>
      <c r="DW65" s="53" t="n"/>
      <c r="DX65" s="53" t="n"/>
      <c r="DY65" s="53" t="n"/>
      <c r="DZ65" s="53" t="n"/>
      <c r="EA65" s="53" t="n"/>
      <c r="EB65" s="53" t="n"/>
      <c r="EC65" s="53" t="n"/>
      <c r="ED65" s="53" t="n"/>
      <c r="EE65" s="53" t="n"/>
      <c r="EF65" s="53" t="n"/>
      <c r="EG65" s="53" t="n"/>
      <c r="EH65" s="53" t="n"/>
      <c r="EI65" s="53" t="n"/>
      <c r="EJ65" s="53" t="n"/>
      <c r="EK65" s="53" t="n"/>
      <c r="EL65" s="53" t="n"/>
      <c r="EM65" s="53" t="n"/>
      <c r="EN65" s="53" t="n"/>
      <c r="EO65" s="53" t="n"/>
      <c r="EP65" s="53" t="n"/>
      <c r="EQ65" s="53" t="n"/>
      <c r="ER65" s="53" t="n"/>
      <c r="ES65" s="53" t="n"/>
      <c r="ET65" s="53" t="n"/>
      <c r="EU65" s="53" t="n"/>
      <c r="EV65" s="53" t="n"/>
      <c r="EW65" s="52" t="n"/>
      <c r="EX65" s="53" t="inlineStr">
        <is>
          <t>• Role / sub-team: Digitizing Assited Services.</t>
        </is>
      </c>
      <c r="EY65" s="53"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EZ65" s="53" t="inlineStr">
        <is>
          <t>• Current capabilities: Tool knowledge; Basic Tool knowledge; Tools / software used: Both | Abbyy FineReader, Microsoft Web Expression, Carbon tool [Teams chat].</t>
        </is>
      </c>
      <c r="FA65" s="53" t="inlineStr">
        <is>
          <t>• Communications skills.
• Presentation skills.</t>
        </is>
      </c>
      <c r="FB65" s="53" t="inlineStr">
        <is>
          <t>• Key challenges: Quality of report, RDP issue.
• Support required: No input received.</t>
        </is>
      </c>
      <c r="FC65" s="53" t="n"/>
      <c r="FD65" s="53" t="n"/>
      <c r="FE65"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5" s="56" t="n"/>
      <c r="FG65" s="56" t="n"/>
      <c r="FH65" s="56" t="n"/>
      <c r="FI65" s="56" t="n"/>
      <c r="FJ65" s="56" t="inlineStr">
        <is>
          <t>Received · manager annual</t>
        </is>
      </c>
      <c r="FK65" s="56" t="inlineStr">
        <is>
          <t>CARBON Mapping Master</t>
        </is>
      </c>
      <c r="FL65" s="56" t="n">
        <v>20</v>
      </c>
      <c r="FM65" s="56" t="inlineStr">
        <is>
          <t>• Role / sub-team: Digitizing Assited Services.</t>
        </is>
      </c>
      <c r="FN65" s="56"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FO65" s="56" t="inlineStr">
        <is>
          <t>• Current capabilities: Tool knowledge; Basic Tool knowledge; Tools / software used: Both | Abbyy FineReader, Microsoft Web Expression, Carbon tool [Teams chat].</t>
        </is>
      </c>
      <c r="FP65" s="56" t="inlineStr">
        <is>
          <t>• Communications skills.
• Presentation skills.</t>
        </is>
      </c>
      <c r="FQ65" s="56" t="inlineStr">
        <is>
          <t>• Key challenges: Quality of report, RDP issue.
• Support required: No input received.</t>
        </is>
      </c>
      <c r="FR65" s="56" t="inlineStr">
        <is>
          <t>Complexity: Evidence reads like A2: EU DM formatting plus HMRC, CIPC, MCA conversions using different tools → matches the start
Autonomy: Evidence reads like A1: States 'N A' for independent decisions; follows guidelines → moved down 0.5
Accountability: Evidence reads like A2: Own work; files move on to QC, tagging or service teams → matches the start
Leadership: Evidence reads like A1: No guidance or leadership of others described → matches the start
Business Impact: Moved +0.5: the survey / manager mapping marks it business-critical.</t>
        </is>
      </c>
      <c r="FS65"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5" s="56" t="inlineStr">
        <is>
          <t>Self-identified: Communication &amp; presentation
For the next role: Communication &amp; presentation</t>
        </is>
      </c>
      <c r="FU65" s="56" t="inlineStr">
        <is>
          <t>Per-person summary · CARBON Mapping Master</t>
        </is>
      </c>
    </row>
    <row r="66" ht="90" customHeight="1">
      <c r="A66" s="51" t="inlineStr">
        <is>
          <t>◂ Back</t>
        </is>
      </c>
      <c r="B66" s="29" t="inlineStr">
        <is>
          <t>Mapped</t>
        </is>
      </c>
      <c r="C66" s="28" t="inlineStr">
        <is>
          <t>CARBON</t>
        </is>
      </c>
      <c r="D66" s="29" t="inlineStr">
        <is>
          <t>IRISC173</t>
        </is>
      </c>
      <c r="E66" s="29" t="inlineStr">
        <is>
          <t>Snehal Kardekar</t>
        </is>
      </c>
      <c r="F66" s="29" t="inlineStr">
        <is>
          <t>Digitizing</t>
        </is>
      </c>
      <c r="G66" s="29" t="inlineStr">
        <is>
          <t>Consultant</t>
        </is>
      </c>
      <c r="H66" s="29" t="inlineStr">
        <is>
          <t>Senior Digitization Associate</t>
        </is>
      </c>
      <c r="I66" s="29" t="inlineStr">
        <is>
          <t>L3 – Professional / Associate</t>
        </is>
      </c>
      <c r="J66" s="29" t="inlineStr">
        <is>
          <t>A3</t>
        </is>
      </c>
      <c r="K66" s="29" t="inlineStr">
        <is>
          <t>▲ Up</t>
        </is>
      </c>
      <c r="L66" s="29" t="inlineStr">
        <is>
          <t>Data Operations &amp; Digitization</t>
        </is>
      </c>
      <c r="M66" s="29" t="inlineStr">
        <is>
          <t>Document Conversion, Formatting &amp; Web Publishing</t>
        </is>
      </c>
      <c r="N66" s="29" t="n"/>
      <c r="O66" s="29" t="n">
        <v>19</v>
      </c>
      <c r="P66" s="28" t="inlineStr">
        <is>
          <t>P2</t>
        </is>
      </c>
      <c r="Q66" s="29" t="inlineStr">
        <is>
          <t>Developing</t>
        </is>
      </c>
      <c r="R66" s="29" t="inlineStr">
        <is>
          <t>3 Apply</t>
        </is>
      </c>
      <c r="S66" s="29" t="inlineStr">
        <is>
          <t>2–4 yrs</t>
        </is>
      </c>
      <c r="T66" s="29" t="inlineStr">
        <is>
          <t>3–5 · 2–5</t>
        </is>
      </c>
      <c r="U66" s="29" t="inlineStr">
        <is>
          <t>Senior Associate</t>
        </is>
      </c>
      <c r="V66" s="29" t="inlineStr">
        <is>
          <t>DataTracks: Senior Associate · 2–5 yrs · Accenture Operations: L10 Senior Analyst · IRIS Vs Competitor Benchmark — operations roles: Senior Processor / QC</t>
        </is>
      </c>
      <c r="W66" s="29" t="inlineStr">
        <is>
          <t>COPC CX Standard · leadership &amp; planning, people, processes, performance; ISO 9001; Lean / Six Sigma</t>
        </is>
      </c>
      <c r="X66" s="29" t="inlineStr">
        <is>
          <t>Core 2 · Future 2 · Functional 3 · Leadership not scored</t>
        </is>
      </c>
      <c r="Y66" s="52" t="n">
        <v>167</v>
      </c>
      <c r="Z66" s="53" t="inlineStr">
        <is>
          <t>IRISC173</t>
        </is>
      </c>
      <c r="AA66" s="53" t="inlineStr">
        <is>
          <t>On Contract</t>
        </is>
      </c>
      <c r="AB66" s="53" t="inlineStr">
        <is>
          <t>Active</t>
        </is>
      </c>
      <c r="AC66" s="53" t="inlineStr">
        <is>
          <t>Snehal Kardekar</t>
        </is>
      </c>
      <c r="AD66" s="54" t="n">
        <v>44019</v>
      </c>
      <c r="AE66" s="53" t="inlineStr">
        <is>
          <t>Consultant</t>
        </is>
      </c>
      <c r="AF66" s="53" t="inlineStr">
        <is>
          <t>BA</t>
        </is>
      </c>
      <c r="AG66" s="53" t="inlineStr">
        <is>
          <t>Tejas Kat</t>
        </is>
      </c>
      <c r="AH66" s="53" t="inlineStr">
        <is>
          <t>N-8</t>
        </is>
      </c>
      <c r="AI66" s="53" t="inlineStr">
        <is>
          <t>Individual Contributor</t>
        </is>
      </c>
      <c r="AJ66" s="53" t="inlineStr">
        <is>
          <t>7 years, 0 months, 0 days</t>
        </is>
      </c>
      <c r="AK66" s="53" t="inlineStr">
        <is>
          <t>6 years, 1 months, 18 days</t>
        </is>
      </c>
      <c r="AL66" s="53" t="inlineStr">
        <is>
          <t>Regtech</t>
        </is>
      </c>
      <c r="AM66" s="53" t="inlineStr">
        <is>
          <t>CARBON</t>
        </is>
      </c>
      <c r="AN66" s="53" t="inlineStr">
        <is>
          <t>Digitizing</t>
        </is>
      </c>
      <c r="AO66" s="53" t="inlineStr">
        <is>
          <t>Digitizing Assisted services</t>
        </is>
      </c>
      <c r="AP66" s="53" t="inlineStr">
        <is>
          <t>No</t>
        </is>
      </c>
      <c r="AQ66" s="53" t="inlineStr">
        <is>
          <t>Professional Services</t>
        </is>
      </c>
      <c r="AR66" s="53" t="inlineStr">
        <is>
          <t>OCR/Image procesing</t>
        </is>
      </c>
      <c r="AS66" s="53" t="inlineStr">
        <is>
          <t>Non-technical</t>
        </is>
      </c>
      <c r="AT66" s="53" t="n">
        <v>20</v>
      </c>
      <c r="AU66" s="53" t="inlineStr">
        <is>
          <t>Covered</t>
        </is>
      </c>
      <c r="AV66" s="53" t="inlineStr">
        <is>
          <t>IRISC173</t>
        </is>
      </c>
      <c r="AW66" s="53" t="inlineStr">
        <is>
          <t>Snehal Kardekar</t>
        </is>
      </c>
      <c r="AX66" s="53" t="inlineStr">
        <is>
          <t>Digitizing</t>
        </is>
      </c>
      <c r="AY66" s="53" t="inlineStr">
        <is>
          <t>Professional Services</t>
        </is>
      </c>
      <c r="AZ66" s="53" t="inlineStr">
        <is>
          <t>Digitization &amp; Image Processing</t>
        </is>
      </c>
      <c r="BA66" s="53" t="n"/>
      <c r="BB66" s="53" t="n"/>
      <c r="BC66" s="53" t="inlineStr">
        <is>
          <t>On Contract</t>
        </is>
      </c>
      <c r="BD66" s="53" t="inlineStr">
        <is>
          <t>Tejas Kat</t>
        </is>
      </c>
      <c r="BE66" s="53" t="inlineStr">
        <is>
          <t>Swara Swapnil Mhatre</t>
        </is>
      </c>
      <c r="BF66" s="53" t="inlineStr">
        <is>
          <t>No</t>
        </is>
      </c>
      <c r="BG66" s="53" t="inlineStr">
        <is>
          <t>Consultant</t>
        </is>
      </c>
      <c r="BH66" s="53" t="inlineStr">
        <is>
          <t>Senior Consultant</t>
        </is>
      </c>
      <c r="BI66" s="53" t="inlineStr">
        <is>
          <t>Yes</t>
        </is>
      </c>
      <c r="BJ66" s="53" t="inlineStr">
        <is>
          <t>—</t>
        </is>
      </c>
      <c r="BK66" s="53" t="inlineStr">
        <is>
          <t>—</t>
        </is>
      </c>
      <c r="BL66" s="53" t="inlineStr">
        <is>
          <t>—</t>
        </is>
      </c>
      <c r="BM66" s="53" t="inlineStr">
        <is>
          <t>Not a manager</t>
        </is>
      </c>
      <c r="BN66" s="53" t="inlineStr">
        <is>
          <t>—</t>
        </is>
      </c>
      <c r="BO66" s="53" t="inlineStr">
        <is>
          <t>—</t>
        </is>
      </c>
      <c r="BP66" s="53" t="inlineStr">
        <is>
          <t>—</t>
        </is>
      </c>
      <c r="BQ66" s="53" t="inlineStr">
        <is>
          <t>Not a manager</t>
        </is>
      </c>
      <c r="BR66" s="53" t="inlineStr">
        <is>
          <t>—</t>
        </is>
      </c>
      <c r="BS66" s="53" t="inlineStr">
        <is>
          <t>L3 – Professional / Associate</t>
        </is>
      </c>
      <c r="BT66" s="53" t="inlineStr">
        <is>
          <t>L3 – Professional / Associate</t>
        </is>
      </c>
      <c r="BU66" s="53" t="inlineStr">
        <is>
          <t>No exact Title Hierarchy match — retained current record value</t>
        </is>
      </c>
      <c r="BV66"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6" s="53" t="n"/>
      <c r="BX66" s="53" t="inlineStr">
        <is>
          <t>Europe - ESEF; India - MCA; South Africa - CIPC; UK - HMRC · On Contract.</t>
        </is>
      </c>
      <c r="BY66" s="53" t="n"/>
      <c r="BZ66" s="53" t="inlineStr">
        <is>
          <t>IRISC173</t>
        </is>
      </c>
      <c r="CA66" s="53" t="inlineStr">
        <is>
          <t>On Contract</t>
        </is>
      </c>
      <c r="CB66" s="53" t="inlineStr">
        <is>
          <t>Active</t>
        </is>
      </c>
      <c r="CC66" s="53" t="inlineStr">
        <is>
          <t>Snehal Kardekar</t>
        </is>
      </c>
      <c r="CD66" s="54" t="n">
        <v>44019</v>
      </c>
      <c r="CE66" s="53" t="inlineStr">
        <is>
          <t>Consultant</t>
        </is>
      </c>
      <c r="CF66" s="53" t="n"/>
      <c r="CG66" s="53" t="inlineStr">
        <is>
          <t>Professional Services</t>
        </is>
      </c>
      <c r="CH66" s="53" t="inlineStr">
        <is>
          <t>Digitization &amp; Image Processing</t>
        </is>
      </c>
      <c r="CI66" s="53" t="inlineStr">
        <is>
          <t>Consultant</t>
        </is>
      </c>
      <c r="CJ66" s="53" t="inlineStr">
        <is>
          <t>L3 – Professional / Associate</t>
        </is>
      </c>
      <c r="CK66" s="53" t="inlineStr">
        <is>
          <t>Tejas Kat</t>
        </is>
      </c>
      <c r="CL66" s="53" t="inlineStr">
        <is>
          <t>N-8</t>
        </is>
      </c>
      <c r="CM66" s="53" t="inlineStr">
        <is>
          <t>Individual Contributor</t>
        </is>
      </c>
      <c r="CN66" s="53" t="inlineStr">
        <is>
          <t>Regtech</t>
        </is>
      </c>
      <c r="CO66" s="53" t="inlineStr">
        <is>
          <t>Digitizing</t>
        </is>
      </c>
      <c r="CP66" s="53" t="inlineStr">
        <is>
          <t>12 years, 11 months, 13 days</t>
        </is>
      </c>
      <c r="CQ66" s="53" t="inlineStr">
        <is>
          <t>Senior Consultant · review – experience supports senior band</t>
        </is>
      </c>
      <c r="CR66" s="53" t="n"/>
      <c r="CS66" s="53" t="n">
        <v>3</v>
      </c>
      <c r="CT66" s="53" t="inlineStr">
        <is>
          <t>Medium</t>
        </is>
      </c>
      <c r="CU66" s="53" t="inlineStr">
        <is>
          <t>Core Contributor</t>
        </is>
      </c>
      <c r="CV66" s="53" t="inlineStr">
        <is>
          <t>No</t>
        </is>
      </c>
      <c r="CW66" s="53" t="inlineStr">
        <is>
          <t>No</t>
        </is>
      </c>
      <c r="CX66" s="53" t="inlineStr">
        <is>
          <t>Yes</t>
        </is>
      </c>
      <c r="CY66" s="53" t="n"/>
      <c r="CZ66" s="53" t="n"/>
      <c r="DA66" s="53" t="n"/>
      <c r="DB66" s="53" t="inlineStr">
        <is>
          <t>Title to change to Senior Services Specialist</t>
        </is>
      </c>
      <c r="DC66" s="53" t="n"/>
      <c r="DD66" s="53" t="n"/>
      <c r="DE66" s="53" t="n"/>
      <c r="DF66" s="53" t="n"/>
      <c r="DG66" s="53" t="n"/>
      <c r="DH66" s="53" t="n"/>
      <c r="DI66" s="53" t="n"/>
      <c r="DJ66" s="53" t="n"/>
      <c r="DK66" s="53" t="n"/>
      <c r="DL66" s="53" t="n"/>
      <c r="DM66" s="53" t="n"/>
      <c r="DN66" s="53" t="n"/>
      <c r="DO66" s="53" t="n"/>
      <c r="DP66" s="53" t="n"/>
      <c r="DQ66" s="53" t="n"/>
      <c r="DR66" s="53" t="n"/>
      <c r="DS66" s="53" t="n"/>
      <c r="DT66" s="53" t="n"/>
      <c r="DU66" s="53" t="n"/>
      <c r="DV66" s="53" t="n"/>
      <c r="DW66" s="53" t="n"/>
      <c r="DX66" s="53" t="n"/>
      <c r="DY66" s="53" t="n"/>
      <c r="DZ66" s="53" t="n"/>
      <c r="EA66" s="53" t="n"/>
      <c r="EB66" s="53" t="n"/>
      <c r="EC66" s="53" t="n"/>
      <c r="ED66" s="53" t="n"/>
      <c r="EE66" s="53" t="n"/>
      <c r="EF66" s="53" t="n"/>
      <c r="EG66" s="53" t="n"/>
      <c r="EH66" s="53" t="n"/>
      <c r="EI66" s="53" t="n"/>
      <c r="EJ66" s="53" t="n"/>
      <c r="EK66" s="53" t="n"/>
      <c r="EL66" s="53" t="n"/>
      <c r="EM66" s="53" t="n"/>
      <c r="EN66" s="53" t="n"/>
      <c r="EO66" s="53" t="n"/>
      <c r="EP66" s="53" t="n"/>
      <c r="EQ66" s="53" t="n"/>
      <c r="ER66" s="53" t="n"/>
      <c r="ES66" s="53" t="n"/>
      <c r="ET66" s="53" t="n"/>
      <c r="EU66" s="53" t="n"/>
      <c r="EV66" s="53" t="n"/>
      <c r="EW66" s="52" t="n"/>
      <c r="EX66" s="53" t="inlineStr">
        <is>
          <t>• Role / sub-team: Digitizing Assisted Services.</t>
        </is>
      </c>
      <c r="EY66" s="53" t="inlineStr">
        <is>
          <t>• Key responsibilities include: Html conversion and cipc,uk,mca conversions and Qc Esma Qc.
• Reported deliverables and outcomes include: CIPC, MCA and UK documents are shared with the service team for tagging after the QC and HTML conversion process.</t>
        </is>
      </c>
      <c r="EZ66" s="53" t="inlineStr">
        <is>
          <t>• Current capabilities: Ai tool skill; Communication skills; Tools / software used: HTML - Editor | Abbyy FineReader, Microsoft Web Expression · CIPC HTML conversion [Teams chat].</t>
        </is>
      </c>
      <c r="FA66" s="53" t="inlineStr">
        <is>
          <t>• Communications skills.
• Presentation skills.</t>
        </is>
      </c>
      <c r="FB66" s="53" t="inlineStr">
        <is>
          <t>• Key challenges: Quality of report.
• Support required: No input received.</t>
        </is>
      </c>
      <c r="FC66" s="53" t="n"/>
      <c r="FD66" s="53" t="n"/>
      <c r="FE66"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6" s="56" t="n"/>
      <c r="FG66" s="56" t="n"/>
      <c r="FH66" s="56" t="n"/>
      <c r="FI66" s="56" t="n"/>
      <c r="FJ66" s="56" t="inlineStr">
        <is>
          <t>Received · manager annual</t>
        </is>
      </c>
      <c r="FK66" s="56" t="inlineStr">
        <is>
          <t>CARBON Mapping Master</t>
        </is>
      </c>
      <c r="FL66" s="56" t="n">
        <v>19</v>
      </c>
      <c r="FM66" s="56" t="inlineStr">
        <is>
          <t>• Role / sub-team: Digitizing Assisted Services.</t>
        </is>
      </c>
      <c r="FN66" s="56" t="inlineStr">
        <is>
          <t>• Key responsibilities include: Html conversion and cipc,uk,mca conversions and Qc Esma Qc.
• Reported deliverables and outcomes include: CIPC, MCA and UK documents are shared with the service team for tagging after the QC and HTML conversion process.</t>
        </is>
      </c>
      <c r="FO66" s="56" t="inlineStr">
        <is>
          <t>• Current capabilities: Ai tool skill; Communication skills; Tools / software used: HTML - Editor | Abbyy FineReader, Microsoft Web Expression · CIPC HTML conversion [Teams chat].</t>
        </is>
      </c>
      <c r="FP66" s="56" t="inlineStr">
        <is>
          <t>• Communications skills.
• Presentation skills.</t>
        </is>
      </c>
      <c r="FQ66" s="56" t="inlineStr">
        <is>
          <t>• Key challenges: Quality of report.
• Support required: No input received.</t>
        </is>
      </c>
      <c r="FR66" s="56" t="inlineStr">
        <is>
          <t>Complexity: Evidence reads like A3: QC of converted files across Carbon markets, ESMA QC; trains teammates → moved up 0.5
Autonomy: Evidence reads like A2: States 'Not applicable'; QC and corrections are routine calls → matches the start
Accountability: Evidence reads like A2: own survey / KRA answers · summarised by the rater; not quoted → matches the start
Leadership: Evidence reads like A3: Lists training teammates as a main responsibility → moved up 1
Business Impact: Moved +0.5: the survey / manager mapping marks it business-critical.</t>
        </is>
      </c>
      <c r="FS66"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6" s="56" t="inlineStr">
        <is>
          <t>Self-identified: Product &amp; tool knowledge · Communication &amp; presentation
For the next role: Product &amp; tool knowledge · Communication &amp; presentation</t>
        </is>
      </c>
      <c r="FU66" s="56" t="inlineStr">
        <is>
          <t>Per-person summary · CARBON Mapping Master</t>
        </is>
      </c>
    </row>
    <row r="67" ht="90" customHeight="1">
      <c r="A67" s="51" t="inlineStr">
        <is>
          <t>◂ Back</t>
        </is>
      </c>
      <c r="B67" s="29" t="inlineStr">
        <is>
          <t>Mapped</t>
        </is>
      </c>
      <c r="C67" s="28" t="inlineStr">
        <is>
          <t>CARBON</t>
        </is>
      </c>
      <c r="D67" s="29" t="inlineStr">
        <is>
          <t>IRISC286</t>
        </is>
      </c>
      <c r="E67" s="29" t="inlineStr">
        <is>
          <t>Bhavesh Gusain</t>
        </is>
      </c>
      <c r="F67" s="29" t="inlineStr">
        <is>
          <t>Digitizing</t>
        </is>
      </c>
      <c r="G67" s="29" t="inlineStr">
        <is>
          <t>Consultant</t>
        </is>
      </c>
      <c r="H67" s="29" t="inlineStr">
        <is>
          <t>Senior Digitization Associate</t>
        </is>
      </c>
      <c r="I67" s="29" t="inlineStr">
        <is>
          <t>L3 – Professional / Associate</t>
        </is>
      </c>
      <c r="J67" s="29" t="inlineStr">
        <is>
          <t>A3</t>
        </is>
      </c>
      <c r="K67" s="29" t="inlineStr">
        <is>
          <t>▲ Up</t>
        </is>
      </c>
      <c r="L67" s="29" t="inlineStr">
        <is>
          <t>Data Operations &amp; Digitization</t>
        </is>
      </c>
      <c r="M67" s="29" t="inlineStr">
        <is>
          <t>Document Conversion, Formatting &amp; Web Publishing</t>
        </is>
      </c>
      <c r="N67" s="29" t="n"/>
      <c r="O67" s="29" t="n">
        <v>20</v>
      </c>
      <c r="P67" s="28" t="inlineStr">
        <is>
          <t>P2</t>
        </is>
      </c>
      <c r="Q67" s="29" t="inlineStr">
        <is>
          <t>Developing</t>
        </is>
      </c>
      <c r="R67" s="29" t="inlineStr">
        <is>
          <t>3 Apply</t>
        </is>
      </c>
      <c r="S67" s="29" t="inlineStr">
        <is>
          <t>2–4 yrs</t>
        </is>
      </c>
      <c r="T67" s="29" t="inlineStr">
        <is>
          <t>3–5 · 2–5</t>
        </is>
      </c>
      <c r="U67" s="29" t="inlineStr">
        <is>
          <t>Senior Associate</t>
        </is>
      </c>
      <c r="V67" s="29" t="inlineStr">
        <is>
          <t>DataTracks: Senior Associate · 2–5 yrs · Accenture Operations: L10 Senior Analyst · IRIS Vs Competitor Benchmark — operations roles: Senior Processor / QC</t>
        </is>
      </c>
      <c r="W67" s="29" t="inlineStr">
        <is>
          <t>COPC CX Standard · leadership &amp; planning, people, processes, performance; ISO 9001; Lean / Six Sigma</t>
        </is>
      </c>
      <c r="X67" s="29" t="inlineStr">
        <is>
          <t>Core 2 · Future 2 · Functional 3 · Leadership not scored</t>
        </is>
      </c>
      <c r="Y67" s="52" t="n">
        <v>308</v>
      </c>
      <c r="Z67" s="53" t="inlineStr">
        <is>
          <t>IRISC286</t>
        </is>
      </c>
      <c r="AA67" s="53" t="inlineStr">
        <is>
          <t>On Contract</t>
        </is>
      </c>
      <c r="AB67" s="53" t="inlineStr">
        <is>
          <t>Active</t>
        </is>
      </c>
      <c r="AC67" s="53" t="inlineStr">
        <is>
          <t>Bhavesh Gusain</t>
        </is>
      </c>
      <c r="AD67" s="54" t="n">
        <v>45343</v>
      </c>
      <c r="AE67" s="53" t="inlineStr">
        <is>
          <t>Consultant</t>
        </is>
      </c>
      <c r="AF67" s="53" t="inlineStr">
        <is>
          <t>B.Com</t>
        </is>
      </c>
      <c r="AG67" s="53" t="inlineStr">
        <is>
          <t>Janardan Bale</t>
        </is>
      </c>
      <c r="AH67" s="53" t="inlineStr">
        <is>
          <t>N-7</t>
        </is>
      </c>
      <c r="AI67" s="53" t="inlineStr">
        <is>
          <t>Individual Contributor</t>
        </is>
      </c>
      <c r="AJ67" s="53" t="inlineStr">
        <is>
          <t>0 years, 0 months, 0 days</t>
        </is>
      </c>
      <c r="AK67" s="53" t="inlineStr">
        <is>
          <t>2 years, 6 months, 4 days</t>
        </is>
      </c>
      <c r="AL67" s="53" t="inlineStr">
        <is>
          <t>Regtech</t>
        </is>
      </c>
      <c r="AM67" s="53" t="inlineStr">
        <is>
          <t>CARBON</t>
        </is>
      </c>
      <c r="AN67" s="53" t="inlineStr">
        <is>
          <t>Digitizing</t>
        </is>
      </c>
      <c r="AO67" s="53" t="inlineStr">
        <is>
          <t>Digitizing Assisted services</t>
        </is>
      </c>
      <c r="AP67" s="53" t="inlineStr">
        <is>
          <t>No</t>
        </is>
      </c>
      <c r="AQ67" s="53" t="inlineStr">
        <is>
          <t>Professional Services</t>
        </is>
      </c>
      <c r="AR67" s="53" t="inlineStr">
        <is>
          <t>OCR/Image procesing</t>
        </is>
      </c>
      <c r="AS67" s="53" t="inlineStr">
        <is>
          <t>Non-technical</t>
        </is>
      </c>
      <c r="AT67" s="53" t="n">
        <v>20</v>
      </c>
      <c r="AU67" s="53" t="inlineStr">
        <is>
          <t>Covered</t>
        </is>
      </c>
      <c r="AV67" s="53" t="inlineStr">
        <is>
          <t>IRISC286</t>
        </is>
      </c>
      <c r="AW67" s="53" t="inlineStr">
        <is>
          <t>Bhavesh Gusain</t>
        </is>
      </c>
      <c r="AX67" s="53" t="inlineStr">
        <is>
          <t>Digitizing</t>
        </is>
      </c>
      <c r="AY67" s="53" t="inlineStr">
        <is>
          <t>Professional Services</t>
        </is>
      </c>
      <c r="AZ67" s="53" t="inlineStr">
        <is>
          <t>Digitization &amp; Image Processing</t>
        </is>
      </c>
      <c r="BA67" s="53" t="n"/>
      <c r="BB67" s="53" t="n"/>
      <c r="BC67" s="53" t="inlineStr">
        <is>
          <t>On Contract</t>
        </is>
      </c>
      <c r="BD67" s="53" t="inlineStr">
        <is>
          <t>Janardan Bale</t>
        </is>
      </c>
      <c r="BE67" s="53" t="inlineStr">
        <is>
          <t>Janardan Krishna Bale</t>
        </is>
      </c>
      <c r="BF67" s="53" t="inlineStr">
        <is>
          <t>No</t>
        </is>
      </c>
      <c r="BG67" s="53" t="inlineStr">
        <is>
          <t>Consultant</t>
        </is>
      </c>
      <c r="BH67" s="53" t="inlineStr">
        <is>
          <t>Consultant</t>
        </is>
      </c>
      <c r="BI67" s="53" t="inlineStr">
        <is>
          <t>No</t>
        </is>
      </c>
      <c r="BJ67" s="53" t="inlineStr">
        <is>
          <t>—</t>
        </is>
      </c>
      <c r="BK67" s="53" t="inlineStr">
        <is>
          <t>—</t>
        </is>
      </c>
      <c r="BL67" s="53" t="inlineStr">
        <is>
          <t>—</t>
        </is>
      </c>
      <c r="BM67" s="53" t="inlineStr">
        <is>
          <t>Not a manager</t>
        </is>
      </c>
      <c r="BN67" s="53" t="inlineStr">
        <is>
          <t>—</t>
        </is>
      </c>
      <c r="BO67" s="53" t="inlineStr">
        <is>
          <t>—</t>
        </is>
      </c>
      <c r="BP67" s="53" t="inlineStr">
        <is>
          <t>—</t>
        </is>
      </c>
      <c r="BQ67" s="53" t="inlineStr">
        <is>
          <t>Not a manager</t>
        </is>
      </c>
      <c r="BR67" s="53" t="inlineStr">
        <is>
          <t>—</t>
        </is>
      </c>
      <c r="BS67" s="53" t="inlineStr">
        <is>
          <t>L3 – Professional / Associate</t>
        </is>
      </c>
      <c r="BT67" s="53" t="inlineStr">
        <is>
          <t>L3 – Professional / Associate</t>
        </is>
      </c>
      <c r="BU67" s="53" t="inlineStr">
        <is>
          <t>No designation change — current record value carried forward</t>
        </is>
      </c>
      <c r="BV67"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7" s="53" t="n"/>
      <c r="BX67" s="53" t="inlineStr">
        <is>
          <t>UK - HMRC; USA - SEC · On Contract.</t>
        </is>
      </c>
      <c r="BY67" s="53" t="n"/>
      <c r="BZ67" s="53" t="inlineStr">
        <is>
          <t>IRISC286</t>
        </is>
      </c>
      <c r="CA67" s="53" t="inlineStr">
        <is>
          <t>On Contract</t>
        </is>
      </c>
      <c r="CB67" s="53" t="inlineStr">
        <is>
          <t>Active</t>
        </is>
      </c>
      <c r="CC67" s="53" t="inlineStr">
        <is>
          <t>Bhavesh Gusain</t>
        </is>
      </c>
      <c r="CD67" s="54" t="n">
        <v>45343</v>
      </c>
      <c r="CE67" s="53" t="inlineStr">
        <is>
          <t>Consultant</t>
        </is>
      </c>
      <c r="CF67" s="53" t="n"/>
      <c r="CG67" s="53" t="inlineStr">
        <is>
          <t>Professional Services</t>
        </is>
      </c>
      <c r="CH67" s="53" t="inlineStr">
        <is>
          <t>Digitization &amp; Image Processing</t>
        </is>
      </c>
      <c r="CI67" s="53" t="inlineStr">
        <is>
          <t>Consultant</t>
        </is>
      </c>
      <c r="CJ67" s="53" t="inlineStr">
        <is>
          <t>L3 – Professional / Associate</t>
        </is>
      </c>
      <c r="CK67" s="53" t="inlineStr">
        <is>
          <t>Janardan Bale</t>
        </is>
      </c>
      <c r="CL67" s="53" t="inlineStr">
        <is>
          <t>N-7</t>
        </is>
      </c>
      <c r="CM67" s="53" t="inlineStr">
        <is>
          <t>Individual Contributor</t>
        </is>
      </c>
      <c r="CN67" s="53" t="inlineStr">
        <is>
          <t>Regtech</t>
        </is>
      </c>
      <c r="CO67" s="53" t="inlineStr">
        <is>
          <t>Digitizing</t>
        </is>
      </c>
      <c r="CP67" s="53" t="inlineStr">
        <is>
          <t>2 years, 3 months, 30 days</t>
        </is>
      </c>
      <c r="CQ67" s="53" t="inlineStr">
        <is>
          <t>Consultant</t>
        </is>
      </c>
      <c r="CR67" s="53" t="n"/>
      <c r="CS67" s="53" t="n">
        <v>3</v>
      </c>
      <c r="CT67" s="53" t="inlineStr">
        <is>
          <t>Medium</t>
        </is>
      </c>
      <c r="CU67" s="53" t="inlineStr">
        <is>
          <t>Core Contributor</t>
        </is>
      </c>
      <c r="CV67" s="53" t="inlineStr">
        <is>
          <t>No</t>
        </is>
      </c>
      <c r="CW67" s="53" t="inlineStr">
        <is>
          <t>No</t>
        </is>
      </c>
      <c r="CX67" s="53" t="inlineStr">
        <is>
          <t>Yes</t>
        </is>
      </c>
      <c r="CY67" s="53" t="n"/>
      <c r="CZ67" s="53" t="n"/>
      <c r="DA67" s="53" t="n"/>
      <c r="DB67" s="53" t="n"/>
      <c r="DC67" s="53" t="n"/>
      <c r="DD67" s="53" t="n"/>
      <c r="DE67" s="53" t="n"/>
      <c r="DF67" s="53" t="n"/>
      <c r="DG67" s="53" t="n"/>
      <c r="DH67" s="53" t="n"/>
      <c r="DI67" s="53" t="n"/>
      <c r="DJ67" s="53" t="n"/>
      <c r="DK67" s="53" t="n"/>
      <c r="DL67" s="53" t="n"/>
      <c r="DM67" s="53" t="n"/>
      <c r="DN67" s="53" t="n"/>
      <c r="DO67" s="53" t="n"/>
      <c r="DP67" s="53" t="n"/>
      <c r="DQ67" s="53" t="n"/>
      <c r="DR67" s="53" t="n"/>
      <c r="DS67" s="53" t="n"/>
      <c r="DT67" s="53" t="n"/>
      <c r="DU67" s="53" t="n"/>
      <c r="DV67" s="53" t="n"/>
      <c r="DW67" s="53" t="n"/>
      <c r="DX67" s="53" t="n"/>
      <c r="DY67" s="53" t="n"/>
      <c r="DZ67" s="53" t="n"/>
      <c r="EA67" s="53" t="n"/>
      <c r="EB67" s="53" t="n"/>
      <c r="EC67" s="53" t="n"/>
      <c r="ED67" s="53" t="n"/>
      <c r="EE67" s="53" t="n"/>
      <c r="EF67" s="53" t="n"/>
      <c r="EG67" s="53" t="n"/>
      <c r="EH67" s="53" t="n"/>
      <c r="EI67" s="53" t="n"/>
      <c r="EJ67" s="53" t="n"/>
      <c r="EK67" s="53" t="n"/>
      <c r="EL67" s="53" t="n"/>
      <c r="EM67" s="53" t="n"/>
      <c r="EN67" s="53" t="n"/>
      <c r="EO67" s="53" t="n"/>
      <c r="EP67" s="53" t="n"/>
      <c r="EQ67" s="53" t="n"/>
      <c r="ER67" s="53" t="n"/>
      <c r="ES67" s="53" t="n"/>
      <c r="ET67" s="53" t="n"/>
      <c r="EU67" s="53" t="n"/>
      <c r="EV67" s="53" t="n"/>
      <c r="EW67" s="52" t="n"/>
      <c r="EX67" s="53" t="inlineStr">
        <is>
          <t>• Role / sub-team: Digitizing Assited Services.</t>
        </is>
      </c>
      <c r="EY67" s="53" t="inlineStr">
        <is>
          <t>• Key responsibilities include: US SEC &amp; US DM formatting and review and UK HTML conversion from word document.
• Reported deliverables and outcomes include: Once file formatting completed will send the file to service team.</t>
        </is>
      </c>
      <c r="EZ67" s="53" t="inlineStr">
        <is>
          <t>• Current capabilities: Communication skills; Tools / software used: Microsoft Web Expression [Teams chat].</t>
        </is>
      </c>
      <c r="FA67" s="53" t="inlineStr">
        <is>
          <t>• Communications skills.
• Presentation skills.</t>
        </is>
      </c>
      <c r="FB67" s="53" t="inlineStr">
        <is>
          <t>• Key challenges: Quality of report, RDP issue.
• Support required: No input received.</t>
        </is>
      </c>
      <c r="FC67" s="53" t="n"/>
      <c r="FD67" s="53" t="n"/>
      <c r="FE67"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7" s="56" t="n"/>
      <c r="FG67" s="56" t="n"/>
      <c r="FH67" s="56" t="n"/>
      <c r="FI67" s="56" t="n"/>
      <c r="FJ67" s="56" t="inlineStr">
        <is>
          <t>Received · manager annual</t>
        </is>
      </c>
      <c r="FK67" s="56" t="inlineStr">
        <is>
          <t>CARBON Mapping Master</t>
        </is>
      </c>
      <c r="FL67" s="56" t="n">
        <v>20</v>
      </c>
      <c r="FM67" s="56" t="inlineStr">
        <is>
          <t>• Role / sub-team: Digitizing Assited Services.</t>
        </is>
      </c>
      <c r="FN67" s="56" t="inlineStr">
        <is>
          <t>• Key responsibilities include: US SEC &amp; US DM formatting and review and UK HTML conversion from word document.
• Reported deliverables and outcomes include: Once file formatting completed will send the file to service team.</t>
        </is>
      </c>
      <c r="FO67" s="56" t="inlineStr">
        <is>
          <t>• Current capabilities: Communication skills; Tools / software used: Microsoft Web Expression [Teams chat].</t>
        </is>
      </c>
      <c r="FP67" s="56" t="inlineStr">
        <is>
          <t>• Communications skills.
• Presentation skills.</t>
        </is>
      </c>
      <c r="FQ67" s="56" t="inlineStr">
        <is>
          <t>• Key challenges: Quality of report, RDP issue.
• Support required: No input received.</t>
        </is>
      </c>
      <c r="FR67" s="56" t="inlineStr">
        <is>
          <t>Complexity: Evidence reads like A2: Word formatting, HTML / PDF conversion and QC for US SEC, US DM, UK → matches the start
Autonomy: Evidence reads like A2: own survey / KRA answers · summarised by the rater; not quoted → matches the start
Accountability: Evidence reads like A2: Accuracy and on-time delivery of own formatted and converted documents → matches the start
Leadership: Evidence reads like A1: No guidance or leadership of others described → matches the start
Business Impact: Moved +0.5: the survey / manager mapping marks it business-critical.</t>
        </is>
      </c>
      <c r="FS6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7" s="56" t="inlineStr">
        <is>
          <t>Self-identified: AI / automation · Broader exposure &amp; ownership
For the next role: AI / automation · Broader exposure &amp; ownership</t>
        </is>
      </c>
      <c r="FU67" s="56" t="inlineStr">
        <is>
          <t>Per-person summary · CARBON Mapping Master</t>
        </is>
      </c>
    </row>
    <row r="68" ht="90" customHeight="1">
      <c r="A68" s="51" t="inlineStr">
        <is>
          <t>◂ Back</t>
        </is>
      </c>
      <c r="B68" s="29" t="inlineStr">
        <is>
          <t>Mapped</t>
        </is>
      </c>
      <c r="C68" s="28" t="inlineStr">
        <is>
          <t>CARBON</t>
        </is>
      </c>
      <c r="D68" s="29" t="inlineStr">
        <is>
          <t>IRISC237</t>
        </is>
      </c>
      <c r="E68" s="29" t="inlineStr">
        <is>
          <t>Deepak Nirmal</t>
        </is>
      </c>
      <c r="F68" s="29" t="inlineStr">
        <is>
          <t>Digitizing</t>
        </is>
      </c>
      <c r="G68" s="29" t="inlineStr">
        <is>
          <t>Consultant</t>
        </is>
      </c>
      <c r="H68" s="29" t="inlineStr">
        <is>
          <t>Senior Digitization Associate</t>
        </is>
      </c>
      <c r="I68" s="29" t="inlineStr">
        <is>
          <t>L3 – Professional / Associate</t>
        </is>
      </c>
      <c r="J68" s="29" t="inlineStr">
        <is>
          <t>A3</t>
        </is>
      </c>
      <c r="K68" s="29" t="inlineStr">
        <is>
          <t>▲ Up</t>
        </is>
      </c>
      <c r="L68" s="29" t="inlineStr">
        <is>
          <t>Data Operations &amp; Digitization</t>
        </is>
      </c>
      <c r="M68" s="29" t="inlineStr">
        <is>
          <t>Document Conversion, Formatting &amp; Web Publishing</t>
        </is>
      </c>
      <c r="N68" s="29" t="n"/>
      <c r="O68" s="29" t="n">
        <v>20</v>
      </c>
      <c r="P68" s="28" t="inlineStr">
        <is>
          <t>P2</t>
        </is>
      </c>
      <c r="Q68" s="29" t="inlineStr">
        <is>
          <t>Developing</t>
        </is>
      </c>
      <c r="R68" s="29" t="inlineStr">
        <is>
          <t>3 Apply</t>
        </is>
      </c>
      <c r="S68" s="29" t="inlineStr">
        <is>
          <t>2–4 yrs</t>
        </is>
      </c>
      <c r="T68" s="29" t="inlineStr">
        <is>
          <t>3–5 · 2–5</t>
        </is>
      </c>
      <c r="U68" s="29" t="inlineStr">
        <is>
          <t>Senior Associate</t>
        </is>
      </c>
      <c r="V68" s="29" t="inlineStr">
        <is>
          <t>DataTracks: Senior Associate · 2–5 yrs · Accenture Operations: L10 Senior Analyst · IRIS Vs Competitor Benchmark — operations roles: Senior Processor / QC</t>
        </is>
      </c>
      <c r="W68" s="29" t="inlineStr">
        <is>
          <t>COPC CX Standard · leadership &amp; planning, people, processes, performance; ISO 9001; Lean / Six Sigma</t>
        </is>
      </c>
      <c r="X68" s="29" t="inlineStr">
        <is>
          <t>Core 2 · Future 2 · Functional 3 · Leadership not scored</t>
        </is>
      </c>
      <c r="Y68" s="52" t="n">
        <v>245</v>
      </c>
      <c r="Z68" s="53" t="inlineStr">
        <is>
          <t>IRISC237</t>
        </is>
      </c>
      <c r="AA68" s="53" t="inlineStr">
        <is>
          <t>On Contract</t>
        </is>
      </c>
      <c r="AB68" s="53" t="inlineStr">
        <is>
          <t>Active</t>
        </is>
      </c>
      <c r="AC68" s="53" t="inlineStr">
        <is>
          <t>Deepak Nirmal</t>
        </is>
      </c>
      <c r="AD68" s="54" t="n">
        <v>44844</v>
      </c>
      <c r="AE68" s="53" t="inlineStr">
        <is>
          <t>Consultant</t>
        </is>
      </c>
      <c r="AF68" s="53" t="inlineStr">
        <is>
          <t>Undergraduate</t>
        </is>
      </c>
      <c r="AG68" s="53" t="inlineStr">
        <is>
          <t>Janardan Bale</t>
        </is>
      </c>
      <c r="AH68" s="53" t="inlineStr">
        <is>
          <t>N-7</t>
        </is>
      </c>
      <c r="AI68" s="53" t="inlineStr">
        <is>
          <t>Individual Contributor</t>
        </is>
      </c>
      <c r="AJ68" s="53" t="inlineStr">
        <is>
          <t>7 years, 0 months, 0 days</t>
        </is>
      </c>
      <c r="AK68" s="53" t="inlineStr">
        <is>
          <t>3 years, 10 months, 15 days</t>
        </is>
      </c>
      <c r="AL68" s="53" t="inlineStr">
        <is>
          <t>Regtech</t>
        </is>
      </c>
      <c r="AM68" s="53" t="inlineStr">
        <is>
          <t>CARBON</t>
        </is>
      </c>
      <c r="AN68" s="53" t="inlineStr">
        <is>
          <t>Digitizing</t>
        </is>
      </c>
      <c r="AO68" s="53" t="inlineStr">
        <is>
          <t>Digitizing Assisted services</t>
        </is>
      </c>
      <c r="AP68" s="53" t="inlineStr">
        <is>
          <t>No</t>
        </is>
      </c>
      <c r="AQ68" s="53" t="inlineStr">
        <is>
          <t>Professional Services</t>
        </is>
      </c>
      <c r="AR68" s="53" t="inlineStr">
        <is>
          <t>OCR/Image procesing</t>
        </is>
      </c>
      <c r="AS68" s="53" t="inlineStr">
        <is>
          <t>Non-technical</t>
        </is>
      </c>
      <c r="AT68" s="53" t="n">
        <v>20</v>
      </c>
      <c r="AU68" s="53" t="inlineStr">
        <is>
          <t>Covered</t>
        </is>
      </c>
      <c r="AV68" s="53" t="inlineStr">
        <is>
          <t>IRISC237</t>
        </is>
      </c>
      <c r="AW68" s="53" t="inlineStr">
        <is>
          <t>Deepak Nirmal</t>
        </is>
      </c>
      <c r="AX68" s="53" t="inlineStr">
        <is>
          <t>Digitizing</t>
        </is>
      </c>
      <c r="AY68" s="53" t="inlineStr">
        <is>
          <t>Professional Services</t>
        </is>
      </c>
      <c r="AZ68" s="53" t="inlineStr">
        <is>
          <t>Digitization &amp; Image Processing</t>
        </is>
      </c>
      <c r="BA68" s="53" t="n"/>
      <c r="BB68" s="53" t="n"/>
      <c r="BC68" s="53" t="inlineStr">
        <is>
          <t>On Contract</t>
        </is>
      </c>
      <c r="BD68" s="53" t="inlineStr">
        <is>
          <t>Janardan Bale</t>
        </is>
      </c>
      <c r="BE68" s="53" t="inlineStr">
        <is>
          <t>Janardan Krishna Bale</t>
        </is>
      </c>
      <c r="BF68" s="53" t="inlineStr">
        <is>
          <t>No</t>
        </is>
      </c>
      <c r="BG68" s="53" t="inlineStr">
        <is>
          <t>Consultant</t>
        </is>
      </c>
      <c r="BH68" s="53" t="inlineStr">
        <is>
          <t>Senior Consultant</t>
        </is>
      </c>
      <c r="BI68" s="53" t="inlineStr">
        <is>
          <t>Yes</t>
        </is>
      </c>
      <c r="BJ68" s="53" t="inlineStr">
        <is>
          <t>—</t>
        </is>
      </c>
      <c r="BK68" s="53" t="inlineStr">
        <is>
          <t>—</t>
        </is>
      </c>
      <c r="BL68" s="53" t="inlineStr">
        <is>
          <t>—</t>
        </is>
      </c>
      <c r="BM68" s="53" t="inlineStr">
        <is>
          <t>Not a manager</t>
        </is>
      </c>
      <c r="BN68" s="53" t="inlineStr">
        <is>
          <t>—</t>
        </is>
      </c>
      <c r="BO68" s="53" t="inlineStr">
        <is>
          <t>—</t>
        </is>
      </c>
      <c r="BP68" s="53" t="inlineStr">
        <is>
          <t>—</t>
        </is>
      </c>
      <c r="BQ68" s="53" t="inlineStr">
        <is>
          <t>Not a manager</t>
        </is>
      </c>
      <c r="BR68" s="53" t="inlineStr">
        <is>
          <t>—</t>
        </is>
      </c>
      <c r="BS68" s="53" t="inlineStr">
        <is>
          <t>L3 – Professional / Associate</t>
        </is>
      </c>
      <c r="BT68" s="53" t="inlineStr">
        <is>
          <t>L3 – Professional / Associate</t>
        </is>
      </c>
      <c r="BU68" s="53" t="inlineStr">
        <is>
          <t>Designation refined from Raw tab Comments column · this update</t>
        </is>
      </c>
      <c r="BV68"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68" s="53" t="n"/>
      <c r="BX68" s="53" t="inlineStr">
        <is>
          <t>South Africa - CIPC; USA - SEC · On Contract.</t>
        </is>
      </c>
      <c r="BY68" s="53" t="n"/>
      <c r="BZ68" s="53" t="inlineStr">
        <is>
          <t>IRISC237</t>
        </is>
      </c>
      <c r="CA68" s="53" t="inlineStr">
        <is>
          <t>On Contract</t>
        </is>
      </c>
      <c r="CB68" s="53" t="inlineStr">
        <is>
          <t>Active</t>
        </is>
      </c>
      <c r="CC68" s="53" t="inlineStr">
        <is>
          <t>Deepak Nirmal</t>
        </is>
      </c>
      <c r="CD68" s="54" t="n">
        <v>44844</v>
      </c>
      <c r="CE68" s="53" t="inlineStr">
        <is>
          <t>Consultant</t>
        </is>
      </c>
      <c r="CF68" s="53" t="n"/>
      <c r="CG68" s="53" t="inlineStr">
        <is>
          <t>Professional Services</t>
        </is>
      </c>
      <c r="CH68" s="53" t="inlineStr">
        <is>
          <t>Digitization &amp; Image Processing</t>
        </is>
      </c>
      <c r="CI68" s="53" t="inlineStr">
        <is>
          <t>Consultant</t>
        </is>
      </c>
      <c r="CJ68" s="53" t="inlineStr">
        <is>
          <t>L3 – Professional / Associate</t>
        </is>
      </c>
      <c r="CK68" s="53" t="inlineStr">
        <is>
          <t>Janardan Bale</t>
        </is>
      </c>
      <c r="CL68" s="53" t="inlineStr">
        <is>
          <t>N-7</t>
        </is>
      </c>
      <c r="CM68" s="53" t="inlineStr">
        <is>
          <t>Individual Contributor</t>
        </is>
      </c>
      <c r="CN68" s="53" t="inlineStr">
        <is>
          <t>Regtech</t>
        </is>
      </c>
      <c r="CO68" s="53" t="inlineStr">
        <is>
          <t>Digitizing</t>
        </is>
      </c>
      <c r="CP68" s="53" t="inlineStr">
        <is>
          <t>10 years, 8 months, 10 days</t>
        </is>
      </c>
      <c r="CQ68" s="53" t="inlineStr">
        <is>
          <t>Senior Consultant · review – experience supports senior band</t>
        </is>
      </c>
      <c r="CR68" s="53" t="n"/>
      <c r="CS68" s="53" t="n">
        <v>3</v>
      </c>
      <c r="CT68" s="53" t="inlineStr">
        <is>
          <t>Medium</t>
        </is>
      </c>
      <c r="CU68" s="53" t="inlineStr">
        <is>
          <t>Core Contributor</t>
        </is>
      </c>
      <c r="CV68" s="53" t="inlineStr">
        <is>
          <t>No</t>
        </is>
      </c>
      <c r="CW68" s="53" t="inlineStr">
        <is>
          <t>No</t>
        </is>
      </c>
      <c r="CX68" s="53" t="inlineStr">
        <is>
          <t>Yes</t>
        </is>
      </c>
      <c r="CY68" s="53" t="n"/>
      <c r="CZ68" s="53" t="n"/>
      <c r="DA68" s="53" t="n"/>
      <c r="DB68" s="53" t="inlineStr">
        <is>
          <t>Title to be changed to Senior Services Specialist</t>
        </is>
      </c>
      <c r="DC68" s="53" t="n"/>
      <c r="DD68" s="53" t="n"/>
      <c r="DE68" s="53" t="n"/>
      <c r="DF68" s="53" t="n"/>
      <c r="DG68" s="53" t="n"/>
      <c r="DH68" s="53" t="n"/>
      <c r="DI68" s="53" t="n"/>
      <c r="DJ68" s="53" t="n"/>
      <c r="DK68" s="53" t="n"/>
      <c r="DL68" s="53" t="n"/>
      <c r="DM68" s="53" t="n"/>
      <c r="DN68" s="53" t="n"/>
      <c r="DO68" s="53" t="n"/>
      <c r="DP68" s="53" t="n"/>
      <c r="DQ68" s="53" t="n"/>
      <c r="DR68" s="53" t="n"/>
      <c r="DS68" s="53" t="n"/>
      <c r="DT68" s="53" t="n"/>
      <c r="DU68" s="53" t="n"/>
      <c r="DV68" s="53" t="n"/>
      <c r="DW68" s="53" t="n"/>
      <c r="DX68" s="53" t="n"/>
      <c r="DY68" s="53" t="n"/>
      <c r="DZ68" s="53" t="n"/>
      <c r="EA68" s="53" t="n"/>
      <c r="EB68" s="53" t="n"/>
      <c r="EC68" s="53" t="n"/>
      <c r="ED68" s="53" t="n"/>
      <c r="EE68" s="53" t="n"/>
      <c r="EF68" s="53" t="n"/>
      <c r="EG68" s="53" t="n"/>
      <c r="EH68" s="53" t="n"/>
      <c r="EI68" s="53" t="n"/>
      <c r="EJ68" s="53" t="n"/>
      <c r="EK68" s="53" t="n"/>
      <c r="EL68" s="53" t="n"/>
      <c r="EM68" s="53" t="n"/>
      <c r="EN68" s="53" t="n"/>
      <c r="EO68" s="53" t="n"/>
      <c r="EP68" s="53" t="n"/>
      <c r="EQ68" s="53" t="n"/>
      <c r="ER68" s="53" t="n"/>
      <c r="ES68" s="53" t="n"/>
      <c r="ET68" s="53" t="n"/>
      <c r="EU68" s="53" t="n"/>
      <c r="EV68" s="53" t="n"/>
      <c r="EW68" s="52" t="n"/>
      <c r="EX68" s="53" t="inlineStr">
        <is>
          <t>• Role / sub-team: Digitizing Assited Services.</t>
        </is>
      </c>
      <c r="EY68" s="53"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EZ68" s="53" t="inlineStr">
        <is>
          <t>• Current capabilities: Using Copilot for problem; Problem-solving mindset; Willingness to learn; Tools / software used: Both | Microsoft Web Expression · used for CIPC HTML conversion [Teams chat].</t>
        </is>
      </c>
      <c r="FA68" s="53" t="inlineStr">
        <is>
          <t>• Communications skills.
• Presentation skills.</t>
        </is>
      </c>
      <c r="FB68" s="53" t="inlineStr">
        <is>
          <t>• Key challenges: Quality of report, RDP issue.
• Support required: No input received.</t>
        </is>
      </c>
      <c r="FC68" s="53" t="n"/>
      <c r="FD68" s="53" t="n"/>
      <c r="FE68"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68" s="56" t="n"/>
      <c r="FG68" s="56" t="n"/>
      <c r="FH68" s="56" t="n"/>
      <c r="FI68" s="56" t="n"/>
      <c r="FJ68" s="56" t="inlineStr">
        <is>
          <t>Received · manager annual</t>
        </is>
      </c>
      <c r="FK68" s="56" t="inlineStr">
        <is>
          <t>CARBON Mapping Master</t>
        </is>
      </c>
      <c r="FL68" s="56" t="n">
        <v>20</v>
      </c>
      <c r="FM68" s="56" t="inlineStr">
        <is>
          <t>• Role / sub-team: Digitizing Assited Services.</t>
        </is>
      </c>
      <c r="FN68" s="56"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FO68" s="56" t="inlineStr">
        <is>
          <t>• Current capabilities: Using Copilot for problem; Problem-solving mindset; Willingness to learn; Tools / software used: Both | Microsoft Web Expression · used for CIPC HTML conversion [Teams chat].</t>
        </is>
      </c>
      <c r="FP68" s="56" t="inlineStr">
        <is>
          <t>• Communications skills.
• Presentation skills.</t>
        </is>
      </c>
      <c r="FQ68" s="56" t="inlineStr">
        <is>
          <t>• Key challenges: Quality of report, RDP issue.
• Support required: No input received.</t>
        </is>
      </c>
      <c r="FR68" s="56" t="inlineStr">
        <is>
          <t>Complexity: Evidence reads like A2: own survey / KRA answers · summarised by the rater; not quoted → matches the start
Autonomy: Evidence reads like A2: Handles US SEC formatting and CIPC conversions independently; follows guidelines → matches the start
Accountability: Evidence reads like A2: Accuracy and quality of own formatting and conversion work → matches the start
Leadership: Evidence reads like A1: No guidance or leadership of others described → matches the start
Business Impact: Moved +0.5: the survey / manager mapping marks it business-critical.</t>
        </is>
      </c>
      <c r="FS6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8" s="56" t="inlineStr">
        <is>
          <t>Self-identified: AI / automation · Domain, regulatory &amp; XBRL · Communication &amp; presentation
For the next role: AI / automation · Domain, regulatory &amp; XBRL · Communication &amp; presentation</t>
        </is>
      </c>
      <c r="FU68" s="56" t="inlineStr">
        <is>
          <t>Per-person summary · CARBON Mapping Master</t>
        </is>
      </c>
    </row>
    <row r="69" ht="90" customHeight="1">
      <c r="A69" s="51" t="inlineStr">
        <is>
          <t>◂ Back</t>
        </is>
      </c>
      <c r="B69" s="29" t="inlineStr">
        <is>
          <t>Mapped</t>
        </is>
      </c>
      <c r="C69" s="28" t="inlineStr">
        <is>
          <t>CARBON</t>
        </is>
      </c>
      <c r="D69" s="29" t="inlineStr">
        <is>
          <t>IRISC325</t>
        </is>
      </c>
      <c r="E69" s="29" t="inlineStr">
        <is>
          <t>Gaurav Yashwant Chaulkar</t>
        </is>
      </c>
      <c r="F69" s="29" t="inlineStr">
        <is>
          <t>Digitizing</t>
        </is>
      </c>
      <c r="G69" s="29" t="inlineStr">
        <is>
          <t>Consultant</t>
        </is>
      </c>
      <c r="H69" s="29" t="inlineStr">
        <is>
          <t>Senior Digitization Associate</t>
        </is>
      </c>
      <c r="I69" s="29" t="inlineStr">
        <is>
          <t>L3 – Professional / Associate</t>
        </is>
      </c>
      <c r="J69" s="29" t="inlineStr">
        <is>
          <t>A3</t>
        </is>
      </c>
      <c r="K69" s="29" t="inlineStr">
        <is>
          <t>▲ Up</t>
        </is>
      </c>
      <c r="L69" s="29" t="inlineStr">
        <is>
          <t>Data Operations &amp; Digitization</t>
        </is>
      </c>
      <c r="M69" s="29" t="inlineStr">
        <is>
          <t>Document Conversion, Formatting &amp; Web Publishing</t>
        </is>
      </c>
      <c r="N69" s="29" t="n"/>
      <c r="O69" s="29" t="n">
        <v>19</v>
      </c>
      <c r="P69" s="28" t="inlineStr">
        <is>
          <t>P2</t>
        </is>
      </c>
      <c r="Q69" s="29" t="inlineStr">
        <is>
          <t>Developing</t>
        </is>
      </c>
      <c r="R69" s="29" t="inlineStr">
        <is>
          <t>3 Apply</t>
        </is>
      </c>
      <c r="S69" s="29" t="inlineStr">
        <is>
          <t>2–4 yrs</t>
        </is>
      </c>
      <c r="T69" s="29" t="inlineStr">
        <is>
          <t>3–5 · 2–5</t>
        </is>
      </c>
      <c r="U69" s="29" t="inlineStr">
        <is>
          <t>Senior Associate</t>
        </is>
      </c>
      <c r="V69" s="29" t="inlineStr">
        <is>
          <t>DataTracks: Senior Associate · 2–5 yrs · Accenture Operations: L10 Senior Analyst · IRIS Vs Competitor Benchmark — operations roles: Senior Processor / QC</t>
        </is>
      </c>
      <c r="W69" s="29" t="inlineStr">
        <is>
          <t>COPC CX Standard · leadership &amp; planning, people, processes, performance; ISO 9001; Lean / Six Sigma</t>
        </is>
      </c>
      <c r="X69" s="29" t="inlineStr">
        <is>
          <t>Core 2 · Future 2 · Functional 3 · Leadership not scored</t>
        </is>
      </c>
      <c r="Y69" s="52" t="n">
        <v>423</v>
      </c>
      <c r="Z69" s="53" t="inlineStr">
        <is>
          <t>IRISC325</t>
        </is>
      </c>
      <c r="AA69" s="53" t="inlineStr">
        <is>
          <t>On Contract</t>
        </is>
      </c>
      <c r="AB69" s="53" t="inlineStr">
        <is>
          <t>Active</t>
        </is>
      </c>
      <c r="AC69" s="53" t="inlineStr">
        <is>
          <t>Gaurav Yashwant Chaulkar</t>
        </is>
      </c>
      <c r="AD69" s="54" t="n">
        <v>46006</v>
      </c>
      <c r="AE69" s="53" t="inlineStr">
        <is>
          <t>Consultant</t>
        </is>
      </c>
      <c r="AF69" s="53" t="inlineStr">
        <is>
          <t>Diploma Electronic Mechanic</t>
        </is>
      </c>
      <c r="AG69" s="53" t="inlineStr">
        <is>
          <t>Janardan Bale</t>
        </is>
      </c>
      <c r="AH69" s="53" t="inlineStr">
        <is>
          <t>N-7</t>
        </is>
      </c>
      <c r="AI69" s="53" t="inlineStr">
        <is>
          <t>Individual Contributor</t>
        </is>
      </c>
      <c r="AJ69" s="53" t="inlineStr">
        <is>
          <t>2 years, 2 months, 0 days</t>
        </is>
      </c>
      <c r="AK69" s="53" t="inlineStr">
        <is>
          <t>0 years, 8 months, 10 days</t>
        </is>
      </c>
      <c r="AL69" s="53" t="inlineStr">
        <is>
          <t>Regtech</t>
        </is>
      </c>
      <c r="AM69" s="53" t="inlineStr">
        <is>
          <t>CARBON</t>
        </is>
      </c>
      <c r="AN69" s="53" t="inlineStr">
        <is>
          <t>Digitizing</t>
        </is>
      </c>
      <c r="AO69" s="53" t="inlineStr">
        <is>
          <t>Digitizing Assisted services</t>
        </is>
      </c>
      <c r="AP69" s="53" t="inlineStr">
        <is>
          <t>No</t>
        </is>
      </c>
      <c r="AQ69" s="53" t="inlineStr">
        <is>
          <t>Professional Services</t>
        </is>
      </c>
      <c r="AR69" s="53" t="inlineStr">
        <is>
          <t>OCR/Image procesing</t>
        </is>
      </c>
      <c r="AS69" s="53" t="inlineStr">
        <is>
          <t>Non-technical</t>
        </is>
      </c>
      <c r="AT69" s="53" t="n">
        <v>20</v>
      </c>
      <c r="AU69" s="53" t="inlineStr">
        <is>
          <t>Covered</t>
        </is>
      </c>
      <c r="AV69" s="53" t="inlineStr">
        <is>
          <t>IRISC325</t>
        </is>
      </c>
      <c r="AW69" s="53" t="inlineStr">
        <is>
          <t>Gaurav Yashwant Chaulkar</t>
        </is>
      </c>
      <c r="AX69" s="53" t="inlineStr">
        <is>
          <t>Digitizing</t>
        </is>
      </c>
      <c r="AY69" s="53" t="inlineStr">
        <is>
          <t>Professional Services</t>
        </is>
      </c>
      <c r="AZ69" s="53" t="inlineStr">
        <is>
          <t>Digitization &amp; Image Processing</t>
        </is>
      </c>
      <c r="BA69" s="53" t="n"/>
      <c r="BB69" s="53" t="n"/>
      <c r="BC69" s="53" t="inlineStr">
        <is>
          <t>On Contract</t>
        </is>
      </c>
      <c r="BD69" s="53" t="inlineStr">
        <is>
          <t>Janardan Bale</t>
        </is>
      </c>
      <c r="BE69" s="53" t="inlineStr">
        <is>
          <t>Janardan Krishna Bale</t>
        </is>
      </c>
      <c r="BF69" s="53" t="inlineStr">
        <is>
          <t>No</t>
        </is>
      </c>
      <c r="BG69" s="53" t="inlineStr">
        <is>
          <t>Consultant</t>
        </is>
      </c>
      <c r="BH69" s="53" t="inlineStr">
        <is>
          <t>Consultant</t>
        </is>
      </c>
      <c r="BI69" s="53" t="inlineStr">
        <is>
          <t>No</t>
        </is>
      </c>
      <c r="BJ69" s="53" t="inlineStr">
        <is>
          <t>—</t>
        </is>
      </c>
      <c r="BK69" s="53" t="inlineStr">
        <is>
          <t>—</t>
        </is>
      </c>
      <c r="BL69" s="53" t="inlineStr">
        <is>
          <t>—</t>
        </is>
      </c>
      <c r="BM69" s="53" t="inlineStr">
        <is>
          <t>Not a manager</t>
        </is>
      </c>
      <c r="BN69" s="53" t="inlineStr">
        <is>
          <t>—</t>
        </is>
      </c>
      <c r="BO69" s="53" t="inlineStr">
        <is>
          <t>—</t>
        </is>
      </c>
      <c r="BP69" s="53" t="inlineStr">
        <is>
          <t>—</t>
        </is>
      </c>
      <c r="BQ69" s="53" t="inlineStr">
        <is>
          <t>Not a manager</t>
        </is>
      </c>
      <c r="BR69" s="53" t="inlineStr">
        <is>
          <t>—</t>
        </is>
      </c>
      <c r="BS69" s="53" t="inlineStr">
        <is>
          <t>L3 – Professional / Associate</t>
        </is>
      </c>
      <c r="BT69" s="53" t="inlineStr">
        <is>
          <t>L3 – Professional / Associate</t>
        </is>
      </c>
      <c r="BU69" s="53" t="inlineStr">
        <is>
          <t>No designation change — current record value carried forward</t>
        </is>
      </c>
      <c r="BV69"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69" s="53" t="n"/>
      <c r="BX69" s="53" t="inlineStr">
        <is>
          <t>USA - SEC · On Contract.</t>
        </is>
      </c>
      <c r="BY69" s="53" t="n"/>
      <c r="BZ69" s="53" t="inlineStr">
        <is>
          <t>IRISC325</t>
        </is>
      </c>
      <c r="CA69" s="53" t="inlineStr">
        <is>
          <t>On Contract</t>
        </is>
      </c>
      <c r="CB69" s="53" t="inlineStr">
        <is>
          <t>Active</t>
        </is>
      </c>
      <c r="CC69" s="53" t="inlineStr">
        <is>
          <t>Gaurav Yashwant Chaulkar</t>
        </is>
      </c>
      <c r="CD69" s="54" t="n">
        <v>46006</v>
      </c>
      <c r="CE69" s="53" t="inlineStr">
        <is>
          <t>Consultant</t>
        </is>
      </c>
      <c r="CF69" s="53" t="n"/>
      <c r="CG69" s="53" t="inlineStr">
        <is>
          <t>Professional Services</t>
        </is>
      </c>
      <c r="CH69" s="53" t="inlineStr">
        <is>
          <t>Digitization &amp; Image Processing</t>
        </is>
      </c>
      <c r="CI69" s="53" t="inlineStr">
        <is>
          <t>Consultant</t>
        </is>
      </c>
      <c r="CJ69" s="53" t="inlineStr">
        <is>
          <t>L3 – Professional / Associate</t>
        </is>
      </c>
      <c r="CK69" s="53" t="inlineStr">
        <is>
          <t>Janardan Bale</t>
        </is>
      </c>
      <c r="CL69" s="53" t="inlineStr">
        <is>
          <t>N-7</t>
        </is>
      </c>
      <c r="CM69" s="53" t="inlineStr">
        <is>
          <t>Individual Contributor</t>
        </is>
      </c>
      <c r="CN69" s="53" t="inlineStr">
        <is>
          <t>Regtech</t>
        </is>
      </c>
      <c r="CO69" s="53" t="inlineStr">
        <is>
          <t>Digitizing</t>
        </is>
      </c>
      <c r="CP69" s="53" t="inlineStr">
        <is>
          <t>2 years, 8 months, 5 days</t>
        </is>
      </c>
      <c r="CQ69" s="53" t="inlineStr">
        <is>
          <t>Consultant</t>
        </is>
      </c>
      <c r="CR69" s="53" t="n"/>
      <c r="CS69" s="53" t="n">
        <v>3</v>
      </c>
      <c r="CT69" s="53" t="inlineStr">
        <is>
          <t>Medium</t>
        </is>
      </c>
      <c r="CU69" s="53" t="inlineStr">
        <is>
          <t>Core Contributor</t>
        </is>
      </c>
      <c r="CV69" s="53" t="inlineStr">
        <is>
          <t>No</t>
        </is>
      </c>
      <c r="CW69" s="53" t="inlineStr">
        <is>
          <t>No</t>
        </is>
      </c>
      <c r="CX69" s="53" t="inlineStr">
        <is>
          <t>Yes</t>
        </is>
      </c>
      <c r="CY69" s="53" t="n"/>
      <c r="CZ69" s="53" t="n"/>
      <c r="DA69" s="53" t="n"/>
      <c r="DB69" s="53" t="n"/>
      <c r="DC69" s="53" t="n"/>
      <c r="DD69" s="53" t="n"/>
      <c r="DE69" s="53" t="n"/>
      <c r="DF69" s="53" t="n"/>
      <c r="DG69" s="53" t="n"/>
      <c r="DH69" s="53" t="n"/>
      <c r="DI69" s="53" t="n"/>
      <c r="DJ69" s="53" t="n"/>
      <c r="DK69" s="53" t="n"/>
      <c r="DL69" s="53" t="n"/>
      <c r="DM69" s="53" t="n"/>
      <c r="DN69" s="53" t="n"/>
      <c r="DO69" s="53" t="n"/>
      <c r="DP69" s="53" t="n"/>
      <c r="DQ69" s="53" t="n"/>
      <c r="DR69" s="53" t="n"/>
      <c r="DS69" s="53" t="n"/>
      <c r="DT69" s="53" t="n"/>
      <c r="DU69" s="53" t="n"/>
      <c r="DV69" s="53" t="n"/>
      <c r="DW69" s="53" t="n"/>
      <c r="DX69" s="53" t="n"/>
      <c r="DY69" s="53" t="n"/>
      <c r="DZ69" s="53" t="n"/>
      <c r="EA69" s="53" t="n"/>
      <c r="EB69" s="53" t="n"/>
      <c r="EC69" s="53" t="n"/>
      <c r="ED69" s="53" t="n"/>
      <c r="EE69" s="53" t="n"/>
      <c r="EF69" s="53" t="n"/>
      <c r="EG69" s="53" t="n"/>
      <c r="EH69" s="53" t="n"/>
      <c r="EI69" s="53" t="n"/>
      <c r="EJ69" s="53" t="n"/>
      <c r="EK69" s="53" t="n"/>
      <c r="EL69" s="53" t="n"/>
      <c r="EM69" s="53" t="n"/>
      <c r="EN69" s="53" t="n"/>
      <c r="EO69" s="53" t="n"/>
      <c r="EP69" s="53" t="n"/>
      <c r="EQ69" s="53" t="n"/>
      <c r="ER69" s="53" t="n"/>
      <c r="ES69" s="53" t="n"/>
      <c r="ET69" s="53" t="n"/>
      <c r="EU69" s="53" t="n"/>
      <c r="EV69" s="53" t="n"/>
      <c r="EW69" s="52" t="n"/>
      <c r="EX69" s="53" t="inlineStr">
        <is>
          <t>• Role / sub-team: Digitizing Assisted service.</t>
        </is>
      </c>
      <c r="EY69" s="53" t="inlineStr">
        <is>
          <t>• Key responsibilities include: US SEC &amp; US DM FORMATTING AND REVIEW THE DOCUMENTS.
• Reported deliverables and outcomes include: US documents are shared with the Assisted Service Team for tagging after formatting and review.</t>
        </is>
      </c>
      <c r="EZ69" s="53" t="inlineStr">
        <is>
          <t>• Current capabilities: Communication skills; Tools / software used: Both.</t>
        </is>
      </c>
      <c r="FA69" s="53" t="inlineStr">
        <is>
          <t>• Communications skills.
• Presentation skills.</t>
        </is>
      </c>
      <c r="FB69" s="53" t="inlineStr">
        <is>
          <t>• Key challenges: Quality of report, RDP issue.
• Support required: No input received.</t>
        </is>
      </c>
      <c r="FC69" s="53" t="n"/>
      <c r="FD69" s="53" t="n"/>
      <c r="FE69"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69" s="56" t="n"/>
      <c r="FG69" s="56" t="n"/>
      <c r="FH69" s="56" t="n"/>
      <c r="FI69" s="56" t="n"/>
      <c r="FJ69" s="56" t="inlineStr">
        <is>
          <t>Received · manager annual</t>
        </is>
      </c>
      <c r="FK69" s="56" t="inlineStr">
        <is>
          <t>CARBON Mapping Master</t>
        </is>
      </c>
      <c r="FL69" s="56" t="n">
        <v>19</v>
      </c>
      <c r="FM69" s="56" t="inlineStr">
        <is>
          <t>• Role / sub-team: Digitizing Assisted service.</t>
        </is>
      </c>
      <c r="FN69" s="56" t="inlineStr">
        <is>
          <t>• Key responsibilities include: US SEC &amp; US DM FORMATTING AND REVIEW THE DOCUMENTS.
• Reported deliverables and outcomes include: US documents are shared with the Assisted Service Team for tagging after formatting and review.</t>
        </is>
      </c>
      <c r="FO69" s="56" t="inlineStr">
        <is>
          <t>• Current capabilities: Communication skills; Tools / software used: Both.</t>
        </is>
      </c>
      <c r="FP69" s="56" t="inlineStr">
        <is>
          <t>• Communications skills.
• Presentation skills.</t>
        </is>
      </c>
      <c r="FQ69" s="56" t="inlineStr">
        <is>
          <t>• Key challenges: Quality of report, RDP issue.
• Support required: No input received.</t>
        </is>
      </c>
      <c r="FR69" s="56" t="inlineStr">
        <is>
          <t>Business Impact: Moved +0.5: the survey / manager mapping marks it business-critical.</t>
        </is>
      </c>
      <c r="FS6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9" s="56" t="inlineStr">
        <is>
          <t>Self-identified: Project / programme management · Communication &amp; presentation · Broader exposure &amp; ownership
For the next role: Project / programme management · Communication &amp; presentation · Broader exposure &amp; ownership</t>
        </is>
      </c>
      <c r="FU69" s="56" t="inlineStr">
        <is>
          <t>Per-person summary · CARBON Mapping Master</t>
        </is>
      </c>
    </row>
    <row r="70" ht="90" customHeight="1">
      <c r="A70" s="51" t="inlineStr">
        <is>
          <t>◂ Back</t>
        </is>
      </c>
      <c r="B70" s="29" t="inlineStr">
        <is>
          <t>Mapped</t>
        </is>
      </c>
      <c r="C70" s="28" t="inlineStr">
        <is>
          <t>CARBON</t>
        </is>
      </c>
      <c r="D70" s="29" t="inlineStr">
        <is>
          <t>IRISC316</t>
        </is>
      </c>
      <c r="E70" s="29" t="inlineStr">
        <is>
          <t>Samiksha Ramdas Bhabal</t>
        </is>
      </c>
      <c r="F70" s="29" t="inlineStr">
        <is>
          <t>Digitizing</t>
        </is>
      </c>
      <c r="G70" s="29" t="inlineStr">
        <is>
          <t>Consultant</t>
        </is>
      </c>
      <c r="H70" s="29" t="inlineStr">
        <is>
          <t>Senior Digitization Associate</t>
        </is>
      </c>
      <c r="I70" s="29" t="inlineStr">
        <is>
          <t>L3 – Professional / Associate</t>
        </is>
      </c>
      <c r="J70" s="29" t="inlineStr">
        <is>
          <t>A3</t>
        </is>
      </c>
      <c r="K70" s="29" t="inlineStr">
        <is>
          <t>▲ Up</t>
        </is>
      </c>
      <c r="L70" s="29" t="inlineStr">
        <is>
          <t>Data Operations &amp; Digitization</t>
        </is>
      </c>
      <c r="M70" s="29" t="inlineStr">
        <is>
          <t>Document Conversion, Formatting &amp; Web Publishing</t>
        </is>
      </c>
      <c r="N70" s="29" t="n"/>
      <c r="O70" s="29" t="n">
        <v>19</v>
      </c>
      <c r="P70" s="28" t="inlineStr">
        <is>
          <t>P2</t>
        </is>
      </c>
      <c r="Q70" s="29" t="inlineStr">
        <is>
          <t>Developing</t>
        </is>
      </c>
      <c r="R70" s="29" t="inlineStr">
        <is>
          <t>3 Apply</t>
        </is>
      </c>
      <c r="S70" s="29" t="inlineStr">
        <is>
          <t>2–4 yrs</t>
        </is>
      </c>
      <c r="T70" s="29" t="inlineStr">
        <is>
          <t>3–5 · 2–5</t>
        </is>
      </c>
      <c r="U70" s="29" t="inlineStr">
        <is>
          <t>Senior Associate</t>
        </is>
      </c>
      <c r="V70" s="29" t="inlineStr">
        <is>
          <t>DataTracks: Senior Associate · 2–5 yrs · Accenture Operations: L10 Senior Analyst · IRIS Vs Competitor Benchmark — operations roles: Senior Processor / QC</t>
        </is>
      </c>
      <c r="W70" s="29" t="inlineStr">
        <is>
          <t>COPC CX Standard · leadership &amp; planning, people, processes, performance; ISO 9001; Lean / Six Sigma</t>
        </is>
      </c>
      <c r="X70" s="29" t="inlineStr">
        <is>
          <t>Core 2 · Future 2 · Functional 3 · Leadership not scored</t>
        </is>
      </c>
      <c r="Y70" s="52" t="n">
        <v>398</v>
      </c>
      <c r="Z70" s="53" t="inlineStr">
        <is>
          <t>IRISC316</t>
        </is>
      </c>
      <c r="AA70" s="53" t="inlineStr">
        <is>
          <t>On Contract</t>
        </is>
      </c>
      <c r="AB70" s="53" t="inlineStr">
        <is>
          <t>Active</t>
        </is>
      </c>
      <c r="AC70" s="53" t="inlineStr">
        <is>
          <t>Samiksha Ramdas Bhabal</t>
        </is>
      </c>
      <c r="AD70" s="54" t="n">
        <v>45901</v>
      </c>
      <c r="AE70" s="53" t="inlineStr">
        <is>
          <t>Consultant</t>
        </is>
      </c>
      <c r="AF70" s="53" t="inlineStr">
        <is>
          <t>B.Com</t>
        </is>
      </c>
      <c r="AG70" s="53" t="inlineStr">
        <is>
          <t>Janardan Bale</t>
        </is>
      </c>
      <c r="AH70" s="53" t="inlineStr">
        <is>
          <t>N-7</t>
        </is>
      </c>
      <c r="AI70" s="53" t="inlineStr">
        <is>
          <t>Individual Contributor</t>
        </is>
      </c>
      <c r="AJ70" s="53" t="inlineStr">
        <is>
          <t>2 years, 0 months, 0 days</t>
        </is>
      </c>
      <c r="AK70" s="53" t="inlineStr">
        <is>
          <t>0 years, 11 months, 24 days</t>
        </is>
      </c>
      <c r="AL70" s="53" t="inlineStr">
        <is>
          <t>Regtech</t>
        </is>
      </c>
      <c r="AM70" s="53" t="inlineStr">
        <is>
          <t>CARBON</t>
        </is>
      </c>
      <c r="AN70" s="53" t="inlineStr">
        <is>
          <t>Digitizing</t>
        </is>
      </c>
      <c r="AO70" s="53" t="inlineStr">
        <is>
          <t>Digitizing Assisted services</t>
        </is>
      </c>
      <c r="AP70" s="53" t="inlineStr">
        <is>
          <t>No</t>
        </is>
      </c>
      <c r="AQ70" s="53" t="inlineStr">
        <is>
          <t>Professional Services</t>
        </is>
      </c>
      <c r="AR70" s="53" t="inlineStr">
        <is>
          <t>OCR/Image procesing</t>
        </is>
      </c>
      <c r="AS70" s="53" t="inlineStr">
        <is>
          <t>Non-technical</t>
        </is>
      </c>
      <c r="AT70" s="53" t="n">
        <v>20</v>
      </c>
      <c r="AU70" s="53" t="inlineStr">
        <is>
          <t>Covered</t>
        </is>
      </c>
      <c r="AV70" s="53" t="inlineStr">
        <is>
          <t>IRISC316</t>
        </is>
      </c>
      <c r="AW70" s="53" t="inlineStr">
        <is>
          <t>Samiksha Ramdas Bhabal</t>
        </is>
      </c>
      <c r="AX70" s="53" t="inlineStr">
        <is>
          <t>Digitizing</t>
        </is>
      </c>
      <c r="AY70" s="53" t="inlineStr">
        <is>
          <t>Professional Services</t>
        </is>
      </c>
      <c r="AZ70" s="53" t="inlineStr">
        <is>
          <t>Digitization &amp; Image Processing</t>
        </is>
      </c>
      <c r="BA70" s="53" t="n"/>
      <c r="BB70" s="53" t="n"/>
      <c r="BC70" s="53" t="inlineStr">
        <is>
          <t>On Contract</t>
        </is>
      </c>
      <c r="BD70" s="53" t="inlineStr">
        <is>
          <t>Janardan Bale</t>
        </is>
      </c>
      <c r="BE70" s="53" t="inlineStr">
        <is>
          <t>Janardan Krishna Bale</t>
        </is>
      </c>
      <c r="BF70" s="53" t="inlineStr">
        <is>
          <t>No</t>
        </is>
      </c>
      <c r="BG70" s="53" t="inlineStr">
        <is>
          <t>Consultant</t>
        </is>
      </c>
      <c r="BH70" s="53" t="inlineStr">
        <is>
          <t>Consultant</t>
        </is>
      </c>
      <c r="BI70" s="53" t="inlineStr">
        <is>
          <t>No</t>
        </is>
      </c>
      <c r="BJ70" s="53" t="inlineStr">
        <is>
          <t>—</t>
        </is>
      </c>
      <c r="BK70" s="53" t="inlineStr">
        <is>
          <t>—</t>
        </is>
      </c>
      <c r="BL70" s="53" t="inlineStr">
        <is>
          <t>—</t>
        </is>
      </c>
      <c r="BM70" s="53" t="inlineStr">
        <is>
          <t>Not a manager</t>
        </is>
      </c>
      <c r="BN70" s="53" t="inlineStr">
        <is>
          <t>—</t>
        </is>
      </c>
      <c r="BO70" s="53" t="inlineStr">
        <is>
          <t>—</t>
        </is>
      </c>
      <c r="BP70" s="53" t="inlineStr">
        <is>
          <t>—</t>
        </is>
      </c>
      <c r="BQ70" s="53" t="inlineStr">
        <is>
          <t>Not a manager</t>
        </is>
      </c>
      <c r="BR70" s="53" t="inlineStr">
        <is>
          <t>—</t>
        </is>
      </c>
      <c r="BS70" s="53" t="inlineStr">
        <is>
          <t>L3 – Professional / Associate</t>
        </is>
      </c>
      <c r="BT70" s="53" t="inlineStr">
        <is>
          <t>L3 – Professional / Associate</t>
        </is>
      </c>
      <c r="BU70" s="53" t="inlineStr">
        <is>
          <t>No designation change — current record value carried forward</t>
        </is>
      </c>
      <c r="BV70"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70" s="53" t="n"/>
      <c r="BX70" s="53" t="inlineStr">
        <is>
          <t>UK - HMRC; USA - SEC · On Contract.</t>
        </is>
      </c>
      <c r="BY70" s="53" t="n"/>
      <c r="BZ70" s="53" t="inlineStr">
        <is>
          <t>IRISC316</t>
        </is>
      </c>
      <c r="CA70" s="53" t="inlineStr">
        <is>
          <t>On Contract</t>
        </is>
      </c>
      <c r="CB70" s="53" t="inlineStr">
        <is>
          <t>Active</t>
        </is>
      </c>
      <c r="CC70" s="53" t="inlineStr">
        <is>
          <t>Samiksha Ramdas Bhabal</t>
        </is>
      </c>
      <c r="CD70" s="54" t="n">
        <v>45901</v>
      </c>
      <c r="CE70" s="53" t="inlineStr">
        <is>
          <t>Consultant</t>
        </is>
      </c>
      <c r="CF70" s="53" t="n"/>
      <c r="CG70" s="53" t="inlineStr">
        <is>
          <t>Professional Services</t>
        </is>
      </c>
      <c r="CH70" s="53" t="inlineStr">
        <is>
          <t>Digitization &amp; Image Processing</t>
        </is>
      </c>
      <c r="CI70" s="53" t="inlineStr">
        <is>
          <t>Consultant</t>
        </is>
      </c>
      <c r="CJ70" s="53" t="inlineStr">
        <is>
          <t>L3 – Professional / Associate</t>
        </is>
      </c>
      <c r="CK70" s="53" t="inlineStr">
        <is>
          <t>Janardan Bale</t>
        </is>
      </c>
      <c r="CL70" s="53" t="inlineStr">
        <is>
          <t>N-7</t>
        </is>
      </c>
      <c r="CM70" s="53" t="inlineStr">
        <is>
          <t>Individual Contributor</t>
        </is>
      </c>
      <c r="CN70" s="53" t="inlineStr">
        <is>
          <t>Regtech</t>
        </is>
      </c>
      <c r="CO70" s="53" t="inlineStr">
        <is>
          <t>Digitizing</t>
        </is>
      </c>
      <c r="CP70" s="53" t="inlineStr">
        <is>
          <t>2 years, 9 months, 19 days</t>
        </is>
      </c>
      <c r="CQ70" s="53" t="inlineStr">
        <is>
          <t>Consultant</t>
        </is>
      </c>
      <c r="CR70" s="53" t="n"/>
      <c r="CS70" s="53" t="n">
        <v>3</v>
      </c>
      <c r="CT70" s="53" t="inlineStr">
        <is>
          <t>Medium</t>
        </is>
      </c>
      <c r="CU70" s="53" t="inlineStr">
        <is>
          <t>Core Contributor</t>
        </is>
      </c>
      <c r="CV70" s="53" t="inlineStr">
        <is>
          <t>No</t>
        </is>
      </c>
      <c r="CW70" s="53" t="inlineStr">
        <is>
          <t>No</t>
        </is>
      </c>
      <c r="CX70" s="53" t="inlineStr">
        <is>
          <t>Yes</t>
        </is>
      </c>
      <c r="CY70" s="53" t="n"/>
      <c r="CZ70" s="53" t="n"/>
      <c r="DA70" s="53" t="n"/>
      <c r="DB70" s="53" t="n"/>
      <c r="DC70" s="53" t="n"/>
      <c r="DD70" s="53" t="n"/>
      <c r="DE70" s="53" t="n"/>
      <c r="DF70" s="53" t="n"/>
      <c r="DG70" s="53" t="n"/>
      <c r="DH70" s="53" t="n"/>
      <c r="DI70" s="53" t="n"/>
      <c r="DJ70" s="53" t="n"/>
      <c r="DK70" s="53" t="n"/>
      <c r="DL70" s="53" t="n"/>
      <c r="DM70" s="53" t="n"/>
      <c r="DN70" s="53" t="n"/>
      <c r="DO70" s="53" t="n"/>
      <c r="DP70" s="53" t="n"/>
      <c r="DQ70" s="53" t="n"/>
      <c r="DR70" s="53" t="n"/>
      <c r="DS70" s="53" t="n"/>
      <c r="DT70" s="53" t="n"/>
      <c r="DU70" s="53" t="n"/>
      <c r="DV70" s="53" t="n"/>
      <c r="DW70" s="53" t="n"/>
      <c r="DX70" s="53" t="n"/>
      <c r="DY70" s="53" t="n"/>
      <c r="DZ70" s="53" t="n"/>
      <c r="EA70" s="53" t="n"/>
      <c r="EB70" s="53" t="n"/>
      <c r="EC70" s="53" t="n"/>
      <c r="ED70" s="53" t="n"/>
      <c r="EE70" s="53" t="n"/>
      <c r="EF70" s="53" t="n"/>
      <c r="EG70" s="53" t="n"/>
      <c r="EH70" s="53" t="n"/>
      <c r="EI70" s="53" t="n"/>
      <c r="EJ70" s="53" t="n"/>
      <c r="EK70" s="53" t="n"/>
      <c r="EL70" s="53" t="n"/>
      <c r="EM70" s="53" t="n"/>
      <c r="EN70" s="53" t="n"/>
      <c r="EO70" s="53" t="n"/>
      <c r="EP70" s="53" t="n"/>
      <c r="EQ70" s="53" t="n"/>
      <c r="ER70" s="53" t="n"/>
      <c r="ES70" s="53" t="n"/>
      <c r="ET70" s="53" t="n"/>
      <c r="EU70" s="53" t="n"/>
      <c r="EV70" s="53" t="n"/>
      <c r="EW70" s="52" t="n"/>
      <c r="EX70" s="53" t="inlineStr">
        <is>
          <t>• Role / sub-team: OCR Team; Digitizing Assisted Service.</t>
        </is>
      </c>
      <c r="EY70" s="53"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EZ70" s="53" t="inlineStr">
        <is>
          <t>• Current capabilities: Copilot; Tools / software used: Both | Microsoft Web Expression [Teams chat].</t>
        </is>
      </c>
      <c r="FA70" s="53" t="inlineStr">
        <is>
          <t>• Communications skills.
• Presentation skills.</t>
        </is>
      </c>
      <c r="FB70" s="53" t="inlineStr">
        <is>
          <t>• Key challenges: Quality of report, RDP issue.
• Support required: No input received.</t>
        </is>
      </c>
      <c r="FC70" s="53" t="n"/>
      <c r="FD70" s="53" t="n"/>
      <c r="FE70"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70" s="56" t="n"/>
      <c r="FG70" s="56" t="n"/>
      <c r="FH70" s="56" t="n"/>
      <c r="FI70" s="56" t="n"/>
      <c r="FJ70" s="56" t="inlineStr">
        <is>
          <t>Received · manager annual</t>
        </is>
      </c>
      <c r="FK70" s="56" t="inlineStr">
        <is>
          <t>CARBON Mapping Master</t>
        </is>
      </c>
      <c r="FL70" s="56" t="n">
        <v>19</v>
      </c>
      <c r="FM70" s="56" t="inlineStr">
        <is>
          <t>• Role / sub-team: OCR Team; Digitizing Assisted Service.</t>
        </is>
      </c>
      <c r="FN70" s="56"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FO70" s="56" t="inlineStr">
        <is>
          <t>• Current capabilities: Copilot; Tools / software used: Both | Microsoft Web Expression [Teams chat].</t>
        </is>
      </c>
      <c r="FP70" s="56" t="inlineStr">
        <is>
          <t>• Communications skills.
• Presentation skills.</t>
        </is>
      </c>
      <c r="FQ70" s="56" t="inlineStr">
        <is>
          <t>• Key challenges: Quality of report, RDP issue.
• Support required: No input received.</t>
        </is>
      </c>
      <c r="FR70" s="56" t="inlineStr">
        <is>
          <t>Complexity: Evidence reads like A2: own survey / KRA answers · summarised by the rater; not quoted → matches the start
Autonomy: Evidence reads like A1: States 'not applicable'; work goes to review → moved down 0.5
Accountability: Evidence reads like A2: Accuracy and timely delivery of assigned formatting work → matches the start
Leadership: Evidence reads like A1: No guidance or leadership of others described → matches the start
Business Impact: Moved +0.5: the survey / manager mapping marks it business-critical.</t>
        </is>
      </c>
      <c r="FS70"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0" s="56" t="inlineStr">
        <is>
          <t>Self-identified: AI / automation · Domain, regulatory &amp; XBRL · Product &amp; tool knowledge · Communication &amp; presentation · Broader exposure &amp; ownership
For the next role: AI / automation · Domain, regulatory &amp; XBRL · Product &amp; tool knowledge · Communication &amp; presentation · Broader exposure &amp; ownership</t>
        </is>
      </c>
      <c r="FU70" s="56" t="inlineStr">
        <is>
          <t>Per-person summary · CARBON Mapping Master</t>
        </is>
      </c>
    </row>
    <row r="71" ht="90" customHeight="1">
      <c r="A71" s="51" t="inlineStr">
        <is>
          <t>◂ Back</t>
        </is>
      </c>
      <c r="B71" s="29" t="inlineStr">
        <is>
          <t>Mapped</t>
        </is>
      </c>
      <c r="C71" s="28" t="inlineStr">
        <is>
          <t>CARBON</t>
        </is>
      </c>
      <c r="D71" s="29" t="inlineStr">
        <is>
          <t>IRISC327</t>
        </is>
      </c>
      <c r="E71" s="29" t="inlineStr">
        <is>
          <t>Satyajeet Patil</t>
        </is>
      </c>
      <c r="F71" s="29" t="inlineStr">
        <is>
          <t>Digitizing</t>
        </is>
      </c>
      <c r="G71" s="29" t="inlineStr">
        <is>
          <t>Consultant</t>
        </is>
      </c>
      <c r="H71" s="29" t="inlineStr">
        <is>
          <t>Digitization Associate</t>
        </is>
      </c>
      <c r="I71" s="29" t="inlineStr">
        <is>
          <t>L3 – Professional / Associate</t>
        </is>
      </c>
      <c r="J71" s="29" t="inlineStr">
        <is>
          <t>A2</t>
        </is>
      </c>
      <c r="K71" s="29" t="inlineStr">
        <is>
          <t>• Same level</t>
        </is>
      </c>
      <c r="L71" s="29" t="inlineStr">
        <is>
          <t>Data Operations &amp; Digitization</t>
        </is>
      </c>
      <c r="M71" s="29" t="inlineStr">
        <is>
          <t>Document Conversion, Formatting &amp; Web Publishing</t>
        </is>
      </c>
      <c r="N71" s="29" t="n"/>
      <c r="O71" s="29" t="n">
        <v>20</v>
      </c>
      <c r="P71" s="28" t="inlineStr">
        <is>
          <t>P1–P2</t>
        </is>
      </c>
      <c r="Q71" s="29" t="inlineStr">
        <is>
          <t>Entry / Developing</t>
        </is>
      </c>
      <c r="R71" s="29" t="inlineStr">
        <is>
          <t>2 Assist</t>
        </is>
      </c>
      <c r="S71" s="29" t="inlineStr">
        <is>
          <t>0–2 yrs</t>
        </is>
      </c>
      <c r="T71" s="29" t="inlineStr">
        <is>
          <t>1–3 · 0–3</t>
        </is>
      </c>
      <c r="U71" s="29" t="inlineStr">
        <is>
          <t>Associate / Processor / Senior Associate</t>
        </is>
      </c>
      <c r="V71" s="29" t="inlineStr">
        <is>
          <t>DataTracks: Associate · Accenture Operations: L11 Analyst · IRIS Vs Competitor Benchmark — operations roles: Processor / Agent</t>
        </is>
      </c>
      <c r="W71" s="29" t="inlineStr">
        <is>
          <t>COPC CX Standard · leadership &amp; planning, people, processes, performance; ISO 9001; Lean / Six Sigma</t>
        </is>
      </c>
      <c r="X71" s="29" t="inlineStr">
        <is>
          <t>Core 2 · Future 2 · Functional 2 · Leadership not scored</t>
        </is>
      </c>
      <c r="Y71" s="52" t="n">
        <v>424</v>
      </c>
      <c r="Z71" s="53" t="inlineStr">
        <is>
          <t>IRISC327</t>
        </is>
      </c>
      <c r="AA71" s="53" t="inlineStr">
        <is>
          <t>On Contract</t>
        </is>
      </c>
      <c r="AB71" s="53" t="inlineStr">
        <is>
          <t>Active</t>
        </is>
      </c>
      <c r="AC71" s="53" t="inlineStr">
        <is>
          <t>Satyajeet Patil</t>
        </is>
      </c>
      <c r="AD71" s="54" t="n">
        <v>46006</v>
      </c>
      <c r="AE71" s="53" t="inlineStr">
        <is>
          <t>Consultant</t>
        </is>
      </c>
      <c r="AF71" s="53" t="inlineStr">
        <is>
          <t>BCA</t>
        </is>
      </c>
      <c r="AG71" s="53" t="inlineStr">
        <is>
          <t>Janardan Bale</t>
        </is>
      </c>
      <c r="AH71" s="53" t="inlineStr">
        <is>
          <t>N-7</t>
        </is>
      </c>
      <c r="AI71" s="53" t="inlineStr">
        <is>
          <t>Individual Contributor</t>
        </is>
      </c>
      <c r="AJ71" s="53" t="inlineStr">
        <is>
          <t>0 years, 0 months, 0 days</t>
        </is>
      </c>
      <c r="AK71" s="53" t="inlineStr">
        <is>
          <t>0 years, 8 months, 10 days</t>
        </is>
      </c>
      <c r="AL71" s="53" t="inlineStr">
        <is>
          <t>Regtech</t>
        </is>
      </c>
      <c r="AM71" s="53" t="inlineStr">
        <is>
          <t>CARBON</t>
        </is>
      </c>
      <c r="AN71" s="53" t="inlineStr">
        <is>
          <t>Digitizing</t>
        </is>
      </c>
      <c r="AO71" s="53" t="inlineStr">
        <is>
          <t>Digitizing Assisted services</t>
        </is>
      </c>
      <c r="AP71" s="53" t="inlineStr">
        <is>
          <t>No</t>
        </is>
      </c>
      <c r="AQ71" s="53" t="inlineStr">
        <is>
          <t>Professional Services</t>
        </is>
      </c>
      <c r="AR71" s="53" t="inlineStr">
        <is>
          <t>OCR/Image procesing</t>
        </is>
      </c>
      <c r="AS71" s="53" t="inlineStr">
        <is>
          <t>Non-technical</t>
        </is>
      </c>
      <c r="AT71" s="53" t="n">
        <v>20</v>
      </c>
      <c r="AU71" s="53" t="inlineStr">
        <is>
          <t>Covered</t>
        </is>
      </c>
      <c r="AV71" s="53" t="inlineStr">
        <is>
          <t>IRISC327</t>
        </is>
      </c>
      <c r="AW71" s="53" t="inlineStr">
        <is>
          <t>Satyajeet Patil</t>
        </is>
      </c>
      <c r="AX71" s="53" t="inlineStr">
        <is>
          <t>Digitizing</t>
        </is>
      </c>
      <c r="AY71" s="53" t="inlineStr">
        <is>
          <t>Professional Services</t>
        </is>
      </c>
      <c r="AZ71" s="53" t="inlineStr">
        <is>
          <t>Digitization &amp; Image Processing</t>
        </is>
      </c>
      <c r="BA71" s="53" t="n"/>
      <c r="BB71" s="53" t="n"/>
      <c r="BC71" s="53" t="inlineStr">
        <is>
          <t>On Contract</t>
        </is>
      </c>
      <c r="BD71" s="53" t="inlineStr">
        <is>
          <t>Janardan Bale</t>
        </is>
      </c>
      <c r="BE71" s="53" t="inlineStr">
        <is>
          <t>Janardan Krishna Bale</t>
        </is>
      </c>
      <c r="BF71" s="53" t="inlineStr">
        <is>
          <t>No</t>
        </is>
      </c>
      <c r="BG71" s="53" t="inlineStr">
        <is>
          <t>Consultant</t>
        </is>
      </c>
      <c r="BH71" s="53" t="inlineStr">
        <is>
          <t>Consultant</t>
        </is>
      </c>
      <c r="BI71" s="53" t="inlineStr">
        <is>
          <t>No</t>
        </is>
      </c>
      <c r="BJ71" s="53" t="inlineStr">
        <is>
          <t>—</t>
        </is>
      </c>
      <c r="BK71" s="53" t="inlineStr">
        <is>
          <t>—</t>
        </is>
      </c>
      <c r="BL71" s="53" t="inlineStr">
        <is>
          <t>—</t>
        </is>
      </c>
      <c r="BM71" s="53" t="inlineStr">
        <is>
          <t>Not a manager</t>
        </is>
      </c>
      <c r="BN71" s="53" t="inlineStr">
        <is>
          <t>—</t>
        </is>
      </c>
      <c r="BO71" s="53" t="inlineStr">
        <is>
          <t>—</t>
        </is>
      </c>
      <c r="BP71" s="53" t="inlineStr">
        <is>
          <t>—</t>
        </is>
      </c>
      <c r="BQ71" s="53" t="inlineStr">
        <is>
          <t>Not a manager</t>
        </is>
      </c>
      <c r="BR71" s="53" t="inlineStr">
        <is>
          <t>—</t>
        </is>
      </c>
      <c r="BS71" s="53" t="inlineStr">
        <is>
          <t>L3 – Professional / Associate</t>
        </is>
      </c>
      <c r="BT71" s="53" t="inlineStr">
        <is>
          <t>L3 – Professional / Associate</t>
        </is>
      </c>
      <c r="BU71" s="53" t="inlineStr">
        <is>
          <t>No designation change — current record value carried forward</t>
        </is>
      </c>
      <c r="BV7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71" s="53" t="n"/>
      <c r="BX71" s="53" t="inlineStr">
        <is>
          <t>USA - SEC · On Contract.</t>
        </is>
      </c>
      <c r="BY71" s="53" t="n"/>
      <c r="BZ71" s="53" t="inlineStr">
        <is>
          <t>IRISC327</t>
        </is>
      </c>
      <c r="CA71" s="53" t="inlineStr">
        <is>
          <t>On Contract</t>
        </is>
      </c>
      <c r="CB71" s="53" t="inlineStr">
        <is>
          <t>Active</t>
        </is>
      </c>
      <c r="CC71" s="53" t="inlineStr">
        <is>
          <t>Satyajeet Patil</t>
        </is>
      </c>
      <c r="CD71" s="54" t="n">
        <v>46006</v>
      </c>
      <c r="CE71" s="53" t="inlineStr">
        <is>
          <t>Consultant</t>
        </is>
      </c>
      <c r="CF71" s="53" t="n"/>
      <c r="CG71" s="53" t="inlineStr">
        <is>
          <t>Professional Services</t>
        </is>
      </c>
      <c r="CH71" s="53" t="inlineStr">
        <is>
          <t>Digitization &amp; Image Processing</t>
        </is>
      </c>
      <c r="CI71" s="53" t="inlineStr">
        <is>
          <t>Consultant</t>
        </is>
      </c>
      <c r="CJ71" s="53" t="inlineStr">
        <is>
          <t>L3 – Professional / Associate</t>
        </is>
      </c>
      <c r="CK71" s="53" t="inlineStr">
        <is>
          <t>Janardan Bale</t>
        </is>
      </c>
      <c r="CL71" s="53" t="inlineStr">
        <is>
          <t>N-7</t>
        </is>
      </c>
      <c r="CM71" s="53" t="inlineStr">
        <is>
          <t>Individual Contributor</t>
        </is>
      </c>
      <c r="CN71" s="53" t="inlineStr">
        <is>
          <t>Regtech</t>
        </is>
      </c>
      <c r="CO71" s="53" t="inlineStr">
        <is>
          <t>Digitizing</t>
        </is>
      </c>
      <c r="CP71" s="53" t="inlineStr">
        <is>
          <t>0 years, 6 months, 5 days</t>
        </is>
      </c>
      <c r="CQ71" s="53" t="inlineStr">
        <is>
          <t>Consultant</t>
        </is>
      </c>
      <c r="CR71" s="53" t="n"/>
      <c r="CS71" s="53" t="n">
        <v>3</v>
      </c>
      <c r="CT71" s="53" t="inlineStr">
        <is>
          <t>Medium</t>
        </is>
      </c>
      <c r="CU71" s="53" t="inlineStr">
        <is>
          <t>Core Contributor</t>
        </is>
      </c>
      <c r="CV71" s="53" t="inlineStr">
        <is>
          <t>No</t>
        </is>
      </c>
      <c r="CW71" s="53" t="inlineStr">
        <is>
          <t>No</t>
        </is>
      </c>
      <c r="CX71" s="53" t="inlineStr">
        <is>
          <t>Yes</t>
        </is>
      </c>
      <c r="CY71" s="53" t="n"/>
      <c r="CZ71" s="53" t="n"/>
      <c r="DA71" s="53" t="n"/>
      <c r="DB71" s="53" t="n"/>
      <c r="DC71" s="53" t="n"/>
      <c r="DD71" s="53" t="n"/>
      <c r="DE71" s="53" t="n"/>
      <c r="DF71" s="53" t="n"/>
      <c r="DG71" s="53" t="n"/>
      <c r="DH71" s="53" t="n"/>
      <c r="DI71" s="53" t="n"/>
      <c r="DJ71" s="53" t="n"/>
      <c r="DK71" s="53" t="n"/>
      <c r="DL71" s="53" t="n"/>
      <c r="DM71" s="53" t="n"/>
      <c r="DN71" s="53" t="n"/>
      <c r="DO71" s="53" t="n"/>
      <c r="DP71" s="53" t="n"/>
      <c r="DQ71" s="53" t="n"/>
      <c r="DR71" s="53" t="n"/>
      <c r="DS71" s="53" t="n"/>
      <c r="DT71" s="53" t="n"/>
      <c r="DU71" s="53" t="n"/>
      <c r="DV71" s="53" t="n"/>
      <c r="DW71" s="53" t="n"/>
      <c r="DX71" s="53" t="n"/>
      <c r="DY71" s="53" t="n"/>
      <c r="DZ71" s="53" t="n"/>
      <c r="EA71" s="53" t="n"/>
      <c r="EB71" s="53" t="n"/>
      <c r="EC71" s="53" t="n"/>
      <c r="ED71" s="53" t="n"/>
      <c r="EE71" s="53" t="n"/>
      <c r="EF71" s="53" t="n"/>
      <c r="EG71" s="53" t="n"/>
      <c r="EH71" s="53" t="n"/>
      <c r="EI71" s="53" t="n"/>
      <c r="EJ71" s="53" t="n"/>
      <c r="EK71" s="53" t="n"/>
      <c r="EL71" s="53" t="n"/>
      <c r="EM71" s="53" t="n"/>
      <c r="EN71" s="53" t="n"/>
      <c r="EO71" s="53" t="n"/>
      <c r="EP71" s="53" t="n"/>
      <c r="EQ71" s="53" t="n"/>
      <c r="ER71" s="53" t="n"/>
      <c r="ES71" s="53" t="n"/>
      <c r="ET71" s="53" t="n"/>
      <c r="EU71" s="53" t="n"/>
      <c r="EV71" s="53" t="n"/>
      <c r="EW71" s="52" t="n"/>
      <c r="EX71" s="53" t="inlineStr">
        <is>
          <t>• Role / sub-team: Digitizing Assisted Service.</t>
        </is>
      </c>
      <c r="EY71" s="53" t="inlineStr">
        <is>
          <t>• Key responsibilities include: US SEC &amp; US DM formatting and review and HTML conversion from word document.
• Reported deliverables and outcomes include: Completed work is self-reviewed before being sent to the service team.</t>
        </is>
      </c>
      <c r="EZ71" s="53" t="inlineStr">
        <is>
          <t>• Current capabilities: Discipline and Patience; Tools / software used: Both | Microsoft Web Expression [Teams chat].</t>
        </is>
      </c>
      <c r="FA71" s="53" t="inlineStr">
        <is>
          <t>• Communications skills.
• Presentation skills.</t>
        </is>
      </c>
      <c r="FB71" s="53" t="inlineStr">
        <is>
          <t>• Key challenges: Quality of report, RDP issue.
• Support required: No input received.</t>
        </is>
      </c>
      <c r="FC71" s="53" t="n"/>
      <c r="FD71" s="53" t="n"/>
      <c r="FE7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71" s="56" t="n"/>
      <c r="FG71" s="56" t="n"/>
      <c r="FH71" s="56" t="n"/>
      <c r="FI71" s="56" t="n"/>
      <c r="FJ71" s="56" t="inlineStr">
        <is>
          <t>Received · manager annual</t>
        </is>
      </c>
      <c r="FK71" s="56" t="inlineStr">
        <is>
          <t>CARBON Mapping Master</t>
        </is>
      </c>
      <c r="FL71" s="56" t="n">
        <v>20</v>
      </c>
      <c r="FM71" s="56" t="inlineStr">
        <is>
          <t>• Role / sub-team: Digitizing Assisted Service.</t>
        </is>
      </c>
      <c r="FN71" s="56" t="inlineStr">
        <is>
          <t>• Key responsibilities include: US SEC &amp; US DM formatting and review and HTML conversion from word document.
• Reported deliverables and outcomes include: Completed work is self-reviewed before being sent to the service team.</t>
        </is>
      </c>
      <c r="FO71" s="56" t="inlineStr">
        <is>
          <t>• Current capabilities: Discipline and Patience; Tools / software used: Both | Microsoft Web Expression [Teams chat].</t>
        </is>
      </c>
      <c r="FP71" s="56" t="inlineStr">
        <is>
          <t>• Communications skills.
• Presentation skills.</t>
        </is>
      </c>
      <c r="FQ71" s="56" t="inlineStr">
        <is>
          <t>• Key challenges: Quality of report, RDP issue.
• Support required: No input received.</t>
        </is>
      </c>
      <c r="FR71" s="56" t="inlineStr">
        <is>
          <t>Complexity: Evidence reads like A2: US SEC / US DM formatting, data checking, HTML conversion to guidelines → matches the start
Autonomy: Evidence reads like A1: States 'Not applicable'; follows guidelines → moved down 0.5
Accountability: Evidence reads like A2: Own work; self-reviewed before sending to service team → matches the start
Leadership: Evidence reads like A1: No guidance or leadership of others described → matches the start
Business Impact: Moved +0.5: the survey / manager mapping marks it business-critical.</t>
        </is>
      </c>
      <c r="FS71"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71" s="56" t="inlineStr">
        <is>
          <t>Self-identified: Project / programme management · Product &amp; tool knowledge · Broader exposure &amp; ownership
For the next role: Project / programme management · Product &amp; tool knowledge · Broader exposure &amp; ownership</t>
        </is>
      </c>
      <c r="FU71" s="56" t="inlineStr">
        <is>
          <t>Per-person summary · CARBON Mapping Master</t>
        </is>
      </c>
    </row>
    <row r="72" ht="90" customHeight="1">
      <c r="A72" s="51" t="inlineStr">
        <is>
          <t>◂ Back</t>
        </is>
      </c>
      <c r="B72" s="29" t="inlineStr">
        <is>
          <t>Mapped</t>
        </is>
      </c>
      <c r="C72" s="28" t="inlineStr">
        <is>
          <t>Consume</t>
        </is>
      </c>
      <c r="D72" s="29" t="inlineStr">
        <is>
          <t>IRIS0114</t>
        </is>
      </c>
      <c r="E72" s="29" t="inlineStr">
        <is>
          <t>Shraddha Patil</t>
        </is>
      </c>
      <c r="F72" s="29" t="inlineStr">
        <is>
          <t>Digitizing</t>
        </is>
      </c>
      <c r="G72" s="29" t="inlineStr">
        <is>
          <t>Image Processing Specialist</t>
        </is>
      </c>
      <c r="H72" s="29" t="inlineStr">
        <is>
          <t>Digitization Manager</t>
        </is>
      </c>
      <c r="I72" s="29" t="inlineStr">
        <is>
          <t>L3 – Professional / Associate</t>
        </is>
      </c>
      <c r="J72" s="29" t="inlineStr">
        <is>
          <t>B2</t>
        </is>
      </c>
      <c r="K72" s="29" t="inlineStr">
        <is>
          <t>▲ Up</t>
        </is>
      </c>
      <c r="L72" s="29" t="inlineStr">
        <is>
          <t>Data Operations &amp; Digitization</t>
        </is>
      </c>
      <c r="M72" s="29" t="inlineStr">
        <is>
          <t>Document Conversion, Formatting &amp; Web Publishing</t>
        </is>
      </c>
      <c r="N72" s="29" t="inlineStr">
        <is>
          <t>• Confirm the reporting line — Manager</t>
        </is>
      </c>
      <c r="O72" s="29" t="n">
        <v>20</v>
      </c>
      <c r="P72" s="28" t="inlineStr">
        <is>
          <t>P4 / M3</t>
        </is>
      </c>
      <c r="Q72" s="29" t="inlineStr">
        <is>
          <t>Senior / Manager</t>
        </is>
      </c>
      <c r="R72" s="29" t="inlineStr">
        <is>
          <t>4–5</t>
        </is>
      </c>
      <c r="S72" s="29" t="inlineStr">
        <is>
          <t>6–9 yrs</t>
        </is>
      </c>
      <c r="T72" s="29" t="inlineStr">
        <is>
          <t>7–10 · 6–11</t>
        </is>
      </c>
      <c r="U72" s="29" t="inlineStr">
        <is>
          <t>Manager</t>
        </is>
      </c>
      <c r="V72" s="29" t="inlineStr">
        <is>
          <t>Accenture Operations: L8 Associate Manager · IRIS Vs Competitor Benchmark — operations roles: Operations Manager</t>
        </is>
      </c>
      <c r="W72" s="29" t="inlineStr">
        <is>
          <t>COPC CX Standard · leadership &amp; planning, people, processes, performance; ISO 9001; Lean / Six Sigma</t>
        </is>
      </c>
      <c r="X72" s="29" t="inlineStr">
        <is>
          <t>Core 3 · Future 3 · Functional 4 · Leadership 3</t>
        </is>
      </c>
      <c r="Y72" s="52" t="n">
        <v>25</v>
      </c>
      <c r="Z72" s="53" t="inlineStr">
        <is>
          <t>IRIS0114</t>
        </is>
      </c>
      <c r="AA72" s="53" t="inlineStr">
        <is>
          <t>Employee</t>
        </is>
      </c>
      <c r="AB72" s="53" t="inlineStr">
        <is>
          <t>Active</t>
        </is>
      </c>
      <c r="AC72" s="53" t="inlineStr">
        <is>
          <t>Shraddha Patil</t>
        </is>
      </c>
      <c r="AD72" s="54" t="n">
        <v>39326</v>
      </c>
      <c r="AE72" s="53" t="inlineStr">
        <is>
          <t>Image Processing Specialist</t>
        </is>
      </c>
      <c r="AF72" s="53" t="inlineStr">
        <is>
          <t>BA</t>
        </is>
      </c>
      <c r="AG72" s="53" t="inlineStr">
        <is>
          <t>Vijay Parulekar</t>
        </is>
      </c>
      <c r="AH72" s="53" t="inlineStr">
        <is>
          <t>N-6</t>
        </is>
      </c>
      <c r="AI72" s="53" t="inlineStr">
        <is>
          <t>Manager</t>
        </is>
      </c>
      <c r="AJ72" s="53" t="inlineStr">
        <is>
          <t>0 years, 0 months, 0 days</t>
        </is>
      </c>
      <c r="AK72" s="53" t="inlineStr">
        <is>
          <t>18 years, 11 months, 24 days</t>
        </is>
      </c>
      <c r="AL72" s="53" t="inlineStr">
        <is>
          <t>Consume</t>
        </is>
      </c>
      <c r="AM72" s="53" t="inlineStr">
        <is>
          <t>Consume</t>
        </is>
      </c>
      <c r="AN72" s="53" t="inlineStr">
        <is>
          <t>Digitizing</t>
        </is>
      </c>
      <c r="AO72" s="53" t="inlineStr">
        <is>
          <t>Digitizing Assisted services</t>
        </is>
      </c>
      <c r="AP72" s="53" t="inlineStr">
        <is>
          <t>No</t>
        </is>
      </c>
      <c r="AQ72" s="53" t="inlineStr">
        <is>
          <t>Professional Services</t>
        </is>
      </c>
      <c r="AR72" s="53" t="inlineStr">
        <is>
          <t>OCR/Image procesing</t>
        </is>
      </c>
      <c r="AS72" s="53" t="inlineStr">
        <is>
          <t>Non-technical</t>
        </is>
      </c>
      <c r="AT72" s="53" t="n">
        <v>20</v>
      </c>
      <c r="AU72" s="53" t="inlineStr">
        <is>
          <t>Covered</t>
        </is>
      </c>
      <c r="AV72" s="53" t="inlineStr">
        <is>
          <t>IRIS0114</t>
        </is>
      </c>
      <c r="AW72" s="53" t="inlineStr">
        <is>
          <t>Shraddha Patil</t>
        </is>
      </c>
      <c r="AX72" s="53" t="inlineStr">
        <is>
          <t>Digitizing</t>
        </is>
      </c>
      <c r="AY72" s="53" t="inlineStr">
        <is>
          <t>Professional Services</t>
        </is>
      </c>
      <c r="AZ72" s="53" t="inlineStr">
        <is>
          <t>Digitization &amp; Image Processing</t>
        </is>
      </c>
      <c r="BA72" s="53" t="n"/>
      <c r="BB72" s="53" t="n"/>
      <c r="BC72" s="53" t="inlineStr">
        <is>
          <t>Employee</t>
        </is>
      </c>
      <c r="BD72" s="53" t="inlineStr">
        <is>
          <t>Vijay Parulekar</t>
        </is>
      </c>
      <c r="BE72" s="53" t="inlineStr">
        <is>
          <t>Vijay Parulekar</t>
        </is>
      </c>
      <c r="BF72" s="53" t="inlineStr">
        <is>
          <t>No</t>
        </is>
      </c>
      <c r="BG72" s="53" t="inlineStr">
        <is>
          <t>Image Processing Specialist</t>
        </is>
      </c>
      <c r="BH72" s="53" t="inlineStr">
        <is>
          <t>Manager - Digitizing</t>
        </is>
      </c>
      <c r="BI72" s="53" t="inlineStr">
        <is>
          <t>Yes</t>
        </is>
      </c>
      <c r="BJ72" s="53" t="n">
        <v>8</v>
      </c>
      <c r="BK72" s="53" t="n">
        <v>5</v>
      </c>
      <c r="BL72" s="53" t="n">
        <v>5</v>
      </c>
      <c r="BM72" s="53" t="inlineStr">
        <is>
          <t>Healthy</t>
        </is>
      </c>
      <c r="BN72" s="53" t="n">
        <v>10</v>
      </c>
      <c r="BO72" s="53" t="n">
        <v>5</v>
      </c>
      <c r="BP72" s="53" t="n">
        <v>5</v>
      </c>
      <c r="BQ72" s="53" t="inlineStr">
        <is>
          <t>Healthy</t>
        </is>
      </c>
      <c r="BR72" s="53" t="inlineStr">
        <is>
          <t>No</t>
        </is>
      </c>
      <c r="BS72" s="53" t="inlineStr">
        <is>
          <t>L3 – Professional / Associate</t>
        </is>
      </c>
      <c r="BT72" s="53" t="inlineStr">
        <is>
          <t>L4</t>
        </is>
      </c>
      <c r="BU72" s="53" t="inlineStr">
        <is>
          <t>Designation refined from Raw tab Comments column · this update</t>
        </is>
      </c>
      <c r="BV72" s="53"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W72" s="53" t="n"/>
      <c r="BX72" s="53" t="inlineStr">
        <is>
          <t>No input received.</t>
        </is>
      </c>
      <c r="BY72" s="53" t="n"/>
      <c r="BZ72" s="53" t="inlineStr">
        <is>
          <t>IRIS0114</t>
        </is>
      </c>
      <c r="CA72" s="53" t="inlineStr">
        <is>
          <t>Employee</t>
        </is>
      </c>
      <c r="CB72" s="53" t="inlineStr">
        <is>
          <t>Active</t>
        </is>
      </c>
      <c r="CC72" s="53" t="inlineStr">
        <is>
          <t>Shraddha Patil</t>
        </is>
      </c>
      <c r="CD72" s="54" t="n">
        <v>39326</v>
      </c>
      <c r="CE72" s="53" t="inlineStr">
        <is>
          <t>Image Processing Specialist</t>
        </is>
      </c>
      <c r="CF72" s="53" t="n"/>
      <c r="CG72" s="53" t="inlineStr">
        <is>
          <t>Professional Services</t>
        </is>
      </c>
      <c r="CH72" s="53" t="inlineStr">
        <is>
          <t>Digitization &amp; Image Processing</t>
        </is>
      </c>
      <c r="CI72" s="53" t="inlineStr">
        <is>
          <t>Image Processing Specialist</t>
        </is>
      </c>
      <c r="CJ72" s="53" t="inlineStr">
        <is>
          <t>L3 – Professional / Associate</t>
        </is>
      </c>
      <c r="CK72" s="53" t="inlineStr">
        <is>
          <t>Vijay Parulekar</t>
        </is>
      </c>
      <c r="CL72" s="53" t="inlineStr">
        <is>
          <t>N-6</t>
        </is>
      </c>
      <c r="CM72" s="53" t="inlineStr">
        <is>
          <t>Manager</t>
        </is>
      </c>
      <c r="CN72" s="53" t="inlineStr">
        <is>
          <t>Consume</t>
        </is>
      </c>
      <c r="CO72" s="53" t="inlineStr">
        <is>
          <t>Digitizing</t>
        </is>
      </c>
      <c r="CP72" s="53" t="inlineStr">
        <is>
          <t>18 years, 9 months, 19 days</t>
        </is>
      </c>
      <c r="CQ72" s="53" t="inlineStr">
        <is>
          <t>Manager- Digitizing</t>
        </is>
      </c>
      <c r="CR72" s="53" t="n"/>
      <c r="CS72" s="53" t="n">
        <v>5</v>
      </c>
      <c r="CT72" s="53" t="inlineStr">
        <is>
          <t>High</t>
        </is>
      </c>
      <c r="CU72" s="53" t="inlineStr">
        <is>
          <t>Core Contributor</t>
        </is>
      </c>
      <c r="CV72" s="53" t="inlineStr">
        <is>
          <t>No</t>
        </is>
      </c>
      <c r="CW72" s="53" t="inlineStr">
        <is>
          <t>No</t>
        </is>
      </c>
      <c r="CX72" s="53" t="inlineStr">
        <is>
          <t>Yes</t>
        </is>
      </c>
      <c r="CY72" s="53" t="n"/>
      <c r="CZ72" s="53" t="n"/>
      <c r="DA72" s="53" t="n"/>
      <c r="DB72" s="53" t="inlineStr">
        <is>
          <t>Title to be changed to Manager - Digitizing. Not Carbon employee but to be mapped to iFile</t>
        </is>
      </c>
      <c r="DC72" s="53" t="n"/>
      <c r="DD72" s="53" t="n"/>
      <c r="DE72" s="53" t="n"/>
      <c r="DF72" s="53" t="n"/>
      <c r="DG72" s="53" t="n"/>
      <c r="DH72" s="53" t="n"/>
      <c r="DI72" s="53" t="n"/>
      <c r="DJ72" s="53" t="n"/>
      <c r="DK72" s="53" t="n"/>
      <c r="DL72" s="53" t="n"/>
      <c r="DM72" s="53" t="n"/>
      <c r="DN72" s="53" t="n"/>
      <c r="DO72" s="53" t="n"/>
      <c r="DP72" s="53" t="n"/>
      <c r="DQ72" s="53" t="n"/>
      <c r="DR72" s="53" t="n"/>
      <c r="DS72" s="53" t="n"/>
      <c r="DT72" s="53" t="n"/>
      <c r="DU72" s="53" t="n"/>
      <c r="DV72" s="53" t="n"/>
      <c r="DW72" s="53" t="n"/>
      <c r="DX72" s="53" t="n"/>
      <c r="DY72" s="53" t="n"/>
      <c r="DZ72" s="53" t="n"/>
      <c r="EA72" s="53" t="n"/>
      <c r="EB72" s="53" t="n"/>
      <c r="EC72" s="53" t="n"/>
      <c r="ED72" s="53" t="n"/>
      <c r="EE72" s="53" t="n"/>
      <c r="EF72" s="53" t="n"/>
      <c r="EG72" s="53" t="n"/>
      <c r="EH72" s="53" t="n"/>
      <c r="EI72" s="53" t="n"/>
      <c r="EJ72" s="53" t="n"/>
      <c r="EK72" s="53" t="n"/>
      <c r="EL72" s="53" t="n"/>
      <c r="EM72" s="53" t="n"/>
      <c r="EN72" s="53" t="n"/>
      <c r="EO72" s="53" t="n"/>
      <c r="EP72" s="53" t="n"/>
      <c r="EQ72" s="53" t="n"/>
      <c r="ER72" s="53" t="n"/>
      <c r="ES72" s="53" t="n"/>
      <c r="ET72" s="53" t="n"/>
      <c r="EU72" s="53" t="n"/>
      <c r="EV72" s="53" t="n"/>
      <c r="EW72" s="52" t="n"/>
      <c r="EX72" s="53" t="inlineStr">
        <is>
          <t>• Role / sub-team: Digitizing — Image Processing Specialist.
• Core purpose: My core purpose is to align my team, clear away roadblocks, and drive us together".
• Decision-making autonomy: No input received.
• Is this something only they do: No input received.</t>
        </is>
      </c>
      <c r="EY72" s="53" t="inlineStr">
        <is>
          <t>• Key responsibilities include: Maintain RBI website.
• Impact if missed or done wrong: No input received.
• How measured: No input received.</t>
        </is>
      </c>
      <c r="EZ72" s="53" t="inlineStr">
        <is>
          <t>• Current capabilities: No input received.
• Tools / software used: No input received.</t>
        </is>
      </c>
      <c r="FA72" s="53" t="inlineStr">
        <is>
          <t>• Development priorities: No input received.</t>
        </is>
      </c>
      <c r="FB72" s="53" t="inlineStr">
        <is>
          <t>• Key challenges: No input received.
• Support required: No input received.</t>
        </is>
      </c>
      <c r="FC72" s="53" t="n"/>
      <c r="FD72" s="53" t="n"/>
      <c r="FE72" s="57"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FF72" s="56" t="n"/>
      <c r="FG72" s="56" t="n"/>
      <c r="FH72" s="56" t="n"/>
      <c r="FI72" s="56" t="n"/>
      <c r="FJ72" s="56" t="inlineStr">
        <is>
          <t>Received · manager annual</t>
        </is>
      </c>
      <c r="FK72" s="56" t="inlineStr">
        <is>
          <t>CARBON Mapping Master</t>
        </is>
      </c>
      <c r="FL72" s="56" t="n">
        <v>20</v>
      </c>
      <c r="FM72" s="56" t="inlineStr">
        <is>
          <t>• Role / sub-team: Digitizing — Image Processing Specialist.
• Core purpose: My core purpose is to align my team, clear away roadblocks, and drive us together".
• Decision-making autonomy: No input received.
• Is this something only they do: No input received.</t>
        </is>
      </c>
      <c r="FN72" s="56" t="inlineStr">
        <is>
          <t>• Key responsibilities include: Maintain RBI website.
• Impact if missed or done wrong: No input received.
• How measured: No input received.</t>
        </is>
      </c>
      <c r="FO72" s="56" t="inlineStr">
        <is>
          <t>• Current capabilities: No input received.
• Tools / software used: No input received.</t>
        </is>
      </c>
      <c r="FP72" s="56" t="inlineStr">
        <is>
          <t>• Development priorities: No input received.</t>
        </is>
      </c>
      <c r="FQ72" s="56" t="inlineStr">
        <is>
          <t>• Key challenges: No input received.
• Support required: No input received.</t>
        </is>
      </c>
      <c r="FR72" s="56" t="inlineStr">
        <is>
          <t>Complexity: Evidence reads like B1: Runs RBI website maintenance delivery: client coordination, root-cause analysis, quality management, release plans → moved up 0.5
Autonomy: Evidence reads like B2: Decides team workload and major release plans → moved up 0.5
Accountability: Evidence reads like B2: As team leader, accountable for overall delivery of the Website Maintenance Project → matches the start
Leadership: Evidence reads like B2: Manages performance and workload of the team; 8 direct reports → matches the start
Business Impact: Moved +0.5: the survey / manager mapping marks it business-critical.</t>
        </is>
      </c>
      <c r="FS72"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72" s="56" t="inlineStr">
        <is>
          <t>Self-identified: Strategy &amp; business acumen
For the next role: Strategy &amp; business acumen</t>
        </is>
      </c>
      <c r="FU72" s="56" t="inlineStr">
        <is>
          <t>Per-person summary · CARBON Mapping Master</t>
        </is>
      </c>
    </row>
    <row r="73" ht="90" customHeight="1">
      <c r="A73" s="51" t="inlineStr">
        <is>
          <t>◂ Back</t>
        </is>
      </c>
      <c r="B73" s="29" t="inlineStr">
        <is>
          <t>Mapped</t>
        </is>
      </c>
      <c r="C73" s="28" t="inlineStr">
        <is>
          <t>Consume</t>
        </is>
      </c>
      <c r="D73" s="29" t="inlineStr">
        <is>
          <t>IRIS0167</t>
        </is>
      </c>
      <c r="E73" s="29" t="inlineStr">
        <is>
          <t>Nitin Bhoir</t>
        </is>
      </c>
      <c r="F73" s="29" t="inlineStr">
        <is>
          <t>Digitizing</t>
        </is>
      </c>
      <c r="G73" s="29" t="inlineStr">
        <is>
          <t>Image Processing Specialist</t>
        </is>
      </c>
      <c r="H73" s="29" t="inlineStr">
        <is>
          <t>Digitization Specialist</t>
        </is>
      </c>
      <c r="I73" s="29" t="inlineStr">
        <is>
          <t>L3 – Professional / Associate</t>
        </is>
      </c>
      <c r="J73" s="29" t="inlineStr">
        <is>
          <t>B1</t>
        </is>
      </c>
      <c r="K73" s="29" t="inlineStr">
        <is>
          <t>▲ Up</t>
        </is>
      </c>
      <c r="L73" s="29" t="inlineStr">
        <is>
          <t>Data Operations &amp; Digitization</t>
        </is>
      </c>
      <c r="M73" s="29" t="inlineStr">
        <is>
          <t>Document Conversion, Formatting &amp; Web Publishing</t>
        </is>
      </c>
      <c r="N73" s="29" t="n"/>
      <c r="O73" s="29" t="n">
        <v>20</v>
      </c>
      <c r="P73" s="28" t="inlineStr">
        <is>
          <t>P3 / M2</t>
        </is>
      </c>
      <c r="Q73" s="29" t="inlineStr">
        <is>
          <t>Career / · Team Lead</t>
        </is>
      </c>
      <c r="R73" s="29" t="inlineStr">
        <is>
          <t>4 Enable</t>
        </is>
      </c>
      <c r="S73" s="29" t="inlineStr">
        <is>
          <t>4–7 yrs</t>
        </is>
      </c>
      <c r="T73" s="29" t="inlineStr">
        <is>
          <t>5–8 · 4–8</t>
        </is>
      </c>
      <c r="U73" s="29" t="inlineStr">
        <is>
          <t>Specialist / QC Analyst</t>
        </is>
      </c>
      <c r="V73" s="29" t="inlineStr">
        <is>
          <t>Accenture Operations: L9 Team Lead · IRIS Vs Competitor Benchmark — operations roles: Team Lead / Quality Lead</t>
        </is>
      </c>
      <c r="W73" s="29" t="inlineStr">
        <is>
          <t>COPC CX Standard · leadership &amp; planning, people, processes, performance; ISO 9001; Lean / Six Sigma</t>
        </is>
      </c>
      <c r="X73" s="29" t="inlineStr">
        <is>
          <t>Core 3 · Future 3 · Functional 3 · Leadership 1</t>
        </is>
      </c>
      <c r="Y73" s="52" t="n">
        <v>34</v>
      </c>
      <c r="Z73" s="53" t="inlineStr">
        <is>
          <t>IRIS0167</t>
        </is>
      </c>
      <c r="AA73" s="53" t="inlineStr">
        <is>
          <t>Employee</t>
        </is>
      </c>
      <c r="AB73" s="53" t="inlineStr">
        <is>
          <t>Active</t>
        </is>
      </c>
      <c r="AC73" s="53" t="inlineStr">
        <is>
          <t>Nitin Bhoir</t>
        </is>
      </c>
      <c r="AD73" s="54" t="n">
        <v>39470</v>
      </c>
      <c r="AE73" s="53" t="inlineStr">
        <is>
          <t>Image Processing Specialist</t>
        </is>
      </c>
      <c r="AF73" s="53" t="inlineStr">
        <is>
          <t>BA</t>
        </is>
      </c>
      <c r="AG73" s="53" t="inlineStr">
        <is>
          <t>Shraddha Patil</t>
        </is>
      </c>
      <c r="AH73" s="53" t="inlineStr">
        <is>
          <t>N-7</t>
        </is>
      </c>
      <c r="AI73" s="53" t="inlineStr">
        <is>
          <t>Individual Contributor</t>
        </is>
      </c>
      <c r="AJ73" s="53" t="inlineStr">
        <is>
          <t>0 years, 3 months, 0 days</t>
        </is>
      </c>
      <c r="AK73" s="53" t="inlineStr">
        <is>
          <t>18 years, 7 months, 2 days</t>
        </is>
      </c>
      <c r="AL73" s="53" t="inlineStr">
        <is>
          <t>Consume</t>
        </is>
      </c>
      <c r="AM73" s="53" t="inlineStr">
        <is>
          <t>Consume</t>
        </is>
      </c>
      <c r="AN73" s="53" t="inlineStr">
        <is>
          <t>Digitizing</t>
        </is>
      </c>
      <c r="AO73" s="53" t="inlineStr">
        <is>
          <t>Digitizing Assisted services</t>
        </is>
      </c>
      <c r="AP73" s="53" t="inlineStr">
        <is>
          <t>No</t>
        </is>
      </c>
      <c r="AQ73" s="53" t="inlineStr">
        <is>
          <t>Professional Services</t>
        </is>
      </c>
      <c r="AR73" s="53" t="inlineStr">
        <is>
          <t>OCR/Image procesing</t>
        </is>
      </c>
      <c r="AS73" s="53" t="inlineStr">
        <is>
          <t>Non-technical</t>
        </is>
      </c>
      <c r="AT73" s="53" t="n">
        <v>20</v>
      </c>
      <c r="AU73" s="53" t="inlineStr">
        <is>
          <t>Covered</t>
        </is>
      </c>
      <c r="AV73" s="53" t="inlineStr">
        <is>
          <t>IRIS0167</t>
        </is>
      </c>
      <c r="AW73" s="53" t="inlineStr">
        <is>
          <t>Nitin Bhoir</t>
        </is>
      </c>
      <c r="AX73" s="53" t="inlineStr">
        <is>
          <t>Digitizing</t>
        </is>
      </c>
      <c r="AY73" s="53" t="inlineStr">
        <is>
          <t>Professional Services</t>
        </is>
      </c>
      <c r="AZ73" s="53" t="inlineStr">
        <is>
          <t>Regulatory Portal Operations</t>
        </is>
      </c>
      <c r="BA73" s="53" t="n"/>
      <c r="BB73" s="53" t="n"/>
      <c r="BC73" s="53" t="inlineStr">
        <is>
          <t>Employee</t>
        </is>
      </c>
      <c r="BD73" s="53" t="inlineStr">
        <is>
          <t>Shraddha Patil</t>
        </is>
      </c>
      <c r="BE73" s="53" t="inlineStr">
        <is>
          <t>Shraddha Patil</t>
        </is>
      </c>
      <c r="BF73" s="53" t="inlineStr">
        <is>
          <t>No</t>
        </is>
      </c>
      <c r="BG73" s="53" t="inlineStr">
        <is>
          <t>Image Processing Specialist</t>
        </is>
      </c>
      <c r="BH73" s="53" t="inlineStr">
        <is>
          <t>Sr Regulatory Portal Operations Specialist</t>
        </is>
      </c>
      <c r="BI73" s="53" t="inlineStr">
        <is>
          <t>Yes</t>
        </is>
      </c>
      <c r="BJ73" s="53" t="inlineStr">
        <is>
          <t>—</t>
        </is>
      </c>
      <c r="BK73" s="53" t="inlineStr">
        <is>
          <t>—</t>
        </is>
      </c>
      <c r="BL73" s="53" t="inlineStr">
        <is>
          <t>—</t>
        </is>
      </c>
      <c r="BM73" s="53" t="inlineStr">
        <is>
          <t>Not a manager</t>
        </is>
      </c>
      <c r="BN73" s="53" t="inlineStr">
        <is>
          <t>—</t>
        </is>
      </c>
      <c r="BO73" s="53" t="inlineStr">
        <is>
          <t>—</t>
        </is>
      </c>
      <c r="BP73" s="53" t="inlineStr">
        <is>
          <t>—</t>
        </is>
      </c>
      <c r="BQ73" s="53" t="inlineStr">
        <is>
          <t>Not a manager</t>
        </is>
      </c>
      <c r="BR73" s="53" t="inlineStr">
        <is>
          <t>—</t>
        </is>
      </c>
      <c r="BS73" s="53" t="inlineStr">
        <is>
          <t>L3 – Professional / Associate</t>
        </is>
      </c>
      <c r="BT73" s="53" t="inlineStr">
        <is>
          <t>L3</t>
        </is>
      </c>
      <c r="BU73" s="53" t="inlineStr">
        <is>
          <t>Matched from Title Hierarchy · new designation</t>
        </is>
      </c>
      <c r="BV73"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3" s="53" t="n"/>
      <c r="BX73" s="53" t="inlineStr">
        <is>
          <t>Belapur Data Center India.</t>
        </is>
      </c>
      <c r="BY73" s="53" t="n"/>
      <c r="BZ73" s="53" t="inlineStr">
        <is>
          <t>IRIS0167</t>
        </is>
      </c>
      <c r="CA73" s="53" t="inlineStr">
        <is>
          <t>Employee</t>
        </is>
      </c>
      <c r="CB73" s="53" t="inlineStr">
        <is>
          <t>Active</t>
        </is>
      </c>
      <c r="CC73" s="53" t="inlineStr">
        <is>
          <t>Nitin Bhoir</t>
        </is>
      </c>
      <c r="CD73" s="54" t="n">
        <v>39470</v>
      </c>
      <c r="CE73" s="53" t="inlineStr">
        <is>
          <t>Image Processing Specialist</t>
        </is>
      </c>
      <c r="CF73" s="53" t="n"/>
      <c r="CG73" s="53" t="inlineStr">
        <is>
          <t>Professional Services</t>
        </is>
      </c>
      <c r="CH73" s="53" t="inlineStr">
        <is>
          <t>Digitization &amp; Image Processing</t>
        </is>
      </c>
      <c r="CI73" s="53" t="inlineStr">
        <is>
          <t>Image Processing Specialist</t>
        </is>
      </c>
      <c r="CJ73" s="53" t="inlineStr">
        <is>
          <t>L3 – Professional / Associate</t>
        </is>
      </c>
      <c r="CK73" s="53" t="inlineStr">
        <is>
          <t>Shraddha Patil</t>
        </is>
      </c>
      <c r="CL73" s="53" t="inlineStr">
        <is>
          <t>N-7</t>
        </is>
      </c>
      <c r="CM73" s="53" t="inlineStr">
        <is>
          <t>Individual Contributor</t>
        </is>
      </c>
      <c r="CN73" s="53" t="inlineStr">
        <is>
          <t>Consume</t>
        </is>
      </c>
      <c r="CO73" s="53" t="inlineStr">
        <is>
          <t>Digitizing</t>
        </is>
      </c>
      <c r="CP73" s="53" t="inlineStr">
        <is>
          <t>18 years, 7 months, 28 days</t>
        </is>
      </c>
      <c r="CQ73" s="53" t="inlineStr">
        <is>
          <t>Sr.Image Processing Specialist</t>
        </is>
      </c>
      <c r="CR73" s="53" t="n"/>
      <c r="CS73" s="53" t="n">
        <v>3</v>
      </c>
      <c r="CT73" s="53" t="inlineStr">
        <is>
          <t>Medium</t>
        </is>
      </c>
      <c r="CU73" s="53" t="inlineStr">
        <is>
          <t>Core Contributor</t>
        </is>
      </c>
      <c r="CV73" s="53" t="inlineStr">
        <is>
          <t>No</t>
        </is>
      </c>
      <c r="CW73" s="53" t="inlineStr">
        <is>
          <t>No</t>
        </is>
      </c>
      <c r="CX73" s="53" t="inlineStr">
        <is>
          <t>Yes</t>
        </is>
      </c>
      <c r="CY73" s="53" t="n"/>
      <c r="CZ73" s="53" t="n"/>
      <c r="DA73" s="53" t="n"/>
      <c r="DB73" s="53" t="inlineStr">
        <is>
          <t>Title to be standardized to : Sr.Image Processing Specialist</t>
        </is>
      </c>
      <c r="DC73" s="53" t="n"/>
      <c r="DD73" s="53" t="n"/>
      <c r="DE73" s="53" t="n"/>
      <c r="DF73" s="53" t="n"/>
      <c r="DG73" s="53" t="n"/>
      <c r="DH73" s="53" t="n"/>
      <c r="DI73" s="53" t="n"/>
      <c r="DJ73" s="53" t="n"/>
      <c r="DK73" s="53" t="n"/>
      <c r="DL73" s="53" t="n"/>
      <c r="DM73" s="53" t="n"/>
      <c r="DN73" s="53" t="n"/>
      <c r="DO73" s="53" t="n"/>
      <c r="DP73" s="53" t="n"/>
      <c r="DQ73" s="53" t="n"/>
      <c r="DR73" s="53" t="n"/>
      <c r="DS73" s="53" t="n"/>
      <c r="DT73" s="53" t="n"/>
      <c r="DU73" s="53" t="n"/>
      <c r="DV73" s="53" t="n"/>
      <c r="DW73" s="53" t="n"/>
      <c r="DX73" s="53" t="n"/>
      <c r="DY73" s="53" t="n"/>
      <c r="DZ73" s="53" t="n"/>
      <c r="EA73" s="53" t="n"/>
      <c r="EB73" s="53" t="n"/>
      <c r="EC73" s="53" t="n"/>
      <c r="ED73" s="53" t="n"/>
      <c r="EE73" s="53" t="n"/>
      <c r="EF73" s="53" t="n"/>
      <c r="EG73" s="53" t="n"/>
      <c r="EH73" s="53" t="n"/>
      <c r="EI73" s="53" t="n"/>
      <c r="EJ73" s="53" t="n"/>
      <c r="EK73" s="53" t="n"/>
      <c r="EL73" s="53" t="n"/>
      <c r="EM73" s="53" t="n"/>
      <c r="EN73" s="53" t="n"/>
      <c r="EO73" s="53" t="n"/>
      <c r="EP73" s="53" t="n"/>
      <c r="EQ73" s="53" t="n"/>
      <c r="ER73" s="53" t="n"/>
      <c r="ES73" s="53" t="n"/>
      <c r="ET73" s="53" t="n"/>
      <c r="EU73" s="53" t="n"/>
      <c r="EV73" s="53" t="n"/>
      <c r="EW73" s="52" t="n"/>
      <c r="EX73" s="53"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EY73" s="53"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EZ73" s="53" t="inlineStr">
        <is>
          <t>• Current capabilities: No input received.
• Tools / software used: No input received.
• Workload: Rated a very heavy load · 5/5 in a typical week.</t>
        </is>
      </c>
      <c r="FA73" s="53" t="inlineStr">
        <is>
          <t>• Development priorities: No input received.</t>
        </is>
      </c>
      <c r="FB73" s="53" t="inlineStr">
        <is>
          <t>• Key challenges: No input received.
• Support required: No input received.</t>
        </is>
      </c>
      <c r="FC73" s="53" t="n"/>
      <c r="FD73" s="53" t="n"/>
      <c r="FE73"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3" s="56" t="n"/>
      <c r="FG73" s="56" t="n"/>
      <c r="FH73" s="56" t="n"/>
      <c r="FI73" s="56" t="n"/>
      <c r="FJ73" s="56" t="inlineStr">
        <is>
          <t>Received · manager annual</t>
        </is>
      </c>
      <c r="FK73" s="56" t="inlineStr">
        <is>
          <t>CARBON Mapping Master</t>
        </is>
      </c>
      <c r="FL73" s="56" t="n">
        <v>20</v>
      </c>
      <c r="FM73" s="56"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FN73" s="56"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FO73" s="56" t="inlineStr">
        <is>
          <t>• Current capabilities: No input received.
• Tools / software used: No input received.
• Workload: Rated a very heavy load · 5/5 in a typical week.</t>
        </is>
      </c>
      <c r="FP73" s="56" t="inlineStr">
        <is>
          <t>• Development priorities: No input received.</t>
        </is>
      </c>
      <c r="FQ73" s="56" t="inlineStr">
        <is>
          <t>• Key challenges: No input received.
• Support required: No input received.</t>
        </is>
      </c>
      <c r="FR73" s="56" t="inlineStr">
        <is>
          <t>Complexity: Evidence reads like A3: QCs HTML files, fixes syntax errors in Dreamweaver, resolves team and client RBI queries → matches the start
Autonomy: Evidence reads like A2: Independently corrects document syntax; nothing broader stated → moved down 0.5
Accountability: Evidence reads like A3: Accuracy and timeliness of updates published on RBI's live site before effective dates → matches the start
Leadership: Evidence reads like A2: Resolves queries from team members; no formal guidance role described → matches the start
Business Impact: Moved +0.5: the survey / manager mapping marks it business-critical.</t>
        </is>
      </c>
      <c r="FS73"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73" s="56" t="inlineStr">
        <is>
          <t>Self-identified: Leadership &amp; people management · Broader exposure &amp; ownership
For the next role: Leadership &amp; people management · Broader exposure &amp; ownership</t>
        </is>
      </c>
      <c r="FU73" s="56" t="inlineStr">
        <is>
          <t>Per-person summary · CARBON Mapping Master</t>
        </is>
      </c>
    </row>
    <row r="74" ht="90" customHeight="1">
      <c r="A74" s="51" t="inlineStr">
        <is>
          <t>◂ Back</t>
        </is>
      </c>
      <c r="B74" s="29" t="inlineStr">
        <is>
          <t>Mapped</t>
        </is>
      </c>
      <c r="C74" s="28" t="inlineStr">
        <is>
          <t>Consume</t>
        </is>
      </c>
      <c r="D74" s="29" t="inlineStr">
        <is>
          <t>IRIS0110</t>
        </is>
      </c>
      <c r="E74" s="29" t="inlineStr">
        <is>
          <t>Aniket Manval</t>
        </is>
      </c>
      <c r="F74" s="29" t="inlineStr">
        <is>
          <t>Digitizing</t>
        </is>
      </c>
      <c r="G74" s="29" t="inlineStr">
        <is>
          <t>Image Processing Specialist</t>
        </is>
      </c>
      <c r="H74" s="29" t="inlineStr">
        <is>
          <t>Senior Digitization Associate</t>
        </is>
      </c>
      <c r="I74" s="29" t="inlineStr">
        <is>
          <t>L3 – Professional / Associate</t>
        </is>
      </c>
      <c r="J74" s="29" t="inlineStr">
        <is>
          <t>A3</t>
        </is>
      </c>
      <c r="K74" s="29" t="inlineStr">
        <is>
          <t>▲ Up</t>
        </is>
      </c>
      <c r="L74" s="29" t="inlineStr">
        <is>
          <t>Data Operations &amp; Digitization</t>
        </is>
      </c>
      <c r="M74" s="29" t="inlineStr">
        <is>
          <t>Document Conversion, Formatting &amp; Web Publishing</t>
        </is>
      </c>
      <c r="N74" s="29" t="n"/>
      <c r="O74" s="29" t="n">
        <v>20</v>
      </c>
      <c r="P74" s="28" t="inlineStr">
        <is>
          <t>P2</t>
        </is>
      </c>
      <c r="Q74" s="29" t="inlineStr">
        <is>
          <t>Developing</t>
        </is>
      </c>
      <c r="R74" s="29" t="inlineStr">
        <is>
          <t>3 Apply</t>
        </is>
      </c>
      <c r="S74" s="29" t="inlineStr">
        <is>
          <t>2–4 yrs</t>
        </is>
      </c>
      <c r="T74" s="29" t="inlineStr">
        <is>
          <t>3–5 · 2–5</t>
        </is>
      </c>
      <c r="U74" s="29" t="inlineStr">
        <is>
          <t>Senior Associate</t>
        </is>
      </c>
      <c r="V74" s="29" t="inlineStr">
        <is>
          <t>DataTracks: Senior Associate · 2–5 yrs · Accenture Operations: L10 Senior Analyst · IRIS Vs Competitor Benchmark — operations roles: Senior Processor / QC</t>
        </is>
      </c>
      <c r="W74" s="29" t="inlineStr">
        <is>
          <t>COPC CX Standard · leadership &amp; planning, people, processes, performance; ISO 9001; Lean / Six Sigma</t>
        </is>
      </c>
      <c r="X74" s="29" t="inlineStr">
        <is>
          <t>Core 2 · Future 2 · Functional 3 · Leadership not scored</t>
        </is>
      </c>
      <c r="Y74" s="52" t="n">
        <v>24</v>
      </c>
      <c r="Z74" s="53" t="inlineStr">
        <is>
          <t>IRIS0110</t>
        </is>
      </c>
      <c r="AA74" s="53" t="inlineStr">
        <is>
          <t>Employee</t>
        </is>
      </c>
      <c r="AB74" s="53" t="inlineStr">
        <is>
          <t>Active</t>
        </is>
      </c>
      <c r="AC74" s="53" t="inlineStr">
        <is>
          <t>Aniket Manval</t>
        </is>
      </c>
      <c r="AD74" s="54" t="n">
        <v>39326</v>
      </c>
      <c r="AE74" s="53" t="inlineStr">
        <is>
          <t>Image Processing Specialist</t>
        </is>
      </c>
      <c r="AF74" s="53" t="inlineStr">
        <is>
          <t>Undergraduate</t>
        </is>
      </c>
      <c r="AG74" s="53" t="inlineStr">
        <is>
          <t>Shraddha Patil</t>
        </is>
      </c>
      <c r="AH74" s="53" t="inlineStr">
        <is>
          <t>N-7</t>
        </is>
      </c>
      <c r="AI74" s="53" t="inlineStr">
        <is>
          <t>Individual Contributor</t>
        </is>
      </c>
      <c r="AJ74" s="53" t="inlineStr">
        <is>
          <t>0 years, 4 months, 0 days</t>
        </is>
      </c>
      <c r="AK74" s="53" t="inlineStr">
        <is>
          <t>18 years, 11 months, 24 days</t>
        </is>
      </c>
      <c r="AL74" s="53" t="inlineStr">
        <is>
          <t>Consume</t>
        </is>
      </c>
      <c r="AM74" s="53" t="inlineStr">
        <is>
          <t>Consume</t>
        </is>
      </c>
      <c r="AN74" s="53" t="inlineStr">
        <is>
          <t>Digitizing</t>
        </is>
      </c>
      <c r="AO74" s="53" t="inlineStr">
        <is>
          <t>Digitizing Assisted services</t>
        </is>
      </c>
      <c r="AP74" s="53" t="inlineStr">
        <is>
          <t>No</t>
        </is>
      </c>
      <c r="AQ74" s="53" t="inlineStr">
        <is>
          <t>Professional Services</t>
        </is>
      </c>
      <c r="AR74" s="53" t="inlineStr">
        <is>
          <t>OCR/Image procesing</t>
        </is>
      </c>
      <c r="AS74" s="53" t="inlineStr">
        <is>
          <t>Non-technical</t>
        </is>
      </c>
      <c r="AT74" s="53" t="n">
        <v>20</v>
      </c>
      <c r="AU74" s="53" t="inlineStr">
        <is>
          <t>Covered</t>
        </is>
      </c>
      <c r="AV74" s="53" t="inlineStr">
        <is>
          <t>IRIS0110</t>
        </is>
      </c>
      <c r="AW74" s="53" t="inlineStr">
        <is>
          <t>Aniket Manval</t>
        </is>
      </c>
      <c r="AX74" s="53" t="inlineStr">
        <is>
          <t>Digitizing</t>
        </is>
      </c>
      <c r="AY74" s="53" t="inlineStr">
        <is>
          <t>Professional Services</t>
        </is>
      </c>
      <c r="AZ74" s="53" t="inlineStr">
        <is>
          <t>Regulatory Portal Operations</t>
        </is>
      </c>
      <c r="BA74" s="53" t="n"/>
      <c r="BB74" s="53" t="n"/>
      <c r="BC74" s="53" t="inlineStr">
        <is>
          <t>Employee</t>
        </is>
      </c>
      <c r="BD74" s="53" t="inlineStr">
        <is>
          <t>Shraddha Patil</t>
        </is>
      </c>
      <c r="BE74" s="53" t="inlineStr">
        <is>
          <t>Shraddha Patil</t>
        </is>
      </c>
      <c r="BF74" s="53" t="inlineStr">
        <is>
          <t>No</t>
        </is>
      </c>
      <c r="BG74" s="53" t="inlineStr">
        <is>
          <t>Image Processing Specialist</t>
        </is>
      </c>
      <c r="BH74" s="53" t="inlineStr">
        <is>
          <t>Sr Regulatory Portal Operations Specialist</t>
        </is>
      </c>
      <c r="BI74" s="53" t="inlineStr">
        <is>
          <t>Yes</t>
        </is>
      </c>
      <c r="BJ74" s="53" t="inlineStr">
        <is>
          <t>—</t>
        </is>
      </c>
      <c r="BK74" s="53" t="inlineStr">
        <is>
          <t>—</t>
        </is>
      </c>
      <c r="BL74" s="53" t="inlineStr">
        <is>
          <t>—</t>
        </is>
      </c>
      <c r="BM74" s="53" t="inlineStr">
        <is>
          <t>Not a manager</t>
        </is>
      </c>
      <c r="BN74" s="53" t="inlineStr">
        <is>
          <t>—</t>
        </is>
      </c>
      <c r="BO74" s="53" t="inlineStr">
        <is>
          <t>—</t>
        </is>
      </c>
      <c r="BP74" s="53" t="inlineStr">
        <is>
          <t>—</t>
        </is>
      </c>
      <c r="BQ74" s="53" t="inlineStr">
        <is>
          <t>Not a manager</t>
        </is>
      </c>
      <c r="BR74" s="53" t="inlineStr">
        <is>
          <t>—</t>
        </is>
      </c>
      <c r="BS74" s="53" t="inlineStr">
        <is>
          <t>L3 – Professional / Associate</t>
        </is>
      </c>
      <c r="BT74" s="53" t="inlineStr">
        <is>
          <t>L3</t>
        </is>
      </c>
      <c r="BU74" s="53" t="inlineStr">
        <is>
          <t>Matched from Title Hierarchy · new designation</t>
        </is>
      </c>
      <c r="BV74"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4" s="53" t="n"/>
      <c r="BX74" s="53" t="inlineStr">
        <is>
          <t>Indian.</t>
        </is>
      </c>
      <c r="BY74" s="53" t="n"/>
      <c r="BZ74" s="53" t="inlineStr">
        <is>
          <t>IRIS0110</t>
        </is>
      </c>
      <c r="CA74" s="53" t="inlineStr">
        <is>
          <t>Employee</t>
        </is>
      </c>
      <c r="CB74" s="53" t="inlineStr">
        <is>
          <t>Active</t>
        </is>
      </c>
      <c r="CC74" s="53" t="inlineStr">
        <is>
          <t>Aniket Manval</t>
        </is>
      </c>
      <c r="CD74" s="54" t="n">
        <v>39326</v>
      </c>
      <c r="CE74" s="53" t="inlineStr">
        <is>
          <t>Image Processing Specialist</t>
        </is>
      </c>
      <c r="CF74" s="53" t="n"/>
      <c r="CG74" s="53" t="inlineStr">
        <is>
          <t>Professional Services</t>
        </is>
      </c>
      <c r="CH74" s="53" t="inlineStr">
        <is>
          <t>Digitization &amp; Image Processing</t>
        </is>
      </c>
      <c r="CI74" s="53" t="inlineStr">
        <is>
          <t>Image Processing Specialist</t>
        </is>
      </c>
      <c r="CJ74" s="53" t="inlineStr">
        <is>
          <t>L3 – Professional / Associate</t>
        </is>
      </c>
      <c r="CK74" s="53" t="inlineStr">
        <is>
          <t>Shraddha Patil</t>
        </is>
      </c>
      <c r="CL74" s="53" t="inlineStr">
        <is>
          <t>N-7</t>
        </is>
      </c>
      <c r="CM74" s="53" t="inlineStr">
        <is>
          <t>Individual Contributor</t>
        </is>
      </c>
      <c r="CN74" s="53" t="inlineStr">
        <is>
          <t>Consume</t>
        </is>
      </c>
      <c r="CO74" s="53" t="inlineStr">
        <is>
          <t>Digitizing</t>
        </is>
      </c>
      <c r="CP74" s="53" t="inlineStr">
        <is>
          <t>19 years, 1 months, 19 days</t>
        </is>
      </c>
      <c r="CQ74" s="53" t="inlineStr">
        <is>
          <t>Sr.Image Processing Specialist</t>
        </is>
      </c>
      <c r="CR74" s="53" t="n"/>
      <c r="CS74" s="53" t="n">
        <v>4</v>
      </c>
      <c r="CT74" s="53" t="inlineStr">
        <is>
          <t>High</t>
        </is>
      </c>
      <c r="CU74" s="53" t="inlineStr">
        <is>
          <t>Core Contributor</t>
        </is>
      </c>
      <c r="CV74" s="53" t="inlineStr">
        <is>
          <t>No</t>
        </is>
      </c>
      <c r="CW74" s="53" t="inlineStr">
        <is>
          <t>No</t>
        </is>
      </c>
      <c r="CX74" s="53" t="inlineStr">
        <is>
          <t>Yes</t>
        </is>
      </c>
      <c r="CY74" s="53" t="n"/>
      <c r="CZ74" s="53" t="n"/>
      <c r="DA74" s="53" t="n"/>
      <c r="DB74" s="53" t="inlineStr">
        <is>
          <t>Title to be standardized to : Sr.Image Processing Specialist</t>
        </is>
      </c>
      <c r="DC74" s="53" t="n"/>
      <c r="DD74" s="53" t="n"/>
      <c r="DE74" s="53" t="n"/>
      <c r="DF74" s="53" t="n"/>
      <c r="DG74" s="53" t="n"/>
      <c r="DH74" s="53" t="n"/>
      <c r="DI74" s="53" t="n"/>
      <c r="DJ74" s="53" t="n"/>
      <c r="DK74" s="53" t="n"/>
      <c r="DL74" s="53" t="n"/>
      <c r="DM74" s="53" t="n"/>
      <c r="DN74" s="53" t="n"/>
      <c r="DO74" s="53" t="n"/>
      <c r="DP74" s="53" t="n"/>
      <c r="DQ74" s="53" t="n"/>
      <c r="DR74" s="53" t="n"/>
      <c r="DS74" s="53" t="n"/>
      <c r="DT74" s="53" t="n"/>
      <c r="DU74" s="53" t="n"/>
      <c r="DV74" s="53" t="n"/>
      <c r="DW74" s="53" t="n"/>
      <c r="DX74" s="53" t="n"/>
      <c r="DY74" s="53" t="n"/>
      <c r="DZ74" s="53" t="n"/>
      <c r="EA74" s="53" t="n"/>
      <c r="EB74" s="53" t="n"/>
      <c r="EC74" s="53" t="n"/>
      <c r="ED74" s="53" t="n"/>
      <c r="EE74" s="53" t="n"/>
      <c r="EF74" s="53" t="n"/>
      <c r="EG74" s="53" t="n"/>
      <c r="EH74" s="53" t="n"/>
      <c r="EI74" s="53" t="n"/>
      <c r="EJ74" s="53" t="n"/>
      <c r="EK74" s="53" t="n"/>
      <c r="EL74" s="53" t="n"/>
      <c r="EM74" s="53" t="n"/>
      <c r="EN74" s="53" t="n"/>
      <c r="EO74" s="53" t="n"/>
      <c r="EP74" s="53" t="n"/>
      <c r="EQ74" s="53" t="n"/>
      <c r="ER74" s="53" t="n"/>
      <c r="ES74" s="53" t="n"/>
      <c r="ET74" s="53" t="n"/>
      <c r="EU74" s="53" t="n"/>
      <c r="EV74" s="53" t="n"/>
      <c r="EW74" s="52" t="n"/>
      <c r="EX74" s="53"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EY74" s="53"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EZ74" s="53"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FA74" s="53" t="inlineStr">
        <is>
          <t>• Development priorities: I would also like opportunities to lead small teams.
• Learning and Development Need: RBI project experience. I wish i would be the Team leader for my project.</t>
        </is>
      </c>
      <c r="FB74" s="53" t="inlineStr">
        <is>
          <t>• Key challenges: Approval dependencies.
• Support required: Streamline approvals and automate repetitive, low-risk tasks while keeping strong audit and security controls.</t>
        </is>
      </c>
      <c r="FC74" s="53" t="n"/>
      <c r="FD74" s="53" t="n"/>
      <c r="FE74"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4" s="56" t="n"/>
      <c r="FG74" s="56" t="n"/>
      <c r="FH74" s="56" t="n"/>
      <c r="FI74" s="56" t="n"/>
      <c r="FJ74" s="56" t="inlineStr">
        <is>
          <t>Received · manager annual</t>
        </is>
      </c>
      <c r="FK74" s="56" t="inlineStr">
        <is>
          <t>CARBON Mapping Master</t>
        </is>
      </c>
      <c r="FL74" s="56" t="n">
        <v>20</v>
      </c>
      <c r="FM74" s="56"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FN74" s="56"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FO74" s="56"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FP74" s="56" t="inlineStr">
        <is>
          <t>• Development priorities: I would also like opportunities to lead small teams.
• Learning and Development Need: RBI project experience. I wish i would be the Team leader for my project.</t>
        </is>
      </c>
      <c r="FQ74" s="56" t="inlineStr">
        <is>
          <t>• Key challenges: Approval dependencies.
• Support required: Streamline approvals and automate repetitive, low-risk tasks while keeping strong audit and security controls.</t>
        </is>
      </c>
      <c r="FR74" s="56" t="inlineStr">
        <is>
          <t>Complexity: Evidence reads like A2: Uploads content to RBI website from client site; routine publishing task → moved down 0.5
Autonomy: Evidence reads like A2: Independently uploads content that has already been validated and approved → moved down 0.5
Accountability: Evidence reads like A2: Own uploads; says errors are 'usually easy to fix' by revising → moved down 0.5
Leadership: Evidence reads like A1: No guidance or leadership of others described → moved down 0.5
Business Impact: Moved +0.5: the survey / manager mapping marks it business-critical.</t>
        </is>
      </c>
      <c r="FS7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4" s="56" t="inlineStr">
        <is>
          <t>Self-identified: Answered · no common topic
For the next role: Answered · no common topic</t>
        </is>
      </c>
      <c r="FU74" s="56" t="inlineStr">
        <is>
          <t>Per-person summary · CARBON Mapping Master</t>
        </is>
      </c>
    </row>
    <row r="75" ht="90" customHeight="1">
      <c r="A75" s="51" t="inlineStr">
        <is>
          <t>◂ Back</t>
        </is>
      </c>
      <c r="B75" s="29" t="inlineStr">
        <is>
          <t>Mapped</t>
        </is>
      </c>
      <c r="C75" s="28" t="inlineStr">
        <is>
          <t>Consume</t>
        </is>
      </c>
      <c r="D75" s="29" t="inlineStr">
        <is>
          <t>IRIS0170</t>
        </is>
      </c>
      <c r="E75" s="29" t="inlineStr">
        <is>
          <t>Manish Paithankar</t>
        </is>
      </c>
      <c r="F75" s="29" t="inlineStr">
        <is>
          <t>Digitizing</t>
        </is>
      </c>
      <c r="G75" s="29" t="inlineStr">
        <is>
          <t>Image Processing Specialist</t>
        </is>
      </c>
      <c r="H75" s="29" t="inlineStr">
        <is>
          <t>Senior Digitization Associate</t>
        </is>
      </c>
      <c r="I75" s="29" t="inlineStr">
        <is>
          <t>L3 – Professional / Associate</t>
        </is>
      </c>
      <c r="J75" s="29" t="inlineStr">
        <is>
          <t>A3</t>
        </is>
      </c>
      <c r="K75" s="29" t="inlineStr">
        <is>
          <t>▲ Up</t>
        </is>
      </c>
      <c r="L75" s="29" t="inlineStr">
        <is>
          <t>Data Operations &amp; Digitization</t>
        </is>
      </c>
      <c r="M75" s="29" t="inlineStr">
        <is>
          <t>Document Conversion, Formatting &amp; Web Publishing</t>
        </is>
      </c>
      <c r="N75" s="29" t="n"/>
      <c r="O75" s="29" t="n">
        <v>20</v>
      </c>
      <c r="P75" s="28" t="inlineStr">
        <is>
          <t>P2</t>
        </is>
      </c>
      <c r="Q75" s="29" t="inlineStr">
        <is>
          <t>Developing</t>
        </is>
      </c>
      <c r="R75" s="29" t="inlineStr">
        <is>
          <t>3 Apply</t>
        </is>
      </c>
      <c r="S75" s="29" t="inlineStr">
        <is>
          <t>2–4 yrs</t>
        </is>
      </c>
      <c r="T75" s="29" t="inlineStr">
        <is>
          <t>3–5 · 2–5</t>
        </is>
      </c>
      <c r="U75" s="29" t="inlineStr">
        <is>
          <t>Senior Associate</t>
        </is>
      </c>
      <c r="V75" s="29" t="inlineStr">
        <is>
          <t>DataTracks: Senior Associate · 2–5 yrs · Accenture Operations: L10 Senior Analyst · IRIS Vs Competitor Benchmark — operations roles: Senior Processor / QC</t>
        </is>
      </c>
      <c r="W75" s="29" t="inlineStr">
        <is>
          <t>COPC CX Standard · leadership &amp; planning, people, processes, performance; ISO 9001; Lean / Six Sigma</t>
        </is>
      </c>
      <c r="X75" s="29" t="inlineStr">
        <is>
          <t>Core 2 · Future 2 · Functional 3 · Leadership not scored</t>
        </is>
      </c>
      <c r="Y75" s="52" t="n">
        <v>35</v>
      </c>
      <c r="Z75" s="53" t="inlineStr">
        <is>
          <t>IRIS0170</t>
        </is>
      </c>
      <c r="AA75" s="53" t="inlineStr">
        <is>
          <t>Employee</t>
        </is>
      </c>
      <c r="AB75" s="53" t="inlineStr">
        <is>
          <t>Active</t>
        </is>
      </c>
      <c r="AC75" s="53" t="inlineStr">
        <is>
          <t>Manish Paithankar</t>
        </is>
      </c>
      <c r="AD75" s="54" t="n">
        <v>39470</v>
      </c>
      <c r="AE75" s="53" t="inlineStr">
        <is>
          <t>Image Processing Specialist</t>
        </is>
      </c>
      <c r="AF75" s="53" t="inlineStr">
        <is>
          <t>B.Com</t>
        </is>
      </c>
      <c r="AG75" s="53" t="inlineStr">
        <is>
          <t>Shraddha Patil</t>
        </is>
      </c>
      <c r="AH75" s="53" t="inlineStr">
        <is>
          <t>N-7</t>
        </is>
      </c>
      <c r="AI75" s="53" t="inlineStr">
        <is>
          <t>Individual Contributor</t>
        </is>
      </c>
      <c r="AJ75" s="53" t="inlineStr">
        <is>
          <t>0 years, 0 months, 0 days</t>
        </is>
      </c>
      <c r="AK75" s="53" t="inlineStr">
        <is>
          <t>18 years, 7 months, 2 days</t>
        </is>
      </c>
      <c r="AL75" s="53" t="inlineStr">
        <is>
          <t>Consume</t>
        </is>
      </c>
      <c r="AM75" s="53" t="inlineStr">
        <is>
          <t>Consume</t>
        </is>
      </c>
      <c r="AN75" s="53" t="inlineStr">
        <is>
          <t>Digitizing</t>
        </is>
      </c>
      <c r="AO75" s="53" t="inlineStr">
        <is>
          <t>Digitizing Assisted services</t>
        </is>
      </c>
      <c r="AP75" s="53" t="inlineStr">
        <is>
          <t>No</t>
        </is>
      </c>
      <c r="AQ75" s="53" t="inlineStr">
        <is>
          <t>Professional Services</t>
        </is>
      </c>
      <c r="AR75" s="53" t="inlineStr">
        <is>
          <t>OCR/Image procesing</t>
        </is>
      </c>
      <c r="AS75" s="53" t="inlineStr">
        <is>
          <t>Non-technical</t>
        </is>
      </c>
      <c r="AT75" s="53" t="n">
        <v>20</v>
      </c>
      <c r="AU75" s="53" t="inlineStr">
        <is>
          <t>Covered</t>
        </is>
      </c>
      <c r="AV75" s="53" t="inlineStr">
        <is>
          <t>IRIS0170</t>
        </is>
      </c>
      <c r="AW75" s="53" t="inlineStr">
        <is>
          <t>Manish Paithankar</t>
        </is>
      </c>
      <c r="AX75" s="53" t="inlineStr">
        <is>
          <t>Digitizing</t>
        </is>
      </c>
      <c r="AY75" s="53" t="inlineStr">
        <is>
          <t>Professional Services</t>
        </is>
      </c>
      <c r="AZ75" s="53" t="inlineStr">
        <is>
          <t>Regulatory Portal Operations</t>
        </is>
      </c>
      <c r="BA75" s="53" t="n"/>
      <c r="BB75" s="53" t="n"/>
      <c r="BC75" s="53" t="inlineStr">
        <is>
          <t>Employee</t>
        </is>
      </c>
      <c r="BD75" s="53" t="inlineStr">
        <is>
          <t>Shraddha Patil</t>
        </is>
      </c>
      <c r="BE75" s="53" t="inlineStr">
        <is>
          <t>Shraddha Patil</t>
        </is>
      </c>
      <c r="BF75" s="53" t="inlineStr">
        <is>
          <t>No</t>
        </is>
      </c>
      <c r="BG75" s="53" t="inlineStr">
        <is>
          <t>Image Processing Specialist</t>
        </is>
      </c>
      <c r="BH75" s="53" t="inlineStr">
        <is>
          <t>Sr Regulatory Portal Operations Specialist</t>
        </is>
      </c>
      <c r="BI75" s="53" t="inlineStr">
        <is>
          <t>Yes</t>
        </is>
      </c>
      <c r="BJ75" s="53" t="inlineStr">
        <is>
          <t>—</t>
        </is>
      </c>
      <c r="BK75" s="53" t="inlineStr">
        <is>
          <t>—</t>
        </is>
      </c>
      <c r="BL75" s="53" t="inlineStr">
        <is>
          <t>—</t>
        </is>
      </c>
      <c r="BM75" s="53" t="inlineStr">
        <is>
          <t>Not a manager</t>
        </is>
      </c>
      <c r="BN75" s="53" t="inlineStr">
        <is>
          <t>—</t>
        </is>
      </c>
      <c r="BO75" s="53" t="inlineStr">
        <is>
          <t>—</t>
        </is>
      </c>
      <c r="BP75" s="53" t="inlineStr">
        <is>
          <t>—</t>
        </is>
      </c>
      <c r="BQ75" s="53" t="inlineStr">
        <is>
          <t>Not a manager</t>
        </is>
      </c>
      <c r="BR75" s="53" t="inlineStr">
        <is>
          <t>—</t>
        </is>
      </c>
      <c r="BS75" s="53" t="inlineStr">
        <is>
          <t>L3 – Professional / Associate</t>
        </is>
      </c>
      <c r="BT75" s="53" t="inlineStr">
        <is>
          <t>L3</t>
        </is>
      </c>
      <c r="BU75" s="53" t="inlineStr">
        <is>
          <t>Matched from Title Hierarchy · new designation</t>
        </is>
      </c>
      <c r="BV75"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5" s="53" t="n"/>
      <c r="BX75" s="53" t="inlineStr">
        <is>
          <t>No input received — attended/was listed as a respondent but did not provide answers to any of the survey questions.</t>
        </is>
      </c>
      <c r="BY75" s="53" t="n"/>
      <c r="BZ75" s="53" t="inlineStr">
        <is>
          <t>IRIS0170</t>
        </is>
      </c>
      <c r="CA75" s="53" t="inlineStr">
        <is>
          <t>Employee</t>
        </is>
      </c>
      <c r="CB75" s="53" t="inlineStr">
        <is>
          <t>Active</t>
        </is>
      </c>
      <c r="CC75" s="53" t="inlineStr">
        <is>
          <t>Manish Paithankar</t>
        </is>
      </c>
      <c r="CD75" s="54" t="n">
        <v>39470</v>
      </c>
      <c r="CE75" s="53" t="inlineStr">
        <is>
          <t>Image Processing Specialist</t>
        </is>
      </c>
      <c r="CF75" s="53" t="n"/>
      <c r="CG75" s="53" t="inlineStr">
        <is>
          <t>Professional Services</t>
        </is>
      </c>
      <c r="CH75" s="53" t="inlineStr">
        <is>
          <t>Digitization &amp; Image Processing</t>
        </is>
      </c>
      <c r="CI75" s="53" t="inlineStr">
        <is>
          <t>Image Processing Specialist</t>
        </is>
      </c>
      <c r="CJ75" s="53" t="inlineStr">
        <is>
          <t>L3 – Professional / Associate</t>
        </is>
      </c>
      <c r="CK75" s="53" t="inlineStr">
        <is>
          <t>Shraddha Patil</t>
        </is>
      </c>
      <c r="CL75" s="53" t="inlineStr">
        <is>
          <t>N-7</t>
        </is>
      </c>
      <c r="CM75" s="53" t="inlineStr">
        <is>
          <t>Individual Contributor</t>
        </is>
      </c>
      <c r="CN75" s="53" t="inlineStr">
        <is>
          <t>Consume</t>
        </is>
      </c>
      <c r="CO75" s="53" t="inlineStr">
        <is>
          <t>Digitizing</t>
        </is>
      </c>
      <c r="CP75" s="53" t="inlineStr">
        <is>
          <t>18 years, 4 months, 28 days</t>
        </is>
      </c>
      <c r="CQ75" s="53" t="inlineStr">
        <is>
          <t>Sr.Image Processing Specialist</t>
        </is>
      </c>
      <c r="CR75" s="53" t="n"/>
      <c r="CS75" s="53" t="n">
        <v>3</v>
      </c>
      <c r="CT75" s="53" t="inlineStr">
        <is>
          <t>Medium</t>
        </is>
      </c>
      <c r="CU75" s="53" t="inlineStr">
        <is>
          <t>Core Contributor</t>
        </is>
      </c>
      <c r="CV75" s="53" t="inlineStr">
        <is>
          <t>No</t>
        </is>
      </c>
      <c r="CW75" s="53" t="inlineStr">
        <is>
          <t>No</t>
        </is>
      </c>
      <c r="CX75" s="53" t="inlineStr">
        <is>
          <t>Yes</t>
        </is>
      </c>
      <c r="CY75" s="53" t="n"/>
      <c r="CZ75" s="53" t="n"/>
      <c r="DA75" s="53" t="n"/>
      <c r="DB75" s="53" t="inlineStr">
        <is>
          <t>Title to be standardized to : Sr.Image Processing Specialist</t>
        </is>
      </c>
      <c r="DC75" s="53" t="n"/>
      <c r="DD75" s="53" t="n"/>
      <c r="DE75" s="53" t="n"/>
      <c r="DF75" s="53" t="n"/>
      <c r="DG75" s="53" t="n"/>
      <c r="DH75" s="53" t="n"/>
      <c r="DI75" s="53" t="n"/>
      <c r="DJ75" s="53" t="n"/>
      <c r="DK75" s="53" t="n"/>
      <c r="DL75" s="53" t="n"/>
      <c r="DM75" s="53" t="n"/>
      <c r="DN75" s="53" t="n"/>
      <c r="DO75" s="53" t="n"/>
      <c r="DP75" s="53" t="n"/>
      <c r="DQ75" s="53" t="n"/>
      <c r="DR75" s="53" t="n"/>
      <c r="DS75" s="53" t="n"/>
      <c r="DT75" s="53" t="n"/>
      <c r="DU75" s="53" t="n"/>
      <c r="DV75" s="53" t="n"/>
      <c r="DW75" s="53" t="n"/>
      <c r="DX75" s="53" t="n"/>
      <c r="DY75" s="53" t="n"/>
      <c r="DZ75" s="53" t="n"/>
      <c r="EA75" s="53" t="n"/>
      <c r="EB75" s="53" t="n"/>
      <c r="EC75" s="53" t="n"/>
      <c r="ED75" s="53" t="n"/>
      <c r="EE75" s="53" t="n"/>
      <c r="EF75" s="53" t="n"/>
      <c r="EG75" s="53" t="n"/>
      <c r="EH75" s="53" t="n"/>
      <c r="EI75" s="53" t="n"/>
      <c r="EJ75" s="53" t="n"/>
      <c r="EK75" s="53" t="n"/>
      <c r="EL75" s="53" t="n"/>
      <c r="EM75" s="53" t="n"/>
      <c r="EN75" s="53" t="n"/>
      <c r="EO75" s="53" t="n"/>
      <c r="EP75" s="53" t="n"/>
      <c r="EQ75" s="53" t="n"/>
      <c r="ER75" s="53" t="n"/>
      <c r="ES75" s="53" t="n"/>
      <c r="ET75" s="53" t="n"/>
      <c r="EU75" s="53" t="n"/>
      <c r="EV75" s="53" t="n"/>
      <c r="EW75" s="52" t="n"/>
      <c r="EX75" s="53" t="inlineStr">
        <is>
          <t>• Role / sub-team: Digitizing — Image Processing Specialist.
• Core purpose: Input not given by Participant.
• Decision-making autonomy: Input not given by Participant.
• Is this something only they do: Input not given by Participant.</t>
        </is>
      </c>
      <c r="EY75" s="53" t="inlineStr">
        <is>
          <t>• Key responsibilities include: Input not given by Participant.
• Impact if missed or done wrong: Input not given by Participant.
• How measured: Input not given by Participant.</t>
        </is>
      </c>
      <c r="EZ75" s="53" t="inlineStr">
        <is>
          <t>• Current capabilities: Input not given by Participant.
• Tools / software used: Input not given by Participant.</t>
        </is>
      </c>
      <c r="FA75" s="53" t="inlineStr">
        <is>
          <t>• Development priorities: Input not given by Participant.</t>
        </is>
      </c>
      <c r="FB75" s="53" t="inlineStr">
        <is>
          <t>• Key challenges: Input not given by Participant.
• Support required: Input not given by Participant.</t>
        </is>
      </c>
      <c r="FC75" s="53" t="n"/>
      <c r="FD75" s="53" t="n"/>
      <c r="FE75"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5" s="56" t="n"/>
      <c r="FG75" s="56" t="n"/>
      <c r="FH75" s="56" t="n"/>
      <c r="FI75" s="56" t="n"/>
      <c r="FJ75" s="56" t="inlineStr">
        <is>
          <t>Received · manager annual</t>
        </is>
      </c>
      <c r="FK75" s="56" t="inlineStr">
        <is>
          <t>CARBON Mapping Master</t>
        </is>
      </c>
      <c r="FL75" s="56" t="n">
        <v>20</v>
      </c>
      <c r="FM75" s="56" t="inlineStr">
        <is>
          <t>• Role / sub-team: Digitizing — Image Processing Specialist.
• Core purpose: Input not given by Participant.
• Decision-making autonomy: Input not given by Participant.
• Is this something only they do: Input not given by Participant.</t>
        </is>
      </c>
      <c r="FN75" s="56" t="inlineStr">
        <is>
          <t>• Key responsibilities include: Input not given by Participant.
• Impact if missed or done wrong: Input not given by Participant.
• How measured: Input not given by Participant.</t>
        </is>
      </c>
      <c r="FO75" s="56" t="inlineStr">
        <is>
          <t>• Current capabilities: Input not given by Participant.
• Tools / software used: Input not given by Participant.</t>
        </is>
      </c>
      <c r="FP75" s="56" t="inlineStr">
        <is>
          <t>• Development priorities: Input not given by Participant.</t>
        </is>
      </c>
      <c r="FQ75" s="56" t="inlineStr">
        <is>
          <t>• Key challenges: Input not given by Participant.
• Support required: Input not given by Participant.</t>
        </is>
      </c>
      <c r="FR75" s="56" t="inlineStr">
        <is>
          <t>Business Impact: Moved +0.5: the survey / manager mapping marks it business-critical.</t>
        </is>
      </c>
      <c r="FS75"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5" s="56" t="inlineStr">
        <is>
          <t>Self-identified: AI / automation · Leadership &amp; people management
For the next role: AI / automation · Leadership &amp; people management</t>
        </is>
      </c>
      <c r="FU75" s="56" t="inlineStr">
        <is>
          <t>Per-person summary · CARBON Mapping Master</t>
        </is>
      </c>
    </row>
    <row r="76" ht="90" customHeight="1">
      <c r="A76" s="51" t="inlineStr">
        <is>
          <t>◂ Back</t>
        </is>
      </c>
      <c r="B76" s="29" t="inlineStr">
        <is>
          <t>Mapped</t>
        </is>
      </c>
      <c r="C76" s="28" t="inlineStr">
        <is>
          <t>Consume</t>
        </is>
      </c>
      <c r="D76" s="29" t="inlineStr">
        <is>
          <t>IRIS1211</t>
        </is>
      </c>
      <c r="E76" s="29" t="inlineStr">
        <is>
          <t>Manoj Ravidas</t>
        </is>
      </c>
      <c r="F76" s="29" t="inlineStr">
        <is>
          <t>Digitizing</t>
        </is>
      </c>
      <c r="G76" s="29" t="inlineStr">
        <is>
          <t>Image Processing Specialist</t>
        </is>
      </c>
      <c r="H76" s="29" t="inlineStr">
        <is>
          <t>Senior Digitization Associate</t>
        </is>
      </c>
      <c r="I76" s="29" t="inlineStr">
        <is>
          <t>L3 – Professional / Associate</t>
        </is>
      </c>
      <c r="J76" s="29" t="inlineStr">
        <is>
          <t>A3</t>
        </is>
      </c>
      <c r="K76" s="29" t="inlineStr">
        <is>
          <t>▲ Up</t>
        </is>
      </c>
      <c r="L76" s="29" t="inlineStr">
        <is>
          <t>Data Operations &amp; Digitization</t>
        </is>
      </c>
      <c r="M76" s="29" t="inlineStr">
        <is>
          <t>Document Conversion, Formatting &amp; Web Publishing</t>
        </is>
      </c>
      <c r="N76" s="29" t="n"/>
      <c r="O76" s="29" t="n">
        <v>20</v>
      </c>
      <c r="P76" s="28" t="inlineStr">
        <is>
          <t>P2</t>
        </is>
      </c>
      <c r="Q76" s="29" t="inlineStr">
        <is>
          <t>Developing</t>
        </is>
      </c>
      <c r="R76" s="29" t="inlineStr">
        <is>
          <t>3 Apply</t>
        </is>
      </c>
      <c r="S76" s="29" t="inlineStr">
        <is>
          <t>2–4 yrs</t>
        </is>
      </c>
      <c r="T76" s="29" t="inlineStr">
        <is>
          <t>3–5 · 2–5</t>
        </is>
      </c>
      <c r="U76" s="29" t="inlineStr">
        <is>
          <t>Senior Associate</t>
        </is>
      </c>
      <c r="V76" s="29" t="inlineStr">
        <is>
          <t>DataTracks: Senior Associate · 2–5 yrs · Accenture Operations: L10 Senior Analyst · IRIS Vs Competitor Benchmark — operations roles: Senior Processor / QC</t>
        </is>
      </c>
      <c r="W76" s="29" t="inlineStr">
        <is>
          <t>COPC CX Standard · leadership &amp; planning, people, processes, performance; ISO 9001; Lean / Six Sigma</t>
        </is>
      </c>
      <c r="X76" s="29" t="inlineStr">
        <is>
          <t>Core 2 · Future 2 · Functional 3 · Leadership not scored</t>
        </is>
      </c>
      <c r="Y76" s="52" t="n">
        <v>56</v>
      </c>
      <c r="Z76" s="53" t="inlineStr">
        <is>
          <t>IRIS1211</t>
        </is>
      </c>
      <c r="AA76" s="53" t="inlineStr">
        <is>
          <t>Employee</t>
        </is>
      </c>
      <c r="AB76" s="53" t="inlineStr">
        <is>
          <t>Active</t>
        </is>
      </c>
      <c r="AC76" s="53" t="inlineStr">
        <is>
          <t>Manoj Ravidas</t>
        </is>
      </c>
      <c r="AD76" s="54" t="n">
        <v>40325</v>
      </c>
      <c r="AE76" s="53" t="inlineStr">
        <is>
          <t>Image Processing Specialist</t>
        </is>
      </c>
      <c r="AF76" s="53" t="inlineStr">
        <is>
          <t>B.Com</t>
        </is>
      </c>
      <c r="AG76" s="53" t="inlineStr">
        <is>
          <t>Shraddha Patil</t>
        </is>
      </c>
      <c r="AH76" s="53" t="inlineStr">
        <is>
          <t>N-7</t>
        </is>
      </c>
      <c r="AI76" s="53" t="inlineStr">
        <is>
          <t>Individual Contributor</t>
        </is>
      </c>
      <c r="AJ76" s="53" t="inlineStr">
        <is>
          <t>0 years, 0 months, 0 days</t>
        </is>
      </c>
      <c r="AK76" s="53" t="inlineStr">
        <is>
          <t>16 years, 2 months, 29 days</t>
        </is>
      </c>
      <c r="AL76" s="53" t="inlineStr">
        <is>
          <t>Consume</t>
        </is>
      </c>
      <c r="AM76" s="53" t="inlineStr">
        <is>
          <t>Consume</t>
        </is>
      </c>
      <c r="AN76" s="53" t="inlineStr">
        <is>
          <t>Digitizing</t>
        </is>
      </c>
      <c r="AO76" s="53" t="inlineStr">
        <is>
          <t>Digitizing Assisted services</t>
        </is>
      </c>
      <c r="AP76" s="53" t="inlineStr">
        <is>
          <t>No</t>
        </is>
      </c>
      <c r="AQ76" s="53" t="inlineStr">
        <is>
          <t>Professional Services</t>
        </is>
      </c>
      <c r="AR76" s="53" t="inlineStr">
        <is>
          <t>OCR/Image procesing</t>
        </is>
      </c>
      <c r="AS76" s="53" t="inlineStr">
        <is>
          <t>Non-technical</t>
        </is>
      </c>
      <c r="AT76" s="53" t="n">
        <v>20</v>
      </c>
      <c r="AU76" s="53" t="inlineStr">
        <is>
          <t>Covered</t>
        </is>
      </c>
      <c r="AV76" s="53" t="inlineStr">
        <is>
          <t>IRIS1211</t>
        </is>
      </c>
      <c r="AW76" s="53" t="inlineStr">
        <is>
          <t>Manoj Ravidas</t>
        </is>
      </c>
      <c r="AX76" s="53" t="inlineStr">
        <is>
          <t>Digitizing</t>
        </is>
      </c>
      <c r="AY76" s="53" t="inlineStr">
        <is>
          <t>Professional Services</t>
        </is>
      </c>
      <c r="AZ76" s="53" t="inlineStr">
        <is>
          <t>Regulatory Portal Operations</t>
        </is>
      </c>
      <c r="BA76" s="53" t="n"/>
      <c r="BB76" s="53" t="n"/>
      <c r="BC76" s="53" t="inlineStr">
        <is>
          <t>Employee</t>
        </is>
      </c>
      <c r="BD76" s="53" t="inlineStr">
        <is>
          <t>Shraddha Patil</t>
        </is>
      </c>
      <c r="BE76" s="53" t="inlineStr">
        <is>
          <t>Manoj Tiwari</t>
        </is>
      </c>
      <c r="BF76" s="53" t="inlineStr">
        <is>
          <t>No</t>
        </is>
      </c>
      <c r="BG76" s="53" t="inlineStr">
        <is>
          <t>Image Processing Specialist</t>
        </is>
      </c>
      <c r="BH76" s="53" t="inlineStr">
        <is>
          <t>Sr Regulatory Portal Operations Specialist</t>
        </is>
      </c>
      <c r="BI76" s="53" t="inlineStr">
        <is>
          <t>Yes</t>
        </is>
      </c>
      <c r="BJ76" s="53" t="inlineStr">
        <is>
          <t>—</t>
        </is>
      </c>
      <c r="BK76" s="53" t="inlineStr">
        <is>
          <t>—</t>
        </is>
      </c>
      <c r="BL76" s="53" t="inlineStr">
        <is>
          <t>—</t>
        </is>
      </c>
      <c r="BM76" s="53" t="inlineStr">
        <is>
          <t>Not a manager</t>
        </is>
      </c>
      <c r="BN76" s="53" t="inlineStr">
        <is>
          <t>—</t>
        </is>
      </c>
      <c r="BO76" s="53" t="inlineStr">
        <is>
          <t>—</t>
        </is>
      </c>
      <c r="BP76" s="53" t="inlineStr">
        <is>
          <t>—</t>
        </is>
      </c>
      <c r="BQ76" s="53" t="inlineStr">
        <is>
          <t>Not a manager</t>
        </is>
      </c>
      <c r="BR76" s="53" t="inlineStr">
        <is>
          <t>—</t>
        </is>
      </c>
      <c r="BS76" s="53" t="inlineStr">
        <is>
          <t>L3 – Professional / Associate</t>
        </is>
      </c>
      <c r="BT76" s="53" t="inlineStr">
        <is>
          <t>L3</t>
        </is>
      </c>
      <c r="BU76" s="53" t="inlineStr">
        <is>
          <t>Matched from Title Hierarchy · new designation</t>
        </is>
      </c>
      <c r="BV76"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6" s="53" t="n"/>
      <c r="BX76" s="53" t="inlineStr">
        <is>
          <t>INDIA.</t>
        </is>
      </c>
      <c r="BY76" s="53" t="n"/>
      <c r="BZ76" s="53" t="inlineStr">
        <is>
          <t>IRIS1211</t>
        </is>
      </c>
      <c r="CA76" s="53" t="inlineStr">
        <is>
          <t>Employee</t>
        </is>
      </c>
      <c r="CB76" s="53" t="inlineStr">
        <is>
          <t>Active</t>
        </is>
      </c>
      <c r="CC76" s="53" t="inlineStr">
        <is>
          <t>Manoj Ravidas</t>
        </is>
      </c>
      <c r="CD76" s="54" t="n">
        <v>40325</v>
      </c>
      <c r="CE76" s="53" t="inlineStr">
        <is>
          <t>Image Processing Specialist</t>
        </is>
      </c>
      <c r="CF76" s="53" t="n"/>
      <c r="CG76" s="53" t="inlineStr">
        <is>
          <t>Professional Services</t>
        </is>
      </c>
      <c r="CH76" s="53" t="inlineStr">
        <is>
          <t>Digitization &amp; Image Processing</t>
        </is>
      </c>
      <c r="CI76" s="53" t="inlineStr">
        <is>
          <t>Image Processing Specialist</t>
        </is>
      </c>
      <c r="CJ76" s="53" t="inlineStr">
        <is>
          <t>L3 – Professional / Associate</t>
        </is>
      </c>
      <c r="CK76" s="53" t="inlineStr">
        <is>
          <t>Shraddha Patil</t>
        </is>
      </c>
      <c r="CL76" s="53" t="inlineStr">
        <is>
          <t>N-7</t>
        </is>
      </c>
      <c r="CM76" s="53" t="inlineStr">
        <is>
          <t>Individual Contributor</t>
        </is>
      </c>
      <c r="CN76" s="53" t="inlineStr">
        <is>
          <t>Consume</t>
        </is>
      </c>
      <c r="CO76" s="53" t="inlineStr">
        <is>
          <t>Digitizing</t>
        </is>
      </c>
      <c r="CP76" s="53" t="inlineStr">
        <is>
          <t>16 years, 0 months, 24 days</t>
        </is>
      </c>
      <c r="CQ76" s="53" t="inlineStr">
        <is>
          <t>Sr.Image Processing Specialist</t>
        </is>
      </c>
      <c r="CR76" s="53" t="n"/>
      <c r="CS76" s="53" t="n">
        <v>4</v>
      </c>
      <c r="CT76" s="53" t="inlineStr">
        <is>
          <t>High</t>
        </is>
      </c>
      <c r="CU76" s="53" t="inlineStr">
        <is>
          <t>Core Contributor</t>
        </is>
      </c>
      <c r="CV76" s="53" t="inlineStr">
        <is>
          <t>No</t>
        </is>
      </c>
      <c r="CW76" s="53" t="inlineStr">
        <is>
          <t>No</t>
        </is>
      </c>
      <c r="CX76" s="53" t="inlineStr">
        <is>
          <t>Yes</t>
        </is>
      </c>
      <c r="CY76" s="53" t="n"/>
      <c r="CZ76" s="53" t="n"/>
      <c r="DA76" s="53" t="n"/>
      <c r="DB76" s="53" t="inlineStr">
        <is>
          <t>Title to be standardized to : Sr.Image Processing Specialist</t>
        </is>
      </c>
      <c r="DC76" s="53" t="n"/>
      <c r="DD76" s="53" t="n"/>
      <c r="DE76" s="53" t="n"/>
      <c r="DF76" s="53" t="n"/>
      <c r="DG76" s="53" t="n"/>
      <c r="DH76" s="53" t="n"/>
      <c r="DI76" s="53" t="n"/>
      <c r="DJ76" s="53" t="n"/>
      <c r="DK76" s="53" t="n"/>
      <c r="DL76" s="53" t="n"/>
      <c r="DM76" s="53" t="n"/>
      <c r="DN76" s="53" t="n"/>
      <c r="DO76" s="53" t="n"/>
      <c r="DP76" s="53" t="n"/>
      <c r="DQ76" s="53" t="n"/>
      <c r="DR76" s="53" t="n"/>
      <c r="DS76" s="53" t="n"/>
      <c r="DT76" s="53" t="n"/>
      <c r="DU76" s="53" t="n"/>
      <c r="DV76" s="53" t="n"/>
      <c r="DW76" s="53" t="n"/>
      <c r="DX76" s="53" t="n"/>
      <c r="DY76" s="53" t="n"/>
      <c r="DZ76" s="53" t="n"/>
      <c r="EA76" s="53" t="n"/>
      <c r="EB76" s="53" t="n"/>
      <c r="EC76" s="53" t="n"/>
      <c r="ED76" s="53" t="n"/>
      <c r="EE76" s="53" t="n"/>
      <c r="EF76" s="53" t="n"/>
      <c r="EG76" s="53" t="n"/>
      <c r="EH76" s="53" t="n"/>
      <c r="EI76" s="53" t="n"/>
      <c r="EJ76" s="53" t="n"/>
      <c r="EK76" s="53" t="n"/>
      <c r="EL76" s="53" t="n"/>
      <c r="EM76" s="53" t="n"/>
      <c r="EN76" s="53" t="n"/>
      <c r="EO76" s="53" t="n"/>
      <c r="EP76" s="53" t="n"/>
      <c r="EQ76" s="53" t="n"/>
      <c r="ER76" s="53" t="n"/>
      <c r="ES76" s="53" t="n"/>
      <c r="ET76" s="53" t="n"/>
      <c r="EU76" s="53" t="n"/>
      <c r="EV76" s="53" t="n"/>
      <c r="EW76" s="52" t="n"/>
      <c r="EX76" s="53"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EY76" s="53" t="inlineStr">
        <is>
          <t>• Key responsibilities include: Ensure Data Accuracy.
• Personally accountable for: Ensuring 100% accuracy and timely delivery.
• Impact if missed or done wrong: Impact the overall quality and timely delivery of work.
• How measured: Same as Everyone.</t>
        </is>
      </c>
      <c r="EZ76" s="53" t="inlineStr">
        <is>
          <t>• Current capabilities: Knowledge adobe cloud.
• Tools / software used: Adobe cloud tools.
• Workload: Rated a heavy load · 4/5 in a typical week.
• Judgment/way of working: Careful for uploading files in RBI Website.</t>
        </is>
      </c>
      <c r="FA76" s="53" t="inlineStr">
        <is>
          <t>• Development priorities: Learn AI and Cloud.
• Learning and Development Need: Support Senior member. I could have worked more efficiently and avoided mistakes.
• Role evolving toward: Add additional work for mainten RBI Website.</t>
        </is>
      </c>
      <c r="FB76" s="53" t="inlineStr">
        <is>
          <t>• Key challenges: Heavy work load.
• Support required: Efficient work Management.</t>
        </is>
      </c>
      <c r="FC76" s="53" t="n"/>
      <c r="FD76" s="53" t="n"/>
      <c r="FE76"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6" s="56" t="n"/>
      <c r="FG76" s="56" t="n"/>
      <c r="FH76" s="56" t="n"/>
      <c r="FI76" s="56" t="n"/>
      <c r="FJ76" s="56" t="inlineStr">
        <is>
          <t>Received · manager annual</t>
        </is>
      </c>
      <c r="FK76" s="56" t="inlineStr">
        <is>
          <t>CARBON Mapping Master</t>
        </is>
      </c>
      <c r="FL76" s="56" t="n">
        <v>20</v>
      </c>
      <c r="FM76" s="56"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FN76" s="56" t="inlineStr">
        <is>
          <t>• Key responsibilities include: Ensure Data Accuracy.
• Personally accountable for: Ensuring 100% accuracy and timely delivery.
• Impact if missed or done wrong: Impact the overall quality and timely delivery of work.
• How measured: Same as Everyone.</t>
        </is>
      </c>
      <c r="FO76" s="56" t="inlineStr">
        <is>
          <t>• Current capabilities: Knowledge adobe cloud.
• Tools / software used: Adobe cloud tools.
• Workload: Rated a heavy load · 4/5 in a typical week.
• Judgment/way of working: Careful for uploading files in RBI Website.</t>
        </is>
      </c>
      <c r="FP76" s="56" t="inlineStr">
        <is>
          <t>• Development priorities: Learn AI and Cloud.
• Learning and Development Need: Support Senior member. I could have worked more efficiently and avoided mistakes.
• Role evolving toward: Add additional work for mainten RBI Website.</t>
        </is>
      </c>
      <c r="FQ76" s="56" t="inlineStr">
        <is>
          <t>• Key challenges: Heavy work load.
• Support required: Efficient work Management.</t>
        </is>
      </c>
      <c r="FR76" s="56" t="inlineStr">
        <is>
          <t>Business Impact: Moved +0.5: the survey / manager mapping marks it business-critical.</t>
        </is>
      </c>
      <c r="FS76"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6" s="56" t="inlineStr">
        <is>
          <t>Self-identified: AI / automation · Technical depth &amp; architecture
For the next role: AI / automation · Technical depth &amp; architecture</t>
        </is>
      </c>
      <c r="FU76" s="56" t="inlineStr">
        <is>
          <t>Per-person summary · CARBON Mapping Master</t>
        </is>
      </c>
    </row>
    <row r="77" ht="90" customHeight="1">
      <c r="A77" s="51" t="inlineStr">
        <is>
          <t>◂ Back</t>
        </is>
      </c>
      <c r="B77" s="29" t="inlineStr">
        <is>
          <t>Mapped</t>
        </is>
      </c>
      <c r="C77" s="28" t="inlineStr">
        <is>
          <t>Consume</t>
        </is>
      </c>
      <c r="D77" s="29" t="inlineStr">
        <is>
          <t>IRIS1213</t>
        </is>
      </c>
      <c r="E77" s="29" t="inlineStr">
        <is>
          <t>Manoj Tiwari</t>
        </is>
      </c>
      <c r="F77" s="29" t="inlineStr">
        <is>
          <t>Digitizing</t>
        </is>
      </c>
      <c r="G77" s="29" t="inlineStr">
        <is>
          <t>Image Processing Specialist</t>
        </is>
      </c>
      <c r="H77" s="29" t="inlineStr">
        <is>
          <t>Senior Digitization Associate</t>
        </is>
      </c>
      <c r="I77" s="29" t="inlineStr">
        <is>
          <t>L3 – Professional / Associate</t>
        </is>
      </c>
      <c r="J77" s="29" t="inlineStr">
        <is>
          <t>A3</t>
        </is>
      </c>
      <c r="K77" s="29" t="inlineStr">
        <is>
          <t>▲ Up</t>
        </is>
      </c>
      <c r="L77" s="29" t="inlineStr">
        <is>
          <t>Data Operations &amp; Digitization</t>
        </is>
      </c>
      <c r="M77" s="29" t="inlineStr">
        <is>
          <t>Document Conversion, Formatting &amp; Web Publishing</t>
        </is>
      </c>
      <c r="N77" s="29" t="n"/>
      <c r="O77" s="29" t="n">
        <v>20</v>
      </c>
      <c r="P77" s="28" t="inlineStr">
        <is>
          <t>P2</t>
        </is>
      </c>
      <c r="Q77" s="29" t="inlineStr">
        <is>
          <t>Developing</t>
        </is>
      </c>
      <c r="R77" s="29" t="inlineStr">
        <is>
          <t>3 Apply</t>
        </is>
      </c>
      <c r="S77" s="29" t="inlineStr">
        <is>
          <t>2–4 yrs</t>
        </is>
      </c>
      <c r="T77" s="29" t="inlineStr">
        <is>
          <t>3–5 · 2–5</t>
        </is>
      </c>
      <c r="U77" s="29" t="inlineStr">
        <is>
          <t>Senior Associate</t>
        </is>
      </c>
      <c r="V77" s="29" t="inlineStr">
        <is>
          <t>DataTracks: Senior Associate · 2–5 yrs · Accenture Operations: L10 Senior Analyst · IRIS Vs Competitor Benchmark — operations roles: Senior Processor / QC</t>
        </is>
      </c>
      <c r="W77" s="29" t="inlineStr">
        <is>
          <t>COPC CX Standard · leadership &amp; planning, people, processes, performance; ISO 9001; Lean / Six Sigma</t>
        </is>
      </c>
      <c r="X77" s="29" t="inlineStr">
        <is>
          <t>Core 2 · Future 2 · Functional 3 · Leadership not scored</t>
        </is>
      </c>
      <c r="Y77" s="52" t="n">
        <v>69</v>
      </c>
      <c r="Z77" s="53" t="inlineStr">
        <is>
          <t>IRIS1213</t>
        </is>
      </c>
      <c r="AA77" s="53" t="inlineStr">
        <is>
          <t>Employee</t>
        </is>
      </c>
      <c r="AB77" s="53" t="inlineStr">
        <is>
          <t>Active</t>
        </is>
      </c>
      <c r="AC77" s="53" t="inlineStr">
        <is>
          <t>Manoj Tiwari</t>
        </is>
      </c>
      <c r="AD77" s="54" t="n">
        <v>40567</v>
      </c>
      <c r="AE77" s="53" t="inlineStr">
        <is>
          <t>Image Processing Specialist</t>
        </is>
      </c>
      <c r="AF77" s="53" t="inlineStr">
        <is>
          <t>B.Com</t>
        </is>
      </c>
      <c r="AG77" s="53" t="inlineStr">
        <is>
          <t>Shraddha Patil</t>
        </is>
      </c>
      <c r="AH77" s="53" t="inlineStr">
        <is>
          <t>N-7</t>
        </is>
      </c>
      <c r="AI77" s="53" t="inlineStr">
        <is>
          <t>Individual Contributor</t>
        </is>
      </c>
      <c r="AJ77" s="53" t="inlineStr">
        <is>
          <t>1 years, 0 months, 0 days</t>
        </is>
      </c>
      <c r="AK77" s="53" t="inlineStr">
        <is>
          <t>15 years, 7 months, 1 days</t>
        </is>
      </c>
      <c r="AL77" s="53" t="inlineStr">
        <is>
          <t>Consume</t>
        </is>
      </c>
      <c r="AM77" s="53" t="inlineStr">
        <is>
          <t>Consume</t>
        </is>
      </c>
      <c r="AN77" s="53" t="inlineStr">
        <is>
          <t>Digitizing</t>
        </is>
      </c>
      <c r="AO77" s="53" t="inlineStr">
        <is>
          <t>Digitizing Assisted services</t>
        </is>
      </c>
      <c r="AP77" s="53" t="inlineStr">
        <is>
          <t>No</t>
        </is>
      </c>
      <c r="AQ77" s="53" t="inlineStr">
        <is>
          <t>Professional Services</t>
        </is>
      </c>
      <c r="AR77" s="53" t="inlineStr">
        <is>
          <t>OCR/Image procesing</t>
        </is>
      </c>
      <c r="AS77" s="53" t="inlineStr">
        <is>
          <t>Non-technical</t>
        </is>
      </c>
      <c r="AT77" s="53" t="n">
        <v>20</v>
      </c>
      <c r="AU77" s="53" t="inlineStr">
        <is>
          <t>Covered</t>
        </is>
      </c>
      <c r="AV77" s="53" t="inlineStr">
        <is>
          <t>IRIS1213</t>
        </is>
      </c>
      <c r="AW77" s="53" t="inlineStr">
        <is>
          <t>Manoj Tiwari</t>
        </is>
      </c>
      <c r="AX77" s="53" t="inlineStr">
        <is>
          <t>Digitizing</t>
        </is>
      </c>
      <c r="AY77" s="53" t="inlineStr">
        <is>
          <t>Professional Services</t>
        </is>
      </c>
      <c r="AZ77" s="53" t="inlineStr">
        <is>
          <t>Regulatory Portal Operations</t>
        </is>
      </c>
      <c r="BA77" s="53" t="n"/>
      <c r="BB77" s="53" t="n"/>
      <c r="BC77" s="53" t="inlineStr">
        <is>
          <t>Employee</t>
        </is>
      </c>
      <c r="BD77" s="53" t="inlineStr">
        <is>
          <t>Shraddha Patil</t>
        </is>
      </c>
      <c r="BE77" s="53" t="inlineStr">
        <is>
          <t>Shraddha Patil</t>
        </is>
      </c>
      <c r="BF77" s="53" t="inlineStr">
        <is>
          <t>No</t>
        </is>
      </c>
      <c r="BG77" s="53" t="inlineStr">
        <is>
          <t>Image Processing Specialist</t>
        </is>
      </c>
      <c r="BH77" s="53" t="inlineStr">
        <is>
          <t>Sr Regulatory Portal Operations Specialist</t>
        </is>
      </c>
      <c r="BI77" s="53" t="inlineStr">
        <is>
          <t>Yes</t>
        </is>
      </c>
      <c r="BJ77" s="53" t="inlineStr">
        <is>
          <t>—</t>
        </is>
      </c>
      <c r="BK77" s="53" t="inlineStr">
        <is>
          <t>—</t>
        </is>
      </c>
      <c r="BL77" s="53" t="inlineStr">
        <is>
          <t>—</t>
        </is>
      </c>
      <c r="BM77" s="53" t="inlineStr">
        <is>
          <t>Not a manager</t>
        </is>
      </c>
      <c r="BN77" s="53" t="inlineStr">
        <is>
          <t>—</t>
        </is>
      </c>
      <c r="BO77" s="53" t="inlineStr">
        <is>
          <t>—</t>
        </is>
      </c>
      <c r="BP77" s="53" t="inlineStr">
        <is>
          <t>—</t>
        </is>
      </c>
      <c r="BQ77" s="53" t="inlineStr">
        <is>
          <t>Not a manager</t>
        </is>
      </c>
      <c r="BR77" s="53" t="inlineStr">
        <is>
          <t>—</t>
        </is>
      </c>
      <c r="BS77" s="53" t="inlineStr">
        <is>
          <t>L3 – Professional / Associate</t>
        </is>
      </c>
      <c r="BT77" s="53" t="inlineStr">
        <is>
          <t>L3</t>
        </is>
      </c>
      <c r="BU77" s="53" t="inlineStr">
        <is>
          <t>Matched from Title Hierarchy · new designation</t>
        </is>
      </c>
      <c r="BV77"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W77" s="53" t="n"/>
      <c r="BX77" s="53" t="inlineStr">
        <is>
          <t>RBI Belapur Data Center; RBI Data Publishing.</t>
        </is>
      </c>
      <c r="BY77" s="53" t="n"/>
      <c r="BZ77" s="53" t="inlineStr">
        <is>
          <t>IRIS1213</t>
        </is>
      </c>
      <c r="CA77" s="53" t="inlineStr">
        <is>
          <t>Employee</t>
        </is>
      </c>
      <c r="CB77" s="53" t="inlineStr">
        <is>
          <t>Active</t>
        </is>
      </c>
      <c r="CC77" s="53" t="inlineStr">
        <is>
          <t>Manoj Tiwari</t>
        </is>
      </c>
      <c r="CD77" s="54" t="n">
        <v>40567</v>
      </c>
      <c r="CE77" s="53" t="inlineStr">
        <is>
          <t>Image Processing Specialist</t>
        </is>
      </c>
      <c r="CF77" s="53" t="n"/>
      <c r="CG77" s="53" t="inlineStr">
        <is>
          <t>Professional Services</t>
        </is>
      </c>
      <c r="CH77" s="53" t="inlineStr">
        <is>
          <t>Digitization &amp; Image Processing</t>
        </is>
      </c>
      <c r="CI77" s="53" t="inlineStr">
        <is>
          <t>Image Processing Specialist</t>
        </is>
      </c>
      <c r="CJ77" s="53" t="inlineStr">
        <is>
          <t>L3 – Professional / Associate</t>
        </is>
      </c>
      <c r="CK77" s="53" t="inlineStr">
        <is>
          <t>Shraddha Patil</t>
        </is>
      </c>
      <c r="CL77" s="53" t="inlineStr">
        <is>
          <t>N-7</t>
        </is>
      </c>
      <c r="CM77" s="53" t="inlineStr">
        <is>
          <t>Individual Contributor</t>
        </is>
      </c>
      <c r="CN77" s="53" t="inlineStr">
        <is>
          <t>Consume</t>
        </is>
      </c>
      <c r="CO77" s="53" t="inlineStr">
        <is>
          <t>Digitizing</t>
        </is>
      </c>
      <c r="CP77" s="53" t="inlineStr">
        <is>
          <t>16 years, 4 months, 27 days</t>
        </is>
      </c>
      <c r="CQ77" s="53" t="inlineStr">
        <is>
          <t>Sr.Image Processing Specialist</t>
        </is>
      </c>
      <c r="CR77" s="53" t="n"/>
      <c r="CS77" s="53" t="n">
        <v>4</v>
      </c>
      <c r="CT77" s="53" t="inlineStr">
        <is>
          <t>Medium</t>
        </is>
      </c>
      <c r="CU77" s="53" t="inlineStr">
        <is>
          <t>Core Contributor</t>
        </is>
      </c>
      <c r="CV77" s="53" t="inlineStr">
        <is>
          <t>No</t>
        </is>
      </c>
      <c r="CW77" s="53" t="inlineStr">
        <is>
          <t>No</t>
        </is>
      </c>
      <c r="CX77" s="53" t="inlineStr">
        <is>
          <t>Yes</t>
        </is>
      </c>
      <c r="CY77" s="53" t="n"/>
      <c r="CZ77" s="53" t="n"/>
      <c r="DA77" s="53" t="n"/>
      <c r="DB77" s="53" t="inlineStr">
        <is>
          <t>Title to be standardized to : Sr.Image Processing Specialist</t>
        </is>
      </c>
      <c r="DC77" s="53" t="n"/>
      <c r="DD77" s="53" t="n"/>
      <c r="DE77" s="53" t="n"/>
      <c r="DF77" s="53" t="n"/>
      <c r="DG77" s="53" t="n"/>
      <c r="DH77" s="53" t="n"/>
      <c r="DI77" s="53" t="n"/>
      <c r="DJ77" s="53" t="n"/>
      <c r="DK77" s="53" t="n"/>
      <c r="DL77" s="53" t="n"/>
      <c r="DM77" s="53" t="n"/>
      <c r="DN77" s="53" t="n"/>
      <c r="DO77" s="53" t="n"/>
      <c r="DP77" s="53" t="n"/>
      <c r="DQ77" s="53" t="n"/>
      <c r="DR77" s="53" t="n"/>
      <c r="DS77" s="53" t="n"/>
      <c r="DT77" s="53" t="n"/>
      <c r="DU77" s="53" t="n"/>
      <c r="DV77" s="53" t="n"/>
      <c r="DW77" s="53" t="n"/>
      <c r="DX77" s="53" t="n"/>
      <c r="DY77" s="53" t="n"/>
      <c r="DZ77" s="53" t="n"/>
      <c r="EA77" s="53" t="n"/>
      <c r="EB77" s="53" t="n"/>
      <c r="EC77" s="53" t="n"/>
      <c r="ED77" s="53" t="n"/>
      <c r="EE77" s="53" t="n"/>
      <c r="EF77" s="53" t="n"/>
      <c r="EG77" s="53" t="n"/>
      <c r="EH77" s="53" t="n"/>
      <c r="EI77" s="53" t="n"/>
      <c r="EJ77" s="53" t="n"/>
      <c r="EK77" s="53" t="n"/>
      <c r="EL77" s="53" t="n"/>
      <c r="EM77" s="53" t="n"/>
      <c r="EN77" s="53" t="n"/>
      <c r="EO77" s="53" t="n"/>
      <c r="EP77" s="53" t="n"/>
      <c r="EQ77" s="53" t="n"/>
      <c r="ER77" s="53" t="n"/>
      <c r="ES77" s="53" t="n"/>
      <c r="ET77" s="53" t="n"/>
      <c r="EU77" s="53" t="n"/>
      <c r="EV77" s="53" t="n"/>
      <c r="EW77" s="52" t="n"/>
      <c r="EX77" s="53"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EY77" s="53"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EZ77" s="53"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FA77" s="53"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B77" s="53" t="inlineStr">
        <is>
          <t>• Key challenges: Data clarification; Technical issues.
• Support required: Clearer processes, timely data availability, better coordination, and quicker issue resolution.</t>
        </is>
      </c>
      <c r="FC77" s="53" t="n"/>
      <c r="FD77" s="53" t="n"/>
      <c r="FE77"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FF77" s="56" t="n"/>
      <c r="FG77" s="56" t="n"/>
      <c r="FH77" s="56" t="n"/>
      <c r="FI77" s="56" t="n"/>
      <c r="FJ77" s="56" t="inlineStr">
        <is>
          <t>Received · manager annual</t>
        </is>
      </c>
      <c r="FK77" s="56" t="inlineStr">
        <is>
          <t>CARBON Mapping Master</t>
        </is>
      </c>
      <c r="FL77" s="56" t="n">
        <v>20</v>
      </c>
      <c r="FM77" s="56"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FN77" s="56"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FO77" s="56"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FP77" s="56"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Q77" s="56" t="inlineStr">
        <is>
          <t>• Key challenges: Data clarification; Technical issues.
• Support required: Clearer processes, timely data availability, better coordination, and quicker issue resolution.</t>
        </is>
      </c>
      <c r="FR77" s="56" t="inlineStr">
        <is>
          <t>Complexity: Evidence reads like A2: Data QC, HTML validation, upload and post-upload verification to a defined process → moved down 0.5
Autonomy: Evidence reads like A2: Verifies and validates content, then uploads approved data; no wider decisions → moved down 0.5
Accountability: Evidence reads like A3: Own uploads go live on RBI's public website; owns and corrects resulting errors → matches the start
Leadership: Evidence reads like A1: No guidance or leadership of others described → moved down 0.5
Business Impact: Moved +0.5: the survey / manager mapping marks it business-critical.</t>
        </is>
      </c>
      <c r="FS7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7" s="56" t="inlineStr">
        <is>
          <t>Self-identified: Leadership &amp; people management · Broader exposure &amp; ownership
For the next role: Leadership &amp; people management · Broader exposure &amp; ownership</t>
        </is>
      </c>
      <c r="FU77" s="56" t="inlineStr">
        <is>
          <t>Per-person summary · CARBON Mapping Master</t>
        </is>
      </c>
    </row>
    <row r="78" ht="90" customHeight="1">
      <c r="A78" s="51" t="inlineStr">
        <is>
          <t>◂ Back</t>
        </is>
      </c>
      <c r="B78" s="29" t="inlineStr">
        <is>
          <t>Mapped</t>
        </is>
      </c>
      <c r="C78" s="28" t="inlineStr">
        <is>
          <t>Consume</t>
        </is>
      </c>
      <c r="D78" s="29" t="inlineStr">
        <is>
          <t>IRISC283</t>
        </is>
      </c>
      <c r="E78" s="29" t="inlineStr">
        <is>
          <t>Saurav Kamtekar</t>
        </is>
      </c>
      <c r="F78" s="29" t="inlineStr">
        <is>
          <t>Digitizing</t>
        </is>
      </c>
      <c r="G78" s="29" t="inlineStr">
        <is>
          <t>Consultant</t>
        </is>
      </c>
      <c r="H78" s="29" t="inlineStr">
        <is>
          <t>Senior Digitization Associate</t>
        </is>
      </c>
      <c r="I78" s="29" t="inlineStr">
        <is>
          <t>L3 – Professional / Associate</t>
        </is>
      </c>
      <c r="J78" s="29" t="inlineStr">
        <is>
          <t>A3</t>
        </is>
      </c>
      <c r="K78" s="29" t="inlineStr">
        <is>
          <t>▲ Up</t>
        </is>
      </c>
      <c r="L78" s="29" t="inlineStr">
        <is>
          <t>Data Operations &amp; Digitization</t>
        </is>
      </c>
      <c r="M78" s="29" t="inlineStr">
        <is>
          <t>Document Conversion, Formatting &amp; Web Publishing</t>
        </is>
      </c>
      <c r="N78" s="29" t="n"/>
      <c r="O78" s="29" t="n">
        <v>20</v>
      </c>
      <c r="P78" s="28" t="inlineStr">
        <is>
          <t>P2</t>
        </is>
      </c>
      <c r="Q78" s="29" t="inlineStr">
        <is>
          <t>Developing</t>
        </is>
      </c>
      <c r="R78" s="29" t="inlineStr">
        <is>
          <t>3 Apply</t>
        </is>
      </c>
      <c r="S78" s="29" t="inlineStr">
        <is>
          <t>2–4 yrs</t>
        </is>
      </c>
      <c r="T78" s="29" t="inlineStr">
        <is>
          <t>3–5 · 2–5</t>
        </is>
      </c>
      <c r="U78" s="29" t="inlineStr">
        <is>
          <t>Senior Associate</t>
        </is>
      </c>
      <c r="V78" s="29" t="inlineStr">
        <is>
          <t>DataTracks: Senior Associate · 2–5 yrs · Accenture Operations: L10 Senior Analyst · IRIS Vs Competitor Benchmark — operations roles: Senior Processor / QC</t>
        </is>
      </c>
      <c r="W78" s="29" t="inlineStr">
        <is>
          <t>COPC CX Standard · leadership &amp; planning, people, processes, performance; ISO 9001; Lean / Six Sigma</t>
        </is>
      </c>
      <c r="X78" s="29" t="inlineStr">
        <is>
          <t>Core 2 · Future 2 · Functional 3 · Leadership not scored</t>
        </is>
      </c>
      <c r="Y78" s="52" t="n">
        <v>306</v>
      </c>
      <c r="Z78" s="53" t="inlineStr">
        <is>
          <t>IRISC283</t>
        </is>
      </c>
      <c r="AA78" s="53" t="inlineStr">
        <is>
          <t>On Contract</t>
        </is>
      </c>
      <c r="AB78" s="53" t="inlineStr">
        <is>
          <t>Active</t>
        </is>
      </c>
      <c r="AC78" s="53" t="inlineStr">
        <is>
          <t>Saurav Kamtekar</t>
        </is>
      </c>
      <c r="AD78" s="54" t="n">
        <v>45337</v>
      </c>
      <c r="AE78" s="53" t="inlineStr">
        <is>
          <t>Consultant</t>
        </is>
      </c>
      <c r="AF78" s="53" t="inlineStr">
        <is>
          <t>Undergraduate</t>
        </is>
      </c>
      <c r="AG78" s="53" t="inlineStr">
        <is>
          <t>Shraddha Patil</t>
        </is>
      </c>
      <c r="AH78" s="53" t="inlineStr">
        <is>
          <t>N-7</t>
        </is>
      </c>
      <c r="AI78" s="53" t="inlineStr">
        <is>
          <t>Individual Contributor</t>
        </is>
      </c>
      <c r="AJ78" s="53" t="inlineStr">
        <is>
          <t>0 years, 0 months, 0 days</t>
        </is>
      </c>
      <c r="AK78" s="53" t="inlineStr">
        <is>
          <t>2 years, 6 months, 10 days</t>
        </is>
      </c>
      <c r="AL78" s="53" t="inlineStr">
        <is>
          <t>Consume</t>
        </is>
      </c>
      <c r="AM78" s="53" t="inlineStr">
        <is>
          <t>Consume</t>
        </is>
      </c>
      <c r="AN78" s="53" t="inlineStr">
        <is>
          <t>Digitizing</t>
        </is>
      </c>
      <c r="AO78" s="53" t="inlineStr">
        <is>
          <t>Digitizing Assisted services</t>
        </is>
      </c>
      <c r="AP78" s="53" t="inlineStr">
        <is>
          <t>No</t>
        </is>
      </c>
      <c r="AQ78" s="53" t="inlineStr">
        <is>
          <t>Professional Services</t>
        </is>
      </c>
      <c r="AR78" s="53" t="inlineStr">
        <is>
          <t>OCR/Image procesing</t>
        </is>
      </c>
      <c r="AS78" s="53" t="inlineStr">
        <is>
          <t>Non-technical</t>
        </is>
      </c>
      <c r="AT78" s="53" t="n">
        <v>20</v>
      </c>
      <c r="AU78" s="53" t="inlineStr">
        <is>
          <t>Covered</t>
        </is>
      </c>
      <c r="AV78" s="53" t="inlineStr">
        <is>
          <t>IRISC283</t>
        </is>
      </c>
      <c r="AW78" s="53" t="inlineStr">
        <is>
          <t>Saurav Kamtekar</t>
        </is>
      </c>
      <c r="AX78" s="53" t="inlineStr">
        <is>
          <t>Digitizing</t>
        </is>
      </c>
      <c r="AY78" s="53" t="inlineStr">
        <is>
          <t>Professional Services</t>
        </is>
      </c>
      <c r="AZ78" s="53" t="inlineStr">
        <is>
          <t>Regulatory Portal Operations</t>
        </is>
      </c>
      <c r="BA78" s="53" t="n"/>
      <c r="BB78" s="53" t="n"/>
      <c r="BC78" s="53" t="inlineStr">
        <is>
          <t>On Contract</t>
        </is>
      </c>
      <c r="BD78" s="53" t="inlineStr">
        <is>
          <t>Shraddha Patil</t>
        </is>
      </c>
      <c r="BE78" s="53" t="inlineStr">
        <is>
          <t>Shraddha Patil</t>
        </is>
      </c>
      <c r="BF78" s="53" t="inlineStr">
        <is>
          <t>No</t>
        </is>
      </c>
      <c r="BG78" s="53" t="inlineStr">
        <is>
          <t>Consultant</t>
        </is>
      </c>
      <c r="BH78" s="53" t="inlineStr">
        <is>
          <t>Regulatory Portal Operations Consultant</t>
        </is>
      </c>
      <c r="BI78" s="53" t="inlineStr">
        <is>
          <t>No</t>
        </is>
      </c>
      <c r="BJ78" s="53" t="inlineStr">
        <is>
          <t>—</t>
        </is>
      </c>
      <c r="BK78" s="53" t="inlineStr">
        <is>
          <t>—</t>
        </is>
      </c>
      <c r="BL78" s="53" t="inlineStr">
        <is>
          <t>—</t>
        </is>
      </c>
      <c r="BM78" s="53" t="inlineStr">
        <is>
          <t>Not a manager</t>
        </is>
      </c>
      <c r="BN78" s="53" t="inlineStr">
        <is>
          <t>—</t>
        </is>
      </c>
      <c r="BO78" s="53" t="inlineStr">
        <is>
          <t>—</t>
        </is>
      </c>
      <c r="BP78" s="53" t="inlineStr">
        <is>
          <t>—</t>
        </is>
      </c>
      <c r="BQ78" s="53" t="inlineStr">
        <is>
          <t>Not a manager</t>
        </is>
      </c>
      <c r="BR78" s="53" t="inlineStr">
        <is>
          <t>—</t>
        </is>
      </c>
      <c r="BS78" s="53" t="inlineStr">
        <is>
          <t>L3 – Professional / Associate</t>
        </is>
      </c>
      <c r="BT78" s="53" t="inlineStr">
        <is>
          <t>L3 – Professional / Associate</t>
        </is>
      </c>
      <c r="BU78" s="53" t="inlineStr">
        <is>
          <t>No designation change — current record value carried forward</t>
        </is>
      </c>
      <c r="BV78"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78" s="53" t="n"/>
      <c r="BX78" s="53" t="inlineStr">
        <is>
          <t>No input received — attended/was listed as a respondent but did not provide answers to any of the survey questions.</t>
        </is>
      </c>
      <c r="BY78" s="53" t="n"/>
      <c r="BZ78" s="53" t="inlineStr">
        <is>
          <t>IRISC283</t>
        </is>
      </c>
      <c r="CA78" s="53" t="inlineStr">
        <is>
          <t>On Contract</t>
        </is>
      </c>
      <c r="CB78" s="53" t="inlineStr">
        <is>
          <t>Active</t>
        </is>
      </c>
      <c r="CC78" s="53" t="inlineStr">
        <is>
          <t>Saurav Kamtekar</t>
        </is>
      </c>
      <c r="CD78" s="54" t="n">
        <v>45337</v>
      </c>
      <c r="CE78" s="53" t="inlineStr">
        <is>
          <t>Consultant</t>
        </is>
      </c>
      <c r="CF78" s="53" t="n"/>
      <c r="CG78" s="53" t="inlineStr">
        <is>
          <t>Professional Services</t>
        </is>
      </c>
      <c r="CH78" s="53" t="inlineStr">
        <is>
          <t>Digitization &amp; Image Processing</t>
        </is>
      </c>
      <c r="CI78" s="53" t="inlineStr">
        <is>
          <t>Consultant</t>
        </is>
      </c>
      <c r="CJ78" s="53" t="inlineStr">
        <is>
          <t>L3 – Professional / Associate</t>
        </is>
      </c>
      <c r="CK78" s="53" t="inlineStr">
        <is>
          <t>Shraddha Patil</t>
        </is>
      </c>
      <c r="CL78" s="53" t="inlineStr">
        <is>
          <t>N-7</t>
        </is>
      </c>
      <c r="CM78" s="53" t="inlineStr">
        <is>
          <t>Individual Contributor</t>
        </is>
      </c>
      <c r="CN78" s="53" t="inlineStr">
        <is>
          <t>Consume</t>
        </is>
      </c>
      <c r="CO78" s="53" t="inlineStr">
        <is>
          <t>Digitizing</t>
        </is>
      </c>
      <c r="CP78" s="53" t="inlineStr">
        <is>
          <t>2 years, 4 months, 5 days</t>
        </is>
      </c>
      <c r="CQ78" s="53" t="inlineStr">
        <is>
          <t>Consultant</t>
        </is>
      </c>
      <c r="CR78" s="53" t="n"/>
      <c r="CS78" s="53" t="n">
        <v>3</v>
      </c>
      <c r="CT78" s="53" t="inlineStr">
        <is>
          <t>Medium</t>
        </is>
      </c>
      <c r="CU78" s="53" t="inlineStr">
        <is>
          <t>Core Contributor</t>
        </is>
      </c>
      <c r="CV78" s="53" t="inlineStr">
        <is>
          <t>No</t>
        </is>
      </c>
      <c r="CW78" s="53" t="inlineStr">
        <is>
          <t>No</t>
        </is>
      </c>
      <c r="CX78" s="53" t="inlineStr">
        <is>
          <t>Yes</t>
        </is>
      </c>
      <c r="CY78" s="53" t="n"/>
      <c r="CZ78" s="53" t="n"/>
      <c r="DA78" s="53" t="n"/>
      <c r="DB78" s="53" t="n"/>
      <c r="DC78" s="53" t="n"/>
      <c r="DD78" s="53" t="n"/>
      <c r="DE78" s="53" t="n"/>
      <c r="DF78" s="53" t="n"/>
      <c r="DG78" s="53" t="n"/>
      <c r="DH78" s="53" t="n"/>
      <c r="DI78" s="53" t="n"/>
      <c r="DJ78" s="53" t="n"/>
      <c r="DK78" s="53" t="n"/>
      <c r="DL78" s="53" t="n"/>
      <c r="DM78" s="53" t="n"/>
      <c r="DN78" s="53" t="n"/>
      <c r="DO78" s="53" t="n"/>
      <c r="DP78" s="53" t="n"/>
      <c r="DQ78" s="53" t="n"/>
      <c r="DR78" s="53" t="n"/>
      <c r="DS78" s="53" t="n"/>
      <c r="DT78" s="53" t="n"/>
      <c r="DU78" s="53" t="n"/>
      <c r="DV78" s="53" t="n"/>
      <c r="DW78" s="53" t="n"/>
      <c r="DX78" s="53" t="n"/>
      <c r="DY78" s="53" t="n"/>
      <c r="DZ78" s="53" t="n"/>
      <c r="EA78" s="53" t="n"/>
      <c r="EB78" s="53" t="n"/>
      <c r="EC78" s="53" t="n"/>
      <c r="ED78" s="53" t="n"/>
      <c r="EE78" s="53" t="n"/>
      <c r="EF78" s="53" t="n"/>
      <c r="EG78" s="53" t="n"/>
      <c r="EH78" s="53" t="n"/>
      <c r="EI78" s="53" t="n"/>
      <c r="EJ78" s="53" t="n"/>
      <c r="EK78" s="53" t="n"/>
      <c r="EL78" s="53" t="n"/>
      <c r="EM78" s="53" t="n"/>
      <c r="EN78" s="53" t="n"/>
      <c r="EO78" s="53" t="n"/>
      <c r="EP78" s="53" t="n"/>
      <c r="EQ78" s="53" t="n"/>
      <c r="ER78" s="53" t="n"/>
      <c r="ES78" s="53" t="n"/>
      <c r="ET78" s="53" t="n"/>
      <c r="EU78" s="53" t="n"/>
      <c r="EV78" s="53" t="n"/>
      <c r="EW78" s="52" t="n"/>
      <c r="EX78" s="53" t="inlineStr">
        <is>
          <t>• Role / sub-team: Digitizing — Consultant.
• Core purpose: Input not given by Participant.
• Decision-making autonomy: Input not given by Participant.
• Is this something only they do: Input not given by Participant.</t>
        </is>
      </c>
      <c r="EY78" s="53" t="inlineStr">
        <is>
          <t>• Key responsibilities include: Input not given by Participant.
• Impact if missed or done wrong: Input not given by Participant.
• How measured: Input not given by Participant.</t>
        </is>
      </c>
      <c r="EZ78" s="53" t="inlineStr">
        <is>
          <t>• Current capabilities: Input not given by Participant.
• Tools / software used: Input not given by Participant.</t>
        </is>
      </c>
      <c r="FA78" s="53" t="inlineStr">
        <is>
          <t>• Development priorities: Input not given by Participant.</t>
        </is>
      </c>
      <c r="FB78" s="53" t="inlineStr">
        <is>
          <t>• Key challenges: Input not given by Participant.
• Support required: Input not given by Participant.</t>
        </is>
      </c>
      <c r="FC78" s="53" t="n"/>
      <c r="FD78" s="53" t="n"/>
      <c r="FE78"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78" s="56" t="n"/>
      <c r="FG78" s="56" t="n"/>
      <c r="FH78" s="56" t="n"/>
      <c r="FI78" s="56" t="n"/>
      <c r="FJ78" s="56" t="inlineStr">
        <is>
          <t>Received · manager annual</t>
        </is>
      </c>
      <c r="FK78" s="56" t="inlineStr">
        <is>
          <t>CARBON Mapping Master</t>
        </is>
      </c>
      <c r="FL78" s="56" t="n">
        <v>20</v>
      </c>
      <c r="FM78" s="56" t="inlineStr">
        <is>
          <t>• Role / sub-team: Digitizing — Consultant.
• Core purpose: Input not given by Participant.
• Decision-making autonomy: Input not given by Participant.
• Is this something only they do: Input not given by Participant.</t>
        </is>
      </c>
      <c r="FN78" s="56" t="inlineStr">
        <is>
          <t>• Key responsibilities include: Input not given by Participant.
• Impact if missed or done wrong: Input not given by Participant.
• How measured: Input not given by Participant.</t>
        </is>
      </c>
      <c r="FO78" s="56" t="inlineStr">
        <is>
          <t>• Current capabilities: Input not given by Participant.
• Tools / software used: Input not given by Participant.</t>
        </is>
      </c>
      <c r="FP78" s="56" t="inlineStr">
        <is>
          <t>• Development priorities: Input not given by Participant.</t>
        </is>
      </c>
      <c r="FQ78" s="56" t="inlineStr">
        <is>
          <t>• Key challenges: Input not given by Participant.
• Support required: Input not given by Participant.</t>
        </is>
      </c>
      <c r="FR78" s="56" t="inlineStr">
        <is>
          <t>Complexity: Evidence reads like A2: Validates RBI website content against sources and flags errors; converts press releases, tenders → matches the start
Autonomy: Evidence reads like A2: Validates and flags errors; no authority beyond flagging → matches the start
Accountability: Evidence reads like A2: Accuracy of own validation; errors affect RBI website credibility → matches the start
Leadership: Evidence reads like A1: No guidance or leadership of others described → matches the start
Business Impact: Moved +0.5: the survey / manager mapping marks it business-critical.</t>
        </is>
      </c>
      <c r="FS7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8" s="56" t="inlineStr">
        <is>
          <t>Self-identified: AI / automation · Leadership &amp; people management
For the next role: AI / automation · Leadership &amp; people management</t>
        </is>
      </c>
      <c r="FU78" s="56" t="inlineStr">
        <is>
          <t>Per-person summary · CARBON Mapping Master</t>
        </is>
      </c>
    </row>
    <row r="79" ht="90" customHeight="1">
      <c r="A79" s="51" t="inlineStr">
        <is>
          <t>◂ Back</t>
        </is>
      </c>
      <c r="B79" s="29" t="inlineStr">
        <is>
          <t>Mapped</t>
        </is>
      </c>
      <c r="C79" s="28" t="inlineStr">
        <is>
          <t>Consume</t>
        </is>
      </c>
      <c r="D79" s="29" t="inlineStr">
        <is>
          <t>IRISC338</t>
        </is>
      </c>
      <c r="E79" s="29" t="inlineStr">
        <is>
          <t>Snehal Bhavesh Farad</t>
        </is>
      </c>
      <c r="F79" s="29" t="inlineStr">
        <is>
          <t>Digitizing</t>
        </is>
      </c>
      <c r="G79" s="29" t="inlineStr">
        <is>
          <t>Consultant</t>
        </is>
      </c>
      <c r="H79" s="29" t="inlineStr">
        <is>
          <t>Senior Digitization Associate</t>
        </is>
      </c>
      <c r="I79" s="29" t="inlineStr">
        <is>
          <t>L3 – Professional / Associate</t>
        </is>
      </c>
      <c r="J79" s="29" t="inlineStr">
        <is>
          <t>A3</t>
        </is>
      </c>
      <c r="K79" s="29" t="inlineStr">
        <is>
          <t>▲ Up</t>
        </is>
      </c>
      <c r="L79" s="29" t="inlineStr">
        <is>
          <t>Data Operations &amp; Digitization</t>
        </is>
      </c>
      <c r="M79" s="29" t="inlineStr">
        <is>
          <t>Document Conversion, Formatting &amp; Web Publishing</t>
        </is>
      </c>
      <c r="N79" s="29" t="inlineStr">
        <is>
          <t>• Correct the experience record — HR</t>
        </is>
      </c>
      <c r="O79" s="29" t="n">
        <v>17</v>
      </c>
      <c r="P79" s="28" t="inlineStr">
        <is>
          <t>P2</t>
        </is>
      </c>
      <c r="Q79" s="29" t="inlineStr">
        <is>
          <t>Developing</t>
        </is>
      </c>
      <c r="R79" s="29" t="inlineStr">
        <is>
          <t>3 Apply</t>
        </is>
      </c>
      <c r="S79" s="29" t="inlineStr">
        <is>
          <t>2–4 yrs</t>
        </is>
      </c>
      <c r="T79" s="29" t="inlineStr">
        <is>
          <t>3–5 · 2–5</t>
        </is>
      </c>
      <c r="U79" s="29" t="inlineStr">
        <is>
          <t>Senior Associate</t>
        </is>
      </c>
      <c r="V79" s="29" t="inlineStr">
        <is>
          <t>DataTracks: Senior Associate · 2–5 yrs · Accenture Operations: L10 Senior Analyst · IRIS Vs Competitor Benchmark — operations roles: Senior Processor / QC</t>
        </is>
      </c>
      <c r="W79" s="29" t="inlineStr">
        <is>
          <t>COPC CX Standard · leadership &amp; planning, people, processes, performance; ISO 9001; Lean / Six Sigma</t>
        </is>
      </c>
      <c r="X79" s="29" t="inlineStr">
        <is>
          <t>Core 2 · Future 2 · Functional 3 · Leadership not scored</t>
        </is>
      </c>
      <c r="Y79" s="52" t="n">
        <v>441</v>
      </c>
      <c r="Z79" s="53" t="inlineStr">
        <is>
          <t>IRISC338</t>
        </is>
      </c>
      <c r="AA79" s="53" t="inlineStr">
        <is>
          <t>On Contract</t>
        </is>
      </c>
      <c r="AB79" s="53" t="inlineStr">
        <is>
          <t>Active</t>
        </is>
      </c>
      <c r="AC79" s="53" t="inlineStr">
        <is>
          <t>Snehal Bhavesh Farad</t>
        </is>
      </c>
      <c r="AD79" s="54" t="n">
        <v>46044</v>
      </c>
      <c r="AE79" s="53" t="inlineStr">
        <is>
          <t>Consultant</t>
        </is>
      </c>
      <c r="AF79" s="53" t="inlineStr">
        <is>
          <t>BA</t>
        </is>
      </c>
      <c r="AG79" s="53" t="inlineStr">
        <is>
          <t>Shraddha Patil</t>
        </is>
      </c>
      <c r="AH79" s="53" t="inlineStr">
        <is>
          <t>N-7</t>
        </is>
      </c>
      <c r="AI79" s="53" t="inlineStr">
        <is>
          <t>Individual Contributor</t>
        </is>
      </c>
      <c r="AJ79" s="53" t="inlineStr">
        <is>
          <t>4 years, 5 months, 0 days</t>
        </is>
      </c>
      <c r="AK79" s="53" t="inlineStr">
        <is>
          <t>0 years, 7 months, 3 days</t>
        </is>
      </c>
      <c r="AL79" s="53" t="inlineStr">
        <is>
          <t>Consume</t>
        </is>
      </c>
      <c r="AM79" s="53" t="inlineStr">
        <is>
          <t>Consume</t>
        </is>
      </c>
      <c r="AN79" s="53" t="inlineStr">
        <is>
          <t>Digitizing</t>
        </is>
      </c>
      <c r="AO79" s="53" t="inlineStr">
        <is>
          <t>Digitizing Assisted services</t>
        </is>
      </c>
      <c r="AP79" s="53" t="inlineStr">
        <is>
          <t>No</t>
        </is>
      </c>
      <c r="AQ79" s="53" t="inlineStr">
        <is>
          <t>Professional Services</t>
        </is>
      </c>
      <c r="AR79" s="53" t="inlineStr">
        <is>
          <t>OCR/Image procesing</t>
        </is>
      </c>
      <c r="AS79" s="53" t="inlineStr">
        <is>
          <t>Non-technical</t>
        </is>
      </c>
      <c r="AT79" s="53" t="n">
        <v>20</v>
      </c>
      <c r="AU79" s="53" t="inlineStr">
        <is>
          <t>Covered</t>
        </is>
      </c>
      <c r="AV79" s="53" t="inlineStr">
        <is>
          <t>IRISC338</t>
        </is>
      </c>
      <c r="AW79" s="53" t="inlineStr">
        <is>
          <t>Snehal Bhavesh Farad</t>
        </is>
      </c>
      <c r="AX79" s="53" t="inlineStr">
        <is>
          <t>Digitizing</t>
        </is>
      </c>
      <c r="AY79" s="53" t="inlineStr">
        <is>
          <t>Professional Services</t>
        </is>
      </c>
      <c r="AZ79" s="53" t="inlineStr">
        <is>
          <t>Regulatory Portal Operations</t>
        </is>
      </c>
      <c r="BA79" s="53" t="n"/>
      <c r="BB79" s="53" t="n"/>
      <c r="BC79" s="53" t="inlineStr">
        <is>
          <t>On Contract</t>
        </is>
      </c>
      <c r="BD79" s="53" t="inlineStr">
        <is>
          <t>Shraddha Patil</t>
        </is>
      </c>
      <c r="BE79" s="53" t="inlineStr">
        <is>
          <t>Manoj Tiwari</t>
        </is>
      </c>
      <c r="BF79" s="53" t="inlineStr">
        <is>
          <t>No</t>
        </is>
      </c>
      <c r="BG79" s="53" t="inlineStr">
        <is>
          <t>Consultant</t>
        </is>
      </c>
      <c r="BH79" s="53" t="inlineStr">
        <is>
          <t>Regulatory Portal Operations Consultant</t>
        </is>
      </c>
      <c r="BI79" s="53" t="inlineStr">
        <is>
          <t>No</t>
        </is>
      </c>
      <c r="BJ79" s="53" t="inlineStr">
        <is>
          <t>—</t>
        </is>
      </c>
      <c r="BK79" s="53" t="inlineStr">
        <is>
          <t>—</t>
        </is>
      </c>
      <c r="BL79" s="53" t="inlineStr">
        <is>
          <t>—</t>
        </is>
      </c>
      <c r="BM79" s="53" t="inlineStr">
        <is>
          <t>Not a manager</t>
        </is>
      </c>
      <c r="BN79" s="53" t="inlineStr">
        <is>
          <t>—</t>
        </is>
      </c>
      <c r="BO79" s="53" t="inlineStr">
        <is>
          <t>—</t>
        </is>
      </c>
      <c r="BP79" s="53" t="inlineStr">
        <is>
          <t>—</t>
        </is>
      </c>
      <c r="BQ79" s="53" t="inlineStr">
        <is>
          <t>Not a manager</t>
        </is>
      </c>
      <c r="BR79" s="53" t="inlineStr">
        <is>
          <t>—</t>
        </is>
      </c>
      <c r="BS79" s="53" t="inlineStr">
        <is>
          <t>L3 – Professional / Associate</t>
        </is>
      </c>
      <c r="BT79" s="53" t="inlineStr">
        <is>
          <t>L3 – Professional / Associate</t>
        </is>
      </c>
      <c r="BU79" s="53" t="inlineStr">
        <is>
          <t>No designation change — current record value carried forward</t>
        </is>
      </c>
      <c r="BV79"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79" s="53" t="n"/>
      <c r="BX79" s="53" t="inlineStr">
        <is>
          <t>No input received.</t>
        </is>
      </c>
      <c r="BY79" s="53" t="n"/>
      <c r="BZ79" s="53" t="inlineStr">
        <is>
          <t>IRISC338</t>
        </is>
      </c>
      <c r="CA79" s="53" t="inlineStr">
        <is>
          <t>On Contract</t>
        </is>
      </c>
      <c r="CB79" s="53" t="inlineStr">
        <is>
          <t>Active</t>
        </is>
      </c>
      <c r="CC79" s="53" t="inlineStr">
        <is>
          <t>Snehal Bhavesh Farad</t>
        </is>
      </c>
      <c r="CD79" s="54" t="n">
        <v>46044</v>
      </c>
      <c r="CE79" s="53" t="inlineStr">
        <is>
          <t>Consultant</t>
        </is>
      </c>
      <c r="CF79" s="53" t="n"/>
      <c r="CG79" s="53" t="inlineStr">
        <is>
          <t>Professional Services</t>
        </is>
      </c>
      <c r="CH79" s="53" t="inlineStr">
        <is>
          <t>Digitization &amp; Image Processing</t>
        </is>
      </c>
      <c r="CI79" s="53" t="inlineStr">
        <is>
          <t>Consultant</t>
        </is>
      </c>
      <c r="CJ79" s="53" t="inlineStr">
        <is>
          <t>L3 – Professional / Associate</t>
        </is>
      </c>
      <c r="CK79" s="53" t="inlineStr">
        <is>
          <t>Shraddha Patil</t>
        </is>
      </c>
      <c r="CL79" s="53" t="inlineStr">
        <is>
          <t>N-7</t>
        </is>
      </c>
      <c r="CM79" s="53" t="inlineStr">
        <is>
          <t>Individual Contributor</t>
        </is>
      </c>
      <c r="CN79" s="53" t="inlineStr">
        <is>
          <t>Consume</t>
        </is>
      </c>
      <c r="CO79" s="53" t="inlineStr">
        <is>
          <t>Digitizing</t>
        </is>
      </c>
      <c r="CP79" s="53" t="inlineStr">
        <is>
          <t>4 years, 9 months, 29 days</t>
        </is>
      </c>
      <c r="CQ79" s="53" t="inlineStr">
        <is>
          <t>Consultant</t>
        </is>
      </c>
      <c r="CR79" s="53" t="n"/>
      <c r="CS79" s="53" t="n">
        <v>3</v>
      </c>
      <c r="CT79" s="53" t="inlineStr">
        <is>
          <t>Medium</t>
        </is>
      </c>
      <c r="CU79" s="53" t="inlineStr">
        <is>
          <t>Core Contributor</t>
        </is>
      </c>
      <c r="CV79" s="53" t="inlineStr">
        <is>
          <t>No</t>
        </is>
      </c>
      <c r="CW79" s="53" t="inlineStr">
        <is>
          <t>No</t>
        </is>
      </c>
      <c r="CX79" s="53" t="inlineStr">
        <is>
          <t>Yes</t>
        </is>
      </c>
      <c r="CY79" s="53" t="n"/>
      <c r="CZ79" s="53" t="n"/>
      <c r="DA79" s="53" t="n"/>
      <c r="DB79" s="53" t="n"/>
      <c r="DC79" s="53" t="n"/>
      <c r="DD79" s="53" t="n"/>
      <c r="DE79" s="53" t="n"/>
      <c r="DF79" s="53" t="n"/>
      <c r="DG79" s="53" t="n"/>
      <c r="DH79" s="53" t="n"/>
      <c r="DI79" s="53" t="n"/>
      <c r="DJ79" s="53" t="n"/>
      <c r="DK79" s="53" t="n"/>
      <c r="DL79" s="53" t="n"/>
      <c r="DM79" s="53" t="n"/>
      <c r="DN79" s="53" t="n"/>
      <c r="DO79" s="53" t="n"/>
      <c r="DP79" s="53" t="n"/>
      <c r="DQ79" s="53" t="n"/>
      <c r="DR79" s="53" t="n"/>
      <c r="DS79" s="53" t="n"/>
      <c r="DT79" s="53" t="n"/>
      <c r="DU79" s="53" t="n"/>
      <c r="DV79" s="53" t="n"/>
      <c r="DW79" s="53" t="n"/>
      <c r="DX79" s="53" t="n"/>
      <c r="DY79" s="53" t="n"/>
      <c r="DZ79" s="53" t="n"/>
      <c r="EA79" s="53" t="n"/>
      <c r="EB79" s="53" t="n"/>
      <c r="EC79" s="53" t="n"/>
      <c r="ED79" s="53" t="n"/>
      <c r="EE79" s="53" t="n"/>
      <c r="EF79" s="53" t="n"/>
      <c r="EG79" s="53" t="n"/>
      <c r="EH79" s="53" t="n"/>
      <c r="EI79" s="53" t="n"/>
      <c r="EJ79" s="53" t="n"/>
      <c r="EK79" s="53" t="n"/>
      <c r="EL79" s="53" t="n"/>
      <c r="EM79" s="53" t="n"/>
      <c r="EN79" s="53" t="n"/>
      <c r="EO79" s="53" t="n"/>
      <c r="EP79" s="53" t="n"/>
      <c r="EQ79" s="53" t="n"/>
      <c r="ER79" s="53" t="n"/>
      <c r="ES79" s="53" t="n"/>
      <c r="ET79" s="53" t="n"/>
      <c r="EU79" s="53" t="n"/>
      <c r="EV79" s="53" t="n"/>
      <c r="EW79" s="52" t="n"/>
      <c r="EX79" s="53" t="inlineStr">
        <is>
          <t>• Role / sub-team: Digitizing — Consultant.
• Core purpose: Conversion ms word to html; Daily update excel sheet.
• Decision-making autonomy: No input received.
• Is this something only they do: No input received.</t>
        </is>
      </c>
      <c r="EY79" s="53" t="inlineStr">
        <is>
          <t>• Key responsibilities include: Convert html in Dreamweav.
• Personally accountable for: Wrongly uploaded on client site.
• Impact if missed or done wrong: No input received.
• How measured: No input received.</t>
        </is>
      </c>
      <c r="EZ79" s="53" t="inlineStr">
        <is>
          <t>• Current capabilities: No input received.
• Tools / software used: No input received.
• Workload: Rated a manageable load · 2/5 in a typical week.</t>
        </is>
      </c>
      <c r="FA79" s="53" t="inlineStr">
        <is>
          <t>• Development priorities: No input received.</t>
        </is>
      </c>
      <c r="FB79" s="53" t="inlineStr">
        <is>
          <t>• Key challenges: No input received.
• Support required: No input received.</t>
        </is>
      </c>
      <c r="FC79" s="53" t="n"/>
      <c r="FD79" s="53" t="n"/>
      <c r="FE79"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79" s="56" t="n"/>
      <c r="FG79" s="56" t="n"/>
      <c r="FH79" s="56" t="n"/>
      <c r="FI79" s="56" t="n"/>
      <c r="FJ79" s="56" t="inlineStr">
        <is>
          <t>Received · manager annual</t>
        </is>
      </c>
      <c r="FK79" s="56" t="inlineStr">
        <is>
          <t>CARBON Mapping Master</t>
        </is>
      </c>
      <c r="FL79" s="56" t="n">
        <v>17</v>
      </c>
      <c r="FM79" s="56" t="inlineStr">
        <is>
          <t>• Role / sub-team: Digitizing — Consultant.
• Core purpose: Conversion ms word to html; Daily update excel sheet.
• Decision-making autonomy: No input received.
• Is this something only they do: No input received.</t>
        </is>
      </c>
      <c r="FN79" s="56" t="inlineStr">
        <is>
          <t>• Key responsibilities include: Convert html in Dreamweav.
• Personally accountable for: Wrongly uploaded on client site.
• Impact if missed or done wrong: No input received.
• How measured: No input received.</t>
        </is>
      </c>
      <c r="FO79" s="56" t="inlineStr">
        <is>
          <t>• Current capabilities: No input received.
• Tools / software used: No input received.
• Workload: Rated a manageable load · 2/5 in a typical week.</t>
        </is>
      </c>
      <c r="FP79" s="56" t="inlineStr">
        <is>
          <t>• Development priorities: No input received.</t>
        </is>
      </c>
      <c r="FQ79" s="56" t="inlineStr">
        <is>
          <t>• Key challenges: No input received.
• Support required: No input received.</t>
        </is>
      </c>
      <c r="FR79" s="56" t="inlineStr">
        <is>
          <t>Complexity: Evidence reads like A2: Daily upload of security rates and HTML conversion of press releases, tenders → matches the start
Autonomy: Evidence reads like A1: Says 'Nothing' is decided independently → moved down 0.5
Accountability: Evidence reads like A2: Own conversions and uploads; manager note cites wrong upload on client site → matches the start
Leadership: Evidence reads like A1: No guidance or leadership of others described → matches the start
Business Impact: Moved +0.5: the survey / manager mapping marks it business-critical.</t>
        </is>
      </c>
      <c r="FS7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9" s="56" t="inlineStr">
        <is>
          <t>Self-identified: Answered · no common topic
For the next role: Answered · no common topic</t>
        </is>
      </c>
      <c r="FU79" s="56" t="inlineStr">
        <is>
          <t>Per-person summary · CARBON Mapping Master</t>
        </is>
      </c>
    </row>
    <row r="80" ht="90" customHeight="1">
      <c r="A80" s="51" t="inlineStr">
        <is>
          <t>◂ Back</t>
        </is>
      </c>
      <c r="B80" s="29" t="inlineStr">
        <is>
          <t>Mapped</t>
        </is>
      </c>
      <c r="C80" s="28" t="inlineStr">
        <is>
          <t>Consume</t>
        </is>
      </c>
      <c r="D80" s="29" t="inlineStr">
        <is>
          <t>IRISC337</t>
        </is>
      </c>
      <c r="E80" s="29" t="inlineStr">
        <is>
          <t>Siddhesh Harishchandra Mali</t>
        </is>
      </c>
      <c r="F80" s="29" t="inlineStr">
        <is>
          <t>Digitizing</t>
        </is>
      </c>
      <c r="G80" s="29" t="inlineStr">
        <is>
          <t>Consultant</t>
        </is>
      </c>
      <c r="H80" s="29" t="inlineStr">
        <is>
          <t>Digitization Associate</t>
        </is>
      </c>
      <c r="I80" s="29" t="inlineStr">
        <is>
          <t>L3 – Professional / Associate</t>
        </is>
      </c>
      <c r="J80" s="29" t="inlineStr">
        <is>
          <t>A2</t>
        </is>
      </c>
      <c r="K80" s="29" t="inlineStr">
        <is>
          <t>• Same level</t>
        </is>
      </c>
      <c r="L80" s="29" t="inlineStr">
        <is>
          <t>Data Operations &amp; Digitization</t>
        </is>
      </c>
      <c r="M80" s="29" t="inlineStr">
        <is>
          <t>Document Conversion, Formatting &amp; Web Publishing</t>
        </is>
      </c>
      <c r="N80" s="29" t="n"/>
      <c r="O80" s="29" t="n">
        <v>20</v>
      </c>
      <c r="P80" s="28" t="inlineStr">
        <is>
          <t>P1–P2</t>
        </is>
      </c>
      <c r="Q80" s="29" t="inlineStr">
        <is>
          <t>Entry / Developing</t>
        </is>
      </c>
      <c r="R80" s="29" t="inlineStr">
        <is>
          <t>2 Assist</t>
        </is>
      </c>
      <c r="S80" s="29" t="inlineStr">
        <is>
          <t>0–2 yrs</t>
        </is>
      </c>
      <c r="T80" s="29" t="inlineStr">
        <is>
          <t>1–3 · 0–3</t>
        </is>
      </c>
      <c r="U80" s="29" t="inlineStr">
        <is>
          <t>Associate / Processor / Senior Associate</t>
        </is>
      </c>
      <c r="V80" s="29" t="inlineStr">
        <is>
          <t>DataTracks: Associate · Accenture Operations: L11 Analyst · IRIS Vs Competitor Benchmark — operations roles: Processor / Agent</t>
        </is>
      </c>
      <c r="W80" s="29" t="inlineStr">
        <is>
          <t>COPC CX Standard · leadership &amp; planning, people, processes, performance; ISO 9001; Lean / Six Sigma</t>
        </is>
      </c>
      <c r="X80" s="29" t="inlineStr">
        <is>
          <t>Core 2 · Future 2 · Functional 2 · Leadership not scored</t>
        </is>
      </c>
      <c r="Y80" s="52" t="n">
        <v>440</v>
      </c>
      <c r="Z80" s="53" t="inlineStr">
        <is>
          <t>IRISC337</t>
        </is>
      </c>
      <c r="AA80" s="53" t="inlineStr">
        <is>
          <t>On Contract</t>
        </is>
      </c>
      <c r="AB80" s="53" t="inlineStr">
        <is>
          <t>Active</t>
        </is>
      </c>
      <c r="AC80" s="53" t="inlineStr">
        <is>
          <t>Siddhesh Harishchandra Mali</t>
        </is>
      </c>
      <c r="AD80" s="54" t="n">
        <v>46044</v>
      </c>
      <c r="AE80" s="53" t="inlineStr">
        <is>
          <t>Consultant</t>
        </is>
      </c>
      <c r="AF80" s="53" t="inlineStr">
        <is>
          <t>B.Sc</t>
        </is>
      </c>
      <c r="AG80" s="53" t="inlineStr">
        <is>
          <t>Shraddha Patil</t>
        </is>
      </c>
      <c r="AH80" s="53" t="inlineStr">
        <is>
          <t>N-7</t>
        </is>
      </c>
      <c r="AI80" s="53" t="inlineStr">
        <is>
          <t>Individual Contributor</t>
        </is>
      </c>
      <c r="AJ80" s="53" t="inlineStr">
        <is>
          <t>0 years, 1 months, 0 days</t>
        </is>
      </c>
      <c r="AK80" s="53" t="inlineStr">
        <is>
          <t>0 years, 7 months, 3 days</t>
        </is>
      </c>
      <c r="AL80" s="53" t="inlineStr">
        <is>
          <t>Consume</t>
        </is>
      </c>
      <c r="AM80" s="53" t="inlineStr">
        <is>
          <t>Consume</t>
        </is>
      </c>
      <c r="AN80" s="53" t="inlineStr">
        <is>
          <t>Digitizing</t>
        </is>
      </c>
      <c r="AO80" s="53" t="inlineStr">
        <is>
          <t>Digitizing Assisted services</t>
        </is>
      </c>
      <c r="AP80" s="53" t="inlineStr">
        <is>
          <t>No</t>
        </is>
      </c>
      <c r="AQ80" s="53" t="inlineStr">
        <is>
          <t>Professional Services</t>
        </is>
      </c>
      <c r="AR80" s="53" t="inlineStr">
        <is>
          <t>OCR/Image procesing</t>
        </is>
      </c>
      <c r="AS80" s="53" t="inlineStr">
        <is>
          <t>Non-technical</t>
        </is>
      </c>
      <c r="AT80" s="53" t="n">
        <v>20</v>
      </c>
      <c r="AU80" s="53" t="inlineStr">
        <is>
          <t>Covered</t>
        </is>
      </c>
      <c r="AV80" s="53" t="inlineStr">
        <is>
          <t>IRISC337</t>
        </is>
      </c>
      <c r="AW80" s="53" t="inlineStr">
        <is>
          <t>Siddhesh Harishchandra Mali</t>
        </is>
      </c>
      <c r="AX80" s="53" t="inlineStr">
        <is>
          <t>Digitizing</t>
        </is>
      </c>
      <c r="AY80" s="53" t="inlineStr">
        <is>
          <t>Professional Services</t>
        </is>
      </c>
      <c r="AZ80" s="53" t="inlineStr">
        <is>
          <t>Regulatory Portal Operations</t>
        </is>
      </c>
      <c r="BA80" s="53" t="n"/>
      <c r="BB80" s="53" t="n"/>
      <c r="BC80" s="53" t="inlineStr">
        <is>
          <t>On Contract</t>
        </is>
      </c>
      <c r="BD80" s="53" t="inlineStr">
        <is>
          <t>Shraddha Patil</t>
        </is>
      </c>
      <c r="BE80" s="53" t="inlineStr">
        <is>
          <t>Manoj Tiwari</t>
        </is>
      </c>
      <c r="BF80" s="53" t="inlineStr">
        <is>
          <t>No</t>
        </is>
      </c>
      <c r="BG80" s="53" t="inlineStr">
        <is>
          <t>Consultant</t>
        </is>
      </c>
      <c r="BH80" s="53" t="inlineStr">
        <is>
          <t>Regulatory Portal Operations Consultant</t>
        </is>
      </c>
      <c r="BI80" s="53" t="inlineStr">
        <is>
          <t>No</t>
        </is>
      </c>
      <c r="BJ80" s="53" t="inlineStr">
        <is>
          <t>—</t>
        </is>
      </c>
      <c r="BK80" s="53" t="inlineStr">
        <is>
          <t>—</t>
        </is>
      </c>
      <c r="BL80" s="53" t="inlineStr">
        <is>
          <t>—</t>
        </is>
      </c>
      <c r="BM80" s="53" t="inlineStr">
        <is>
          <t>Not a manager</t>
        </is>
      </c>
      <c r="BN80" s="53" t="inlineStr">
        <is>
          <t>—</t>
        </is>
      </c>
      <c r="BO80" s="53" t="inlineStr">
        <is>
          <t>—</t>
        </is>
      </c>
      <c r="BP80" s="53" t="inlineStr">
        <is>
          <t>—</t>
        </is>
      </c>
      <c r="BQ80" s="53" t="inlineStr">
        <is>
          <t>Not a manager</t>
        </is>
      </c>
      <c r="BR80" s="53" t="inlineStr">
        <is>
          <t>—</t>
        </is>
      </c>
      <c r="BS80" s="53" t="inlineStr">
        <is>
          <t>L3 – Professional / Associate</t>
        </is>
      </c>
      <c r="BT80" s="53" t="inlineStr">
        <is>
          <t>L3 – Professional / Associate</t>
        </is>
      </c>
      <c r="BU80" s="53" t="inlineStr">
        <is>
          <t>No designation change — current record value carried forward</t>
        </is>
      </c>
      <c r="BV80"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80" s="53" t="n"/>
      <c r="BX80" s="53" t="inlineStr">
        <is>
          <t>No input received.</t>
        </is>
      </c>
      <c r="BY80" s="53" t="n"/>
      <c r="BZ80" s="53" t="inlineStr">
        <is>
          <t>IRISC337</t>
        </is>
      </c>
      <c r="CA80" s="53" t="inlineStr">
        <is>
          <t>On Contract</t>
        </is>
      </c>
      <c r="CB80" s="53" t="inlineStr">
        <is>
          <t>Active</t>
        </is>
      </c>
      <c r="CC80" s="53" t="inlineStr">
        <is>
          <t>Siddhesh Harishchandra Mali</t>
        </is>
      </c>
      <c r="CD80" s="54" t="n">
        <v>46044</v>
      </c>
      <c r="CE80" s="53" t="inlineStr">
        <is>
          <t>Consultant</t>
        </is>
      </c>
      <c r="CF80" s="53" t="n"/>
      <c r="CG80" s="53" t="inlineStr">
        <is>
          <t>Professional Services</t>
        </is>
      </c>
      <c r="CH80" s="53" t="inlineStr">
        <is>
          <t>Digitization &amp; Image Processing</t>
        </is>
      </c>
      <c r="CI80" s="53" t="inlineStr">
        <is>
          <t>Consultant</t>
        </is>
      </c>
      <c r="CJ80" s="53" t="inlineStr">
        <is>
          <t>L3 – Professional / Associate</t>
        </is>
      </c>
      <c r="CK80" s="53" t="inlineStr">
        <is>
          <t>Shraddha Patil</t>
        </is>
      </c>
      <c r="CL80" s="53" t="inlineStr">
        <is>
          <t>N-7</t>
        </is>
      </c>
      <c r="CM80" s="53" t="inlineStr">
        <is>
          <t>Individual Contributor</t>
        </is>
      </c>
      <c r="CN80" s="53" t="inlineStr">
        <is>
          <t>Consume</t>
        </is>
      </c>
      <c r="CO80" s="53" t="inlineStr">
        <is>
          <t>Digitizing</t>
        </is>
      </c>
      <c r="CP80" s="53" t="inlineStr">
        <is>
          <t>0 years, 5 months, 29 days</t>
        </is>
      </c>
      <c r="CQ80" s="53" t="inlineStr">
        <is>
          <t>Consultant</t>
        </is>
      </c>
      <c r="CR80" s="53" t="n"/>
      <c r="CS80" s="53" t="n">
        <v>3</v>
      </c>
      <c r="CT80" s="53" t="inlineStr">
        <is>
          <t>Medium</t>
        </is>
      </c>
      <c r="CU80" s="53" t="inlineStr">
        <is>
          <t>Core Contributor</t>
        </is>
      </c>
      <c r="CV80" s="53" t="inlineStr">
        <is>
          <t>No</t>
        </is>
      </c>
      <c r="CW80" s="53" t="inlineStr">
        <is>
          <t>No</t>
        </is>
      </c>
      <c r="CX80" s="53" t="inlineStr">
        <is>
          <t>Yes</t>
        </is>
      </c>
      <c r="CY80" s="53" t="n"/>
      <c r="CZ80" s="53" t="n"/>
      <c r="DA80" s="53" t="n"/>
      <c r="DB80" s="53" t="n"/>
      <c r="DC80" s="53" t="n"/>
      <c r="DD80" s="53" t="n"/>
      <c r="DE80" s="53" t="n"/>
      <c r="DF80" s="53" t="n"/>
      <c r="DG80" s="53" t="n"/>
      <c r="DH80" s="53" t="n"/>
      <c r="DI80" s="53" t="n"/>
      <c r="DJ80" s="53" t="n"/>
      <c r="DK80" s="53" t="n"/>
      <c r="DL80" s="53" t="n"/>
      <c r="DM80" s="53" t="n"/>
      <c r="DN80" s="53" t="n"/>
      <c r="DO80" s="53" t="n"/>
      <c r="DP80" s="53" t="n"/>
      <c r="DQ80" s="53" t="n"/>
      <c r="DR80" s="53" t="n"/>
      <c r="DS80" s="53" t="n"/>
      <c r="DT80" s="53" t="n"/>
      <c r="DU80" s="53" t="n"/>
      <c r="DV80" s="53" t="n"/>
      <c r="DW80" s="53" t="n"/>
      <c r="DX80" s="53" t="n"/>
      <c r="DY80" s="53" t="n"/>
      <c r="DZ80" s="53" t="n"/>
      <c r="EA80" s="53" t="n"/>
      <c r="EB80" s="53" t="n"/>
      <c r="EC80" s="53" t="n"/>
      <c r="ED80" s="53" t="n"/>
      <c r="EE80" s="53" t="n"/>
      <c r="EF80" s="53" t="n"/>
      <c r="EG80" s="53" t="n"/>
      <c r="EH80" s="53" t="n"/>
      <c r="EI80" s="53" t="n"/>
      <c r="EJ80" s="53" t="n"/>
      <c r="EK80" s="53" t="n"/>
      <c r="EL80" s="53" t="n"/>
      <c r="EM80" s="53" t="n"/>
      <c r="EN80" s="53" t="n"/>
      <c r="EO80" s="53" t="n"/>
      <c r="EP80" s="53" t="n"/>
      <c r="EQ80" s="53" t="n"/>
      <c r="ER80" s="53" t="n"/>
      <c r="ES80" s="53" t="n"/>
      <c r="ET80" s="53" t="n"/>
      <c r="EU80" s="53" t="n"/>
      <c r="EV80" s="53" t="n"/>
      <c r="EW80" s="52" t="n"/>
      <c r="EX80" s="53" t="inlineStr">
        <is>
          <t>• Role / sub-team: Digitizing — Consultant.
• Core purpose: My purpose is to convert word/pdf documents data to html that will be published on RBI Website.
• Decision-making autonomy: No input received.
• Is this something only they do: No input received.</t>
        </is>
      </c>
      <c r="EY80" s="53" t="inlineStr">
        <is>
          <t>• Key responsibilities include: RBI data in form of HTML.
• Impact if missed or done wrong: No input received.
• How measured: No input received.</t>
        </is>
      </c>
      <c r="EZ80" s="53" t="inlineStr">
        <is>
          <t>• Current capabilities: No input received.
• Tools / software used: No input received.</t>
        </is>
      </c>
      <c r="FA80" s="53" t="inlineStr">
        <is>
          <t>• Development priorities: No input received.</t>
        </is>
      </c>
      <c r="FB80" s="53" t="inlineStr">
        <is>
          <t>• Key challenges: No input received.
• Support required: No input received.</t>
        </is>
      </c>
      <c r="FC80" s="53" t="n"/>
      <c r="FD80" s="53" t="n"/>
      <c r="FE80"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80" s="56" t="n"/>
      <c r="FG80" s="56" t="n"/>
      <c r="FH80" s="56" t="n"/>
      <c r="FI80" s="56" t="n"/>
      <c r="FJ80" s="56" t="inlineStr">
        <is>
          <t>Received · manager annual</t>
        </is>
      </c>
      <c r="FK80" s="56" t="inlineStr">
        <is>
          <t>CARBON Mapping Master</t>
        </is>
      </c>
      <c r="FL80" s="56" t="n">
        <v>20</v>
      </c>
      <c r="FM80" s="56" t="inlineStr">
        <is>
          <t>• Role / sub-team: Digitizing — Consultant.
• Core purpose: My purpose is to convert word/pdf documents data to html that will be published on RBI Website.
• Decision-making autonomy: No input received.
• Is this something only they do: No input received.</t>
        </is>
      </c>
      <c r="FN80" s="56" t="inlineStr">
        <is>
          <t>• Key responsibilities include: RBI data in form of HTML.
• Impact if missed or done wrong: No input received.
• How measured: No input received.</t>
        </is>
      </c>
      <c r="FO80" s="56" t="inlineStr">
        <is>
          <t>• Current capabilities: No input received.
• Tools / software used: No input received.</t>
        </is>
      </c>
      <c r="FP80" s="56" t="inlineStr">
        <is>
          <t>• Development priorities: No input received.</t>
        </is>
      </c>
      <c r="FQ80" s="56" t="inlineStr">
        <is>
          <t>• Key challenges: No input received.
• Support required: No input received.</t>
        </is>
      </c>
      <c r="FR80" s="56" t="inlineStr">
        <is>
          <t>Complexity: Evidence reads like A2: Converts Word / PDF to HTML in Dreamweaver via a structured process → matches the start
Autonomy: Evidence reads like A2: Decides HTML formatting structure and edits → matches the start
Accountability: Evidence reads like A2: Accurate, complete HTML ready for RBI website publication → matches the start
Leadership: Evidence reads like A1: No guidance or leadership of others described → matches the start
Business Impact: Moved +0.5: the survey / manager mapping marks it business-critical.</t>
        </is>
      </c>
      <c r="FS80"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80" s="56" t="inlineStr">
        <is>
          <t>Self-identified: Broader exposure &amp; ownership
For the next role: AI / automation · Project / programme management · Data, SQL &amp; analytics · Broader exposure &amp; ownership</t>
        </is>
      </c>
      <c r="FU80" s="56" t="inlineStr">
        <is>
          <t>Per-person summary · CARBON Mapping Master</t>
        </is>
      </c>
    </row>
    <row r="81" ht="90" customHeight="1">
      <c r="A81" s="51" t="inlineStr">
        <is>
          <t>◂ Back</t>
        </is>
      </c>
      <c r="B81" s="29" t="inlineStr">
        <is>
          <t>Mapped</t>
        </is>
      </c>
      <c r="C81" s="28" t="inlineStr">
        <is>
          <t>CARBON</t>
        </is>
      </c>
      <c r="D81" s="29" t="inlineStr">
        <is>
          <t>IRIS1005</t>
        </is>
      </c>
      <c r="E81" s="29" t="inlineStr">
        <is>
          <t>Datta Hatagale</t>
        </is>
      </c>
      <c r="F81" s="29" t="inlineStr">
        <is>
          <t>Digitizing</t>
        </is>
      </c>
      <c r="G81" s="29" t="inlineStr">
        <is>
          <t>Image Processing Specialist</t>
        </is>
      </c>
      <c r="H81" s="29" t="inlineStr">
        <is>
          <t>Customer Enablement Specialist – POD Lead</t>
        </is>
      </c>
      <c r="I81" s="29" t="inlineStr">
        <is>
          <t>L3 – Professional / Associate</t>
        </is>
      </c>
      <c r="J81" s="29" t="inlineStr">
        <is>
          <t>B1</t>
        </is>
      </c>
      <c r="K81" s="29" t="inlineStr">
        <is>
          <t>▲ Up</t>
        </is>
      </c>
      <c r="L81" s="29" t="inlineStr">
        <is>
          <t>Customer Success &amp; Support</t>
        </is>
      </c>
      <c r="M81" s="29" t="inlineStr">
        <is>
          <t>Customer Training &amp; Enablement</t>
        </is>
      </c>
      <c r="N81" s="29" t="n"/>
      <c r="O81" s="29" t="n">
        <v>20</v>
      </c>
      <c r="P81" s="28" t="inlineStr">
        <is>
          <t>P3 / M2</t>
        </is>
      </c>
      <c r="Q81" s="29" t="inlineStr">
        <is>
          <t>Career / · Team Lead</t>
        </is>
      </c>
      <c r="R81" s="29" t="inlineStr">
        <is>
          <t>4 Enable</t>
        </is>
      </c>
      <c r="S81" s="29" t="inlineStr">
        <is>
          <t>4–7 yrs</t>
        </is>
      </c>
      <c r="T81" s="29" t="inlineStr">
        <is>
          <t>5–8 · 4–8</t>
        </is>
      </c>
      <c r="U81" s="29" t="inlineStr">
        <is>
          <t>Senior Executive / CSM</t>
        </is>
      </c>
      <c r="V81" s="29" t="inlineStr">
        <is>
          <t>Workiva: Customer Success Manager · IRIS Vs Competitor Benchmark — SaaS customer-success ladder: CSM · IRIS Vs Competitor Benchmark — support tiers: L3 / Problem Analyst</t>
        </is>
      </c>
      <c r="W81" s="29" t="inlineStr">
        <is>
          <t>TSIA frameworks and benchmarks; ITIL 4 service desk; Gainsight customer-success practice</t>
        </is>
      </c>
      <c r="X81" s="29" t="inlineStr">
        <is>
          <t>Core 3 · Future 3 · Functional 3 · Leadership 2</t>
        </is>
      </c>
      <c r="Y81" s="52" t="n">
        <v>103</v>
      </c>
      <c r="Z81" s="53" t="inlineStr">
        <is>
          <t>IRIS1005</t>
        </is>
      </c>
      <c r="AA81" s="53" t="inlineStr">
        <is>
          <t>Employee</t>
        </is>
      </c>
      <c r="AB81" s="53" t="inlineStr">
        <is>
          <t>Active</t>
        </is>
      </c>
      <c r="AC81" s="53" t="inlineStr">
        <is>
          <t>Datta Hatagale</t>
        </is>
      </c>
      <c r="AD81" s="54" t="n">
        <v>40840</v>
      </c>
      <c r="AE81" s="53" t="inlineStr">
        <is>
          <t>Image Processing Specialist</t>
        </is>
      </c>
      <c r="AF81" s="53" t="inlineStr">
        <is>
          <t>BA</t>
        </is>
      </c>
      <c r="AG81" s="53" t="inlineStr">
        <is>
          <t>Vijay Parulekar</t>
        </is>
      </c>
      <c r="AH81" s="53" t="inlineStr">
        <is>
          <t>N-6</t>
        </is>
      </c>
      <c r="AI81" s="53" t="inlineStr">
        <is>
          <t>Manager</t>
        </is>
      </c>
      <c r="AJ81" s="53" t="inlineStr">
        <is>
          <t>0 years, 0 months, 0 days</t>
        </is>
      </c>
      <c r="AK81" s="53" t="inlineStr">
        <is>
          <t>14 years, 10 months, 1 days</t>
        </is>
      </c>
      <c r="AL81" s="53" t="inlineStr">
        <is>
          <t>Regtech</t>
        </is>
      </c>
      <c r="AM81" s="53" t="inlineStr">
        <is>
          <t>CARBON</t>
        </is>
      </c>
      <c r="AN81" s="53" t="inlineStr">
        <is>
          <t>Digitizing</t>
        </is>
      </c>
      <c r="AO81" s="53" t="inlineStr">
        <is>
          <t>Digitizing Assisted services</t>
        </is>
      </c>
      <c r="AP81" s="53" t="inlineStr">
        <is>
          <t>No</t>
        </is>
      </c>
      <c r="AQ81" s="53" t="inlineStr">
        <is>
          <t>Professional Services</t>
        </is>
      </c>
      <c r="AR81" s="53" t="inlineStr">
        <is>
          <t>OCR/Image procesing</t>
        </is>
      </c>
      <c r="AS81" s="53" t="inlineStr">
        <is>
          <t>Non-technical</t>
        </is>
      </c>
      <c r="AT81" s="53" t="n">
        <v>20</v>
      </c>
      <c r="AU81" s="53" t="inlineStr">
        <is>
          <t>Covered</t>
        </is>
      </c>
      <c r="AV81" s="53" t="inlineStr">
        <is>
          <t>IRIS1005</t>
        </is>
      </c>
      <c r="AW81" s="53" t="inlineStr">
        <is>
          <t>Datta Hatagale</t>
        </is>
      </c>
      <c r="AX81" s="53" t="inlineStr">
        <is>
          <t>Digitizing</t>
        </is>
      </c>
      <c r="AY81" s="53" t="inlineStr">
        <is>
          <t>Professional Services</t>
        </is>
      </c>
      <c r="AZ81" s="53" t="inlineStr">
        <is>
          <t>Digitization &amp; Image Processing</t>
        </is>
      </c>
      <c r="BA81" s="53" t="n"/>
      <c r="BB81" s="53" t="n"/>
      <c r="BC81" s="53" t="inlineStr">
        <is>
          <t>Employee</t>
        </is>
      </c>
      <c r="BD81" s="53" t="inlineStr">
        <is>
          <t>Vijay Parulekar</t>
        </is>
      </c>
      <c r="BE81" s="53" t="inlineStr">
        <is>
          <t>Vijay Digamber Parulekar</t>
        </is>
      </c>
      <c r="BF81" s="53" t="inlineStr">
        <is>
          <t>No</t>
        </is>
      </c>
      <c r="BG81" s="53" t="inlineStr">
        <is>
          <t>Image Processing Specialist</t>
        </is>
      </c>
      <c r="BH81" s="53" t="inlineStr">
        <is>
          <t>Digitizing Lead</t>
        </is>
      </c>
      <c r="BI81" s="53" t="inlineStr">
        <is>
          <t>Yes</t>
        </is>
      </c>
      <c r="BJ81" s="53" t="n">
        <v>4</v>
      </c>
      <c r="BK81" s="53" t="n">
        <v>0</v>
      </c>
      <c r="BL81" s="53" t="n">
        <v>4</v>
      </c>
      <c r="BM81" s="53" t="inlineStr">
        <is>
          <t>Review</t>
        </is>
      </c>
      <c r="BN81" s="53" t="n">
        <v>4</v>
      </c>
      <c r="BO81" s="53" t="n">
        <v>0</v>
      </c>
      <c r="BP81" s="53" t="n">
        <v>4</v>
      </c>
      <c r="BQ81" s="53" t="inlineStr">
        <is>
          <t>Review</t>
        </is>
      </c>
      <c r="BR81" s="53" t="inlineStr">
        <is>
          <t>No</t>
        </is>
      </c>
      <c r="BS81" s="53" t="inlineStr">
        <is>
          <t>L3 – Professional / Associate</t>
        </is>
      </c>
      <c r="BT81" s="53" t="inlineStr">
        <is>
          <t>L3</t>
        </is>
      </c>
      <c r="BU81" s="53" t="inlineStr">
        <is>
          <t>Designation refined from Raw tab Comments column · this update</t>
        </is>
      </c>
      <c r="BV8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W81" s="53" t="n"/>
      <c r="BX81" s="53" t="inlineStr">
        <is>
          <t>UK - HMRC; India - MCA; South Africa - CIPC; Europe - ESEF; Netherland - KVK.</t>
        </is>
      </c>
      <c r="BY81" s="53" t="n"/>
      <c r="BZ81" s="53" t="inlineStr">
        <is>
          <t>IRIS1005</t>
        </is>
      </c>
      <c r="CA81" s="53" t="inlineStr">
        <is>
          <t>Employee</t>
        </is>
      </c>
      <c r="CB81" s="53" t="inlineStr">
        <is>
          <t>Active</t>
        </is>
      </c>
      <c r="CC81" s="53" t="inlineStr">
        <is>
          <t>Datta Hatagale</t>
        </is>
      </c>
      <c r="CD81" s="54" t="n">
        <v>40840</v>
      </c>
      <c r="CE81" s="53" t="inlineStr">
        <is>
          <t>Image Processing Specialist</t>
        </is>
      </c>
      <c r="CF81" s="53" t="n"/>
      <c r="CG81" s="53" t="inlineStr">
        <is>
          <t>Professional Services</t>
        </is>
      </c>
      <c r="CH81" s="53" t="inlineStr">
        <is>
          <t>Digitization &amp; Image Processing</t>
        </is>
      </c>
      <c r="CI81" s="53" t="inlineStr">
        <is>
          <t>Image Processing Specialist</t>
        </is>
      </c>
      <c r="CJ81" s="53" t="inlineStr">
        <is>
          <t>L3 – Professional / Associate</t>
        </is>
      </c>
      <c r="CK81" s="53" t="inlineStr">
        <is>
          <t>Vijay Parulekar</t>
        </is>
      </c>
      <c r="CL81" s="53" t="inlineStr">
        <is>
          <t>N-6</t>
        </is>
      </c>
      <c r="CM81" s="53" t="inlineStr">
        <is>
          <t>Player Cum Coach</t>
        </is>
      </c>
      <c r="CN81" s="53" t="inlineStr">
        <is>
          <t>Regtech</t>
        </is>
      </c>
      <c r="CO81" s="53" t="inlineStr">
        <is>
          <t>Digitizing</t>
        </is>
      </c>
      <c r="CP81" s="53" t="inlineStr">
        <is>
          <t>14 years, 7 months, 27 days</t>
        </is>
      </c>
      <c r="CQ81" s="53" t="inlineStr">
        <is>
          <t>Sr.Image Processing Specialist</t>
        </is>
      </c>
      <c r="CR81" s="53" t="n"/>
      <c r="CS81" s="53" t="n">
        <v>4</v>
      </c>
      <c r="CT81" s="53" t="inlineStr">
        <is>
          <t>High</t>
        </is>
      </c>
      <c r="CU81" s="53" t="inlineStr">
        <is>
          <t>Core Contributor</t>
        </is>
      </c>
      <c r="CV81" s="53" t="inlineStr">
        <is>
          <t>No</t>
        </is>
      </c>
      <c r="CW81" s="53" t="inlineStr">
        <is>
          <t>No</t>
        </is>
      </c>
      <c r="CX81" s="53" t="inlineStr">
        <is>
          <t>Yes</t>
        </is>
      </c>
      <c r="CY81" s="53" t="n"/>
      <c r="CZ81" s="53" t="n"/>
      <c r="DA81" s="53" t="n"/>
      <c r="DB81" s="53" t="inlineStr">
        <is>
          <t>Title to be changed to Digitizing Lead</t>
        </is>
      </c>
      <c r="DC81" s="53" t="n"/>
      <c r="DD81" s="53" t="n"/>
      <c r="DE81" s="53" t="n"/>
      <c r="DF81" s="53" t="n"/>
      <c r="DG81" s="53" t="n"/>
      <c r="DH81" s="53" t="n"/>
      <c r="DI81" s="53" t="n"/>
      <c r="DJ81" s="53" t="n"/>
      <c r="DK81" s="53" t="n"/>
      <c r="DL81" s="53" t="n"/>
      <c r="DM81" s="53" t="n"/>
      <c r="DN81" s="53" t="n"/>
      <c r="DO81" s="53" t="n"/>
      <c r="DP81" s="53" t="n"/>
      <c r="DQ81" s="53" t="n"/>
      <c r="DR81" s="53" t="n"/>
      <c r="DS81" s="53" t="n"/>
      <c r="DT81" s="53" t="n"/>
      <c r="DU81" s="53" t="n"/>
      <c r="DV81" s="53" t="n"/>
      <c r="DW81" s="53" t="n"/>
      <c r="DX81" s="53" t="n"/>
      <c r="DY81" s="53" t="n"/>
      <c r="DZ81" s="53" t="n"/>
      <c r="EA81" s="53" t="n"/>
      <c r="EB81" s="53" t="n"/>
      <c r="EC81" s="53" t="n"/>
      <c r="ED81" s="53" t="n"/>
      <c r="EE81" s="53" t="n"/>
      <c r="EF81" s="53" t="n"/>
      <c r="EG81" s="53" t="n"/>
      <c r="EH81" s="53" t="n"/>
      <c r="EI81" s="53" t="n"/>
      <c r="EJ81" s="53" t="n"/>
      <c r="EK81" s="53" t="n"/>
      <c r="EL81" s="53" t="n"/>
      <c r="EM81" s="53" t="n"/>
      <c r="EN81" s="53" t="n"/>
      <c r="EO81" s="53" t="n"/>
      <c r="EP81" s="53" t="n"/>
      <c r="EQ81" s="53" t="n"/>
      <c r="ER81" s="53" t="n"/>
      <c r="ES81" s="53" t="n"/>
      <c r="ET81" s="53" t="n"/>
      <c r="EU81" s="53" t="n"/>
      <c r="EV81" s="53" t="n"/>
      <c r="EW81" s="52" t="n"/>
      <c r="EX81" s="53" t="inlineStr">
        <is>
          <t>• Role / sub-team: Digitizing assisted services.</t>
        </is>
      </c>
      <c r="EY81" s="53"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EZ81" s="53" t="inlineStr">
        <is>
          <t>• Current capabilities: AI tool skills; Copilot; Tools / software used: Both.</t>
        </is>
      </c>
      <c r="FA81" s="53" t="inlineStr">
        <is>
          <t>• Communications skills.
• Presentation skills.</t>
        </is>
      </c>
      <c r="FB81" s="53" t="inlineStr">
        <is>
          <t>• Key challenges: Quality of report, RDP issue.
• Support required: No input received.</t>
        </is>
      </c>
      <c r="FC81" s="53" t="n"/>
      <c r="FD81" s="53" t="n"/>
      <c r="FE8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FF81" s="56" t="n"/>
      <c r="FG81" s="56" t="n"/>
      <c r="FH81" s="56" t="n"/>
      <c r="FI81" s="56" t="n"/>
      <c r="FJ81" s="56" t="inlineStr">
        <is>
          <t>Received · manager annual</t>
        </is>
      </c>
      <c r="FK81" s="56" t="inlineStr">
        <is>
          <t>CARBON Mapping Master</t>
        </is>
      </c>
      <c r="FL81" s="56" t="n">
        <v>20</v>
      </c>
      <c r="FM81" s="56" t="inlineStr">
        <is>
          <t>• Role / sub-team: Digitizing assisted services.</t>
        </is>
      </c>
      <c r="FN81" s="56"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FO81" s="56" t="inlineStr">
        <is>
          <t>• Current capabilities: AI tool skills; Copilot; Tools / software used: Both.</t>
        </is>
      </c>
      <c r="FP81" s="56" t="inlineStr">
        <is>
          <t>• Communications skills.
• Presentation skills.</t>
        </is>
      </c>
      <c r="FQ81" s="56" t="inlineStr">
        <is>
          <t>• Key challenges: Quality of report, RDP issue.
• Support required: No input received.</t>
        </is>
      </c>
      <c r="FR81" s="56" t="inlineStr">
        <is>
          <t>Business Impact: Moved +0.5: the survey / manager mapping marks it business-critical.</t>
        </is>
      </c>
      <c r="FS81" s="56" t="n"/>
      <c r="FT81" s="56" t="inlineStr">
        <is>
          <t>Self-identified: AI / automation · Leadership &amp; people management · Project / programme management
For the next role: AI / automation · Leadership &amp; people management · Project / programme management</t>
        </is>
      </c>
      <c r="FU81" s="56" t="inlineStr">
        <is>
          <t>Per-person summary · CARBON Mapping Master</t>
        </is>
      </c>
    </row>
    <row r="82" ht="90" customHeight="1">
      <c r="A82" s="51" t="inlineStr">
        <is>
          <t>◂ Back</t>
        </is>
      </c>
      <c r="B82" s="29" t="inlineStr">
        <is>
          <t>Mapped</t>
        </is>
      </c>
      <c r="C82" s="28" t="inlineStr">
        <is>
          <t>CARBON</t>
        </is>
      </c>
      <c r="D82" s="29" t="inlineStr">
        <is>
          <t>IRISC238</t>
        </is>
      </c>
      <c r="E82" s="29" t="inlineStr">
        <is>
          <t>Aishwarya Chaulkar</t>
        </is>
      </c>
      <c r="F82" s="29" t="inlineStr">
        <is>
          <t>Digitizing</t>
        </is>
      </c>
      <c r="G82" s="29" t="inlineStr">
        <is>
          <t>Consultant</t>
        </is>
      </c>
      <c r="H82" s="29" t="inlineStr">
        <is>
          <t>Senior Digitization Associate</t>
        </is>
      </c>
      <c r="I82" s="29" t="inlineStr">
        <is>
          <t>L3 – Professional / Associate</t>
        </is>
      </c>
      <c r="J82" s="29" t="inlineStr">
        <is>
          <t>A3</t>
        </is>
      </c>
      <c r="K82" s="29" t="inlineStr">
        <is>
          <t>▲ Up</t>
        </is>
      </c>
      <c r="L82" s="29" t="inlineStr">
        <is>
          <t>Data Operations &amp; Digitization</t>
        </is>
      </c>
      <c r="M82" s="29" t="inlineStr">
        <is>
          <t>Document Conversion, Formatting &amp; Web Publishing</t>
        </is>
      </c>
      <c r="N82" s="29" t="inlineStr">
        <is>
          <t>• Confirm the reporting line — Manager</t>
        </is>
      </c>
      <c r="O82" s="29" t="n">
        <v>20</v>
      </c>
      <c r="P82" s="28" t="inlineStr">
        <is>
          <t>P2</t>
        </is>
      </c>
      <c r="Q82" s="29" t="inlineStr">
        <is>
          <t>Developing</t>
        </is>
      </c>
      <c r="R82" s="29" t="inlineStr">
        <is>
          <t>3 Apply</t>
        </is>
      </c>
      <c r="S82" s="29" t="inlineStr">
        <is>
          <t>2–4 yrs</t>
        </is>
      </c>
      <c r="T82" s="29" t="inlineStr">
        <is>
          <t>3–5 · 2–5</t>
        </is>
      </c>
      <c r="U82" s="29" t="inlineStr">
        <is>
          <t>Senior Associate</t>
        </is>
      </c>
      <c r="V82" s="29" t="inlineStr">
        <is>
          <t>DataTracks: Senior Associate · 2–5 yrs · Accenture Operations: L10 Senior Analyst · IRIS Vs Competitor Benchmark — operations roles: Senior Processor / QC</t>
        </is>
      </c>
      <c r="W82" s="29" t="inlineStr">
        <is>
          <t>COPC CX Standard · leadership &amp; planning, people, processes, performance; ISO 9001; Lean / Six Sigma</t>
        </is>
      </c>
      <c r="X82" s="29" t="inlineStr">
        <is>
          <t>Core 2 · Future 2 · Functional 3 · Leadership not scored</t>
        </is>
      </c>
      <c r="Y82" s="52" t="n">
        <v>252</v>
      </c>
      <c r="Z82" s="53" t="inlineStr">
        <is>
          <t>IRISC238</t>
        </is>
      </c>
      <c r="AA82" s="53" t="inlineStr">
        <is>
          <t>On Contract</t>
        </is>
      </c>
      <c r="AB82" s="53" t="inlineStr">
        <is>
          <t>Active</t>
        </is>
      </c>
      <c r="AC82" s="53" t="inlineStr">
        <is>
          <t>Aishwarya Chaulkar</t>
        </is>
      </c>
      <c r="AD82" s="54" t="n">
        <v>44872</v>
      </c>
      <c r="AE82" s="53" t="inlineStr">
        <is>
          <t>Consultant</t>
        </is>
      </c>
      <c r="AF82" s="53" t="inlineStr">
        <is>
          <t>B.Com</t>
        </is>
      </c>
      <c r="AG82" s="53" t="inlineStr">
        <is>
          <t>Datta Hatagale</t>
        </is>
      </c>
      <c r="AH82" s="53" t="inlineStr">
        <is>
          <t>N-7</t>
        </is>
      </c>
      <c r="AI82" s="53" t="inlineStr">
        <is>
          <t>Individual Contributor</t>
        </is>
      </c>
      <c r="AJ82" s="53" t="inlineStr">
        <is>
          <t>0 years, 0 months, 0 days</t>
        </is>
      </c>
      <c r="AK82" s="53" t="inlineStr">
        <is>
          <t>3 years, 9 months, 18 days</t>
        </is>
      </c>
      <c r="AL82" s="53" t="inlineStr">
        <is>
          <t>Regtech</t>
        </is>
      </c>
      <c r="AM82" s="53" t="inlineStr">
        <is>
          <t>CARBON</t>
        </is>
      </c>
      <c r="AN82" s="53" t="inlineStr">
        <is>
          <t>Digitizing</t>
        </is>
      </c>
      <c r="AO82" s="53" t="inlineStr">
        <is>
          <t>Digitizing Assisted services</t>
        </is>
      </c>
      <c r="AP82" s="53" t="inlineStr">
        <is>
          <t>No</t>
        </is>
      </c>
      <c r="AQ82" s="53" t="inlineStr">
        <is>
          <t>Professional Services</t>
        </is>
      </c>
      <c r="AR82" s="53" t="inlineStr">
        <is>
          <t>OCR/Image procesing</t>
        </is>
      </c>
      <c r="AS82" s="53" t="inlineStr">
        <is>
          <t>Non-technical</t>
        </is>
      </c>
      <c r="AT82" s="53" t="n">
        <v>20</v>
      </c>
      <c r="AU82" s="53" t="inlineStr">
        <is>
          <t>Covered</t>
        </is>
      </c>
      <c r="AV82" s="53" t="inlineStr">
        <is>
          <t>IRISC238</t>
        </is>
      </c>
      <c r="AW82" s="53" t="inlineStr">
        <is>
          <t>Aishwarya Chaulkar</t>
        </is>
      </c>
      <c r="AX82" s="53" t="inlineStr">
        <is>
          <t>Digitizing</t>
        </is>
      </c>
      <c r="AY82" s="53" t="inlineStr">
        <is>
          <t>Professional Services</t>
        </is>
      </c>
      <c r="AZ82" s="53" t="inlineStr">
        <is>
          <t>Digitization &amp; Image Processing</t>
        </is>
      </c>
      <c r="BA82" s="53" t="n"/>
      <c r="BB82" s="53" t="n"/>
      <c r="BC82" s="53" t="inlineStr">
        <is>
          <t>On Contract</t>
        </is>
      </c>
      <c r="BD82" s="53" t="inlineStr">
        <is>
          <t>Datta Hatagale</t>
        </is>
      </c>
      <c r="BE82" s="53" t="inlineStr">
        <is>
          <t>Tejas Subhash Kat</t>
        </is>
      </c>
      <c r="BF82" s="53" t="inlineStr">
        <is>
          <t>No</t>
        </is>
      </c>
      <c r="BG82" s="53" t="inlineStr">
        <is>
          <t>Consultant</t>
        </is>
      </c>
      <c r="BH82" s="53" t="inlineStr">
        <is>
          <t>Consultant</t>
        </is>
      </c>
      <c r="BI82" s="53" t="inlineStr">
        <is>
          <t>No</t>
        </is>
      </c>
      <c r="BJ82" s="53" t="inlineStr">
        <is>
          <t>—</t>
        </is>
      </c>
      <c r="BK82" s="53" t="inlineStr">
        <is>
          <t>—</t>
        </is>
      </c>
      <c r="BL82" s="53" t="inlineStr">
        <is>
          <t>—</t>
        </is>
      </c>
      <c r="BM82" s="53" t="inlineStr">
        <is>
          <t>Not a manager</t>
        </is>
      </c>
      <c r="BN82" s="53" t="inlineStr">
        <is>
          <t>—</t>
        </is>
      </c>
      <c r="BO82" s="53" t="inlineStr">
        <is>
          <t>—</t>
        </is>
      </c>
      <c r="BP82" s="53" t="inlineStr">
        <is>
          <t>—</t>
        </is>
      </c>
      <c r="BQ82" s="53" t="inlineStr">
        <is>
          <t>Not a manager</t>
        </is>
      </c>
      <c r="BR82" s="53" t="inlineStr">
        <is>
          <t>—</t>
        </is>
      </c>
      <c r="BS82" s="53" t="inlineStr">
        <is>
          <t>L3 – Professional / Associate</t>
        </is>
      </c>
      <c r="BT82" s="53" t="inlineStr">
        <is>
          <t>L3 – Professional / Associate</t>
        </is>
      </c>
      <c r="BU82" s="53" t="inlineStr">
        <is>
          <t>No designation change — current record value carried forward</t>
        </is>
      </c>
      <c r="BV82"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2" s="53" t="n"/>
      <c r="BX82" s="53" t="inlineStr">
        <is>
          <t>UK - HMRC; India - MCA; South Africa - CIPC; Europe - ESEF; Nigeria - CBN; Netherland - KVK · On Contract.</t>
        </is>
      </c>
      <c r="BY82" s="53" t="n"/>
      <c r="BZ82" s="53" t="inlineStr">
        <is>
          <t>IRISC238</t>
        </is>
      </c>
      <c r="CA82" s="53" t="inlineStr">
        <is>
          <t>On Contract</t>
        </is>
      </c>
      <c r="CB82" s="53" t="inlineStr">
        <is>
          <t>Active</t>
        </is>
      </c>
      <c r="CC82" s="53" t="inlineStr">
        <is>
          <t>Aishwarya Chaulkar</t>
        </is>
      </c>
      <c r="CD82" s="54" t="n">
        <v>44872</v>
      </c>
      <c r="CE82" s="53" t="inlineStr">
        <is>
          <t>Consultant</t>
        </is>
      </c>
      <c r="CF82" s="53" t="n"/>
      <c r="CG82" s="53" t="inlineStr">
        <is>
          <t>Professional Services</t>
        </is>
      </c>
      <c r="CH82" s="53" t="inlineStr">
        <is>
          <t>Digitization &amp; Image Processing</t>
        </is>
      </c>
      <c r="CI82" s="53" t="inlineStr">
        <is>
          <t>Consultant</t>
        </is>
      </c>
      <c r="CJ82" s="53" t="inlineStr">
        <is>
          <t>L3 – Professional / Associate</t>
        </is>
      </c>
      <c r="CK82" s="53" t="inlineStr">
        <is>
          <t>Datta Hatagale</t>
        </is>
      </c>
      <c r="CL82" s="53" t="inlineStr">
        <is>
          <t>N-7</t>
        </is>
      </c>
      <c r="CM82" s="53" t="inlineStr">
        <is>
          <t>Individual Contributor</t>
        </is>
      </c>
      <c r="CN82" s="53" t="inlineStr">
        <is>
          <t>Regtech</t>
        </is>
      </c>
      <c r="CO82" s="53" t="inlineStr">
        <is>
          <t>Digitizing</t>
        </is>
      </c>
      <c r="CP82" s="53" t="inlineStr">
        <is>
          <t>3 years, 7 months, 13 days</t>
        </is>
      </c>
      <c r="CQ82" s="53" t="inlineStr">
        <is>
          <t>Consultant</t>
        </is>
      </c>
      <c r="CR82" s="53" t="n"/>
      <c r="CS82" s="53" t="n">
        <v>3</v>
      </c>
      <c r="CT82" s="53" t="inlineStr">
        <is>
          <t>High</t>
        </is>
      </c>
      <c r="CU82" s="53" t="inlineStr">
        <is>
          <t>Core Contributor</t>
        </is>
      </c>
      <c r="CV82" s="53" t="inlineStr">
        <is>
          <t>No</t>
        </is>
      </c>
      <c r="CW82" s="53" t="inlineStr">
        <is>
          <t>No</t>
        </is>
      </c>
      <c r="CX82" s="53" t="inlineStr">
        <is>
          <t>Yes</t>
        </is>
      </c>
      <c r="CY82" s="53" t="n"/>
      <c r="CZ82" s="53" t="n"/>
      <c r="DA82" s="53" t="n"/>
      <c r="DB82" s="53" t="n"/>
      <c r="DC82" s="53" t="n"/>
      <c r="DD82" s="53" t="n"/>
      <c r="DE82" s="53" t="n"/>
      <c r="DF82" s="53" t="n"/>
      <c r="DG82" s="53" t="n"/>
      <c r="DH82" s="53" t="n"/>
      <c r="DI82" s="53" t="n"/>
      <c r="DJ82" s="53" t="n"/>
      <c r="DK82" s="53" t="n"/>
      <c r="DL82" s="53" t="n"/>
      <c r="DM82" s="53" t="n"/>
      <c r="DN82" s="53" t="n"/>
      <c r="DO82" s="53" t="n"/>
      <c r="DP82" s="53" t="n"/>
      <c r="DQ82" s="53" t="n"/>
      <c r="DR82" s="53" t="n"/>
      <c r="DS82" s="53" t="n"/>
      <c r="DT82" s="53" t="n"/>
      <c r="DU82" s="53" t="n"/>
      <c r="DV82" s="53" t="n"/>
      <c r="DW82" s="53" t="n"/>
      <c r="DX82" s="53" t="n"/>
      <c r="DY82" s="53" t="n"/>
      <c r="DZ82" s="53" t="n"/>
      <c r="EA82" s="53" t="n"/>
      <c r="EB82" s="53" t="n"/>
      <c r="EC82" s="53" t="n"/>
      <c r="ED82" s="53" t="n"/>
      <c r="EE82" s="53" t="n"/>
      <c r="EF82" s="53" t="n"/>
      <c r="EG82" s="53" t="n"/>
      <c r="EH82" s="53" t="n"/>
      <c r="EI82" s="53" t="n"/>
      <c r="EJ82" s="53" t="n"/>
      <c r="EK82" s="53" t="n"/>
      <c r="EL82" s="53" t="n"/>
      <c r="EM82" s="53" t="n"/>
      <c r="EN82" s="53" t="n"/>
      <c r="EO82" s="53" t="n"/>
      <c r="EP82" s="53" t="n"/>
      <c r="EQ82" s="53" t="n"/>
      <c r="ER82" s="53" t="n"/>
      <c r="ES82" s="53" t="n"/>
      <c r="ET82" s="53" t="n"/>
      <c r="EU82" s="53" t="n"/>
      <c r="EV82" s="53" t="n"/>
      <c r="EW82" s="52" t="n"/>
      <c r="EX82" s="53" t="inlineStr">
        <is>
          <t>• Role / sub-team: Digitizing Assisted Service.</t>
        </is>
      </c>
      <c r="EY82" s="53" t="inlineStr">
        <is>
          <t>• Key responsibilities include: ESEF QC and EU DM formatting, CIPC, MCA UK HTML Conversation and review.
• Reported deliverables and outcomes include: Once file formatting and convention completed will send the file service team for tagging.</t>
        </is>
      </c>
      <c r="EZ82" s="53" t="inlineStr">
        <is>
          <t>• Current capabilities: Communication skills; Tools / software used: Both | Abbyy FineReader, Microsoft Web Expression, Carbon tool [Teams chat].</t>
        </is>
      </c>
      <c r="FA82" s="53" t="inlineStr">
        <is>
          <t>• Communications skills.
• Presentation skills.</t>
        </is>
      </c>
      <c r="FB82" s="53" t="inlineStr">
        <is>
          <t>• Key challenges: Quality of report, RDP issue.
• Support required: No input received.</t>
        </is>
      </c>
      <c r="FC82" s="53" t="n"/>
      <c r="FD82" s="53" t="n"/>
      <c r="FE82"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2" s="56" t="n"/>
      <c r="FG82" s="56" t="n"/>
      <c r="FH82" s="56" t="n"/>
      <c r="FI82" s="56" t="n"/>
      <c r="FJ82" s="56" t="inlineStr">
        <is>
          <t>Received · manager annual</t>
        </is>
      </c>
      <c r="FK82" s="56" t="inlineStr">
        <is>
          <t>CARBON Mapping Master</t>
        </is>
      </c>
      <c r="FL82" s="56" t="n">
        <v>20</v>
      </c>
      <c r="FM82" s="56" t="inlineStr">
        <is>
          <t>• Role / sub-team: Digitizing Assisted Service.</t>
        </is>
      </c>
      <c r="FN82" s="56" t="inlineStr">
        <is>
          <t>• Key responsibilities include: ESEF QC and EU DM formatting, CIPC, MCA UK HTML Conversation and review.
• Reported deliverables and outcomes include: Once file formatting and convention completed will send the file service team for tagging.</t>
        </is>
      </c>
      <c r="FO82" s="56" t="inlineStr">
        <is>
          <t>• Current capabilities: Communication skills; Tools / software used: Both | Abbyy FineReader, Microsoft Web Expression, Carbon tool [Teams chat].</t>
        </is>
      </c>
      <c r="FP82" s="56" t="inlineStr">
        <is>
          <t>• Communications skills.
• Presentation skills.</t>
        </is>
      </c>
      <c r="FQ82" s="56" t="inlineStr">
        <is>
          <t>• Key challenges: Quality of report, RDP issue.
• Support required: No input received.</t>
        </is>
      </c>
      <c r="FR82" s="56" t="inlineStr">
        <is>
          <t>Complexity: Evidence reads like A3: ESMA allocation, query solving and ESEF QC across EU DM, CIPC, MCA, UK → moved up 0.5
Autonomy: Evidence reads like A3: Takes ESMA edit decisions on own files → moved up 0.5
Accountability: Evidence reads like A2: Accountable for own work; errors cause rework and delays → matches the start
Leadership: Evidence reads like A3: Allocates ESMA files and solves queries; no formal reports → moved up 1
Business Impact: Moved +0.5: the survey / manager mapping marks it business-critical.</t>
        </is>
      </c>
      <c r="FS82"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2" s="56" t="inlineStr">
        <is>
          <t>Self-identified: AI / automation · Data, SQL &amp; analytics · Domain, regulatory &amp; XBRL · Communication &amp; presentation · Broader exposure &amp; ownership
For the next role: AI / automation · Data, SQL &amp; analytics · Domain, regulatory &amp; XBRL · Communication &amp; presentation · Broader exposure &amp; ownership</t>
        </is>
      </c>
      <c r="FU82" s="56" t="inlineStr">
        <is>
          <t>Per-person summary · CARBON Mapping Master</t>
        </is>
      </c>
    </row>
    <row r="83" ht="90" customHeight="1">
      <c r="A83" s="51" t="inlineStr">
        <is>
          <t>◂ Back</t>
        </is>
      </c>
      <c r="B83" s="29" t="inlineStr">
        <is>
          <t>Mapped</t>
        </is>
      </c>
      <c r="C83" s="28" t="inlineStr">
        <is>
          <t>CARBON</t>
        </is>
      </c>
      <c r="D83" s="29" t="inlineStr">
        <is>
          <t>IRISC225</t>
        </is>
      </c>
      <c r="E83" s="29" t="inlineStr">
        <is>
          <t>Shravan Ghadi</t>
        </is>
      </c>
      <c r="F83" s="29" t="inlineStr">
        <is>
          <t>Digitizing</t>
        </is>
      </c>
      <c r="G83" s="29" t="inlineStr">
        <is>
          <t>Consultant</t>
        </is>
      </c>
      <c r="H83" s="29" t="inlineStr">
        <is>
          <t>Senior Digitization Associate</t>
        </is>
      </c>
      <c r="I83" s="29" t="inlineStr">
        <is>
          <t>L3 – Professional / Associate</t>
        </is>
      </c>
      <c r="J83" s="29" t="inlineStr">
        <is>
          <t>A3</t>
        </is>
      </c>
      <c r="K83" s="29" t="inlineStr">
        <is>
          <t>▲ Up</t>
        </is>
      </c>
      <c r="L83" s="29" t="inlineStr">
        <is>
          <t>Data Operations &amp; Digitization</t>
        </is>
      </c>
      <c r="M83" s="29" t="inlineStr">
        <is>
          <t>Document Conversion, Formatting &amp; Web Publishing</t>
        </is>
      </c>
      <c r="N83" s="29" t="n"/>
      <c r="O83" s="29" t="n">
        <v>19</v>
      </c>
      <c r="P83" s="28" t="inlineStr">
        <is>
          <t>P2</t>
        </is>
      </c>
      <c r="Q83" s="29" t="inlineStr">
        <is>
          <t>Developing</t>
        </is>
      </c>
      <c r="R83" s="29" t="inlineStr">
        <is>
          <t>3 Apply</t>
        </is>
      </c>
      <c r="S83" s="29" t="inlineStr">
        <is>
          <t>2–4 yrs</t>
        </is>
      </c>
      <c r="T83" s="29" t="inlineStr">
        <is>
          <t>3–5 · 2–5</t>
        </is>
      </c>
      <c r="U83" s="29" t="inlineStr">
        <is>
          <t>Senior Associate</t>
        </is>
      </c>
      <c r="V83" s="29" t="inlineStr">
        <is>
          <t>DataTracks: Senior Associate · 2–5 yrs · Accenture Operations: L10 Senior Analyst · IRIS Vs Competitor Benchmark — operations roles: Senior Processor / QC</t>
        </is>
      </c>
      <c r="W83" s="29" t="inlineStr">
        <is>
          <t>COPC CX Standard · leadership &amp; planning, people, processes, performance; ISO 9001; Lean / Six Sigma</t>
        </is>
      </c>
      <c r="X83" s="29" t="inlineStr">
        <is>
          <t>Core 2 · Future 2 · Functional 3 · Leadership not scored</t>
        </is>
      </c>
      <c r="Y83" s="52" t="n">
        <v>213</v>
      </c>
      <c r="Z83" s="53" t="inlineStr">
        <is>
          <t>IRISC225</t>
        </is>
      </c>
      <c r="AA83" s="53" t="inlineStr">
        <is>
          <t>On Contract</t>
        </is>
      </c>
      <c r="AB83" s="53" t="inlineStr">
        <is>
          <t>Active</t>
        </is>
      </c>
      <c r="AC83" s="53" t="inlineStr">
        <is>
          <t>Shravan Ghadi</t>
        </is>
      </c>
      <c r="AD83" s="54" t="n">
        <v>44634</v>
      </c>
      <c r="AE83" s="53" t="inlineStr">
        <is>
          <t>Consultant</t>
        </is>
      </c>
      <c r="AF83" s="53" t="inlineStr">
        <is>
          <t>Undergraduate</t>
        </is>
      </c>
      <c r="AG83" s="53" t="inlineStr">
        <is>
          <t>Datta Hatagale</t>
        </is>
      </c>
      <c r="AH83" s="53" t="inlineStr">
        <is>
          <t>N-7</t>
        </is>
      </c>
      <c r="AI83" s="53" t="inlineStr">
        <is>
          <t>Individual Contributor</t>
        </is>
      </c>
      <c r="AJ83" s="53" t="inlineStr">
        <is>
          <t>0 years, 0 months, 0 days</t>
        </is>
      </c>
      <c r="AK83" s="53" t="inlineStr">
        <is>
          <t>4 years, 5 months, 11 days</t>
        </is>
      </c>
      <c r="AL83" s="53" t="inlineStr">
        <is>
          <t>Regtech</t>
        </is>
      </c>
      <c r="AM83" s="53" t="inlineStr">
        <is>
          <t>CARBON</t>
        </is>
      </c>
      <c r="AN83" s="53" t="inlineStr">
        <is>
          <t>Digitizing</t>
        </is>
      </c>
      <c r="AO83" s="53" t="inlineStr">
        <is>
          <t>Digitizing Assisted services</t>
        </is>
      </c>
      <c r="AP83" s="53" t="inlineStr">
        <is>
          <t>No</t>
        </is>
      </c>
      <c r="AQ83" s="53" t="inlineStr">
        <is>
          <t>Professional Services</t>
        </is>
      </c>
      <c r="AR83" s="53" t="inlineStr">
        <is>
          <t>OCR/Image procesing</t>
        </is>
      </c>
      <c r="AS83" s="53" t="inlineStr">
        <is>
          <t>Non-technical</t>
        </is>
      </c>
      <c r="AT83" s="53" t="n">
        <v>20</v>
      </c>
      <c r="AU83" s="53" t="inlineStr">
        <is>
          <t>Covered</t>
        </is>
      </c>
      <c r="AV83" s="53" t="inlineStr">
        <is>
          <t>IRISC225</t>
        </is>
      </c>
      <c r="AW83" s="53" t="inlineStr">
        <is>
          <t>Shravan Ghadi</t>
        </is>
      </c>
      <c r="AX83" s="53" t="inlineStr">
        <is>
          <t>Digitizing</t>
        </is>
      </c>
      <c r="AY83" s="53" t="inlineStr">
        <is>
          <t>Professional Services</t>
        </is>
      </c>
      <c r="AZ83" s="53" t="inlineStr">
        <is>
          <t>Digitization &amp; Image Processing</t>
        </is>
      </c>
      <c r="BA83" s="53" t="n"/>
      <c r="BB83" s="53" t="n"/>
      <c r="BC83" s="53" t="inlineStr">
        <is>
          <t>On Contract</t>
        </is>
      </c>
      <c r="BD83" s="53" t="inlineStr">
        <is>
          <t>Datta Hatagale</t>
        </is>
      </c>
      <c r="BE83" s="53" t="inlineStr">
        <is>
          <t>Janardan Krishna Bale</t>
        </is>
      </c>
      <c r="BF83" s="53" t="inlineStr">
        <is>
          <t>No</t>
        </is>
      </c>
      <c r="BG83" s="53" t="inlineStr">
        <is>
          <t>Consultant</t>
        </is>
      </c>
      <c r="BH83" s="53" t="inlineStr">
        <is>
          <t>Consultant</t>
        </is>
      </c>
      <c r="BI83" s="53" t="inlineStr">
        <is>
          <t>No</t>
        </is>
      </c>
      <c r="BJ83" s="53" t="inlineStr">
        <is>
          <t>—</t>
        </is>
      </c>
      <c r="BK83" s="53" t="inlineStr">
        <is>
          <t>—</t>
        </is>
      </c>
      <c r="BL83" s="53" t="inlineStr">
        <is>
          <t>—</t>
        </is>
      </c>
      <c r="BM83" s="53" t="inlineStr">
        <is>
          <t>Not a manager</t>
        </is>
      </c>
      <c r="BN83" s="53" t="inlineStr">
        <is>
          <t>—</t>
        </is>
      </c>
      <c r="BO83" s="53" t="inlineStr">
        <is>
          <t>—</t>
        </is>
      </c>
      <c r="BP83" s="53" t="inlineStr">
        <is>
          <t>—</t>
        </is>
      </c>
      <c r="BQ83" s="53" t="inlineStr">
        <is>
          <t>Not a manager</t>
        </is>
      </c>
      <c r="BR83" s="53" t="inlineStr">
        <is>
          <t>—</t>
        </is>
      </c>
      <c r="BS83" s="53" t="inlineStr">
        <is>
          <t>L3 – Professional / Associate</t>
        </is>
      </c>
      <c r="BT83" s="53" t="inlineStr">
        <is>
          <t>L3 – Professional / Associate</t>
        </is>
      </c>
      <c r="BU83" s="53" t="inlineStr">
        <is>
          <t>No designation change — current record value carried forward</t>
        </is>
      </c>
      <c r="BV83"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3" s="53" t="n"/>
      <c r="BX83" s="53" t="inlineStr">
        <is>
          <t>USA - SEC; South Africa - CIPC; India - MCA; Europe - ESEF; UK - HMRC · On Contract.</t>
        </is>
      </c>
      <c r="BY83" s="53" t="n"/>
      <c r="BZ83" s="53" t="inlineStr">
        <is>
          <t>IRISC225</t>
        </is>
      </c>
      <c r="CA83" s="53" t="inlineStr">
        <is>
          <t>On Contract</t>
        </is>
      </c>
      <c r="CB83" s="53" t="inlineStr">
        <is>
          <t>Active</t>
        </is>
      </c>
      <c r="CC83" s="53" t="inlineStr">
        <is>
          <t>Shravan Ghadi</t>
        </is>
      </c>
      <c r="CD83" s="54" t="n">
        <v>44634</v>
      </c>
      <c r="CE83" s="53" t="inlineStr">
        <is>
          <t>Consultant</t>
        </is>
      </c>
      <c r="CF83" s="53" t="n"/>
      <c r="CG83" s="53" t="inlineStr">
        <is>
          <t>Professional Services</t>
        </is>
      </c>
      <c r="CH83" s="53" t="inlineStr">
        <is>
          <t>Digitization &amp; Image Processing</t>
        </is>
      </c>
      <c r="CI83" s="53" t="inlineStr">
        <is>
          <t>Consultant</t>
        </is>
      </c>
      <c r="CJ83" s="53" t="inlineStr">
        <is>
          <t>L3 – Professional / Associate</t>
        </is>
      </c>
      <c r="CK83" s="53" t="inlineStr">
        <is>
          <t>Datta Hatagale</t>
        </is>
      </c>
      <c r="CL83" s="53" t="inlineStr">
        <is>
          <t>N-7</t>
        </is>
      </c>
      <c r="CM83" s="53" t="inlineStr">
        <is>
          <t>Individual Contributor</t>
        </is>
      </c>
      <c r="CN83" s="53" t="inlineStr">
        <is>
          <t>Regtech</t>
        </is>
      </c>
      <c r="CO83" s="53" t="inlineStr">
        <is>
          <t>Digitizing</t>
        </is>
      </c>
      <c r="CP83" s="53" t="inlineStr">
        <is>
          <t>4 years, 3 months, 6 days</t>
        </is>
      </c>
      <c r="CQ83" s="53" t="inlineStr">
        <is>
          <t>Consultant</t>
        </is>
      </c>
      <c r="CR83" s="53" t="n"/>
      <c r="CS83" s="53" t="n">
        <v>3</v>
      </c>
      <c r="CT83" s="53" t="inlineStr">
        <is>
          <t>Medium</t>
        </is>
      </c>
      <c r="CU83" s="53" t="inlineStr">
        <is>
          <t>Core Contributor</t>
        </is>
      </c>
      <c r="CV83" s="53" t="inlineStr">
        <is>
          <t>No</t>
        </is>
      </c>
      <c r="CW83" s="53" t="inlineStr">
        <is>
          <t>No</t>
        </is>
      </c>
      <c r="CX83" s="53" t="inlineStr">
        <is>
          <t>Yes</t>
        </is>
      </c>
      <c r="CY83" s="53" t="n"/>
      <c r="CZ83" s="53" t="n"/>
      <c r="DA83" s="53" t="n"/>
      <c r="DB83" s="53" t="n"/>
      <c r="DC83" s="53" t="n"/>
      <c r="DD83" s="53" t="n"/>
      <c r="DE83" s="53" t="n"/>
      <c r="DF83" s="53" t="n"/>
      <c r="DG83" s="53" t="n"/>
      <c r="DH83" s="53" t="n"/>
      <c r="DI83" s="53" t="n"/>
      <c r="DJ83" s="53" t="n"/>
      <c r="DK83" s="53" t="n"/>
      <c r="DL83" s="53" t="n"/>
      <c r="DM83" s="53" t="n"/>
      <c r="DN83" s="53" t="n"/>
      <c r="DO83" s="53" t="n"/>
      <c r="DP83" s="53" t="n"/>
      <c r="DQ83" s="53" t="n"/>
      <c r="DR83" s="53" t="n"/>
      <c r="DS83" s="53" t="n"/>
      <c r="DT83" s="53" t="n"/>
      <c r="DU83" s="53" t="n"/>
      <c r="DV83" s="53" t="n"/>
      <c r="DW83" s="53" t="n"/>
      <c r="DX83" s="53" t="n"/>
      <c r="DY83" s="53" t="n"/>
      <c r="DZ83" s="53" t="n"/>
      <c r="EA83" s="53" t="n"/>
      <c r="EB83" s="53" t="n"/>
      <c r="EC83" s="53" t="n"/>
      <c r="ED83" s="53" t="n"/>
      <c r="EE83" s="53" t="n"/>
      <c r="EF83" s="53" t="n"/>
      <c r="EG83" s="53" t="n"/>
      <c r="EH83" s="53" t="n"/>
      <c r="EI83" s="53" t="n"/>
      <c r="EJ83" s="53" t="n"/>
      <c r="EK83" s="53" t="n"/>
      <c r="EL83" s="53" t="n"/>
      <c r="EM83" s="53" t="n"/>
      <c r="EN83" s="53" t="n"/>
      <c r="EO83" s="53" t="n"/>
      <c r="EP83" s="53" t="n"/>
      <c r="EQ83" s="53" t="n"/>
      <c r="ER83" s="53" t="n"/>
      <c r="ES83" s="53" t="n"/>
      <c r="ET83" s="53" t="n"/>
      <c r="EU83" s="53" t="n"/>
      <c r="EV83" s="53" t="n"/>
      <c r="EW83" s="52" t="n"/>
      <c r="EX83" s="53" t="inlineStr">
        <is>
          <t>• Role / sub-team: Digitising Assited Services.</t>
        </is>
      </c>
      <c r="EY83" s="53"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EZ83" s="53" t="inlineStr">
        <is>
          <t>• Current capabilities: Use of ai for tools; Tools / software used:  HTML - Editor | Abbyy FineReader, Microsoft Web Expression · CIPC HTML conversion</t>
        </is>
      </c>
      <c r="FA83" s="53" t="inlineStr">
        <is>
          <t>• Communications skills.
• Presentation skills.</t>
        </is>
      </c>
      <c r="FB83" s="53" t="inlineStr">
        <is>
          <t>• Key challenges: Quality of report, RDP issue.
• Support required: No input received.</t>
        </is>
      </c>
      <c r="FC83" s="53" t="n"/>
      <c r="FD83" s="53" t="n"/>
      <c r="FE83"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3" s="56" t="n"/>
      <c r="FG83" s="56" t="n"/>
      <c r="FH83" s="56" t="n"/>
      <c r="FI83" s="56" t="n"/>
      <c r="FJ83" s="56" t="inlineStr">
        <is>
          <t>Received · manager annual</t>
        </is>
      </c>
      <c r="FK83" s="56" t="inlineStr">
        <is>
          <t>CARBON Mapping Master</t>
        </is>
      </c>
      <c r="FL83" s="56" t="n">
        <v>19</v>
      </c>
      <c r="FM83" s="56" t="inlineStr">
        <is>
          <t>• Role / sub-team: Digitising Assited Services.</t>
        </is>
      </c>
      <c r="FN83" s="56"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FO83" s="56" t="inlineStr">
        <is>
          <t>• Current capabilities: Use of ai for tools; Tools / software used:  HTML - Editor | Abbyy FineReader, Microsoft Web Expression · CIPC HTML conversion</t>
        </is>
      </c>
      <c r="FP83" s="56" t="inlineStr">
        <is>
          <t>• Communications skills.
• Presentation skills.</t>
        </is>
      </c>
      <c r="FQ83" s="56" t="inlineStr">
        <is>
          <t>• Key challenges: Quality of report, RDP issue.
• Support required: No input received.</t>
        </is>
      </c>
      <c r="FR83" s="56" t="inlineStr">
        <is>
          <t>Business Impact: Moved +0.5: the survey / manager mapping marks it business-critical.</t>
        </is>
      </c>
      <c r="FS83"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3" s="56" t="inlineStr">
        <is>
          <t>Self-identified: Communication &amp; presentation
For the next role: Communication &amp; presentation</t>
        </is>
      </c>
      <c r="FU83" s="56" t="inlineStr">
        <is>
          <t>Per-person summary · CARBON Mapping Master</t>
        </is>
      </c>
    </row>
    <row r="84" ht="90" customHeight="1">
      <c r="A84" s="51" t="inlineStr">
        <is>
          <t>◂ Back</t>
        </is>
      </c>
      <c r="B84" s="29" t="inlineStr">
        <is>
          <t>Mapped</t>
        </is>
      </c>
      <c r="C84" s="28" t="inlineStr">
        <is>
          <t>CARBON</t>
        </is>
      </c>
      <c r="D84" s="29" t="inlineStr">
        <is>
          <t>IRISC271</t>
        </is>
      </c>
      <c r="E84" s="29" t="inlineStr">
        <is>
          <t>Siddhesh Manjrekar</t>
        </is>
      </c>
      <c r="F84" s="29" t="inlineStr">
        <is>
          <t>Digitizing</t>
        </is>
      </c>
      <c r="G84" s="29" t="inlineStr">
        <is>
          <t>Consultant</t>
        </is>
      </c>
      <c r="H84" s="29" t="inlineStr">
        <is>
          <t>Senior Digitization Associate</t>
        </is>
      </c>
      <c r="I84" s="29" t="inlineStr">
        <is>
          <t>L3 – Professional / Associate</t>
        </is>
      </c>
      <c r="J84" s="29" t="inlineStr">
        <is>
          <t>A3</t>
        </is>
      </c>
      <c r="K84" s="29" t="inlineStr">
        <is>
          <t>▲ Up</t>
        </is>
      </c>
      <c r="L84" s="29" t="inlineStr">
        <is>
          <t>Data Operations &amp; Digitization</t>
        </is>
      </c>
      <c r="M84" s="29" t="inlineStr">
        <is>
          <t>Document Conversion, Formatting &amp; Web Publishing</t>
        </is>
      </c>
      <c r="N84" s="29" t="n"/>
      <c r="O84" s="29" t="n">
        <v>20</v>
      </c>
      <c r="P84" s="28" t="inlineStr">
        <is>
          <t>P2</t>
        </is>
      </c>
      <c r="Q84" s="29" t="inlineStr">
        <is>
          <t>Developing</t>
        </is>
      </c>
      <c r="R84" s="29" t="inlineStr">
        <is>
          <t>3 Apply</t>
        </is>
      </c>
      <c r="S84" s="29" t="inlineStr">
        <is>
          <t>2–4 yrs</t>
        </is>
      </c>
      <c r="T84" s="29" t="inlineStr">
        <is>
          <t>3–5 · 2–5</t>
        </is>
      </c>
      <c r="U84" s="29" t="inlineStr">
        <is>
          <t>Senior Associate</t>
        </is>
      </c>
      <c r="V84" s="29" t="inlineStr">
        <is>
          <t>DataTracks: Senior Associate · 2–5 yrs · Accenture Operations: L10 Senior Analyst · IRIS Vs Competitor Benchmark — operations roles: Senior Processor / QC</t>
        </is>
      </c>
      <c r="W84" s="29" t="inlineStr">
        <is>
          <t>COPC CX Standard · leadership &amp; planning, people, processes, performance; ISO 9001; Lean / Six Sigma</t>
        </is>
      </c>
      <c r="X84" s="29" t="inlineStr">
        <is>
          <t>Core 2 · Future 2 · Functional 3 · Leadership not scored</t>
        </is>
      </c>
      <c r="Y84" s="52" t="n">
        <v>291</v>
      </c>
      <c r="Z84" s="53" t="inlineStr">
        <is>
          <t>IRISC271</t>
        </is>
      </c>
      <c r="AA84" s="53" t="inlineStr">
        <is>
          <t>On Contract</t>
        </is>
      </c>
      <c r="AB84" s="53" t="inlineStr">
        <is>
          <t>Active</t>
        </is>
      </c>
      <c r="AC84" s="53" t="inlineStr">
        <is>
          <t>Siddhesh Manjrekar</t>
        </is>
      </c>
      <c r="AD84" s="54" t="n">
        <v>45173</v>
      </c>
      <c r="AE84" s="53" t="inlineStr">
        <is>
          <t>Consultant</t>
        </is>
      </c>
      <c r="AF84" s="53" t="inlineStr">
        <is>
          <t>BMS</t>
        </is>
      </c>
      <c r="AG84" s="53" t="inlineStr">
        <is>
          <t>Datta Hatagale</t>
        </is>
      </c>
      <c r="AH84" s="53" t="inlineStr">
        <is>
          <t>N-7</t>
        </is>
      </c>
      <c r="AI84" s="53" t="inlineStr">
        <is>
          <t>Individual Contributor</t>
        </is>
      </c>
      <c r="AJ84" s="53" t="inlineStr">
        <is>
          <t>0 years, 5 months, 0 days</t>
        </is>
      </c>
      <c r="AK84" s="53" t="inlineStr">
        <is>
          <t>2 years, 11 months, 21 days</t>
        </is>
      </c>
      <c r="AL84" s="53" t="inlineStr">
        <is>
          <t>Regtech</t>
        </is>
      </c>
      <c r="AM84" s="53" t="inlineStr">
        <is>
          <t>CARBON</t>
        </is>
      </c>
      <c r="AN84" s="53" t="inlineStr">
        <is>
          <t>Digitizing</t>
        </is>
      </c>
      <c r="AO84" s="53" t="inlineStr">
        <is>
          <t>Digitizing Assisted services</t>
        </is>
      </c>
      <c r="AP84" s="53" t="inlineStr">
        <is>
          <t>No</t>
        </is>
      </c>
      <c r="AQ84" s="53" t="inlineStr">
        <is>
          <t>Professional Services</t>
        </is>
      </c>
      <c r="AR84" s="53" t="inlineStr">
        <is>
          <t>OCR/Image procesing</t>
        </is>
      </c>
      <c r="AS84" s="53" t="inlineStr">
        <is>
          <t>Non-technical</t>
        </is>
      </c>
      <c r="AT84" s="53" t="n">
        <v>20</v>
      </c>
      <c r="AU84" s="53" t="inlineStr">
        <is>
          <t>Covered</t>
        </is>
      </c>
      <c r="AV84" s="53" t="inlineStr">
        <is>
          <t>IRISC271</t>
        </is>
      </c>
      <c r="AW84" s="53" t="inlineStr">
        <is>
          <t>Siddhesh Manjrekar</t>
        </is>
      </c>
      <c r="AX84" s="53" t="inlineStr">
        <is>
          <t>Digitizing</t>
        </is>
      </c>
      <c r="AY84" s="53" t="inlineStr">
        <is>
          <t>Professional Services</t>
        </is>
      </c>
      <c r="AZ84" s="53" t="inlineStr">
        <is>
          <t>Digitization &amp; Image Processing</t>
        </is>
      </c>
      <c r="BA84" s="53" t="n"/>
      <c r="BB84" s="53" t="n"/>
      <c r="BC84" s="53" t="inlineStr">
        <is>
          <t>On Contract</t>
        </is>
      </c>
      <c r="BD84" s="53" t="inlineStr">
        <is>
          <t>Datta Hatagale</t>
        </is>
      </c>
      <c r="BE84" s="53" t="inlineStr">
        <is>
          <t>Dinesh Madanlal Sharma</t>
        </is>
      </c>
      <c r="BF84" s="53" t="inlineStr">
        <is>
          <t>No</t>
        </is>
      </c>
      <c r="BG84" s="53" t="inlineStr">
        <is>
          <t>Consultant</t>
        </is>
      </c>
      <c r="BH84" s="53" t="inlineStr">
        <is>
          <t>Regulatory Portal Operations Consultant</t>
        </is>
      </c>
      <c r="BI84" s="53" t="inlineStr">
        <is>
          <t>No</t>
        </is>
      </c>
      <c r="BJ84" s="53" t="inlineStr">
        <is>
          <t>—</t>
        </is>
      </c>
      <c r="BK84" s="53" t="inlineStr">
        <is>
          <t>—</t>
        </is>
      </c>
      <c r="BL84" s="53" t="inlineStr">
        <is>
          <t>—</t>
        </is>
      </c>
      <c r="BM84" s="53" t="inlineStr">
        <is>
          <t>Not a manager</t>
        </is>
      </c>
      <c r="BN84" s="53" t="inlineStr">
        <is>
          <t>—</t>
        </is>
      </c>
      <c r="BO84" s="53" t="inlineStr">
        <is>
          <t>—</t>
        </is>
      </c>
      <c r="BP84" s="53" t="inlineStr">
        <is>
          <t>—</t>
        </is>
      </c>
      <c r="BQ84" s="53" t="inlineStr">
        <is>
          <t>Not a manager</t>
        </is>
      </c>
      <c r="BR84" s="53" t="inlineStr">
        <is>
          <t>—</t>
        </is>
      </c>
      <c r="BS84" s="53" t="inlineStr">
        <is>
          <t>L3 – Professional / Associate</t>
        </is>
      </c>
      <c r="BT84" s="53" t="inlineStr">
        <is>
          <t>L3 – Professional / Associate</t>
        </is>
      </c>
      <c r="BU84" s="53" t="inlineStr">
        <is>
          <t>No designation change — current record value carried forward</t>
        </is>
      </c>
      <c r="BV84"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84" s="53" t="n"/>
      <c r="BX84" s="53" t="inlineStr">
        <is>
          <t>India - MCA; Europe - ESEF; UK - HMRC; South Africa - CIPC · On Contract.</t>
        </is>
      </c>
      <c r="BY84" s="53" t="n"/>
      <c r="BZ84" s="53" t="inlineStr">
        <is>
          <t>IRISC271</t>
        </is>
      </c>
      <c r="CA84" s="53" t="inlineStr">
        <is>
          <t>On Contract</t>
        </is>
      </c>
      <c r="CB84" s="53" t="inlineStr">
        <is>
          <t>Active</t>
        </is>
      </c>
      <c r="CC84" s="53" t="inlineStr">
        <is>
          <t>Siddhesh Manjrekar</t>
        </is>
      </c>
      <c r="CD84" s="54" t="n">
        <v>45173</v>
      </c>
      <c r="CE84" s="53" t="inlineStr">
        <is>
          <t>Consultant</t>
        </is>
      </c>
      <c r="CF84" s="53" t="n"/>
      <c r="CG84" s="53" t="inlineStr">
        <is>
          <t>Professional Services</t>
        </is>
      </c>
      <c r="CH84" s="53" t="inlineStr">
        <is>
          <t>Digitization &amp; Image Processing</t>
        </is>
      </c>
      <c r="CI84" s="53" t="inlineStr">
        <is>
          <t>Consultant</t>
        </is>
      </c>
      <c r="CJ84" s="53" t="inlineStr">
        <is>
          <t>L3 – Professional / Associate</t>
        </is>
      </c>
      <c r="CK84" s="53" t="inlineStr">
        <is>
          <t>Datta Hatagale</t>
        </is>
      </c>
      <c r="CL84" s="53" t="inlineStr">
        <is>
          <t>N-7</t>
        </is>
      </c>
      <c r="CM84" s="53" t="inlineStr">
        <is>
          <t>Individual Contributor</t>
        </is>
      </c>
      <c r="CN84" s="53" t="inlineStr">
        <is>
          <t>Regtech</t>
        </is>
      </c>
      <c r="CO84" s="53" t="inlineStr">
        <is>
          <t>Digitizing</t>
        </is>
      </c>
      <c r="CP84" s="53" t="inlineStr">
        <is>
          <t>3 years, 2 months, 16 days</t>
        </is>
      </c>
      <c r="CQ84" s="53" t="inlineStr">
        <is>
          <t>Consultant</t>
        </is>
      </c>
      <c r="CR84" s="53" t="n"/>
      <c r="CS84" s="53" t="n">
        <v>3</v>
      </c>
      <c r="CT84" s="53" t="inlineStr">
        <is>
          <t>Medium</t>
        </is>
      </c>
      <c r="CU84" s="53" t="inlineStr">
        <is>
          <t>Core Contributor</t>
        </is>
      </c>
      <c r="CV84" s="53" t="inlineStr">
        <is>
          <t>No</t>
        </is>
      </c>
      <c r="CW84" s="53" t="inlineStr">
        <is>
          <t>No</t>
        </is>
      </c>
      <c r="CX84" s="53" t="inlineStr">
        <is>
          <t>Yes</t>
        </is>
      </c>
      <c r="CY84" s="53" t="n"/>
      <c r="CZ84" s="53" t="n"/>
      <c r="DA84" s="53" t="n"/>
      <c r="DB84" s="53" t="n"/>
      <c r="DC84" s="53" t="n"/>
      <c r="DD84" s="53" t="n"/>
      <c r="DE84" s="53" t="n"/>
      <c r="DF84" s="53" t="n"/>
      <c r="DG84" s="53" t="n"/>
      <c r="DH84" s="53" t="n"/>
      <c r="DI84" s="53" t="n"/>
      <c r="DJ84" s="53" t="n"/>
      <c r="DK84" s="53" t="n"/>
      <c r="DL84" s="53" t="n"/>
      <c r="DM84" s="53" t="n"/>
      <c r="DN84" s="53" t="n"/>
      <c r="DO84" s="53" t="n"/>
      <c r="DP84" s="53" t="n"/>
      <c r="DQ84" s="53" t="n"/>
      <c r="DR84" s="53" t="n"/>
      <c r="DS84" s="53" t="n"/>
      <c r="DT84" s="53" t="n"/>
      <c r="DU84" s="53" t="n"/>
      <c r="DV84" s="53" t="n"/>
      <c r="DW84" s="53" t="n"/>
      <c r="DX84" s="53" t="n"/>
      <c r="DY84" s="53" t="n"/>
      <c r="DZ84" s="53" t="n"/>
      <c r="EA84" s="53" t="n"/>
      <c r="EB84" s="53" t="n"/>
      <c r="EC84" s="53" t="n"/>
      <c r="ED84" s="53" t="n"/>
      <c r="EE84" s="53" t="n"/>
      <c r="EF84" s="53" t="n"/>
      <c r="EG84" s="53" t="n"/>
      <c r="EH84" s="53" t="n"/>
      <c r="EI84" s="53" t="n"/>
      <c r="EJ84" s="53" t="n"/>
      <c r="EK84" s="53" t="n"/>
      <c r="EL84" s="53" t="n"/>
      <c r="EM84" s="53" t="n"/>
      <c r="EN84" s="53" t="n"/>
      <c r="EO84" s="53" t="n"/>
      <c r="EP84" s="53" t="n"/>
      <c r="EQ84" s="53" t="n"/>
      <c r="ER84" s="53" t="n"/>
      <c r="ES84" s="53" t="n"/>
      <c r="ET84" s="53" t="n"/>
      <c r="EU84" s="53" t="n"/>
      <c r="EV84" s="53" t="n"/>
      <c r="EW84" s="52" t="n"/>
      <c r="EX84" s="53" t="inlineStr">
        <is>
          <t>• Role / sub-team: Digitizing Assisted Services.</t>
        </is>
      </c>
      <c r="EY84" s="53"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EZ84" s="53" t="inlineStr">
        <is>
          <t>• Current capabilities: Communication skill; Tools / software used:  HTML - Editor | Abbyy FineReader, Microsoft Web Expression · CIPC HTML conversion</t>
        </is>
      </c>
      <c r="FA84" s="53" t="inlineStr">
        <is>
          <t>• Communications skills.
• Presentation skills.</t>
        </is>
      </c>
      <c r="FB84" s="53" t="inlineStr">
        <is>
          <t>• Key challenges: Quality of report, RDP issue.
• Support required: No input received.</t>
        </is>
      </c>
      <c r="FC84" s="53" t="n"/>
      <c r="FD84" s="53" t="n"/>
      <c r="FE84"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84" s="56" t="n"/>
      <c r="FG84" s="56" t="n"/>
      <c r="FH84" s="56" t="n"/>
      <c r="FI84" s="56" t="n"/>
      <c r="FJ84" s="56" t="inlineStr">
        <is>
          <t>Received · manager annual</t>
        </is>
      </c>
      <c r="FK84" s="56" t="inlineStr">
        <is>
          <t>CARBON Mapping Master</t>
        </is>
      </c>
      <c r="FL84" s="56" t="n">
        <v>20</v>
      </c>
      <c r="FM84" s="56" t="inlineStr">
        <is>
          <t>• Role / sub-team: Digitizing Assisted Services.</t>
        </is>
      </c>
      <c r="FN84" s="56"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FO84" s="56" t="inlineStr">
        <is>
          <t>• Current capabilities: Communication skill; Tools / software used:  HTML - Editor | Abbyy FineReader, Microsoft Web Expression · CIPC HTML conversion</t>
        </is>
      </c>
      <c r="FP84" s="56" t="inlineStr">
        <is>
          <t>• Communications skills.
• Presentation skills.</t>
        </is>
      </c>
      <c r="FQ84" s="56" t="inlineStr">
        <is>
          <t>• Key challenges: Quality of report, RDP issue.
• Support required: No input received.</t>
        </is>
      </c>
      <c r="FR84" s="56" t="inlineStr">
        <is>
          <t>Business Impact: Moved +0.5: the survey / manager mapping marks it business-critical.</t>
        </is>
      </c>
      <c r="FS8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4" s="56" t="inlineStr">
        <is>
          <t>Self-identified: AI / automation · Project / programme management · Data, SQL &amp; analytics · Domain, regulatory &amp; XBRL · Broader exposure &amp; ownership
For the next role: AI / automation · Project / programme management · Data, SQL &amp; analytics · Domain, regulatory &amp; XBRL · Broader exposure &amp; ownership</t>
        </is>
      </c>
      <c r="FU84" s="56" t="inlineStr">
        <is>
          <t>Per-person summary · CARBON Mapping Master</t>
        </is>
      </c>
    </row>
    <row r="85" ht="90" customHeight="1">
      <c r="A85" s="51" t="inlineStr">
        <is>
          <t>◂ Back</t>
        </is>
      </c>
      <c r="B85" s="29" t="inlineStr">
        <is>
          <t>Mapped</t>
        </is>
      </c>
      <c r="C85" s="28" t="inlineStr">
        <is>
          <t>CARBON</t>
        </is>
      </c>
      <c r="D85" s="29" t="inlineStr">
        <is>
          <t>IRIS1204</t>
        </is>
      </c>
      <c r="E85" s="29" t="inlineStr">
        <is>
          <t>Dinesh Sharma</t>
        </is>
      </c>
      <c r="F85" s="29" t="inlineStr">
        <is>
          <t>Digitizing</t>
        </is>
      </c>
      <c r="G85" s="29" t="inlineStr">
        <is>
          <t>Image Processing Specialist</t>
        </is>
      </c>
      <c r="H85" s="29" t="inlineStr">
        <is>
          <t>Team Lead – Digitization</t>
        </is>
      </c>
      <c r="I85" s="29" t="inlineStr">
        <is>
          <t>L3 – Professional / Associate</t>
        </is>
      </c>
      <c r="J85" s="29" t="inlineStr">
        <is>
          <t>B1</t>
        </is>
      </c>
      <c r="K85" s="29" t="inlineStr">
        <is>
          <t>▲ Up</t>
        </is>
      </c>
      <c r="L85" s="29" t="inlineStr">
        <is>
          <t>Data Operations &amp; Digitization</t>
        </is>
      </c>
      <c r="M85" s="29" t="inlineStr">
        <is>
          <t>Document Conversion, Formatting &amp; Web Publishing</t>
        </is>
      </c>
      <c r="N85" s="29" t="n"/>
      <c r="O85" s="29" t="n">
        <v>20</v>
      </c>
      <c r="P85" s="28" t="inlineStr">
        <is>
          <t>P3 / M2</t>
        </is>
      </c>
      <c r="Q85" s="29" t="inlineStr">
        <is>
          <t>Career / · Team Lead</t>
        </is>
      </c>
      <c r="R85" s="29" t="inlineStr">
        <is>
          <t>4 Enable</t>
        </is>
      </c>
      <c r="S85" s="29" t="inlineStr">
        <is>
          <t>4–7 yrs</t>
        </is>
      </c>
      <c r="T85" s="29" t="inlineStr">
        <is>
          <t>5–8 · 4–8</t>
        </is>
      </c>
      <c r="U85" s="29" t="inlineStr">
        <is>
          <t>Team Lead / Assistant Manager</t>
        </is>
      </c>
      <c r="V85" s="29" t="inlineStr">
        <is>
          <t>Accenture Operations: L9 Team Lead · IRIS Vs Competitor Benchmark — operations roles: Team Lead / Quality Lead</t>
        </is>
      </c>
      <c r="W85" s="29" t="inlineStr">
        <is>
          <t>COPC CX Standard · leadership &amp; planning, people, processes, performance; ISO 9001; Lean / Six Sigma</t>
        </is>
      </c>
      <c r="X85" s="29" t="inlineStr">
        <is>
          <t>Core 3 · Future 3 · Functional 3 · Leadership 2</t>
        </is>
      </c>
      <c r="Y85" s="52" t="n">
        <v>41</v>
      </c>
      <c r="Z85" s="53" t="inlineStr">
        <is>
          <t>IRIS1204</t>
        </is>
      </c>
      <c r="AA85" s="53" t="inlineStr">
        <is>
          <t>Employee</t>
        </is>
      </c>
      <c r="AB85" s="53" t="inlineStr">
        <is>
          <t>Active</t>
        </is>
      </c>
      <c r="AC85" s="53" t="inlineStr">
        <is>
          <t>Dinesh Sharma</t>
        </is>
      </c>
      <c r="AD85" s="54" t="n">
        <v>39722</v>
      </c>
      <c r="AE85" s="53" t="inlineStr">
        <is>
          <t>Image Processing Specialist</t>
        </is>
      </c>
      <c r="AF85" s="53" t="inlineStr">
        <is>
          <t>B.Com</t>
        </is>
      </c>
      <c r="AG85" s="53" t="inlineStr">
        <is>
          <t>Vijay Parulekar</t>
        </is>
      </c>
      <c r="AH85" s="53" t="inlineStr">
        <is>
          <t>N-6</t>
        </is>
      </c>
      <c r="AI85" s="53" t="inlineStr">
        <is>
          <t>Manager</t>
        </is>
      </c>
      <c r="AJ85" s="53" t="inlineStr">
        <is>
          <t>0 years, 0 months, 0 days</t>
        </is>
      </c>
      <c r="AK85" s="53" t="inlineStr">
        <is>
          <t>17 years, 10 months, 24 days</t>
        </is>
      </c>
      <c r="AL85" s="53" t="inlineStr">
        <is>
          <t>Regtech</t>
        </is>
      </c>
      <c r="AM85" s="53" t="inlineStr">
        <is>
          <t>CARBON</t>
        </is>
      </c>
      <c r="AN85" s="53" t="inlineStr">
        <is>
          <t>Digitizing</t>
        </is>
      </c>
      <c r="AO85" s="53" t="inlineStr">
        <is>
          <t>Digitizing Assisted services</t>
        </is>
      </c>
      <c r="AP85" s="53" t="inlineStr">
        <is>
          <t>No</t>
        </is>
      </c>
      <c r="AQ85" s="53" t="inlineStr">
        <is>
          <t>Professional Services</t>
        </is>
      </c>
      <c r="AR85" s="53" t="inlineStr">
        <is>
          <t>OCR/Image procesing</t>
        </is>
      </c>
      <c r="AS85" s="53" t="inlineStr">
        <is>
          <t>Non-technical</t>
        </is>
      </c>
      <c r="AT85" s="53" t="n">
        <v>20</v>
      </c>
      <c r="AU85" s="53" t="inlineStr">
        <is>
          <t>Covered</t>
        </is>
      </c>
      <c r="AV85" s="53" t="inlineStr">
        <is>
          <t>IRIS1204</t>
        </is>
      </c>
      <c r="AW85" s="53" t="inlineStr">
        <is>
          <t>Dinesh Sharma</t>
        </is>
      </c>
      <c r="AX85" s="53" t="inlineStr">
        <is>
          <t>Digitizing</t>
        </is>
      </c>
      <c r="AY85" s="53" t="inlineStr">
        <is>
          <t>Professional Services</t>
        </is>
      </c>
      <c r="AZ85" s="53" t="inlineStr">
        <is>
          <t>Digitization &amp; Image Processing</t>
        </is>
      </c>
      <c r="BA85" s="53" t="n"/>
      <c r="BB85" s="53" t="n"/>
      <c r="BC85" s="53" t="inlineStr">
        <is>
          <t>Employee</t>
        </is>
      </c>
      <c r="BD85" s="53" t="inlineStr">
        <is>
          <t>Vijay Parulekar</t>
        </is>
      </c>
      <c r="BE85" s="53" t="inlineStr">
        <is>
          <t>Vijay Digamber Parulekar</t>
        </is>
      </c>
      <c r="BF85" s="53" t="inlineStr">
        <is>
          <t>No</t>
        </is>
      </c>
      <c r="BG85" s="53" t="inlineStr">
        <is>
          <t>Image Processing Specialist</t>
        </is>
      </c>
      <c r="BH85" s="53" t="inlineStr">
        <is>
          <t>Digitizing Lead</t>
        </is>
      </c>
      <c r="BI85" s="53" t="inlineStr">
        <is>
          <t>Yes</t>
        </is>
      </c>
      <c r="BJ85" s="53" t="n">
        <v>3</v>
      </c>
      <c r="BK85" s="53" t="n">
        <v>1</v>
      </c>
      <c r="BL85" s="53" t="n">
        <v>2</v>
      </c>
      <c r="BM85" s="53" t="inlineStr">
        <is>
          <t>Review</t>
        </is>
      </c>
      <c r="BN85" s="53" t="n">
        <v>3</v>
      </c>
      <c r="BO85" s="53" t="n">
        <v>1</v>
      </c>
      <c r="BP85" s="53" t="n">
        <v>2</v>
      </c>
      <c r="BQ85" s="53" t="inlineStr">
        <is>
          <t>Review</t>
        </is>
      </c>
      <c r="BR85" s="53" t="inlineStr">
        <is>
          <t>No</t>
        </is>
      </c>
      <c r="BS85" s="53" t="inlineStr">
        <is>
          <t>L3 – Professional / Associate</t>
        </is>
      </c>
      <c r="BT85" s="53" t="inlineStr">
        <is>
          <t>L3</t>
        </is>
      </c>
      <c r="BU85" s="53" t="inlineStr">
        <is>
          <t>Designation refined from Raw tab Comments column · this update</t>
        </is>
      </c>
      <c r="BV85"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W85" s="53" t="n"/>
      <c r="BX85" s="53" t="inlineStr">
        <is>
          <t>Netherland - KVK; India - MCA; South Africa - CIPC; UK - HMRC; Europe - ESEF; Italy - Infocamere; Nigeria - CBN.</t>
        </is>
      </c>
      <c r="BY85" s="53" t="n"/>
      <c r="BZ85" s="53" t="inlineStr">
        <is>
          <t>IRIS1204</t>
        </is>
      </c>
      <c r="CA85" s="53" t="inlineStr">
        <is>
          <t>Employee</t>
        </is>
      </c>
      <c r="CB85" s="53" t="inlineStr">
        <is>
          <t>Active</t>
        </is>
      </c>
      <c r="CC85" s="53" t="inlineStr">
        <is>
          <t>Dinesh Sharma</t>
        </is>
      </c>
      <c r="CD85" s="54" t="n">
        <v>39722</v>
      </c>
      <c r="CE85" s="53" t="inlineStr">
        <is>
          <t>Image Processing Specialist</t>
        </is>
      </c>
      <c r="CF85" s="53" t="n"/>
      <c r="CG85" s="53" t="inlineStr">
        <is>
          <t>Professional Services</t>
        </is>
      </c>
      <c r="CH85" s="53" t="inlineStr">
        <is>
          <t>Digitization &amp; Image Processing</t>
        </is>
      </c>
      <c r="CI85" s="53" t="inlineStr">
        <is>
          <t>Image Processing Specialist</t>
        </is>
      </c>
      <c r="CJ85" s="53" t="inlineStr">
        <is>
          <t>L3 – Professional / Associate</t>
        </is>
      </c>
      <c r="CK85" s="53" t="inlineStr">
        <is>
          <t>Vijay Parulekar</t>
        </is>
      </c>
      <c r="CL85" s="53" t="inlineStr">
        <is>
          <t>N-6</t>
        </is>
      </c>
      <c r="CM85" s="53" t="inlineStr">
        <is>
          <t>Player Cum Coach</t>
        </is>
      </c>
      <c r="CN85" s="53" t="inlineStr">
        <is>
          <t>Regtech</t>
        </is>
      </c>
      <c r="CO85" s="53" t="inlineStr">
        <is>
          <t>Digitizing</t>
        </is>
      </c>
      <c r="CP85" s="53" t="inlineStr">
        <is>
          <t>17 years, 8 months, 19 days</t>
        </is>
      </c>
      <c r="CQ85" s="53" t="inlineStr">
        <is>
          <t>Sr.Image Processing Specialist</t>
        </is>
      </c>
      <c r="CR85" s="53" t="n"/>
      <c r="CS85" s="53" t="n">
        <v>5</v>
      </c>
      <c r="CT85" s="53" t="inlineStr">
        <is>
          <t>High</t>
        </is>
      </c>
      <c r="CU85" s="53" t="inlineStr">
        <is>
          <t>Core Contributor</t>
        </is>
      </c>
      <c r="CV85" s="53" t="inlineStr">
        <is>
          <t>No</t>
        </is>
      </c>
      <c r="CW85" s="53" t="inlineStr">
        <is>
          <t>No</t>
        </is>
      </c>
      <c r="CX85" s="53" t="inlineStr">
        <is>
          <t>Yes</t>
        </is>
      </c>
      <c r="CY85" s="53" t="n"/>
      <c r="CZ85" s="53" t="n"/>
      <c r="DA85" s="53" t="inlineStr">
        <is>
          <t>Leadership development: strategic thinking, cross-functional influence, financial/business acumen, succession &amp; talent development, change management, executive communication</t>
        </is>
      </c>
      <c r="DB85" s="53" t="inlineStr">
        <is>
          <t>Title to be changed to Digitizing Lead</t>
        </is>
      </c>
      <c r="DC85" s="53" t="n"/>
      <c r="DD85" s="53" t="n"/>
      <c r="DE85" s="53" t="n"/>
      <c r="DF85" s="53" t="n"/>
      <c r="DG85" s="53" t="n"/>
      <c r="DH85" s="53" t="n"/>
      <c r="DI85" s="53" t="n"/>
      <c r="DJ85" s="53" t="n"/>
      <c r="DK85" s="53" t="n"/>
      <c r="DL85" s="53" t="n"/>
      <c r="DM85" s="53" t="n"/>
      <c r="DN85" s="53" t="n"/>
      <c r="DO85" s="53" t="n"/>
      <c r="DP85" s="53" t="n"/>
      <c r="DQ85" s="53" t="n"/>
      <c r="DR85" s="53" t="n"/>
      <c r="DS85" s="53" t="n"/>
      <c r="DT85" s="53" t="n"/>
      <c r="DU85" s="53" t="n"/>
      <c r="DV85" s="53" t="n"/>
      <c r="DW85" s="53" t="n"/>
      <c r="DX85" s="53" t="n"/>
      <c r="DY85" s="53" t="n"/>
      <c r="DZ85" s="53" t="n"/>
      <c r="EA85" s="53" t="n"/>
      <c r="EB85" s="53" t="n"/>
      <c r="EC85" s="53" t="n"/>
      <c r="ED85" s="53" t="n"/>
      <c r="EE85" s="53" t="n"/>
      <c r="EF85" s="53" t="n"/>
      <c r="EG85" s="53" t="n"/>
      <c r="EH85" s="53" t="n"/>
      <c r="EI85" s="53" t="n"/>
      <c r="EJ85" s="53" t="n"/>
      <c r="EK85" s="53" t="n"/>
      <c r="EL85" s="53" t="n"/>
      <c r="EM85" s="53" t="n"/>
      <c r="EN85" s="53" t="n"/>
      <c r="EO85" s="53" t="n"/>
      <c r="EP85" s="53" t="n"/>
      <c r="EQ85" s="53" t="n"/>
      <c r="ER85" s="53" t="n"/>
      <c r="ES85" s="53" t="n"/>
      <c r="ET85" s="53" t="n"/>
      <c r="EU85" s="53" t="n"/>
      <c r="EV85" s="53" t="n"/>
      <c r="EW85" s="52" t="n"/>
      <c r="EX85" s="53" t="inlineStr">
        <is>
          <t>• Role / sub-team: Digitizing assited service.</t>
        </is>
      </c>
      <c r="EY85" s="53"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EZ85" s="53" t="inlineStr">
        <is>
          <t>• Current capabilities: Copilot; Tools / software used: Both | Carbon tool [Teams chat].</t>
        </is>
      </c>
      <c r="FA85" s="53" t="inlineStr">
        <is>
          <t>• Communications skills.
• Presentation skills.</t>
        </is>
      </c>
      <c r="FB85" s="53" t="inlineStr">
        <is>
          <t>• Key challenges: Quality of report, RDP issue.
• Support required: No input received.</t>
        </is>
      </c>
      <c r="FC85" s="53" t="n"/>
      <c r="FD85" s="53" t="n"/>
      <c r="FE85"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FF85" s="56" t="n"/>
      <c r="FG85" s="56" t="n"/>
      <c r="FH85" s="56" t="n"/>
      <c r="FI85" s="56" t="n"/>
      <c r="FJ85" s="56" t="inlineStr">
        <is>
          <t>Received · manager annual</t>
        </is>
      </c>
      <c r="FK85" s="56" t="inlineStr">
        <is>
          <t>CARBON Mapping Master</t>
        </is>
      </c>
      <c r="FL85" s="56" t="n">
        <v>20</v>
      </c>
      <c r="FM85" s="56" t="inlineStr">
        <is>
          <t>• Role / sub-team: Digitizing assited service.</t>
        </is>
      </c>
      <c r="FN85" s="56"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FO85" s="56" t="inlineStr">
        <is>
          <t>• Current capabilities: Copilot; Tools / software used: Both | Carbon tool [Teams chat].</t>
        </is>
      </c>
      <c r="FP85" s="56" t="inlineStr">
        <is>
          <t>• Communications skills.
• Presentation skills.</t>
        </is>
      </c>
      <c r="FQ85" s="56" t="inlineStr">
        <is>
          <t>• Key challenges: Quality of report, RDP issue.
• Support required: No input received.</t>
        </is>
      </c>
      <c r="FR85" s="56" t="inlineStr">
        <is>
          <t>Complexity: Evidence reads like A3: Reviews client edit requests, resolves team doubts, formatting checks across ESEF, KVK, ESRS → matches the start
Autonomy: Evidence reads like B1: Decides to correct or reject client edit requests; manages task allocation → moved up 0.5
Accountability: Evidence reads like A3: States accountability for tasks handled; quality-checked files delivered to clients on time → moved down 0.5
Leadership: Evidence reads like B1: Team leadership, task allocation, doubt resolution; 4 reports → matches the start
Business Impact: Moved +0.5: the survey / manager mapping marks it business-critical.</t>
        </is>
      </c>
      <c r="FS85"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85" s="56" t="inlineStr">
        <is>
          <t>Self-identified: Leadership &amp; people management · Communication &amp; presentation
For the next role: Leadership &amp; people management · Communication &amp; presentation</t>
        </is>
      </c>
      <c r="FU85" s="56" t="inlineStr">
        <is>
          <t>Per-person summary · CARBON Mapping Master</t>
        </is>
      </c>
    </row>
    <row r="86" ht="90" customHeight="1">
      <c r="A86" s="51" t="inlineStr">
        <is>
          <t>◂ Back</t>
        </is>
      </c>
      <c r="B86" s="29" t="inlineStr">
        <is>
          <t>Mapped</t>
        </is>
      </c>
      <c r="C86" s="28" t="inlineStr">
        <is>
          <t>CARBON</t>
        </is>
      </c>
      <c r="D86" s="29" t="inlineStr">
        <is>
          <t>IRIS0171</t>
        </is>
      </c>
      <c r="E86" s="29" t="inlineStr">
        <is>
          <t>Ritesh Yeram</t>
        </is>
      </c>
      <c r="F86" s="29" t="inlineStr">
        <is>
          <t>Digitizing</t>
        </is>
      </c>
      <c r="G86" s="29" t="inlineStr">
        <is>
          <t>Image Processing Specialist</t>
        </is>
      </c>
      <c r="H86" s="29" t="inlineStr">
        <is>
          <t>Digitization Specialist – POD Lead</t>
        </is>
      </c>
      <c r="I86" s="29" t="inlineStr">
        <is>
          <t>L3 – Professional / Associate</t>
        </is>
      </c>
      <c r="J86" s="29" t="inlineStr">
        <is>
          <t>B1</t>
        </is>
      </c>
      <c r="K86" s="29" t="inlineStr">
        <is>
          <t>▲ Up</t>
        </is>
      </c>
      <c r="L86" s="29" t="inlineStr">
        <is>
          <t>Data Operations &amp; Digitization</t>
        </is>
      </c>
      <c r="M86" s="29" t="inlineStr">
        <is>
          <t>Document Conversion, Formatting &amp; Web Publishing</t>
        </is>
      </c>
      <c r="N86" s="29" t="n"/>
      <c r="O86" s="29" t="n">
        <v>19</v>
      </c>
      <c r="P86" s="28" t="inlineStr">
        <is>
          <t>P3 / M2</t>
        </is>
      </c>
      <c r="Q86" s="29" t="inlineStr">
        <is>
          <t>Career / · Team Lead</t>
        </is>
      </c>
      <c r="R86" s="29" t="inlineStr">
        <is>
          <t>4 Enable</t>
        </is>
      </c>
      <c r="S86" s="29" t="inlineStr">
        <is>
          <t>4–7 yrs</t>
        </is>
      </c>
      <c r="T86" s="29" t="inlineStr">
        <is>
          <t>5–8 · 4–8</t>
        </is>
      </c>
      <c r="U86" s="29" t="inlineStr">
        <is>
          <t>Specialist / QC Analyst</t>
        </is>
      </c>
      <c r="V86" s="29" t="inlineStr">
        <is>
          <t>Accenture Operations: L9 Team Lead · IRIS Vs Competitor Benchmark — operations roles: Team Lead / Quality Lead</t>
        </is>
      </c>
      <c r="W86" s="29" t="inlineStr">
        <is>
          <t>COPC CX Standard · leadership &amp; planning, people, processes, performance; ISO 9001; Lean / Six Sigma</t>
        </is>
      </c>
      <c r="X86" s="29" t="inlineStr">
        <is>
          <t>Core 3 · Future 3 · Functional 3 · Leadership 2</t>
        </is>
      </c>
      <c r="Y86" s="52" t="n">
        <v>36</v>
      </c>
      <c r="Z86" s="53" t="inlineStr">
        <is>
          <t>IRIS0171</t>
        </is>
      </c>
      <c r="AA86" s="53" t="inlineStr">
        <is>
          <t>Employee</t>
        </is>
      </c>
      <c r="AB86" s="53" t="inlineStr">
        <is>
          <t>Active</t>
        </is>
      </c>
      <c r="AC86" s="53" t="inlineStr">
        <is>
          <t>Ritesh Yeram</t>
        </is>
      </c>
      <c r="AD86" s="54" t="n">
        <v>39470</v>
      </c>
      <c r="AE86" s="53" t="inlineStr">
        <is>
          <t>Image Processing Specialist</t>
        </is>
      </c>
      <c r="AF86" s="53" t="inlineStr">
        <is>
          <t>Undergraduate</t>
        </is>
      </c>
      <c r="AG86" s="53" t="inlineStr">
        <is>
          <t>Dinesh Sharma</t>
        </is>
      </c>
      <c r="AH86" s="53" t="inlineStr">
        <is>
          <t>N-7</t>
        </is>
      </c>
      <c r="AI86" s="53" t="inlineStr">
        <is>
          <t>Manager</t>
        </is>
      </c>
      <c r="AJ86" s="53" t="inlineStr">
        <is>
          <t>2 years, 0 months, 0 days</t>
        </is>
      </c>
      <c r="AK86" s="53" t="inlineStr">
        <is>
          <t>18 years, 7 months, 2 days</t>
        </is>
      </c>
      <c r="AL86" s="53" t="inlineStr">
        <is>
          <t>Regtech</t>
        </is>
      </c>
      <c r="AM86" s="53" t="inlineStr">
        <is>
          <t>CARBON</t>
        </is>
      </c>
      <c r="AN86" s="53" t="inlineStr">
        <is>
          <t>Digitizing</t>
        </is>
      </c>
      <c r="AO86" s="53" t="inlineStr">
        <is>
          <t>Digitizing Assisted services</t>
        </is>
      </c>
      <c r="AP86" s="53" t="inlineStr">
        <is>
          <t>No</t>
        </is>
      </c>
      <c r="AQ86" s="53" t="inlineStr">
        <is>
          <t>Professional Services</t>
        </is>
      </c>
      <c r="AR86" s="53" t="inlineStr">
        <is>
          <t>OCR/Image procesing</t>
        </is>
      </c>
      <c r="AS86" s="53" t="inlineStr">
        <is>
          <t>Non-technical</t>
        </is>
      </c>
      <c r="AT86" s="53" t="n">
        <v>20</v>
      </c>
      <c r="AU86" s="53" t="inlineStr">
        <is>
          <t>Covered</t>
        </is>
      </c>
      <c r="AV86" s="53" t="inlineStr">
        <is>
          <t>IRIS0171</t>
        </is>
      </c>
      <c r="AW86" s="53" t="inlineStr">
        <is>
          <t>Ritesh Yeram</t>
        </is>
      </c>
      <c r="AX86" s="53" t="inlineStr">
        <is>
          <t>Digitizing</t>
        </is>
      </c>
      <c r="AY86" s="53" t="inlineStr">
        <is>
          <t>Professional Services</t>
        </is>
      </c>
      <c r="AZ86" s="53" t="inlineStr">
        <is>
          <t>Digitization &amp; Image Processing</t>
        </is>
      </c>
      <c r="BA86" s="53" t="n"/>
      <c r="BB86" s="53" t="n"/>
      <c r="BC86" s="53" t="inlineStr">
        <is>
          <t>Employee</t>
        </is>
      </c>
      <c r="BD86" s="53" t="inlineStr">
        <is>
          <t>Dinesh Sharma</t>
        </is>
      </c>
      <c r="BE86" s="53" t="inlineStr">
        <is>
          <t>Dinesh Madanlal Sharma</t>
        </is>
      </c>
      <c r="BF86" s="53" t="inlineStr">
        <is>
          <t>No</t>
        </is>
      </c>
      <c r="BG86" s="53" t="inlineStr">
        <is>
          <t>Image Processing Specialist</t>
        </is>
      </c>
      <c r="BH86" s="53" t="inlineStr">
        <is>
          <t>Sr.Image Processing Specialist</t>
        </is>
      </c>
      <c r="BI86" s="53" t="inlineStr">
        <is>
          <t>Yes</t>
        </is>
      </c>
      <c r="BJ86" s="53" t="inlineStr">
        <is>
          <t>—</t>
        </is>
      </c>
      <c r="BK86" s="53" t="inlineStr">
        <is>
          <t>—</t>
        </is>
      </c>
      <c r="BL86" s="53" t="inlineStr">
        <is>
          <t>—</t>
        </is>
      </c>
      <c r="BM86" s="53" t="inlineStr">
        <is>
          <t>Not a manager</t>
        </is>
      </c>
      <c r="BN86" s="53" t="inlineStr">
        <is>
          <t>—</t>
        </is>
      </c>
      <c r="BO86" s="53" t="inlineStr">
        <is>
          <t>—</t>
        </is>
      </c>
      <c r="BP86" s="53" t="inlineStr">
        <is>
          <t>—</t>
        </is>
      </c>
      <c r="BQ86" s="53" t="inlineStr">
        <is>
          <t>Not a manager</t>
        </is>
      </c>
      <c r="BR86" s="53" t="inlineStr">
        <is>
          <t>—</t>
        </is>
      </c>
      <c r="BS86" s="53" t="inlineStr">
        <is>
          <t>L3 – Professional / Associate</t>
        </is>
      </c>
      <c r="BT86" s="53" t="inlineStr">
        <is>
          <t>L3</t>
        </is>
      </c>
      <c r="BU86" s="53" t="inlineStr">
        <is>
          <t>Matched from Title Hierarchy · new designation</t>
        </is>
      </c>
      <c r="BV86"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6" s="53" t="n"/>
      <c r="BX86" s="53" t="inlineStr">
        <is>
          <t>UK - HMRC; India - MCA; South Africa - CIPC; Europe - ESEF.</t>
        </is>
      </c>
      <c r="BY86" s="53" t="n"/>
      <c r="BZ86" s="53" t="inlineStr">
        <is>
          <t>IRIS0171</t>
        </is>
      </c>
      <c r="CA86" s="53" t="inlineStr">
        <is>
          <t>Employee</t>
        </is>
      </c>
      <c r="CB86" s="53" t="inlineStr">
        <is>
          <t>Active</t>
        </is>
      </c>
      <c r="CC86" s="53" t="inlineStr">
        <is>
          <t>Ritesh Yeram</t>
        </is>
      </c>
      <c r="CD86" s="54" t="n">
        <v>39470</v>
      </c>
      <c r="CE86" s="53" t="inlineStr">
        <is>
          <t>Image Processing Specialist</t>
        </is>
      </c>
      <c r="CF86" s="53" t="n"/>
      <c r="CG86" s="53" t="inlineStr">
        <is>
          <t>Professional Services</t>
        </is>
      </c>
      <c r="CH86" s="53" t="inlineStr">
        <is>
          <t>Digitization &amp; Image Processing</t>
        </is>
      </c>
      <c r="CI86" s="53" t="inlineStr">
        <is>
          <t>Image Processing Specialist</t>
        </is>
      </c>
      <c r="CJ86" s="53" t="inlineStr">
        <is>
          <t>L3 – Professional / Associate</t>
        </is>
      </c>
      <c r="CK86" s="53" t="inlineStr">
        <is>
          <t>Dinesh Sharma</t>
        </is>
      </c>
      <c r="CL86" s="53" t="inlineStr">
        <is>
          <t>N-7</t>
        </is>
      </c>
      <c r="CM86" s="53" t="inlineStr">
        <is>
          <t>Individual Contributor</t>
        </is>
      </c>
      <c r="CN86" s="53" t="inlineStr">
        <is>
          <t>Regtech</t>
        </is>
      </c>
      <c r="CO86" s="53" t="inlineStr">
        <is>
          <t>Digitizing</t>
        </is>
      </c>
      <c r="CP86" s="53" t="inlineStr">
        <is>
          <t>20 years, 4 months, 28 days</t>
        </is>
      </c>
      <c r="CQ86" s="53" t="inlineStr">
        <is>
          <t>Sr.Image Processing Specialist</t>
        </is>
      </c>
      <c r="CR86" s="53" t="n"/>
      <c r="CS86" s="53" t="n">
        <v>4</v>
      </c>
      <c r="CT86" s="53" t="inlineStr">
        <is>
          <t>High</t>
        </is>
      </c>
      <c r="CU86" s="53" t="inlineStr">
        <is>
          <t>Core Contributor</t>
        </is>
      </c>
      <c r="CV86" s="53" t="inlineStr">
        <is>
          <t>No</t>
        </is>
      </c>
      <c r="CW86" s="53" t="inlineStr">
        <is>
          <t>No</t>
        </is>
      </c>
      <c r="CX86" s="53" t="inlineStr">
        <is>
          <t>Yes</t>
        </is>
      </c>
      <c r="CY86" s="53" t="n"/>
      <c r="CZ86" s="53" t="n"/>
      <c r="DA86" s="53" t="n"/>
      <c r="DB86" s="53" t="inlineStr">
        <is>
          <t>Title to be standardized to : Sr.Image Processing Specialist</t>
        </is>
      </c>
      <c r="DC86" s="53" t="n"/>
      <c r="DD86" s="53" t="n"/>
      <c r="DE86" s="53" t="n"/>
      <c r="DF86" s="53" t="n"/>
      <c r="DG86" s="53" t="n"/>
      <c r="DH86" s="53" t="n"/>
      <c r="DI86" s="53" t="n"/>
      <c r="DJ86" s="53" t="n"/>
      <c r="DK86" s="53" t="n"/>
      <c r="DL86" s="53" t="n"/>
      <c r="DM86" s="53" t="n"/>
      <c r="DN86" s="53" t="n"/>
      <c r="DO86" s="53" t="n"/>
      <c r="DP86" s="53" t="n"/>
      <c r="DQ86" s="53" t="n"/>
      <c r="DR86" s="53" t="n"/>
      <c r="DS86" s="53" t="n"/>
      <c r="DT86" s="53" t="n"/>
      <c r="DU86" s="53" t="n"/>
      <c r="DV86" s="53" t="n"/>
      <c r="DW86" s="53" t="n"/>
      <c r="DX86" s="53" t="n"/>
      <c r="DY86" s="53" t="n"/>
      <c r="DZ86" s="53" t="n"/>
      <c r="EA86" s="53" t="n"/>
      <c r="EB86" s="53" t="n"/>
      <c r="EC86" s="53" t="n"/>
      <c r="ED86" s="53" t="n"/>
      <c r="EE86" s="53" t="n"/>
      <c r="EF86" s="53" t="n"/>
      <c r="EG86" s="53" t="n"/>
      <c r="EH86" s="53" t="n"/>
      <c r="EI86" s="53" t="n"/>
      <c r="EJ86" s="53" t="n"/>
      <c r="EK86" s="53" t="n"/>
      <c r="EL86" s="53" t="n"/>
      <c r="EM86" s="53" t="n"/>
      <c r="EN86" s="53" t="n"/>
      <c r="EO86" s="53" t="n"/>
      <c r="EP86" s="53" t="n"/>
      <c r="EQ86" s="53" t="n"/>
      <c r="ER86" s="53" t="n"/>
      <c r="ES86" s="53" t="n"/>
      <c r="ET86" s="53" t="n"/>
      <c r="EU86" s="53" t="n"/>
      <c r="EV86" s="53" t="n"/>
      <c r="EW86" s="52" t="n"/>
      <c r="EX86" s="53" t="inlineStr">
        <is>
          <t>• Role / sub-team: Digitizing Assited service.</t>
        </is>
      </c>
      <c r="EY86" s="53"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EZ86" s="53" t="inlineStr">
        <is>
          <t>• Current capabilities: Communication skills; Tools / software used: Both | Abbyy FineReader, Microsoft Web Expression · CIPC HTML conversion [Teams chat].</t>
        </is>
      </c>
      <c r="FA86" s="53" t="inlineStr">
        <is>
          <t>• Communications skills.
• Presentation skills.</t>
        </is>
      </c>
      <c r="FB86" s="53" t="inlineStr">
        <is>
          <t>• Key challenges: Quality of Report.
• Support required: No input received.</t>
        </is>
      </c>
      <c r="FC86" s="53" t="n"/>
      <c r="FD86" s="53" t="n"/>
      <c r="FE86"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6" s="56" t="n"/>
      <c r="FG86" s="56" t="n"/>
      <c r="FH86" s="56" t="n"/>
      <c r="FI86" s="56" t="n"/>
      <c r="FJ86" s="56" t="inlineStr">
        <is>
          <t>Received · manager annual</t>
        </is>
      </c>
      <c r="FK86" s="56" t="inlineStr">
        <is>
          <t>CARBON Mapping Master</t>
        </is>
      </c>
      <c r="FL86" s="56" t="n">
        <v>19</v>
      </c>
      <c r="FM86" s="56" t="inlineStr">
        <is>
          <t>• Role / sub-team: Digitizing Assited service.</t>
        </is>
      </c>
      <c r="FN86" s="56"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FO86" s="56" t="inlineStr">
        <is>
          <t>• Current capabilities: Communication skills; Tools / software used: Both | Abbyy FineReader, Microsoft Web Expression · CIPC HTML conversion [Teams chat].</t>
        </is>
      </c>
      <c r="FP86" s="56" t="inlineStr">
        <is>
          <t>• Communications skills.
• Presentation skills.</t>
        </is>
      </c>
      <c r="FQ86" s="56" t="inlineStr">
        <is>
          <t>• Key challenges: Quality of Report.
• Support required: No input received.</t>
        </is>
      </c>
      <c r="FR86" s="56" t="inlineStr">
        <is>
          <t>Complexity: Evidence reads like A3: QCs received files, solves formatting queries, HTML conversion and HTML QC across HMRC/CIPC/MCA/ESMA jobs → matches the start
Autonomy: Evidence reads like A2: States 'Not applicable' for independent decisions; only routine file allocation shown → moved down 0.5
Accountability: Evidence reads like A3: Assigns files, ensures timely delivery and QC of conversions before handover to services team → moved down 0.5
Leadership: Evidence reads like A3: Allocates files and resolves formatting queries for others; 2 direct reports → moved down 0.5
Business Impact: Moved +0.5: the survey / manager mapping marks it business-critical.</t>
        </is>
      </c>
      <c r="FS86"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86" s="56" t="inlineStr">
        <is>
          <t>Self-identified: Data, SQL &amp; analytics · Product &amp; tool knowledge · Communication &amp; presentation
For the next role: Data, SQL &amp; analytics · Product &amp; tool knowledge · Communication &amp; presentation</t>
        </is>
      </c>
      <c r="FU86" s="56" t="inlineStr">
        <is>
          <t>Per-person summary · CARBON Mapping Master</t>
        </is>
      </c>
    </row>
    <row r="87" ht="90" customHeight="1">
      <c r="A87" s="51" t="inlineStr">
        <is>
          <t>◂ Back</t>
        </is>
      </c>
      <c r="B87" s="29" t="inlineStr">
        <is>
          <t>Mapped</t>
        </is>
      </c>
      <c r="C87" s="28" t="inlineStr">
        <is>
          <t>CARBON</t>
        </is>
      </c>
      <c r="D87" s="29" t="inlineStr">
        <is>
          <t>IRIS1205</t>
        </is>
      </c>
      <c r="E87" s="29" t="inlineStr">
        <is>
          <t>Justeen Koola</t>
        </is>
      </c>
      <c r="F87" s="29" t="inlineStr">
        <is>
          <t>Digitizing</t>
        </is>
      </c>
      <c r="G87" s="29" t="inlineStr">
        <is>
          <t>Image Processing Specialist</t>
        </is>
      </c>
      <c r="H87" s="29" t="inlineStr">
        <is>
          <t>Senior Digitization Associate</t>
        </is>
      </c>
      <c r="I87" s="29" t="inlineStr">
        <is>
          <t>L3 – Professional / Associate</t>
        </is>
      </c>
      <c r="J87" s="29" t="inlineStr">
        <is>
          <t>A3</t>
        </is>
      </c>
      <c r="K87" s="29" t="inlineStr">
        <is>
          <t>▲ Up</t>
        </is>
      </c>
      <c r="L87" s="29" t="inlineStr">
        <is>
          <t>Data Operations &amp; Digitization</t>
        </is>
      </c>
      <c r="M87" s="29" t="inlineStr">
        <is>
          <t>Document Conversion, Formatting &amp; Web Publishing</t>
        </is>
      </c>
      <c r="N87" s="29" t="n"/>
      <c r="O87" s="29" t="n">
        <v>19</v>
      </c>
      <c r="P87" s="28" t="inlineStr">
        <is>
          <t>P2</t>
        </is>
      </c>
      <c r="Q87" s="29" t="inlineStr">
        <is>
          <t>Developing</t>
        </is>
      </c>
      <c r="R87" s="29" t="inlineStr">
        <is>
          <t>3 Apply</t>
        </is>
      </c>
      <c r="S87" s="29" t="inlineStr">
        <is>
          <t>2–4 yrs</t>
        </is>
      </c>
      <c r="T87" s="29" t="inlineStr">
        <is>
          <t>3–5 · 2–5</t>
        </is>
      </c>
      <c r="U87" s="29" t="inlineStr">
        <is>
          <t>Senior Associate</t>
        </is>
      </c>
      <c r="V87" s="29" t="inlineStr">
        <is>
          <t>DataTracks: Senior Associate · 2–5 yrs · Accenture Operations: L10 Senior Analyst · IRIS Vs Competitor Benchmark — operations roles: Senior Processor / QC</t>
        </is>
      </c>
      <c r="W87" s="29" t="inlineStr">
        <is>
          <t>COPC CX Standard · leadership &amp; planning, people, processes, performance; ISO 9001; Lean / Six Sigma</t>
        </is>
      </c>
      <c r="X87" s="29" t="inlineStr">
        <is>
          <t>Core 2 · Future 2 · Functional 3 · Leadership not scored</t>
        </is>
      </c>
      <c r="Y87" s="52" t="n">
        <v>44</v>
      </c>
      <c r="Z87" s="53" t="inlineStr">
        <is>
          <t>IRIS1205</t>
        </is>
      </c>
      <c r="AA87" s="53" t="inlineStr">
        <is>
          <t>Employee</t>
        </is>
      </c>
      <c r="AB87" s="53" t="inlineStr">
        <is>
          <t>Active</t>
        </is>
      </c>
      <c r="AC87" s="53" t="inlineStr">
        <is>
          <t>Justeen Koola</t>
        </is>
      </c>
      <c r="AD87" s="54" t="n">
        <v>39736</v>
      </c>
      <c r="AE87" s="53" t="inlineStr">
        <is>
          <t>Image Processing Specialist</t>
        </is>
      </c>
      <c r="AF87" s="53" t="inlineStr">
        <is>
          <t>Undergraduate</t>
        </is>
      </c>
      <c r="AG87" s="53" t="inlineStr">
        <is>
          <t>Ritesh Yeram</t>
        </is>
      </c>
      <c r="AH87" s="53" t="inlineStr">
        <is>
          <t>N-8</t>
        </is>
      </c>
      <c r="AI87" s="53" t="inlineStr">
        <is>
          <t>Individual Contributor</t>
        </is>
      </c>
      <c r="AJ87" s="53" t="inlineStr">
        <is>
          <t>1 years, 0 months, 0 days</t>
        </is>
      </c>
      <c r="AK87" s="53" t="inlineStr">
        <is>
          <t>17 years, 10 months, 10 days</t>
        </is>
      </c>
      <c r="AL87" s="53" t="inlineStr">
        <is>
          <t>Regtech</t>
        </is>
      </c>
      <c r="AM87" s="53" t="inlineStr">
        <is>
          <t>CARBON</t>
        </is>
      </c>
      <c r="AN87" s="53" t="inlineStr">
        <is>
          <t>Digitizing</t>
        </is>
      </c>
      <c r="AO87" s="53" t="inlineStr">
        <is>
          <t>Digitizing Assisted services</t>
        </is>
      </c>
      <c r="AP87" s="53" t="inlineStr">
        <is>
          <t>No</t>
        </is>
      </c>
      <c r="AQ87" s="53" t="inlineStr">
        <is>
          <t>Professional Services</t>
        </is>
      </c>
      <c r="AR87" s="53" t="inlineStr">
        <is>
          <t>OCR/Image procesing</t>
        </is>
      </c>
      <c r="AS87" s="53" t="inlineStr">
        <is>
          <t>Non-technical</t>
        </is>
      </c>
      <c r="AT87" s="53" t="n">
        <v>20</v>
      </c>
      <c r="AU87" s="53" t="inlineStr">
        <is>
          <t>Covered</t>
        </is>
      </c>
      <c r="AV87" s="53" t="inlineStr">
        <is>
          <t>IRIS1205</t>
        </is>
      </c>
      <c r="AW87" s="53" t="inlineStr">
        <is>
          <t>Justeen Koola</t>
        </is>
      </c>
      <c r="AX87" s="53" t="inlineStr">
        <is>
          <t>Digitizing</t>
        </is>
      </c>
      <c r="AY87" s="53" t="inlineStr">
        <is>
          <t>Professional Services</t>
        </is>
      </c>
      <c r="AZ87" s="53" t="inlineStr">
        <is>
          <t>Digitization &amp; Image Processing</t>
        </is>
      </c>
      <c r="BA87" s="53" t="n"/>
      <c r="BB87" s="53" t="n"/>
      <c r="BC87" s="53" t="inlineStr">
        <is>
          <t>Employee</t>
        </is>
      </c>
      <c r="BD87" s="53" t="inlineStr">
        <is>
          <t>Prajakta Mokal</t>
        </is>
      </c>
      <c r="BE87" s="53" t="inlineStr">
        <is>
          <t>Dinesh Madanlal Sharma</t>
        </is>
      </c>
      <c r="BF87" s="53" t="inlineStr">
        <is>
          <t>No</t>
        </is>
      </c>
      <c r="BG87" s="53" t="inlineStr">
        <is>
          <t>Image Processing Specialist</t>
        </is>
      </c>
      <c r="BH87" s="53" t="inlineStr">
        <is>
          <t>Sr.Image Processing Specialist</t>
        </is>
      </c>
      <c r="BI87" s="53" t="inlineStr">
        <is>
          <t>Yes</t>
        </is>
      </c>
      <c r="BJ87" s="53" t="inlineStr">
        <is>
          <t>—</t>
        </is>
      </c>
      <c r="BK87" s="53" t="inlineStr">
        <is>
          <t>—</t>
        </is>
      </c>
      <c r="BL87" s="53" t="inlineStr">
        <is>
          <t>—</t>
        </is>
      </c>
      <c r="BM87" s="53" t="inlineStr">
        <is>
          <t>Not a manager</t>
        </is>
      </c>
      <c r="BN87" s="53" t="inlineStr">
        <is>
          <t>—</t>
        </is>
      </c>
      <c r="BO87" s="53" t="inlineStr">
        <is>
          <t>—</t>
        </is>
      </c>
      <c r="BP87" s="53" t="inlineStr">
        <is>
          <t>—</t>
        </is>
      </c>
      <c r="BQ87" s="53" t="inlineStr">
        <is>
          <t>Not a manager</t>
        </is>
      </c>
      <c r="BR87" s="53" t="inlineStr">
        <is>
          <t>—</t>
        </is>
      </c>
      <c r="BS87" s="53" t="inlineStr">
        <is>
          <t>L3 – Professional / Associate</t>
        </is>
      </c>
      <c r="BT87" s="53" t="inlineStr">
        <is>
          <t>L3</t>
        </is>
      </c>
      <c r="BU87" s="53" t="inlineStr">
        <is>
          <t>Matched from Title Hierarchy · new designation</t>
        </is>
      </c>
      <c r="BV87"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7" s="53" t="n"/>
      <c r="BX87" s="53" t="inlineStr">
        <is>
          <t>South Africa - CIPC; UK - HMRC; Europe - ESEF; India - MCA.</t>
        </is>
      </c>
      <c r="BY87" s="53" t="n"/>
      <c r="BZ87" s="53" t="inlineStr">
        <is>
          <t>IRIS1205</t>
        </is>
      </c>
      <c r="CA87" s="53" t="inlineStr">
        <is>
          <t>Employee</t>
        </is>
      </c>
      <c r="CB87" s="53" t="inlineStr">
        <is>
          <t>Active</t>
        </is>
      </c>
      <c r="CC87" s="53" t="inlineStr">
        <is>
          <t>Justeen Koola</t>
        </is>
      </c>
      <c r="CD87" s="54" t="n">
        <v>39736</v>
      </c>
      <c r="CE87" s="53" t="inlineStr">
        <is>
          <t>Image Processing Specialist</t>
        </is>
      </c>
      <c r="CF87" s="53" t="n"/>
      <c r="CG87" s="53" t="inlineStr">
        <is>
          <t>Professional Services</t>
        </is>
      </c>
      <c r="CH87" s="53" t="inlineStr">
        <is>
          <t>Digitization &amp; Image Processing</t>
        </is>
      </c>
      <c r="CI87" s="53" t="inlineStr">
        <is>
          <t>Image Processing Specialist</t>
        </is>
      </c>
      <c r="CJ87" s="53" t="inlineStr">
        <is>
          <t>L3 – Professional / Associate</t>
        </is>
      </c>
      <c r="CK87" s="53" t="inlineStr">
        <is>
          <t>Prajakta Mokal</t>
        </is>
      </c>
      <c r="CL87" s="53" t="inlineStr">
        <is>
          <t>N-8</t>
        </is>
      </c>
      <c r="CM87" s="53" t="inlineStr">
        <is>
          <t>Individual Contributor</t>
        </is>
      </c>
      <c r="CN87" s="53" t="inlineStr">
        <is>
          <t>Regtech</t>
        </is>
      </c>
      <c r="CO87" s="53" t="inlineStr">
        <is>
          <t>Digitizing</t>
        </is>
      </c>
      <c r="CP87" s="53" t="inlineStr">
        <is>
          <t>18 years, 8 months, 5 days</t>
        </is>
      </c>
      <c r="CQ87" s="53" t="inlineStr">
        <is>
          <t>Sr.Image Processing Specialist</t>
        </is>
      </c>
      <c r="CR87" s="53" t="n"/>
      <c r="CS87" s="53" t="n">
        <v>3</v>
      </c>
      <c r="CT87" s="53" t="inlineStr">
        <is>
          <t>Medium</t>
        </is>
      </c>
      <c r="CU87" s="53" t="inlineStr">
        <is>
          <t>Core Contributor</t>
        </is>
      </c>
      <c r="CV87" s="53" t="inlineStr">
        <is>
          <t>No</t>
        </is>
      </c>
      <c r="CW87" s="53" t="inlineStr">
        <is>
          <t>No</t>
        </is>
      </c>
      <c r="CX87" s="53" t="inlineStr">
        <is>
          <t>Yes</t>
        </is>
      </c>
      <c r="CY87" s="53" t="n"/>
      <c r="CZ87" s="53" t="n"/>
      <c r="DA87" s="53" t="n"/>
      <c r="DB87" s="53" t="inlineStr">
        <is>
          <t>Title to be standardized to : Sr.Image Processing Specialist</t>
        </is>
      </c>
      <c r="DC87" s="53" t="n"/>
      <c r="DD87" s="53" t="n"/>
      <c r="DE87" s="53" t="n"/>
      <c r="DF87" s="53" t="n"/>
      <c r="DG87" s="53" t="n"/>
      <c r="DH87" s="53" t="n"/>
      <c r="DI87" s="53" t="n"/>
      <c r="DJ87" s="53" t="n"/>
      <c r="DK87" s="53" t="n"/>
      <c r="DL87" s="53" t="n"/>
      <c r="DM87" s="53" t="n"/>
      <c r="DN87" s="53" t="n"/>
      <c r="DO87" s="53" t="n"/>
      <c r="DP87" s="53" t="n"/>
      <c r="DQ87" s="53" t="n"/>
      <c r="DR87" s="53" t="n"/>
      <c r="DS87" s="53" t="n"/>
      <c r="DT87" s="53" t="n"/>
      <c r="DU87" s="53" t="n"/>
      <c r="DV87" s="53" t="n"/>
      <c r="DW87" s="53" t="n"/>
      <c r="DX87" s="53" t="n"/>
      <c r="DY87" s="53" t="n"/>
      <c r="DZ87" s="53" t="n"/>
      <c r="EA87" s="53" t="n"/>
      <c r="EB87" s="53" t="n"/>
      <c r="EC87" s="53" t="n"/>
      <c r="ED87" s="53" t="n"/>
      <c r="EE87" s="53" t="n"/>
      <c r="EF87" s="53" t="n"/>
      <c r="EG87" s="53" t="n"/>
      <c r="EH87" s="53" t="n"/>
      <c r="EI87" s="53" t="n"/>
      <c r="EJ87" s="53" t="n"/>
      <c r="EK87" s="53" t="n"/>
      <c r="EL87" s="53" t="n"/>
      <c r="EM87" s="53" t="n"/>
      <c r="EN87" s="53" t="n"/>
      <c r="EO87" s="53" t="n"/>
      <c r="EP87" s="53" t="n"/>
      <c r="EQ87" s="53" t="n"/>
      <c r="ER87" s="53" t="n"/>
      <c r="ES87" s="53" t="n"/>
      <c r="ET87" s="53" t="n"/>
      <c r="EU87" s="53" t="n"/>
      <c r="EV87" s="53" t="n"/>
      <c r="EW87" s="52" t="n"/>
      <c r="EX87" s="53" t="inlineStr">
        <is>
          <t>• Role / sub-team: Digitizing Assited Services.</t>
        </is>
      </c>
      <c r="EY87" s="53" t="inlineStr">
        <is>
          <t>• Key responsibilities include: Formatting and review ESEF,UK converison, MCA, cipc html conversion,.</t>
        </is>
      </c>
      <c r="EZ87" s="53" t="inlineStr">
        <is>
          <t>• Current capabilities: Communication skills; Team management skills; Tools / software used: Abbyy FineReader, Microsoft Web Expression, Carbon tool [Teams chat].</t>
        </is>
      </c>
      <c r="FA87" s="53" t="inlineStr">
        <is>
          <t>• Communications skills.
• Presentation skills.</t>
        </is>
      </c>
      <c r="FB87" s="53" t="inlineStr">
        <is>
          <t>• Key challenges: Quality of report.
• Support required: No input received.</t>
        </is>
      </c>
      <c r="FC87" s="53" t="n"/>
      <c r="FD87" s="53" t="n"/>
      <c r="FE87"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7" s="56" t="n"/>
      <c r="FG87" s="56" t="n"/>
      <c r="FH87" s="56" t="n"/>
      <c r="FI87" s="56" t="n"/>
      <c r="FJ87" s="56" t="inlineStr">
        <is>
          <t>Received · manager annual</t>
        </is>
      </c>
      <c r="FK87" s="56" t="inlineStr">
        <is>
          <t>CARBON Mapping Master</t>
        </is>
      </c>
      <c r="FL87" s="56" t="n">
        <v>19</v>
      </c>
      <c r="FM87" s="56" t="inlineStr">
        <is>
          <t>• Role / sub-team: Digitizing Assited Services.</t>
        </is>
      </c>
      <c r="FN87" s="56" t="inlineStr">
        <is>
          <t>• Key responsibilities include: Formatting and review ESEF,UK converison, MCA, cipc html conversion,.</t>
        </is>
      </c>
      <c r="FO87" s="56" t="inlineStr">
        <is>
          <t>• Current capabilities: Communication skills; Team management skills; Tools / software used: Abbyy FineReader, Microsoft Web Expression, Carbon tool [Teams chat].</t>
        </is>
      </c>
      <c r="FP87" s="56" t="inlineStr">
        <is>
          <t>• Communications skills.
• Presentation skills.</t>
        </is>
      </c>
      <c r="FQ87" s="56" t="inlineStr">
        <is>
          <t>• Key challenges: Quality of report.
• Support required: No input received.</t>
        </is>
      </c>
      <c r="FR87" s="56" t="inlineStr">
        <is>
          <t>Complexity: Evidence reads like A2: HMRC and CIPC HTML conversion, DM / ESEF formatting and review → moved down 0.5
Autonomy: Evidence reads like A1: States 'Not Applicable' for independent decisions → moved down 0.5
Accountability: Evidence reads like A2: Own files delivered on the given date → moved down 0.5
Leadership: Evidence reads like A1: Mentions team collaboration only; no guidance of others → moved down 0.5
Business Impact: Moved +0.5: the survey / manager mapping marks it business-critical.</t>
        </is>
      </c>
      <c r="FS8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7" s="56" t="inlineStr">
        <is>
          <t>Self-identified: Leadership &amp; people management · Project / programme management · Communication &amp; presentation
For the next role: Leadership &amp; people management · Project / programme management · Communication &amp; presentation</t>
        </is>
      </c>
      <c r="FU87" s="56" t="inlineStr">
        <is>
          <t>Per-person summary · CARBON Mapping Master</t>
        </is>
      </c>
    </row>
    <row r="88" ht="90" customHeight="1">
      <c r="A88" s="51" t="inlineStr">
        <is>
          <t>◂ Back</t>
        </is>
      </c>
      <c r="B88" s="29" t="inlineStr">
        <is>
          <t>Mapped</t>
        </is>
      </c>
      <c r="C88" s="28" t="inlineStr">
        <is>
          <t>CARBON</t>
        </is>
      </c>
      <c r="D88" s="29" t="inlineStr">
        <is>
          <t>IRIS1774</t>
        </is>
      </c>
      <c r="E88" s="29" t="inlineStr">
        <is>
          <t>Tabassum Ali</t>
        </is>
      </c>
      <c r="F88" s="29" t="inlineStr">
        <is>
          <t>Digitizing</t>
        </is>
      </c>
      <c r="G88" s="29" t="inlineStr">
        <is>
          <t>Image Processing Specialist</t>
        </is>
      </c>
      <c r="H88" s="29" t="inlineStr">
        <is>
          <t>Senior Digitization Associate</t>
        </is>
      </c>
      <c r="I88" s="29" t="inlineStr">
        <is>
          <t>L3 – Professional / Associate</t>
        </is>
      </c>
      <c r="J88" s="29" t="inlineStr">
        <is>
          <t>A3</t>
        </is>
      </c>
      <c r="K88" s="29" t="inlineStr">
        <is>
          <t>▲ Up</t>
        </is>
      </c>
      <c r="L88" s="29" t="inlineStr">
        <is>
          <t>Data Operations &amp; Digitization</t>
        </is>
      </c>
      <c r="M88" s="29" t="inlineStr">
        <is>
          <t>Document Conversion, Formatting &amp; Web Publishing</t>
        </is>
      </c>
      <c r="N88" s="29" t="n"/>
      <c r="O88" s="29" t="n">
        <v>0</v>
      </c>
      <c r="P88" s="28" t="inlineStr">
        <is>
          <t>P2</t>
        </is>
      </c>
      <c r="Q88" s="29" t="inlineStr">
        <is>
          <t>Developing</t>
        </is>
      </c>
      <c r="R88" s="29" t="inlineStr">
        <is>
          <t>3 Apply</t>
        </is>
      </c>
      <c r="S88" s="29" t="inlineStr">
        <is>
          <t>2–4 yrs</t>
        </is>
      </c>
      <c r="T88" s="29" t="inlineStr">
        <is>
          <t>3–5 · 2–5</t>
        </is>
      </c>
      <c r="U88" s="29" t="inlineStr">
        <is>
          <t>Senior Associate</t>
        </is>
      </c>
      <c r="V88" s="29" t="inlineStr">
        <is>
          <t>DataTracks: Senior Associate · 2–5 yrs · Accenture Operations: L10 Senior Analyst · IRIS Vs Competitor Benchmark — operations roles: Senior Processor / QC</t>
        </is>
      </c>
      <c r="W88" s="29" t="inlineStr">
        <is>
          <t>COPC CX Standard · leadership &amp; planning, people, processes, performance; ISO 9001; Lean / Six Sigma</t>
        </is>
      </c>
      <c r="X88" s="29" t="inlineStr">
        <is>
          <t>Core 2 · Future 2 · Functional 3 · Leadership not scored</t>
        </is>
      </c>
      <c r="Y88" s="52" t="n">
        <v>154</v>
      </c>
      <c r="Z88" s="53" t="inlineStr">
        <is>
          <t>IRIS1774</t>
        </is>
      </c>
      <c r="AA88" s="53" t="inlineStr">
        <is>
          <t>Employee</t>
        </is>
      </c>
      <c r="AB88" s="53" t="inlineStr">
        <is>
          <t>Active</t>
        </is>
      </c>
      <c r="AC88" s="53" t="inlineStr">
        <is>
          <t>Tabassum Ali</t>
        </is>
      </c>
      <c r="AD88" s="54" t="n">
        <v>43556</v>
      </c>
      <c r="AE88" s="53" t="inlineStr">
        <is>
          <t>Image Processing Specialist</t>
        </is>
      </c>
      <c r="AF88" s="53" t="inlineStr">
        <is>
          <t>B.Com</t>
        </is>
      </c>
      <c r="AG88" s="53" t="inlineStr">
        <is>
          <t>Ritesh Yeram</t>
        </is>
      </c>
      <c r="AH88" s="53" t="inlineStr">
        <is>
          <t>N-8</t>
        </is>
      </c>
      <c r="AI88" s="53" t="inlineStr">
        <is>
          <t>Individual Contributor</t>
        </is>
      </c>
      <c r="AJ88" s="53" t="inlineStr">
        <is>
          <t>1 years, 11 months, 0 days</t>
        </is>
      </c>
      <c r="AK88" s="53" t="inlineStr">
        <is>
          <t>7 years, 4 months, 24 days</t>
        </is>
      </c>
      <c r="AL88" s="53" t="inlineStr">
        <is>
          <t>Regtech</t>
        </is>
      </c>
      <c r="AM88" s="53" t="inlineStr">
        <is>
          <t>CARBON</t>
        </is>
      </c>
      <c r="AN88" s="53" t="inlineStr">
        <is>
          <t>Digitizing</t>
        </is>
      </c>
      <c r="AO88" s="53" t="inlineStr">
        <is>
          <t>Digitizing Assisted services</t>
        </is>
      </c>
      <c r="AP88" s="53" t="inlineStr">
        <is>
          <t>No</t>
        </is>
      </c>
      <c r="AQ88" s="53" t="inlineStr">
        <is>
          <t>Professional Services</t>
        </is>
      </c>
      <c r="AR88" s="53" t="inlineStr">
        <is>
          <t>OCR/Image procesing</t>
        </is>
      </c>
      <c r="AS88" s="53" t="inlineStr">
        <is>
          <t>Non-technical</t>
        </is>
      </c>
      <c r="AT88" s="53" t="n">
        <v>0</v>
      </c>
      <c r="AU88" s="53" t="inlineStr">
        <is>
          <t>E-Maternity</t>
        </is>
      </c>
      <c r="AV88" s="53" t="inlineStr">
        <is>
          <t>IRIS1774</t>
        </is>
      </c>
      <c r="AW88" s="53" t="inlineStr">
        <is>
          <t>Tabassum Ali</t>
        </is>
      </c>
      <c r="AX88" s="53" t="inlineStr">
        <is>
          <t>Digitizing</t>
        </is>
      </c>
      <c r="AY88" s="53" t="inlineStr">
        <is>
          <t>Professional Services</t>
        </is>
      </c>
      <c r="AZ88" s="53" t="inlineStr">
        <is>
          <t>Digitization &amp; Image Processing</t>
        </is>
      </c>
      <c r="BA88" s="53" t="n"/>
      <c r="BB88" s="53" t="n"/>
      <c r="BC88" s="53" t="inlineStr">
        <is>
          <t>Employee</t>
        </is>
      </c>
      <c r="BD88" s="53" t="inlineStr">
        <is>
          <t>Prajakta Mokal</t>
        </is>
      </c>
      <c r="BE88" s="53" t="inlineStr">
        <is>
          <t>Swara Swapnil Mhatre</t>
        </is>
      </c>
      <c r="BF88" s="53" t="inlineStr">
        <is>
          <t>No</t>
        </is>
      </c>
      <c r="BG88" s="53" t="inlineStr">
        <is>
          <t>Image Processing Specialist</t>
        </is>
      </c>
      <c r="BH88" s="53" t="inlineStr">
        <is>
          <t>Image Processing Specialist</t>
        </is>
      </c>
      <c r="BI88" s="53" t="inlineStr">
        <is>
          <t>No</t>
        </is>
      </c>
      <c r="BJ88" s="53" t="inlineStr">
        <is>
          <t>—</t>
        </is>
      </c>
      <c r="BK88" s="53" t="inlineStr">
        <is>
          <t>—</t>
        </is>
      </c>
      <c r="BL88" s="53" t="inlineStr">
        <is>
          <t>—</t>
        </is>
      </c>
      <c r="BM88" s="53" t="inlineStr">
        <is>
          <t>Not a manager</t>
        </is>
      </c>
      <c r="BN88" s="53" t="inlineStr">
        <is>
          <t>—</t>
        </is>
      </c>
      <c r="BO88" s="53" t="inlineStr">
        <is>
          <t>—</t>
        </is>
      </c>
      <c r="BP88" s="53" t="inlineStr">
        <is>
          <t>—</t>
        </is>
      </c>
      <c r="BQ88" s="53" t="inlineStr">
        <is>
          <t>Not a manager</t>
        </is>
      </c>
      <c r="BR88" s="53" t="inlineStr">
        <is>
          <t>—</t>
        </is>
      </c>
      <c r="BS88" s="53" t="inlineStr">
        <is>
          <t>L3 – Professional / Associate</t>
        </is>
      </c>
      <c r="BT88" s="53" t="inlineStr">
        <is>
          <t>L3 – Professional / Associate</t>
        </is>
      </c>
      <c r="BU88" s="53" t="inlineStr">
        <is>
          <t>No designation change — current record value carried forward</t>
        </is>
      </c>
      <c r="BV88"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8" s="53" t="n"/>
      <c r="BX88" s="53" t="n"/>
      <c r="BY88" s="53" t="n"/>
      <c r="BZ88" s="53" t="inlineStr">
        <is>
          <t>IRIS1774</t>
        </is>
      </c>
      <c r="CA88" s="53" t="inlineStr">
        <is>
          <t>Employee</t>
        </is>
      </c>
      <c r="CB88" s="53" t="inlineStr">
        <is>
          <t>Active</t>
        </is>
      </c>
      <c r="CC88" s="53" t="inlineStr">
        <is>
          <t>Tabassum Ali</t>
        </is>
      </c>
      <c r="CD88" s="54" t="n">
        <v>43556</v>
      </c>
      <c r="CE88" s="53" t="inlineStr">
        <is>
          <t>Image Processing Specialist</t>
        </is>
      </c>
      <c r="CF88" s="53" t="n"/>
      <c r="CG88" s="53" t="inlineStr">
        <is>
          <t>Professional Services</t>
        </is>
      </c>
      <c r="CH88" s="53" t="inlineStr">
        <is>
          <t>Digitization &amp; Image Processing</t>
        </is>
      </c>
      <c r="CI88" s="53" t="inlineStr">
        <is>
          <t>Image Processing Specialist</t>
        </is>
      </c>
      <c r="CJ88" s="53" t="inlineStr">
        <is>
          <t>L3 – Professional / Associate</t>
        </is>
      </c>
      <c r="CK88" s="53" t="inlineStr">
        <is>
          <t>Prajakta Mokal</t>
        </is>
      </c>
      <c r="CL88" s="53" t="inlineStr">
        <is>
          <t>N-8</t>
        </is>
      </c>
      <c r="CM88" s="53" t="inlineStr">
        <is>
          <t>Individual Contributor</t>
        </is>
      </c>
      <c r="CN88" s="53" t="inlineStr">
        <is>
          <t>Regtech</t>
        </is>
      </c>
      <c r="CO88" s="53" t="inlineStr">
        <is>
          <t>Digitizing</t>
        </is>
      </c>
      <c r="CP88" s="53" t="inlineStr">
        <is>
          <t>9 years, 1 months, 19 days</t>
        </is>
      </c>
      <c r="CQ88" s="53" t="n"/>
      <c r="CR88" s="53" t="n"/>
      <c r="CS88" s="53" t="n">
        <v>3</v>
      </c>
      <c r="CT88" s="53" t="inlineStr">
        <is>
          <t>Medium</t>
        </is>
      </c>
      <c r="CU88" s="53" t="inlineStr">
        <is>
          <t>Core Contributor</t>
        </is>
      </c>
      <c r="CV88" s="53" t="inlineStr">
        <is>
          <t>No</t>
        </is>
      </c>
      <c r="CW88" s="53" t="inlineStr">
        <is>
          <t>No</t>
        </is>
      </c>
      <c r="CX88" s="53" t="inlineStr">
        <is>
          <t>Yes</t>
        </is>
      </c>
      <c r="CY88" s="53" t="n"/>
      <c r="CZ88" s="53" t="n"/>
      <c r="DA88" s="53" t="n"/>
      <c r="DB88" s="53" t="n"/>
      <c r="DC88" s="53" t="n"/>
      <c r="DD88" s="53" t="n"/>
      <c r="DE88" s="53" t="n"/>
      <c r="DF88" s="53" t="n"/>
      <c r="DG88" s="53" t="n"/>
      <c r="DH88" s="53" t="n"/>
      <c r="DI88" s="53" t="n"/>
      <c r="DJ88" s="53" t="n"/>
      <c r="DK88" s="53" t="n"/>
      <c r="DL88" s="53" t="n"/>
      <c r="DM88" s="53" t="n"/>
      <c r="DN88" s="53" t="n"/>
      <c r="DO88" s="53" t="n"/>
      <c r="DP88" s="53" t="n"/>
      <c r="DQ88" s="53" t="n"/>
      <c r="DR88" s="53" t="n"/>
      <c r="DS88" s="53" t="n"/>
      <c r="DT88" s="53" t="n"/>
      <c r="DU88" s="53" t="n"/>
      <c r="DV88" s="53" t="n"/>
      <c r="DW88" s="53" t="n"/>
      <c r="DX88" s="53" t="n"/>
      <c r="DY88" s="53" t="n"/>
      <c r="DZ88" s="53" t="n"/>
      <c r="EA88" s="53" t="n"/>
      <c r="EB88" s="53" t="n"/>
      <c r="EC88" s="53" t="n"/>
      <c r="ED88" s="53" t="n"/>
      <c r="EE88" s="53" t="n"/>
      <c r="EF88" s="53" t="n"/>
      <c r="EG88" s="53" t="n"/>
      <c r="EH88" s="53" t="n"/>
      <c r="EI88" s="53" t="n"/>
      <c r="EJ88" s="53" t="n"/>
      <c r="EK88" s="53" t="n"/>
      <c r="EL88" s="53" t="n"/>
      <c r="EM88" s="53" t="n"/>
      <c r="EN88" s="53" t="n"/>
      <c r="EO88" s="53" t="n"/>
      <c r="EP88" s="53" t="n"/>
      <c r="EQ88" s="53" t="n"/>
      <c r="ER88" s="53" t="n"/>
      <c r="ES88" s="53" t="n"/>
      <c r="ET88" s="53" t="n"/>
      <c r="EU88" s="53" t="n"/>
      <c r="EV88" s="53" t="n"/>
      <c r="EW88" s="52" t="n"/>
      <c r="EX88" s="53" t="n"/>
      <c r="EY88" s="53" t="n"/>
      <c r="EZ88" s="53" t="n"/>
      <c r="FA88" s="53" t="n"/>
      <c r="FB88" s="53" t="n"/>
      <c r="FC88" s="53" t="n"/>
      <c r="FD88" s="53" t="n"/>
      <c r="FE88"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8" s="56" t="n"/>
      <c r="FG88" s="56" t="n"/>
      <c r="FH88" s="56" t="n"/>
      <c r="FI88" s="56" t="n"/>
      <c r="FJ88" s="56" t="inlineStr">
        <is>
          <t>Received · manager annual</t>
        </is>
      </c>
      <c r="FK88" s="56" t="inlineStr">
        <is>
          <t>CARBON Mapping Master</t>
        </is>
      </c>
      <c r="FL88" s="56" t="n">
        <v>0</v>
      </c>
      <c r="FM88" s="32" t="inlineStr">
        <is>
          <t>No survey response on file</t>
        </is>
      </c>
      <c r="FN88" s="56" t="inlineStr">
        <is>
          <t>—</t>
        </is>
      </c>
      <c r="FO88" s="56" t="inlineStr">
        <is>
          <t>—</t>
        </is>
      </c>
      <c r="FP88" s="56" t="inlineStr">
        <is>
          <t>—</t>
        </is>
      </c>
      <c r="FQ88" s="56" t="inlineStr">
        <is>
          <t>—</t>
        </is>
      </c>
      <c r="FR88" s="56" t="inlineStr">
        <is>
          <t>Business Impact: Moved +0.5: the survey / manager mapping marks it business-critical.</t>
        </is>
      </c>
      <c r="FS8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8" s="56" t="n"/>
      <c r="FU88" s="32" t="inlineStr">
        <is>
          <t>No survey response on file</t>
        </is>
      </c>
    </row>
    <row r="89" ht="90" customHeight="1">
      <c r="A89" s="51" t="inlineStr">
        <is>
          <t>◂ Back</t>
        </is>
      </c>
      <c r="B89" s="29" t="inlineStr">
        <is>
          <t>Mapped</t>
        </is>
      </c>
      <c r="C89" s="28" t="inlineStr">
        <is>
          <t>CARBON</t>
        </is>
      </c>
      <c r="D89" s="29" t="inlineStr">
        <is>
          <t>IRISC287</t>
        </is>
      </c>
      <c r="E89" s="29" t="inlineStr">
        <is>
          <t>Farina Pathan</t>
        </is>
      </c>
      <c r="F89" s="29" t="inlineStr">
        <is>
          <t>Digitizing</t>
        </is>
      </c>
      <c r="G89" s="29" t="inlineStr">
        <is>
          <t>Consultant</t>
        </is>
      </c>
      <c r="H89" s="29" t="inlineStr">
        <is>
          <t>Senior Digitization Associate</t>
        </is>
      </c>
      <c r="I89" s="29" t="inlineStr">
        <is>
          <t>L3 – Professional / Associate</t>
        </is>
      </c>
      <c r="J89" s="29" t="inlineStr">
        <is>
          <t>A3</t>
        </is>
      </c>
      <c r="K89" s="29" t="inlineStr">
        <is>
          <t>▲ Up</t>
        </is>
      </c>
      <c r="L89" s="29" t="inlineStr">
        <is>
          <t>Data Operations &amp; Digitization</t>
        </is>
      </c>
      <c r="M89" s="29" t="inlineStr">
        <is>
          <t>Document Conversion, Formatting &amp; Web Publishing</t>
        </is>
      </c>
      <c r="N89" s="29" t="n"/>
      <c r="O89" s="29" t="n">
        <v>19</v>
      </c>
      <c r="P89" s="28" t="inlineStr">
        <is>
          <t>P2</t>
        </is>
      </c>
      <c r="Q89" s="29" t="inlineStr">
        <is>
          <t>Developing</t>
        </is>
      </c>
      <c r="R89" s="29" t="inlineStr">
        <is>
          <t>3 Apply</t>
        </is>
      </c>
      <c r="S89" s="29" t="inlineStr">
        <is>
          <t>2–4 yrs</t>
        </is>
      </c>
      <c r="T89" s="29" t="inlineStr">
        <is>
          <t>3–5 · 2–5</t>
        </is>
      </c>
      <c r="U89" s="29" t="inlineStr">
        <is>
          <t>Senior Associate</t>
        </is>
      </c>
      <c r="V89" s="29" t="inlineStr">
        <is>
          <t>DataTracks: Senior Associate · 2–5 yrs · Accenture Operations: L10 Senior Analyst · IRIS Vs Competitor Benchmark — operations roles: Senior Processor / QC</t>
        </is>
      </c>
      <c r="W89" s="29" t="inlineStr">
        <is>
          <t>COPC CX Standard · leadership &amp; planning, people, processes, performance; ISO 9001; Lean / Six Sigma</t>
        </is>
      </c>
      <c r="X89" s="29" t="inlineStr">
        <is>
          <t>Core 2 · Future 2 · Functional 3 · Leadership not scored</t>
        </is>
      </c>
      <c r="Y89" s="52" t="n">
        <v>309</v>
      </c>
      <c r="Z89" s="53" t="inlineStr">
        <is>
          <t>IRISC287</t>
        </is>
      </c>
      <c r="AA89" s="53" t="inlineStr">
        <is>
          <t>On Contract</t>
        </is>
      </c>
      <c r="AB89" s="53" t="inlineStr">
        <is>
          <t>Active</t>
        </is>
      </c>
      <c r="AC89" s="53" t="inlineStr">
        <is>
          <t>Farina Pathan</t>
        </is>
      </c>
      <c r="AD89" s="54" t="n">
        <v>45344</v>
      </c>
      <c r="AE89" s="53" t="inlineStr">
        <is>
          <t>Consultant</t>
        </is>
      </c>
      <c r="AF89" s="53" t="inlineStr">
        <is>
          <t>B.Com</t>
        </is>
      </c>
      <c r="AG89" s="53" t="inlineStr">
        <is>
          <t>Dinesh Sharma</t>
        </is>
      </c>
      <c r="AH89" s="53" t="inlineStr">
        <is>
          <t>N-7</t>
        </is>
      </c>
      <c r="AI89" s="53" t="inlineStr">
        <is>
          <t>Individual Contributor</t>
        </is>
      </c>
      <c r="AJ89" s="53" t="inlineStr">
        <is>
          <t>0 years, 0 months, 0 days</t>
        </is>
      </c>
      <c r="AK89" s="53" t="inlineStr">
        <is>
          <t>2 years, 6 months, 3 days</t>
        </is>
      </c>
      <c r="AL89" s="53" t="inlineStr">
        <is>
          <t>Regtech</t>
        </is>
      </c>
      <c r="AM89" s="53" t="inlineStr">
        <is>
          <t>CARBON</t>
        </is>
      </c>
      <c r="AN89" s="53" t="inlineStr">
        <is>
          <t>Digitizing</t>
        </is>
      </c>
      <c r="AO89" s="53" t="inlineStr">
        <is>
          <t>Digitizing Assisted services</t>
        </is>
      </c>
      <c r="AP89" s="53" t="inlineStr">
        <is>
          <t>No</t>
        </is>
      </c>
      <c r="AQ89" s="53" t="inlineStr">
        <is>
          <t>Professional Services</t>
        </is>
      </c>
      <c r="AR89" s="53" t="inlineStr">
        <is>
          <t>OCR/Image procesing</t>
        </is>
      </c>
      <c r="AS89" s="53" t="inlineStr">
        <is>
          <t>Non-technical</t>
        </is>
      </c>
      <c r="AT89" s="53" t="n">
        <v>20</v>
      </c>
      <c r="AU89" s="53" t="inlineStr">
        <is>
          <t>Covered</t>
        </is>
      </c>
      <c r="AV89" s="53" t="inlineStr">
        <is>
          <t>IRISC287</t>
        </is>
      </c>
      <c r="AW89" s="53" t="inlineStr">
        <is>
          <t>Farina Pathan</t>
        </is>
      </c>
      <c r="AX89" s="53" t="inlineStr">
        <is>
          <t>Digitizing</t>
        </is>
      </c>
      <c r="AY89" s="53" t="inlineStr">
        <is>
          <t>Professional Services</t>
        </is>
      </c>
      <c r="AZ89" s="53" t="inlineStr">
        <is>
          <t>Digitization &amp; Image Processing</t>
        </is>
      </c>
      <c r="BA89" s="53" t="n"/>
      <c r="BB89" s="53" t="n"/>
      <c r="BC89" s="53" t="inlineStr">
        <is>
          <t>On Contract</t>
        </is>
      </c>
      <c r="BD89" s="53" t="inlineStr">
        <is>
          <t>Tejas Kat</t>
        </is>
      </c>
      <c r="BE89" s="53" t="inlineStr">
        <is>
          <t>Datta Anand Hatagale</t>
        </is>
      </c>
      <c r="BF89" s="53" t="inlineStr">
        <is>
          <t>No</t>
        </is>
      </c>
      <c r="BG89" s="53" t="inlineStr">
        <is>
          <t>Consultant</t>
        </is>
      </c>
      <c r="BH89" s="53" t="inlineStr">
        <is>
          <t>Consultant</t>
        </is>
      </c>
      <c r="BI89" s="53" t="inlineStr">
        <is>
          <t>No</t>
        </is>
      </c>
      <c r="BJ89" s="53" t="inlineStr">
        <is>
          <t>—</t>
        </is>
      </c>
      <c r="BK89" s="53" t="inlineStr">
        <is>
          <t>—</t>
        </is>
      </c>
      <c r="BL89" s="53" t="inlineStr">
        <is>
          <t>—</t>
        </is>
      </c>
      <c r="BM89" s="53" t="inlineStr">
        <is>
          <t>Not a manager</t>
        </is>
      </c>
      <c r="BN89" s="53" t="inlineStr">
        <is>
          <t>—</t>
        </is>
      </c>
      <c r="BO89" s="53" t="inlineStr">
        <is>
          <t>—</t>
        </is>
      </c>
      <c r="BP89" s="53" t="inlineStr">
        <is>
          <t>—</t>
        </is>
      </c>
      <c r="BQ89" s="53" t="inlineStr">
        <is>
          <t>Not a manager</t>
        </is>
      </c>
      <c r="BR89" s="53" t="inlineStr">
        <is>
          <t>—</t>
        </is>
      </c>
      <c r="BS89" s="53" t="inlineStr">
        <is>
          <t>L3 – Professional / Associate</t>
        </is>
      </c>
      <c r="BT89" s="53" t="inlineStr">
        <is>
          <t>L3 – Professional / Associate</t>
        </is>
      </c>
      <c r="BU89" s="53" t="inlineStr">
        <is>
          <t>No designation change — current record value carried forward</t>
        </is>
      </c>
      <c r="BV89"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89" s="53" t="n"/>
      <c r="BX89" s="53" t="inlineStr">
        <is>
          <t>Netherland - KVK; Nigeria - CBN; Europe - ESEF; UK - HMRC; South Africa - CIPC; India - MCA · On Contract.</t>
        </is>
      </c>
      <c r="BY89" s="53" t="n"/>
      <c r="BZ89" s="53" t="inlineStr">
        <is>
          <t>IRISC287</t>
        </is>
      </c>
      <c r="CA89" s="53" t="inlineStr">
        <is>
          <t>On Contract</t>
        </is>
      </c>
      <c r="CB89" s="53" t="inlineStr">
        <is>
          <t>Active</t>
        </is>
      </c>
      <c r="CC89" s="53" t="inlineStr">
        <is>
          <t>Farina Pathan</t>
        </is>
      </c>
      <c r="CD89" s="54" t="n">
        <v>45344</v>
      </c>
      <c r="CE89" s="53" t="inlineStr">
        <is>
          <t>Consultant</t>
        </is>
      </c>
      <c r="CF89" s="53" t="n"/>
      <c r="CG89" s="53" t="inlineStr">
        <is>
          <t>Professional Services</t>
        </is>
      </c>
      <c r="CH89" s="53" t="inlineStr">
        <is>
          <t>Digitization &amp; Image Processing</t>
        </is>
      </c>
      <c r="CI89" s="53" t="inlineStr">
        <is>
          <t>Consultant</t>
        </is>
      </c>
      <c r="CJ89" s="53" t="inlineStr">
        <is>
          <t>L3 – Professional / Associate</t>
        </is>
      </c>
      <c r="CK89" s="53" t="inlineStr">
        <is>
          <t>Tejas Kat</t>
        </is>
      </c>
      <c r="CL89" s="53" t="inlineStr">
        <is>
          <t>N-7</t>
        </is>
      </c>
      <c r="CM89" s="53" t="inlineStr">
        <is>
          <t>Individual Contributor</t>
        </is>
      </c>
      <c r="CN89" s="53" t="inlineStr">
        <is>
          <t>Regtech</t>
        </is>
      </c>
      <c r="CO89" s="53" t="inlineStr">
        <is>
          <t>Digitizing</t>
        </is>
      </c>
      <c r="CP89" s="53" t="inlineStr">
        <is>
          <t>2 years, 3 months, 29 days</t>
        </is>
      </c>
      <c r="CQ89" s="53" t="inlineStr">
        <is>
          <t>Consultant</t>
        </is>
      </c>
      <c r="CR89" s="53" t="n"/>
      <c r="CS89" s="53" t="n">
        <v>3</v>
      </c>
      <c r="CT89" s="53" t="inlineStr">
        <is>
          <t>Medium</t>
        </is>
      </c>
      <c r="CU89" s="53" t="inlineStr">
        <is>
          <t>Core Contributor</t>
        </is>
      </c>
      <c r="CV89" s="53" t="inlineStr">
        <is>
          <t>No</t>
        </is>
      </c>
      <c r="CW89" s="53" t="inlineStr">
        <is>
          <t>No</t>
        </is>
      </c>
      <c r="CX89" s="53" t="inlineStr">
        <is>
          <t>Yes</t>
        </is>
      </c>
      <c r="CY89" s="53" t="n"/>
      <c r="CZ89" s="53" t="n"/>
      <c r="DA89" s="53" t="n"/>
      <c r="DB89" s="53" t="n"/>
      <c r="DC89" s="53" t="n"/>
      <c r="DD89" s="53" t="n"/>
      <c r="DE89" s="53" t="n"/>
      <c r="DF89" s="53" t="n"/>
      <c r="DG89" s="53" t="n"/>
      <c r="DH89" s="53" t="n"/>
      <c r="DI89" s="53" t="n"/>
      <c r="DJ89" s="53" t="n"/>
      <c r="DK89" s="53" t="n"/>
      <c r="DL89" s="53" t="n"/>
      <c r="DM89" s="53" t="n"/>
      <c r="DN89" s="53" t="n"/>
      <c r="DO89" s="53" t="n"/>
      <c r="DP89" s="53" t="n"/>
      <c r="DQ89" s="53" t="n"/>
      <c r="DR89" s="53" t="n"/>
      <c r="DS89" s="53" t="n"/>
      <c r="DT89" s="53" t="n"/>
      <c r="DU89" s="53" t="n"/>
      <c r="DV89" s="53" t="n"/>
      <c r="DW89" s="53" t="n"/>
      <c r="DX89" s="53" t="n"/>
      <c r="DY89" s="53" t="n"/>
      <c r="DZ89" s="53" t="n"/>
      <c r="EA89" s="53" t="n"/>
      <c r="EB89" s="53" t="n"/>
      <c r="EC89" s="53" t="n"/>
      <c r="ED89" s="53" t="n"/>
      <c r="EE89" s="53" t="n"/>
      <c r="EF89" s="53" t="n"/>
      <c r="EG89" s="53" t="n"/>
      <c r="EH89" s="53" t="n"/>
      <c r="EI89" s="53" t="n"/>
      <c r="EJ89" s="53" t="n"/>
      <c r="EK89" s="53" t="n"/>
      <c r="EL89" s="53" t="n"/>
      <c r="EM89" s="53" t="n"/>
      <c r="EN89" s="53" t="n"/>
      <c r="EO89" s="53" t="n"/>
      <c r="EP89" s="53" t="n"/>
      <c r="EQ89" s="53" t="n"/>
      <c r="ER89" s="53" t="n"/>
      <c r="ES89" s="53" t="n"/>
      <c r="ET89" s="53" t="n"/>
      <c r="EU89" s="53" t="n"/>
      <c r="EV89" s="53" t="n"/>
      <c r="EW89" s="52" t="n"/>
      <c r="EX89" s="53" t="inlineStr">
        <is>
          <t>• Role / sub-team: Digitizing Assited Services.</t>
        </is>
      </c>
      <c r="EY89" s="53"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EZ89" s="53" t="inlineStr">
        <is>
          <t>• Current capabilities: AI tools like capilot; Tools / software used: Both | Abbyy FineReader, Microsoft Web Expression, Carbon tool [Teams chat].</t>
        </is>
      </c>
      <c r="FA89" s="53" t="inlineStr">
        <is>
          <t>• Communications skills.
• Presentation skills.</t>
        </is>
      </c>
      <c r="FB89" s="53" t="inlineStr">
        <is>
          <t>• Key challenges: Quality of report, RDP issue.
• Support required: No input received.</t>
        </is>
      </c>
      <c r="FC89" s="53" t="n"/>
      <c r="FD89" s="53" t="n"/>
      <c r="FE89"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89" s="56" t="n"/>
      <c r="FG89" s="56" t="n"/>
      <c r="FH89" s="56" t="n"/>
      <c r="FI89" s="56" t="n"/>
      <c r="FJ89" s="56" t="inlineStr">
        <is>
          <t>Received · manager annual</t>
        </is>
      </c>
      <c r="FK89" s="56" t="inlineStr">
        <is>
          <t>CARBON Mapping Master</t>
        </is>
      </c>
      <c r="FL89" s="56" t="n">
        <v>19</v>
      </c>
      <c r="FM89" s="56" t="inlineStr">
        <is>
          <t>• Role / sub-team: Digitizing Assited Services.</t>
        </is>
      </c>
      <c r="FN89" s="56"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FO89" s="56" t="inlineStr">
        <is>
          <t>• Current capabilities: AI tools like capilot; Tools / software used: Both | Abbyy FineReader, Microsoft Web Expression, Carbon tool [Teams chat].</t>
        </is>
      </c>
      <c r="FP89" s="56" t="inlineStr">
        <is>
          <t>• Communications skills.
• Presentation skills.</t>
        </is>
      </c>
      <c r="FQ89" s="56" t="inlineStr">
        <is>
          <t>• Key challenges: Quality of report, RDP issue.
• Support required: No input received.</t>
        </is>
      </c>
      <c r="FR89" s="56" t="inlineStr">
        <is>
          <t>Complexity: Evidence reads like A2: Formatting checks, OCR and HTML conversion for ESEF, EU DM, KVK, CIPC, MCA, HMRC → matches the start
Autonomy: Evidence reads like A1: States 'Not applicable'; completed work handed to a senior → moved down 0.5
Accountability: Evidence reads like A2: Accuracy, QC and timely delivery of documents personally processed → matches the start
Leadership: Evidence reads like A1: No guidance or leadership of others described → matches the start
Business Impact: Moved +0.5: the survey / manager mapping marks it business-critical.</t>
        </is>
      </c>
      <c r="FS8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9" s="56" t="inlineStr">
        <is>
          <t>Self-identified: AI / automation · Data, SQL &amp; analytics · Domain, regulatory &amp; XBRL · Communication &amp; presentation · Broader exposure &amp; ownership
For the next role: AI / automation · Project / programme management · Data, SQL &amp; analytics · Domain, regulatory &amp; XBRL · Communication &amp; presentation · Broader exposure &amp; ownership</t>
        </is>
      </c>
      <c r="FU89" s="56" t="inlineStr">
        <is>
          <t>Per-person summary · CARBON Mapping Master</t>
        </is>
      </c>
    </row>
    <row r="90" ht="90" customHeight="1">
      <c r="A90" s="51" t="inlineStr">
        <is>
          <t>◂ Back</t>
        </is>
      </c>
      <c r="B90" s="29" t="inlineStr">
        <is>
          <t>Mapped</t>
        </is>
      </c>
      <c r="C90" s="28" t="inlineStr">
        <is>
          <t>CARBON</t>
        </is>
      </c>
      <c r="D90" s="29" t="inlineStr">
        <is>
          <t>IRISC332</t>
        </is>
      </c>
      <c r="E90" s="29" t="inlineStr">
        <is>
          <t>Aditya Kumar Diwakar</t>
        </is>
      </c>
      <c r="F90" s="29" t="inlineStr">
        <is>
          <t>Digitizing</t>
        </is>
      </c>
      <c r="G90" s="29" t="inlineStr">
        <is>
          <t>Consultant</t>
        </is>
      </c>
      <c r="H90" s="29" t="inlineStr">
        <is>
          <t>Digitization Associate</t>
        </is>
      </c>
      <c r="I90" s="29" t="inlineStr">
        <is>
          <t>L3 – Professional / Associate</t>
        </is>
      </c>
      <c r="J90" s="29" t="inlineStr">
        <is>
          <t>A2</t>
        </is>
      </c>
      <c r="K90" s="29" t="inlineStr">
        <is>
          <t>• Same level</t>
        </is>
      </c>
      <c r="L90" s="29" t="inlineStr">
        <is>
          <t>Data Operations &amp; Digitization</t>
        </is>
      </c>
      <c r="M90" s="29" t="inlineStr">
        <is>
          <t>Document Conversion, Formatting &amp; Web Publishing</t>
        </is>
      </c>
      <c r="N90" s="29" t="n"/>
      <c r="O90" s="29" t="n">
        <v>18</v>
      </c>
      <c r="P90" s="28" t="inlineStr">
        <is>
          <t>P1–P2</t>
        </is>
      </c>
      <c r="Q90" s="29" t="inlineStr">
        <is>
          <t>Entry / Developing</t>
        </is>
      </c>
      <c r="R90" s="29" t="inlineStr">
        <is>
          <t>2 Assist</t>
        </is>
      </c>
      <c r="S90" s="29" t="inlineStr">
        <is>
          <t>0–2 yrs</t>
        </is>
      </c>
      <c r="T90" s="29" t="inlineStr">
        <is>
          <t>1–3 · 0–3</t>
        </is>
      </c>
      <c r="U90" s="29" t="inlineStr">
        <is>
          <t>Associate / Processor / Senior Associate</t>
        </is>
      </c>
      <c r="V90" s="29" t="inlineStr">
        <is>
          <t>DataTracks: Associate · Accenture Operations: L11 Analyst · IRIS Vs Competitor Benchmark — operations roles: Processor / Agent</t>
        </is>
      </c>
      <c r="W90" s="29" t="inlineStr">
        <is>
          <t>COPC CX Standard · leadership &amp; planning, people, processes, performance; ISO 9001; Lean / Six Sigma</t>
        </is>
      </c>
      <c r="X90" s="29" t="inlineStr">
        <is>
          <t>Core 2 · Future 2 · Functional 2 · Leadership not scored</t>
        </is>
      </c>
      <c r="Y90" s="52" t="n">
        <v>437</v>
      </c>
      <c r="Z90" s="53" t="inlineStr">
        <is>
          <t>IRISC332</t>
        </is>
      </c>
      <c r="AA90" s="53" t="inlineStr">
        <is>
          <t>On Contract</t>
        </is>
      </c>
      <c r="AB90" s="53" t="inlineStr">
        <is>
          <t>Active</t>
        </is>
      </c>
      <c r="AC90" s="53" t="inlineStr">
        <is>
          <t>Aditya Kumar Diwakar</t>
        </is>
      </c>
      <c r="AD90" s="54" t="n">
        <v>46034</v>
      </c>
      <c r="AE90" s="53" t="inlineStr">
        <is>
          <t>Consultant</t>
        </is>
      </c>
      <c r="AF90" s="53" t="inlineStr">
        <is>
          <t>Undergraduate</t>
        </is>
      </c>
      <c r="AG90" s="53" t="inlineStr">
        <is>
          <t>Dinesh Sharma</t>
        </is>
      </c>
      <c r="AH90" s="53" t="inlineStr">
        <is>
          <t>N-7</t>
        </is>
      </c>
      <c r="AI90" s="53" t="inlineStr">
        <is>
          <t>Individual Contributor</t>
        </is>
      </c>
      <c r="AJ90" s="53" t="inlineStr">
        <is>
          <t>0 years, 0 months, 0 days</t>
        </is>
      </c>
      <c r="AK90" s="53" t="inlineStr">
        <is>
          <t>0 years, 7 months, 13 days</t>
        </is>
      </c>
      <c r="AL90" s="53" t="inlineStr">
        <is>
          <t>Regtech</t>
        </is>
      </c>
      <c r="AM90" s="53" t="inlineStr">
        <is>
          <t>CARBON</t>
        </is>
      </c>
      <c r="AN90" s="53" t="inlineStr">
        <is>
          <t>Digitizing</t>
        </is>
      </c>
      <c r="AO90" s="53" t="inlineStr">
        <is>
          <t>Digitizing Assisted services</t>
        </is>
      </c>
      <c r="AP90" s="53" t="inlineStr">
        <is>
          <t>No</t>
        </is>
      </c>
      <c r="AQ90" s="53" t="inlineStr">
        <is>
          <t>Professional Services</t>
        </is>
      </c>
      <c r="AR90" s="53" t="inlineStr">
        <is>
          <t>OCR/Image procesing</t>
        </is>
      </c>
      <c r="AS90" s="53" t="inlineStr">
        <is>
          <t>Non-technical</t>
        </is>
      </c>
      <c r="AT90" s="53" t="n">
        <v>20</v>
      </c>
      <c r="AU90" s="53" t="inlineStr">
        <is>
          <t>Covered</t>
        </is>
      </c>
      <c r="AV90" s="53" t="inlineStr">
        <is>
          <t>IRISC332</t>
        </is>
      </c>
      <c r="AW90" s="53" t="inlineStr">
        <is>
          <t>Aditya Kumar Diwakar</t>
        </is>
      </c>
      <c r="AX90" s="53" t="inlineStr">
        <is>
          <t>Digitizing</t>
        </is>
      </c>
      <c r="AY90" s="53" t="inlineStr">
        <is>
          <t>Professional Services</t>
        </is>
      </c>
      <c r="AZ90" s="53" t="inlineStr">
        <is>
          <t>Digitization &amp; Image Processing</t>
        </is>
      </c>
      <c r="BA90" s="53" t="n"/>
      <c r="BB90" s="53" t="n"/>
      <c r="BC90" s="53" t="inlineStr">
        <is>
          <t>On Contract</t>
        </is>
      </c>
      <c r="BD90" s="53" t="inlineStr">
        <is>
          <t>Dinesh Sharma</t>
        </is>
      </c>
      <c r="BE90" s="53" t="inlineStr">
        <is>
          <t>Datta Anand Hatagale</t>
        </is>
      </c>
      <c r="BF90" s="53" t="inlineStr">
        <is>
          <t>No</t>
        </is>
      </c>
      <c r="BG90" s="53" t="inlineStr">
        <is>
          <t>Consultant</t>
        </is>
      </c>
      <c r="BH90" s="53" t="inlineStr">
        <is>
          <t>Consultant</t>
        </is>
      </c>
      <c r="BI90" s="53" t="inlineStr">
        <is>
          <t>No</t>
        </is>
      </c>
      <c r="BJ90" s="53" t="inlineStr">
        <is>
          <t>—</t>
        </is>
      </c>
      <c r="BK90" s="53" t="inlineStr">
        <is>
          <t>—</t>
        </is>
      </c>
      <c r="BL90" s="53" t="inlineStr">
        <is>
          <t>—</t>
        </is>
      </c>
      <c r="BM90" s="53" t="inlineStr">
        <is>
          <t>Not a manager</t>
        </is>
      </c>
      <c r="BN90" s="53" t="inlineStr">
        <is>
          <t>—</t>
        </is>
      </c>
      <c r="BO90" s="53" t="inlineStr">
        <is>
          <t>—</t>
        </is>
      </c>
      <c r="BP90" s="53" t="inlineStr">
        <is>
          <t>—</t>
        </is>
      </c>
      <c r="BQ90" s="53" t="inlineStr">
        <is>
          <t>Not a manager</t>
        </is>
      </c>
      <c r="BR90" s="53" t="inlineStr">
        <is>
          <t>—</t>
        </is>
      </c>
      <c r="BS90" s="53" t="inlineStr">
        <is>
          <t>L3 – Professional / Associate</t>
        </is>
      </c>
      <c r="BT90" s="53" t="inlineStr">
        <is>
          <t>L3 – Professional / Associate</t>
        </is>
      </c>
      <c r="BU90" s="53" t="inlineStr">
        <is>
          <t>No designation change — current record value carried forward</t>
        </is>
      </c>
      <c r="BV90"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90" s="53" t="n"/>
      <c r="BX90" s="53" t="inlineStr">
        <is>
          <t>Netherland - KVK; Europe - ESEF · On Contract.</t>
        </is>
      </c>
      <c r="BY90" s="53" t="n"/>
      <c r="BZ90" s="53" t="inlineStr">
        <is>
          <t>IRISC332</t>
        </is>
      </c>
      <c r="CA90" s="53" t="inlineStr">
        <is>
          <t>On Contract</t>
        </is>
      </c>
      <c r="CB90" s="53" t="inlineStr">
        <is>
          <t>Active</t>
        </is>
      </c>
      <c r="CC90" s="53" t="inlineStr">
        <is>
          <t>Aditya Kumar Diwakar</t>
        </is>
      </c>
      <c r="CD90" s="54" t="n">
        <v>46034</v>
      </c>
      <c r="CE90" s="53" t="inlineStr">
        <is>
          <t>Consultant</t>
        </is>
      </c>
      <c r="CF90" s="53" t="n"/>
      <c r="CG90" s="53" t="inlineStr">
        <is>
          <t>Professional Services</t>
        </is>
      </c>
      <c r="CH90" s="53" t="inlineStr">
        <is>
          <t>Digitization &amp; Image Processing</t>
        </is>
      </c>
      <c r="CI90" s="53" t="inlineStr">
        <is>
          <t>Consultant</t>
        </is>
      </c>
      <c r="CJ90" s="53" t="inlineStr">
        <is>
          <t>L3 – Professional / Associate</t>
        </is>
      </c>
      <c r="CK90" s="53" t="inlineStr">
        <is>
          <t>Dinesh Sharma</t>
        </is>
      </c>
      <c r="CL90" s="53" t="inlineStr">
        <is>
          <t>N-7</t>
        </is>
      </c>
      <c r="CM90" s="53" t="inlineStr">
        <is>
          <t>Individual Contributor</t>
        </is>
      </c>
      <c r="CN90" s="53" t="inlineStr">
        <is>
          <t>Regtech</t>
        </is>
      </c>
      <c r="CO90" s="53" t="inlineStr">
        <is>
          <t>Digitizing</t>
        </is>
      </c>
      <c r="CP90" s="53" t="inlineStr">
        <is>
          <t>0 years, 5 months, 8 days</t>
        </is>
      </c>
      <c r="CQ90" s="53" t="inlineStr">
        <is>
          <t>Consultant</t>
        </is>
      </c>
      <c r="CR90" s="53" t="n"/>
      <c r="CS90" s="53" t="n">
        <v>3</v>
      </c>
      <c r="CT90" s="53" t="inlineStr">
        <is>
          <t>Medium</t>
        </is>
      </c>
      <c r="CU90" s="53" t="inlineStr">
        <is>
          <t>Core Contributor</t>
        </is>
      </c>
      <c r="CV90" s="53" t="inlineStr">
        <is>
          <t>No</t>
        </is>
      </c>
      <c r="CW90" s="53" t="inlineStr">
        <is>
          <t>No</t>
        </is>
      </c>
      <c r="CX90" s="53" t="inlineStr">
        <is>
          <t>Yes</t>
        </is>
      </c>
      <c r="CY90" s="53" t="n"/>
      <c r="CZ90" s="53" t="n"/>
      <c r="DA90" s="53" t="n"/>
      <c r="DB90" s="53" t="n"/>
      <c r="DC90" s="53" t="n"/>
      <c r="DD90" s="53" t="n"/>
      <c r="DE90" s="53" t="n"/>
      <c r="DF90" s="53" t="n"/>
      <c r="DG90" s="53" t="n"/>
      <c r="DH90" s="53" t="n"/>
      <c r="DI90" s="53" t="n"/>
      <c r="DJ90" s="53" t="n"/>
      <c r="DK90" s="53" t="n"/>
      <c r="DL90" s="53" t="n"/>
      <c r="DM90" s="53" t="n"/>
      <c r="DN90" s="53" t="n"/>
      <c r="DO90" s="53" t="n"/>
      <c r="DP90" s="53" t="n"/>
      <c r="DQ90" s="53" t="n"/>
      <c r="DR90" s="53" t="n"/>
      <c r="DS90" s="53" t="n"/>
      <c r="DT90" s="53" t="n"/>
      <c r="DU90" s="53" t="n"/>
      <c r="DV90" s="53" t="n"/>
      <c r="DW90" s="53" t="n"/>
      <c r="DX90" s="53" t="n"/>
      <c r="DY90" s="53" t="n"/>
      <c r="DZ90" s="53" t="n"/>
      <c r="EA90" s="53" t="n"/>
      <c r="EB90" s="53" t="n"/>
      <c r="EC90" s="53" t="n"/>
      <c r="ED90" s="53" t="n"/>
      <c r="EE90" s="53" t="n"/>
      <c r="EF90" s="53" t="n"/>
      <c r="EG90" s="53" t="n"/>
      <c r="EH90" s="53" t="n"/>
      <c r="EI90" s="53" t="n"/>
      <c r="EJ90" s="53" t="n"/>
      <c r="EK90" s="53" t="n"/>
      <c r="EL90" s="53" t="n"/>
      <c r="EM90" s="53" t="n"/>
      <c r="EN90" s="53" t="n"/>
      <c r="EO90" s="53" t="n"/>
      <c r="EP90" s="53" t="n"/>
      <c r="EQ90" s="53" t="n"/>
      <c r="ER90" s="53" t="n"/>
      <c r="ES90" s="53" t="n"/>
      <c r="ET90" s="53" t="n"/>
      <c r="EU90" s="53" t="n"/>
      <c r="EV90" s="53" t="n"/>
      <c r="EW90" s="52" t="n"/>
      <c r="EX90" s="53" t="inlineStr">
        <is>
          <t>• Role / sub-team: Digitizing Assisted service.</t>
        </is>
      </c>
      <c r="EY90" s="53" t="inlineStr">
        <is>
          <t>• Key responsibilities include: Esef Formatting check ,kvk. and Eu dm formatting check.
• Reported deliverables and outcomes include: Esef and Dm project file ofter Formatting check next process team leader.</t>
        </is>
      </c>
      <c r="EZ90" s="53" t="inlineStr">
        <is>
          <t>• Current capabilities: Communication skill; Tools / software used: Disclosure Management - DM - Word editor.</t>
        </is>
      </c>
      <c r="FA90" s="53" t="inlineStr">
        <is>
          <t>• Communications skills.
• Presentation skills.</t>
        </is>
      </c>
      <c r="FB90" s="53" t="inlineStr">
        <is>
          <t>• Key challenges: Quality of report, RDP issue.
• Support required: No input received.</t>
        </is>
      </c>
      <c r="FC90" s="53" t="n"/>
      <c r="FD90" s="53" t="n"/>
      <c r="FE90"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90" s="56" t="n"/>
      <c r="FG90" s="56" t="n"/>
      <c r="FH90" s="56" t="n"/>
      <c r="FI90" s="56" t="n"/>
      <c r="FJ90" s="56" t="inlineStr">
        <is>
          <t>Received · manager annual</t>
        </is>
      </c>
      <c r="FK90" s="56" t="inlineStr">
        <is>
          <t>CARBON Mapping Master</t>
        </is>
      </c>
      <c r="FL90" s="56" t="n">
        <v>18</v>
      </c>
      <c r="FM90" s="56" t="inlineStr">
        <is>
          <t>• Role / sub-team: Digitizing Assisted service.</t>
        </is>
      </c>
      <c r="FN90" s="56" t="inlineStr">
        <is>
          <t>• Key responsibilities include: Esef Formatting check ,kvk. and Eu dm formatting check.
• Reported deliverables and outcomes include: Esef and Dm project file ofter Formatting check next process team leader.</t>
        </is>
      </c>
      <c r="FO90" s="56" t="inlineStr">
        <is>
          <t>• Current capabilities: Communication skill; Tools / software used: Disclosure Management - DM - Word editor.</t>
        </is>
      </c>
      <c r="FP90" s="56" t="inlineStr">
        <is>
          <t>• Communications skills.
• Presentation skills.</t>
        </is>
      </c>
      <c r="FQ90" s="56" t="inlineStr">
        <is>
          <t>• Key challenges: Quality of report, RDP issue.
• Support required: No input received.</t>
        </is>
      </c>
      <c r="FR90" s="56" t="inlineStr">
        <is>
          <t>Business Impact: Moved +0.5: the survey / manager mapping marks it business-critical.</t>
        </is>
      </c>
      <c r="FS90"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90" s="56" t="inlineStr">
        <is>
          <t>Self-identified: Communication &amp; presentation
For the next role: Communication &amp; presentation</t>
        </is>
      </c>
      <c r="FU90" s="56" t="inlineStr">
        <is>
          <t>Per-person summary · CARBON Mapping Master</t>
        </is>
      </c>
    </row>
    <row r="91" ht="90" customHeight="1">
      <c r="A91" s="51" t="inlineStr">
        <is>
          <t>◂ Back</t>
        </is>
      </c>
      <c r="B91" s="29" t="inlineStr">
        <is>
          <t>Mapped</t>
        </is>
      </c>
      <c r="C91" s="28" t="inlineStr">
        <is>
          <t>CARBON</t>
        </is>
      </c>
      <c r="D91" s="29" t="inlineStr">
        <is>
          <t>IRISC324</t>
        </is>
      </c>
      <c r="E91" s="29" t="inlineStr">
        <is>
          <t>Kajal Srivastava</t>
        </is>
      </c>
      <c r="F91" s="29" t="inlineStr">
        <is>
          <t>Digitizing</t>
        </is>
      </c>
      <c r="G91" s="29" t="inlineStr">
        <is>
          <t>Consultant</t>
        </is>
      </c>
      <c r="H91" s="29" t="inlineStr">
        <is>
          <t>Digitization Associate</t>
        </is>
      </c>
      <c r="I91" s="29" t="inlineStr">
        <is>
          <t>L3 – Professional / Associate</t>
        </is>
      </c>
      <c r="J91" s="29" t="inlineStr">
        <is>
          <t>A2</t>
        </is>
      </c>
      <c r="K91" s="29" t="inlineStr">
        <is>
          <t>• Same level</t>
        </is>
      </c>
      <c r="L91" s="29" t="inlineStr">
        <is>
          <t>Data Operations &amp; Digitization</t>
        </is>
      </c>
      <c r="M91" s="29" t="inlineStr">
        <is>
          <t>Document Conversion, Formatting &amp; Web Publishing</t>
        </is>
      </c>
      <c r="N91" s="29" t="n"/>
      <c r="O91" s="29" t="n">
        <v>19</v>
      </c>
      <c r="P91" s="28" t="inlineStr">
        <is>
          <t>P1–P2</t>
        </is>
      </c>
      <c r="Q91" s="29" t="inlineStr">
        <is>
          <t>Entry / Developing</t>
        </is>
      </c>
      <c r="R91" s="29" t="inlineStr">
        <is>
          <t>2 Assist</t>
        </is>
      </c>
      <c r="S91" s="29" t="inlineStr">
        <is>
          <t>0–2 yrs</t>
        </is>
      </c>
      <c r="T91" s="29" t="inlineStr">
        <is>
          <t>1–3 · 0–3</t>
        </is>
      </c>
      <c r="U91" s="29" t="inlineStr">
        <is>
          <t>Associate / Processor / Senior Associate</t>
        </is>
      </c>
      <c r="V91" s="29" t="inlineStr">
        <is>
          <t>DataTracks: Associate · Accenture Operations: L11 Analyst · IRIS Vs Competitor Benchmark — operations roles: Processor / Agent</t>
        </is>
      </c>
      <c r="W91" s="29" t="inlineStr">
        <is>
          <t>COPC CX Standard · leadership &amp; planning, people, processes, performance; ISO 9001; Lean / Six Sigma</t>
        </is>
      </c>
      <c r="X91" s="29" t="inlineStr">
        <is>
          <t>Core 2 · Future 2 · Functional 2 · Leadership not scored</t>
        </is>
      </c>
      <c r="Y91" s="52" t="n">
        <v>422</v>
      </c>
      <c r="Z91" s="53" t="inlineStr">
        <is>
          <t>IRISC324</t>
        </is>
      </c>
      <c r="AA91" s="53" t="inlineStr">
        <is>
          <t>On Contract</t>
        </is>
      </c>
      <c r="AB91" s="53" t="inlineStr">
        <is>
          <t>Active</t>
        </is>
      </c>
      <c r="AC91" s="53" t="inlineStr">
        <is>
          <t>Kajal Srivastava</t>
        </is>
      </c>
      <c r="AD91" s="54" t="n">
        <v>46006</v>
      </c>
      <c r="AE91" s="53" t="inlineStr">
        <is>
          <t>Consultant</t>
        </is>
      </c>
      <c r="AF91" s="53" t="inlineStr">
        <is>
          <t>B.Com</t>
        </is>
      </c>
      <c r="AG91" s="53" t="inlineStr">
        <is>
          <t>Dinesh Sharma</t>
        </is>
      </c>
      <c r="AH91" s="53" t="inlineStr">
        <is>
          <t>N-7</t>
        </is>
      </c>
      <c r="AI91" s="53" t="inlineStr">
        <is>
          <t>Individual Contributor</t>
        </is>
      </c>
      <c r="AJ91" s="53" t="inlineStr">
        <is>
          <t>0 years, 6 months, 0 days</t>
        </is>
      </c>
      <c r="AK91" s="53" t="inlineStr">
        <is>
          <t>0 years, 8 months, 10 days</t>
        </is>
      </c>
      <c r="AL91" s="53" t="inlineStr">
        <is>
          <t>Regtech</t>
        </is>
      </c>
      <c r="AM91" s="53" t="inlineStr">
        <is>
          <t>CARBON</t>
        </is>
      </c>
      <c r="AN91" s="53" t="inlineStr">
        <is>
          <t>Digitizing</t>
        </is>
      </c>
      <c r="AO91" s="53" t="inlineStr">
        <is>
          <t>Digitizing Assisted services</t>
        </is>
      </c>
      <c r="AP91" s="53" t="inlineStr">
        <is>
          <t>No</t>
        </is>
      </c>
      <c r="AQ91" s="53" t="inlineStr">
        <is>
          <t>Professional Services</t>
        </is>
      </c>
      <c r="AR91" s="53" t="inlineStr">
        <is>
          <t>OCR/Image procesing</t>
        </is>
      </c>
      <c r="AS91" s="53" t="inlineStr">
        <is>
          <t>Non-technical</t>
        </is>
      </c>
      <c r="AT91" s="53" t="n">
        <v>20</v>
      </c>
      <c r="AU91" s="53" t="inlineStr">
        <is>
          <t>Covered</t>
        </is>
      </c>
      <c r="AV91" s="53" t="inlineStr">
        <is>
          <t>IRISC324</t>
        </is>
      </c>
      <c r="AW91" s="53" t="inlineStr">
        <is>
          <t>Kajal Srivastava</t>
        </is>
      </c>
      <c r="AX91" s="53" t="inlineStr">
        <is>
          <t>Digitizing</t>
        </is>
      </c>
      <c r="AY91" s="53" t="inlineStr">
        <is>
          <t>Professional Services</t>
        </is>
      </c>
      <c r="AZ91" s="53" t="inlineStr">
        <is>
          <t>Digitization &amp; Image Processing</t>
        </is>
      </c>
      <c r="BA91" s="53" t="n"/>
      <c r="BB91" s="53" t="n"/>
      <c r="BC91" s="53" t="inlineStr">
        <is>
          <t>On Contract</t>
        </is>
      </c>
      <c r="BD91" s="53" t="inlineStr">
        <is>
          <t>Janardan Bale</t>
        </is>
      </c>
      <c r="BE91" s="53" t="inlineStr">
        <is>
          <t>Janardan Krishna Bale</t>
        </is>
      </c>
      <c r="BF91" s="53" t="inlineStr">
        <is>
          <t>No</t>
        </is>
      </c>
      <c r="BG91" s="53" t="inlineStr">
        <is>
          <t>Consultant</t>
        </is>
      </c>
      <c r="BH91" s="53" t="inlineStr">
        <is>
          <t>Consultant</t>
        </is>
      </c>
      <c r="BI91" s="53" t="inlineStr">
        <is>
          <t>No</t>
        </is>
      </c>
      <c r="BJ91" s="53" t="inlineStr">
        <is>
          <t>—</t>
        </is>
      </c>
      <c r="BK91" s="53" t="inlineStr">
        <is>
          <t>—</t>
        </is>
      </c>
      <c r="BL91" s="53" t="inlineStr">
        <is>
          <t>—</t>
        </is>
      </c>
      <c r="BM91" s="53" t="inlineStr">
        <is>
          <t>Not a manager</t>
        </is>
      </c>
      <c r="BN91" s="53" t="inlineStr">
        <is>
          <t>—</t>
        </is>
      </c>
      <c r="BO91" s="53" t="inlineStr">
        <is>
          <t>—</t>
        </is>
      </c>
      <c r="BP91" s="53" t="inlineStr">
        <is>
          <t>—</t>
        </is>
      </c>
      <c r="BQ91" s="53" t="inlineStr">
        <is>
          <t>Not a manager</t>
        </is>
      </c>
      <c r="BR91" s="53" t="inlineStr">
        <is>
          <t>—</t>
        </is>
      </c>
      <c r="BS91" s="53" t="inlineStr">
        <is>
          <t>L3 – Professional / Associate</t>
        </is>
      </c>
      <c r="BT91" s="53" t="inlineStr">
        <is>
          <t>L3 – Professional / Associate</t>
        </is>
      </c>
      <c r="BU91" s="53" t="inlineStr">
        <is>
          <t>No designation change — current record value carried forward</t>
        </is>
      </c>
      <c r="BV9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91" s="53" t="n"/>
      <c r="BX91" s="53" t="inlineStr">
        <is>
          <t>Europe - ESEF, USA - SEC · On Contract</t>
        </is>
      </c>
      <c r="BY91" s="53" t="n"/>
      <c r="BZ91" s="53" t="inlineStr">
        <is>
          <t>IRISC324</t>
        </is>
      </c>
      <c r="CA91" s="53" t="inlineStr">
        <is>
          <t>On Contract</t>
        </is>
      </c>
      <c r="CB91" s="53" t="inlineStr">
        <is>
          <t>Active</t>
        </is>
      </c>
      <c r="CC91" s="53" t="inlineStr">
        <is>
          <t>Kajal Srivastava</t>
        </is>
      </c>
      <c r="CD91" s="54" t="n">
        <v>46006</v>
      </c>
      <c r="CE91" s="53" t="inlineStr">
        <is>
          <t>Consultant</t>
        </is>
      </c>
      <c r="CF91" s="53" t="n"/>
      <c r="CG91" s="53" t="inlineStr">
        <is>
          <t>Professional Services</t>
        </is>
      </c>
      <c r="CH91" s="53" t="inlineStr">
        <is>
          <t>Digitization &amp; Image Processing</t>
        </is>
      </c>
      <c r="CI91" s="53" t="inlineStr">
        <is>
          <t>Consultant</t>
        </is>
      </c>
      <c r="CJ91" s="53" t="inlineStr">
        <is>
          <t>L3 – Professional / Associate</t>
        </is>
      </c>
      <c r="CK91" s="53" t="inlineStr">
        <is>
          <t>Janardan Bale</t>
        </is>
      </c>
      <c r="CL91" s="53" t="inlineStr">
        <is>
          <t>N-7</t>
        </is>
      </c>
      <c r="CM91" s="53" t="inlineStr">
        <is>
          <t>Individual Contributor</t>
        </is>
      </c>
      <c r="CN91" s="53" t="inlineStr">
        <is>
          <t>Regtech</t>
        </is>
      </c>
      <c r="CO91" s="53" t="inlineStr">
        <is>
          <t>Digitizing</t>
        </is>
      </c>
      <c r="CP91" s="53" t="inlineStr">
        <is>
          <t>1 years, 0 months, 5 days</t>
        </is>
      </c>
      <c r="CQ91" s="53" t="inlineStr">
        <is>
          <t>Consultant</t>
        </is>
      </c>
      <c r="CR91" s="53" t="n"/>
      <c r="CS91" s="53" t="n">
        <v>3</v>
      </c>
      <c r="CT91" s="53" t="inlineStr">
        <is>
          <t>Medium</t>
        </is>
      </c>
      <c r="CU91" s="53" t="inlineStr">
        <is>
          <t>Core Contributor</t>
        </is>
      </c>
      <c r="CV91" s="53" t="inlineStr">
        <is>
          <t>No</t>
        </is>
      </c>
      <c r="CW91" s="53" t="inlineStr">
        <is>
          <t>No</t>
        </is>
      </c>
      <c r="CX91" s="53" t="inlineStr">
        <is>
          <t>Yes</t>
        </is>
      </c>
      <c r="CY91" s="53" t="n"/>
      <c r="CZ91" s="53" t="n"/>
      <c r="DA91" s="53" t="n"/>
      <c r="DB91" s="53" t="n"/>
      <c r="DC91" s="53" t="n"/>
      <c r="DD91" s="53" t="n"/>
      <c r="DE91" s="53" t="n"/>
      <c r="DF91" s="53" t="n"/>
      <c r="DG91" s="53" t="n"/>
      <c r="DH91" s="53" t="n"/>
      <c r="DI91" s="53" t="n"/>
      <c r="DJ91" s="53" t="n"/>
      <c r="DK91" s="53" t="n"/>
      <c r="DL91" s="53" t="n"/>
      <c r="DM91" s="53" t="n"/>
      <c r="DN91" s="53" t="n"/>
      <c r="DO91" s="53" t="n"/>
      <c r="DP91" s="53" t="n"/>
      <c r="DQ91" s="53" t="n"/>
      <c r="DR91" s="53" t="n"/>
      <c r="DS91" s="53" t="n"/>
      <c r="DT91" s="53" t="n"/>
      <c r="DU91" s="53" t="n"/>
      <c r="DV91" s="53" t="n"/>
      <c r="DW91" s="53" t="n"/>
      <c r="DX91" s="53" t="n"/>
      <c r="DY91" s="53" t="n"/>
      <c r="DZ91" s="53" t="n"/>
      <c r="EA91" s="53" t="n"/>
      <c r="EB91" s="53" t="n"/>
      <c r="EC91" s="53" t="n"/>
      <c r="ED91" s="53" t="n"/>
      <c r="EE91" s="53" t="n"/>
      <c r="EF91" s="53" t="n"/>
      <c r="EG91" s="53" t="n"/>
      <c r="EH91" s="53" t="n"/>
      <c r="EI91" s="53" t="n"/>
      <c r="EJ91" s="53" t="n"/>
      <c r="EK91" s="53" t="n"/>
      <c r="EL91" s="53" t="n"/>
      <c r="EM91" s="53" t="n"/>
      <c r="EN91" s="53" t="n"/>
      <c r="EO91" s="53" t="n"/>
      <c r="EP91" s="53" t="n"/>
      <c r="EQ91" s="53" t="n"/>
      <c r="ER91" s="53" t="n"/>
      <c r="ES91" s="53" t="n"/>
      <c r="ET91" s="53" t="n"/>
      <c r="EU91" s="53" t="n"/>
      <c r="EV91" s="53" t="n"/>
      <c r="EW91" s="52" t="n"/>
      <c r="EX91" s="53" t="inlineStr">
        <is>
          <t>• Role / sub-team: Digitizing Assited Services.</t>
        </is>
      </c>
      <c r="EY91" s="53" t="inlineStr">
        <is>
          <t>• Key responsibilities include: Perform ed formatting &amp; quality review of Europe - ESEF documents using Carbon &amp; DM tool.
• Key responsibilities include: Perform ed formatting &amp; quality review of US documents using Carbon &amp; DM tool.</t>
        </is>
      </c>
      <c r="EZ91" s="53" t="inlineStr">
        <is>
          <t>• Current capabilities: Tools knowledge Carbon &amp; DM</t>
        </is>
      </c>
      <c r="FA91" s="53" t="inlineStr">
        <is>
          <t>• Communications skills.
• Presentation skills.</t>
        </is>
      </c>
      <c r="FB91" s="53" t="inlineStr">
        <is>
          <t>• Key challenges: Quality of report, RDP issue.
• Support required: Input not given by Participant.</t>
        </is>
      </c>
      <c r="FC91" s="53" t="n"/>
      <c r="FD91" s="53" t="n"/>
      <c r="FE9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91" s="56" t="n"/>
      <c r="FG91" s="56" t="n"/>
      <c r="FH91" s="56" t="n"/>
      <c r="FI91" s="56" t="n"/>
      <c r="FJ91" s="56" t="inlineStr">
        <is>
          <t>Received · manager annual</t>
        </is>
      </c>
      <c r="FK91" s="56" t="inlineStr">
        <is>
          <t>CARBON Mapping Master</t>
        </is>
      </c>
      <c r="FL91" s="56" t="n">
        <v>19</v>
      </c>
      <c r="FM91" s="56" t="inlineStr">
        <is>
          <t>• Role / sub-team: Digitizing Assited Services.</t>
        </is>
      </c>
      <c r="FN91" s="56" t="inlineStr">
        <is>
          <t>• Key responsibilities include: Perform ed formatting &amp; quality review of Europe - ESEF documents using Carbon &amp; DM tool.
• Key responsibilities include: Perform ed formatting &amp; quality review of US documents using Carbon &amp; DM tool.</t>
        </is>
      </c>
      <c r="FO91" s="56" t="inlineStr">
        <is>
          <t>• Current capabilities: Tools knowledge Carbon &amp; DM</t>
        </is>
      </c>
      <c r="FP91" s="56" t="inlineStr">
        <is>
          <t>• Communications skills.
• Presentation skills.</t>
        </is>
      </c>
      <c r="FQ91" s="56" t="inlineStr">
        <is>
          <t>• Key challenges: Quality of report, RDP issue.
• Support required: Input not given by Participant.</t>
        </is>
      </c>
      <c r="FR91" s="56" t="inlineStr">
        <is>
          <t>Business Impact: Moved +0.5: the survey / manager mapping marks it business-critical.</t>
        </is>
      </c>
      <c r="FS91"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91" s="56" t="inlineStr">
        <is>
          <t>Self-identified: Project / programme management · Client, sales &amp; stakeholders · Communication &amp; presentation · Broader exposure &amp; ownership
For the next role: Project / programme management · Client, sales &amp; stakeholders · Communication &amp; presentation · Broader exposure &amp; ownership</t>
        </is>
      </c>
      <c r="FU91" s="56" t="inlineStr">
        <is>
          <t>Per-person summary · CARBON Mapping Master</t>
        </is>
      </c>
    </row>
    <row r="92" ht="90" customHeight="1">
      <c r="A92" s="51" t="inlineStr">
        <is>
          <t>◂ Back</t>
        </is>
      </c>
      <c r="B92" s="29" t="inlineStr">
        <is>
          <t>Mapped</t>
        </is>
      </c>
      <c r="C92" s="28" t="inlineStr">
        <is>
          <t>CARBON</t>
        </is>
      </c>
      <c r="D92" s="29" t="inlineStr">
        <is>
          <t>IRIS0117</t>
        </is>
      </c>
      <c r="E92" s="29" t="inlineStr">
        <is>
          <t>Prajakta Mokal</t>
        </is>
      </c>
      <c r="F92" s="29" t="inlineStr">
        <is>
          <t>Digitizing</t>
        </is>
      </c>
      <c r="G92" s="29" t="inlineStr">
        <is>
          <t>Image Processing Specialist</t>
        </is>
      </c>
      <c r="H92" s="29" t="inlineStr">
        <is>
          <t>Digitization Specialist – POD Lead</t>
        </is>
      </c>
      <c r="I92" s="29" t="inlineStr">
        <is>
          <t>L3 – Professional / Associate</t>
        </is>
      </c>
      <c r="J92" s="29" t="inlineStr">
        <is>
          <t>B1</t>
        </is>
      </c>
      <c r="K92" s="29" t="inlineStr">
        <is>
          <t>▲ Up</t>
        </is>
      </c>
      <c r="L92" s="29" t="inlineStr">
        <is>
          <t>Data Operations &amp; Digitization</t>
        </is>
      </c>
      <c r="M92" s="29" t="inlineStr">
        <is>
          <t>Document Conversion, Formatting &amp; Web Publishing</t>
        </is>
      </c>
      <c r="N92" s="29" t="n"/>
      <c r="O92" s="29" t="n">
        <v>20</v>
      </c>
      <c r="P92" s="28" t="inlineStr">
        <is>
          <t>P3 / M2</t>
        </is>
      </c>
      <c r="Q92" s="29" t="inlineStr">
        <is>
          <t>Career / · Team Lead</t>
        </is>
      </c>
      <c r="R92" s="29" t="inlineStr">
        <is>
          <t>4 Enable</t>
        </is>
      </c>
      <c r="S92" s="29" t="inlineStr">
        <is>
          <t>4–7 yrs</t>
        </is>
      </c>
      <c r="T92" s="29" t="inlineStr">
        <is>
          <t>5–8 · 4–8</t>
        </is>
      </c>
      <c r="U92" s="29" t="inlineStr">
        <is>
          <t>Specialist / QC Analyst</t>
        </is>
      </c>
      <c r="V92" s="29" t="inlineStr">
        <is>
          <t>Accenture Operations: L9 Team Lead · IRIS Vs Competitor Benchmark — operations roles: Team Lead / Quality Lead</t>
        </is>
      </c>
      <c r="W92" s="29" t="inlineStr">
        <is>
          <t>COPC CX Standard · leadership &amp; planning, people, processes, performance; ISO 9001; Lean / Six Sigma</t>
        </is>
      </c>
      <c r="X92" s="29" t="inlineStr">
        <is>
          <t>Core 3 · Future 3 · Functional 3 · Leadership 2</t>
        </is>
      </c>
      <c r="Y92" s="52" t="n">
        <v>26</v>
      </c>
      <c r="Z92" s="53" t="inlineStr">
        <is>
          <t>IRIS0117</t>
        </is>
      </c>
      <c r="AA92" s="53" t="inlineStr">
        <is>
          <t>Employee</t>
        </is>
      </c>
      <c r="AB92" s="53" t="inlineStr">
        <is>
          <t>Active</t>
        </is>
      </c>
      <c r="AC92" s="53" t="inlineStr">
        <is>
          <t>Prajakta Mokal</t>
        </is>
      </c>
      <c r="AD92" s="54" t="n">
        <v>39326</v>
      </c>
      <c r="AE92" s="53" t="inlineStr">
        <is>
          <t>Image Processing Specialist</t>
        </is>
      </c>
      <c r="AF92" s="53" t="inlineStr">
        <is>
          <t>BA</t>
        </is>
      </c>
      <c r="AG92" s="53" t="inlineStr">
        <is>
          <t>Vijay Parulekar</t>
        </is>
      </c>
      <c r="AH92" s="53" t="inlineStr">
        <is>
          <t>N-6</t>
        </is>
      </c>
      <c r="AI92" s="53" t="inlineStr">
        <is>
          <t>Manager</t>
        </is>
      </c>
      <c r="AJ92" s="53" t="inlineStr">
        <is>
          <t>0 years, 5 months, 0 days</t>
        </is>
      </c>
      <c r="AK92" s="53" t="inlineStr">
        <is>
          <t>18 years, 11 months, 24 days</t>
        </is>
      </c>
      <c r="AL92" s="53" t="inlineStr">
        <is>
          <t>Regtech</t>
        </is>
      </c>
      <c r="AM92" s="53" t="inlineStr">
        <is>
          <t>CARBON</t>
        </is>
      </c>
      <c r="AN92" s="53" t="inlineStr">
        <is>
          <t>Digitizing</t>
        </is>
      </c>
      <c r="AO92" s="53" t="inlineStr">
        <is>
          <t>Digitizing Assisted services</t>
        </is>
      </c>
      <c r="AP92" s="53" t="inlineStr">
        <is>
          <t>No</t>
        </is>
      </c>
      <c r="AQ92" s="53" t="inlineStr">
        <is>
          <t>Professional Services</t>
        </is>
      </c>
      <c r="AR92" s="53" t="inlineStr">
        <is>
          <t>OCR/Image procesing</t>
        </is>
      </c>
      <c r="AS92" s="53" t="inlineStr">
        <is>
          <t>Non-technical</t>
        </is>
      </c>
      <c r="AT92" s="53" t="n">
        <v>20</v>
      </c>
      <c r="AU92" s="53" t="inlineStr">
        <is>
          <t>Covered</t>
        </is>
      </c>
      <c r="AV92" s="53" t="inlineStr">
        <is>
          <t>IRIS0117</t>
        </is>
      </c>
      <c r="AW92" s="53" t="inlineStr">
        <is>
          <t>Prajakta Mokal</t>
        </is>
      </c>
      <c r="AX92" s="53" t="inlineStr">
        <is>
          <t>Digitizing</t>
        </is>
      </c>
      <c r="AY92" s="53" t="inlineStr">
        <is>
          <t>Professional Services</t>
        </is>
      </c>
      <c r="AZ92" s="53" t="inlineStr">
        <is>
          <t>Digitization &amp; Image Processing</t>
        </is>
      </c>
      <c r="BA92" s="53" t="n"/>
      <c r="BB92" s="53" t="n"/>
      <c r="BC92" s="53" t="inlineStr">
        <is>
          <t>Employee</t>
        </is>
      </c>
      <c r="BD92" s="53" t="inlineStr">
        <is>
          <t>Vijay Parulekar</t>
        </is>
      </c>
      <c r="BE92" s="53" t="inlineStr">
        <is>
          <t>Vijay Digamber Parulekar</t>
        </is>
      </c>
      <c r="BF92" s="53" t="inlineStr">
        <is>
          <t>No</t>
        </is>
      </c>
      <c r="BG92" s="53" t="inlineStr">
        <is>
          <t>Image Processing Specialist</t>
        </is>
      </c>
      <c r="BH92" s="53" t="inlineStr">
        <is>
          <t>Digitizing Lead</t>
        </is>
      </c>
      <c r="BI92" s="53" t="inlineStr">
        <is>
          <t>Yes</t>
        </is>
      </c>
      <c r="BJ92" s="53" t="n">
        <v>3</v>
      </c>
      <c r="BK92" s="53" t="n">
        <v>2</v>
      </c>
      <c r="BL92" s="53" t="n">
        <v>1</v>
      </c>
      <c r="BM92" s="53" t="inlineStr">
        <is>
          <t>Review</t>
        </is>
      </c>
      <c r="BN92" s="53" t="n">
        <v>3</v>
      </c>
      <c r="BO92" s="53" t="n">
        <v>2</v>
      </c>
      <c r="BP92" s="53" t="n">
        <v>1</v>
      </c>
      <c r="BQ92" s="53" t="inlineStr">
        <is>
          <t>Review</t>
        </is>
      </c>
      <c r="BR92" s="53" t="inlineStr">
        <is>
          <t>No</t>
        </is>
      </c>
      <c r="BS92" s="53" t="inlineStr">
        <is>
          <t>L3 – Professional / Associate</t>
        </is>
      </c>
      <c r="BT92" s="53" t="inlineStr">
        <is>
          <t>L3</t>
        </is>
      </c>
      <c r="BU92" s="53" t="inlineStr">
        <is>
          <t>Designation refined from Raw tab Comments column · this update</t>
        </is>
      </c>
      <c r="BV92"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W92" s="53" t="n"/>
      <c r="BX92" s="53" t="inlineStr">
        <is>
          <t>South Africa - CIPC; India - MCA; Europe - ESEF; UK - HMRC.</t>
        </is>
      </c>
      <c r="BY92" s="53" t="n"/>
      <c r="BZ92" s="53" t="inlineStr">
        <is>
          <t>IRIS0117</t>
        </is>
      </c>
      <c r="CA92" s="53" t="inlineStr">
        <is>
          <t>Employee</t>
        </is>
      </c>
      <c r="CB92" s="53" t="inlineStr">
        <is>
          <t>Active</t>
        </is>
      </c>
      <c r="CC92" s="53" t="inlineStr">
        <is>
          <t>Prajakta Mokal</t>
        </is>
      </c>
      <c r="CD92" s="54" t="n">
        <v>39326</v>
      </c>
      <c r="CE92" s="53" t="inlineStr">
        <is>
          <t>Image Processing Specialist</t>
        </is>
      </c>
      <c r="CF92" s="53" t="n"/>
      <c r="CG92" s="53" t="inlineStr">
        <is>
          <t>Professional Services</t>
        </is>
      </c>
      <c r="CH92" s="53" t="inlineStr">
        <is>
          <t>Digitization &amp; Image Processing</t>
        </is>
      </c>
      <c r="CI92" s="53" t="inlineStr">
        <is>
          <t>Image Processing Specialist</t>
        </is>
      </c>
      <c r="CJ92" s="53" t="inlineStr">
        <is>
          <t>L3 – Professional / Associate</t>
        </is>
      </c>
      <c r="CK92" s="53" t="inlineStr">
        <is>
          <t>Vijay Parulekar</t>
        </is>
      </c>
      <c r="CL92" s="53" t="inlineStr">
        <is>
          <t>N-6</t>
        </is>
      </c>
      <c r="CM92" s="53" t="inlineStr">
        <is>
          <t>Player Cum Coach</t>
        </is>
      </c>
      <c r="CN92" s="53" t="inlineStr">
        <is>
          <t>Regtech</t>
        </is>
      </c>
      <c r="CO92" s="53" t="inlineStr">
        <is>
          <t>Digitizing</t>
        </is>
      </c>
      <c r="CP92" s="53" t="inlineStr">
        <is>
          <t>19 years, 2 months, 19 days</t>
        </is>
      </c>
      <c r="CQ92" s="53" t="inlineStr">
        <is>
          <t>Sr.Image Processing Specialist</t>
        </is>
      </c>
      <c r="CR92" s="53" t="n"/>
      <c r="CS92" s="53" t="n">
        <v>4</v>
      </c>
      <c r="CT92" s="53" t="inlineStr">
        <is>
          <t>High</t>
        </is>
      </c>
      <c r="CU92" s="53" t="inlineStr">
        <is>
          <t>Core Contributor</t>
        </is>
      </c>
      <c r="CV92" s="53" t="inlineStr">
        <is>
          <t>No</t>
        </is>
      </c>
      <c r="CW92" s="53" t="inlineStr">
        <is>
          <t>No</t>
        </is>
      </c>
      <c r="CX92" s="53" t="inlineStr">
        <is>
          <t>Yes</t>
        </is>
      </c>
      <c r="CY92" s="53" t="n"/>
      <c r="CZ92" s="53" t="n"/>
      <c r="DA92" s="53" t="n"/>
      <c r="DB92" s="53" t="inlineStr">
        <is>
          <t>Title to be changed to Digitizing Lead</t>
        </is>
      </c>
      <c r="DC92" s="53" t="n"/>
      <c r="DD92" s="53" t="n"/>
      <c r="DE92" s="53" t="n"/>
      <c r="DF92" s="53" t="n"/>
      <c r="DG92" s="53" t="n"/>
      <c r="DH92" s="53" t="n"/>
      <c r="DI92" s="53" t="n"/>
      <c r="DJ92" s="53" t="n"/>
      <c r="DK92" s="53" t="n"/>
      <c r="DL92" s="53" t="n"/>
      <c r="DM92" s="53" t="n"/>
      <c r="DN92" s="53" t="n"/>
      <c r="DO92" s="53" t="n"/>
      <c r="DP92" s="53" t="n"/>
      <c r="DQ92" s="53" t="n"/>
      <c r="DR92" s="53" t="n"/>
      <c r="DS92" s="53" t="n"/>
      <c r="DT92" s="53" t="n"/>
      <c r="DU92" s="53" t="n"/>
      <c r="DV92" s="53" t="n"/>
      <c r="DW92" s="53" t="n"/>
      <c r="DX92" s="53" t="n"/>
      <c r="DY92" s="53" t="n"/>
      <c r="DZ92" s="53" t="n"/>
      <c r="EA92" s="53" t="n"/>
      <c r="EB92" s="53" t="n"/>
      <c r="EC92" s="53" t="n"/>
      <c r="ED92" s="53" t="n"/>
      <c r="EE92" s="53" t="n"/>
      <c r="EF92" s="53" t="n"/>
      <c r="EG92" s="53" t="n"/>
      <c r="EH92" s="53" t="n"/>
      <c r="EI92" s="53" t="n"/>
      <c r="EJ92" s="53" t="n"/>
      <c r="EK92" s="53" t="n"/>
      <c r="EL92" s="53" t="n"/>
      <c r="EM92" s="53" t="n"/>
      <c r="EN92" s="53" t="n"/>
      <c r="EO92" s="53" t="n"/>
      <c r="EP92" s="53" t="n"/>
      <c r="EQ92" s="53" t="n"/>
      <c r="ER92" s="53" t="n"/>
      <c r="ES92" s="53" t="n"/>
      <c r="ET92" s="53" t="n"/>
      <c r="EU92" s="53" t="n"/>
      <c r="EV92" s="53" t="n"/>
      <c r="EW92" s="52" t="inlineStr">
        <is>
          <t>Talent Mapping's own 'Change Reporting' tab lists Emp ID IRIS0117 under the name 'Swara Swapnil Mhatre' · same manager - Vijay Parulekar/Vijay Digamber Parulekar, same designation - Image Processing Specialist, same department - Digitizing - as HR record 'Prajakta Mokal'. Treated as the same person. This profile merges two separate survey submissions from her: a fuller one under the name 'Swara Swapnil Mhatre' · no Employee ID given, and a mostly-blank one under her HR name 'Prajakta Mokal' with Employee ID IRIS0117 attached, which additionally named two tools · Microsoft Web Expression, Abbyy FineReader not mentioned in the other submission — both are now reflected in Current Capabilities rather than one submission silently overwriting the other.</t>
        </is>
      </c>
      <c r="EX92" s="53" t="inlineStr">
        <is>
          <t>• Role / sub-team: Digitizing Assisted Services.</t>
        </is>
      </c>
      <c r="EY92" s="53"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EZ92" s="53" t="inlineStr">
        <is>
          <t>• Current capabilities: Inter department communic; Tools / software used: HTML - Editor; Microsoft Web Expression; Abbyy FineReader.</t>
        </is>
      </c>
      <c r="FA92" s="53" t="inlineStr">
        <is>
          <t>• Communications skills.
• Presentation skills.</t>
        </is>
      </c>
      <c r="FB92" s="53" t="inlineStr">
        <is>
          <t>• Key challenges: Quality of Report.
• Support required: No input received.</t>
        </is>
      </c>
      <c r="FC92" s="53" t="n"/>
      <c r="FD92" s="53" t="n"/>
      <c r="FE92"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FF92" s="56" t="n"/>
      <c r="FG92" s="56" t="n"/>
      <c r="FH92" s="56" t="n"/>
      <c r="FI92" s="56" t="n"/>
      <c r="FJ92" s="56" t="inlineStr">
        <is>
          <t>Received · manager annual</t>
        </is>
      </c>
      <c r="FK92" s="56" t="inlineStr">
        <is>
          <t>CARBON Mapping Master</t>
        </is>
      </c>
      <c r="FL92" s="56" t="n">
        <v>20</v>
      </c>
      <c r="FM92" s="56" t="inlineStr">
        <is>
          <t>• Role / sub-team: Digitizing Assisted Services.</t>
        </is>
      </c>
      <c r="FN92" s="56"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FO92" s="56" t="inlineStr">
        <is>
          <t>• Current capabilities: Inter department communic; Tools / software used: HTML - Editor; Microsoft Web Expression; Abbyy FineReader.</t>
        </is>
      </c>
      <c r="FP92" s="56" t="inlineStr">
        <is>
          <t>• Communications skills.
• Presentation skills.</t>
        </is>
      </c>
      <c r="FQ92" s="56" t="inlineStr">
        <is>
          <t>• Key challenges: Quality of Report.
• Support required: No input received.</t>
        </is>
      </c>
      <c r="FR92" s="56" t="inlineStr">
        <is>
          <t>Complexity: Evidence reads like A3: Checks received files, allocates by skill, OCR with AI app, QC, query solving → matches the start
Autonomy: Evidence reads like A3: Independent file allocation only in urgent or peak situations → matches the start
Accountability: Evidence reads like A3: File allocation and on-time conversion and delivery process → moved down 0.5
Leadership: Evidence reads like A3: Assigns files to team members and solves queries; 1 report → moved down 0.5
Business Impact: Moved +0.5: the survey / manager mapping marks it business-critical.</t>
        </is>
      </c>
      <c r="FS92"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92" s="56" t="inlineStr">
        <is>
          <t>Self-identified: Data, SQL &amp; analytics · Product &amp; tool knowledge · Communication &amp; presentation
For the next role: Data, SQL &amp; analytics · Product &amp; tool knowledge · Communication &amp; presentation</t>
        </is>
      </c>
      <c r="FU92" s="56" t="inlineStr">
        <is>
          <t>Per-person summary · CARBON Mapping Master</t>
        </is>
      </c>
    </row>
    <row r="93" ht="90" customHeight="1">
      <c r="A93" s="51" t="inlineStr">
        <is>
          <t>◂ Back</t>
        </is>
      </c>
      <c r="B93" s="29" t="inlineStr">
        <is>
          <t>Mapped</t>
        </is>
      </c>
      <c r="C93" s="28" t="inlineStr">
        <is>
          <t>CARBON</t>
        </is>
      </c>
      <c r="D93" s="29" t="inlineStr">
        <is>
          <t>IRISC131</t>
        </is>
      </c>
      <c r="E93" s="29" t="inlineStr">
        <is>
          <t>Vanita Gaikwad</t>
        </is>
      </c>
      <c r="F93" s="29" t="inlineStr">
        <is>
          <t>Digitizing</t>
        </is>
      </c>
      <c r="G93" s="29" t="inlineStr">
        <is>
          <t>Consultant</t>
        </is>
      </c>
      <c r="H93" s="29" t="inlineStr">
        <is>
          <t>Senior Digitization Associate</t>
        </is>
      </c>
      <c r="I93" s="29" t="inlineStr">
        <is>
          <t>L3 – Professional / Associate</t>
        </is>
      </c>
      <c r="J93" s="29" t="inlineStr">
        <is>
          <t>A3</t>
        </is>
      </c>
      <c r="K93" s="29" t="inlineStr">
        <is>
          <t>▲ Up</t>
        </is>
      </c>
      <c r="L93" s="29" t="inlineStr">
        <is>
          <t>Data Operations &amp; Digitization</t>
        </is>
      </c>
      <c r="M93" s="29" t="inlineStr">
        <is>
          <t>Document Conversion, Formatting &amp; Web Publishing</t>
        </is>
      </c>
      <c r="N93" s="29" t="inlineStr">
        <is>
          <t>• Correct the experience record — HR</t>
        </is>
      </c>
      <c r="O93" s="29" t="n">
        <v>19</v>
      </c>
      <c r="P93" s="28" t="inlineStr">
        <is>
          <t>P2</t>
        </is>
      </c>
      <c r="Q93" s="29" t="inlineStr">
        <is>
          <t>Developing</t>
        </is>
      </c>
      <c r="R93" s="29" t="inlineStr">
        <is>
          <t>3 Apply</t>
        </is>
      </c>
      <c r="S93" s="29" t="inlineStr">
        <is>
          <t>2–4 yrs</t>
        </is>
      </c>
      <c r="T93" s="29" t="inlineStr">
        <is>
          <t>3–5 · 2–5</t>
        </is>
      </c>
      <c r="U93" s="29" t="inlineStr">
        <is>
          <t>Senior Associate</t>
        </is>
      </c>
      <c r="V93" s="29" t="inlineStr">
        <is>
          <t>DataTracks: Senior Associate · 2–5 yrs · Accenture Operations: L10 Senior Analyst · IRIS Vs Competitor Benchmark — operations roles: Senior Processor / QC</t>
        </is>
      </c>
      <c r="W93" s="29" t="inlineStr">
        <is>
          <t>COPC CX Standard · leadership &amp; planning, people, processes, performance; ISO 9001; Lean / Six Sigma</t>
        </is>
      </c>
      <c r="X93" s="29" t="inlineStr">
        <is>
          <t>Core 2 · Future 2 · Functional 3 · Leadership not scored</t>
        </is>
      </c>
      <c r="Y93" s="52" t="n">
        <v>152</v>
      </c>
      <c r="Z93" s="53" t="inlineStr">
        <is>
          <t>IRISC131</t>
        </is>
      </c>
      <c r="AA93" s="53" t="inlineStr">
        <is>
          <t>On Contract</t>
        </is>
      </c>
      <c r="AB93" s="53" t="inlineStr">
        <is>
          <t>Active</t>
        </is>
      </c>
      <c r="AC93" s="53" t="inlineStr">
        <is>
          <t>Vanita Gaikwad</t>
        </is>
      </c>
      <c r="AD93" s="54" t="n">
        <v>43402</v>
      </c>
      <c r="AE93" s="53" t="inlineStr">
        <is>
          <t>Consultant</t>
        </is>
      </c>
      <c r="AF93" s="53" t="inlineStr">
        <is>
          <t>BA</t>
        </is>
      </c>
      <c r="AG93" s="53" t="inlineStr">
        <is>
          <t>Prajakta Mokal</t>
        </is>
      </c>
      <c r="AH93" s="53" t="inlineStr">
        <is>
          <t>N-7</t>
        </is>
      </c>
      <c r="AI93" s="53" t="inlineStr">
        <is>
          <t>Individual Contributor</t>
        </is>
      </c>
      <c r="AJ93" s="53" t="inlineStr">
        <is>
          <t>0 years, 0 months, 0 days</t>
        </is>
      </c>
      <c r="AK93" s="53" t="inlineStr">
        <is>
          <t>7 years, 9 months, 27 days</t>
        </is>
      </c>
      <c r="AL93" s="53" t="inlineStr">
        <is>
          <t>Regtech</t>
        </is>
      </c>
      <c r="AM93" s="53" t="inlineStr">
        <is>
          <t>CARBON</t>
        </is>
      </c>
      <c r="AN93" s="53" t="inlineStr">
        <is>
          <t>Digitizing</t>
        </is>
      </c>
      <c r="AO93" s="53" t="inlineStr">
        <is>
          <t>Digitizing Assisted services</t>
        </is>
      </c>
      <c r="AP93" s="53" t="inlineStr">
        <is>
          <t>No</t>
        </is>
      </c>
      <c r="AQ93" s="53" t="inlineStr">
        <is>
          <t>Professional Services</t>
        </is>
      </c>
      <c r="AR93" s="53" t="inlineStr">
        <is>
          <t>OCR/Image procesing</t>
        </is>
      </c>
      <c r="AS93" s="53" t="inlineStr">
        <is>
          <t>Non-technical</t>
        </is>
      </c>
      <c r="AT93" s="53" t="n">
        <v>20</v>
      </c>
      <c r="AU93" s="53" t="inlineStr">
        <is>
          <t>Covered</t>
        </is>
      </c>
      <c r="AV93" s="53" t="inlineStr">
        <is>
          <t>IRISC131</t>
        </is>
      </c>
      <c r="AW93" s="53" t="inlineStr">
        <is>
          <t>Vanita Gaikwad</t>
        </is>
      </c>
      <c r="AX93" s="53" t="inlineStr">
        <is>
          <t>Digitizing</t>
        </is>
      </c>
      <c r="AY93" s="53" t="inlineStr">
        <is>
          <t>Professional Services</t>
        </is>
      </c>
      <c r="AZ93" s="53" t="inlineStr">
        <is>
          <t>Digitization &amp; Image Processing</t>
        </is>
      </c>
      <c r="BA93" s="53" t="n"/>
      <c r="BB93" s="53" t="n"/>
      <c r="BC93" s="53" t="inlineStr">
        <is>
          <t>On Contract</t>
        </is>
      </c>
      <c r="BD93" s="53" t="inlineStr">
        <is>
          <t>Prajakta Mokal</t>
        </is>
      </c>
      <c r="BE93" s="53" t="inlineStr">
        <is>
          <t>Swara Swapnil Mhatre</t>
        </is>
      </c>
      <c r="BF93" s="53" t="inlineStr">
        <is>
          <t>No</t>
        </is>
      </c>
      <c r="BG93" s="53" t="inlineStr">
        <is>
          <t>Consultant</t>
        </is>
      </c>
      <c r="BH93" s="53" t="inlineStr">
        <is>
          <t>Consultant</t>
        </is>
      </c>
      <c r="BI93" s="53" t="inlineStr">
        <is>
          <t>No</t>
        </is>
      </c>
      <c r="BJ93" s="53" t="inlineStr">
        <is>
          <t>—</t>
        </is>
      </c>
      <c r="BK93" s="53" t="inlineStr">
        <is>
          <t>—</t>
        </is>
      </c>
      <c r="BL93" s="53" t="inlineStr">
        <is>
          <t>—</t>
        </is>
      </c>
      <c r="BM93" s="53" t="inlineStr">
        <is>
          <t>Not a manager</t>
        </is>
      </c>
      <c r="BN93" s="53" t="inlineStr">
        <is>
          <t>—</t>
        </is>
      </c>
      <c r="BO93" s="53" t="inlineStr">
        <is>
          <t>—</t>
        </is>
      </c>
      <c r="BP93" s="53" t="inlineStr">
        <is>
          <t>—</t>
        </is>
      </c>
      <c r="BQ93" s="53" t="inlineStr">
        <is>
          <t>Not a manager</t>
        </is>
      </c>
      <c r="BR93" s="53" t="inlineStr">
        <is>
          <t>—</t>
        </is>
      </c>
      <c r="BS93" s="53" t="inlineStr">
        <is>
          <t>L3 – Professional / Associate</t>
        </is>
      </c>
      <c r="BT93" s="53" t="inlineStr">
        <is>
          <t>L3 – Professional / Associate</t>
        </is>
      </c>
      <c r="BU93" s="53" t="inlineStr">
        <is>
          <t>No designation change — current record value carried forward</t>
        </is>
      </c>
      <c r="BV93"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93" s="53" t="n"/>
      <c r="BX93" s="53" t="inlineStr">
        <is>
          <t>South Africa - CIPC; India - MCA; UK - HMRC · On Contract.</t>
        </is>
      </c>
      <c r="BY93" s="53" t="inlineStr">
        <is>
          <t>Vijay Parulekar</t>
        </is>
      </c>
      <c r="BZ93" s="53" t="inlineStr">
        <is>
          <t>IRISC131</t>
        </is>
      </c>
      <c r="CA93" s="53" t="inlineStr">
        <is>
          <t>On Contract</t>
        </is>
      </c>
      <c r="CB93" s="53" t="inlineStr">
        <is>
          <t>Active</t>
        </is>
      </c>
      <c r="CC93" s="53" t="inlineStr">
        <is>
          <t>Vanita Gaikwad</t>
        </is>
      </c>
      <c r="CD93" s="54" t="n">
        <v>43402</v>
      </c>
      <c r="CE93" s="53" t="inlineStr">
        <is>
          <t>Consultant</t>
        </is>
      </c>
      <c r="CF93" s="53" t="n"/>
      <c r="CG93" s="53" t="inlineStr">
        <is>
          <t>Professional Services</t>
        </is>
      </c>
      <c r="CH93" s="53" t="inlineStr">
        <is>
          <t>Digitization &amp; Image Processing</t>
        </is>
      </c>
      <c r="CI93" s="53" t="inlineStr">
        <is>
          <t>Consultant</t>
        </is>
      </c>
      <c r="CJ93" s="53" t="inlineStr">
        <is>
          <t>L3 – Professional / Associate</t>
        </is>
      </c>
      <c r="CK93" s="53" t="inlineStr">
        <is>
          <t>Prajakta Mokal</t>
        </is>
      </c>
      <c r="CL93" s="53" t="inlineStr">
        <is>
          <t>N-7</t>
        </is>
      </c>
      <c r="CM93" s="53" t="inlineStr">
        <is>
          <t>Individual Contributor</t>
        </is>
      </c>
      <c r="CN93" s="53" t="inlineStr">
        <is>
          <t>Regtech</t>
        </is>
      </c>
      <c r="CO93" s="53" t="inlineStr">
        <is>
          <t>Digitizing</t>
        </is>
      </c>
      <c r="CP93" s="53" t="inlineStr">
        <is>
          <t>7 years, 7 months, 22 days</t>
        </is>
      </c>
      <c r="CQ93" s="53" t="inlineStr">
        <is>
          <t>Consultant</t>
        </is>
      </c>
      <c r="CR93" s="53" t="n"/>
      <c r="CS93" s="53" t="n">
        <v>3</v>
      </c>
      <c r="CT93" s="53" t="inlineStr">
        <is>
          <t>Medium</t>
        </is>
      </c>
      <c r="CU93" s="53" t="inlineStr">
        <is>
          <t>Core Contributor</t>
        </is>
      </c>
      <c r="CV93" s="53" t="inlineStr">
        <is>
          <t>No</t>
        </is>
      </c>
      <c r="CW93" s="53" t="inlineStr">
        <is>
          <t>No</t>
        </is>
      </c>
      <c r="CX93" s="53" t="inlineStr">
        <is>
          <t>Yes</t>
        </is>
      </c>
      <c r="CY93" s="53" t="n"/>
      <c r="CZ93" s="53" t="n"/>
      <c r="DA93" s="53" t="n"/>
      <c r="DB93" s="53" t="n"/>
      <c r="DC93" s="53" t="n"/>
      <c r="DD93" s="53" t="n"/>
      <c r="DE93" s="53" t="n"/>
      <c r="DF93" s="53" t="n"/>
      <c r="DG93" s="53" t="n"/>
      <c r="DH93" s="53" t="n"/>
      <c r="DI93" s="53" t="n"/>
      <c r="DJ93" s="53" t="n"/>
      <c r="DK93" s="53" t="n"/>
      <c r="DL93" s="53" t="n"/>
      <c r="DM93" s="53" t="n"/>
      <c r="DN93" s="53" t="n"/>
      <c r="DO93" s="53" t="n"/>
      <c r="DP93" s="53" t="n"/>
      <c r="DQ93" s="53" t="n"/>
      <c r="DR93" s="53" t="n"/>
      <c r="DS93" s="53" t="n"/>
      <c r="DT93" s="53" t="n"/>
      <c r="DU93" s="53" t="n"/>
      <c r="DV93" s="53" t="n"/>
      <c r="DW93" s="53" t="n"/>
      <c r="DX93" s="53" t="n"/>
      <c r="DY93" s="53" t="n"/>
      <c r="DZ93" s="53" t="n"/>
      <c r="EA93" s="53" t="n"/>
      <c r="EB93" s="53" t="n"/>
      <c r="EC93" s="53" t="n"/>
      <c r="ED93" s="53" t="n"/>
      <c r="EE93" s="53" t="n"/>
      <c r="EF93" s="53" t="n"/>
      <c r="EG93" s="53" t="n"/>
      <c r="EH93" s="53" t="n"/>
      <c r="EI93" s="53" t="n"/>
      <c r="EJ93" s="53" t="n"/>
      <c r="EK93" s="53" t="n"/>
      <c r="EL93" s="53" t="n"/>
      <c r="EM93" s="53" t="n"/>
      <c r="EN93" s="53" t="n"/>
      <c r="EO93" s="53" t="n"/>
      <c r="EP93" s="53" t="n"/>
      <c r="EQ93" s="53" t="n"/>
      <c r="ER93" s="53" t="n"/>
      <c r="ES93" s="53" t="n"/>
      <c r="ET93" s="53" t="n"/>
      <c r="EU93" s="53" t="n"/>
      <c r="EV93" s="53" t="n"/>
      <c r="EW93" s="52" t="n"/>
      <c r="EX93" s="53" t="inlineStr">
        <is>
          <t>• Role / sub-team: Digitizing Assisted services.</t>
        </is>
      </c>
      <c r="EY93" s="53" t="inlineStr">
        <is>
          <t>• Key responsibilities include: CIPC HTML conversion, UK conversion, CIPC OCR, and MCA OCR · Abbyy.
• Reported deliverables and outcomes include: Completed UK files are submitted to a specific folder for QC; CIPC files are mailed to the service team.</t>
        </is>
      </c>
      <c r="EZ93" s="53" t="inlineStr">
        <is>
          <t>• Current capabilities: Copillot; Tools / software used: Abby Fine Reader, Web Expression HTML - Editor.</t>
        </is>
      </c>
      <c r="FA93" s="53" t="inlineStr">
        <is>
          <t>• Communications skills.
• Presentation skills.</t>
        </is>
      </c>
      <c r="FB93" s="53" t="inlineStr">
        <is>
          <t>• Key challenges: Quality of report.
• Support required: No input received.</t>
        </is>
      </c>
      <c r="FC93" s="53" t="n"/>
      <c r="FD93" s="53" t="n"/>
      <c r="FE93"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93" s="56" t="n"/>
      <c r="FG93" s="56" t="n"/>
      <c r="FH93" s="56" t="n"/>
      <c r="FI93" s="56" t="n"/>
      <c r="FJ93" s="56" t="inlineStr">
        <is>
          <t>Received · manager annual</t>
        </is>
      </c>
      <c r="FK93" s="56" t="inlineStr">
        <is>
          <t>CARBON Mapping Master</t>
        </is>
      </c>
      <c r="FL93" s="56" t="n">
        <v>19</v>
      </c>
      <c r="FM93" s="56" t="inlineStr">
        <is>
          <t>• Role / sub-team: Digitizing Assisted services.</t>
        </is>
      </c>
      <c r="FN93" s="56" t="inlineStr">
        <is>
          <t>• Key responsibilities include: CIPC HTML conversion, UK conversion, CIPC OCR, and MCA OCR · Abbyy.
• Reported deliverables and outcomes include: Completed UK files are submitted to a specific folder for QC; CIPC files are mailed to the service team.</t>
        </is>
      </c>
      <c r="FO93" s="56" t="inlineStr">
        <is>
          <t>• Current capabilities: Copillot; Tools / software used: Abby Fine Reader, Web Expression HTML - Editor.</t>
        </is>
      </c>
      <c r="FP93" s="56" t="inlineStr">
        <is>
          <t>• Communications skills.
• Presentation skills.</t>
        </is>
      </c>
      <c r="FQ93" s="56" t="inlineStr">
        <is>
          <t>• Key challenges: Quality of report.
• Support required: No input received.</t>
        </is>
      </c>
      <c r="FR93" s="56" t="inlineStr">
        <is>
          <t>Business Impact: Moved +0.5: the survey / manager mapping marks it business-critical.</t>
        </is>
      </c>
      <c r="FS93"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93" s="56" t="inlineStr">
        <is>
          <t>Self-identified: Leadership &amp; people management · Project / programme management · Client, sales &amp; stakeholders · Broader exposure &amp; ownership
For the next role: AI / automation · Leadership &amp; people management · Project / programme management · Product &amp; tool knowledge · Client, sales &amp; stakeholders · Communication &amp; presentation · Broader exposure &amp; ownership</t>
        </is>
      </c>
      <c r="FU93" s="56" t="inlineStr">
        <is>
          <t>Per-person summary · CARBON Mapping Master</t>
        </is>
      </c>
    </row>
    <row r="94" ht="90" customHeight="1">
      <c r="A94" s="51" t="inlineStr">
        <is>
          <t>◂ Back</t>
        </is>
      </c>
      <c r="B94" s="29" t="inlineStr">
        <is>
          <t>Mapped</t>
        </is>
      </c>
      <c r="C94" s="28" t="inlineStr">
        <is>
          <t>CARBON</t>
        </is>
      </c>
      <c r="D94" s="29" t="inlineStr">
        <is>
          <t>IRISC301</t>
        </is>
      </c>
      <c r="E94" s="29" t="inlineStr">
        <is>
          <t>Saurav Nirmal</t>
        </is>
      </c>
      <c r="F94" s="29" t="inlineStr">
        <is>
          <t>Digitizing</t>
        </is>
      </c>
      <c r="G94" s="29" t="inlineStr">
        <is>
          <t>Consultant</t>
        </is>
      </c>
      <c r="H94" s="29" t="inlineStr">
        <is>
          <t>Senior Digitization Associate</t>
        </is>
      </c>
      <c r="I94" s="29" t="inlineStr">
        <is>
          <t>L3 – Professional / Associate</t>
        </is>
      </c>
      <c r="J94" s="29" t="inlineStr">
        <is>
          <t>A3</t>
        </is>
      </c>
      <c r="K94" s="29" t="inlineStr">
        <is>
          <t>▲ Up</t>
        </is>
      </c>
      <c r="L94" s="29" t="inlineStr">
        <is>
          <t>Data Operations &amp; Digitization</t>
        </is>
      </c>
      <c r="M94" s="29" t="inlineStr">
        <is>
          <t>Document Conversion, Formatting &amp; Web Publishing</t>
        </is>
      </c>
      <c r="N94" s="29" t="n"/>
      <c r="O94" s="29" t="n">
        <v>20</v>
      </c>
      <c r="P94" s="28" t="inlineStr">
        <is>
          <t>P2</t>
        </is>
      </c>
      <c r="Q94" s="29" t="inlineStr">
        <is>
          <t>Developing</t>
        </is>
      </c>
      <c r="R94" s="29" t="inlineStr">
        <is>
          <t>3 Apply</t>
        </is>
      </c>
      <c r="S94" s="29" t="inlineStr">
        <is>
          <t>2–4 yrs</t>
        </is>
      </c>
      <c r="T94" s="29" t="inlineStr">
        <is>
          <t>3–5 · 2–5</t>
        </is>
      </c>
      <c r="U94" s="29" t="inlineStr">
        <is>
          <t>Senior Associate</t>
        </is>
      </c>
      <c r="V94" s="29" t="inlineStr">
        <is>
          <t>DataTracks: Senior Associate · 2–5 yrs · Accenture Operations: L10 Senior Analyst · IRIS Vs Competitor Benchmark — operations roles: Senior Processor / QC</t>
        </is>
      </c>
      <c r="W94" s="29" t="inlineStr">
        <is>
          <t>COPC CX Standard · leadership &amp; planning, people, processes, performance; ISO 9001; Lean / Six Sigma</t>
        </is>
      </c>
      <c r="X94" s="29" t="inlineStr">
        <is>
          <t>Core 2 · Future 2 · Functional 3 · Leadership not scored</t>
        </is>
      </c>
      <c r="Y94" s="52" t="n">
        <v>356</v>
      </c>
      <c r="Z94" s="53" t="inlineStr">
        <is>
          <t>IRISC301</t>
        </is>
      </c>
      <c r="AA94" s="53" t="inlineStr">
        <is>
          <t>On Contract</t>
        </is>
      </c>
      <c r="AB94" s="53" t="inlineStr">
        <is>
          <t>Active</t>
        </is>
      </c>
      <c r="AC94" s="53" t="inlineStr">
        <is>
          <t>Saurav Nirmal</t>
        </is>
      </c>
      <c r="AD94" s="54" t="n">
        <v>45663</v>
      </c>
      <c r="AE94" s="53" t="inlineStr">
        <is>
          <t>Consultant</t>
        </is>
      </c>
      <c r="AF94" s="53" t="inlineStr">
        <is>
          <t>B.Com</t>
        </is>
      </c>
      <c r="AG94" s="53" t="inlineStr">
        <is>
          <t>Vijay Parulekar</t>
        </is>
      </c>
      <c r="AH94" s="53" t="inlineStr">
        <is>
          <t>N-6</t>
        </is>
      </c>
      <c r="AI94" s="53" t="inlineStr">
        <is>
          <t>Individual Contributor</t>
        </is>
      </c>
      <c r="AJ94" s="53" t="inlineStr">
        <is>
          <t>1 years, 0 months, 0 days</t>
        </is>
      </c>
      <c r="AK94" s="53" t="inlineStr">
        <is>
          <t>1 years, 7 months, 19 days</t>
        </is>
      </c>
      <c r="AL94" s="53" t="inlineStr">
        <is>
          <t>Regtech</t>
        </is>
      </c>
      <c r="AM94" s="53" t="inlineStr">
        <is>
          <t>CARBON</t>
        </is>
      </c>
      <c r="AN94" s="53" t="inlineStr">
        <is>
          <t>Digitizing</t>
        </is>
      </c>
      <c r="AO94" s="53" t="inlineStr">
        <is>
          <t>Digitizing Assisted services</t>
        </is>
      </c>
      <c r="AP94" s="53" t="inlineStr">
        <is>
          <t>No</t>
        </is>
      </c>
      <c r="AQ94" s="53" t="inlineStr">
        <is>
          <t>Professional Services</t>
        </is>
      </c>
      <c r="AR94" s="53" t="inlineStr">
        <is>
          <t>OCR/Image procesing</t>
        </is>
      </c>
      <c r="AS94" s="53" t="inlineStr">
        <is>
          <t>Non-technical</t>
        </is>
      </c>
      <c r="AT94" s="53" t="n">
        <v>20</v>
      </c>
      <c r="AU94" s="53" t="inlineStr">
        <is>
          <t>Covered</t>
        </is>
      </c>
      <c r="AV94" s="53" t="inlineStr">
        <is>
          <t>IRISC301</t>
        </is>
      </c>
      <c r="AW94" s="53" t="inlineStr">
        <is>
          <t>Saurav Nirmal</t>
        </is>
      </c>
      <c r="AX94" s="53" t="inlineStr">
        <is>
          <t>Digitizing</t>
        </is>
      </c>
      <c r="AY94" s="53" t="inlineStr">
        <is>
          <t>Professional Services</t>
        </is>
      </c>
      <c r="AZ94" s="53" t="inlineStr">
        <is>
          <t>Digitization &amp; Image Processing</t>
        </is>
      </c>
      <c r="BA94" s="53" t="n"/>
      <c r="BB94" s="53" t="n"/>
      <c r="BC94" s="53" t="inlineStr">
        <is>
          <t>On Contract</t>
        </is>
      </c>
      <c r="BD94" s="53" t="inlineStr">
        <is>
          <t>Datta Hatagale</t>
        </is>
      </c>
      <c r="BE94" s="53" t="inlineStr">
        <is>
          <t>Datta Anand Hatagale</t>
        </is>
      </c>
      <c r="BF94" s="53" t="inlineStr">
        <is>
          <t>No</t>
        </is>
      </c>
      <c r="BG94" s="53" t="inlineStr">
        <is>
          <t>Consultant</t>
        </is>
      </c>
      <c r="BH94" s="53" t="inlineStr">
        <is>
          <t>Consultant</t>
        </is>
      </c>
      <c r="BI94" s="53" t="inlineStr">
        <is>
          <t>No</t>
        </is>
      </c>
      <c r="BJ94" s="53" t="inlineStr">
        <is>
          <t>—</t>
        </is>
      </c>
      <c r="BK94" s="53" t="inlineStr">
        <is>
          <t>—</t>
        </is>
      </c>
      <c r="BL94" s="53" t="inlineStr">
        <is>
          <t>—</t>
        </is>
      </c>
      <c r="BM94" s="53" t="inlineStr">
        <is>
          <t>Not a manager</t>
        </is>
      </c>
      <c r="BN94" s="53" t="inlineStr">
        <is>
          <t>—</t>
        </is>
      </c>
      <c r="BO94" s="53" t="inlineStr">
        <is>
          <t>—</t>
        </is>
      </c>
      <c r="BP94" s="53" t="inlineStr">
        <is>
          <t>—</t>
        </is>
      </c>
      <c r="BQ94" s="53" t="inlineStr">
        <is>
          <t>Not a manager</t>
        </is>
      </c>
      <c r="BR94" s="53" t="inlineStr">
        <is>
          <t>—</t>
        </is>
      </c>
      <c r="BS94" s="53" t="inlineStr">
        <is>
          <t>L3 – Professional / Associate</t>
        </is>
      </c>
      <c r="BT94" s="53" t="inlineStr">
        <is>
          <t>L3 – Professional / Associate</t>
        </is>
      </c>
      <c r="BU94" s="53" t="inlineStr">
        <is>
          <t>No designation change — current record value carried forward</t>
        </is>
      </c>
      <c r="BV94"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94" s="53" t="n"/>
      <c r="BX94" s="53" t="inlineStr">
        <is>
          <t>UK - HMRC; South Africa - CIPC; India - MCA; Europe - ESEF · On Contract.</t>
        </is>
      </c>
      <c r="BY94" s="53" t="n"/>
      <c r="BZ94" s="53" t="inlineStr">
        <is>
          <t>IRISC301</t>
        </is>
      </c>
      <c r="CA94" s="53" t="inlineStr">
        <is>
          <t>On Contract</t>
        </is>
      </c>
      <c r="CB94" s="53" t="inlineStr">
        <is>
          <t>Active</t>
        </is>
      </c>
      <c r="CC94" s="53" t="inlineStr">
        <is>
          <t>Saurav Nirmal</t>
        </is>
      </c>
      <c r="CD94" s="54" t="n">
        <v>45663</v>
      </c>
      <c r="CE94" s="53" t="inlineStr">
        <is>
          <t>Consultant</t>
        </is>
      </c>
      <c r="CF94" s="53" t="n"/>
      <c r="CG94" s="53" t="inlineStr">
        <is>
          <t>Professional Services</t>
        </is>
      </c>
      <c r="CH94" s="53" t="inlineStr">
        <is>
          <t>Digitization &amp; Image Processing</t>
        </is>
      </c>
      <c r="CI94" s="53" t="inlineStr">
        <is>
          <t>Consultant</t>
        </is>
      </c>
      <c r="CJ94" s="53" t="inlineStr">
        <is>
          <t>L3 – Professional / Associate</t>
        </is>
      </c>
      <c r="CK94" s="53" t="inlineStr">
        <is>
          <t>Datta Hatagale</t>
        </is>
      </c>
      <c r="CL94" s="53" t="inlineStr">
        <is>
          <t>N-6</t>
        </is>
      </c>
      <c r="CM94" s="53" t="inlineStr">
        <is>
          <t>Individual Contributor</t>
        </is>
      </c>
      <c r="CN94" s="53" t="inlineStr">
        <is>
          <t>Regtech</t>
        </is>
      </c>
      <c r="CO94" s="53" t="inlineStr">
        <is>
          <t>Digitizing</t>
        </is>
      </c>
      <c r="CP94" s="53" t="inlineStr">
        <is>
          <t>2 years, 5 months, 14 days</t>
        </is>
      </c>
      <c r="CQ94" s="53" t="inlineStr">
        <is>
          <t>Consultant</t>
        </is>
      </c>
      <c r="CR94" s="53" t="n"/>
      <c r="CS94" s="53" t="n">
        <v>3</v>
      </c>
      <c r="CT94" s="53" t="inlineStr">
        <is>
          <t>Medium</t>
        </is>
      </c>
      <c r="CU94" s="53" t="inlineStr">
        <is>
          <t>Core Contributor</t>
        </is>
      </c>
      <c r="CV94" s="53" t="inlineStr">
        <is>
          <t>No</t>
        </is>
      </c>
      <c r="CW94" s="53" t="inlineStr">
        <is>
          <t>No</t>
        </is>
      </c>
      <c r="CX94" s="53" t="inlineStr">
        <is>
          <t>Yes</t>
        </is>
      </c>
      <c r="CY94" s="53" t="n"/>
      <c r="CZ94" s="53" t="n"/>
      <c r="DA94" s="53" t="n"/>
      <c r="DB94" s="53" t="n"/>
      <c r="DC94" s="53" t="n"/>
      <c r="DD94" s="53" t="n"/>
      <c r="DE94" s="53" t="n"/>
      <c r="DF94" s="53" t="n"/>
      <c r="DG94" s="53" t="n"/>
      <c r="DH94" s="53" t="n"/>
      <c r="DI94" s="53" t="n"/>
      <c r="DJ94" s="53" t="n"/>
      <c r="DK94" s="53" t="n"/>
      <c r="DL94" s="53" t="n"/>
      <c r="DM94" s="53" t="n"/>
      <c r="DN94" s="53" t="n"/>
      <c r="DO94" s="53" t="n"/>
      <c r="DP94" s="53" t="n"/>
      <c r="DQ94" s="53" t="n"/>
      <c r="DR94" s="53" t="n"/>
      <c r="DS94" s="53" t="n"/>
      <c r="DT94" s="53" t="n"/>
      <c r="DU94" s="53" t="n"/>
      <c r="DV94" s="53" t="n"/>
      <c r="DW94" s="53" t="n"/>
      <c r="DX94" s="53" t="n"/>
      <c r="DY94" s="53" t="n"/>
      <c r="DZ94" s="53" t="n"/>
      <c r="EA94" s="53" t="n"/>
      <c r="EB94" s="53" t="n"/>
      <c r="EC94" s="53" t="n"/>
      <c r="ED94" s="53" t="n"/>
      <c r="EE94" s="53" t="n"/>
      <c r="EF94" s="53" t="n"/>
      <c r="EG94" s="53" t="n"/>
      <c r="EH94" s="53" t="n"/>
      <c r="EI94" s="53" t="n"/>
      <c r="EJ94" s="53" t="n"/>
      <c r="EK94" s="53" t="n"/>
      <c r="EL94" s="53" t="n"/>
      <c r="EM94" s="53" t="n"/>
      <c r="EN94" s="53" t="n"/>
      <c r="EO94" s="53" t="n"/>
      <c r="EP94" s="53" t="n"/>
      <c r="EQ94" s="53" t="n"/>
      <c r="ER94" s="53" t="n"/>
      <c r="ES94" s="53" t="n"/>
      <c r="ET94" s="53" t="n"/>
      <c r="EU94" s="53" t="n"/>
      <c r="EV94" s="53" t="n"/>
      <c r="EW94" s="52" t="n"/>
      <c r="EX94" s="53" t="inlineStr">
        <is>
          <t>• Role / sub-team: Digitizing Assisted Services.</t>
        </is>
      </c>
      <c r="EY94" s="53"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EZ94" s="53" t="inlineStr">
        <is>
          <t>• Current capabilities: Co-ordination skills; Wait for clients updation; Tools / software used: Both | Abbyy FineReader, Microsoft Web Expression [Teams chat].</t>
        </is>
      </c>
      <c r="FA94" s="53" t="inlineStr">
        <is>
          <t>• Communications skills.
• Presentation skills.</t>
        </is>
      </c>
      <c r="FB94" s="53" t="inlineStr">
        <is>
          <t>• Key challenges: Quality of report, RDP issue.
• Support required: No input received.</t>
        </is>
      </c>
      <c r="FC94" s="53" t="n"/>
      <c r="FD94" s="53" t="n"/>
      <c r="FE94"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94" s="56" t="n"/>
      <c r="FG94" s="56" t="n"/>
      <c r="FH94" s="56" t="n"/>
      <c r="FI94" s="56" t="n"/>
      <c r="FJ94" s="56" t="inlineStr">
        <is>
          <t>Received · manager annual</t>
        </is>
      </c>
      <c r="FK94" s="56" t="inlineStr">
        <is>
          <t>CARBON Mapping Master</t>
        </is>
      </c>
      <c r="FL94" s="56" t="n">
        <v>20</v>
      </c>
      <c r="FM94" s="56" t="inlineStr">
        <is>
          <t>• Role / sub-team: Digitizing Assisted Services.</t>
        </is>
      </c>
      <c r="FN94" s="56"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FO94" s="56" t="inlineStr">
        <is>
          <t>• Current capabilities: Co-ordination skills; Wait for clients updation; Tools / software used: Both | Abbyy FineReader, Microsoft Web Expression [Teams chat].</t>
        </is>
      </c>
      <c r="FP94" s="56" t="inlineStr">
        <is>
          <t>• Communications skills.
• Presentation skills.</t>
        </is>
      </c>
      <c r="FQ94" s="56" t="inlineStr">
        <is>
          <t>• Key challenges: Quality of report, RDP issue.
• Support required: No input received.</t>
        </is>
      </c>
      <c r="FR94" s="56" t="inlineStr">
        <is>
          <t>Business Impact: Moved +0.5: the survey / manager mapping marks it business-critical.</t>
        </is>
      </c>
      <c r="FS9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94" s="56" t="inlineStr">
        <is>
          <t>Self-identified: Project / programme management · Communication &amp; presentation · Broader exposure &amp; ownership
For the next role: Project / programme management · Communication &amp; presentation · Broader exposure &amp; ownership</t>
        </is>
      </c>
      <c r="FU94" s="56" t="inlineStr">
        <is>
          <t>Per-person summary · CARBON Mapping Master</t>
        </is>
      </c>
    </row>
    <row r="95" ht="90" customHeight="1">
      <c r="A95" s="51" t="inlineStr">
        <is>
          <t>◂ Back</t>
        </is>
      </c>
      <c r="B95" s="29" t="inlineStr">
        <is>
          <t>Mapped</t>
        </is>
      </c>
      <c r="C95" s="28" t="inlineStr">
        <is>
          <t>CARBON</t>
        </is>
      </c>
      <c r="D95" s="29" t="inlineStr">
        <is>
          <t>IRIS0393</t>
        </is>
      </c>
      <c r="E95" s="29" t="inlineStr">
        <is>
          <t>Mayur Zope</t>
        </is>
      </c>
      <c r="F95" s="29" t="inlineStr">
        <is>
          <t>Services</t>
        </is>
      </c>
      <c r="G95" s="29" t="inlineStr">
        <is>
          <t>Lead Financial Analyst</t>
        </is>
      </c>
      <c r="H95" s="29" t="inlineStr">
        <is>
          <t>Senior Manager – Assisted Services</t>
        </is>
      </c>
      <c r="I95" s="29" t="inlineStr">
        <is>
          <t>L5 – Lead · IC</t>
        </is>
      </c>
      <c r="J95" s="29" t="inlineStr">
        <is>
          <t>B2</t>
        </is>
      </c>
      <c r="K95" s="29" t="inlineStr">
        <is>
          <t>• Same level</t>
        </is>
      </c>
      <c r="L95" s="29" t="inlineStr">
        <is>
          <t>Consulting &amp; Professional Services</t>
        </is>
      </c>
      <c r="M95" s="29" t="inlineStr">
        <is>
          <t>XBRL Tagging, Conversion &amp; Filing</t>
        </is>
      </c>
      <c r="N95" s="29" t="inlineStr">
        <is>
          <t>• Confirm the reporting line — Manager</t>
        </is>
      </c>
      <c r="O95" s="29" t="n">
        <v>20</v>
      </c>
      <c r="P95" s="28" t="inlineStr">
        <is>
          <t>P4 / M3</t>
        </is>
      </c>
      <c r="Q95" s="29" t="inlineStr">
        <is>
          <t>Senior / Manager</t>
        </is>
      </c>
      <c r="R95" s="29" t="inlineStr">
        <is>
          <t>4–5</t>
        </is>
      </c>
      <c r="S95" s="29" t="inlineStr">
        <is>
          <t>6–9 yrs</t>
        </is>
      </c>
      <c r="T95" s="29" t="inlineStr">
        <is>
          <t>7–10 · 6–11</t>
        </is>
      </c>
      <c r="U95" s="29" t="inlineStr">
        <is>
          <t>Senior Manager</t>
        </is>
      </c>
      <c r="V95" s="29" t="inlineStr">
        <is>
          <t>Big Four: Manager · IRIS Vs Market Benchmark — XBRL US credential pathway: Certificate + review authority</t>
        </is>
      </c>
      <c r="W95" s="29" t="inlineStr">
        <is>
          <t>XBRL US GAAP Certificate · AICPA &amp; XBRL US; XBRL International specifications; IFRS / US GAAP / Ind AS</t>
        </is>
      </c>
      <c r="X95" s="29" t="inlineStr">
        <is>
          <t>Core 3 · Future 3 · Functional 4 · Leadership 3</t>
        </is>
      </c>
      <c r="Y95" s="52" t="n">
        <v>54</v>
      </c>
      <c r="Z95" s="53" t="inlineStr">
        <is>
          <t>IRIS0393</t>
        </is>
      </c>
      <c r="AA95" s="53" t="inlineStr">
        <is>
          <t>Employee</t>
        </is>
      </c>
      <c r="AB95" s="53" t="inlineStr">
        <is>
          <t>Active</t>
        </is>
      </c>
      <c r="AC95" s="53" t="inlineStr">
        <is>
          <t>Mayur Zope</t>
        </is>
      </c>
      <c r="AD95" s="54" t="n">
        <v>40317</v>
      </c>
      <c r="AE95" s="53" t="inlineStr">
        <is>
          <t>Lead Financial Analyst</t>
        </is>
      </c>
      <c r="AF95" s="53" t="inlineStr">
        <is>
          <t>CA</t>
        </is>
      </c>
      <c r="AG95" s="53" t="inlineStr">
        <is>
          <t>K Ashok Kumar</t>
        </is>
      </c>
      <c r="AH95" s="53" t="inlineStr">
        <is>
          <t>N-5</t>
        </is>
      </c>
      <c r="AI95" s="53" t="inlineStr">
        <is>
          <t>Manager</t>
        </is>
      </c>
      <c r="AJ95" s="53" t="inlineStr">
        <is>
          <t>3 years, 0 months, 0 days</t>
        </is>
      </c>
      <c r="AK95" s="53" t="inlineStr">
        <is>
          <t>16 years, 3 months, 6 days</t>
        </is>
      </c>
      <c r="AL95" s="53" t="inlineStr">
        <is>
          <t>Regtech</t>
        </is>
      </c>
      <c r="AM95" s="53" t="inlineStr">
        <is>
          <t>CARBON</t>
        </is>
      </c>
      <c r="AN95" s="53" t="inlineStr">
        <is>
          <t>Services</t>
        </is>
      </c>
      <c r="AO95" s="53" t="inlineStr">
        <is>
          <t>Expert Assisted services</t>
        </is>
      </c>
      <c r="AP95" s="53" t="inlineStr">
        <is>
          <t>No</t>
        </is>
      </c>
      <c r="AQ95" s="53" t="inlineStr">
        <is>
          <t>Professional Services</t>
        </is>
      </c>
      <c r="AR95" s="53" t="inlineStr">
        <is>
          <t>XBRL Domain</t>
        </is>
      </c>
      <c r="AS95" s="53" t="inlineStr">
        <is>
          <t>Non-technical</t>
        </is>
      </c>
      <c r="AT95" s="53" t="n">
        <v>20</v>
      </c>
      <c r="AU95" s="53" t="inlineStr">
        <is>
          <t>Covered</t>
        </is>
      </c>
      <c r="AV95" s="53" t="inlineStr">
        <is>
          <t>IRIS0393</t>
        </is>
      </c>
      <c r="AW95" s="53" t="inlineStr">
        <is>
          <t>Mayur Zope</t>
        </is>
      </c>
      <c r="AX95" s="53" t="inlineStr">
        <is>
          <t>Services</t>
        </is>
      </c>
      <c r="AY95" s="53" t="inlineStr">
        <is>
          <t>Professional Services</t>
        </is>
      </c>
      <c r="AZ95" s="53" t="inlineStr">
        <is>
          <t>XBRL / Regulatory Reporting</t>
        </is>
      </c>
      <c r="BA95" s="53" t="n"/>
      <c r="BB95" s="53" t="n"/>
      <c r="BC95" s="53" t="inlineStr">
        <is>
          <t>Employee</t>
        </is>
      </c>
      <c r="BD95" s="53" t="inlineStr">
        <is>
          <t>K Ashok Kumar</t>
        </is>
      </c>
      <c r="BE95" s="53" t="inlineStr">
        <is>
          <t>Shashikant Mudaliar</t>
        </is>
      </c>
      <c r="BF95" s="53" t="inlineStr">
        <is>
          <t>No</t>
        </is>
      </c>
      <c r="BG95" s="53" t="inlineStr">
        <is>
          <t>Lead Financial Analyst</t>
        </is>
      </c>
      <c r="BH95" s="53" t="inlineStr">
        <is>
          <t>Manager - Services</t>
        </is>
      </c>
      <c r="BI95" s="53" t="inlineStr">
        <is>
          <t>Yes</t>
        </is>
      </c>
      <c r="BJ95" s="53" t="n">
        <v>4</v>
      </c>
      <c r="BK95" s="53" t="n">
        <v>4</v>
      </c>
      <c r="BL95" s="53" t="n">
        <v>0</v>
      </c>
      <c r="BM95" s="53" t="inlineStr">
        <is>
          <t>Review</t>
        </is>
      </c>
      <c r="BN95" s="53" t="n">
        <v>4</v>
      </c>
      <c r="BO95" s="53" t="n">
        <v>4</v>
      </c>
      <c r="BP95" s="53" t="n">
        <v>0</v>
      </c>
      <c r="BQ95" s="53" t="inlineStr">
        <is>
          <t>Review</t>
        </is>
      </c>
      <c r="BR95" s="53" t="inlineStr">
        <is>
          <t>No</t>
        </is>
      </c>
      <c r="BS95" s="53" t="inlineStr">
        <is>
          <t>L5 – Lead · IC</t>
        </is>
      </c>
      <c r="BT95" s="53" t="inlineStr">
        <is>
          <t>L5</t>
        </is>
      </c>
      <c r="BU95" s="53" t="inlineStr">
        <is>
          <t>Matched from Title Hierarchy · new designation</t>
        </is>
      </c>
      <c r="BV95"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95" s="53" t="n"/>
      <c r="BX95" s="53" t="inlineStr">
        <is>
          <t>India - MCA; Nigeria - CBN; USA - SEC; South Africa - CIPC.</t>
        </is>
      </c>
      <c r="BY95" s="53" t="n"/>
      <c r="BZ95" s="53" t="inlineStr">
        <is>
          <t>IRIS0393</t>
        </is>
      </c>
      <c r="CA95" s="53" t="inlineStr">
        <is>
          <t>Employee</t>
        </is>
      </c>
      <c r="CB95" s="53" t="inlineStr">
        <is>
          <t>Active</t>
        </is>
      </c>
      <c r="CC95" s="53" t="inlineStr">
        <is>
          <t>Mayur Zope</t>
        </is>
      </c>
      <c r="CD95" s="54" t="n">
        <v>40317</v>
      </c>
      <c r="CE95" s="53" t="inlineStr">
        <is>
          <t>Lead Financial Analyst</t>
        </is>
      </c>
      <c r="CF95" s="53" t="n"/>
      <c r="CG95" s="53" t="inlineStr">
        <is>
          <t>Professional Services</t>
        </is>
      </c>
      <c r="CH95" s="53" t="inlineStr">
        <is>
          <t>XBRL / Regulatory Reporting</t>
        </is>
      </c>
      <c r="CI95" s="53" t="inlineStr">
        <is>
          <t>Manager Services</t>
        </is>
      </c>
      <c r="CJ95" s="53" t="inlineStr">
        <is>
          <t>L5 – Lead · IC</t>
        </is>
      </c>
      <c r="CK95" s="53" t="inlineStr">
        <is>
          <t>K Ashok Kumar</t>
        </is>
      </c>
      <c r="CL95" s="53" t="inlineStr">
        <is>
          <t>N-5</t>
        </is>
      </c>
      <c r="CM95" s="53" t="inlineStr">
        <is>
          <t>Manager</t>
        </is>
      </c>
      <c r="CN95" s="53" t="inlineStr">
        <is>
          <t>Regtech</t>
        </is>
      </c>
      <c r="CO95" s="53" t="inlineStr">
        <is>
          <t>Services</t>
        </is>
      </c>
      <c r="CP95" s="53" t="inlineStr">
        <is>
          <t>19 years, 1 months, 1 days</t>
        </is>
      </c>
      <c r="CQ95" s="53" t="inlineStr">
        <is>
          <t>Manager - Services</t>
        </is>
      </c>
      <c r="CR95" s="53" t="n"/>
      <c r="CS95" s="53" t="n">
        <v>4</v>
      </c>
      <c r="CT95" s="53" t="inlineStr">
        <is>
          <t>High</t>
        </is>
      </c>
      <c r="CU95" s="53" t="inlineStr">
        <is>
          <t>Core Contributor</t>
        </is>
      </c>
      <c r="CV95" s="53" t="inlineStr">
        <is>
          <t>Yes</t>
        </is>
      </c>
      <c r="CW95" s="53" t="inlineStr">
        <is>
          <t>No</t>
        </is>
      </c>
      <c r="CX95" s="53" t="inlineStr">
        <is>
          <t>Yes</t>
        </is>
      </c>
      <c r="CY95" s="53" t="n"/>
      <c r="CZ95" s="53" t="n"/>
      <c r="DA95" s="53" t="n"/>
      <c r="DB95" s="53" t="inlineStr">
        <is>
          <t>Title to be Standardized to : Manager - Services</t>
        </is>
      </c>
      <c r="DC95" s="53" t="n"/>
      <c r="DD95" s="53" t="n"/>
      <c r="DE95" s="53" t="n"/>
      <c r="DF95" s="53" t="n"/>
      <c r="DG95" s="53" t="n"/>
      <c r="DH95" s="53" t="n"/>
      <c r="DI95" s="53" t="n"/>
      <c r="DJ95" s="53" t="n"/>
      <c r="DK95" s="53" t="n"/>
      <c r="DL95" s="53" t="n"/>
      <c r="DM95" s="53" t="n"/>
      <c r="DN95" s="53" t="n"/>
      <c r="DO95" s="53" t="n"/>
      <c r="DP95" s="53" t="n"/>
      <c r="DQ95" s="53" t="n"/>
      <c r="DR95" s="53" t="n"/>
      <c r="DS95" s="53" t="n"/>
      <c r="DT95" s="53" t="n"/>
      <c r="DU95" s="53" t="n"/>
      <c r="DV95" s="53" t="n"/>
      <c r="DW95" s="53" t="n"/>
      <c r="DX95" s="53" t="n"/>
      <c r="DY95" s="53" t="n"/>
      <c r="DZ95" s="53" t="n"/>
      <c r="EA95" s="53" t="n"/>
      <c r="EB95" s="53" t="n"/>
      <c r="EC95" s="53" t="n"/>
      <c r="ED95" s="53" t="n"/>
      <c r="EE95" s="53" t="n"/>
      <c r="EF95" s="53" t="n"/>
      <c r="EG95" s="53" t="n"/>
      <c r="EH95" s="53" t="n"/>
      <c r="EI95" s="53" t="n"/>
      <c r="EJ95" s="53" t="n"/>
      <c r="EK95" s="53" t="n"/>
      <c r="EL95" s="53" t="n"/>
      <c r="EM95" s="53" t="n"/>
      <c r="EN95" s="53" t="n"/>
      <c r="EO95" s="53" t="n"/>
      <c r="EP95" s="53" t="n"/>
      <c r="EQ95" s="53" t="n"/>
      <c r="ER95" s="53" t="n"/>
      <c r="ES95" s="53" t="n"/>
      <c r="ET95" s="53" t="n"/>
      <c r="EU95" s="53" t="n"/>
      <c r="EV95" s="53" t="n"/>
      <c r="EW95" s="52" t="n"/>
      <c r="EX95" s="53" t="inlineStr">
        <is>
          <t>• Role / sub-team: XBRL conversion team handling.</t>
        </is>
      </c>
      <c r="EY95" s="53"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EZ95" s="53" t="inlineStr">
        <is>
          <t>• Current capabilities: Patience; Communication; Team bonding; Work experience; Accounting knowledge; Tools / software used: HTML - Editor | Ifile, Iris Instant.</t>
        </is>
      </c>
      <c r="FA95" s="53" t="inlineStr">
        <is>
          <t>• Development priorities: 
• Learning and Development Need: Time management; Better planning of work; Co-ordination with team., Communication and Presentation, AI Prompting</t>
        </is>
      </c>
      <c r="FB95" s="53" t="inlineStr">
        <is>
          <t>• Key challenges: Waiting for information; Slow work machines; Tool issues; Client revert.
• Support required: No input received.</t>
        </is>
      </c>
      <c r="FC95" s="53" t="n"/>
      <c r="FD95" s="53" t="n"/>
      <c r="FE95"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95" s="56" t="n"/>
      <c r="FG95" s="56" t="n"/>
      <c r="FH95" s="56" t="n"/>
      <c r="FI95" s="56" t="n"/>
      <c r="FJ95" s="56" t="inlineStr">
        <is>
          <t>Received · manager annual</t>
        </is>
      </c>
      <c r="FK95" s="56" t="inlineStr">
        <is>
          <t>CARBON Mapping Master</t>
        </is>
      </c>
      <c r="FL95" s="56" t="n">
        <v>20</v>
      </c>
      <c r="FM95" s="56" t="inlineStr">
        <is>
          <t>• Role / sub-team: XBRL conversion team handling.</t>
        </is>
      </c>
      <c r="FN95" s="56"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FO95" s="56" t="inlineStr">
        <is>
          <t>• Current capabilities: Patience; Communication; Team bonding; Work experience; Accounting knowledge; Tools / software used: HTML - Editor | Ifile, Iris Instant.</t>
        </is>
      </c>
      <c r="FP95" s="56" t="inlineStr">
        <is>
          <t>• Development priorities: 
• Learning and Development Need: Time management; Better planning of work; Co-ordination with team., Communication and Presentation, AI Prompting</t>
        </is>
      </c>
      <c r="FQ95" s="56" t="inlineStr">
        <is>
          <t>• Key challenges: Waiting for information; Slow work machines; Tool issues; Client revert.
• Support required: No input received.</t>
        </is>
      </c>
      <c r="FR95" s="56" t="inlineStr">
        <is>
          <t>Complexity: Evidence reads like B1: XBRL conversion for South Africa, India, Malaysia; billing, reports, process/product suggestions, AI training data testing → matches the start
Autonomy: Evidence reads like B2: Decides invoicing and all work-related matters for the team; allocates work → matches the start
Accountability: Evidence reads like B1: Timely, quality delivery of a four-person team's regulator filings, invoices and monthly reports → moved down 1
Leadership: Evidence reads like B1: Four direct reports; allocates work and acts as backup for team members → moved down 1
Business Impact: Moved +0.5: the survey / manager mapping marks it business-critical.</t>
        </is>
      </c>
      <c r="FS95"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95" s="56" t="inlineStr">
        <is>
          <t>Self-identified: AI / automation · Product &amp; tool knowledge · Communication &amp; presentation
For the next role: AI / automation · Product &amp; tool knowledge · Communication &amp; presentation</t>
        </is>
      </c>
      <c r="FU95" s="56" t="inlineStr">
        <is>
          <t>Per-person summary · CARBON Mapping Master</t>
        </is>
      </c>
    </row>
    <row r="96" ht="90" customHeight="1">
      <c r="A96" s="51" t="inlineStr">
        <is>
          <t>◂ Back</t>
        </is>
      </c>
      <c r="B96" s="29" t="inlineStr">
        <is>
          <t>Mapped</t>
        </is>
      </c>
      <c r="C96" s="28" t="inlineStr">
        <is>
          <t>CARBON</t>
        </is>
      </c>
      <c r="D96" s="29" t="inlineStr">
        <is>
          <t>IRIS2071</t>
        </is>
      </c>
      <c r="E96" s="29" t="inlineStr">
        <is>
          <t>Priyanka Mehra</t>
        </is>
      </c>
      <c r="F96" s="29" t="inlineStr">
        <is>
          <t>Services</t>
        </is>
      </c>
      <c r="G96" s="29" t="inlineStr">
        <is>
          <t>Project Manager Officer</t>
        </is>
      </c>
      <c r="H96" s="29" t="inlineStr">
        <is>
          <t>PMO Manager</t>
        </is>
      </c>
      <c r="I96" s="29" t="inlineStr">
        <is>
          <t>L5 – Manager</t>
        </is>
      </c>
      <c r="J96" s="29" t="inlineStr">
        <is>
          <t>B2</t>
        </is>
      </c>
      <c r="K96" s="29" t="inlineStr">
        <is>
          <t>• Same level</t>
        </is>
      </c>
      <c r="L96" s="29" t="inlineStr">
        <is>
          <t>Project &amp; Program Management</t>
        </is>
      </c>
      <c r="M96" s="29" t="inlineStr">
        <is>
          <t>PMO &amp; Delivery Excellence</t>
        </is>
      </c>
      <c r="N96" s="29" t="n"/>
      <c r="O96" s="29" t="n">
        <v>20</v>
      </c>
      <c r="P96" s="28" t="inlineStr">
        <is>
          <t>P4 / M3</t>
        </is>
      </c>
      <c r="Q96" s="29" t="inlineStr">
        <is>
          <t>Senior / Manager</t>
        </is>
      </c>
      <c r="R96" s="29" t="inlineStr">
        <is>
          <t>4–5</t>
        </is>
      </c>
      <c r="S96" s="29" t="inlineStr">
        <is>
          <t>6–9 yrs</t>
        </is>
      </c>
      <c r="T96" s="29" t="inlineStr">
        <is>
          <t>7–10 · 6–11</t>
        </is>
      </c>
      <c r="U96" s="29" t="inlineStr">
        <is>
          <t>Manager</t>
        </is>
      </c>
      <c r="V96" s="29" t="inlineStr">
        <is>
          <t>IRIS Vs Competitor Benchmark — PMI pathway + SaaS delivery ladder: Senior PM</t>
        </is>
      </c>
      <c r="W96" s="29" t="inlineStr">
        <is>
          <t>PMI PMBOK and Talent Triangle; CAPM · entry → PMP → PgMP; Scrum / SAFe</t>
        </is>
      </c>
      <c r="X96" s="29" t="inlineStr">
        <is>
          <t>Core 3 · Future 3 · Functional 4 · Leadership 3</t>
        </is>
      </c>
      <c r="Y96" s="52" t="n">
        <v>247</v>
      </c>
      <c r="Z96" s="53" t="inlineStr">
        <is>
          <t>IRIS2071</t>
        </is>
      </c>
      <c r="AA96" s="53" t="inlineStr">
        <is>
          <t>Employee</t>
        </is>
      </c>
      <c r="AB96" s="53" t="inlineStr">
        <is>
          <t>Active</t>
        </is>
      </c>
      <c r="AC96" s="53" t="inlineStr">
        <is>
          <t>Priyanka Mehra</t>
        </is>
      </c>
      <c r="AD96" s="54" t="n">
        <v>44851</v>
      </c>
      <c r="AE96" s="53" t="inlineStr">
        <is>
          <t>Project Manager Officer</t>
        </is>
      </c>
      <c r="AF96" s="53" t="inlineStr">
        <is>
          <t>B.Com</t>
        </is>
      </c>
      <c r="AG96" s="53" t="inlineStr">
        <is>
          <t>Mayur Zope</t>
        </is>
      </c>
      <c r="AH96" s="53" t="inlineStr">
        <is>
          <t>N-6</t>
        </is>
      </c>
      <c r="AI96" s="53" t="inlineStr">
        <is>
          <t>Manager</t>
        </is>
      </c>
      <c r="AJ96" s="53" t="inlineStr">
        <is>
          <t>13 years, 1 months, 0 days</t>
        </is>
      </c>
      <c r="AK96" s="53" t="inlineStr">
        <is>
          <t>3 years, 10 months, 8 days</t>
        </is>
      </c>
      <c r="AL96" s="53" t="inlineStr">
        <is>
          <t>Regtech</t>
        </is>
      </c>
      <c r="AM96" s="53" t="inlineStr">
        <is>
          <t>CARBON</t>
        </is>
      </c>
      <c r="AN96" s="53" t="inlineStr">
        <is>
          <t>Services</t>
        </is>
      </c>
      <c r="AO96" s="53" t="inlineStr">
        <is>
          <t>Expert Assisted services</t>
        </is>
      </c>
      <c r="AP96" s="53" t="inlineStr">
        <is>
          <t>No</t>
        </is>
      </c>
      <c r="AQ96" s="53" t="inlineStr">
        <is>
          <t>Professional Services</t>
        </is>
      </c>
      <c r="AR96" s="53" t="inlineStr">
        <is>
          <t>Project Management_Jr</t>
        </is>
      </c>
      <c r="AS96" s="53" t="inlineStr">
        <is>
          <t>Non-technical</t>
        </is>
      </c>
      <c r="AT96" s="53" t="n">
        <v>20</v>
      </c>
      <c r="AU96" s="53" t="inlineStr">
        <is>
          <t>Covered</t>
        </is>
      </c>
      <c r="AV96" s="53" t="inlineStr">
        <is>
          <t>IRIS2071</t>
        </is>
      </c>
      <c r="AW96" s="53" t="inlineStr">
        <is>
          <t>Priyanka Mehra</t>
        </is>
      </c>
      <c r="AX96" s="53" t="inlineStr">
        <is>
          <t>Services</t>
        </is>
      </c>
      <c r="AY96" s="53" t="inlineStr">
        <is>
          <t>Professional Services</t>
        </is>
      </c>
      <c r="AZ96" s="53" t="inlineStr">
        <is>
          <t>XBRL / Regulatory Reporting</t>
        </is>
      </c>
      <c r="BA96" s="53" t="n"/>
      <c r="BB96" s="53" t="n"/>
      <c r="BC96" s="53" t="inlineStr">
        <is>
          <t>Employee</t>
        </is>
      </c>
      <c r="BD96" s="53" t="inlineStr">
        <is>
          <t>Mayur Zope</t>
        </is>
      </c>
      <c r="BE96" s="53" t="inlineStr">
        <is>
          <t>Mayur Zope</t>
        </is>
      </c>
      <c r="BF96" s="53" t="inlineStr">
        <is>
          <t>No</t>
        </is>
      </c>
      <c r="BG96" s="53" t="inlineStr">
        <is>
          <t>Project Manager Officer</t>
        </is>
      </c>
      <c r="BH96" s="53" t="inlineStr">
        <is>
          <t>Manager Services</t>
        </is>
      </c>
      <c r="BI96" s="53" t="inlineStr">
        <is>
          <t>Yes</t>
        </is>
      </c>
      <c r="BJ96" s="53" t="n">
        <v>6</v>
      </c>
      <c r="BK96" s="53" t="n">
        <v>4</v>
      </c>
      <c r="BL96" s="53" t="n">
        <v>2</v>
      </c>
      <c r="BM96" s="53" t="inlineStr">
        <is>
          <t>Healthy</t>
        </is>
      </c>
      <c r="BN96" s="53" t="n">
        <v>6</v>
      </c>
      <c r="BO96" s="53" t="n">
        <v>4</v>
      </c>
      <c r="BP96" s="53" t="n">
        <v>2</v>
      </c>
      <c r="BQ96" s="53" t="inlineStr">
        <is>
          <t>Healthy</t>
        </is>
      </c>
      <c r="BR96" s="53" t="inlineStr">
        <is>
          <t>No</t>
        </is>
      </c>
      <c r="BS96" s="53" t="inlineStr">
        <is>
          <t>L5 – Manager</t>
        </is>
      </c>
      <c r="BT96" s="53" t="inlineStr">
        <is>
          <t>L5</t>
        </is>
      </c>
      <c r="BU96" s="53" t="inlineStr">
        <is>
          <t>Designation refined from Raw tab Comments column · this update</t>
        </is>
      </c>
      <c r="BV96"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96" s="53" t="n"/>
      <c r="BX96" s="53" t="inlineStr">
        <is>
          <t>South Africa - CIPC, Malaysia.</t>
        </is>
      </c>
      <c r="BY96" s="53" t="n"/>
      <c r="BZ96" s="53" t="inlineStr">
        <is>
          <t>IRIS2071</t>
        </is>
      </c>
      <c r="CA96" s="53" t="inlineStr">
        <is>
          <t>Employee</t>
        </is>
      </c>
      <c r="CB96" s="53" t="inlineStr">
        <is>
          <t>Active</t>
        </is>
      </c>
      <c r="CC96" s="53" t="inlineStr">
        <is>
          <t>Priyanka Mehra</t>
        </is>
      </c>
      <c r="CD96" s="54" t="n">
        <v>44851</v>
      </c>
      <c r="CE96" s="53" t="inlineStr">
        <is>
          <t>Project Manager Officer</t>
        </is>
      </c>
      <c r="CF96" s="53" t="n"/>
      <c r="CG96" s="53" t="inlineStr">
        <is>
          <t>Professional Services</t>
        </is>
      </c>
      <c r="CH96" s="53" t="inlineStr">
        <is>
          <t>XBRL / Regulatory Reporting</t>
        </is>
      </c>
      <c r="CI96" s="53" t="inlineStr">
        <is>
          <t>Manager Services</t>
        </is>
      </c>
      <c r="CJ96" s="53" t="inlineStr">
        <is>
          <t>L5 – Manager</t>
        </is>
      </c>
      <c r="CK96" s="53" t="inlineStr">
        <is>
          <t>Mayur Zope</t>
        </is>
      </c>
      <c r="CL96" s="53" t="inlineStr">
        <is>
          <t>N-6</t>
        </is>
      </c>
      <c r="CM96" s="53" t="inlineStr">
        <is>
          <t>Manager</t>
        </is>
      </c>
      <c r="CN96" s="53" t="inlineStr">
        <is>
          <t>Regtech</t>
        </is>
      </c>
      <c r="CO96" s="53" t="inlineStr">
        <is>
          <t>Services</t>
        </is>
      </c>
      <c r="CP96" s="53" t="inlineStr">
        <is>
          <t>16 years, 9 months, 3 days</t>
        </is>
      </c>
      <c r="CQ96" s="53" t="inlineStr">
        <is>
          <t>Manager - Services</t>
        </is>
      </c>
      <c r="CR96" s="53" t="n"/>
      <c r="CS96" s="53" t="n">
        <v>4</v>
      </c>
      <c r="CT96" s="53" t="inlineStr">
        <is>
          <t>High</t>
        </is>
      </c>
      <c r="CU96" s="53" t="inlineStr">
        <is>
          <t>Core Contributor</t>
        </is>
      </c>
      <c r="CV96" s="53" t="inlineStr">
        <is>
          <t>No</t>
        </is>
      </c>
      <c r="CW96" s="53" t="inlineStr">
        <is>
          <t>No</t>
        </is>
      </c>
      <c r="CX96" s="53" t="inlineStr">
        <is>
          <t>Yes</t>
        </is>
      </c>
      <c r="CY96" s="53" t="n"/>
      <c r="CZ96" s="53" t="n"/>
      <c r="DA96" s="53" t="n"/>
      <c r="DB96" s="53" t="inlineStr">
        <is>
          <t>Title to be changed to Manager Services</t>
        </is>
      </c>
      <c r="DC96" s="53" t="n"/>
      <c r="DD96" s="53" t="n"/>
      <c r="DE96" s="53" t="n"/>
      <c r="DF96" s="53" t="n"/>
      <c r="DG96" s="53" t="n"/>
      <c r="DH96" s="53" t="n"/>
      <c r="DI96" s="53" t="n"/>
      <c r="DJ96" s="53" t="n"/>
      <c r="DK96" s="53" t="n"/>
      <c r="DL96" s="53" t="n"/>
      <c r="DM96" s="53" t="n"/>
      <c r="DN96" s="53" t="n"/>
      <c r="DO96" s="53" t="n"/>
      <c r="DP96" s="53" t="n"/>
      <c r="DQ96" s="53" t="n"/>
      <c r="DR96" s="53" t="n"/>
      <c r="DS96" s="53" t="n"/>
      <c r="DT96" s="53" t="n"/>
      <c r="DU96" s="53" t="n"/>
      <c r="DV96" s="53" t="n"/>
      <c r="DW96" s="53" t="n"/>
      <c r="DX96" s="53" t="n"/>
      <c r="DY96" s="53" t="n"/>
      <c r="DZ96" s="53" t="n"/>
      <c r="EA96" s="53" t="n"/>
      <c r="EB96" s="53" t="n"/>
      <c r="EC96" s="53" t="n"/>
      <c r="ED96" s="53" t="n"/>
      <c r="EE96" s="53" t="n"/>
      <c r="EF96" s="53" t="n"/>
      <c r="EG96" s="53" t="n"/>
      <c r="EH96" s="53" t="n"/>
      <c r="EI96" s="53" t="n"/>
      <c r="EJ96" s="53" t="n"/>
      <c r="EK96" s="53" t="n"/>
      <c r="EL96" s="53" t="n"/>
      <c r="EM96" s="53" t="n"/>
      <c r="EN96" s="53" t="n"/>
      <c r="EO96" s="53" t="n"/>
      <c r="EP96" s="53" t="n"/>
      <c r="EQ96" s="53" t="n"/>
      <c r="ER96" s="53" t="n"/>
      <c r="ES96" s="53" t="n"/>
      <c r="ET96" s="53" t="n"/>
      <c r="EU96" s="53" t="n"/>
      <c r="EV96" s="53" t="n"/>
      <c r="EW96" s="52" t="n"/>
      <c r="EX96" s="53" t="inlineStr">
        <is>
          <t>• Role / sub-team: PMO.</t>
        </is>
      </c>
      <c r="EY96" s="53"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EZ96" s="53" t="inlineStr">
        <is>
          <t>• Current capabilities: Bound with team members.</t>
        </is>
      </c>
      <c r="FA96" s="53" t="inlineStr">
        <is>
          <t>• Development priorities: No input received.
• Learning and Development Need: Client communication.</t>
        </is>
      </c>
      <c r="FB96" s="53" t="inlineStr">
        <is>
          <t>• Key challenges: No input received.
• Support required: No input received.</t>
        </is>
      </c>
      <c r="FC96" s="53" t="n"/>
      <c r="FD96" s="53" t="n"/>
      <c r="FE96"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96" s="56" t="n"/>
      <c r="FG96" s="56" t="n"/>
      <c r="FH96" s="56" t="n"/>
      <c r="FI96" s="56" t="n"/>
      <c r="FJ96" s="56" t="inlineStr">
        <is>
          <t>Received · manager annual</t>
        </is>
      </c>
      <c r="FK96" s="56" t="inlineStr">
        <is>
          <t>CARBON Mapping Master</t>
        </is>
      </c>
      <c r="FL96" s="56" t="n">
        <v>20</v>
      </c>
      <c r="FM96" s="56" t="inlineStr">
        <is>
          <t>• Role / sub-team: PMO.</t>
        </is>
      </c>
      <c r="FN96" s="56"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FO96" s="56" t="inlineStr">
        <is>
          <t>• Current capabilities: Bound with team members.</t>
        </is>
      </c>
      <c r="FP96" s="56" t="inlineStr">
        <is>
          <t>• Development priorities: No input received.
• Learning and Development Need: Client communication.</t>
        </is>
      </c>
      <c r="FQ96" s="56" t="inlineStr">
        <is>
          <t>• Key challenges: No input received.
• Support required: No input received.</t>
        </is>
      </c>
      <c r="FR96" s="56" t="inlineStr">
        <is>
          <t>Complexity: Evidence reads like A3: own survey / KRA answers · summarised by the rater; not quoted → moved down 0.5
Autonomy: Evidence reads like A2: Updates working-level process documents and follows up with clients; escalates bigger issues → moved down 0.5
Accountability: Evidence reads like A3: Accuracy of process documentation and client data; client mailing and file flow → moved down 0.5
Leadership: Evidence reads like A2: Seven reports in HR, but text only mentions understanding team problems and resolving queries → moved down 0.5
Business Impact: Moved +0.5: the survey / manager mapping marks it business-critical.</t>
        </is>
      </c>
      <c r="FS96" s="56" t="n"/>
      <c r="FT96" s="56" t="inlineStr">
        <is>
          <t>Self-identified: AI / automation · Project / programme management · Data, SQL &amp; analytics · Product &amp; tool knowledge · Strategy &amp; business acumen · Broader exposure &amp; ownership
For the next role: AI / automation · Project / programme management · Data, SQL &amp; analytics · Product &amp; tool knowledge · Strategy &amp; business acumen · Broader exposure &amp; ownership</t>
        </is>
      </c>
      <c r="FU96" s="56" t="inlineStr">
        <is>
          <t>Per-person summary · CARBON Mapping Master</t>
        </is>
      </c>
    </row>
    <row r="97" ht="90" customHeight="1">
      <c r="A97" s="51" t="inlineStr">
        <is>
          <t>◂ Back</t>
        </is>
      </c>
      <c r="B97" s="29" t="inlineStr">
        <is>
          <t>Mapped</t>
        </is>
      </c>
      <c r="C97" s="28" t="inlineStr">
        <is>
          <t>CARBON</t>
        </is>
      </c>
      <c r="D97" s="29" t="inlineStr">
        <is>
          <t>IRIS0143</t>
        </is>
      </c>
      <c r="E97" s="29" t="inlineStr">
        <is>
          <t>Ajinkya Dhumal</t>
        </is>
      </c>
      <c r="F97" s="29" t="inlineStr">
        <is>
          <t>Services</t>
        </is>
      </c>
      <c r="G97" s="29" t="inlineStr">
        <is>
          <t>Senior Financial Analyst</t>
        </is>
      </c>
      <c r="H97" s="29" t="inlineStr">
        <is>
          <t>Senior Financial Analyst</t>
        </is>
      </c>
      <c r="I97" s="29" t="inlineStr">
        <is>
          <t>L4 – Senior</t>
        </is>
      </c>
      <c r="J97" s="29" t="inlineStr">
        <is>
          <t>A3</t>
        </is>
      </c>
      <c r="K97" s="29" t="inlineStr">
        <is>
          <t>• Same level</t>
        </is>
      </c>
      <c r="L97" s="29" t="inlineStr">
        <is>
          <t>Consulting &amp; Professional Services</t>
        </is>
      </c>
      <c r="M97" s="29" t="inlineStr">
        <is>
          <t>XBRL Tagging, Conversion &amp; Filing</t>
        </is>
      </c>
      <c r="N97" s="29" t="n"/>
      <c r="O97" s="29" t="n">
        <v>20</v>
      </c>
      <c r="P97" s="28" t="inlineStr">
        <is>
          <t>P2</t>
        </is>
      </c>
      <c r="Q97" s="29" t="inlineStr">
        <is>
          <t>Developing</t>
        </is>
      </c>
      <c r="R97" s="29" t="inlineStr">
        <is>
          <t>3 Apply</t>
        </is>
      </c>
      <c r="S97" s="29" t="inlineStr">
        <is>
          <t>2–4 yrs</t>
        </is>
      </c>
      <c r="T97" s="29" t="inlineStr">
        <is>
          <t>3–5 · 2–5</t>
        </is>
      </c>
      <c r="U97" s="29" t="inlineStr">
        <is>
          <t>Senior Analyst / Associate</t>
        </is>
      </c>
      <c r="V97" s="29" t="inlineStr">
        <is>
          <t>DataTracks: Senior Associate · 2–5 yrs · Big Four: Consultant · IRIS Vs Market Benchmark — XBRL US credential pathway: XBRL US GAAP Certificate</t>
        </is>
      </c>
      <c r="W97" s="29" t="inlineStr">
        <is>
          <t>XBRL US GAAP Certificate · AICPA &amp; XBRL US; XBRL International specifications; IFRS / US GAAP / Ind AS</t>
        </is>
      </c>
      <c r="X97" s="29" t="inlineStr">
        <is>
          <t>Core 2 · Future 2 · Functional 3 · Leadership not scored</t>
        </is>
      </c>
      <c r="Y97" s="52" t="n">
        <v>31</v>
      </c>
      <c r="Z97" s="53" t="inlineStr">
        <is>
          <t>IRIS0143</t>
        </is>
      </c>
      <c r="AA97" s="53" t="inlineStr">
        <is>
          <t>Employee</t>
        </is>
      </c>
      <c r="AB97" s="53" t="inlineStr">
        <is>
          <t>Active</t>
        </is>
      </c>
      <c r="AC97" s="53" t="inlineStr">
        <is>
          <t>Ajinkya Dhumal</t>
        </is>
      </c>
      <c r="AD97" s="54" t="n">
        <v>39413</v>
      </c>
      <c r="AE97" s="53" t="inlineStr">
        <is>
          <t>Senior Financial Analyst</t>
        </is>
      </c>
      <c r="AF97" s="53" t="inlineStr">
        <is>
          <t>B.Com</t>
        </is>
      </c>
      <c r="AG97" s="53" t="inlineStr">
        <is>
          <t>Priyanka Mehra</t>
        </is>
      </c>
      <c r="AH97" s="53" t="inlineStr">
        <is>
          <t>N-7</t>
        </is>
      </c>
      <c r="AI97" s="53" t="inlineStr">
        <is>
          <t>Individual Contributor</t>
        </is>
      </c>
      <c r="AJ97" s="53" t="inlineStr">
        <is>
          <t>0 years, 0 months, 0 days</t>
        </is>
      </c>
      <c r="AK97" s="53" t="inlineStr">
        <is>
          <t>18 years, 8 months, 29 days</t>
        </is>
      </c>
      <c r="AL97" s="53" t="inlineStr">
        <is>
          <t>Regtech</t>
        </is>
      </c>
      <c r="AM97" s="53" t="inlineStr">
        <is>
          <t>CARBON</t>
        </is>
      </c>
      <c r="AN97" s="53" t="inlineStr">
        <is>
          <t>Services</t>
        </is>
      </c>
      <c r="AO97" s="53" t="inlineStr">
        <is>
          <t>Expert Assisted services</t>
        </is>
      </c>
      <c r="AP97" s="53" t="inlineStr">
        <is>
          <t>No</t>
        </is>
      </c>
      <c r="AQ97" s="53" t="inlineStr">
        <is>
          <t>Professional Services</t>
        </is>
      </c>
      <c r="AR97" s="53" t="inlineStr">
        <is>
          <t>XBRL Domain</t>
        </is>
      </c>
      <c r="AS97" s="53" t="inlineStr">
        <is>
          <t>Non-technical</t>
        </is>
      </c>
      <c r="AT97" s="53" t="n">
        <v>20</v>
      </c>
      <c r="AU97" s="53" t="inlineStr">
        <is>
          <t>Covered</t>
        </is>
      </c>
      <c r="AV97" s="53" t="inlineStr">
        <is>
          <t>IRIS0143</t>
        </is>
      </c>
      <c r="AW97" s="53" t="inlineStr">
        <is>
          <t>Ajinkya Dhumal</t>
        </is>
      </c>
      <c r="AX97" s="53" t="inlineStr">
        <is>
          <t>Services</t>
        </is>
      </c>
      <c r="AY97" s="53" t="inlineStr">
        <is>
          <t>Professional Services</t>
        </is>
      </c>
      <c r="AZ97" s="53" t="inlineStr">
        <is>
          <t>XBRL / Regulatory Reporting</t>
        </is>
      </c>
      <c r="BA97" s="53" t="n"/>
      <c r="BB97" s="53" t="n"/>
      <c r="BC97" s="53" t="inlineStr">
        <is>
          <t>Employee</t>
        </is>
      </c>
      <c r="BD97" s="53" t="inlineStr">
        <is>
          <t>Priyanka Mehra</t>
        </is>
      </c>
      <c r="BE97" s="53" t="inlineStr">
        <is>
          <t>Priyanka Mehra</t>
        </is>
      </c>
      <c r="BF97" s="53" t="inlineStr">
        <is>
          <t>No</t>
        </is>
      </c>
      <c r="BG97" s="53" t="inlineStr">
        <is>
          <t>Senior Financial Analyst</t>
        </is>
      </c>
      <c r="BH97" s="53" t="inlineStr">
        <is>
          <t>Senior Services Specialist</t>
        </is>
      </c>
      <c r="BI97" s="53" t="inlineStr">
        <is>
          <t>Yes</t>
        </is>
      </c>
      <c r="BJ97" s="53" t="inlineStr">
        <is>
          <t>—</t>
        </is>
      </c>
      <c r="BK97" s="53" t="inlineStr">
        <is>
          <t>—</t>
        </is>
      </c>
      <c r="BL97" s="53" t="inlineStr">
        <is>
          <t>—</t>
        </is>
      </c>
      <c r="BM97" s="53" t="inlineStr">
        <is>
          <t>Not a manager</t>
        </is>
      </c>
      <c r="BN97" s="53" t="inlineStr">
        <is>
          <t>—</t>
        </is>
      </c>
      <c r="BO97" s="53" t="inlineStr">
        <is>
          <t>—</t>
        </is>
      </c>
      <c r="BP97" s="53" t="inlineStr">
        <is>
          <t>—</t>
        </is>
      </c>
      <c r="BQ97" s="53" t="inlineStr">
        <is>
          <t>Not a manager</t>
        </is>
      </c>
      <c r="BR97" s="53" t="inlineStr">
        <is>
          <t>—</t>
        </is>
      </c>
      <c r="BS97" s="53" t="inlineStr">
        <is>
          <t>L4 – Senior</t>
        </is>
      </c>
      <c r="BT97" s="53" t="inlineStr">
        <is>
          <t>L4 – Senior</t>
        </is>
      </c>
      <c r="BU97" s="53" t="inlineStr">
        <is>
          <t>Designation refined from Raw tab Comments column · this update</t>
        </is>
      </c>
      <c r="BV9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97" s="53" t="n"/>
      <c r="BX97" s="53" t="inlineStr">
        <is>
          <t>South Africa - CIPC.</t>
        </is>
      </c>
      <c r="BY97" s="53" t="n"/>
      <c r="BZ97" s="53" t="inlineStr">
        <is>
          <t>IRIS0143</t>
        </is>
      </c>
      <c r="CA97" s="53" t="inlineStr">
        <is>
          <t>Employee</t>
        </is>
      </c>
      <c r="CB97" s="53" t="inlineStr">
        <is>
          <t>Active</t>
        </is>
      </c>
      <c r="CC97" s="53" t="inlineStr">
        <is>
          <t>Ajinkya Dhumal</t>
        </is>
      </c>
      <c r="CD97" s="54" t="n">
        <v>39413</v>
      </c>
      <c r="CE97" s="53" t="inlineStr">
        <is>
          <t>Senior Financial Analyst</t>
        </is>
      </c>
      <c r="CF97" s="53" t="n"/>
      <c r="CG97" s="53" t="inlineStr">
        <is>
          <t>Professional Services</t>
        </is>
      </c>
      <c r="CH97" s="53" t="inlineStr">
        <is>
          <t>XBRL / Regulatory Reporting</t>
        </is>
      </c>
      <c r="CI97" s="53" t="inlineStr">
        <is>
          <t>Senior Financial Analyst</t>
        </is>
      </c>
      <c r="CJ97" s="53" t="inlineStr">
        <is>
          <t>L4 – Senior</t>
        </is>
      </c>
      <c r="CK97" s="53" t="inlineStr">
        <is>
          <t>Priyanka Mehra</t>
        </is>
      </c>
      <c r="CL97" s="53" t="inlineStr">
        <is>
          <t>N-7</t>
        </is>
      </c>
      <c r="CM97" s="53" t="inlineStr">
        <is>
          <t>Individual Contributor</t>
        </is>
      </c>
      <c r="CN97" s="53" t="inlineStr">
        <is>
          <t>Regtech</t>
        </is>
      </c>
      <c r="CO97" s="53" t="inlineStr">
        <is>
          <t>Services</t>
        </is>
      </c>
      <c r="CP97" s="53" t="inlineStr">
        <is>
          <t>18 years, 6 months, 24 days</t>
        </is>
      </c>
      <c r="CQ97" s="53" t="inlineStr">
        <is>
          <t>Senior Services Specialst</t>
        </is>
      </c>
      <c r="CR97" s="53" t="n"/>
      <c r="CS97" s="53" t="n">
        <v>4</v>
      </c>
      <c r="CT97" s="53" t="inlineStr">
        <is>
          <t>High</t>
        </is>
      </c>
      <c r="CU97" s="53" t="inlineStr">
        <is>
          <t>Core Contributor</t>
        </is>
      </c>
      <c r="CV97" s="53" t="inlineStr">
        <is>
          <t>Yes</t>
        </is>
      </c>
      <c r="CW97" s="53" t="inlineStr">
        <is>
          <t>No</t>
        </is>
      </c>
      <c r="CX97" s="53" t="inlineStr">
        <is>
          <t>Yes</t>
        </is>
      </c>
      <c r="CY97" s="53" t="n"/>
      <c r="CZ97" s="53" t="n"/>
      <c r="DA97" s="53" t="n"/>
      <c r="DB97" s="53" t="inlineStr">
        <is>
          <t>Title to be standardized to: Senior Services Specialist</t>
        </is>
      </c>
      <c r="DC97" s="53" t="n"/>
      <c r="DD97" s="53" t="n"/>
      <c r="DE97" s="53" t="n"/>
      <c r="DF97" s="53" t="n"/>
      <c r="DG97" s="53" t="n"/>
      <c r="DH97" s="53" t="n"/>
      <c r="DI97" s="53" t="n"/>
      <c r="DJ97" s="53" t="n"/>
      <c r="DK97" s="53" t="n"/>
      <c r="DL97" s="53" t="n"/>
      <c r="DM97" s="53" t="n"/>
      <c r="DN97" s="53" t="n"/>
      <c r="DO97" s="53" t="n"/>
      <c r="DP97" s="53" t="n"/>
      <c r="DQ97" s="53" t="n"/>
      <c r="DR97" s="53" t="n"/>
      <c r="DS97" s="53" t="n"/>
      <c r="DT97" s="53" t="n"/>
      <c r="DU97" s="53" t="n"/>
      <c r="DV97" s="53" t="n"/>
      <c r="DW97" s="53" t="n"/>
      <c r="DX97" s="53" t="n"/>
      <c r="DY97" s="53" t="n"/>
      <c r="DZ97" s="53" t="n"/>
      <c r="EA97" s="53" t="n"/>
      <c r="EB97" s="53" t="n"/>
      <c r="EC97" s="53" t="n"/>
      <c r="ED97" s="53" t="n"/>
      <c r="EE97" s="53" t="n"/>
      <c r="EF97" s="53" t="n"/>
      <c r="EG97" s="53" t="n"/>
      <c r="EH97" s="53" t="n"/>
      <c r="EI97" s="53" t="n"/>
      <c r="EJ97" s="53" t="n"/>
      <c r="EK97" s="53" t="n"/>
      <c r="EL97" s="53" t="n"/>
      <c r="EM97" s="53" t="n"/>
      <c r="EN97" s="53" t="n"/>
      <c r="EO97" s="53" t="n"/>
      <c r="EP97" s="53" t="n"/>
      <c r="EQ97" s="53" t="n"/>
      <c r="ER97" s="53" t="n"/>
      <c r="ES97" s="53" t="n"/>
      <c r="ET97" s="53" t="n"/>
      <c r="EU97" s="53" t="n"/>
      <c r="EV97" s="53" t="n"/>
      <c r="EW97" s="52" t="n"/>
      <c r="EX97" s="53" t="inlineStr">
        <is>
          <t>• Role / sub-team: Cipc · carbon service department.</t>
        </is>
      </c>
      <c r="EY97" s="53" t="inlineStr">
        <is>
          <t>• Key responsibilities include: Cipc tagging, QC, training, doubt solving of tagging query and client queries when it is raised.
• Reported deliverables and outcomes include: Mail the final file to carbon SA PMO.</t>
        </is>
      </c>
      <c r="EZ97" s="53" t="inlineStr">
        <is>
          <t>• Current capabilities: Communication skill; Tools / software used: HTML - Editor.</t>
        </is>
      </c>
      <c r="FA97" s="53" t="inlineStr">
        <is>
          <t>• Development priorities: No input received.
• Learning and Development Need: Time management.</t>
        </is>
      </c>
      <c r="FB97" s="53" t="inlineStr">
        <is>
          <t>• Key challenges: No input received.
• Support required: No input received.</t>
        </is>
      </c>
      <c r="FC97" s="53" t="n"/>
      <c r="FD97" s="53" t="n"/>
      <c r="FE9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97" s="56" t="n"/>
      <c r="FG97" s="56" t="n"/>
      <c r="FH97" s="56" t="n"/>
      <c r="FI97" s="56" t="n"/>
      <c r="FJ97" s="56" t="inlineStr">
        <is>
          <t>Received · manager annual</t>
        </is>
      </c>
      <c r="FK97" s="56" t="inlineStr">
        <is>
          <t>CARBON Mapping Master</t>
        </is>
      </c>
      <c r="FL97" s="56" t="n">
        <v>20</v>
      </c>
      <c r="FM97" s="56" t="inlineStr">
        <is>
          <t>• Role / sub-team: Cipc · carbon service department.</t>
        </is>
      </c>
      <c r="FN97" s="56" t="inlineStr">
        <is>
          <t>• Key responsibilities include: Cipc tagging, QC, training, doubt solving of tagging query and client queries when it is raised.
• Reported deliverables and outcomes include: Mail the final file to carbon SA PMO.</t>
        </is>
      </c>
      <c r="FO97" s="56" t="inlineStr">
        <is>
          <t>• Current capabilities: Communication skill; Tools / software used: HTML - Editor.</t>
        </is>
      </c>
      <c r="FP97" s="56" t="inlineStr">
        <is>
          <t>• Development priorities: No input received.
• Learning and Development Need: Time management.</t>
        </is>
      </c>
      <c r="FQ97" s="56" t="inlineStr">
        <is>
          <t>• Key challenges: No input received.
• Support required: No input received.</t>
        </is>
      </c>
      <c r="FR97" s="56" t="inlineStr">
        <is>
          <t>Complexity: Evidence reads like A3: CIPC iXBRL tagging, quality checking, validation-error investigation and doubt solving → matches the start
Autonomy: Evidence reads like A2: Selects tags from the taxonomy, investigates common validation errors, prioritises assigned work → moved down 0.5
Accountability: Evidence reads like A2: Accuracy and completeness of own tagging; final file mailed to SA PMO → moved down 0.5
Leadership: Evidence reads like A2: Manager note lists training and solving tagging doubts; survey gives no detail → matches the start
Business Impact: Moved +0.5: the survey / manager mapping marks it business-critical.</t>
        </is>
      </c>
      <c r="FS9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7" s="56" t="inlineStr">
        <is>
          <t>Self-identified: Domain, regulatory &amp; XBRL
For the next role: AI / automation · Leadership &amp; people management · Testing &amp; quality · Data, SQL &amp; analytics · Domain, regulatory &amp; XBRL · Product &amp; tool knowledge · Broader exposure &amp; ownership</t>
        </is>
      </c>
      <c r="FU97" s="56" t="inlineStr">
        <is>
          <t>Per-person summary · CARBON Mapping Master</t>
        </is>
      </c>
    </row>
    <row r="98" ht="90" customHeight="1">
      <c r="A98" s="51" t="inlineStr">
        <is>
          <t>◂ Back</t>
        </is>
      </c>
      <c r="B98" s="29" t="inlineStr">
        <is>
          <t>Mapped</t>
        </is>
      </c>
      <c r="C98" s="28" t="inlineStr">
        <is>
          <t>CARBON</t>
        </is>
      </c>
      <c r="D98" s="29" t="inlineStr">
        <is>
          <t>IRIS2230</t>
        </is>
      </c>
      <c r="E98" s="29" t="inlineStr">
        <is>
          <t>Palak Verma</t>
        </is>
      </c>
      <c r="F98" s="29" t="inlineStr">
        <is>
          <t>Services</t>
        </is>
      </c>
      <c r="G98" s="29" t="inlineStr">
        <is>
          <t>Financial Analyst</t>
        </is>
      </c>
      <c r="H98" s="29" t="inlineStr">
        <is>
          <t>Senior Financial Analyst</t>
        </is>
      </c>
      <c r="I98" s="29" t="inlineStr">
        <is>
          <t>L3 – Professional / Associate</t>
        </is>
      </c>
      <c r="J98" s="29" t="inlineStr">
        <is>
          <t>A3</t>
        </is>
      </c>
      <c r="K98" s="29" t="inlineStr">
        <is>
          <t>▲ Up</t>
        </is>
      </c>
      <c r="L98" s="29" t="inlineStr">
        <is>
          <t>Consulting &amp; Professional Services</t>
        </is>
      </c>
      <c r="M98" s="29" t="inlineStr">
        <is>
          <t>XBRL Tagging, Conversion &amp; Filing</t>
        </is>
      </c>
      <c r="N98" s="29" t="n"/>
      <c r="O98" s="29" t="n">
        <v>0</v>
      </c>
      <c r="P98" s="28" t="inlineStr">
        <is>
          <t>P2</t>
        </is>
      </c>
      <c r="Q98" s="29" t="inlineStr">
        <is>
          <t>Developing</t>
        </is>
      </c>
      <c r="R98" s="29" t="inlineStr">
        <is>
          <t>3 Apply</t>
        </is>
      </c>
      <c r="S98" s="29" t="inlineStr">
        <is>
          <t>2–4 yrs</t>
        </is>
      </c>
      <c r="T98" s="29" t="inlineStr">
        <is>
          <t>3–5 · 2–5</t>
        </is>
      </c>
      <c r="U98" s="29" t="inlineStr">
        <is>
          <t>Senior Analyst / Associate</t>
        </is>
      </c>
      <c r="V98" s="29" t="inlineStr">
        <is>
          <t>DataTracks: Senior Associate · 2–5 yrs · Big Four: Consultant · IRIS Vs Market Benchmark — XBRL US credential pathway: XBRL US GAAP Certificate</t>
        </is>
      </c>
      <c r="W98" s="29" t="inlineStr">
        <is>
          <t>XBRL US GAAP Certificate · AICPA &amp; XBRL US; XBRL International specifications; IFRS / US GAAP / Ind AS</t>
        </is>
      </c>
      <c r="X98" s="29" t="inlineStr">
        <is>
          <t>Core 2 · Future 2 · Functional 3 · Leadership not scored</t>
        </is>
      </c>
      <c r="Y98" s="52" t="n">
        <v>310</v>
      </c>
      <c r="Z98" s="53" t="inlineStr">
        <is>
          <t>IRIS2230</t>
        </is>
      </c>
      <c r="AA98" s="53" t="inlineStr">
        <is>
          <t>Employee</t>
        </is>
      </c>
      <c r="AB98" s="53" t="inlineStr">
        <is>
          <t>Active</t>
        </is>
      </c>
      <c r="AC98" s="53" t="inlineStr">
        <is>
          <t>Palak Verma</t>
        </is>
      </c>
      <c r="AD98" s="54" t="n">
        <v>45362</v>
      </c>
      <c r="AE98" s="53" t="inlineStr">
        <is>
          <t>Financial Analyst</t>
        </is>
      </c>
      <c r="AF98" s="53" t="inlineStr">
        <is>
          <t>B.Com</t>
        </is>
      </c>
      <c r="AG98" s="53" t="inlineStr">
        <is>
          <t>Priyanka Mehra</t>
        </is>
      </c>
      <c r="AH98" s="53" t="inlineStr">
        <is>
          <t>N-7</t>
        </is>
      </c>
      <c r="AI98" s="53" t="inlineStr">
        <is>
          <t>Individual Contributor</t>
        </is>
      </c>
      <c r="AJ98" s="53" t="inlineStr">
        <is>
          <t>3 years, 0 months, 0 days</t>
        </is>
      </c>
      <c r="AK98" s="53" t="inlineStr">
        <is>
          <t>2 years, 5 months, 14 days</t>
        </is>
      </c>
      <c r="AL98" s="53" t="inlineStr">
        <is>
          <t>Regtech</t>
        </is>
      </c>
      <c r="AM98" s="53" t="inlineStr">
        <is>
          <t>CARBON</t>
        </is>
      </c>
      <c r="AN98" s="53" t="inlineStr">
        <is>
          <t>Services</t>
        </is>
      </c>
      <c r="AO98" s="53" t="inlineStr">
        <is>
          <t>Expert Assisted services</t>
        </is>
      </c>
      <c r="AP98" s="53" t="inlineStr">
        <is>
          <t>No</t>
        </is>
      </c>
      <c r="AQ98" s="53" t="inlineStr">
        <is>
          <t>Professional Services</t>
        </is>
      </c>
      <c r="AR98" s="53" t="inlineStr">
        <is>
          <t>XBRL Domain</t>
        </is>
      </c>
      <c r="AS98" s="53" t="inlineStr">
        <is>
          <t>Non-technical</t>
        </is>
      </c>
      <c r="AT98" s="53" t="n">
        <v>0</v>
      </c>
      <c r="AU98" s="53" t="inlineStr">
        <is>
          <t>E-Maternity</t>
        </is>
      </c>
      <c r="AV98" s="53" t="inlineStr">
        <is>
          <t>IRIS2230</t>
        </is>
      </c>
      <c r="AW98" s="53" t="inlineStr">
        <is>
          <t>Palak Verma</t>
        </is>
      </c>
      <c r="AX98" s="53" t="inlineStr">
        <is>
          <t>Services</t>
        </is>
      </c>
      <c r="AY98" s="53" t="inlineStr">
        <is>
          <t>Professional Services</t>
        </is>
      </c>
      <c r="AZ98" s="53" t="inlineStr">
        <is>
          <t>XBRL / Regulatory Reporting</t>
        </is>
      </c>
      <c r="BA98" s="53" t="n"/>
      <c r="BB98" s="53" t="n"/>
      <c r="BC98" s="53" t="inlineStr">
        <is>
          <t>Employee</t>
        </is>
      </c>
      <c r="BD98" s="53" t="inlineStr">
        <is>
          <t>Mohammed Dholkawala</t>
        </is>
      </c>
      <c r="BE98" s="53" t="inlineStr">
        <is>
          <t>Mohammed Dholkawala</t>
        </is>
      </c>
      <c r="BF98" s="53" t="inlineStr">
        <is>
          <t>No</t>
        </is>
      </c>
      <c r="BG98" s="53" t="inlineStr">
        <is>
          <t>Financial Analyst</t>
        </is>
      </c>
      <c r="BH98" s="53" t="inlineStr">
        <is>
          <t>Services Associate</t>
        </is>
      </c>
      <c r="BI98" s="53" t="inlineStr">
        <is>
          <t>Yes</t>
        </is>
      </c>
      <c r="BJ98" s="53" t="inlineStr">
        <is>
          <t>—</t>
        </is>
      </c>
      <c r="BK98" s="53" t="inlineStr">
        <is>
          <t>—</t>
        </is>
      </c>
      <c r="BL98" s="53" t="inlineStr">
        <is>
          <t>—</t>
        </is>
      </c>
      <c r="BM98" s="53" t="inlineStr">
        <is>
          <t>Not a manager</t>
        </is>
      </c>
      <c r="BN98" s="53" t="inlineStr">
        <is>
          <t>—</t>
        </is>
      </c>
      <c r="BO98" s="53" t="inlineStr">
        <is>
          <t>—</t>
        </is>
      </c>
      <c r="BP98" s="53" t="inlineStr">
        <is>
          <t>—</t>
        </is>
      </c>
      <c r="BQ98" s="53" t="inlineStr">
        <is>
          <t>Not a manager</t>
        </is>
      </c>
      <c r="BR98" s="53" t="inlineStr">
        <is>
          <t>—</t>
        </is>
      </c>
      <c r="BS98" s="53" t="inlineStr">
        <is>
          <t>L3 – Professional / Associate</t>
        </is>
      </c>
      <c r="BT98" s="53" t="inlineStr">
        <is>
          <t>L1</t>
        </is>
      </c>
      <c r="BU98" s="53" t="inlineStr">
        <is>
          <t>Matched from Title Hierarchy · new designation</t>
        </is>
      </c>
      <c r="BV9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98" s="53" t="n"/>
      <c r="BX98" s="53" t="inlineStr">
        <is>
          <t>South Africa - CIPC.</t>
        </is>
      </c>
      <c r="BY98" s="53" t="n"/>
      <c r="BZ98" s="53" t="inlineStr">
        <is>
          <t>IRIS2230</t>
        </is>
      </c>
      <c r="CA98" s="53" t="inlineStr">
        <is>
          <t>Employee</t>
        </is>
      </c>
      <c r="CB98" s="53" t="inlineStr">
        <is>
          <t>Active</t>
        </is>
      </c>
      <c r="CC98" s="53" t="inlineStr">
        <is>
          <t>Palak Verma</t>
        </is>
      </c>
      <c r="CD98" s="54" t="n">
        <v>45362</v>
      </c>
      <c r="CE98" s="53" t="inlineStr">
        <is>
          <t>Financial Analyst</t>
        </is>
      </c>
      <c r="CF98" s="53" t="n"/>
      <c r="CG98" s="53" t="inlineStr">
        <is>
          <t>Professional Services</t>
        </is>
      </c>
      <c r="CH98" s="53" t="inlineStr">
        <is>
          <t>XBRL / Regulatory Reporting</t>
        </is>
      </c>
      <c r="CI98" s="53" t="inlineStr">
        <is>
          <t>Financial Analyst</t>
        </is>
      </c>
      <c r="CJ98" s="53" t="inlineStr">
        <is>
          <t>L3 – Professional / Associate</t>
        </is>
      </c>
      <c r="CK98" s="53" t="inlineStr">
        <is>
          <t>Mohammed Dholkawala</t>
        </is>
      </c>
      <c r="CL98" s="53" t="inlineStr">
        <is>
          <t>N-7</t>
        </is>
      </c>
      <c r="CM98" s="53" t="inlineStr">
        <is>
          <t>Individual Contributor</t>
        </is>
      </c>
      <c r="CN98" s="53" t="inlineStr">
        <is>
          <t>Regtech</t>
        </is>
      </c>
      <c r="CO98" s="53" t="inlineStr">
        <is>
          <t>Services</t>
        </is>
      </c>
      <c r="CP98" s="53" t="inlineStr">
        <is>
          <t>5 years, 3 months, 9 days</t>
        </is>
      </c>
      <c r="CQ98" s="53" t="inlineStr">
        <is>
          <t>Services Associate</t>
        </is>
      </c>
      <c r="CR98" s="53" t="n"/>
      <c r="CS98" s="53" t="n">
        <v>3</v>
      </c>
      <c r="CT98" s="53" t="inlineStr">
        <is>
          <t>Medium</t>
        </is>
      </c>
      <c r="CU98" s="53" t="inlineStr">
        <is>
          <t>Core Contributor</t>
        </is>
      </c>
      <c r="CV98" s="53" t="inlineStr">
        <is>
          <t>No</t>
        </is>
      </c>
      <c r="CW98" s="53" t="inlineStr">
        <is>
          <t>No</t>
        </is>
      </c>
      <c r="CX98" s="53" t="inlineStr">
        <is>
          <t>Yes</t>
        </is>
      </c>
      <c r="CY98" s="53" t="n"/>
      <c r="CZ98" s="53" t="n"/>
      <c r="DA98" s="53" t="n"/>
      <c r="DB98" s="53" t="inlineStr">
        <is>
          <t>Title to be standardized to : Services Associate</t>
        </is>
      </c>
      <c r="DC98" s="53" t="n"/>
      <c r="DD98" s="53" t="n"/>
      <c r="DE98" s="53" t="n"/>
      <c r="DF98" s="53" t="n"/>
      <c r="DG98" s="53" t="n"/>
      <c r="DH98" s="53" t="n"/>
      <c r="DI98" s="53" t="n"/>
      <c r="DJ98" s="53" t="n"/>
      <c r="DK98" s="53" t="n"/>
      <c r="DL98" s="53" t="n"/>
      <c r="DM98" s="53" t="n"/>
      <c r="DN98" s="53" t="n"/>
      <c r="DO98" s="53" t="n"/>
      <c r="DP98" s="53" t="n"/>
      <c r="DQ98" s="53" t="n"/>
      <c r="DR98" s="53" t="n"/>
      <c r="DS98" s="53" t="n"/>
      <c r="DT98" s="53" t="n"/>
      <c r="DU98" s="53" t="n"/>
      <c r="DV98" s="53" t="n"/>
      <c r="DW98" s="53" t="n"/>
      <c r="DX98" s="53" t="n"/>
      <c r="DY98" s="53" t="n"/>
      <c r="DZ98" s="53" t="n"/>
      <c r="EA98" s="53" t="n"/>
      <c r="EB98" s="53" t="n"/>
      <c r="EC98" s="53" t="n"/>
      <c r="ED98" s="53" t="n"/>
      <c r="EE98" s="53" t="n"/>
      <c r="EF98" s="53" t="n"/>
      <c r="EG98" s="53" t="n"/>
      <c r="EH98" s="53" t="n"/>
      <c r="EI98" s="53" t="n"/>
      <c r="EJ98" s="53" t="n"/>
      <c r="EK98" s="53" t="n"/>
      <c r="EL98" s="53" t="n"/>
      <c r="EM98" s="53" t="n"/>
      <c r="EN98" s="53" t="n"/>
      <c r="EO98" s="53" t="n"/>
      <c r="EP98" s="53" t="n"/>
      <c r="EQ98" s="53" t="n"/>
      <c r="ER98" s="53" t="n"/>
      <c r="ES98" s="53" t="n"/>
      <c r="ET98" s="53" t="n"/>
      <c r="EU98" s="53" t="n"/>
      <c r="EV98" s="53" t="n"/>
      <c r="EW98" s="52" t="n"/>
      <c r="EX98" s="53" t="inlineStr">
        <is>
          <t>• Role / sub-team: CIPC tagging.</t>
        </is>
      </c>
      <c r="EY98" s="53"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EZ98" s="53" t="inlineStr">
        <is>
          <t>• Current capabilities: Good communication skills; Punctuality and availabil; Tools / software used: HTML editor.</t>
        </is>
      </c>
      <c r="FA98" s="53" t="inlineStr">
        <is>
          <t>• Development priorities: No input received.
• Learning and Development Need: Sincerity, Time Management.</t>
        </is>
      </c>
      <c r="FB98" s="53" t="inlineStr">
        <is>
          <t>• Key challenges: No input received.
• Support required: No input received.</t>
        </is>
      </c>
      <c r="FC98" s="53" t="n"/>
      <c r="FD98" s="53" t="n"/>
      <c r="FE9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98" s="56" t="n"/>
      <c r="FG98" s="56" t="n"/>
      <c r="FH98" s="56" t="n"/>
      <c r="FI98" s="56" t="n"/>
      <c r="FJ98" s="56" t="inlineStr">
        <is>
          <t>Received · manager annual</t>
        </is>
      </c>
      <c r="FK98" s="56" t="inlineStr">
        <is>
          <t>CARBON Mapping Master</t>
        </is>
      </c>
      <c r="FL98" s="56" t="n">
        <v>0</v>
      </c>
      <c r="FM98" s="56" t="inlineStr">
        <is>
          <t>• Role / sub-team: CIPC tagging.</t>
        </is>
      </c>
      <c r="FN98" s="56"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FO98" s="56" t="inlineStr">
        <is>
          <t>• Current capabilities: Good communication skills; Punctuality and availabil; Tools / software used: HTML editor.</t>
        </is>
      </c>
      <c r="FP98" s="56" t="inlineStr">
        <is>
          <t>• Development priorities: No input received.
• Learning and Development Need: Sincerity, Time Management.</t>
        </is>
      </c>
      <c r="FQ98" s="56" t="inlineStr">
        <is>
          <t>• Key challenges: No input received.
• Support required: No input received.</t>
        </is>
      </c>
      <c r="FR98" s="56" t="inlineStr">
        <is>
          <t>Complexity: Evidence reads like A2: Manager note only: CIPC tagging, QC, validations and sending the final mail → matches the start
Autonomy: Evidence: no survey answers or KRAs on file → rating stays at the start
Accountability: Evidence reads like A2: Own completed CIPC files emailed to the PMO → matches the start
Leadership: Evidence reads like A1: Manager note mentions no guidance of others → matches the start
Business Impact: Moved +0.5: the survey / manager mapping marks it business-critical.</t>
        </is>
      </c>
      <c r="FS9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8" s="56" t="inlineStr">
        <is>
          <t>Self-identified: Answered · no common topic</t>
        </is>
      </c>
      <c r="FU98" s="56" t="inlineStr">
        <is>
          <t>Per-person summary · CARBON Mapping Master</t>
        </is>
      </c>
    </row>
    <row r="99" ht="90" customHeight="1">
      <c r="A99" s="51" t="inlineStr">
        <is>
          <t>◂ Back</t>
        </is>
      </c>
      <c r="B99" s="29" t="inlineStr">
        <is>
          <t>Mapped</t>
        </is>
      </c>
      <c r="C99" s="28" t="inlineStr">
        <is>
          <t>CARBON</t>
        </is>
      </c>
      <c r="D99" s="29" t="inlineStr">
        <is>
          <t>IRIS1340</t>
        </is>
      </c>
      <c r="E99" s="29" t="inlineStr">
        <is>
          <t>Rajendra Gupta</t>
        </is>
      </c>
      <c r="F99" s="29" t="inlineStr">
        <is>
          <t>Services</t>
        </is>
      </c>
      <c r="G99" s="29" t="inlineStr">
        <is>
          <t>Financial Analyst</t>
        </is>
      </c>
      <c r="H99" s="29" t="inlineStr">
        <is>
          <t>Senior Financial Analyst</t>
        </is>
      </c>
      <c r="I99" s="29" t="inlineStr">
        <is>
          <t>L3 – Professional / Associate</t>
        </is>
      </c>
      <c r="J99" s="29" t="inlineStr">
        <is>
          <t>A3</t>
        </is>
      </c>
      <c r="K99" s="29" t="inlineStr">
        <is>
          <t>▲ Up</t>
        </is>
      </c>
      <c r="L99" s="29" t="inlineStr">
        <is>
          <t>Consulting &amp; Professional Services</t>
        </is>
      </c>
      <c r="M99" s="29" t="inlineStr">
        <is>
          <t>XBRL Tagging, Conversion &amp; Filing</t>
        </is>
      </c>
      <c r="N99" s="29" t="n"/>
      <c r="O99" s="29" t="n">
        <v>20</v>
      </c>
      <c r="P99" s="28" t="inlineStr">
        <is>
          <t>P2</t>
        </is>
      </c>
      <c r="Q99" s="29" t="inlineStr">
        <is>
          <t>Developing</t>
        </is>
      </c>
      <c r="R99" s="29" t="inlineStr">
        <is>
          <t>3 Apply</t>
        </is>
      </c>
      <c r="S99" s="29" t="inlineStr">
        <is>
          <t>2–4 yrs</t>
        </is>
      </c>
      <c r="T99" s="29" t="inlineStr">
        <is>
          <t>3–5 · 2–5</t>
        </is>
      </c>
      <c r="U99" s="29" t="inlineStr">
        <is>
          <t>Senior Analyst / Associate</t>
        </is>
      </c>
      <c r="V99" s="29" t="inlineStr">
        <is>
          <t>DataTracks: Senior Associate · 2–5 yrs · Big Four: Consultant · IRIS Vs Market Benchmark — XBRL US credential pathway: XBRL US GAAP Certificate</t>
        </is>
      </c>
      <c r="W99" s="29" t="inlineStr">
        <is>
          <t>XBRL US GAAP Certificate · AICPA &amp; XBRL US; XBRL International specifications; IFRS / US GAAP / Ind AS</t>
        </is>
      </c>
      <c r="X99" s="29" t="inlineStr">
        <is>
          <t>Core 2 · Future 2 · Functional 3 · Leadership not scored</t>
        </is>
      </c>
      <c r="Y99" s="52" t="n">
        <v>118</v>
      </c>
      <c r="Z99" s="53" t="inlineStr">
        <is>
          <t>IRIS1340</t>
        </is>
      </c>
      <c r="AA99" s="53" t="inlineStr">
        <is>
          <t>Employee</t>
        </is>
      </c>
      <c r="AB99" s="53" t="inlineStr">
        <is>
          <t>Active</t>
        </is>
      </c>
      <c r="AC99" s="53" t="inlineStr">
        <is>
          <t>Rajendra Gupta</t>
        </is>
      </c>
      <c r="AD99" s="54" t="n">
        <v>41437</v>
      </c>
      <c r="AE99" s="53" t="inlineStr">
        <is>
          <t>Financial Analyst</t>
        </is>
      </c>
      <c r="AF99" s="53" t="inlineStr">
        <is>
          <t>MBA</t>
        </is>
      </c>
      <c r="AG99" s="53" t="inlineStr">
        <is>
          <t>Priyanka Mehra</t>
        </is>
      </c>
      <c r="AH99" s="53" t="inlineStr">
        <is>
          <t>N-7</t>
        </is>
      </c>
      <c r="AI99" s="53" t="inlineStr">
        <is>
          <t>Individual Contributor</t>
        </is>
      </c>
      <c r="AJ99" s="53" t="inlineStr">
        <is>
          <t>1 years, 0 months, 0 days</t>
        </is>
      </c>
      <c r="AK99" s="53" t="inlineStr">
        <is>
          <t>13 years, 2 months, 13 days</t>
        </is>
      </c>
      <c r="AL99" s="53" t="inlineStr">
        <is>
          <t>Regtech</t>
        </is>
      </c>
      <c r="AM99" s="53" t="inlineStr">
        <is>
          <t>CARBON</t>
        </is>
      </c>
      <c r="AN99" s="53" t="inlineStr">
        <is>
          <t>Services</t>
        </is>
      </c>
      <c r="AO99" s="53" t="inlineStr">
        <is>
          <t>Expert Assisted services</t>
        </is>
      </c>
      <c r="AP99" s="53" t="inlineStr">
        <is>
          <t>No</t>
        </is>
      </c>
      <c r="AQ99" s="53" t="inlineStr">
        <is>
          <t>Professional Services</t>
        </is>
      </c>
      <c r="AR99" s="53" t="inlineStr">
        <is>
          <t>XBRL Domain</t>
        </is>
      </c>
      <c r="AS99" s="53" t="inlineStr">
        <is>
          <t>Non-technical</t>
        </is>
      </c>
      <c r="AT99" s="53" t="n">
        <v>20</v>
      </c>
      <c r="AU99" s="53" t="inlineStr">
        <is>
          <t>Covered</t>
        </is>
      </c>
      <c r="AV99" s="53" t="inlineStr">
        <is>
          <t>IRIS1340</t>
        </is>
      </c>
      <c r="AW99" s="53" t="inlineStr">
        <is>
          <t>Rajendra Gupta</t>
        </is>
      </c>
      <c r="AX99" s="53" t="inlineStr">
        <is>
          <t>Services</t>
        </is>
      </c>
      <c r="AY99" s="53" t="inlineStr">
        <is>
          <t>Professional Services</t>
        </is>
      </c>
      <c r="AZ99" s="53" t="inlineStr">
        <is>
          <t>XBRL / Regulatory Reporting</t>
        </is>
      </c>
      <c r="BA99" s="53" t="n"/>
      <c r="BB99" s="53" t="n"/>
      <c r="BC99" s="53" t="inlineStr">
        <is>
          <t>Employee</t>
        </is>
      </c>
      <c r="BD99" s="53" t="inlineStr">
        <is>
          <t>Priyanka Mehra</t>
        </is>
      </c>
      <c r="BE99" s="53" t="inlineStr">
        <is>
          <t>Priyanka Mehra</t>
        </is>
      </c>
      <c r="BF99" s="53" t="inlineStr">
        <is>
          <t>No</t>
        </is>
      </c>
      <c r="BG99" s="53" t="inlineStr">
        <is>
          <t>Financial Analyst</t>
        </is>
      </c>
      <c r="BH99" s="53" t="inlineStr">
        <is>
          <t>Services Specialist</t>
        </is>
      </c>
      <c r="BI99" s="53" t="inlineStr">
        <is>
          <t>Yes</t>
        </is>
      </c>
      <c r="BJ99" s="53" t="inlineStr">
        <is>
          <t>—</t>
        </is>
      </c>
      <c r="BK99" s="53" t="inlineStr">
        <is>
          <t>—</t>
        </is>
      </c>
      <c r="BL99" s="53" t="inlineStr">
        <is>
          <t>—</t>
        </is>
      </c>
      <c r="BM99" s="53" t="inlineStr">
        <is>
          <t>Not a manager</t>
        </is>
      </c>
      <c r="BN99" s="53" t="inlineStr">
        <is>
          <t>—</t>
        </is>
      </c>
      <c r="BO99" s="53" t="inlineStr">
        <is>
          <t>—</t>
        </is>
      </c>
      <c r="BP99" s="53" t="inlineStr">
        <is>
          <t>—</t>
        </is>
      </c>
      <c r="BQ99" s="53" t="inlineStr">
        <is>
          <t>Not a manager</t>
        </is>
      </c>
      <c r="BR99" s="53" t="inlineStr">
        <is>
          <t>—</t>
        </is>
      </c>
      <c r="BS99" s="53" t="inlineStr">
        <is>
          <t>L3 – Professional / Associate</t>
        </is>
      </c>
      <c r="BT99" s="53" t="inlineStr">
        <is>
          <t>L2</t>
        </is>
      </c>
      <c r="BU99" s="53" t="inlineStr">
        <is>
          <t>Matched from Title Hierarchy · new designation</t>
        </is>
      </c>
      <c r="BV9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99" s="53" t="n"/>
      <c r="BX99" s="53" t="inlineStr">
        <is>
          <t>South Africa - CIPC; India - MCA.</t>
        </is>
      </c>
      <c r="BY99" s="53" t="n"/>
      <c r="BZ99" s="53" t="inlineStr">
        <is>
          <t>IRIS1340</t>
        </is>
      </c>
      <c r="CA99" s="53" t="inlineStr">
        <is>
          <t>Employee</t>
        </is>
      </c>
      <c r="CB99" s="53" t="inlineStr">
        <is>
          <t>Active</t>
        </is>
      </c>
      <c r="CC99" s="53" t="inlineStr">
        <is>
          <t>Rajendra Gupta</t>
        </is>
      </c>
      <c r="CD99" s="54" t="n">
        <v>41437</v>
      </c>
      <c r="CE99" s="53" t="inlineStr">
        <is>
          <t>Financial Analyst</t>
        </is>
      </c>
      <c r="CF99" s="53" t="n"/>
      <c r="CG99" s="53" t="inlineStr">
        <is>
          <t>Professional Services</t>
        </is>
      </c>
      <c r="CH99" s="53" t="inlineStr">
        <is>
          <t>XBRL / Regulatory Reporting</t>
        </is>
      </c>
      <c r="CI99" s="53" t="inlineStr">
        <is>
          <t>Financial Analyst</t>
        </is>
      </c>
      <c r="CJ99" s="53" t="inlineStr">
        <is>
          <t>L3 – Professional / Associate</t>
        </is>
      </c>
      <c r="CK99" s="53" t="inlineStr">
        <is>
          <t>Priyanka Mehra</t>
        </is>
      </c>
      <c r="CL99" s="53" t="inlineStr">
        <is>
          <t>N-7</t>
        </is>
      </c>
      <c r="CM99" s="53" t="inlineStr">
        <is>
          <t>Individual Contributor</t>
        </is>
      </c>
      <c r="CN99" s="53" t="inlineStr">
        <is>
          <t>Regtech</t>
        </is>
      </c>
      <c r="CO99" s="53" t="inlineStr">
        <is>
          <t>Services</t>
        </is>
      </c>
      <c r="CP99" s="53" t="inlineStr">
        <is>
          <t>14 years, 0 months, 8 days</t>
        </is>
      </c>
      <c r="CQ99" s="53" t="inlineStr">
        <is>
          <t>Services Specialist</t>
        </is>
      </c>
      <c r="CR99" s="53" t="n"/>
      <c r="CS99" s="53" t="n">
        <v>3</v>
      </c>
      <c r="CT99" s="53" t="inlineStr">
        <is>
          <t>Medium</t>
        </is>
      </c>
      <c r="CU99" s="53" t="inlineStr">
        <is>
          <t>Core Contributor</t>
        </is>
      </c>
      <c r="CV99" s="53" t="inlineStr">
        <is>
          <t>No</t>
        </is>
      </c>
      <c r="CW99" s="53" t="inlineStr">
        <is>
          <t>No</t>
        </is>
      </c>
      <c r="CX99" s="53" t="inlineStr">
        <is>
          <t>Yes</t>
        </is>
      </c>
      <c r="CY99" s="53" t="n"/>
      <c r="CZ99" s="53" t="n"/>
      <c r="DA99" s="53" t="n"/>
      <c r="DB99" s="53" t="inlineStr">
        <is>
          <t>Title to be standardized to : Services Specialist</t>
        </is>
      </c>
      <c r="DC99" s="53" t="n"/>
      <c r="DD99" s="53" t="n"/>
      <c r="DE99" s="53" t="n"/>
      <c r="DF99" s="53" t="n"/>
      <c r="DG99" s="53" t="n"/>
      <c r="DH99" s="53" t="n"/>
      <c r="DI99" s="53" t="n"/>
      <c r="DJ99" s="53" t="n"/>
      <c r="DK99" s="53" t="n"/>
      <c r="DL99" s="53" t="n"/>
      <c r="DM99" s="53" t="n"/>
      <c r="DN99" s="53" t="n"/>
      <c r="DO99" s="53" t="n"/>
      <c r="DP99" s="53" t="n"/>
      <c r="DQ99" s="53" t="n"/>
      <c r="DR99" s="53" t="n"/>
      <c r="DS99" s="53" t="n"/>
      <c r="DT99" s="53" t="n"/>
      <c r="DU99" s="53" t="n"/>
      <c r="DV99" s="53" t="n"/>
      <c r="DW99" s="53" t="n"/>
      <c r="DX99" s="53" t="n"/>
      <c r="DY99" s="53" t="n"/>
      <c r="DZ99" s="53" t="n"/>
      <c r="EA99" s="53" t="n"/>
      <c r="EB99" s="53" t="n"/>
      <c r="EC99" s="53" t="n"/>
      <c r="ED99" s="53" t="n"/>
      <c r="EE99" s="53" t="n"/>
      <c r="EF99" s="53" t="n"/>
      <c r="EG99" s="53" t="n"/>
      <c r="EH99" s="53" t="n"/>
      <c r="EI99" s="53" t="n"/>
      <c r="EJ99" s="53" t="n"/>
      <c r="EK99" s="53" t="n"/>
      <c r="EL99" s="53" t="n"/>
      <c r="EM99" s="53" t="n"/>
      <c r="EN99" s="53" t="n"/>
      <c r="EO99" s="53" t="n"/>
      <c r="EP99" s="53" t="n"/>
      <c r="EQ99" s="53" t="n"/>
      <c r="ER99" s="53" t="n"/>
      <c r="ES99" s="53" t="n"/>
      <c r="ET99" s="53" t="n"/>
      <c r="EU99" s="53" t="n"/>
      <c r="EV99" s="53" t="n"/>
      <c r="EW99" s="52" t="n"/>
      <c r="EX99" s="53" t="inlineStr">
        <is>
          <t>• Role / sub-team: Tagging.</t>
        </is>
      </c>
      <c r="EY99" s="5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Z99" s="53" t="inlineStr">
        <is>
          <t>• Current capabilities: Coordination.</t>
        </is>
      </c>
      <c r="FA99" s="53" t="inlineStr">
        <is>
          <t>• Development priorities: No input received.
• Learning and Development Need: No input received.</t>
        </is>
      </c>
      <c r="FB99" s="53"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C99" s="53" t="n"/>
      <c r="FD99" s="53" t="n"/>
      <c r="FE9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99" s="56" t="n"/>
      <c r="FG99" s="56" t="n"/>
      <c r="FH99" s="56" t="n"/>
      <c r="FI99" s="56" t="n"/>
      <c r="FJ99" s="56" t="inlineStr">
        <is>
          <t>Received · manager annual</t>
        </is>
      </c>
      <c r="FK99" s="56" t="inlineStr">
        <is>
          <t>CARBON Mapping Master</t>
        </is>
      </c>
      <c r="FL99" s="56" t="n">
        <v>20</v>
      </c>
      <c r="FM99" s="56" t="inlineStr">
        <is>
          <t>• Role / sub-team: Tagging.</t>
        </is>
      </c>
      <c r="FN99" s="56"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FO99" s="56" t="inlineStr">
        <is>
          <t>• Current capabilities: Coordination.</t>
        </is>
      </c>
      <c r="FP99" s="56" t="inlineStr">
        <is>
          <t>• Development priorities: No input received.
• Learning and Development Need: No input received.</t>
        </is>
      </c>
      <c r="FQ99" s="56"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R99" s="56" t="inlineStr">
        <is>
          <t>Complexity: Evidence reads like A3: MCA and CIPC conversion: data mapping, XML generation, validation errors, client calls; IFRS, Ind AS → moved up 0.5
Autonomy: Evidence reads like A3: Maps, corrects and quality-checks without prior approval; refers interpretation changes to team or client → moved up 0.5
Accountability: Evidence reads like A3: Complete XBRL file start to finish; MCA files sent directly to client → moved up 0.5
Leadership: Evidence reads like A1: No guidance or leadership of colleagues described → matches the start
Business Impact: Moved +0.5: the survey / manager mapping marks it business-critical.</t>
        </is>
      </c>
      <c r="FS9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9" s="56" t="inlineStr">
        <is>
          <t>Self-identified: Project / programme management · Domain, regulatory &amp; XBRL · Client, sales &amp; stakeholders · Broader exposure &amp; ownership
For the next role: Leadership &amp; people management · Project / programme management · Domain, regulatory &amp; XBRL · Client, sales &amp; stakeholders · Broader exposure &amp; ownership</t>
        </is>
      </c>
      <c r="FU99" s="56" t="inlineStr">
        <is>
          <t>Per-person summary · CARBON Mapping Master</t>
        </is>
      </c>
    </row>
    <row r="100" ht="90" customHeight="1">
      <c r="A100" s="51" t="inlineStr">
        <is>
          <t>◂ Back</t>
        </is>
      </c>
      <c r="B100" s="29" t="inlineStr">
        <is>
          <t>Mapped</t>
        </is>
      </c>
      <c r="C100" s="28" t="inlineStr">
        <is>
          <t>CARBON</t>
        </is>
      </c>
      <c r="D100" s="29" t="inlineStr">
        <is>
          <t>IRIS0075</t>
        </is>
      </c>
      <c r="E100" s="29" t="inlineStr">
        <is>
          <t>Sudarshan Vichare</t>
        </is>
      </c>
      <c r="F100" s="29" t="inlineStr">
        <is>
          <t>Services</t>
        </is>
      </c>
      <c r="G100" s="29" t="inlineStr">
        <is>
          <t>Junior Financial Analyst</t>
        </is>
      </c>
      <c r="H100" s="29" t="inlineStr">
        <is>
          <t>Senior Financial Analyst</t>
        </is>
      </c>
      <c r="I100" s="29" t="inlineStr">
        <is>
          <t>L3 – Professional / Associate</t>
        </is>
      </c>
      <c r="J100" s="29" t="inlineStr">
        <is>
          <t>A3</t>
        </is>
      </c>
      <c r="K100" s="29" t="inlineStr">
        <is>
          <t>▲ Up</t>
        </is>
      </c>
      <c r="L100" s="29" t="inlineStr">
        <is>
          <t>Consulting &amp; Professional Services</t>
        </is>
      </c>
      <c r="M100" s="29" t="inlineStr">
        <is>
          <t>XBRL Tagging, Conversion &amp; Filing</t>
        </is>
      </c>
      <c r="N100" s="29" t="n"/>
      <c r="O100" s="29" t="n">
        <v>20</v>
      </c>
      <c r="P100" s="28" t="inlineStr">
        <is>
          <t>P2</t>
        </is>
      </c>
      <c r="Q100" s="29" t="inlineStr">
        <is>
          <t>Developing</t>
        </is>
      </c>
      <c r="R100" s="29" t="inlineStr">
        <is>
          <t>3 Apply</t>
        </is>
      </c>
      <c r="S100" s="29" t="inlineStr">
        <is>
          <t>2–4 yrs</t>
        </is>
      </c>
      <c r="T100" s="29" t="inlineStr">
        <is>
          <t>3–5 · 2–5</t>
        </is>
      </c>
      <c r="U100" s="29" t="inlineStr">
        <is>
          <t>Senior Analyst / Associate</t>
        </is>
      </c>
      <c r="V100" s="29" t="inlineStr">
        <is>
          <t>DataTracks: Senior Associate · 2–5 yrs · Big Four: Consultant · IRIS Vs Market Benchmark — XBRL US credential pathway: XBRL US GAAP Certificate</t>
        </is>
      </c>
      <c r="W100" s="29" t="inlineStr">
        <is>
          <t>XBRL US GAAP Certificate · AICPA &amp; XBRL US; XBRL International specifications; IFRS / US GAAP / Ind AS</t>
        </is>
      </c>
      <c r="X100" s="29" t="inlineStr">
        <is>
          <t>Core 2 · Future 2 · Functional 3 · Leadership not scored</t>
        </is>
      </c>
      <c r="Y100" s="52" t="n">
        <v>21</v>
      </c>
      <c r="Z100" s="53" t="inlineStr">
        <is>
          <t>IRIS0075</t>
        </is>
      </c>
      <c r="AA100" s="53" t="inlineStr">
        <is>
          <t>Employee</t>
        </is>
      </c>
      <c r="AB100" s="53" t="inlineStr">
        <is>
          <t>Active</t>
        </is>
      </c>
      <c r="AC100" s="53" t="inlineStr">
        <is>
          <t>Sudarshan Vichare</t>
        </is>
      </c>
      <c r="AD100" s="54" t="n">
        <v>39142</v>
      </c>
      <c r="AE100" s="53" t="inlineStr">
        <is>
          <t>Junior Financial Analyst</t>
        </is>
      </c>
      <c r="AF100" s="53" t="inlineStr">
        <is>
          <t>B.Com</t>
        </is>
      </c>
      <c r="AG100" s="53" t="inlineStr">
        <is>
          <t>Priyanka Mehra</t>
        </is>
      </c>
      <c r="AH100" s="53" t="inlineStr">
        <is>
          <t>N-7</t>
        </is>
      </c>
      <c r="AI100" s="53" t="inlineStr">
        <is>
          <t>Individual Contributor</t>
        </is>
      </c>
      <c r="AJ100" s="53" t="inlineStr">
        <is>
          <t>0 years, 0 months, 0 days</t>
        </is>
      </c>
      <c r="AK100" s="53" t="inlineStr">
        <is>
          <t>19 years, 5 months, 24 days</t>
        </is>
      </c>
      <c r="AL100" s="53" t="inlineStr">
        <is>
          <t>Regtech</t>
        </is>
      </c>
      <c r="AM100" s="53" t="inlineStr">
        <is>
          <t>CARBON</t>
        </is>
      </c>
      <c r="AN100" s="53" t="inlineStr">
        <is>
          <t>Services</t>
        </is>
      </c>
      <c r="AO100" s="53" t="inlineStr">
        <is>
          <t>Expert Assisted services</t>
        </is>
      </c>
      <c r="AP100" s="53" t="inlineStr">
        <is>
          <t>No</t>
        </is>
      </c>
      <c r="AQ100" s="53" t="inlineStr">
        <is>
          <t>Professional Services</t>
        </is>
      </c>
      <c r="AR100" s="53" t="inlineStr">
        <is>
          <t>XBRL Domain</t>
        </is>
      </c>
      <c r="AS100" s="53" t="inlineStr">
        <is>
          <t>Non-technical</t>
        </is>
      </c>
      <c r="AT100" s="53" t="n">
        <v>20</v>
      </c>
      <c r="AU100" s="53" t="inlineStr">
        <is>
          <t>Covered</t>
        </is>
      </c>
      <c r="AV100" s="53" t="inlineStr">
        <is>
          <t>IRIS0075</t>
        </is>
      </c>
      <c r="AW100" s="53" t="inlineStr">
        <is>
          <t>Sudarshan Vichare</t>
        </is>
      </c>
      <c r="AX100" s="53" t="inlineStr">
        <is>
          <t>Services</t>
        </is>
      </c>
      <c r="AY100" s="53" t="inlineStr">
        <is>
          <t>Professional Services</t>
        </is>
      </c>
      <c r="AZ100" s="53" t="inlineStr">
        <is>
          <t>XBRL / Regulatory Reporting</t>
        </is>
      </c>
      <c r="BA100" s="53" t="n"/>
      <c r="BB100" s="53" t="n"/>
      <c r="BC100" s="53" t="inlineStr">
        <is>
          <t>Employee</t>
        </is>
      </c>
      <c r="BD100" s="53" t="inlineStr">
        <is>
          <t>Priyanka Mehra</t>
        </is>
      </c>
      <c r="BE100" s="53" t="inlineStr">
        <is>
          <t>Priyanka Mehra</t>
        </is>
      </c>
      <c r="BF100" s="53" t="inlineStr">
        <is>
          <t>No</t>
        </is>
      </c>
      <c r="BG100" s="53" t="inlineStr">
        <is>
          <t>Junior Financial Analyst</t>
        </is>
      </c>
      <c r="BH100" s="53" t="inlineStr">
        <is>
          <t>Senior Services Specialist</t>
        </is>
      </c>
      <c r="BI100" s="53" t="inlineStr">
        <is>
          <t>Yes</t>
        </is>
      </c>
      <c r="BJ100" s="53" t="inlineStr">
        <is>
          <t>—</t>
        </is>
      </c>
      <c r="BK100" s="53" t="inlineStr">
        <is>
          <t>—</t>
        </is>
      </c>
      <c r="BL100" s="53" t="inlineStr">
        <is>
          <t>—</t>
        </is>
      </c>
      <c r="BM100" s="53" t="inlineStr">
        <is>
          <t>Not a manager</t>
        </is>
      </c>
      <c r="BN100" s="53" t="inlineStr">
        <is>
          <t>—</t>
        </is>
      </c>
      <c r="BO100" s="53" t="inlineStr">
        <is>
          <t>—</t>
        </is>
      </c>
      <c r="BP100" s="53" t="inlineStr">
        <is>
          <t>—</t>
        </is>
      </c>
      <c r="BQ100" s="53" t="inlineStr">
        <is>
          <t>Not a manager</t>
        </is>
      </c>
      <c r="BR100" s="53" t="inlineStr">
        <is>
          <t>—</t>
        </is>
      </c>
      <c r="BS100" s="53" t="inlineStr">
        <is>
          <t>L3 – Professional / Associate</t>
        </is>
      </c>
      <c r="BT100" s="53" t="inlineStr">
        <is>
          <t>L2</t>
        </is>
      </c>
      <c r="BU100" s="53" t="inlineStr">
        <is>
          <t>Matched from Title Hierarchy · new designation</t>
        </is>
      </c>
      <c r="BV10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0" s="53" t="n"/>
      <c r="BX100" s="53" t="inlineStr">
        <is>
          <t>South Africa - CIPC</t>
        </is>
      </c>
      <c r="BY100" s="53" t="n"/>
      <c r="BZ100" s="53" t="inlineStr">
        <is>
          <t>IRIS0075</t>
        </is>
      </c>
      <c r="CA100" s="53" t="inlineStr">
        <is>
          <t>Employee</t>
        </is>
      </c>
      <c r="CB100" s="53" t="inlineStr">
        <is>
          <t>Active</t>
        </is>
      </c>
      <c r="CC100" s="53" t="inlineStr">
        <is>
          <t>Sudarshan Vichare</t>
        </is>
      </c>
      <c r="CD100" s="54" t="n">
        <v>39142</v>
      </c>
      <c r="CE100" s="53" t="inlineStr">
        <is>
          <t>Junior Financial Analyst</t>
        </is>
      </c>
      <c r="CF100" s="53" t="n"/>
      <c r="CG100" s="53" t="inlineStr">
        <is>
          <t>Professional Services</t>
        </is>
      </c>
      <c r="CH100" s="53" t="inlineStr">
        <is>
          <t>Digitization &amp; Image Processing</t>
        </is>
      </c>
      <c r="CI100" s="53" t="inlineStr">
        <is>
          <t>Junior Financial Analyst</t>
        </is>
      </c>
      <c r="CJ100" s="53" t="inlineStr">
        <is>
          <t>L3 – Professional / Associate</t>
        </is>
      </c>
      <c r="CK100" s="53" t="inlineStr">
        <is>
          <t>Priyanka Mehra</t>
        </is>
      </c>
      <c r="CL100" s="53" t="inlineStr">
        <is>
          <t>N-7</t>
        </is>
      </c>
      <c r="CM100" s="53" t="inlineStr">
        <is>
          <t>Individual Contributor</t>
        </is>
      </c>
      <c r="CN100" s="53" t="inlineStr">
        <is>
          <t>Regtech</t>
        </is>
      </c>
      <c r="CO100" s="53" t="inlineStr">
        <is>
          <t>Digitizing</t>
        </is>
      </c>
      <c r="CP100" s="53" t="inlineStr">
        <is>
          <t>19 years, 3 months, 19 days</t>
        </is>
      </c>
      <c r="CQ100" s="53" t="inlineStr">
        <is>
          <t>Senior Services Specialist</t>
        </is>
      </c>
      <c r="CR100" s="53" t="n"/>
      <c r="CS100" s="53" t="n">
        <v>3</v>
      </c>
      <c r="CT100" s="53" t="inlineStr">
        <is>
          <t>Medium</t>
        </is>
      </c>
      <c r="CU100" s="53" t="inlineStr">
        <is>
          <t>Core Contributor</t>
        </is>
      </c>
      <c r="CV100" s="53" t="inlineStr">
        <is>
          <t>No</t>
        </is>
      </c>
      <c r="CW100" s="53" t="inlineStr">
        <is>
          <t>No</t>
        </is>
      </c>
      <c r="CX100" s="53" t="inlineStr">
        <is>
          <t>Yes</t>
        </is>
      </c>
      <c r="CY100" s="53" t="n"/>
      <c r="CZ100" s="53" t="n"/>
      <c r="DA100" s="53" t="n"/>
      <c r="DB100" s="53" t="inlineStr">
        <is>
          <t>Moved to Tagging Team &amp; Title standardized to: Senior Services Specialist</t>
        </is>
      </c>
      <c r="DC100" s="53" t="n"/>
      <c r="DD100" s="53" t="n"/>
      <c r="DE100" s="53" t="n"/>
      <c r="DF100" s="53" t="n"/>
      <c r="DG100" s="53" t="n"/>
      <c r="DH100" s="53" t="n"/>
      <c r="DI100" s="53" t="n"/>
      <c r="DJ100" s="53" t="n"/>
      <c r="DK100" s="53" t="n"/>
      <c r="DL100" s="53" t="n"/>
      <c r="DM100" s="53" t="n"/>
      <c r="DN100" s="53" t="n"/>
      <c r="DO100" s="53" t="n"/>
      <c r="DP100" s="53" t="n"/>
      <c r="DQ100" s="53" t="n"/>
      <c r="DR100" s="53" t="n"/>
      <c r="DS100" s="53" t="n"/>
      <c r="DT100" s="53" t="n"/>
      <c r="DU100" s="53" t="n"/>
      <c r="DV100" s="53" t="n"/>
      <c r="DW100" s="53" t="n"/>
      <c r="DX100" s="53" t="n"/>
      <c r="DY100" s="53" t="n"/>
      <c r="DZ100" s="53" t="n"/>
      <c r="EA100" s="53" t="n"/>
      <c r="EB100" s="53" t="n"/>
      <c r="EC100" s="53" t="n"/>
      <c r="ED100" s="53" t="n"/>
      <c r="EE100" s="53" t="n"/>
      <c r="EF100" s="53" t="n"/>
      <c r="EG100" s="53" t="n"/>
      <c r="EH100" s="53" t="n"/>
      <c r="EI100" s="53" t="n"/>
      <c r="EJ100" s="53" t="n"/>
      <c r="EK100" s="53" t="n"/>
      <c r="EL100" s="53" t="n"/>
      <c r="EM100" s="53" t="n"/>
      <c r="EN100" s="53" t="n"/>
      <c r="EO100" s="53" t="n"/>
      <c r="EP100" s="53" t="n"/>
      <c r="EQ100" s="53" t="n"/>
      <c r="ER100" s="53" t="n"/>
      <c r="ES100" s="53" t="n"/>
      <c r="ET100" s="53" t="n"/>
      <c r="EU100" s="53" t="n"/>
      <c r="EV100" s="53" t="n"/>
      <c r="EW100" s="52" t="n"/>
      <c r="EX100" s="53" t="inlineStr">
        <is>
          <t>• Role / sub-team: CIPC Conversion Team and CIPC Tagging [Teams chat].</t>
        </is>
      </c>
      <c r="EY100" s="53" t="inlineStr">
        <is>
          <t>• Key responsibilities include: Cipc Tagging ., Conversion related issue.
• Reported deliverables and outcomes include: Files are mailed to the PMO for upload.</t>
        </is>
      </c>
      <c r="EZ100" s="53" t="inlineStr">
        <is>
          <t>• Current capabilities: Excel word knowledge; Tools / software used: Carbon [Teams chat].</t>
        </is>
      </c>
      <c r="FA100" s="53" t="inlineStr">
        <is>
          <t>• Development priorities: No input received.
• Learning and Development Need: Tool knowledge.</t>
        </is>
      </c>
      <c r="FB100" s="53" t="inlineStr">
        <is>
          <t>• Key challenges: No input received.
• Support required: No input received.</t>
        </is>
      </c>
      <c r="FC100" s="53" t="n"/>
      <c r="FD100" s="53" t="n"/>
      <c r="FE10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0" s="56" t="n"/>
      <c r="FG100" s="56" t="n"/>
      <c r="FH100" s="56" t="n"/>
      <c r="FI100" s="56" t="n"/>
      <c r="FJ100" s="56" t="inlineStr">
        <is>
          <t>Received · manager annual</t>
        </is>
      </c>
      <c r="FK100" s="56" t="inlineStr">
        <is>
          <t>CARBON Mapping Master</t>
        </is>
      </c>
      <c r="FL100" s="56" t="n">
        <v>20</v>
      </c>
      <c r="FM100" s="56" t="inlineStr">
        <is>
          <t>• Role / sub-team: CIPC Conversion Team and CIPC Tagging [Teams chat].</t>
        </is>
      </c>
      <c r="FN100" s="56" t="inlineStr">
        <is>
          <t>• Key responsibilities include: Cipc Tagging ., Conversion related issue.
• Reported deliverables and outcomes include: Files are mailed to the PMO for upload.</t>
        </is>
      </c>
      <c r="FO100" s="56" t="inlineStr">
        <is>
          <t>• Current capabilities: Excel word knowledge; Tools / software used: Carbon [Teams chat].</t>
        </is>
      </c>
      <c r="FP100" s="56" t="inlineStr">
        <is>
          <t>• Development priorities: No input received.
• Learning and Development Need: Tool knowledge.</t>
        </is>
      </c>
      <c r="FQ100" s="56" t="inlineStr">
        <is>
          <t>• Key challenges: No input received.
• Support required: No input received.</t>
        </is>
      </c>
      <c r="FR100" s="56" t="inlineStr">
        <is>
          <t>Complexity: Evidence reads like A2: Routine CIPC HTML tagging, client file uploads and follow-up coordination → matches the start
Autonomy: Evidence reads like A2: Only stated independent decision is managing client file uploads → matches the start
Accountability: Evidence reads like A2: Own tagged client files and on-time completion; files mailed to PMO for upload → matches the start
Leadership: Evidence reads like A1: Coordinates and follows up with team members; no guiding or leading described → matches the start
Business Impact: Moved +0.5: the survey / manager mapping marks it business-critical.</t>
        </is>
      </c>
      <c r="FS10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0" s="56" t="inlineStr">
        <is>
          <t>Self-identified: Leadership &amp; people management · Client, sales &amp; stakeholders
For the next role: Leadership &amp; people management · Client, sales &amp; stakeholders</t>
        </is>
      </c>
      <c r="FU100" s="56" t="inlineStr">
        <is>
          <t>Per-person summary · CARBON Mapping Master</t>
        </is>
      </c>
    </row>
    <row r="101" ht="90" customHeight="1">
      <c r="A101" s="51" t="inlineStr">
        <is>
          <t>◂ Back</t>
        </is>
      </c>
      <c r="B101" s="29" t="inlineStr">
        <is>
          <t>Mapped</t>
        </is>
      </c>
      <c r="C101" s="28" t="inlineStr">
        <is>
          <t>CARBON</t>
        </is>
      </c>
      <c r="D101" s="29" t="inlineStr">
        <is>
          <t>IRIS1897</t>
        </is>
      </c>
      <c r="E101" s="29" t="inlineStr">
        <is>
          <t>Sunil Bist</t>
        </is>
      </c>
      <c r="F101" s="29" t="inlineStr">
        <is>
          <t>Services</t>
        </is>
      </c>
      <c r="G101" s="29" t="inlineStr">
        <is>
          <t>Financial Analyst</t>
        </is>
      </c>
      <c r="H101" s="29" t="inlineStr">
        <is>
          <t>Senior Financial Analyst</t>
        </is>
      </c>
      <c r="I101" s="29" t="inlineStr">
        <is>
          <t>L3 – Professional / Associate</t>
        </is>
      </c>
      <c r="J101" s="29" t="inlineStr">
        <is>
          <t>A3</t>
        </is>
      </c>
      <c r="K101" s="29" t="inlineStr">
        <is>
          <t>▲ Up</t>
        </is>
      </c>
      <c r="L101" s="29" t="inlineStr">
        <is>
          <t>Consulting &amp; Professional Services</t>
        </is>
      </c>
      <c r="M101" s="29" t="inlineStr">
        <is>
          <t>XBRL Tagging, Conversion &amp; Filing</t>
        </is>
      </c>
      <c r="N101" s="29" t="n"/>
      <c r="O101" s="29" t="n">
        <v>20</v>
      </c>
      <c r="P101" s="28" t="inlineStr">
        <is>
          <t>P2</t>
        </is>
      </c>
      <c r="Q101" s="29" t="inlineStr">
        <is>
          <t>Developing</t>
        </is>
      </c>
      <c r="R101" s="29" t="inlineStr">
        <is>
          <t>3 Apply</t>
        </is>
      </c>
      <c r="S101" s="29" t="inlineStr">
        <is>
          <t>2–4 yrs</t>
        </is>
      </c>
      <c r="T101" s="29" t="inlineStr">
        <is>
          <t>3–5 · 2–5</t>
        </is>
      </c>
      <c r="U101" s="29" t="inlineStr">
        <is>
          <t>Senior Analyst / Associate</t>
        </is>
      </c>
      <c r="V101" s="29" t="inlineStr">
        <is>
          <t>DataTracks: Senior Associate · 2–5 yrs · Big Four: Consultant · IRIS Vs Market Benchmark — XBRL US credential pathway: XBRL US GAAP Certificate</t>
        </is>
      </c>
      <c r="W101" s="29" t="inlineStr">
        <is>
          <t>XBRL US GAAP Certificate · AICPA &amp; XBRL US; XBRL International specifications; IFRS / US GAAP / Ind AS</t>
        </is>
      </c>
      <c r="X101" s="29" t="inlineStr">
        <is>
          <t>Core 2 · Future 2 · Functional 3 · Leadership not scored</t>
        </is>
      </c>
      <c r="Y101" s="52" t="n">
        <v>176</v>
      </c>
      <c r="Z101" s="53" t="inlineStr">
        <is>
          <t>IRIS1897</t>
        </is>
      </c>
      <c r="AA101" s="53" t="inlineStr">
        <is>
          <t>Employee</t>
        </is>
      </c>
      <c r="AB101" s="53" t="inlineStr">
        <is>
          <t>Active</t>
        </is>
      </c>
      <c r="AC101" s="53" t="inlineStr">
        <is>
          <t>Sunil Bist</t>
        </is>
      </c>
      <c r="AD101" s="54" t="n">
        <v>44228</v>
      </c>
      <c r="AE101" s="53" t="inlineStr">
        <is>
          <t>Financial Analyst</t>
        </is>
      </c>
      <c r="AF101" s="53" t="inlineStr">
        <is>
          <t>B.Com</t>
        </is>
      </c>
      <c r="AG101" s="53" t="inlineStr">
        <is>
          <t>Priyanka Mehra</t>
        </is>
      </c>
      <c r="AH101" s="53" t="inlineStr">
        <is>
          <t>N-7</t>
        </is>
      </c>
      <c r="AI101" s="53" t="inlineStr">
        <is>
          <t>Individual Contributor</t>
        </is>
      </c>
      <c r="AJ101" s="53" t="inlineStr">
        <is>
          <t>8 years, 5 months, 0 days</t>
        </is>
      </c>
      <c r="AK101" s="53" t="inlineStr">
        <is>
          <t>5 years, 6 months, 24 days</t>
        </is>
      </c>
      <c r="AL101" s="53" t="inlineStr">
        <is>
          <t>Regtech</t>
        </is>
      </c>
      <c r="AM101" s="53" t="inlineStr">
        <is>
          <t>CARBON</t>
        </is>
      </c>
      <c r="AN101" s="53" t="inlineStr">
        <is>
          <t>Services</t>
        </is>
      </c>
      <c r="AO101" s="53" t="inlineStr">
        <is>
          <t>Expert Assisted services</t>
        </is>
      </c>
      <c r="AP101" s="53" t="inlineStr">
        <is>
          <t>No</t>
        </is>
      </c>
      <c r="AQ101" s="53" t="inlineStr">
        <is>
          <t>Professional Services</t>
        </is>
      </c>
      <c r="AR101" s="53" t="inlineStr">
        <is>
          <t>XBRL Domain</t>
        </is>
      </c>
      <c r="AS101" s="53" t="inlineStr">
        <is>
          <t>Non-technical</t>
        </is>
      </c>
      <c r="AT101" s="53" t="n">
        <v>20</v>
      </c>
      <c r="AU101" s="53" t="inlineStr">
        <is>
          <t>Covered</t>
        </is>
      </c>
      <c r="AV101" s="53" t="inlineStr">
        <is>
          <t>IRIS1897</t>
        </is>
      </c>
      <c r="AW101" s="53" t="inlineStr">
        <is>
          <t>Sunil Bist</t>
        </is>
      </c>
      <c r="AX101" s="53" t="inlineStr">
        <is>
          <t>Services</t>
        </is>
      </c>
      <c r="AY101" s="53" t="inlineStr">
        <is>
          <t>Professional Services</t>
        </is>
      </c>
      <c r="AZ101" s="53" t="inlineStr">
        <is>
          <t>XBRL / Regulatory Reporting</t>
        </is>
      </c>
      <c r="BA101" s="53" t="n"/>
      <c r="BB101" s="53" t="n"/>
      <c r="BC101" s="53" t="inlineStr">
        <is>
          <t>Employee</t>
        </is>
      </c>
      <c r="BD101" s="53" t="inlineStr">
        <is>
          <t>Priyanka Mehra</t>
        </is>
      </c>
      <c r="BE101" s="53" t="inlineStr">
        <is>
          <t>Priyanka Mehra</t>
        </is>
      </c>
      <c r="BF101" s="53" t="inlineStr">
        <is>
          <t>No</t>
        </is>
      </c>
      <c r="BG101" s="53" t="inlineStr">
        <is>
          <t>Financial Analyst</t>
        </is>
      </c>
      <c r="BH101" s="53" t="inlineStr">
        <is>
          <t>Services Specialist</t>
        </is>
      </c>
      <c r="BI101" s="53" t="inlineStr">
        <is>
          <t>Yes</t>
        </is>
      </c>
      <c r="BJ101" s="53" t="inlineStr">
        <is>
          <t>—</t>
        </is>
      </c>
      <c r="BK101" s="53" t="inlineStr">
        <is>
          <t>—</t>
        </is>
      </c>
      <c r="BL101" s="53" t="inlineStr">
        <is>
          <t>—</t>
        </is>
      </c>
      <c r="BM101" s="53" t="inlineStr">
        <is>
          <t>Not a manager</t>
        </is>
      </c>
      <c r="BN101" s="53" t="inlineStr">
        <is>
          <t>—</t>
        </is>
      </c>
      <c r="BO101" s="53" t="inlineStr">
        <is>
          <t>—</t>
        </is>
      </c>
      <c r="BP101" s="53" t="inlineStr">
        <is>
          <t>—</t>
        </is>
      </c>
      <c r="BQ101" s="53" t="inlineStr">
        <is>
          <t>Not a manager</t>
        </is>
      </c>
      <c r="BR101" s="53" t="inlineStr">
        <is>
          <t>—</t>
        </is>
      </c>
      <c r="BS101" s="53" t="inlineStr">
        <is>
          <t>L3 – Professional / Associate</t>
        </is>
      </c>
      <c r="BT101" s="53" t="inlineStr">
        <is>
          <t>L2</t>
        </is>
      </c>
      <c r="BU101" s="53" t="inlineStr">
        <is>
          <t>Matched from Title Hierarchy · new designation</t>
        </is>
      </c>
      <c r="BV10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1" s="53" t="n"/>
      <c r="BX101" s="53" t="inlineStr">
        <is>
          <t>South Africa - CIPC.</t>
        </is>
      </c>
      <c r="BY101" s="53" t="n"/>
      <c r="BZ101" s="53" t="inlineStr">
        <is>
          <t>IRIS1897</t>
        </is>
      </c>
      <c r="CA101" s="53" t="inlineStr">
        <is>
          <t>Employee</t>
        </is>
      </c>
      <c r="CB101" s="53" t="inlineStr">
        <is>
          <t>Active</t>
        </is>
      </c>
      <c r="CC101" s="53" t="inlineStr">
        <is>
          <t>Sunil Bist</t>
        </is>
      </c>
      <c r="CD101" s="54" t="n">
        <v>44228</v>
      </c>
      <c r="CE101" s="53" t="inlineStr">
        <is>
          <t>Financial Analyst</t>
        </is>
      </c>
      <c r="CF101" s="53" t="n"/>
      <c r="CG101" s="53" t="inlineStr">
        <is>
          <t>Professional Services</t>
        </is>
      </c>
      <c r="CH101" s="53" t="inlineStr">
        <is>
          <t>XBRL / Regulatory Reporting</t>
        </is>
      </c>
      <c r="CI101" s="53" t="inlineStr">
        <is>
          <t>Financial Analyst</t>
        </is>
      </c>
      <c r="CJ101" s="53" t="inlineStr">
        <is>
          <t>L3 – Professional / Associate</t>
        </is>
      </c>
      <c r="CK101" s="53" t="inlineStr">
        <is>
          <t>Priyanka Mehra</t>
        </is>
      </c>
      <c r="CL101" s="53" t="inlineStr">
        <is>
          <t>N-7</t>
        </is>
      </c>
      <c r="CM101" s="53" t="inlineStr">
        <is>
          <t>Individual Contributor</t>
        </is>
      </c>
      <c r="CN101" s="53" t="inlineStr">
        <is>
          <t>Regtech</t>
        </is>
      </c>
      <c r="CO101" s="53" t="inlineStr">
        <is>
          <t>Services</t>
        </is>
      </c>
      <c r="CP101" s="53" t="inlineStr">
        <is>
          <t>13 years, 9 months, 19 days</t>
        </is>
      </c>
      <c r="CQ101" s="53" t="inlineStr">
        <is>
          <t>Services Specialist</t>
        </is>
      </c>
      <c r="CR101" s="53" t="n"/>
      <c r="CS101" s="53" t="n">
        <v>4</v>
      </c>
      <c r="CT101" s="53" t="inlineStr">
        <is>
          <t>High</t>
        </is>
      </c>
      <c r="CU101" s="53" t="inlineStr">
        <is>
          <t>Core Contributor</t>
        </is>
      </c>
      <c r="CV101" s="53" t="inlineStr">
        <is>
          <t>Yes</t>
        </is>
      </c>
      <c r="CW101" s="53" t="inlineStr">
        <is>
          <t>No</t>
        </is>
      </c>
      <c r="CX101" s="53" t="inlineStr">
        <is>
          <t>Yes</t>
        </is>
      </c>
      <c r="CY101" s="53" t="n"/>
      <c r="CZ101" s="53" t="n"/>
      <c r="DA101" s="53" t="n"/>
      <c r="DB101" s="53" t="inlineStr">
        <is>
          <t>Title to be standardized to : Services Specialist</t>
        </is>
      </c>
      <c r="DC101" s="53" t="n"/>
      <c r="DD101" s="53" t="n"/>
      <c r="DE101" s="53" t="n"/>
      <c r="DF101" s="53" t="n"/>
      <c r="DG101" s="53" t="n"/>
      <c r="DH101" s="53" t="n"/>
      <c r="DI101" s="53" t="n"/>
      <c r="DJ101" s="53" t="n"/>
      <c r="DK101" s="53" t="n"/>
      <c r="DL101" s="53" t="n"/>
      <c r="DM101" s="53" t="n"/>
      <c r="DN101" s="53" t="n"/>
      <c r="DO101" s="53" t="n"/>
      <c r="DP101" s="53" t="n"/>
      <c r="DQ101" s="53" t="n"/>
      <c r="DR101" s="53" t="n"/>
      <c r="DS101" s="53" t="n"/>
      <c r="DT101" s="53" t="n"/>
      <c r="DU101" s="53" t="n"/>
      <c r="DV101" s="53" t="n"/>
      <c r="DW101" s="53" t="n"/>
      <c r="DX101" s="53" t="n"/>
      <c r="DY101" s="53" t="n"/>
      <c r="DZ101" s="53" t="n"/>
      <c r="EA101" s="53" t="n"/>
      <c r="EB101" s="53" t="n"/>
      <c r="EC101" s="53" t="n"/>
      <c r="ED101" s="53" t="n"/>
      <c r="EE101" s="53" t="n"/>
      <c r="EF101" s="53" t="n"/>
      <c r="EG101" s="53" t="n"/>
      <c r="EH101" s="53" t="n"/>
      <c r="EI101" s="53" t="n"/>
      <c r="EJ101" s="53" t="n"/>
      <c r="EK101" s="53" t="n"/>
      <c r="EL101" s="53" t="n"/>
      <c r="EM101" s="53" t="n"/>
      <c r="EN101" s="53" t="n"/>
      <c r="EO101" s="53" t="n"/>
      <c r="EP101" s="53" t="n"/>
      <c r="EQ101" s="53" t="n"/>
      <c r="ER101" s="53" t="n"/>
      <c r="ES101" s="53" t="n"/>
      <c r="ET101" s="53" t="n"/>
      <c r="EU101" s="53" t="n"/>
      <c r="EV101" s="53" t="n"/>
      <c r="EW101" s="52" t="n"/>
      <c r="EX101" s="53" t="inlineStr">
        <is>
          <t>• Role / sub-team: CIPC · Carbon Service Department.</t>
        </is>
      </c>
      <c r="EY101" s="53" t="inlineStr">
        <is>
          <t>• Key responsibilities include: Tagging and QC of files, Doubt Solving of Tagging query , Solving client queries when it is raised.
• Reported deliverables and outcomes include: Completed files are mailed to the Carbon SA PMO.</t>
        </is>
      </c>
      <c r="EZ101" s="53" t="inlineStr">
        <is>
          <t>• Current capabilities: Communication; Tools / software used: HTML - Editor.</t>
        </is>
      </c>
      <c r="FA101" s="53" t="inlineStr">
        <is>
          <t>• Development priorities: No input received.
• Learning and Development Need: Focus on time management.</t>
        </is>
      </c>
      <c r="FB101" s="53" t="inlineStr">
        <is>
          <t>• Key challenges: No input received.
• Support required: No input received.</t>
        </is>
      </c>
      <c r="FC101" s="53" t="n"/>
      <c r="FD101" s="53" t="n"/>
      <c r="FE10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1" s="56" t="n"/>
      <c r="FG101" s="56" t="n"/>
      <c r="FH101" s="56" t="n"/>
      <c r="FI101" s="56" t="n"/>
      <c r="FJ101" s="56" t="inlineStr">
        <is>
          <t>Received · manager annual</t>
        </is>
      </c>
      <c r="FK101" s="56" t="inlineStr">
        <is>
          <t>CARBON Mapping Master</t>
        </is>
      </c>
      <c r="FL101" s="56" t="n">
        <v>20</v>
      </c>
      <c r="FM101" s="56" t="inlineStr">
        <is>
          <t>• Role / sub-team: CIPC · Carbon Service Department.</t>
        </is>
      </c>
      <c r="FN101" s="56" t="inlineStr">
        <is>
          <t>• Key responsibilities include: Tagging and QC of files, Doubt Solving of Tagging query , Solving client queries when it is raised.
• Reported deliverables and outcomes include: Completed files are mailed to the Carbon SA PMO.</t>
        </is>
      </c>
      <c r="FO101" s="56" t="inlineStr">
        <is>
          <t>• Current capabilities: Communication; Tools / software used: HTML - Editor.</t>
        </is>
      </c>
      <c r="FP101" s="56" t="inlineStr">
        <is>
          <t>• Development priorities: No input received.
• Learning and Development Need: Focus on time management.</t>
        </is>
      </c>
      <c r="FQ101" s="56" t="inlineStr">
        <is>
          <t>• Key challenges: No input received.
• Support required: No input received.</t>
        </is>
      </c>
      <c r="FR101" s="56" t="inlineStr">
        <is>
          <t>Complexity: Evidence reads like A3: CIPC iXBRL tagging plus quality checking, validation and solving tagging doubts and client queries → moved up 0.5
Autonomy: Evidence reads like A2: Selects tags from the taxonomy and prioritises assigned files by deadline; nothing wider described → matches the start
Accountability: Evidence reads like A2: Accuracy and completeness of own tagging; final file goes to the PMO → matches the start
Leadership: Evidence reads like A2: Solves colleagues' tagging doubts per manager note; no team responsibility → moved up 0.5
Business Impact: Moved +0.5: the survey / manager mapping marks it business-critical.</t>
        </is>
      </c>
      <c r="FS101"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1" s="56" t="inlineStr">
        <is>
          <t>Self-identified: Domain, regulatory &amp; XBRL
For the next role: AI / automation · Leadership &amp; people management · Data, SQL &amp; analytics · Domain, regulatory &amp; XBRL · Product &amp; tool knowledge · Broader exposure &amp; ownership</t>
        </is>
      </c>
      <c r="FU101" s="56" t="inlineStr">
        <is>
          <t>Per-person summary · CARBON Mapping Master</t>
        </is>
      </c>
    </row>
    <row r="102" ht="90" customHeight="1">
      <c r="A102" s="51" t="inlineStr">
        <is>
          <t>◂ Back</t>
        </is>
      </c>
      <c r="B102" s="29" t="inlineStr">
        <is>
          <t>Mapped</t>
        </is>
      </c>
      <c r="C102" s="28" t="inlineStr">
        <is>
          <t>CARBON</t>
        </is>
      </c>
      <c r="D102" s="29" t="inlineStr">
        <is>
          <t>IRISC212</t>
        </is>
      </c>
      <c r="E102" s="29" t="inlineStr">
        <is>
          <t>Vishakha Vitmal</t>
        </is>
      </c>
      <c r="F102" s="29" t="inlineStr">
        <is>
          <t>Services</t>
        </is>
      </c>
      <c r="G102" s="29" t="inlineStr">
        <is>
          <t>Consultant</t>
        </is>
      </c>
      <c r="H102" s="29" t="inlineStr">
        <is>
          <t>Senior Financial Analyst</t>
        </is>
      </c>
      <c r="I102" s="29" t="inlineStr">
        <is>
          <t>L3 – Professional / Associate</t>
        </is>
      </c>
      <c r="J102" s="29" t="inlineStr">
        <is>
          <t>A3</t>
        </is>
      </c>
      <c r="K102" s="29" t="inlineStr">
        <is>
          <t>▲ Up</t>
        </is>
      </c>
      <c r="L102" s="29" t="inlineStr">
        <is>
          <t>Consulting &amp; Professional Services</t>
        </is>
      </c>
      <c r="M102" s="29" t="inlineStr">
        <is>
          <t>XBRL Tagging, Conversion &amp; Filing</t>
        </is>
      </c>
      <c r="N102" s="29" t="inlineStr">
        <is>
          <t>• Correct the experience record — HR</t>
        </is>
      </c>
      <c r="O102" s="29" t="n">
        <v>19</v>
      </c>
      <c r="P102" s="28" t="inlineStr">
        <is>
          <t>P2</t>
        </is>
      </c>
      <c r="Q102" s="29" t="inlineStr">
        <is>
          <t>Developing</t>
        </is>
      </c>
      <c r="R102" s="29" t="inlineStr">
        <is>
          <t>3 Apply</t>
        </is>
      </c>
      <c r="S102" s="29" t="inlineStr">
        <is>
          <t>2–4 yrs</t>
        </is>
      </c>
      <c r="T102" s="29" t="inlineStr">
        <is>
          <t>3–5 · 2–5</t>
        </is>
      </c>
      <c r="U102" s="29" t="inlineStr">
        <is>
          <t>Senior Analyst / Associate</t>
        </is>
      </c>
      <c r="V102" s="29" t="inlineStr">
        <is>
          <t>DataTracks: Senior Associate · 2–5 yrs · Big Four: Consultant · IRIS Vs Market Benchmark — XBRL US credential pathway: XBRL US GAAP Certificate</t>
        </is>
      </c>
      <c r="W102" s="29" t="inlineStr">
        <is>
          <t>XBRL US GAAP Certificate · AICPA &amp; XBRL US; XBRL International specifications; IFRS / US GAAP / Ind AS</t>
        </is>
      </c>
      <c r="X102" s="29" t="inlineStr">
        <is>
          <t>Core 2 · Future 2 · Functional 3 · Leadership not scored</t>
        </is>
      </c>
      <c r="Y102" s="52" t="n">
        <v>188</v>
      </c>
      <c r="Z102" s="53" t="inlineStr">
        <is>
          <t>IRISC212</t>
        </is>
      </c>
      <c r="AA102" s="53" t="inlineStr">
        <is>
          <t>On Contract</t>
        </is>
      </c>
      <c r="AB102" s="53" t="inlineStr">
        <is>
          <t>Active</t>
        </is>
      </c>
      <c r="AC102" s="53" t="inlineStr">
        <is>
          <t>Vishakha Vitmal</t>
        </is>
      </c>
      <c r="AD102" s="54" t="n">
        <v>44385</v>
      </c>
      <c r="AE102" s="53" t="inlineStr">
        <is>
          <t>Consultant</t>
        </is>
      </c>
      <c r="AF102" s="53" t="inlineStr">
        <is>
          <t>B.Com</t>
        </is>
      </c>
      <c r="AG102" s="53" t="inlineStr">
        <is>
          <t>Priyanka Mehra</t>
        </is>
      </c>
      <c r="AH102" s="53" t="inlineStr">
        <is>
          <t>N-7</t>
        </is>
      </c>
      <c r="AI102" s="53" t="inlineStr">
        <is>
          <t>Individual Contributor</t>
        </is>
      </c>
      <c r="AJ102" s="53" t="inlineStr">
        <is>
          <t>0 years, 0 months, 0 days</t>
        </is>
      </c>
      <c r="AK102" s="53" t="inlineStr">
        <is>
          <t>5 years, 1 months, 17 days</t>
        </is>
      </c>
      <c r="AL102" s="53" t="inlineStr">
        <is>
          <t>Regtech</t>
        </is>
      </c>
      <c r="AM102" s="53" t="inlineStr">
        <is>
          <t>CARBON</t>
        </is>
      </c>
      <c r="AN102" s="53" t="inlineStr">
        <is>
          <t>Services</t>
        </is>
      </c>
      <c r="AO102" s="53" t="inlineStr">
        <is>
          <t>Expert Assisted services</t>
        </is>
      </c>
      <c r="AP102" s="53" t="inlineStr">
        <is>
          <t>No</t>
        </is>
      </c>
      <c r="AQ102" s="53" t="inlineStr">
        <is>
          <t>Professional Services</t>
        </is>
      </c>
      <c r="AR102" s="53" t="inlineStr">
        <is>
          <t>XBRL Domain</t>
        </is>
      </c>
      <c r="AS102" s="53" t="inlineStr">
        <is>
          <t>Non-technical</t>
        </is>
      </c>
      <c r="AT102" s="53" t="n">
        <v>20</v>
      </c>
      <c r="AU102" s="53" t="inlineStr">
        <is>
          <t>Covered</t>
        </is>
      </c>
      <c r="AV102" s="53" t="inlineStr">
        <is>
          <t>IRISC212</t>
        </is>
      </c>
      <c r="AW102" s="53" t="inlineStr">
        <is>
          <t>Vishakha Vitmal</t>
        </is>
      </c>
      <c r="AX102" s="53" t="inlineStr">
        <is>
          <t>Services</t>
        </is>
      </c>
      <c r="AY102" s="53" t="inlineStr">
        <is>
          <t>Professional Services</t>
        </is>
      </c>
      <c r="AZ102" s="53" t="inlineStr">
        <is>
          <t>XBRL / Regulatory Reporting</t>
        </is>
      </c>
      <c r="BA102" s="53" t="n"/>
      <c r="BB102" s="53" t="n"/>
      <c r="BC102" s="53" t="inlineStr">
        <is>
          <t>On Contract</t>
        </is>
      </c>
      <c r="BD102" s="53" t="inlineStr">
        <is>
          <t>Priyanka Mehra</t>
        </is>
      </c>
      <c r="BE102" s="53" t="inlineStr">
        <is>
          <t>Priyanka Mehra</t>
        </is>
      </c>
      <c r="BF102" s="53" t="inlineStr">
        <is>
          <t>No</t>
        </is>
      </c>
      <c r="BG102" s="53" t="inlineStr">
        <is>
          <t>Consultant</t>
        </is>
      </c>
      <c r="BH102" s="53" t="inlineStr">
        <is>
          <t>Consultant</t>
        </is>
      </c>
      <c r="BI102" s="53" t="inlineStr">
        <is>
          <t>No</t>
        </is>
      </c>
      <c r="BJ102" s="53" t="inlineStr">
        <is>
          <t>—</t>
        </is>
      </c>
      <c r="BK102" s="53" t="inlineStr">
        <is>
          <t>—</t>
        </is>
      </c>
      <c r="BL102" s="53" t="inlineStr">
        <is>
          <t>—</t>
        </is>
      </c>
      <c r="BM102" s="53" t="inlineStr">
        <is>
          <t>Not a manager</t>
        </is>
      </c>
      <c r="BN102" s="53" t="inlineStr">
        <is>
          <t>—</t>
        </is>
      </c>
      <c r="BO102" s="53" t="inlineStr">
        <is>
          <t>—</t>
        </is>
      </c>
      <c r="BP102" s="53" t="inlineStr">
        <is>
          <t>—</t>
        </is>
      </c>
      <c r="BQ102" s="53" t="inlineStr">
        <is>
          <t>Not a manager</t>
        </is>
      </c>
      <c r="BR102" s="53" t="inlineStr">
        <is>
          <t>—</t>
        </is>
      </c>
      <c r="BS102" s="53" t="inlineStr">
        <is>
          <t>L3 – Professional / Associate</t>
        </is>
      </c>
      <c r="BT102" s="53" t="inlineStr">
        <is>
          <t>L3 – Professional / Associate</t>
        </is>
      </c>
      <c r="BU102" s="53" t="inlineStr">
        <is>
          <t>No designation change — current record value carried forward</t>
        </is>
      </c>
      <c r="BV10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2" s="53" t="n"/>
      <c r="BX102" s="53" t="inlineStr">
        <is>
          <t>South Africa - CIPC; India - MCA.</t>
        </is>
      </c>
      <c r="BY102" s="53" t="n"/>
      <c r="BZ102" s="53" t="inlineStr">
        <is>
          <t>IRISC212</t>
        </is>
      </c>
      <c r="CA102" s="53" t="inlineStr">
        <is>
          <t>On Contract</t>
        </is>
      </c>
      <c r="CB102" s="53" t="inlineStr">
        <is>
          <t>Active</t>
        </is>
      </c>
      <c r="CC102" s="53" t="inlineStr">
        <is>
          <t>Vishakha Vitmal</t>
        </is>
      </c>
      <c r="CD102" s="54" t="n">
        <v>44385</v>
      </c>
      <c r="CE102" s="53" t="inlineStr">
        <is>
          <t>Consultant</t>
        </is>
      </c>
      <c r="CF102" s="53" t="inlineStr">
        <is>
          <t>Tagging</t>
        </is>
      </c>
      <c r="CG102" s="53" t="inlineStr">
        <is>
          <t>Professional Services</t>
        </is>
      </c>
      <c r="CH102" s="53" t="inlineStr">
        <is>
          <t>XBRL / Regulatory Reporting</t>
        </is>
      </c>
      <c r="CI102" s="53" t="inlineStr">
        <is>
          <t>Consultant</t>
        </is>
      </c>
      <c r="CJ102" s="53" t="inlineStr">
        <is>
          <t>L3 – Professional / Associate</t>
        </is>
      </c>
      <c r="CK102" s="53" t="inlineStr">
        <is>
          <t>Priyanka Mehra</t>
        </is>
      </c>
      <c r="CL102" s="53" t="inlineStr">
        <is>
          <t>N-7</t>
        </is>
      </c>
      <c r="CM102" s="53" t="inlineStr">
        <is>
          <t>Individual Contributor</t>
        </is>
      </c>
      <c r="CN102" s="53" t="inlineStr">
        <is>
          <t>Regtech</t>
        </is>
      </c>
      <c r="CO102" s="53" t="inlineStr">
        <is>
          <t>Services</t>
        </is>
      </c>
      <c r="CP102" s="53" t="inlineStr">
        <is>
          <t>4 years, 11 months, 12 days</t>
        </is>
      </c>
      <c r="CQ102" s="53" t="n"/>
      <c r="CR102" s="53" t="n"/>
      <c r="CS102" s="53" t="n">
        <v>3</v>
      </c>
      <c r="CT102" s="53" t="inlineStr">
        <is>
          <t>Medium</t>
        </is>
      </c>
      <c r="CU102" s="53" t="inlineStr">
        <is>
          <t>Core Contributor</t>
        </is>
      </c>
      <c r="CV102" s="53" t="inlineStr">
        <is>
          <t>No</t>
        </is>
      </c>
      <c r="CW102" s="53" t="inlineStr">
        <is>
          <t>No</t>
        </is>
      </c>
      <c r="CX102" s="53" t="inlineStr">
        <is>
          <t>Yes</t>
        </is>
      </c>
      <c r="CY102" s="53" t="n"/>
      <c r="CZ102" s="53" t="n"/>
      <c r="DA102" s="53" t="n"/>
      <c r="DB102" s="53" t="n"/>
      <c r="DC102" s="53" t="n"/>
      <c r="DD102" s="53" t="n"/>
      <c r="DE102" s="53" t="n"/>
      <c r="DF102" s="53" t="n"/>
      <c r="DG102" s="53" t="n"/>
      <c r="DH102" s="53" t="n"/>
      <c r="DI102" s="53" t="n"/>
      <c r="DJ102" s="53" t="n"/>
      <c r="DK102" s="53" t="n"/>
      <c r="DL102" s="53" t="n"/>
      <c r="DM102" s="53" t="n"/>
      <c r="DN102" s="53" t="n"/>
      <c r="DO102" s="53" t="n"/>
      <c r="DP102" s="53" t="n"/>
      <c r="DQ102" s="53" t="n"/>
      <c r="DR102" s="53" t="n"/>
      <c r="DS102" s="53" t="n"/>
      <c r="DT102" s="53" t="n"/>
      <c r="DU102" s="53" t="n"/>
      <c r="DV102" s="53" t="n"/>
      <c r="DW102" s="53" t="n"/>
      <c r="DX102" s="53" t="n"/>
      <c r="DY102" s="53" t="n"/>
      <c r="DZ102" s="53" t="n"/>
      <c r="EA102" s="53" t="n"/>
      <c r="EB102" s="53" t="n"/>
      <c r="EC102" s="53" t="n"/>
      <c r="ED102" s="53" t="n"/>
      <c r="EE102" s="53" t="n"/>
      <c r="EF102" s="53" t="n"/>
      <c r="EG102" s="53" t="n"/>
      <c r="EH102" s="53" t="n"/>
      <c r="EI102" s="53" t="n"/>
      <c r="EJ102" s="53" t="n"/>
      <c r="EK102" s="53" t="n"/>
      <c r="EL102" s="53" t="n"/>
      <c r="EM102" s="53" t="n"/>
      <c r="EN102" s="53" t="n"/>
      <c r="EO102" s="53" t="n"/>
      <c r="EP102" s="53" t="n"/>
      <c r="EQ102" s="53" t="n"/>
      <c r="ER102" s="53" t="n"/>
      <c r="ES102" s="53" t="n"/>
      <c r="ET102" s="53" t="n"/>
      <c r="EU102" s="53" t="n"/>
      <c r="EV102" s="53" t="n"/>
      <c r="EW102" s="52" t="n"/>
      <c r="EX102" s="53" t="inlineStr">
        <is>
          <t>• Role / sub-team: Tagging.</t>
        </is>
      </c>
      <c r="EY102" s="5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Z102" s="53" t="inlineStr">
        <is>
          <t>• Current capabilities: Coordination.</t>
        </is>
      </c>
      <c r="FA102" s="53" t="inlineStr">
        <is>
          <t>• Development priorities: No input received.
• Learning and Development Need: No input received.</t>
        </is>
      </c>
      <c r="FB102" s="53" t="inlineStr">
        <is>
          <t>• Key challenges: When 5-6 files are uploaded in a single day there is a delay in work, because the team is on continuous client calls.
• Support required: No input received.</t>
        </is>
      </c>
      <c r="FC102" s="53" t="n"/>
      <c r="FD102" s="53" t="n"/>
      <c r="FE10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2" s="56" t="n"/>
      <c r="FG102" s="56" t="n"/>
      <c r="FH102" s="56" t="n"/>
      <c r="FI102" s="56" t="inlineStr">
        <is>
          <t>Tagging</t>
        </is>
      </c>
      <c r="FJ102" s="56" t="inlineStr">
        <is>
          <t>Received · manager annual</t>
        </is>
      </c>
      <c r="FK102" s="56" t="inlineStr">
        <is>
          <t>CARBON Mapping Master · CARBON Talent Mapping · Raw</t>
        </is>
      </c>
      <c r="FL102" s="56" t="n">
        <v>19</v>
      </c>
      <c r="FM102" s="56" t="inlineStr">
        <is>
          <t>• Role / sub-team: Tagging.</t>
        </is>
      </c>
      <c r="FN102" s="56"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FO102" s="56" t="inlineStr">
        <is>
          <t>• Current capabilities: Coordination.</t>
        </is>
      </c>
      <c r="FP102" s="56" t="inlineStr">
        <is>
          <t>• Development priorities: No input received.
• Learning and Development Need: No input received.</t>
        </is>
      </c>
      <c r="FQ102" s="56" t="inlineStr">
        <is>
          <t>• Key challenges: When 5-6 files are uploaded in a single day there is a delay in work, because the team is on continuous client calls.
• Support required: No input received.</t>
        </is>
      </c>
      <c r="FR102" s="56" t="inlineStr">
        <is>
          <t>Complexity: Evidence reads like A3: MCA taxonomy tagging, QA, troubleshooting validation errors, advising clients on taxonomy rules → moved up 0.5
Autonomy: Evidence reads like A3: Selects tags, resolves validation errors, finalises files for upload; MCA files go straight to client → moved up 0.5
Accountability: Evidence reads like A3: Own files sent directly to clients; wrong guidance or late filing means client penalties → moved up 0.5
Leadership: Evidence reads like A1: No guidance or leadership of others described → matches the start
Business Impact: Moved +0.5: the survey / manager mapping marks it business-critical.</t>
        </is>
      </c>
      <c r="FS10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2" s="56" t="inlineStr">
        <is>
          <t>Self-identified: Project / programme management
For the next role: Project / programme management</t>
        </is>
      </c>
      <c r="FU102" s="56" t="inlineStr">
        <is>
          <t>Per-person summary · CARBON Mapping Master</t>
        </is>
      </c>
    </row>
    <row r="103" ht="90" customHeight="1">
      <c r="A103" s="51" t="inlineStr">
        <is>
          <t>◂ Back</t>
        </is>
      </c>
      <c r="B103" s="29" t="inlineStr">
        <is>
          <t>Mapped</t>
        </is>
      </c>
      <c r="C103" s="28" t="inlineStr">
        <is>
          <t>CARBON</t>
        </is>
      </c>
      <c r="D103" s="29" t="inlineStr">
        <is>
          <t>IRISC341</t>
        </is>
      </c>
      <c r="E103" s="29" t="inlineStr">
        <is>
          <t>Anjali Singh</t>
        </is>
      </c>
      <c r="F103" s="29" t="inlineStr">
        <is>
          <t>Services</t>
        </is>
      </c>
      <c r="G103" s="29" t="inlineStr">
        <is>
          <t>Consultant</t>
        </is>
      </c>
      <c r="H103" s="29" t="inlineStr">
        <is>
          <t>Financial Analyst</t>
        </is>
      </c>
      <c r="I103" s="29" t="inlineStr">
        <is>
          <t>L3 – Professional / Associate</t>
        </is>
      </c>
      <c r="J103" s="29" t="inlineStr">
        <is>
          <t>A2</t>
        </is>
      </c>
      <c r="K103" s="29" t="inlineStr">
        <is>
          <t>• Same level</t>
        </is>
      </c>
      <c r="L103" s="29" t="inlineStr">
        <is>
          <t>Consulting &amp; Professional Services</t>
        </is>
      </c>
      <c r="M103" s="29" t="inlineStr">
        <is>
          <t>XBRL Tagging, Conversion &amp; Filing</t>
        </is>
      </c>
      <c r="N103" s="29" t="n"/>
      <c r="O103" s="29" t="n">
        <v>20</v>
      </c>
      <c r="P103" s="28" t="inlineStr">
        <is>
          <t>P1–P2</t>
        </is>
      </c>
      <c r="Q103" s="29" t="inlineStr">
        <is>
          <t>Entry / Developing</t>
        </is>
      </c>
      <c r="R103" s="29" t="inlineStr">
        <is>
          <t>2 Assist</t>
        </is>
      </c>
      <c r="S103" s="29" t="inlineStr">
        <is>
          <t>0–2 yrs</t>
        </is>
      </c>
      <c r="T103" s="29" t="inlineStr">
        <is>
          <t>1–3 · 0–3</t>
        </is>
      </c>
      <c r="U103" s="29" t="inlineStr">
        <is>
          <t>Analyst / Senior Analyst / Associate</t>
        </is>
      </c>
      <c r="V103" s="29" t="inlineStr">
        <is>
          <t>Toppan Merrill: XBRL Financial Analyst, Associate · DataTracks: Associate · Big Four: Analyst</t>
        </is>
      </c>
      <c r="W103" s="29" t="inlineStr">
        <is>
          <t>XBRL US GAAP Certificate · AICPA &amp; XBRL US; XBRL International specifications; IFRS / US GAAP / Ind AS</t>
        </is>
      </c>
      <c r="X103" s="29" t="inlineStr">
        <is>
          <t>Core 2 · Future 2 · Functional 2 · Leadership not scored</t>
        </is>
      </c>
      <c r="Y103" s="52" t="n">
        <v>449</v>
      </c>
      <c r="Z103" s="53" t="inlineStr">
        <is>
          <t>IRISC341</t>
        </is>
      </c>
      <c r="AA103" s="53" t="inlineStr">
        <is>
          <t>On Contract</t>
        </is>
      </c>
      <c r="AB103" s="53" t="inlineStr">
        <is>
          <t>Active</t>
        </is>
      </c>
      <c r="AC103" s="53" t="inlineStr">
        <is>
          <t>Anjali Singh</t>
        </is>
      </c>
      <c r="AD103" s="54" t="n">
        <v>46056</v>
      </c>
      <c r="AE103" s="53" t="inlineStr">
        <is>
          <t>Consultant</t>
        </is>
      </c>
      <c r="AF103" s="53" t="inlineStr">
        <is>
          <t>M.Com</t>
        </is>
      </c>
      <c r="AG103" s="53" t="inlineStr">
        <is>
          <t>Priyanka Mehra</t>
        </is>
      </c>
      <c r="AH103" s="53" t="inlineStr">
        <is>
          <t>N-7</t>
        </is>
      </c>
      <c r="AI103" s="53" t="inlineStr">
        <is>
          <t>Individual Contributor</t>
        </is>
      </c>
      <c r="AJ103" s="53" t="inlineStr">
        <is>
          <t>0 years, 8 months, 0 days</t>
        </is>
      </c>
      <c r="AK103" s="53" t="inlineStr">
        <is>
          <t>0 years, 6 months, 22 days</t>
        </is>
      </c>
      <c r="AL103" s="53" t="inlineStr">
        <is>
          <t>Regtech</t>
        </is>
      </c>
      <c r="AM103" s="53" t="inlineStr">
        <is>
          <t>CARBON</t>
        </is>
      </c>
      <c r="AN103" s="53" t="inlineStr">
        <is>
          <t>Services</t>
        </is>
      </c>
      <c r="AO103" s="53" t="inlineStr">
        <is>
          <t>Expert Assisted services</t>
        </is>
      </c>
      <c r="AP103" s="53" t="inlineStr">
        <is>
          <t>No</t>
        </is>
      </c>
      <c r="AQ103" s="53" t="inlineStr">
        <is>
          <t>Professional Services</t>
        </is>
      </c>
      <c r="AR103" s="53" t="inlineStr">
        <is>
          <t>XBRL Domain</t>
        </is>
      </c>
      <c r="AS103" s="53" t="inlineStr">
        <is>
          <t>Non-technical</t>
        </is>
      </c>
      <c r="AT103" s="53" t="n">
        <v>20</v>
      </c>
      <c r="AU103" s="53" t="inlineStr">
        <is>
          <t>Covered</t>
        </is>
      </c>
      <c r="AV103" s="53" t="inlineStr">
        <is>
          <t>IRISC341</t>
        </is>
      </c>
      <c r="AW103" s="53" t="inlineStr">
        <is>
          <t>Anjali Singh</t>
        </is>
      </c>
      <c r="AX103" s="53" t="inlineStr">
        <is>
          <t>Services</t>
        </is>
      </c>
      <c r="AY103" s="53" t="inlineStr">
        <is>
          <t>Professional Services</t>
        </is>
      </c>
      <c r="AZ103" s="53" t="inlineStr">
        <is>
          <t>XBRL / Regulatory Reporting</t>
        </is>
      </c>
      <c r="BA103" s="53" t="n"/>
      <c r="BB103" s="53" t="n"/>
      <c r="BC103" s="53" t="inlineStr">
        <is>
          <t>On Contract</t>
        </is>
      </c>
      <c r="BD103" s="53" t="inlineStr">
        <is>
          <t>Priyanka Mehra</t>
        </is>
      </c>
      <c r="BE103" s="53" t="inlineStr">
        <is>
          <t>Priyanka Mehra</t>
        </is>
      </c>
      <c r="BF103" s="53" t="inlineStr">
        <is>
          <t>No</t>
        </is>
      </c>
      <c r="BG103" s="53" t="inlineStr">
        <is>
          <t>Consultant</t>
        </is>
      </c>
      <c r="BH103" s="53" t="inlineStr">
        <is>
          <t>Consultant</t>
        </is>
      </c>
      <c r="BI103" s="53" t="inlineStr">
        <is>
          <t>No</t>
        </is>
      </c>
      <c r="BJ103" s="53" t="inlineStr">
        <is>
          <t>—</t>
        </is>
      </c>
      <c r="BK103" s="53" t="inlineStr">
        <is>
          <t>—</t>
        </is>
      </c>
      <c r="BL103" s="53" t="inlineStr">
        <is>
          <t>—</t>
        </is>
      </c>
      <c r="BM103" s="53" t="inlineStr">
        <is>
          <t>Not a manager</t>
        </is>
      </c>
      <c r="BN103" s="53" t="inlineStr">
        <is>
          <t>—</t>
        </is>
      </c>
      <c r="BO103" s="53" t="inlineStr">
        <is>
          <t>—</t>
        </is>
      </c>
      <c r="BP103" s="53" t="inlineStr">
        <is>
          <t>—</t>
        </is>
      </c>
      <c r="BQ103" s="53" t="inlineStr">
        <is>
          <t>Not a manager</t>
        </is>
      </c>
      <c r="BR103" s="53" t="inlineStr">
        <is>
          <t>—</t>
        </is>
      </c>
      <c r="BS103" s="53" t="inlineStr">
        <is>
          <t>L3 – Professional / Associate</t>
        </is>
      </c>
      <c r="BT103" s="53" t="inlineStr">
        <is>
          <t>L3 – Professional / Associate</t>
        </is>
      </c>
      <c r="BU103" s="53" t="inlineStr">
        <is>
          <t>No designation change — current record value carried forward</t>
        </is>
      </c>
      <c r="BV10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3" s="53" t="n"/>
      <c r="BX103" s="53" t="inlineStr">
        <is>
          <t>South Africa - CIPC · On Contract.</t>
        </is>
      </c>
      <c r="BY103" s="53" t="n"/>
      <c r="BZ103" s="53" t="inlineStr">
        <is>
          <t>IRISC341</t>
        </is>
      </c>
      <c r="CA103" s="53" t="inlineStr">
        <is>
          <t>On Contract</t>
        </is>
      </c>
      <c r="CB103" s="53" t="inlineStr">
        <is>
          <t>Active</t>
        </is>
      </c>
      <c r="CC103" s="53" t="inlineStr">
        <is>
          <t>Anjali Singh</t>
        </is>
      </c>
      <c r="CD103" s="54" t="n">
        <v>46056</v>
      </c>
      <c r="CE103" s="53" t="inlineStr">
        <is>
          <t>Consultant</t>
        </is>
      </c>
      <c r="CF103" s="53" t="n"/>
      <c r="CG103" s="53" t="inlineStr">
        <is>
          <t>Professional Services</t>
        </is>
      </c>
      <c r="CH103" s="53" t="inlineStr">
        <is>
          <t>XBRL / Regulatory Reporting</t>
        </is>
      </c>
      <c r="CI103" s="53" t="inlineStr">
        <is>
          <t>Consultant</t>
        </is>
      </c>
      <c r="CJ103" s="53" t="inlineStr">
        <is>
          <t>L3 – Professional / Associate</t>
        </is>
      </c>
      <c r="CK103" s="53" t="inlineStr">
        <is>
          <t>Priyanka Mehra</t>
        </is>
      </c>
      <c r="CL103" s="53" t="inlineStr">
        <is>
          <t>N-7</t>
        </is>
      </c>
      <c r="CM103" s="53" t="inlineStr">
        <is>
          <t>Individual Contributor</t>
        </is>
      </c>
      <c r="CN103" s="53" t="inlineStr">
        <is>
          <t>Regtech</t>
        </is>
      </c>
      <c r="CO103" s="53" t="inlineStr">
        <is>
          <t>Services</t>
        </is>
      </c>
      <c r="CP103" s="53" t="inlineStr">
        <is>
          <t>1 years, 0 months, 17 days</t>
        </is>
      </c>
      <c r="CQ103" s="53" t="n"/>
      <c r="CR103" s="53" t="n"/>
      <c r="CS103" s="53" t="n">
        <v>2</v>
      </c>
      <c r="CT103" s="53" t="inlineStr">
        <is>
          <t>Low</t>
        </is>
      </c>
      <c r="CU103" s="53" t="inlineStr">
        <is>
          <t>Reliable Specialist</t>
        </is>
      </c>
      <c r="CV103" s="53" t="inlineStr">
        <is>
          <t>No</t>
        </is>
      </c>
      <c r="CW103" s="53" t="inlineStr">
        <is>
          <t>No</t>
        </is>
      </c>
      <c r="CX103" s="53" t="inlineStr">
        <is>
          <t>Yes</t>
        </is>
      </c>
      <c r="CY103" s="53" t="n"/>
      <c r="CZ103" s="53" t="n"/>
      <c r="DA103" s="53" t="n"/>
      <c r="DB103" s="53" t="n"/>
      <c r="DC103" s="53" t="n"/>
      <c r="DD103" s="53" t="n"/>
      <c r="DE103" s="53" t="n"/>
      <c r="DF103" s="53" t="n"/>
      <c r="DG103" s="53" t="n"/>
      <c r="DH103" s="53" t="n"/>
      <c r="DI103" s="53" t="n"/>
      <c r="DJ103" s="53" t="n"/>
      <c r="DK103" s="53" t="n"/>
      <c r="DL103" s="53" t="n"/>
      <c r="DM103" s="53" t="n"/>
      <c r="DN103" s="53" t="n"/>
      <c r="DO103" s="53" t="n"/>
      <c r="DP103" s="53" t="n"/>
      <c r="DQ103" s="53" t="n"/>
      <c r="DR103" s="53" t="n"/>
      <c r="DS103" s="53" t="n"/>
      <c r="DT103" s="53" t="n"/>
      <c r="DU103" s="53" t="n"/>
      <c r="DV103" s="53" t="n"/>
      <c r="DW103" s="53" t="n"/>
      <c r="DX103" s="53" t="n"/>
      <c r="DY103" s="53" t="n"/>
      <c r="DZ103" s="53" t="n"/>
      <c r="EA103" s="53" t="n"/>
      <c r="EB103" s="53" t="n"/>
      <c r="EC103" s="53" t="n"/>
      <c r="ED103" s="53" t="n"/>
      <c r="EE103" s="53" t="n"/>
      <c r="EF103" s="53" t="n"/>
      <c r="EG103" s="53" t="n"/>
      <c r="EH103" s="53" t="n"/>
      <c r="EI103" s="53" t="n"/>
      <c r="EJ103" s="53" t="n"/>
      <c r="EK103" s="53" t="n"/>
      <c r="EL103" s="53" t="n"/>
      <c r="EM103" s="53" t="n"/>
      <c r="EN103" s="53" t="n"/>
      <c r="EO103" s="53" t="n"/>
      <c r="EP103" s="53" t="n"/>
      <c r="EQ103" s="53" t="n"/>
      <c r="ER103" s="53" t="n"/>
      <c r="ES103" s="53" t="n"/>
      <c r="ET103" s="53" t="n"/>
      <c r="EU103" s="53" t="n"/>
      <c r="EV103" s="53" t="n"/>
      <c r="EW103" s="52" t="inlineStr">
        <is>
          <t>Last working month is October — exiting; flag for handover before departure.</t>
        </is>
      </c>
      <c r="EX103" s="53" t="inlineStr">
        <is>
          <t>• Role / sub-team: CIPC.</t>
        </is>
      </c>
      <c r="EY103" s="53" t="inlineStr">
        <is>
          <t>• Key responsibilities include: Formatting, tagging, validation.
• Reported deliverables and outcomes include: Mail the final file to PMO.</t>
        </is>
      </c>
      <c r="EZ103" s="53" t="inlineStr">
        <is>
          <t>• Current capabilities: No input received.</t>
        </is>
      </c>
      <c r="FA103" s="53" t="inlineStr">
        <is>
          <t>• Development priorities: No input received.
• Learning and Development Need: Time management.</t>
        </is>
      </c>
      <c r="FB103" s="53" t="inlineStr">
        <is>
          <t>• Key challenges: No input received.
• Support required: No input received.</t>
        </is>
      </c>
      <c r="FC103" s="53" t="n"/>
      <c r="FD103" s="53" t="n"/>
      <c r="FE10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3" s="56" t="n"/>
      <c r="FG103" s="56" t="n"/>
      <c r="FH103" s="56" t="n"/>
      <c r="FI103" s="56" t="n"/>
      <c r="FJ103" s="56" t="inlineStr">
        <is>
          <t>Received · manager annual</t>
        </is>
      </c>
      <c r="FK103" s="56" t="inlineStr">
        <is>
          <t>CARBON Mapping Master</t>
        </is>
      </c>
      <c r="FL103" s="56" t="n">
        <v>20</v>
      </c>
      <c r="FM103" s="56" t="inlineStr">
        <is>
          <t>• Role / sub-team: CIPC.</t>
        </is>
      </c>
      <c r="FN103" s="56" t="inlineStr">
        <is>
          <t>• Key responsibilities include: Formatting, tagging, validation.
• Reported deliverables and outcomes include: Mail the final file to PMO.</t>
        </is>
      </c>
      <c r="FO103" s="56" t="inlineStr">
        <is>
          <t>• Current capabilities: No input received.</t>
        </is>
      </c>
      <c r="FP103" s="56" t="inlineStr">
        <is>
          <t>• Development priorities: No input received.
• Learning and Development Need: Time management.</t>
        </is>
      </c>
      <c r="FQ103" s="56" t="inlineStr">
        <is>
          <t>• Key challenges: No input received.
• Support required: No input received.</t>
        </is>
      </c>
      <c r="FR103" s="56" t="inlineStr">
        <is>
          <t>Complexity: Evidence reads like A2: Data mapping, XBRL tagging and validation of CIPC files to a defined process → matches the start
Autonomy: Evidence reads like A2: Does tagging and checks basic errors on own → matches the start
Accountability: Evidence reads like A2: Accurate tagging and mapping; errors cause validation failures and team rework → matches the start
Leadership: Evidence reads like A1: No guidance or leadership of others described → matches the start
Business Impact: Moved +0.5: the survey / manager mapping marks it business-critical.</t>
        </is>
      </c>
      <c r="FS103"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103" s="56" t="inlineStr">
        <is>
          <t>Self-identified: Domain, regulatory &amp; XBRL
For the next role: Domain, regulatory &amp; XBRL</t>
        </is>
      </c>
      <c r="FU103" s="56" t="inlineStr">
        <is>
          <t>Per-person summary · CARBON Mapping Master</t>
        </is>
      </c>
    </row>
    <row r="104" ht="90" customHeight="1">
      <c r="A104" s="51" t="inlineStr">
        <is>
          <t>◂ Back</t>
        </is>
      </c>
      <c r="B104" s="29" t="inlineStr">
        <is>
          <t>Mapped</t>
        </is>
      </c>
      <c r="C104" s="28" t="inlineStr">
        <is>
          <t>CARBON</t>
        </is>
      </c>
      <c r="D104" s="29" t="inlineStr">
        <is>
          <t>IRIS1705</t>
        </is>
      </c>
      <c r="E104" s="29" t="inlineStr">
        <is>
          <t>Lalita Waghmare</t>
        </is>
      </c>
      <c r="F104" s="29" t="inlineStr">
        <is>
          <t>Services</t>
        </is>
      </c>
      <c r="G104" s="29" t="inlineStr">
        <is>
          <t>Financial Analyst</t>
        </is>
      </c>
      <c r="H104" s="29" t="inlineStr">
        <is>
          <t>Team Lead – Assisted Services</t>
        </is>
      </c>
      <c r="I104" s="29" t="inlineStr">
        <is>
          <t>L3 – Professional / Associate</t>
        </is>
      </c>
      <c r="J104" s="29" t="inlineStr">
        <is>
          <t>B1</t>
        </is>
      </c>
      <c r="K104" s="29" t="inlineStr">
        <is>
          <t>▲ Up</t>
        </is>
      </c>
      <c r="L104" s="29" t="inlineStr">
        <is>
          <t>Consulting &amp; Professional Services</t>
        </is>
      </c>
      <c r="M104" s="29" t="inlineStr">
        <is>
          <t>XBRL Tagging, Conversion &amp; Filing</t>
        </is>
      </c>
      <c r="N104" s="29" t="inlineStr">
        <is>
          <t>• Confirm the reporting line — Manager</t>
        </is>
      </c>
      <c r="O104" s="29" t="n">
        <v>20</v>
      </c>
      <c r="P104" s="28" t="inlineStr">
        <is>
          <t>P3 / M2</t>
        </is>
      </c>
      <c r="Q104" s="29" t="inlineStr">
        <is>
          <t>Career / · Team Lead</t>
        </is>
      </c>
      <c r="R104" s="29" t="inlineStr">
        <is>
          <t>4 Enable</t>
        </is>
      </c>
      <c r="S104" s="29" t="inlineStr">
        <is>
          <t>4–7 yrs</t>
        </is>
      </c>
      <c r="T104" s="29" t="inlineStr">
        <is>
          <t>5–8 · 4–8</t>
        </is>
      </c>
      <c r="U104" s="29" t="inlineStr">
        <is>
          <t>Team Lead / Assistant Manager</t>
        </is>
      </c>
      <c r="V104" s="29" t="inlineStr">
        <is>
          <t>Big Four: Senior Consultant · IRIS Vs Market Benchmark — XBRL US credential pathway: Certificate + specialist taxonomy</t>
        </is>
      </c>
      <c r="W104" s="29" t="inlineStr">
        <is>
          <t>XBRL US GAAP Certificate · AICPA &amp; XBRL US; XBRL International specifications; IFRS / US GAAP / Ind AS</t>
        </is>
      </c>
      <c r="X104" s="29" t="inlineStr">
        <is>
          <t>Core 3 · Future 3 · Functional 3 · Leadership 2</t>
        </is>
      </c>
      <c r="Y104" s="52" t="n">
        <v>145</v>
      </c>
      <c r="Z104" s="53" t="inlineStr">
        <is>
          <t>IRIS1705</t>
        </is>
      </c>
      <c r="AA104" s="53" t="inlineStr">
        <is>
          <t>Employee</t>
        </is>
      </c>
      <c r="AB104" s="53" t="inlineStr">
        <is>
          <t>Active</t>
        </is>
      </c>
      <c r="AC104" s="53" t="inlineStr">
        <is>
          <t>Lalita Waghmare</t>
        </is>
      </c>
      <c r="AD104" s="54" t="n">
        <v>43130</v>
      </c>
      <c r="AE104" s="53" t="inlineStr">
        <is>
          <t>Financial Analyst</t>
        </is>
      </c>
      <c r="AF104" s="53" t="inlineStr">
        <is>
          <t>B.Com</t>
        </is>
      </c>
      <c r="AG104" s="53" t="inlineStr">
        <is>
          <t>Mayur Zope</t>
        </is>
      </c>
      <c r="AH104" s="53" t="inlineStr">
        <is>
          <t>N-6</t>
        </is>
      </c>
      <c r="AI104" s="53" t="inlineStr">
        <is>
          <t>Manager</t>
        </is>
      </c>
      <c r="AJ104" s="53" t="inlineStr">
        <is>
          <t>9 years, 8 months, 0 days</t>
        </is>
      </c>
      <c r="AK104" s="53" t="inlineStr">
        <is>
          <t>8 years, 6 months, 26 days</t>
        </is>
      </c>
      <c r="AL104" s="53" t="inlineStr">
        <is>
          <t>Regtech</t>
        </is>
      </c>
      <c r="AM104" s="53" t="inlineStr">
        <is>
          <t>CARBON</t>
        </is>
      </c>
      <c r="AN104" s="53" t="inlineStr">
        <is>
          <t>Services</t>
        </is>
      </c>
      <c r="AO104" s="53" t="inlineStr">
        <is>
          <t>Expert Assisted services</t>
        </is>
      </c>
      <c r="AP104" s="53" t="inlineStr">
        <is>
          <t>No</t>
        </is>
      </c>
      <c r="AQ104" s="53" t="inlineStr">
        <is>
          <t>Professional Services</t>
        </is>
      </c>
      <c r="AR104" s="53" t="inlineStr">
        <is>
          <t>XBRL Domain</t>
        </is>
      </c>
      <c r="AS104" s="53" t="inlineStr">
        <is>
          <t>Non-technical</t>
        </is>
      </c>
      <c r="AT104" s="53" t="n">
        <v>20</v>
      </c>
      <c r="AU104" s="53" t="inlineStr">
        <is>
          <t>Covered</t>
        </is>
      </c>
      <c r="AV104" s="53" t="inlineStr">
        <is>
          <t>IRIS1705</t>
        </is>
      </c>
      <c r="AW104" s="53" t="inlineStr">
        <is>
          <t>Lalita Waghmare</t>
        </is>
      </c>
      <c r="AX104" s="53" t="inlineStr">
        <is>
          <t>Services</t>
        </is>
      </c>
      <c r="AY104" s="53" t="inlineStr">
        <is>
          <t>Professional Services</t>
        </is>
      </c>
      <c r="AZ104" s="53" t="inlineStr">
        <is>
          <t>XBRL / Regulatory Reporting</t>
        </is>
      </c>
      <c r="BA104" s="53" t="n"/>
      <c r="BB104" s="53" t="n"/>
      <c r="BC104" s="53" t="inlineStr">
        <is>
          <t>Employee</t>
        </is>
      </c>
      <c r="BD104" s="53" t="inlineStr">
        <is>
          <t>Mayur Zope</t>
        </is>
      </c>
      <c r="BE104" s="53" t="inlineStr">
        <is>
          <t>Mayur Zope</t>
        </is>
      </c>
      <c r="BF104" s="53" t="inlineStr">
        <is>
          <t>No</t>
        </is>
      </c>
      <c r="BG104" s="53" t="inlineStr">
        <is>
          <t>Financial Analyst</t>
        </is>
      </c>
      <c r="BH104" s="53" t="inlineStr">
        <is>
          <t>Professional Services Lead</t>
        </is>
      </c>
      <c r="BI104" s="53" t="inlineStr">
        <is>
          <t>Yes</t>
        </is>
      </c>
      <c r="BJ104" s="53" t="n">
        <v>4</v>
      </c>
      <c r="BK104" s="53" t="n">
        <v>3</v>
      </c>
      <c r="BL104" s="53" t="n">
        <v>1</v>
      </c>
      <c r="BM104" s="53" t="inlineStr">
        <is>
          <t>Review</t>
        </is>
      </c>
      <c r="BN104" s="53" t="n">
        <v>4</v>
      </c>
      <c r="BO104" s="53" t="n">
        <v>3</v>
      </c>
      <c r="BP104" s="53" t="n">
        <v>1</v>
      </c>
      <c r="BQ104" s="53" t="inlineStr">
        <is>
          <t>Review</t>
        </is>
      </c>
      <c r="BR104" s="53" t="inlineStr">
        <is>
          <t>No</t>
        </is>
      </c>
      <c r="BS104" s="53" t="inlineStr">
        <is>
          <t>L3 – Professional / Associate</t>
        </is>
      </c>
      <c r="BT104" s="53" t="inlineStr">
        <is>
          <t>L4</t>
        </is>
      </c>
      <c r="BU104" s="53" t="inlineStr">
        <is>
          <t>Matched from Title Hierarchy · new designation</t>
        </is>
      </c>
      <c r="BV10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4" s="53" t="n"/>
      <c r="BX104" s="53" t="inlineStr">
        <is>
          <t>Europe - ESEF; India - MCA.</t>
        </is>
      </c>
      <c r="BY104" s="53" t="n"/>
      <c r="BZ104" s="53" t="inlineStr">
        <is>
          <t>IRIS1705</t>
        </is>
      </c>
      <c r="CA104" s="53" t="inlineStr">
        <is>
          <t>Employee</t>
        </is>
      </c>
      <c r="CB104" s="53" t="inlineStr">
        <is>
          <t>Active</t>
        </is>
      </c>
      <c r="CC104" s="53" t="inlineStr">
        <is>
          <t>Lalita Waghmare</t>
        </is>
      </c>
      <c r="CD104" s="54" t="n">
        <v>43130</v>
      </c>
      <c r="CE104" s="53" t="inlineStr">
        <is>
          <t>Financial Analyst</t>
        </is>
      </c>
      <c r="CF104" s="53" t="n"/>
      <c r="CG104" s="53" t="inlineStr">
        <is>
          <t>Professional Services</t>
        </is>
      </c>
      <c r="CH104" s="53" t="inlineStr">
        <is>
          <t>XBRL / Regulatory Reporting</t>
        </is>
      </c>
      <c r="CI104" s="53" t="inlineStr">
        <is>
          <t>Financial Analyst</t>
        </is>
      </c>
      <c r="CJ104" s="53" t="inlineStr">
        <is>
          <t>L3 – Professional / Associate</t>
        </is>
      </c>
      <c r="CK104" s="53" t="inlineStr">
        <is>
          <t>Mayur Zope</t>
        </is>
      </c>
      <c r="CL104" s="53" t="inlineStr">
        <is>
          <t>N-6</t>
        </is>
      </c>
      <c r="CM104" s="53" t="inlineStr">
        <is>
          <t>Player Cum Coach</t>
        </is>
      </c>
      <c r="CN104" s="53" t="inlineStr">
        <is>
          <t>Regtech</t>
        </is>
      </c>
      <c r="CO104" s="53" t="inlineStr">
        <is>
          <t>Services</t>
        </is>
      </c>
      <c r="CP104" s="53" t="inlineStr">
        <is>
          <t>18 years, 0 months, 21 days</t>
        </is>
      </c>
      <c r="CQ104" s="53" t="inlineStr">
        <is>
          <t>Professional Services Lead</t>
        </is>
      </c>
      <c r="CR104" s="53" t="n"/>
      <c r="CS104" s="53" t="n">
        <v>3</v>
      </c>
      <c r="CT104" s="53" t="inlineStr">
        <is>
          <t>Medium</t>
        </is>
      </c>
      <c r="CU104" s="53" t="inlineStr">
        <is>
          <t>Core Contributor</t>
        </is>
      </c>
      <c r="CV104" s="53" t="inlineStr">
        <is>
          <t>No</t>
        </is>
      </c>
      <c r="CW104" s="53" t="inlineStr">
        <is>
          <t>No</t>
        </is>
      </c>
      <c r="CX104" s="53" t="inlineStr">
        <is>
          <t>Yes</t>
        </is>
      </c>
      <c r="CY104" s="53" t="n"/>
      <c r="CZ104" s="53" t="n"/>
      <c r="DA104" s="53" t="n"/>
      <c r="DB104" s="53" t="inlineStr">
        <is>
          <t>Title to be standardized to: Professional Services Lead</t>
        </is>
      </c>
      <c r="DC104" s="53" t="n"/>
      <c r="DD104" s="53" t="n"/>
      <c r="DE104" s="53" t="n"/>
      <c r="DF104" s="53" t="n"/>
      <c r="DG104" s="53" t="n"/>
      <c r="DH104" s="53" t="n"/>
      <c r="DI104" s="53" t="n"/>
      <c r="DJ104" s="53" t="n"/>
      <c r="DK104" s="53" t="n"/>
      <c r="DL104" s="53" t="n"/>
      <c r="DM104" s="53" t="n"/>
      <c r="DN104" s="53" t="n"/>
      <c r="DO104" s="53" t="n"/>
      <c r="DP104" s="53" t="n"/>
      <c r="DQ104" s="53" t="n"/>
      <c r="DR104" s="53" t="n"/>
      <c r="DS104" s="53" t="n"/>
      <c r="DT104" s="53" t="n"/>
      <c r="DU104" s="53" t="n"/>
      <c r="DV104" s="53" t="n"/>
      <c r="DW104" s="53" t="n"/>
      <c r="DX104" s="53" t="n"/>
      <c r="DY104" s="53" t="n"/>
      <c r="DZ104" s="53" t="n"/>
      <c r="EA104" s="53" t="n"/>
      <c r="EB104" s="53" t="n"/>
      <c r="EC104" s="53" t="n"/>
      <c r="ED104" s="53" t="n"/>
      <c r="EE104" s="53" t="n"/>
      <c r="EF104" s="53" t="n"/>
      <c r="EG104" s="53" t="n"/>
      <c r="EH104" s="53" t="n"/>
      <c r="EI104" s="53" t="n"/>
      <c r="EJ104" s="53" t="n"/>
      <c r="EK104" s="53" t="n"/>
      <c r="EL104" s="53" t="n"/>
      <c r="EM104" s="53" t="n"/>
      <c r="EN104" s="53" t="n"/>
      <c r="EO104" s="53" t="n"/>
      <c r="EP104" s="53" t="n"/>
      <c r="EQ104" s="53" t="n"/>
      <c r="ER104" s="53" t="n"/>
      <c r="ES104" s="53" t="n"/>
      <c r="ET104" s="53" t="n"/>
      <c r="EU104" s="53" t="n"/>
      <c r="EV104" s="53" t="n"/>
      <c r="EW104" s="52" t="n"/>
      <c r="EX104" s="53" t="inlineStr">
        <is>
          <t>• Role / sub-team: MCA and ESMA.</t>
        </is>
      </c>
      <c r="EY104" s="53"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EZ104" s="53"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FA104" s="53" t="inlineStr">
        <is>
          <t>• Development priorities: No input received.
• Learning and Development Need: Time Mangaement.</t>
        </is>
      </c>
      <c r="FB104" s="53" t="inlineStr">
        <is>
          <t>• Key challenges: No input received.
• Support required: No input received.</t>
        </is>
      </c>
      <c r="FC104" s="53" t="n"/>
      <c r="FD104" s="53" t="n"/>
      <c r="FE10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4" s="56" t="n"/>
      <c r="FG104" s="56" t="n"/>
      <c r="FH104" s="56" t="n"/>
      <c r="FI104" s="56" t="n"/>
      <c r="FJ104" s="56" t="inlineStr">
        <is>
          <t>Received · manager annual</t>
        </is>
      </c>
      <c r="FK104" s="56" t="inlineStr">
        <is>
          <t>CARBON Mapping Master</t>
        </is>
      </c>
      <c r="FL104" s="56" t="n">
        <v>20</v>
      </c>
      <c r="FM104" s="56" t="inlineStr">
        <is>
          <t>• Role / sub-team: MCA and ESMA.</t>
        </is>
      </c>
      <c r="FN104" s="56"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FO104" s="56"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FP104" s="56" t="inlineStr">
        <is>
          <t>• Development priorities: No input received.
• Learning and Development Need: Time Mangaement.</t>
        </is>
      </c>
      <c r="FQ104" s="56" t="inlineStr">
        <is>
          <t>• Key challenges: No input received.
• Support required: No input received.</t>
        </is>
      </c>
      <c r="FR104" s="56" t="inlineStr">
        <is>
          <t>Complexity: Evidence reads like A3: Tagging, QC, client queries and delivery for multiple MCA projects, about 150 files a month → moved up 0.5
Autonomy: Evidence reads like A3: Finalises MCA files alone, with client communication and no handover → matches the start
Accountability: Evidence reads like A3: File from start to end, delivered to clients for MCA portal filing → moved down 0.5
Leadership: Evidence reads like A2: Four direct reports in HR data, but no leading or guiding described → moved down 1
Business Impact: Moved +0.5: the survey / manager mapping marks it business-critical.</t>
        </is>
      </c>
      <c r="FS104" s="56"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FT104" s="56" t="inlineStr">
        <is>
          <t>Self-identified: Project / programme management
For the next role: Project / programme management</t>
        </is>
      </c>
      <c r="FU104" s="56" t="inlineStr">
        <is>
          <t>Per-person summary · CARBON Mapping Master</t>
        </is>
      </c>
    </row>
    <row r="105" ht="90" customHeight="1">
      <c r="A105" s="51" t="inlineStr">
        <is>
          <t>◂ Back</t>
        </is>
      </c>
      <c r="B105" s="29" t="inlineStr">
        <is>
          <t>Mapped</t>
        </is>
      </c>
      <c r="C105" s="28" t="inlineStr">
        <is>
          <t>CARBON</t>
        </is>
      </c>
      <c r="D105" s="29" t="inlineStr">
        <is>
          <t>IRIS0574</t>
        </is>
      </c>
      <c r="E105" s="29" t="inlineStr">
        <is>
          <t>Sandeep Dhere</t>
        </is>
      </c>
      <c r="F105" s="29" t="inlineStr">
        <is>
          <t>Services</t>
        </is>
      </c>
      <c r="G105" s="29" t="inlineStr">
        <is>
          <t>Senior Financial Analyst</t>
        </is>
      </c>
      <c r="H105" s="29" t="inlineStr">
        <is>
          <t>XBRL Specialist</t>
        </is>
      </c>
      <c r="I105" s="29" t="inlineStr">
        <is>
          <t>L4 – Senior</t>
        </is>
      </c>
      <c r="J105" s="29" t="inlineStr">
        <is>
          <t>B1</t>
        </is>
      </c>
      <c r="K105" s="29" t="inlineStr">
        <is>
          <t>▲ Up</t>
        </is>
      </c>
      <c r="L105" s="29" t="inlineStr">
        <is>
          <t>Consulting &amp; Professional Services</t>
        </is>
      </c>
      <c r="M105" s="29" t="inlineStr">
        <is>
          <t>XBRL Tagging, Conversion &amp; Filing</t>
        </is>
      </c>
      <c r="N105" s="29" t="n"/>
      <c r="O105" s="29" t="n">
        <v>20</v>
      </c>
      <c r="P105" s="28" t="inlineStr">
        <is>
          <t>P3 / M2</t>
        </is>
      </c>
      <c r="Q105" s="29" t="inlineStr">
        <is>
          <t>Career / · Team Lead</t>
        </is>
      </c>
      <c r="R105" s="29" t="inlineStr">
        <is>
          <t>4 Enable</t>
        </is>
      </c>
      <c r="S105" s="29" t="inlineStr">
        <is>
          <t>4–7 yrs</t>
        </is>
      </c>
      <c r="T105" s="29" t="inlineStr">
        <is>
          <t>5–8 · 4–8</t>
        </is>
      </c>
      <c r="U105" s="29" t="inlineStr">
        <is>
          <t>Consultant / Senior Associate</t>
        </is>
      </c>
      <c r="V105" s="29" t="inlineStr">
        <is>
          <t>Big Four: Senior Consultant · IRIS Vs Market Benchmark — XBRL US credential pathway: Certificate + specialist taxonomy</t>
        </is>
      </c>
      <c r="W105" s="29" t="inlineStr">
        <is>
          <t>XBRL US GAAP Certificate · AICPA &amp; XBRL US; XBRL International specifications; IFRS / US GAAP / Ind AS</t>
        </is>
      </c>
      <c r="X105" s="29" t="inlineStr">
        <is>
          <t>Core 3 · Future 3 · Functional 3 · Leadership 1</t>
        </is>
      </c>
      <c r="Y105" s="52" t="n">
        <v>77</v>
      </c>
      <c r="Z105" s="53" t="inlineStr">
        <is>
          <t>IRIS0574</t>
        </is>
      </c>
      <c r="AA105" s="53" t="inlineStr">
        <is>
          <t>Employee</t>
        </is>
      </c>
      <c r="AB105" s="53" t="inlineStr">
        <is>
          <t>Active</t>
        </is>
      </c>
      <c r="AC105" s="53" t="inlineStr">
        <is>
          <t>Sandeep Dhere</t>
        </is>
      </c>
      <c r="AD105" s="54" t="n">
        <v>40638</v>
      </c>
      <c r="AE105" s="53" t="inlineStr">
        <is>
          <t>Senior Financial Analyst</t>
        </is>
      </c>
      <c r="AF105" s="53" t="inlineStr">
        <is>
          <t>B.Com</t>
        </is>
      </c>
      <c r="AG105" s="53" t="inlineStr">
        <is>
          <t>Lalita Waghmare</t>
        </is>
      </c>
      <c r="AH105" s="53" t="inlineStr">
        <is>
          <t>N-7</t>
        </is>
      </c>
      <c r="AI105" s="53" t="inlineStr">
        <is>
          <t>Individual Contributor</t>
        </is>
      </c>
      <c r="AJ105" s="53" t="inlineStr">
        <is>
          <t>0 years, 0 months, 0 days</t>
        </is>
      </c>
      <c r="AK105" s="53" t="inlineStr">
        <is>
          <t>15 years, 4 months, 20 days</t>
        </is>
      </c>
      <c r="AL105" s="53" t="inlineStr">
        <is>
          <t>Regtech</t>
        </is>
      </c>
      <c r="AM105" s="53" t="inlineStr">
        <is>
          <t>CARBON</t>
        </is>
      </c>
      <c r="AN105" s="53" t="inlineStr">
        <is>
          <t>Services</t>
        </is>
      </c>
      <c r="AO105" s="53" t="inlineStr">
        <is>
          <t>Expert Assisted services</t>
        </is>
      </c>
      <c r="AP105" s="53" t="inlineStr">
        <is>
          <t>No</t>
        </is>
      </c>
      <c r="AQ105" s="53" t="inlineStr">
        <is>
          <t>Professional Services</t>
        </is>
      </c>
      <c r="AR105" s="53" t="inlineStr">
        <is>
          <t>XBRL Domain</t>
        </is>
      </c>
      <c r="AS105" s="53" t="inlineStr">
        <is>
          <t>Non-technical</t>
        </is>
      </c>
      <c r="AT105" s="53" t="n">
        <v>20</v>
      </c>
      <c r="AU105" s="53" t="inlineStr">
        <is>
          <t>Covered</t>
        </is>
      </c>
      <c r="AV105" s="53" t="inlineStr">
        <is>
          <t>IRIS0574</t>
        </is>
      </c>
      <c r="AW105" s="53" t="inlineStr">
        <is>
          <t>Sandeep Dhere</t>
        </is>
      </c>
      <c r="AX105" s="53" t="inlineStr">
        <is>
          <t>Services</t>
        </is>
      </c>
      <c r="AY105" s="53" t="inlineStr">
        <is>
          <t>Professional Services</t>
        </is>
      </c>
      <c r="AZ105" s="53" t="inlineStr">
        <is>
          <t>XBRL / Regulatory Reporting</t>
        </is>
      </c>
      <c r="BA105" s="53" t="n"/>
      <c r="BB105" s="53" t="n"/>
      <c r="BC105" s="53" t="inlineStr">
        <is>
          <t>Employee</t>
        </is>
      </c>
      <c r="BD105" s="53" t="inlineStr">
        <is>
          <t>Lalita Waghmare</t>
        </is>
      </c>
      <c r="BE105" s="53" t="inlineStr">
        <is>
          <t>Lalita Waghmare</t>
        </is>
      </c>
      <c r="BF105" s="53" t="inlineStr">
        <is>
          <t>No</t>
        </is>
      </c>
      <c r="BG105" s="53" t="inlineStr">
        <is>
          <t>Senior Financial Analyst</t>
        </is>
      </c>
      <c r="BH105" s="53" t="inlineStr">
        <is>
          <t>Senior Services Specialist</t>
        </is>
      </c>
      <c r="BI105" s="53" t="inlineStr">
        <is>
          <t>Yes</t>
        </is>
      </c>
      <c r="BJ105" s="53" t="inlineStr">
        <is>
          <t>—</t>
        </is>
      </c>
      <c r="BK105" s="53" t="inlineStr">
        <is>
          <t>—</t>
        </is>
      </c>
      <c r="BL105" s="53" t="inlineStr">
        <is>
          <t>—</t>
        </is>
      </c>
      <c r="BM105" s="53" t="inlineStr">
        <is>
          <t>Not a manager</t>
        </is>
      </c>
      <c r="BN105" s="53" t="inlineStr">
        <is>
          <t>—</t>
        </is>
      </c>
      <c r="BO105" s="53" t="inlineStr">
        <is>
          <t>—</t>
        </is>
      </c>
      <c r="BP105" s="53" t="inlineStr">
        <is>
          <t>—</t>
        </is>
      </c>
      <c r="BQ105" s="53" t="inlineStr">
        <is>
          <t>Not a manager</t>
        </is>
      </c>
      <c r="BR105" s="53" t="inlineStr">
        <is>
          <t>—</t>
        </is>
      </c>
      <c r="BS105" s="53" t="inlineStr">
        <is>
          <t>L4 – Senior</t>
        </is>
      </c>
      <c r="BT105" s="53" t="inlineStr">
        <is>
          <t>L4 – Senior</t>
        </is>
      </c>
      <c r="BU105" s="53" t="inlineStr">
        <is>
          <t>Designation refined from Raw tab Comments column · this update</t>
        </is>
      </c>
      <c r="BV10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5" s="53" t="n"/>
      <c r="BX105" s="53" t="inlineStr">
        <is>
          <t>India - MCA; Europe - ESEF.</t>
        </is>
      </c>
      <c r="BY105" s="53" t="n"/>
      <c r="BZ105" s="53" t="inlineStr">
        <is>
          <t>IRIS0574</t>
        </is>
      </c>
      <c r="CA105" s="53" t="inlineStr">
        <is>
          <t>Employee</t>
        </is>
      </c>
      <c r="CB105" s="53" t="inlineStr">
        <is>
          <t>Active</t>
        </is>
      </c>
      <c r="CC105" s="53" t="inlineStr">
        <is>
          <t>Sandeep Dhere</t>
        </is>
      </c>
      <c r="CD105" s="54" t="n">
        <v>40638</v>
      </c>
      <c r="CE105" s="53" t="inlineStr">
        <is>
          <t>Senior Financial Analyst</t>
        </is>
      </c>
      <c r="CF105" s="53" t="n"/>
      <c r="CG105" s="53" t="inlineStr">
        <is>
          <t>Professional Services</t>
        </is>
      </c>
      <c r="CH105" s="53" t="inlineStr">
        <is>
          <t>XBRL / Regulatory Reporting</t>
        </is>
      </c>
      <c r="CI105" s="53" t="inlineStr">
        <is>
          <t>Senior Financial Analyst</t>
        </is>
      </c>
      <c r="CJ105" s="53" t="inlineStr">
        <is>
          <t>L4 – Senior</t>
        </is>
      </c>
      <c r="CK105" s="53" t="inlineStr">
        <is>
          <t>Lalita Waghmare</t>
        </is>
      </c>
      <c r="CL105" s="53" t="inlineStr">
        <is>
          <t>N-7</t>
        </is>
      </c>
      <c r="CM105" s="53" t="inlineStr">
        <is>
          <t>Individual Contributor</t>
        </is>
      </c>
      <c r="CN105" s="53" t="inlineStr">
        <is>
          <t>Regtech</t>
        </is>
      </c>
      <c r="CO105" s="53" t="inlineStr">
        <is>
          <t>Services</t>
        </is>
      </c>
      <c r="CP105" s="53" t="inlineStr">
        <is>
          <t>15 years, 2 months, 15 days</t>
        </is>
      </c>
      <c r="CQ105" s="53" t="inlineStr">
        <is>
          <t>Senior Services Specialst</t>
        </is>
      </c>
      <c r="CR105" s="53" t="n"/>
      <c r="CS105" s="53" t="n">
        <v>3</v>
      </c>
      <c r="CT105" s="53" t="inlineStr">
        <is>
          <t>Medium</t>
        </is>
      </c>
      <c r="CU105" s="53" t="inlineStr">
        <is>
          <t>Core Contributor</t>
        </is>
      </c>
      <c r="CV105" s="53" t="inlineStr">
        <is>
          <t>No</t>
        </is>
      </c>
      <c r="CW105" s="53" t="inlineStr">
        <is>
          <t>No</t>
        </is>
      </c>
      <c r="CX105" s="53" t="inlineStr">
        <is>
          <t>Yes</t>
        </is>
      </c>
      <c r="CY105" s="53" t="n"/>
      <c r="CZ105" s="53" t="n"/>
      <c r="DA105" s="53" t="n"/>
      <c r="DB105" s="53" t="inlineStr">
        <is>
          <t>Title to be standardized to: Senior Services Specialist</t>
        </is>
      </c>
      <c r="DC105" s="53" t="n"/>
      <c r="DD105" s="53" t="n"/>
      <c r="DE105" s="53" t="n"/>
      <c r="DF105" s="53" t="n"/>
      <c r="DG105" s="53" t="n"/>
      <c r="DH105" s="53" t="n"/>
      <c r="DI105" s="53" t="n"/>
      <c r="DJ105" s="53" t="n"/>
      <c r="DK105" s="53" t="n"/>
      <c r="DL105" s="53" t="n"/>
      <c r="DM105" s="53" t="n"/>
      <c r="DN105" s="53" t="n"/>
      <c r="DO105" s="53" t="n"/>
      <c r="DP105" s="53" t="n"/>
      <c r="DQ105" s="53" t="n"/>
      <c r="DR105" s="53" t="n"/>
      <c r="DS105" s="53" t="n"/>
      <c r="DT105" s="53" t="n"/>
      <c r="DU105" s="53" t="n"/>
      <c r="DV105" s="53" t="n"/>
      <c r="DW105" s="53" t="n"/>
      <c r="DX105" s="53" t="n"/>
      <c r="DY105" s="53" t="n"/>
      <c r="DZ105" s="53" t="n"/>
      <c r="EA105" s="53" t="n"/>
      <c r="EB105" s="53" t="n"/>
      <c r="EC105" s="53" t="n"/>
      <c r="ED105" s="53" t="n"/>
      <c r="EE105" s="53" t="n"/>
      <c r="EF105" s="53" t="n"/>
      <c r="EG105" s="53" t="n"/>
      <c r="EH105" s="53" t="n"/>
      <c r="EI105" s="53" t="n"/>
      <c r="EJ105" s="53" t="n"/>
      <c r="EK105" s="53" t="n"/>
      <c r="EL105" s="53" t="n"/>
      <c r="EM105" s="53" t="n"/>
      <c r="EN105" s="53" t="n"/>
      <c r="EO105" s="53" t="n"/>
      <c r="EP105" s="53" t="n"/>
      <c r="EQ105" s="53" t="n"/>
      <c r="ER105" s="53" t="n"/>
      <c r="ES105" s="53" t="n"/>
      <c r="ET105" s="53" t="n"/>
      <c r="EU105" s="53" t="n"/>
      <c r="EV105" s="53" t="n"/>
      <c r="EW105" s="52" t="n"/>
      <c r="EX105" s="53" t="inlineStr">
        <is>
          <t>• Role / sub-team: Xbrl tagging in EU and MCA.</t>
        </is>
      </c>
      <c r="EY105" s="53" t="inlineStr">
        <is>
          <t>• Key responsibilities include: Xbrl tagging.
• Reported deliverables and outcomes include: Deliverables sent directly to Client.</t>
        </is>
      </c>
      <c r="EZ105" s="53" t="inlineStr">
        <is>
          <t>• Current capabilities: Input not given by Participant; Tools / software used: Carbon, Ifile.</t>
        </is>
      </c>
      <c r="FA105" s="53" t="inlineStr">
        <is>
          <t>• Development priorities: Communication skills.
• Learning and Development Need: Time Mangement.</t>
        </is>
      </c>
      <c r="FB105" s="53" t="inlineStr">
        <is>
          <t>• Key challenges: No input received.
• Support required: No input received.</t>
        </is>
      </c>
      <c r="FC105" s="53" t="n"/>
      <c r="FD105" s="53" t="n"/>
      <c r="FE10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5" s="56" t="n"/>
      <c r="FG105" s="56" t="n"/>
      <c r="FH105" s="56" t="n"/>
      <c r="FI105" s="56" t="n"/>
      <c r="FJ105" s="56" t="inlineStr">
        <is>
          <t>Received · manager annual</t>
        </is>
      </c>
      <c r="FK105" s="56" t="inlineStr">
        <is>
          <t>CARBON Mapping Master</t>
        </is>
      </c>
      <c r="FL105" s="56" t="n">
        <v>20</v>
      </c>
      <c r="FM105" s="56" t="inlineStr">
        <is>
          <t>• Role / sub-team: Xbrl tagging in EU and MCA.</t>
        </is>
      </c>
      <c r="FN105" s="56" t="inlineStr">
        <is>
          <t>• Key responsibilities include: Xbrl tagging.
• Reported deliverables and outcomes include: Deliverables sent directly to Client.</t>
        </is>
      </c>
      <c r="FO105" s="56" t="inlineStr">
        <is>
          <t>• Current capabilities: Input not given by Participant; Tools / software used: Carbon, Ifile.</t>
        </is>
      </c>
      <c r="FP105" s="56" t="inlineStr">
        <is>
          <t>• Development priorities: Communication skills.
• Learning and Development Need: Time Mangement.</t>
        </is>
      </c>
      <c r="FQ105" s="56" t="inlineStr">
        <is>
          <t>• Key challenges: No input received.
• Support required: No input received.</t>
        </is>
      </c>
      <c r="FR105" s="56" t="inlineStr">
        <is>
          <t>Complexity: Evidence reads like A3: MCA and ESMA tagging, HTML/XBRL conversion for several countries, client issue resolution, tool testing → matches the start
Autonomy: Evidence reads like A3: Prioritises own work by client deadlines; resolves routine client issues without approval → matches the start
Accountability: Evidence reads like A3: Accuracy and on-time delivery of own conversions sent directly to clients; resolves client concerns → matches the start
Leadership: Evidence reads like A1: No guiding or leading of others described → moved down 0.5
Business Impact: Moved +0.5: the survey / manager mapping marks it business-critical.</t>
        </is>
      </c>
      <c r="FS105"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105" s="56" t="inlineStr">
        <is>
          <t>Self-identified: Testing &amp; quality · Domain, regulatory &amp; XBRL · Product &amp; tool knowledge
For the next role: Testing &amp; quality · Domain, regulatory &amp; XBRL · Product &amp; tool knowledge</t>
        </is>
      </c>
      <c r="FU105" s="56" t="inlineStr">
        <is>
          <t>Per-person summary · CARBON Mapping Master</t>
        </is>
      </c>
    </row>
    <row r="106" ht="90" customHeight="1">
      <c r="A106" s="51" t="inlineStr">
        <is>
          <t>◂ Back</t>
        </is>
      </c>
      <c r="B106" s="29" t="inlineStr">
        <is>
          <t>Mapped</t>
        </is>
      </c>
      <c r="C106" s="28" t="inlineStr">
        <is>
          <t>CARBON</t>
        </is>
      </c>
      <c r="D106" s="29" t="inlineStr">
        <is>
          <t>IRIS1703</t>
        </is>
      </c>
      <c r="E106" s="29" t="inlineStr">
        <is>
          <t>Atul Paradkar</t>
        </is>
      </c>
      <c r="F106" s="29" t="inlineStr">
        <is>
          <t>Services</t>
        </is>
      </c>
      <c r="G106" s="29" t="inlineStr">
        <is>
          <t>Financial Analyst</t>
        </is>
      </c>
      <c r="H106" s="29" t="inlineStr">
        <is>
          <t>Senior Financial Analyst</t>
        </is>
      </c>
      <c r="I106" s="29" t="inlineStr">
        <is>
          <t>L3 – Professional / Associate</t>
        </is>
      </c>
      <c r="J106" s="29" t="inlineStr">
        <is>
          <t>A3</t>
        </is>
      </c>
      <c r="K106" s="29" t="inlineStr">
        <is>
          <t>▲ Up</t>
        </is>
      </c>
      <c r="L106" s="29" t="inlineStr">
        <is>
          <t>Consulting &amp; Professional Services</t>
        </is>
      </c>
      <c r="M106" s="29" t="inlineStr">
        <is>
          <t>XBRL Tagging, Conversion &amp; Filing</t>
        </is>
      </c>
      <c r="N106" s="29" t="n"/>
      <c r="O106" s="29" t="n">
        <v>19</v>
      </c>
      <c r="P106" s="28" t="inlineStr">
        <is>
          <t>P2</t>
        </is>
      </c>
      <c r="Q106" s="29" t="inlineStr">
        <is>
          <t>Developing</t>
        </is>
      </c>
      <c r="R106" s="29" t="inlineStr">
        <is>
          <t>3 Apply</t>
        </is>
      </c>
      <c r="S106" s="29" t="inlineStr">
        <is>
          <t>2–4 yrs</t>
        </is>
      </c>
      <c r="T106" s="29" t="inlineStr">
        <is>
          <t>3–5 · 2–5</t>
        </is>
      </c>
      <c r="U106" s="29" t="inlineStr">
        <is>
          <t>Senior Analyst / Associate</t>
        </is>
      </c>
      <c r="V106" s="29" t="inlineStr">
        <is>
          <t>DataTracks: Senior Associate · 2–5 yrs · Big Four: Consultant · IRIS Vs Market Benchmark — XBRL US credential pathway: XBRL US GAAP Certificate</t>
        </is>
      </c>
      <c r="W106" s="29" t="inlineStr">
        <is>
          <t>XBRL US GAAP Certificate · AICPA &amp; XBRL US; XBRL International specifications; IFRS / US GAAP / Ind AS</t>
        </is>
      </c>
      <c r="X106" s="29" t="inlineStr">
        <is>
          <t>Core 2 · Future 2 · Functional 3 · Leadership not scored</t>
        </is>
      </c>
      <c r="Y106" s="52" t="n">
        <v>143</v>
      </c>
      <c r="Z106" s="53" t="inlineStr">
        <is>
          <t>IRIS1703</t>
        </is>
      </c>
      <c r="AA106" s="53" t="inlineStr">
        <is>
          <t>Employee</t>
        </is>
      </c>
      <c r="AB106" s="53" t="inlineStr">
        <is>
          <t>Active</t>
        </is>
      </c>
      <c r="AC106" s="53" t="inlineStr">
        <is>
          <t>Atul Paradkar</t>
        </is>
      </c>
      <c r="AD106" s="54" t="n">
        <v>43129</v>
      </c>
      <c r="AE106" s="53" t="inlineStr">
        <is>
          <t>Financial Analyst</t>
        </is>
      </c>
      <c r="AF106" s="53" t="inlineStr">
        <is>
          <t>PGDM</t>
        </is>
      </c>
      <c r="AG106" s="53" t="inlineStr">
        <is>
          <t>Lalita Waghmare</t>
        </is>
      </c>
      <c r="AH106" s="53" t="inlineStr">
        <is>
          <t>N-7</t>
        </is>
      </c>
      <c r="AI106" s="53" t="inlineStr">
        <is>
          <t>Individual Contributor</t>
        </is>
      </c>
      <c r="AJ106" s="53" t="inlineStr">
        <is>
          <t>8 years, 7 months, 0 days</t>
        </is>
      </c>
      <c r="AK106" s="53" t="inlineStr">
        <is>
          <t>8 years, 6 months, 27 days</t>
        </is>
      </c>
      <c r="AL106" s="53" t="inlineStr">
        <is>
          <t>Regtech</t>
        </is>
      </c>
      <c r="AM106" s="53" t="inlineStr">
        <is>
          <t>CARBON</t>
        </is>
      </c>
      <c r="AN106" s="53" t="inlineStr">
        <is>
          <t>Services</t>
        </is>
      </c>
      <c r="AO106" s="53" t="inlineStr">
        <is>
          <t>Expert Assisted services</t>
        </is>
      </c>
      <c r="AP106" s="53" t="inlineStr">
        <is>
          <t>No</t>
        </is>
      </c>
      <c r="AQ106" s="53" t="inlineStr">
        <is>
          <t>Professional Services</t>
        </is>
      </c>
      <c r="AR106" s="53" t="inlineStr">
        <is>
          <t>XBRL Domain</t>
        </is>
      </c>
      <c r="AS106" s="53" t="inlineStr">
        <is>
          <t>Non-technical</t>
        </is>
      </c>
      <c r="AT106" s="53" t="n">
        <v>20</v>
      </c>
      <c r="AU106" s="53" t="inlineStr">
        <is>
          <t>Covered</t>
        </is>
      </c>
      <c r="AV106" s="53" t="inlineStr">
        <is>
          <t>IRIS1703</t>
        </is>
      </c>
      <c r="AW106" s="53" t="inlineStr">
        <is>
          <t>Atul Paradkar</t>
        </is>
      </c>
      <c r="AX106" s="53" t="inlineStr">
        <is>
          <t>Services</t>
        </is>
      </c>
      <c r="AY106" s="53" t="inlineStr">
        <is>
          <t>Professional Services</t>
        </is>
      </c>
      <c r="AZ106" s="53" t="inlineStr">
        <is>
          <t>XBRL / Regulatory Reporting</t>
        </is>
      </c>
      <c r="BA106" s="53" t="n"/>
      <c r="BB106" s="53" t="n"/>
      <c r="BC106" s="53" t="inlineStr">
        <is>
          <t>Employee</t>
        </is>
      </c>
      <c r="BD106" s="53" t="inlineStr">
        <is>
          <t>Lalita Waghmare</t>
        </is>
      </c>
      <c r="BE106" s="53" t="inlineStr">
        <is>
          <t>Lalita Waghmare</t>
        </is>
      </c>
      <c r="BF106" s="53" t="inlineStr">
        <is>
          <t>No</t>
        </is>
      </c>
      <c r="BG106" s="53" t="inlineStr">
        <is>
          <t>Financial Analyst</t>
        </is>
      </c>
      <c r="BH106" s="53" t="inlineStr">
        <is>
          <t>Services Specialist</t>
        </is>
      </c>
      <c r="BI106" s="53" t="inlineStr">
        <is>
          <t>Yes</t>
        </is>
      </c>
      <c r="BJ106" s="53" t="inlineStr">
        <is>
          <t>—</t>
        </is>
      </c>
      <c r="BK106" s="53" t="inlineStr">
        <is>
          <t>—</t>
        </is>
      </c>
      <c r="BL106" s="53" t="inlineStr">
        <is>
          <t>—</t>
        </is>
      </c>
      <c r="BM106" s="53" t="inlineStr">
        <is>
          <t>Not a manager</t>
        </is>
      </c>
      <c r="BN106" s="53" t="inlineStr">
        <is>
          <t>—</t>
        </is>
      </c>
      <c r="BO106" s="53" t="inlineStr">
        <is>
          <t>—</t>
        </is>
      </c>
      <c r="BP106" s="53" t="inlineStr">
        <is>
          <t>—</t>
        </is>
      </c>
      <c r="BQ106" s="53" t="inlineStr">
        <is>
          <t>Not a manager</t>
        </is>
      </c>
      <c r="BR106" s="53" t="inlineStr">
        <is>
          <t>—</t>
        </is>
      </c>
      <c r="BS106" s="53" t="inlineStr">
        <is>
          <t>L3 – Professional / Associate</t>
        </is>
      </c>
      <c r="BT106" s="53" t="inlineStr">
        <is>
          <t>L2</t>
        </is>
      </c>
      <c r="BU106" s="53" t="inlineStr">
        <is>
          <t>Matched from Title Hierarchy · new designation</t>
        </is>
      </c>
      <c r="BV10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6" s="53" t="n"/>
      <c r="BX106" s="53" t="inlineStr">
        <is>
          <t>India - MCA; Europe - ESEF; Netherland - KVK.</t>
        </is>
      </c>
      <c r="BY106" s="53" t="n"/>
      <c r="BZ106" s="53" t="inlineStr">
        <is>
          <t>IRIS1703</t>
        </is>
      </c>
      <c r="CA106" s="53" t="inlineStr">
        <is>
          <t>Employee</t>
        </is>
      </c>
      <c r="CB106" s="53" t="inlineStr">
        <is>
          <t>Active</t>
        </is>
      </c>
      <c r="CC106" s="53" t="inlineStr">
        <is>
          <t>Atul Paradkar</t>
        </is>
      </c>
      <c r="CD106" s="54" t="n">
        <v>43129</v>
      </c>
      <c r="CE106" s="53" t="inlineStr">
        <is>
          <t>Financial Analyst</t>
        </is>
      </c>
      <c r="CF106" s="53" t="n"/>
      <c r="CG106" s="53" t="inlineStr">
        <is>
          <t>Professional Services</t>
        </is>
      </c>
      <c r="CH106" s="53" t="inlineStr">
        <is>
          <t>XBRL / Regulatory Reporting</t>
        </is>
      </c>
      <c r="CI106" s="53" t="inlineStr">
        <is>
          <t>Financial Analyst</t>
        </is>
      </c>
      <c r="CJ106" s="53" t="inlineStr">
        <is>
          <t>L3 – Professional / Associate</t>
        </is>
      </c>
      <c r="CK106" s="53" t="inlineStr">
        <is>
          <t>Lalita Waghmare</t>
        </is>
      </c>
      <c r="CL106" s="53" t="inlineStr">
        <is>
          <t>N-7</t>
        </is>
      </c>
      <c r="CM106" s="53" t="inlineStr">
        <is>
          <t>Individual Contributor</t>
        </is>
      </c>
      <c r="CN106" s="53" t="inlineStr">
        <is>
          <t>Regtech</t>
        </is>
      </c>
      <c r="CO106" s="53" t="inlineStr">
        <is>
          <t>Services</t>
        </is>
      </c>
      <c r="CP106" s="53" t="inlineStr">
        <is>
          <t>16 years, 11 months, 22 days</t>
        </is>
      </c>
      <c r="CQ106" s="53" t="inlineStr">
        <is>
          <t>Services Specialist</t>
        </is>
      </c>
      <c r="CR106" s="53" t="n"/>
      <c r="CS106" s="53" t="n">
        <v>3</v>
      </c>
      <c r="CT106" s="53" t="inlineStr">
        <is>
          <t>Medium</t>
        </is>
      </c>
      <c r="CU106" s="53" t="inlineStr">
        <is>
          <t>Core Contributor</t>
        </is>
      </c>
      <c r="CV106" s="53" t="inlineStr">
        <is>
          <t>No</t>
        </is>
      </c>
      <c r="CW106" s="53" t="inlineStr">
        <is>
          <t>No</t>
        </is>
      </c>
      <c r="CX106" s="53" t="inlineStr">
        <is>
          <t>Yes</t>
        </is>
      </c>
      <c r="CY106" s="53" t="n"/>
      <c r="CZ106" s="53" t="n"/>
      <c r="DA106" s="53" t="n"/>
      <c r="DB106" s="53" t="inlineStr">
        <is>
          <t>Title to be standardized to : Services Specialist</t>
        </is>
      </c>
      <c r="DC106" s="53" t="n"/>
      <c r="DD106" s="53" t="n"/>
      <c r="DE106" s="53" t="n"/>
      <c r="DF106" s="53" t="n"/>
      <c r="DG106" s="53" t="n"/>
      <c r="DH106" s="53" t="n"/>
      <c r="DI106" s="53" t="n"/>
      <c r="DJ106" s="53" t="n"/>
      <c r="DK106" s="53" t="n"/>
      <c r="DL106" s="53" t="n"/>
      <c r="DM106" s="53" t="n"/>
      <c r="DN106" s="53" t="n"/>
      <c r="DO106" s="53" t="n"/>
      <c r="DP106" s="53" t="n"/>
      <c r="DQ106" s="53" t="n"/>
      <c r="DR106" s="53" t="n"/>
      <c r="DS106" s="53" t="n"/>
      <c r="DT106" s="53" t="n"/>
      <c r="DU106" s="53" t="n"/>
      <c r="DV106" s="53" t="n"/>
      <c r="DW106" s="53" t="n"/>
      <c r="DX106" s="53" t="n"/>
      <c r="DY106" s="53" t="n"/>
      <c r="DZ106" s="53" t="n"/>
      <c r="EA106" s="53" t="n"/>
      <c r="EB106" s="53" t="n"/>
      <c r="EC106" s="53" t="n"/>
      <c r="ED106" s="53" t="n"/>
      <c r="EE106" s="53" t="n"/>
      <c r="EF106" s="53" t="n"/>
      <c r="EG106" s="53" t="n"/>
      <c r="EH106" s="53" t="n"/>
      <c r="EI106" s="53" t="n"/>
      <c r="EJ106" s="53" t="n"/>
      <c r="EK106" s="53" t="n"/>
      <c r="EL106" s="53" t="n"/>
      <c r="EM106" s="53" t="n"/>
      <c r="EN106" s="53" t="n"/>
      <c r="EO106" s="53" t="n"/>
      <c r="EP106" s="53" t="n"/>
      <c r="EQ106" s="53" t="n"/>
      <c r="ER106" s="53" t="n"/>
      <c r="ES106" s="53" t="n"/>
      <c r="ET106" s="53" t="n"/>
      <c r="EU106" s="53" t="n"/>
      <c r="EV106" s="53" t="n"/>
      <c r="EW106" s="52" t="n"/>
      <c r="EX106" s="53" t="inlineStr">
        <is>
          <t>• Role / sub-team: Xbrl conversion service.</t>
        </is>
      </c>
      <c r="EY106" s="53" t="inlineStr">
        <is>
          <t>• Key responsibilities include: Tagging and Qc of Mca, Esma and kvk files, client interaction.
• Reported deliverables and outcomes include: Share with client.</t>
        </is>
      </c>
      <c r="EZ106" s="53" t="inlineStr">
        <is>
          <t>• Current capabilities: Time management; Tools / software used: Carbon, I-file [Teams chat].</t>
        </is>
      </c>
      <c r="FA106" s="53" t="inlineStr">
        <is>
          <t>• Development priorities: No input received.
• Learning and Development Need: Time and work management.</t>
        </is>
      </c>
      <c r="FB106" s="53" t="inlineStr">
        <is>
          <t>• Key challenges: Tool issue.
• Support required: No input received.</t>
        </is>
      </c>
      <c r="FC106" s="53" t="n"/>
      <c r="FD106" s="53" t="n"/>
      <c r="FE10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6" s="56" t="n"/>
      <c r="FG106" s="56" t="n"/>
      <c r="FH106" s="56" t="n"/>
      <c r="FI106" s="56" t="n"/>
      <c r="FJ106" s="56" t="inlineStr">
        <is>
          <t>Received · manager annual</t>
        </is>
      </c>
      <c r="FK106" s="56" t="inlineStr">
        <is>
          <t>CARBON Mapping Master</t>
        </is>
      </c>
      <c r="FL106" s="56" t="n">
        <v>19</v>
      </c>
      <c r="FM106" s="56" t="inlineStr">
        <is>
          <t>• Role / sub-team: Xbrl conversion service.</t>
        </is>
      </c>
      <c r="FN106" s="56" t="inlineStr">
        <is>
          <t>• Key responsibilities include: Tagging and Qc of Mca, Esma and kvk files, client interaction.
• Reported deliverables and outcomes include: Share with client.</t>
        </is>
      </c>
      <c r="FO106" s="56" t="inlineStr">
        <is>
          <t>• Current capabilities: Time management; Tools / software used: Carbon, I-file [Teams chat].</t>
        </is>
      </c>
      <c r="FP106" s="56" t="inlineStr">
        <is>
          <t>• Development priorities: No input received.
• Learning and Development Need: Time and work management.</t>
        </is>
      </c>
      <c r="FQ106" s="56" t="inlineStr">
        <is>
          <t>• Key challenges: Tool issue.
• Support required: No input received.</t>
        </is>
      </c>
      <c r="FR106" s="56" t="inlineStr">
        <is>
          <t>Complexity: Evidence reads like A3: End-to-end MCA and ESMA filings with QC, validation, client queries; KVK; Carbon tool testing → moved up 0.5
Autonomy: Evidence reads like A2: No decisions stated; manages filings end to end within the process → matches the start
Accountability: Evidence reads like A3: Timely, accurate files shared with clients for MCA and ESMA filing → moved up 0.5
Leadership: Evidence reads like A1: No guidance or leadership of others described → matches the start
Business Impact: Moved +0.5: the survey / manager mapping marks it business-critical.</t>
        </is>
      </c>
      <c r="FS10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6" s="56" t="inlineStr">
        <is>
          <t>Self-identified: Product &amp; tool knowledge
For the next role: Product &amp; tool knowledge</t>
        </is>
      </c>
      <c r="FU106" s="56" t="inlineStr">
        <is>
          <t>Per-person summary · CARBON Mapping Master</t>
        </is>
      </c>
    </row>
    <row r="107" ht="90" customHeight="1">
      <c r="A107" s="51" t="inlineStr">
        <is>
          <t>◂ Back</t>
        </is>
      </c>
      <c r="B107" s="29" t="inlineStr">
        <is>
          <t>Mapped</t>
        </is>
      </c>
      <c r="C107" s="28" t="inlineStr">
        <is>
          <t>CARBON</t>
        </is>
      </c>
      <c r="D107" s="29" t="inlineStr">
        <is>
          <t>IRISC267</t>
        </is>
      </c>
      <c r="E107" s="29" t="inlineStr">
        <is>
          <t>Chaitali Chatterjee</t>
        </is>
      </c>
      <c r="F107" s="29" t="inlineStr">
        <is>
          <t>Services</t>
        </is>
      </c>
      <c r="G107" s="29" t="inlineStr">
        <is>
          <t>Consultant</t>
        </is>
      </c>
      <c r="H107" s="29" t="inlineStr">
        <is>
          <t>Senior Financial Analyst</t>
        </is>
      </c>
      <c r="I107" s="29" t="inlineStr">
        <is>
          <t>L3 – Professional / Associate</t>
        </is>
      </c>
      <c r="J107" s="29" t="inlineStr">
        <is>
          <t>A3</t>
        </is>
      </c>
      <c r="K107" s="29" t="inlineStr">
        <is>
          <t>▲ Up</t>
        </is>
      </c>
      <c r="L107" s="29" t="inlineStr">
        <is>
          <t>Consulting &amp; Professional Services</t>
        </is>
      </c>
      <c r="M107" s="29" t="inlineStr">
        <is>
          <t>XBRL Tagging, Conversion &amp; Filing</t>
        </is>
      </c>
      <c r="N107" s="29" t="n"/>
      <c r="O107" s="29" t="n">
        <v>0</v>
      </c>
      <c r="P107" s="28" t="inlineStr">
        <is>
          <t>P2</t>
        </is>
      </c>
      <c r="Q107" s="29" t="inlineStr">
        <is>
          <t>Developing</t>
        </is>
      </c>
      <c r="R107" s="29" t="inlineStr">
        <is>
          <t>3 Apply</t>
        </is>
      </c>
      <c r="S107" s="29" t="inlineStr">
        <is>
          <t>2–4 yrs</t>
        </is>
      </c>
      <c r="T107" s="29" t="inlineStr">
        <is>
          <t>3–5 · 2–5</t>
        </is>
      </c>
      <c r="U107" s="29" t="inlineStr">
        <is>
          <t>Senior Analyst / Associate</t>
        </is>
      </c>
      <c r="V107" s="29" t="inlineStr">
        <is>
          <t>DataTracks: Senior Associate · 2–5 yrs · Big Four: Consultant · IRIS Vs Market Benchmark — XBRL US credential pathway: XBRL US GAAP Certificate</t>
        </is>
      </c>
      <c r="W107" s="29" t="inlineStr">
        <is>
          <t>XBRL US GAAP Certificate · AICPA &amp; XBRL US; XBRL International specifications; IFRS / US GAAP / Ind AS</t>
        </is>
      </c>
      <c r="X107" s="29" t="inlineStr">
        <is>
          <t>Core 2 · Future 2 · Functional 3 · Leadership not scored</t>
        </is>
      </c>
      <c r="Y107" s="52" t="n">
        <v>9001</v>
      </c>
      <c r="Z107" s="53" t="inlineStr">
        <is>
          <t>IRISC267</t>
        </is>
      </c>
      <c r="AA107" s="53" t="inlineStr">
        <is>
          <t>On Contract</t>
        </is>
      </c>
      <c r="AB107" s="53" t="n"/>
      <c r="AC107" s="53" t="inlineStr">
        <is>
          <t>Chaitali Chatterjee</t>
        </is>
      </c>
      <c r="AD107" s="53" t="n"/>
      <c r="AE107" s="53" t="inlineStr">
        <is>
          <t>Consultant</t>
        </is>
      </c>
      <c r="AF107" s="53" t="n"/>
      <c r="AG107" s="53" t="inlineStr">
        <is>
          <t>Lalita Waghmare</t>
        </is>
      </c>
      <c r="AH107" s="53" t="n"/>
      <c r="AI107" s="53" t="n"/>
      <c r="AJ107" s="53" t="n"/>
      <c r="AK107" s="53" t="n"/>
      <c r="AL107" s="53" t="n"/>
      <c r="AM107" s="53" t="inlineStr">
        <is>
          <t>CARBON</t>
        </is>
      </c>
      <c r="AN107" s="53" t="inlineStr">
        <is>
          <t>Services</t>
        </is>
      </c>
      <c r="AO107" s="53" t="n"/>
      <c r="AP107" s="53" t="n"/>
      <c r="AQ107" s="53" t="n"/>
      <c r="AR107" s="53" t="n"/>
      <c r="AS107" s="53" t="n"/>
      <c r="AT107" s="53" t="n"/>
      <c r="AU107" s="53" t="n"/>
      <c r="AV107" s="53" t="inlineStr">
        <is>
          <t>IRISC267</t>
        </is>
      </c>
      <c r="AW107" s="53" t="inlineStr">
        <is>
          <t>Chaitali Chatterjee</t>
        </is>
      </c>
      <c r="AX107" s="53" t="inlineStr">
        <is>
          <t>Services</t>
        </is>
      </c>
      <c r="AY107" s="53" t="inlineStr">
        <is>
          <t>Professional Services</t>
        </is>
      </c>
      <c r="AZ107" s="53" t="inlineStr">
        <is>
          <t>XBRL / Regulatory Reporting</t>
        </is>
      </c>
      <c r="BA107" s="53" t="n"/>
      <c r="BB107" s="53" t="n"/>
      <c r="BC107" s="53" t="inlineStr">
        <is>
          <t>On Contract</t>
        </is>
      </c>
      <c r="BD107" s="53" t="inlineStr">
        <is>
          <t>Lalita Waghmare</t>
        </is>
      </c>
      <c r="BE107" s="53" t="inlineStr">
        <is>
          <t>Lalita Waghmare</t>
        </is>
      </c>
      <c r="BF107" s="53" t="inlineStr">
        <is>
          <t>No</t>
        </is>
      </c>
      <c r="BG107" s="53" t="inlineStr">
        <is>
          <t>Consultant</t>
        </is>
      </c>
      <c r="BH107" s="53" t="inlineStr">
        <is>
          <t>Consultant</t>
        </is>
      </c>
      <c r="BI107" s="53" t="inlineStr">
        <is>
          <t>No</t>
        </is>
      </c>
      <c r="BJ107" s="53" t="inlineStr">
        <is>
          <t>—</t>
        </is>
      </c>
      <c r="BK107" s="53" t="inlineStr">
        <is>
          <t>—</t>
        </is>
      </c>
      <c r="BL107" s="53" t="inlineStr">
        <is>
          <t>—</t>
        </is>
      </c>
      <c r="BM107" s="53" t="inlineStr">
        <is>
          <t>Not a manager</t>
        </is>
      </c>
      <c r="BN107" s="53" t="inlineStr">
        <is>
          <t>—</t>
        </is>
      </c>
      <c r="BO107" s="53" t="inlineStr">
        <is>
          <t>—</t>
        </is>
      </c>
      <c r="BP107" s="53" t="inlineStr">
        <is>
          <t>—</t>
        </is>
      </c>
      <c r="BQ107" s="53" t="inlineStr">
        <is>
          <t>Not a manager</t>
        </is>
      </c>
      <c r="BR107" s="53" t="inlineStr">
        <is>
          <t>—</t>
        </is>
      </c>
      <c r="BS107" s="53" t="inlineStr">
        <is>
          <t>L3 – Professional / Associate</t>
        </is>
      </c>
      <c r="BT107" s="53" t="inlineStr">
        <is>
          <t>L3 – Professional / Associate</t>
        </is>
      </c>
      <c r="BU107" s="53" t="inlineStr">
        <is>
          <t>No designation change — current record value carried forward</t>
        </is>
      </c>
      <c r="BV10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7" s="53" t="n"/>
      <c r="BX107" s="53" t="n"/>
      <c r="BY107" s="53" t="n"/>
      <c r="BZ107" s="53" t="inlineStr">
        <is>
          <t>IRISC267</t>
        </is>
      </c>
      <c r="CA107" s="53" t="inlineStr">
        <is>
          <t>On Contract</t>
        </is>
      </c>
      <c r="CB107" s="53" t="inlineStr">
        <is>
          <t>Active</t>
        </is>
      </c>
      <c r="CC107" s="53" t="inlineStr">
        <is>
          <t>Chaitali Chatterjee</t>
        </is>
      </c>
      <c r="CD107" s="54" t="n">
        <v>45148</v>
      </c>
      <c r="CE107" s="53" t="inlineStr">
        <is>
          <t>Consultant</t>
        </is>
      </c>
      <c r="CF107" s="53" t="n"/>
      <c r="CG107" s="53" t="inlineStr">
        <is>
          <t>Professional Services</t>
        </is>
      </c>
      <c r="CH107" s="53" t="inlineStr">
        <is>
          <t>XBRL / Regulatory Reporting</t>
        </is>
      </c>
      <c r="CI107" s="53" t="inlineStr">
        <is>
          <t>Consultant</t>
        </is>
      </c>
      <c r="CJ107" s="53" t="inlineStr">
        <is>
          <t>L3 – Professional / Associate</t>
        </is>
      </c>
      <c r="CK107" s="53" t="inlineStr">
        <is>
          <t>Lalita Waghmare</t>
        </is>
      </c>
      <c r="CL107" s="53" t="inlineStr">
        <is>
          <t>N-7</t>
        </is>
      </c>
      <c r="CM107" s="53" t="inlineStr">
        <is>
          <t>Individual Contributor</t>
        </is>
      </c>
      <c r="CN107" s="53" t="inlineStr">
        <is>
          <t>Regtech</t>
        </is>
      </c>
      <c r="CO107" s="53" t="inlineStr">
        <is>
          <t>Services</t>
        </is>
      </c>
      <c r="CP107" s="53" t="inlineStr">
        <is>
          <t>11 years, 1 months, 10 days</t>
        </is>
      </c>
      <c r="CQ107" s="53" t="n"/>
      <c r="CR107" s="53" t="n"/>
      <c r="CS107" s="53" t="n">
        <v>2</v>
      </c>
      <c r="CT107" s="53" t="inlineStr">
        <is>
          <t>Low</t>
        </is>
      </c>
      <c r="CU107" s="53" t="inlineStr">
        <is>
          <t>Reliable Specialist</t>
        </is>
      </c>
      <c r="CV107" s="53" t="inlineStr">
        <is>
          <t>No</t>
        </is>
      </c>
      <c r="CW107" s="53" t="inlineStr">
        <is>
          <t>No</t>
        </is>
      </c>
      <c r="CX107" s="53" t="inlineStr">
        <is>
          <t>Yes</t>
        </is>
      </c>
      <c r="CY107" s="53" t="n"/>
      <c r="CZ107" s="53" t="n"/>
      <c r="DA107" s="53" t="n"/>
      <c r="DB107" s="53" t="n"/>
      <c r="DC107" s="53" t="n"/>
      <c r="DD107" s="53" t="n"/>
      <c r="DE107" s="53" t="n"/>
      <c r="DF107" s="53" t="n"/>
      <c r="DG107" s="53" t="n"/>
      <c r="DH107" s="53" t="n"/>
      <c r="DI107" s="53" t="n"/>
      <c r="DJ107" s="53" t="n"/>
      <c r="DK107" s="53" t="n"/>
      <c r="DL107" s="53" t="n"/>
      <c r="DM107" s="53" t="n"/>
      <c r="DN107" s="53" t="n"/>
      <c r="DO107" s="53" t="n"/>
      <c r="DP107" s="53" t="n"/>
      <c r="DQ107" s="53" t="n"/>
      <c r="DR107" s="53" t="n"/>
      <c r="DS107" s="53" t="n"/>
      <c r="DT107" s="53" t="n"/>
      <c r="DU107" s="53" t="n"/>
      <c r="DV107" s="53" t="n"/>
      <c r="DW107" s="53" t="n"/>
      <c r="DX107" s="53" t="n"/>
      <c r="DY107" s="53" t="n"/>
      <c r="DZ107" s="53" t="n"/>
      <c r="EA107" s="53" t="n"/>
      <c r="EB107" s="53" t="n"/>
      <c r="EC107" s="53" t="n"/>
      <c r="ED107" s="53" t="n"/>
      <c r="EE107" s="53" t="n"/>
      <c r="EF107" s="53" t="n"/>
      <c r="EG107" s="53" t="n"/>
      <c r="EH107" s="53" t="n"/>
      <c r="EI107" s="53" t="n"/>
      <c r="EJ107" s="53" t="n"/>
      <c r="EK107" s="53" t="n"/>
      <c r="EL107" s="53" t="n"/>
      <c r="EM107" s="53" t="n"/>
      <c r="EN107" s="53" t="n"/>
      <c r="EO107" s="53" t="n"/>
      <c r="EP107" s="53" t="n"/>
      <c r="EQ107" s="53" t="n"/>
      <c r="ER107" s="53" t="n"/>
      <c r="ES107" s="53" t="n"/>
      <c r="ET107" s="53" t="n"/>
      <c r="EU107" s="53" t="n"/>
      <c r="EV107" s="53" t="n"/>
      <c r="EW107" s="52" t="inlineStr">
        <is>
          <t>Demised — excluded from active roster.</t>
        </is>
      </c>
      <c r="EX107" s="53" t="n"/>
      <c r="EY107" s="53" t="n"/>
      <c r="EZ107" s="53" t="n"/>
      <c r="FA107" s="53" t="n"/>
      <c r="FB107" s="53" t="n"/>
      <c r="FC107" s="53" t="n"/>
      <c r="FD107" s="53" t="n"/>
      <c r="FE10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7" s="56" t="n"/>
      <c r="FG107" s="56" t="n"/>
      <c r="FH107" s="56" t="n"/>
      <c r="FI107" s="56" t="n"/>
      <c r="FJ107" s="56" t="inlineStr">
        <is>
          <t>Received · manager annual</t>
        </is>
      </c>
      <c r="FK107" s="56" t="inlineStr">
        <is>
          <t>CARBON Mapping Master</t>
        </is>
      </c>
      <c r="FL107" s="56" t="n">
        <v>0</v>
      </c>
      <c r="FM107" s="32" t="inlineStr">
        <is>
          <t>No survey response on file</t>
        </is>
      </c>
      <c r="FN107" s="56" t="inlineStr">
        <is>
          <t>—</t>
        </is>
      </c>
      <c r="FO107" s="56" t="inlineStr">
        <is>
          <t>—</t>
        </is>
      </c>
      <c r="FP107" s="56" t="inlineStr">
        <is>
          <t>—</t>
        </is>
      </c>
      <c r="FQ107" s="56" t="inlineStr">
        <is>
          <t>—</t>
        </is>
      </c>
      <c r="FR107" s="56" t="inlineStr">
        <is>
          <t>Business Impact: Moved +0.5: the survey / manager mapping marks it business-critical.</t>
        </is>
      </c>
      <c r="FS10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7" s="56" t="n"/>
      <c r="FU107" s="32" t="inlineStr">
        <is>
          <t>No survey response on file</t>
        </is>
      </c>
    </row>
    <row r="108" ht="90" customHeight="1">
      <c r="A108" s="51" t="inlineStr">
        <is>
          <t>◂ Back</t>
        </is>
      </c>
      <c r="B108" s="29" t="inlineStr">
        <is>
          <t>Mapped</t>
        </is>
      </c>
      <c r="C108" s="28" t="inlineStr">
        <is>
          <t>CARBON</t>
        </is>
      </c>
      <c r="D108" s="29" t="inlineStr">
        <is>
          <t>IRIS1247</t>
        </is>
      </c>
      <c r="E108" s="29" t="inlineStr">
        <is>
          <t>Sushma Shinde</t>
        </is>
      </c>
      <c r="F108" s="29" t="inlineStr">
        <is>
          <t>Services</t>
        </is>
      </c>
      <c r="G108" s="29" t="inlineStr">
        <is>
          <t>Financial Analyst</t>
        </is>
      </c>
      <c r="H108" s="29" t="inlineStr">
        <is>
          <t>Senior Financial Analyst</t>
        </is>
      </c>
      <c r="I108" s="29" t="inlineStr">
        <is>
          <t>L3 – Professional / Associate</t>
        </is>
      </c>
      <c r="J108" s="29" t="inlineStr">
        <is>
          <t>A3</t>
        </is>
      </c>
      <c r="K108" s="29" t="inlineStr">
        <is>
          <t>▲ Up</t>
        </is>
      </c>
      <c r="L108" s="29" t="inlineStr">
        <is>
          <t>Consulting &amp; Professional Services</t>
        </is>
      </c>
      <c r="M108" s="29" t="inlineStr">
        <is>
          <t>XBRL Tagging, Conversion &amp; Filing</t>
        </is>
      </c>
      <c r="N108" s="29" t="n"/>
      <c r="O108" s="29" t="n">
        <v>18</v>
      </c>
      <c r="P108" s="28" t="inlineStr">
        <is>
          <t>P2</t>
        </is>
      </c>
      <c r="Q108" s="29" t="inlineStr">
        <is>
          <t>Developing</t>
        </is>
      </c>
      <c r="R108" s="29" t="inlineStr">
        <is>
          <t>3 Apply</t>
        </is>
      </c>
      <c r="S108" s="29" t="inlineStr">
        <is>
          <t>2–4 yrs</t>
        </is>
      </c>
      <c r="T108" s="29" t="inlineStr">
        <is>
          <t>3–5 · 2–5</t>
        </is>
      </c>
      <c r="U108" s="29" t="inlineStr">
        <is>
          <t>Senior Analyst / Associate</t>
        </is>
      </c>
      <c r="V108" s="29" t="inlineStr">
        <is>
          <t>DataTracks: Senior Associate · 2–5 yrs · Big Four: Consultant · IRIS Vs Market Benchmark — XBRL US credential pathway: XBRL US GAAP Certificate</t>
        </is>
      </c>
      <c r="W108" s="29" t="inlineStr">
        <is>
          <t>XBRL US GAAP Certificate · AICPA &amp; XBRL US; XBRL International specifications; IFRS / US GAAP / Ind AS</t>
        </is>
      </c>
      <c r="X108" s="29" t="inlineStr">
        <is>
          <t>Core 2 · Future 2 · Functional 3 · Leadership not scored</t>
        </is>
      </c>
      <c r="Y108" s="52" t="n">
        <v>113</v>
      </c>
      <c r="Z108" s="53" t="inlineStr">
        <is>
          <t>IRIS1247</t>
        </is>
      </c>
      <c r="AA108" s="53" t="inlineStr">
        <is>
          <t>Employee</t>
        </is>
      </c>
      <c r="AB108" s="53" t="inlineStr">
        <is>
          <t>Active</t>
        </is>
      </c>
      <c r="AC108" s="53" t="inlineStr">
        <is>
          <t>Sushma Shinde</t>
        </is>
      </c>
      <c r="AD108" s="54" t="n">
        <v>41134</v>
      </c>
      <c r="AE108" s="53" t="inlineStr">
        <is>
          <t>Financial Analyst</t>
        </is>
      </c>
      <c r="AF108" s="53" t="inlineStr">
        <is>
          <t>M.Com</t>
        </is>
      </c>
      <c r="AG108" s="53" t="inlineStr">
        <is>
          <t>Lalita Waghmare</t>
        </is>
      </c>
      <c r="AH108" s="53" t="inlineStr">
        <is>
          <t>N-7</t>
        </is>
      </c>
      <c r="AI108" s="53" t="inlineStr">
        <is>
          <t>Individual Contributor</t>
        </is>
      </c>
      <c r="AJ108" s="53" t="inlineStr">
        <is>
          <t>0 years, 0 months, 0 days</t>
        </is>
      </c>
      <c r="AK108" s="53" t="inlineStr">
        <is>
          <t>14 years, 0 months, 12 days</t>
        </is>
      </c>
      <c r="AL108" s="53" t="inlineStr">
        <is>
          <t>Regtech</t>
        </is>
      </c>
      <c r="AM108" s="53" t="inlineStr">
        <is>
          <t>CARBON</t>
        </is>
      </c>
      <c r="AN108" s="53" t="inlineStr">
        <is>
          <t>Services</t>
        </is>
      </c>
      <c r="AO108" s="53" t="inlineStr">
        <is>
          <t>Expert Assisted services</t>
        </is>
      </c>
      <c r="AP108" s="53" t="inlineStr">
        <is>
          <t>No</t>
        </is>
      </c>
      <c r="AQ108" s="53" t="inlineStr">
        <is>
          <t>Professional Services</t>
        </is>
      </c>
      <c r="AR108" s="53" t="inlineStr">
        <is>
          <t>XBRL Domain</t>
        </is>
      </c>
      <c r="AS108" s="53" t="inlineStr">
        <is>
          <t>Non-technical</t>
        </is>
      </c>
      <c r="AT108" s="53" t="n">
        <v>20</v>
      </c>
      <c r="AU108" s="53" t="inlineStr">
        <is>
          <t>Covered</t>
        </is>
      </c>
      <c r="AV108" s="53" t="inlineStr">
        <is>
          <t>IRIS1247</t>
        </is>
      </c>
      <c r="AW108" s="53" t="inlineStr">
        <is>
          <t>Sushma Shinde</t>
        </is>
      </c>
      <c r="AX108" s="53" t="inlineStr">
        <is>
          <t>Services</t>
        </is>
      </c>
      <c r="AY108" s="53" t="inlineStr">
        <is>
          <t>Professional Services</t>
        </is>
      </c>
      <c r="AZ108" s="53" t="inlineStr">
        <is>
          <t>XBRL / Regulatory Reporting</t>
        </is>
      </c>
      <c r="BA108" s="53" t="n"/>
      <c r="BB108" s="53" t="n"/>
      <c r="BC108" s="53" t="inlineStr">
        <is>
          <t>Employee</t>
        </is>
      </c>
      <c r="BD108" s="53" t="inlineStr">
        <is>
          <t>Lalita Waghmare</t>
        </is>
      </c>
      <c r="BE108" s="53" t="inlineStr">
        <is>
          <t>Lalita Waghmare</t>
        </is>
      </c>
      <c r="BF108" s="53" t="inlineStr">
        <is>
          <t>No</t>
        </is>
      </c>
      <c r="BG108" s="53" t="inlineStr">
        <is>
          <t>Financial Analyst</t>
        </is>
      </c>
      <c r="BH108" s="53" t="inlineStr">
        <is>
          <t>Services Specialist</t>
        </is>
      </c>
      <c r="BI108" s="53" t="inlineStr">
        <is>
          <t>Yes</t>
        </is>
      </c>
      <c r="BJ108" s="53" t="inlineStr">
        <is>
          <t>—</t>
        </is>
      </c>
      <c r="BK108" s="53" t="inlineStr">
        <is>
          <t>—</t>
        </is>
      </c>
      <c r="BL108" s="53" t="inlineStr">
        <is>
          <t>—</t>
        </is>
      </c>
      <c r="BM108" s="53" t="inlineStr">
        <is>
          <t>Not a manager</t>
        </is>
      </c>
      <c r="BN108" s="53" t="inlineStr">
        <is>
          <t>—</t>
        </is>
      </c>
      <c r="BO108" s="53" t="inlineStr">
        <is>
          <t>—</t>
        </is>
      </c>
      <c r="BP108" s="53" t="inlineStr">
        <is>
          <t>—</t>
        </is>
      </c>
      <c r="BQ108" s="53" t="inlineStr">
        <is>
          <t>Not a manager</t>
        </is>
      </c>
      <c r="BR108" s="53" t="inlineStr">
        <is>
          <t>—</t>
        </is>
      </c>
      <c r="BS108" s="53" t="inlineStr">
        <is>
          <t>L3 – Professional / Associate</t>
        </is>
      </c>
      <c r="BT108" s="53" t="inlineStr">
        <is>
          <t>L2</t>
        </is>
      </c>
      <c r="BU108" s="53" t="inlineStr">
        <is>
          <t>Matched from Title Hierarchy · new designation</t>
        </is>
      </c>
      <c r="BV10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8" s="53" t="n"/>
      <c r="BX108" s="53" t="inlineStr">
        <is>
          <t>India - MCA; Netherland - KVK, Europe - ESEF.</t>
        </is>
      </c>
      <c r="BY108" s="53" t="n"/>
      <c r="BZ108" s="53" t="inlineStr">
        <is>
          <t>IRIS1247</t>
        </is>
      </c>
      <c r="CA108" s="53" t="inlineStr">
        <is>
          <t>Employee</t>
        </is>
      </c>
      <c r="CB108" s="53" t="inlineStr">
        <is>
          <t>Active</t>
        </is>
      </c>
      <c r="CC108" s="53" t="inlineStr">
        <is>
          <t>Sushma Shinde</t>
        </is>
      </c>
      <c r="CD108" s="54" t="n">
        <v>41134</v>
      </c>
      <c r="CE108" s="53" t="inlineStr">
        <is>
          <t>Financial Analyst</t>
        </is>
      </c>
      <c r="CF108" s="53" t="n"/>
      <c r="CG108" s="53" t="inlineStr">
        <is>
          <t>Professional Services</t>
        </is>
      </c>
      <c r="CH108" s="53" t="inlineStr">
        <is>
          <t>XBRL / Regulatory Reporting</t>
        </is>
      </c>
      <c r="CI108" s="53" t="inlineStr">
        <is>
          <t>Financial Analyst</t>
        </is>
      </c>
      <c r="CJ108" s="53" t="inlineStr">
        <is>
          <t>L3 – Professional / Associate</t>
        </is>
      </c>
      <c r="CK108" s="53" t="inlineStr">
        <is>
          <t>Lalita Waghmare</t>
        </is>
      </c>
      <c r="CL108" s="53" t="inlineStr">
        <is>
          <t>N-7</t>
        </is>
      </c>
      <c r="CM108" s="53" t="inlineStr">
        <is>
          <t>Individual Contributor</t>
        </is>
      </c>
      <c r="CN108" s="53" t="inlineStr">
        <is>
          <t>Regtech</t>
        </is>
      </c>
      <c r="CO108" s="53" t="inlineStr">
        <is>
          <t>Services</t>
        </is>
      </c>
      <c r="CP108" s="53" t="inlineStr">
        <is>
          <t>13 years, 10 months, 7 days</t>
        </is>
      </c>
      <c r="CQ108" s="53" t="inlineStr">
        <is>
          <t>Services Specialist</t>
        </is>
      </c>
      <c r="CR108" s="53" t="n"/>
      <c r="CS108" s="53" t="n">
        <v>5</v>
      </c>
      <c r="CT108" s="53" t="inlineStr">
        <is>
          <t>High</t>
        </is>
      </c>
      <c r="CU108" s="53" t="inlineStr">
        <is>
          <t>Emerging Talent</t>
        </is>
      </c>
      <c r="CV108" s="53" t="inlineStr">
        <is>
          <t>No</t>
        </is>
      </c>
      <c r="CW108" s="53" t="inlineStr">
        <is>
          <t>Yes</t>
        </is>
      </c>
      <c r="CX108" s="53" t="inlineStr">
        <is>
          <t>Yes</t>
        </is>
      </c>
      <c r="CY108" s="53" t="n"/>
      <c r="CZ108" s="53" t="n"/>
      <c r="DA108" s="53" t="n"/>
      <c r="DB108" s="53" t="inlineStr">
        <is>
          <t>Title to be standardized to : Services Specialist</t>
        </is>
      </c>
      <c r="DC108" s="53" t="n"/>
      <c r="DD108" s="53" t="n"/>
      <c r="DE108" s="53" t="n"/>
      <c r="DF108" s="53" t="n"/>
      <c r="DG108" s="53" t="n"/>
      <c r="DH108" s="53" t="n"/>
      <c r="DI108" s="53" t="n"/>
      <c r="DJ108" s="53" t="n"/>
      <c r="DK108" s="53" t="n"/>
      <c r="DL108" s="53" t="n"/>
      <c r="DM108" s="53" t="n"/>
      <c r="DN108" s="53" t="n"/>
      <c r="DO108" s="53" t="n"/>
      <c r="DP108" s="53" t="n"/>
      <c r="DQ108" s="53" t="n"/>
      <c r="DR108" s="53" t="n"/>
      <c r="DS108" s="53" t="n"/>
      <c r="DT108" s="53" t="n"/>
      <c r="DU108" s="53" t="n"/>
      <c r="DV108" s="53" t="n"/>
      <c r="DW108" s="53" t="n"/>
      <c r="DX108" s="53" t="n"/>
      <c r="DY108" s="53" t="n"/>
      <c r="DZ108" s="53" t="n"/>
      <c r="EA108" s="53" t="n"/>
      <c r="EB108" s="53" t="n"/>
      <c r="EC108" s="53" t="n"/>
      <c r="ED108" s="53" t="n"/>
      <c r="EE108" s="53" t="n"/>
      <c r="EF108" s="53" t="n"/>
      <c r="EG108" s="53" t="n"/>
      <c r="EH108" s="53" t="n"/>
      <c r="EI108" s="53" t="n"/>
      <c r="EJ108" s="53" t="n"/>
      <c r="EK108" s="53" t="n"/>
      <c r="EL108" s="53" t="n"/>
      <c r="EM108" s="53" t="n"/>
      <c r="EN108" s="53" t="n"/>
      <c r="EO108" s="53" t="n"/>
      <c r="EP108" s="53" t="n"/>
      <c r="EQ108" s="53" t="n"/>
      <c r="ER108" s="53" t="n"/>
      <c r="ES108" s="53" t="n"/>
      <c r="ET108" s="53" t="n"/>
      <c r="EU108" s="53" t="n"/>
      <c r="EV108" s="53" t="n"/>
      <c r="EW108" s="52" t="n"/>
      <c r="EX108" s="53" t="inlineStr">
        <is>
          <t>• Role / sub-team: Tagging Analyst</t>
        </is>
      </c>
      <c r="EY108" s="53" t="inlineStr">
        <is>
          <t>• Key responsibilities include: Tagging of the files, QC of the file, Client changes, Client interaction etc.
• Reported deliverables and outcomes include: MCA - output file direct send to the client.</t>
        </is>
      </c>
      <c r="EZ108" s="53" t="inlineStr">
        <is>
          <t>• Current capabilities: Handel multiple things; Tools / software used: Disclosure Management - DM - Word editor | Ifile [Teams chat], HTML Editor.</t>
        </is>
      </c>
      <c r="FA108" s="53" t="inlineStr">
        <is>
          <t>• Development priorities: No input received.
• Learning and Development Need: Time and work management.</t>
        </is>
      </c>
      <c r="FB108" s="53" t="inlineStr">
        <is>
          <t>• Key challenges: No input received.
• Support required: No input received.</t>
        </is>
      </c>
      <c r="FC108" s="53" t="n"/>
      <c r="FD108" s="53" t="n"/>
      <c r="FE10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8" s="56" t="n"/>
      <c r="FG108" s="56" t="n"/>
      <c r="FH108" s="56" t="n"/>
      <c r="FI108" s="56" t="n"/>
      <c r="FJ108" s="56" t="inlineStr">
        <is>
          <t>Received · manager annual</t>
        </is>
      </c>
      <c r="FK108" s="56" t="inlineStr">
        <is>
          <t>CARBON Mapping Master</t>
        </is>
      </c>
      <c r="FL108" s="56" t="n">
        <v>18</v>
      </c>
      <c r="FM108" s="56" t="inlineStr">
        <is>
          <t>• Role / sub-team: Tagging Analyst</t>
        </is>
      </c>
      <c r="FN108" s="56" t="inlineStr">
        <is>
          <t>• Key responsibilities include: Tagging of the files, QC of the file, Client changes, Client interaction etc.
• Reported deliverables and outcomes include: MCA - output file direct send to the client.</t>
        </is>
      </c>
      <c r="FO108" s="56" t="inlineStr">
        <is>
          <t>• Current capabilities: Handel multiple things; Tools / software used: Disclosure Management - DM - Word editor | Ifile [Teams chat], HTML Editor.</t>
        </is>
      </c>
      <c r="FP108" s="56" t="inlineStr">
        <is>
          <t>• Development priorities: No input received.
• Learning and Development Need: Time and work management.</t>
        </is>
      </c>
      <c r="FQ108" s="56" t="inlineStr">
        <is>
          <t>• Key challenges: No input received.
• Support required: No input received.</t>
        </is>
      </c>
      <c r="FR108" s="56" t="inlineStr">
        <is>
          <t>Complexity: Evidence reads like A3: MCA tagging and QC, error identification, and resolving errors directly with clients on calls → moved up 0.5
Autonomy: Evidence reads like A2: No decision list given; judges resolutions during client calls within the MCA process → matches the start
Accountability: Evidence reads like A3: Tagging accuracy, QC results and final XML/PDF deliverables sent directly to the client → moved up 0.5
Leadership: Evidence reads like A1: No guiding or leading of others described → matches the start
Business Impact: Moved +0.5: the survey / manager mapping marks it business-critical.</t>
        </is>
      </c>
      <c r="FS10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8" s="56" t="inlineStr">
        <is>
          <t>Self-identified: Testing &amp; quality · Domain, regulatory &amp; XBRL · Client, sales &amp; stakeholders · Communication &amp; presentation · Broader exposure &amp; ownership
For the next role: Testing &amp; quality · Domain, regulatory &amp; XBRL · Client, sales &amp; stakeholders · Communication &amp; presentation · Broader exposure &amp; ownership</t>
        </is>
      </c>
      <c r="FU108" s="56" t="inlineStr">
        <is>
          <t>Per-person summary · CARBON Mapping Master</t>
        </is>
      </c>
    </row>
    <row r="109" ht="90" customHeight="1">
      <c r="A109" s="51" t="inlineStr">
        <is>
          <t>◂ Back</t>
        </is>
      </c>
      <c r="B109" s="29" t="inlineStr">
        <is>
          <t>Mapped</t>
        </is>
      </c>
      <c r="C109" s="28" t="inlineStr">
        <is>
          <t>CARBON</t>
        </is>
      </c>
      <c r="D109" s="29" t="inlineStr">
        <is>
          <t>IRIS1704</t>
        </is>
      </c>
      <c r="E109" s="29" t="inlineStr">
        <is>
          <t>Lucy Fernandes</t>
        </is>
      </c>
      <c r="F109" s="29" t="inlineStr">
        <is>
          <t>Services</t>
        </is>
      </c>
      <c r="G109" s="29" t="inlineStr">
        <is>
          <t>Senior Financial Analyst</t>
        </is>
      </c>
      <c r="H109" s="29" t="inlineStr">
        <is>
          <t>XBRL Specialist – POD Lead</t>
        </is>
      </c>
      <c r="I109" s="29" t="inlineStr">
        <is>
          <t>L4 – Senior</t>
        </is>
      </c>
      <c r="J109" s="29" t="inlineStr">
        <is>
          <t>B1</t>
        </is>
      </c>
      <c r="K109" s="29" t="inlineStr">
        <is>
          <t>▲ Up</t>
        </is>
      </c>
      <c r="L109" s="29" t="inlineStr">
        <is>
          <t>Consulting &amp; Professional Services</t>
        </is>
      </c>
      <c r="M109" s="29" t="inlineStr">
        <is>
          <t>XBRL Tagging, Conversion &amp; Filing</t>
        </is>
      </c>
      <c r="N109" s="29" t="n"/>
      <c r="O109" s="29" t="n">
        <v>20</v>
      </c>
      <c r="P109" s="28" t="inlineStr">
        <is>
          <t>P3 / M2</t>
        </is>
      </c>
      <c r="Q109" s="29" t="inlineStr">
        <is>
          <t>Career / · Team Lead</t>
        </is>
      </c>
      <c r="R109" s="29" t="inlineStr">
        <is>
          <t>4 Enable</t>
        </is>
      </c>
      <c r="S109" s="29" t="inlineStr">
        <is>
          <t>4–7 yrs</t>
        </is>
      </c>
      <c r="T109" s="29" t="inlineStr">
        <is>
          <t>5–8 · 4–8</t>
        </is>
      </c>
      <c r="U109" s="29" t="inlineStr">
        <is>
          <t>Consultant / Senior Associate</t>
        </is>
      </c>
      <c r="V109" s="29" t="inlineStr">
        <is>
          <t>Big Four: Senior Consultant · IRIS Vs Market Benchmark — XBRL US credential pathway: Certificate + specialist taxonomy</t>
        </is>
      </c>
      <c r="W109" s="29" t="inlineStr">
        <is>
          <t>XBRL US GAAP Certificate · AICPA &amp; XBRL US; XBRL International specifications; IFRS / US GAAP / Ind AS</t>
        </is>
      </c>
      <c r="X109" s="29" t="inlineStr">
        <is>
          <t>Core 3 · Future 3 · Functional 3 · Leadership 2</t>
        </is>
      </c>
      <c r="Y109" s="52" t="n">
        <v>144</v>
      </c>
      <c r="Z109" s="53" t="inlineStr">
        <is>
          <t>IRIS1704</t>
        </is>
      </c>
      <c r="AA109" s="53" t="inlineStr">
        <is>
          <t>Employee</t>
        </is>
      </c>
      <c r="AB109" s="53" t="inlineStr">
        <is>
          <t>Active</t>
        </is>
      </c>
      <c r="AC109" s="53" t="inlineStr">
        <is>
          <t>Lucy Fernandes</t>
        </is>
      </c>
      <c r="AD109" s="54" t="n">
        <v>43129</v>
      </c>
      <c r="AE109" s="53" t="inlineStr">
        <is>
          <t>Senior Financial Analyst</t>
        </is>
      </c>
      <c r="AF109" s="53" t="inlineStr">
        <is>
          <t>MBA</t>
        </is>
      </c>
      <c r="AG109" s="53" t="inlineStr">
        <is>
          <t>Mayur Zope</t>
        </is>
      </c>
      <c r="AH109" s="53" t="inlineStr">
        <is>
          <t>N-6</t>
        </is>
      </c>
      <c r="AI109" s="53" t="inlineStr">
        <is>
          <t>Manager</t>
        </is>
      </c>
      <c r="AJ109" s="53" t="inlineStr">
        <is>
          <t>6 years, 1 months, 0 days</t>
        </is>
      </c>
      <c r="AK109" s="53" t="inlineStr">
        <is>
          <t>8 years, 6 months, 27 days</t>
        </is>
      </c>
      <c r="AL109" s="53" t="inlineStr">
        <is>
          <t>Regtech</t>
        </is>
      </c>
      <c r="AM109" s="53" t="inlineStr">
        <is>
          <t>CARBON</t>
        </is>
      </c>
      <c r="AN109" s="53" t="inlineStr">
        <is>
          <t>Services</t>
        </is>
      </c>
      <c r="AO109" s="53" t="inlineStr">
        <is>
          <t>Expert Assisted services</t>
        </is>
      </c>
      <c r="AP109" s="53" t="inlineStr">
        <is>
          <t>No</t>
        </is>
      </c>
      <c r="AQ109" s="53" t="inlineStr">
        <is>
          <t>Professional Services</t>
        </is>
      </c>
      <c r="AR109" s="53" t="inlineStr">
        <is>
          <t>XBRL Domain</t>
        </is>
      </c>
      <c r="AS109" s="53" t="inlineStr">
        <is>
          <t>Non-technical</t>
        </is>
      </c>
      <c r="AT109" s="53" t="n">
        <v>20</v>
      </c>
      <c r="AU109" s="53" t="inlineStr">
        <is>
          <t>Covered</t>
        </is>
      </c>
      <c r="AV109" s="53" t="inlineStr">
        <is>
          <t>IRIS1704</t>
        </is>
      </c>
      <c r="AW109" s="53" t="inlineStr">
        <is>
          <t>Lucy Fernandes</t>
        </is>
      </c>
      <c r="AX109" s="53" t="inlineStr">
        <is>
          <t>Services</t>
        </is>
      </c>
      <c r="AY109" s="53" t="inlineStr">
        <is>
          <t>Professional Services</t>
        </is>
      </c>
      <c r="AZ109" s="53" t="inlineStr">
        <is>
          <t>XBRL / Regulatory Reporting</t>
        </is>
      </c>
      <c r="BA109" s="53" t="n"/>
      <c r="BB109" s="53" t="n"/>
      <c r="BC109" s="53" t="inlineStr">
        <is>
          <t>Employee</t>
        </is>
      </c>
      <c r="BD109" s="53" t="inlineStr">
        <is>
          <t>Mayur Zope</t>
        </is>
      </c>
      <c r="BE109" s="53" t="inlineStr">
        <is>
          <t>Mayur Zope</t>
        </is>
      </c>
      <c r="BF109" s="53" t="inlineStr">
        <is>
          <t>No</t>
        </is>
      </c>
      <c r="BG109" s="53" t="inlineStr">
        <is>
          <t>Senior Financial Analyst</t>
        </is>
      </c>
      <c r="BH109" s="53" t="inlineStr">
        <is>
          <t>Senior Services Specialist</t>
        </is>
      </c>
      <c r="BI109" s="53" t="inlineStr">
        <is>
          <t>Yes</t>
        </is>
      </c>
      <c r="BJ109" s="53" t="n">
        <v>1</v>
      </c>
      <c r="BK109" s="53" t="n">
        <v>0</v>
      </c>
      <c r="BL109" s="53" t="n">
        <v>1</v>
      </c>
      <c r="BM109" s="53" t="inlineStr">
        <is>
          <t>Consolidate / flatten</t>
        </is>
      </c>
      <c r="BN109" s="53" t="n">
        <v>1</v>
      </c>
      <c r="BO109" s="53" t="n">
        <v>0</v>
      </c>
      <c r="BP109" s="53" t="n">
        <v>1</v>
      </c>
      <c r="BQ109" s="53" t="inlineStr">
        <is>
          <t>Consolidate / flatten</t>
        </is>
      </c>
      <c r="BR109" s="53" t="inlineStr">
        <is>
          <t>No</t>
        </is>
      </c>
      <c r="BS109" s="53" t="inlineStr">
        <is>
          <t>L4 – Senior</t>
        </is>
      </c>
      <c r="BT109" s="53" t="inlineStr">
        <is>
          <t>L4 – Senior</t>
        </is>
      </c>
      <c r="BU109" s="53" t="inlineStr">
        <is>
          <t>Designation refined from Raw tab Comments column · this update</t>
        </is>
      </c>
      <c r="BV10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9" s="53" t="inlineStr">
        <is>
          <t>Differentiate - only DM, DM+ESG,, PMO</t>
        </is>
      </c>
      <c r="BX109" s="53" t="inlineStr">
        <is>
          <t>India - MCA; Europe - ESEF.</t>
        </is>
      </c>
      <c r="BY109" s="53" t="n"/>
      <c r="BZ109" s="53" t="inlineStr">
        <is>
          <t>IRIS1704</t>
        </is>
      </c>
      <c r="CA109" s="53" t="inlineStr">
        <is>
          <t>Employee</t>
        </is>
      </c>
      <c r="CB109" s="53" t="inlineStr">
        <is>
          <t>Active</t>
        </is>
      </c>
      <c r="CC109" s="53" t="inlineStr">
        <is>
          <t>Lucy Fernandes</t>
        </is>
      </c>
      <c r="CD109" s="54" t="n">
        <v>43129</v>
      </c>
      <c r="CE109" s="53" t="inlineStr">
        <is>
          <t>Senior Financial Analyst</t>
        </is>
      </c>
      <c r="CF109" s="53" t="n"/>
      <c r="CG109" s="53" t="inlineStr">
        <is>
          <t>Professional Services</t>
        </is>
      </c>
      <c r="CH109" s="53" t="inlineStr">
        <is>
          <t>XBRL / Regulatory Reporting</t>
        </is>
      </c>
      <c r="CI109" s="53" t="inlineStr">
        <is>
          <t>Senior Financial Analyst</t>
        </is>
      </c>
      <c r="CJ109" s="53" t="inlineStr">
        <is>
          <t>L4 – Senior</t>
        </is>
      </c>
      <c r="CK109" s="53" t="inlineStr">
        <is>
          <t>Mayur Zope</t>
        </is>
      </c>
      <c r="CL109" s="53" t="inlineStr">
        <is>
          <t>N-6</t>
        </is>
      </c>
      <c r="CM109" s="53" t="inlineStr">
        <is>
          <t>Individual Contributor</t>
        </is>
      </c>
      <c r="CN109" s="53" t="inlineStr">
        <is>
          <t>Regtech</t>
        </is>
      </c>
      <c r="CO109" s="53" t="inlineStr">
        <is>
          <t>Services</t>
        </is>
      </c>
      <c r="CP109" s="53" t="inlineStr">
        <is>
          <t>14 years, 5 months, 22 days</t>
        </is>
      </c>
      <c r="CQ109" s="53" t="inlineStr">
        <is>
          <t>Senior Services Specialst</t>
        </is>
      </c>
      <c r="CR109" s="53" t="n"/>
      <c r="CS109" s="53" t="n">
        <v>4</v>
      </c>
      <c r="CT109" s="53" t="inlineStr">
        <is>
          <t>High</t>
        </is>
      </c>
      <c r="CU109" s="53" t="inlineStr">
        <is>
          <t>Core Contributor</t>
        </is>
      </c>
      <c r="CV109" s="53" t="inlineStr">
        <is>
          <t>Yes</t>
        </is>
      </c>
      <c r="CW109" s="53" t="inlineStr">
        <is>
          <t>No</t>
        </is>
      </c>
      <c r="CX109" s="53" t="inlineStr">
        <is>
          <t>Yes</t>
        </is>
      </c>
      <c r="CY109" s="53" t="n"/>
      <c r="CZ109" s="53" t="n"/>
      <c r="DA109" s="53" t="n"/>
      <c r="DB109" s="53" t="inlineStr">
        <is>
          <t>Title to be standardized to: Senior Services Specialist</t>
        </is>
      </c>
      <c r="DC109" s="53" t="n"/>
      <c r="DD109" s="53" t="n"/>
      <c r="DE109" s="53" t="n"/>
      <c r="DF109" s="53" t="n"/>
      <c r="DG109" s="53" t="n"/>
      <c r="DH109" s="53" t="n"/>
      <c r="DI109" s="53" t="n"/>
      <c r="DJ109" s="53" t="n"/>
      <c r="DK109" s="53" t="n"/>
      <c r="DL109" s="53" t="n"/>
      <c r="DM109" s="53" t="n"/>
      <c r="DN109" s="53" t="n"/>
      <c r="DO109" s="53" t="n"/>
      <c r="DP109" s="53" t="n"/>
      <c r="DQ109" s="53" t="n"/>
      <c r="DR109" s="53" t="n"/>
      <c r="DS109" s="53" t="n"/>
      <c r="DT109" s="53" t="n"/>
      <c r="DU109" s="53" t="n"/>
      <c r="DV109" s="53" t="n"/>
      <c r="DW109" s="53" t="n"/>
      <c r="DX109" s="53" t="n"/>
      <c r="DY109" s="53" t="n"/>
      <c r="DZ109" s="53" t="n"/>
      <c r="EA109" s="53" t="n"/>
      <c r="EB109" s="53" t="n"/>
      <c r="EC109" s="53" t="n"/>
      <c r="ED109" s="53" t="n"/>
      <c r="EE109" s="53" t="n"/>
      <c r="EF109" s="53" t="n"/>
      <c r="EG109" s="53" t="n"/>
      <c r="EH109" s="53" t="n"/>
      <c r="EI109" s="53" t="n"/>
      <c r="EJ109" s="53" t="n"/>
      <c r="EK109" s="53" t="n"/>
      <c r="EL109" s="53" t="n"/>
      <c r="EM109" s="53" t="n"/>
      <c r="EN109" s="53" t="n"/>
      <c r="EO109" s="53" t="n"/>
      <c r="EP109" s="53" t="n"/>
      <c r="EQ109" s="53" t="n"/>
      <c r="ER109" s="53" t="n"/>
      <c r="ES109" s="53" t="n"/>
      <c r="ET109" s="53" t="n"/>
      <c r="EU109" s="53" t="n"/>
      <c r="EV109" s="53" t="n"/>
      <c r="EW109" s="52" t="n"/>
      <c r="EX109" s="53" t="inlineStr">
        <is>
          <t>• Role / sub-team: Mca and esma.</t>
        </is>
      </c>
      <c r="EY109" s="53" t="inlineStr">
        <is>
          <t>• Key responsibilities include: Ensuring client queries raised during calls are addressed and resolved.
• Reported deliverables and outcomes include: MCA: work is completed and the next client responds accordingly. ESMA: work is handed over to the next stage.</t>
        </is>
      </c>
      <c r="EZ109" s="53" t="inlineStr">
        <is>
          <t>• Current capabilities: Communication; Tools / software used: HTML - Editor, iFile.</t>
        </is>
      </c>
      <c r="FA109" s="53" t="inlineStr">
        <is>
          <t>• Development priorities: No input received.
• Learning and Development Need: No input received.</t>
        </is>
      </c>
      <c r="FB109" s="53" t="inlineStr">
        <is>
          <t>• Key challenges: No input received.
• Support required: No input received.</t>
        </is>
      </c>
      <c r="FC109" s="53" t="n"/>
      <c r="FD109" s="53" t="n"/>
      <c r="FE10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9" s="56" t="n"/>
      <c r="FG109" s="56" t="n"/>
      <c r="FH109" s="56" t="n"/>
      <c r="FI109" s="56" t="n"/>
      <c r="FJ109" s="56" t="inlineStr">
        <is>
          <t>Received · manager annual</t>
        </is>
      </c>
      <c r="FK109" s="56" t="inlineStr">
        <is>
          <t>CARBON Mapping Master</t>
        </is>
      </c>
      <c r="FL109" s="56" t="n">
        <v>20</v>
      </c>
      <c r="FM109" s="56" t="inlineStr">
        <is>
          <t>• Role / sub-team: Mca and esma.</t>
        </is>
      </c>
      <c r="FN109" s="56" t="inlineStr">
        <is>
          <t>• Key responsibilities include: Ensuring client queries raised during calls are addressed and resolved.
• Reported deliverables and outcomes include: MCA: work is completed and the next client responds accordingly. ESMA: work is handed over to the next stage.</t>
        </is>
      </c>
      <c r="FO109" s="56" t="inlineStr">
        <is>
          <t>• Current capabilities: Communication; Tools / software used: HTML - Editor, iFile.</t>
        </is>
      </c>
      <c r="FP109" s="56" t="inlineStr">
        <is>
          <t>• Development priorities: No input received.
• Learning and Development Need: No input received.</t>
        </is>
      </c>
      <c r="FQ109" s="56" t="inlineStr">
        <is>
          <t>• Key challenges: No input received.
• Support required: No input received.</t>
        </is>
      </c>
      <c r="FR109" s="56" t="inlineStr">
        <is>
          <t>Complexity: Evidence reads like A3: MCA and ESMA conversion: data mapping, extension concepts, calculation review, validation errors, client queries → matches the start
Autonomy: Evidence reads like A3: Makes file-related decisions independently; escalates some issues to the manager → matches the start
Accountability: Evidence reads like A3: Solely responsible for conversion accuracy; outputs go to client/certification, resolves client queries → moved down 0.5
Leadership: Evidence reads like A1: No guiding or leading described despite one HR report → moved down 1
Business Impact: Moved +0.5: the survey / manager mapping marks it business-critical.</t>
        </is>
      </c>
      <c r="FS109"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109" s="56" t="inlineStr">
        <is>
          <t>Self-identified: Project / programme management · Domain, regulatory &amp; XBRL · Client, sales &amp; stakeholders · Broader exposure &amp; ownership
For the next role: Project / programme management · Domain, regulatory &amp; XBRL · Client, sales &amp; stakeholders · Communication &amp; presentation · Broader exposure &amp; ownership</t>
        </is>
      </c>
      <c r="FU109" s="56" t="inlineStr">
        <is>
          <t>Per-person summary · CARBON Mapping Master</t>
        </is>
      </c>
    </row>
    <row r="110" ht="90" customHeight="1">
      <c r="A110" s="51" t="inlineStr">
        <is>
          <t>◂ Back</t>
        </is>
      </c>
      <c r="B110" s="29" t="inlineStr">
        <is>
          <t>Mapped</t>
        </is>
      </c>
      <c r="C110" s="28" t="inlineStr">
        <is>
          <t>CARBON</t>
        </is>
      </c>
      <c r="D110" s="29" t="inlineStr">
        <is>
          <t>IRISC265</t>
        </is>
      </c>
      <c r="E110" s="29" t="inlineStr">
        <is>
          <t>Roshni Surve</t>
        </is>
      </c>
      <c r="F110" s="29" t="inlineStr">
        <is>
          <t>Services</t>
        </is>
      </c>
      <c r="G110" s="29" t="inlineStr">
        <is>
          <t>Consultant</t>
        </is>
      </c>
      <c r="H110" s="29" t="inlineStr">
        <is>
          <t>Senior Financial Analyst</t>
        </is>
      </c>
      <c r="I110" s="29" t="inlineStr">
        <is>
          <t>L3 – Professional / Associate</t>
        </is>
      </c>
      <c r="J110" s="29" t="inlineStr">
        <is>
          <t>A3</t>
        </is>
      </c>
      <c r="K110" s="29" t="inlineStr">
        <is>
          <t>▲ Up</t>
        </is>
      </c>
      <c r="L110" s="29" t="inlineStr">
        <is>
          <t>Consulting &amp; Professional Services</t>
        </is>
      </c>
      <c r="M110" s="29" t="inlineStr">
        <is>
          <t>XBRL Tagging, Conversion &amp; Filing</t>
        </is>
      </c>
      <c r="N110" s="29" t="n"/>
      <c r="O110" s="29" t="n">
        <v>20</v>
      </c>
      <c r="P110" s="28" t="inlineStr">
        <is>
          <t>P2</t>
        </is>
      </c>
      <c r="Q110" s="29" t="inlineStr">
        <is>
          <t>Developing</t>
        </is>
      </c>
      <c r="R110" s="29" t="inlineStr">
        <is>
          <t>3 Apply</t>
        </is>
      </c>
      <c r="S110" s="29" t="inlineStr">
        <is>
          <t>2–4 yrs</t>
        </is>
      </c>
      <c r="T110" s="29" t="inlineStr">
        <is>
          <t>3–5 · 2–5</t>
        </is>
      </c>
      <c r="U110" s="29" t="inlineStr">
        <is>
          <t>Senior Analyst / Associate</t>
        </is>
      </c>
      <c r="V110" s="29" t="inlineStr">
        <is>
          <t>DataTracks: Senior Associate · 2–5 yrs · Big Four: Consultant · IRIS Vs Market Benchmark — XBRL US credential pathway: XBRL US GAAP Certificate</t>
        </is>
      </c>
      <c r="W110" s="29" t="inlineStr">
        <is>
          <t>XBRL US GAAP Certificate · AICPA &amp; XBRL US; XBRL International specifications; IFRS / US GAAP / Ind AS</t>
        </is>
      </c>
      <c r="X110" s="29" t="inlineStr">
        <is>
          <t>Core 2 · Future 2 · Functional 3 · Leadership not scored</t>
        </is>
      </c>
      <c r="Y110" s="52" t="n">
        <v>280</v>
      </c>
      <c r="Z110" s="53" t="inlineStr">
        <is>
          <t>IRISC265</t>
        </is>
      </c>
      <c r="AA110" s="53" t="inlineStr">
        <is>
          <t>On Contract</t>
        </is>
      </c>
      <c r="AB110" s="53" t="inlineStr">
        <is>
          <t>Active</t>
        </is>
      </c>
      <c r="AC110" s="53" t="inlineStr">
        <is>
          <t>Roshni Surve</t>
        </is>
      </c>
      <c r="AD110" s="54" t="n">
        <v>45084</v>
      </c>
      <c r="AE110" s="53" t="inlineStr">
        <is>
          <t>Consultant</t>
        </is>
      </c>
      <c r="AF110" s="53" t="inlineStr">
        <is>
          <t>B.Com</t>
        </is>
      </c>
      <c r="AG110" s="53" t="inlineStr">
        <is>
          <t>Lucy Fernandes</t>
        </is>
      </c>
      <c r="AH110" s="53" t="inlineStr">
        <is>
          <t>N-7</t>
        </is>
      </c>
      <c r="AI110" s="53" t="inlineStr">
        <is>
          <t>Individual Contributor</t>
        </is>
      </c>
      <c r="AJ110" s="53" t="inlineStr">
        <is>
          <t>0 years, 0 months, 0 days</t>
        </is>
      </c>
      <c r="AK110" s="53" t="inlineStr">
        <is>
          <t>3 years, 2 months, 18 days</t>
        </is>
      </c>
      <c r="AL110" s="53" t="inlineStr">
        <is>
          <t>Regtech</t>
        </is>
      </c>
      <c r="AM110" s="53" t="inlineStr">
        <is>
          <t>CARBON</t>
        </is>
      </c>
      <c r="AN110" s="53" t="inlineStr">
        <is>
          <t>Services</t>
        </is>
      </c>
      <c r="AO110" s="53" t="inlineStr">
        <is>
          <t>Expert Assisted services</t>
        </is>
      </c>
      <c r="AP110" s="53" t="inlineStr">
        <is>
          <t>No</t>
        </is>
      </c>
      <c r="AQ110" s="53" t="inlineStr">
        <is>
          <t>Professional Services</t>
        </is>
      </c>
      <c r="AR110" s="53" t="inlineStr">
        <is>
          <t>XBRL Domain</t>
        </is>
      </c>
      <c r="AS110" s="53" t="inlineStr">
        <is>
          <t>Non-technical</t>
        </is>
      </c>
      <c r="AT110" s="53" t="n">
        <v>20</v>
      </c>
      <c r="AU110" s="53" t="inlineStr">
        <is>
          <t>Covered</t>
        </is>
      </c>
      <c r="AV110" s="53" t="inlineStr">
        <is>
          <t>IRISC265</t>
        </is>
      </c>
      <c r="AW110" s="53" t="inlineStr">
        <is>
          <t>Roshni Surve</t>
        </is>
      </c>
      <c r="AX110" s="53" t="inlineStr">
        <is>
          <t>Services</t>
        </is>
      </c>
      <c r="AY110" s="53" t="inlineStr">
        <is>
          <t>Professional Services</t>
        </is>
      </c>
      <c r="AZ110" s="53" t="inlineStr">
        <is>
          <t>XBRL / Regulatory Reporting</t>
        </is>
      </c>
      <c r="BA110" s="53" t="n"/>
      <c r="BB110" s="53" t="n"/>
      <c r="BC110" s="53" t="inlineStr">
        <is>
          <t>On Contract</t>
        </is>
      </c>
      <c r="BD110" s="53" t="inlineStr">
        <is>
          <t>Lucy Fernandes</t>
        </is>
      </c>
      <c r="BE110" s="53" t="inlineStr">
        <is>
          <t>Lucy Fernandes</t>
        </is>
      </c>
      <c r="BF110" s="53" t="inlineStr">
        <is>
          <t>No</t>
        </is>
      </c>
      <c r="BG110" s="53" t="inlineStr">
        <is>
          <t>Consultant</t>
        </is>
      </c>
      <c r="BH110" s="53" t="inlineStr">
        <is>
          <t>Consultant</t>
        </is>
      </c>
      <c r="BI110" s="53" t="inlineStr">
        <is>
          <t>No</t>
        </is>
      </c>
      <c r="BJ110" s="53" t="inlineStr">
        <is>
          <t>—</t>
        </is>
      </c>
      <c r="BK110" s="53" t="inlineStr">
        <is>
          <t>—</t>
        </is>
      </c>
      <c r="BL110" s="53" t="inlineStr">
        <is>
          <t>—</t>
        </is>
      </c>
      <c r="BM110" s="53" t="inlineStr">
        <is>
          <t>Not a manager</t>
        </is>
      </c>
      <c r="BN110" s="53" t="inlineStr">
        <is>
          <t>—</t>
        </is>
      </c>
      <c r="BO110" s="53" t="inlineStr">
        <is>
          <t>—</t>
        </is>
      </c>
      <c r="BP110" s="53" t="inlineStr">
        <is>
          <t>—</t>
        </is>
      </c>
      <c r="BQ110" s="53" t="inlineStr">
        <is>
          <t>Not a manager</t>
        </is>
      </c>
      <c r="BR110" s="53" t="inlineStr">
        <is>
          <t>—</t>
        </is>
      </c>
      <c r="BS110" s="53" t="inlineStr">
        <is>
          <t>L3 – Professional / Associate</t>
        </is>
      </c>
      <c r="BT110" s="53" t="inlineStr">
        <is>
          <t>L3 – Professional / Associate</t>
        </is>
      </c>
      <c r="BU110" s="53" t="inlineStr">
        <is>
          <t>No designation change — current record value carried forward</t>
        </is>
      </c>
      <c r="BV11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10" s="53" t="n"/>
      <c r="BX110" s="53" t="inlineStr">
        <is>
          <t>India - MCA; Europe - ESEF; Netherland - KVK · On Contract.</t>
        </is>
      </c>
      <c r="BY110" s="53" t="n"/>
      <c r="BZ110" s="53" t="inlineStr">
        <is>
          <t>IRISC265</t>
        </is>
      </c>
      <c r="CA110" s="53" t="inlineStr">
        <is>
          <t>On Contract</t>
        </is>
      </c>
      <c r="CB110" s="53" t="inlineStr">
        <is>
          <t>Active</t>
        </is>
      </c>
      <c r="CC110" s="53" t="inlineStr">
        <is>
          <t>Roshni Surve</t>
        </is>
      </c>
      <c r="CD110" s="54" t="n">
        <v>45084</v>
      </c>
      <c r="CE110" s="53" t="inlineStr">
        <is>
          <t>Consultant</t>
        </is>
      </c>
      <c r="CF110" s="53" t="n"/>
      <c r="CG110" s="53" t="inlineStr">
        <is>
          <t>Professional Services</t>
        </is>
      </c>
      <c r="CH110" s="53" t="inlineStr">
        <is>
          <t>XBRL / Regulatory Reporting</t>
        </is>
      </c>
      <c r="CI110" s="53" t="inlineStr">
        <is>
          <t>Consultant</t>
        </is>
      </c>
      <c r="CJ110" s="53" t="inlineStr">
        <is>
          <t>L3 – Professional / Associate</t>
        </is>
      </c>
      <c r="CK110" s="53" t="inlineStr">
        <is>
          <t>Lucy Fernandes</t>
        </is>
      </c>
      <c r="CL110" s="53" t="inlineStr">
        <is>
          <t>N-7</t>
        </is>
      </c>
      <c r="CM110" s="53" t="inlineStr">
        <is>
          <t>Individual Contributor</t>
        </is>
      </c>
      <c r="CN110" s="53" t="inlineStr">
        <is>
          <t>Regtech</t>
        </is>
      </c>
      <c r="CO110" s="53" t="inlineStr">
        <is>
          <t>Services</t>
        </is>
      </c>
      <c r="CP110" s="53" t="inlineStr">
        <is>
          <t>3 years, 0 months, 13 days</t>
        </is>
      </c>
      <c r="CQ110" s="53" t="n"/>
      <c r="CR110" s="53" t="n"/>
      <c r="CS110" s="53" t="n">
        <v>4</v>
      </c>
      <c r="CT110" s="53" t="inlineStr">
        <is>
          <t>High</t>
        </is>
      </c>
      <c r="CU110" s="53" t="inlineStr">
        <is>
          <t>Core Contributor</t>
        </is>
      </c>
      <c r="CV110" s="53" t="inlineStr">
        <is>
          <t>No</t>
        </is>
      </c>
      <c r="CW110" s="53" t="inlineStr">
        <is>
          <t>No</t>
        </is>
      </c>
      <c r="CX110" s="53" t="inlineStr">
        <is>
          <t>Yes</t>
        </is>
      </c>
      <c r="CY110" s="53" t="n"/>
      <c r="CZ110" s="53" t="n"/>
      <c r="DA110" s="53" t="n"/>
      <c r="DB110" s="53" t="n"/>
      <c r="DC110" s="53" t="n"/>
      <c r="DD110" s="53" t="n"/>
      <c r="DE110" s="53" t="n"/>
      <c r="DF110" s="53" t="n"/>
      <c r="DG110" s="53" t="n"/>
      <c r="DH110" s="53" t="n"/>
      <c r="DI110" s="53" t="n"/>
      <c r="DJ110" s="53" t="n"/>
      <c r="DK110" s="53" t="n"/>
      <c r="DL110" s="53" t="n"/>
      <c r="DM110" s="53" t="n"/>
      <c r="DN110" s="53" t="n"/>
      <c r="DO110" s="53" t="n"/>
      <c r="DP110" s="53" t="n"/>
      <c r="DQ110" s="53" t="n"/>
      <c r="DR110" s="53" t="n"/>
      <c r="DS110" s="53" t="n"/>
      <c r="DT110" s="53" t="n"/>
      <c r="DU110" s="53" t="n"/>
      <c r="DV110" s="53" t="n"/>
      <c r="DW110" s="53" t="n"/>
      <c r="DX110" s="53" t="n"/>
      <c r="DY110" s="53" t="n"/>
      <c r="DZ110" s="53" t="n"/>
      <c r="EA110" s="53" t="n"/>
      <c r="EB110" s="53" t="n"/>
      <c r="EC110" s="53" t="n"/>
      <c r="ED110" s="53" t="n"/>
      <c r="EE110" s="53" t="n"/>
      <c r="EF110" s="53" t="n"/>
      <c r="EG110" s="53" t="n"/>
      <c r="EH110" s="53" t="n"/>
      <c r="EI110" s="53" t="n"/>
      <c r="EJ110" s="53" t="n"/>
      <c r="EK110" s="53" t="n"/>
      <c r="EL110" s="53" t="n"/>
      <c r="EM110" s="53" t="n"/>
      <c r="EN110" s="53" t="n"/>
      <c r="EO110" s="53" t="n"/>
      <c r="EP110" s="53" t="n"/>
      <c r="EQ110" s="53" t="n"/>
      <c r="ER110" s="53" t="n"/>
      <c r="ES110" s="53" t="n"/>
      <c r="ET110" s="53" t="n"/>
      <c r="EU110" s="53" t="n"/>
      <c r="EV110" s="53" t="n"/>
      <c r="EW110" s="52" t="n"/>
      <c r="EX110" s="53" t="inlineStr">
        <is>
          <t>• Role / sub-team: Xbrl tagging in EU and MCA.</t>
        </is>
      </c>
      <c r="EY110" s="53" t="inlineStr">
        <is>
          <t>• Key responsibilities include: Xbrl tagging.
• Reported deliverables and outcomes include: Deliverables sent directly to Client.</t>
        </is>
      </c>
      <c r="EZ110" s="53" t="inlineStr">
        <is>
          <t>• Current capabilities: Time management; Tools / software used: Carbon, Ifile [Teams chat].</t>
        </is>
      </c>
      <c r="FA110" s="53" t="inlineStr">
        <is>
          <t>• Development priorities: No input received.
• Learning and Development Need: Time management.</t>
        </is>
      </c>
      <c r="FB110" s="53" t="inlineStr">
        <is>
          <t>• Key challenges: No input received.
• Support required: No input received.</t>
        </is>
      </c>
      <c r="FC110" s="53" t="n"/>
      <c r="FD110" s="53" t="n"/>
      <c r="FE11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10" s="56" t="n"/>
      <c r="FG110" s="56" t="n"/>
      <c r="FH110" s="56" t="n"/>
      <c r="FI110" s="56" t="n"/>
      <c r="FJ110" s="56" t="inlineStr">
        <is>
          <t>Received · manager annual</t>
        </is>
      </c>
      <c r="FK110" s="56" t="inlineStr">
        <is>
          <t>CARBON Mapping Master</t>
        </is>
      </c>
      <c r="FL110" s="56" t="n">
        <v>20</v>
      </c>
      <c r="FM110" s="56" t="inlineStr">
        <is>
          <t>• Role / sub-team: Xbrl tagging in EU and MCA.</t>
        </is>
      </c>
      <c r="FN110" s="56" t="inlineStr">
        <is>
          <t>• Key responsibilities include: Xbrl tagging.
• Reported deliverables and outcomes include: Deliverables sent directly to Client.</t>
        </is>
      </c>
      <c r="FO110" s="56" t="inlineStr">
        <is>
          <t>• Current capabilities: Time management; Tools / software used: Carbon, Ifile [Teams chat].</t>
        </is>
      </c>
      <c r="FP110" s="56" t="inlineStr">
        <is>
          <t>• Development priorities: No input received.
• Learning and Development Need: Time management.</t>
        </is>
      </c>
      <c r="FQ110" s="56" t="inlineStr">
        <is>
          <t>• Key challenges: No input received.
• Support required: No input received.</t>
        </is>
      </c>
      <c r="FR110" s="56" t="inlineStr">
        <is>
          <t>Complexity: Evidence reads like A3: MCA and ESMA mapping with extensions, dimensions, calculations; resolves validation errors and client queries → moved up 0.5
Autonomy: Evidence reads like A3: Decides mapping and corrections on own files; deliverables go directly to client → moved up 0.5
Accountability: Evidence reads like A3: Accuracy of own conversions delivered directly to clients for filing → moved up 0.5
Leadership: Evidence reads like A1: No guidance or leadership of others described → matches the start
Business Impact: Moved +0.5: the survey / manager mapping marks it business-critical.</t>
        </is>
      </c>
      <c r="FS11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10" s="56" t="inlineStr">
        <is>
          <t>Self-identified: Project / programme management · Domain, regulatory &amp; XBRL · Broader exposure &amp; ownership
For the next role: Project / programme management · Domain, regulatory &amp; XBRL · Client, sales &amp; stakeholders · Communication &amp; presentation · Broader exposure &amp; ownership</t>
        </is>
      </c>
      <c r="FU110" s="56" t="inlineStr">
        <is>
          <t>Per-person summary · CARBON Mapping Master</t>
        </is>
      </c>
    </row>
    <row r="111" ht="90" customHeight="1">
      <c r="A111" s="51" t="inlineStr">
        <is>
          <t>◂ Back</t>
        </is>
      </c>
      <c r="B111" s="29" t="inlineStr">
        <is>
          <t>Mapped</t>
        </is>
      </c>
      <c r="C111" s="28" t="inlineStr">
        <is>
          <t>CARBON</t>
        </is>
      </c>
      <c r="D111" s="29" t="inlineStr">
        <is>
          <t>IRIS0014</t>
        </is>
      </c>
      <c r="E111" s="29" t="inlineStr">
        <is>
          <t>Jayavant Bhabal</t>
        </is>
      </c>
      <c r="F111" s="29" t="inlineStr">
        <is>
          <t>Services</t>
        </is>
      </c>
      <c r="G111" s="29" t="inlineStr">
        <is>
          <t>Financial Analyst</t>
        </is>
      </c>
      <c r="H111" s="29" t="inlineStr">
        <is>
          <t>Senior Service Delivery Analyst</t>
        </is>
      </c>
      <c r="I111" s="29" t="inlineStr">
        <is>
          <t>L3 – Professional / Associate</t>
        </is>
      </c>
      <c r="J111" s="29" t="inlineStr">
        <is>
          <t>A3</t>
        </is>
      </c>
      <c r="K111" s="29" t="inlineStr">
        <is>
          <t>▲ Up</t>
        </is>
      </c>
      <c r="L111" s="29" t="inlineStr">
        <is>
          <t>Consulting &amp; Professional Services</t>
        </is>
      </c>
      <c r="M111" s="29" t="inlineStr">
        <is>
          <t>Service Delivery Operations</t>
        </is>
      </c>
      <c r="N111" s="29" t="n"/>
      <c r="O111" s="29" t="n">
        <v>18</v>
      </c>
      <c r="P111" s="28" t="inlineStr">
        <is>
          <t>P2</t>
        </is>
      </c>
      <c r="Q111" s="29" t="inlineStr">
        <is>
          <t>Developing</t>
        </is>
      </c>
      <c r="R111" s="29" t="inlineStr">
        <is>
          <t>3 Apply</t>
        </is>
      </c>
      <c r="S111" s="29" t="inlineStr">
        <is>
          <t>2–4 yrs</t>
        </is>
      </c>
      <c r="T111" s="29" t="inlineStr">
        <is>
          <t>3–5 · 2–5</t>
        </is>
      </c>
      <c r="U111" s="29" t="inlineStr">
        <is>
          <t>Senior Analyst / Associate</t>
        </is>
      </c>
      <c r="V111" s="29" t="inlineStr">
        <is>
          <t>DataTracks: Senior Associate · 2–5 yrs · Big Four: Consultant · IRIS Vs Market Benchmark — XBRL US credential pathway: XBRL US GAAP Certificate</t>
        </is>
      </c>
      <c r="W111" s="29" t="inlineStr">
        <is>
          <t>XBRL US GAAP Certificate · AICPA &amp; XBRL US; XBRL International specifications; IFRS / US GAAP / Ind AS</t>
        </is>
      </c>
      <c r="X111" s="29" t="inlineStr">
        <is>
          <t>Core 2 · Future 2 · Functional 3 · Leadership not scored</t>
        </is>
      </c>
      <c r="Y111" s="52" t="n">
        <v>7</v>
      </c>
      <c r="Z111" s="53" t="inlineStr">
        <is>
          <t>IRIS0014</t>
        </is>
      </c>
      <c r="AA111" s="53" t="inlineStr">
        <is>
          <t>Employee</t>
        </is>
      </c>
      <c r="AB111" s="53" t="inlineStr">
        <is>
          <t>Active</t>
        </is>
      </c>
      <c r="AC111" s="53" t="inlineStr">
        <is>
          <t>Jayavant Bhabal</t>
        </is>
      </c>
      <c r="AD111" s="54" t="n">
        <v>38266</v>
      </c>
      <c r="AE111" s="53" t="inlineStr">
        <is>
          <t>Financial Analyst</t>
        </is>
      </c>
      <c r="AF111" s="53" t="inlineStr">
        <is>
          <t>B.Com</t>
        </is>
      </c>
      <c r="AG111" s="53" t="inlineStr">
        <is>
          <t>Mayur Zope</t>
        </is>
      </c>
      <c r="AH111" s="53" t="inlineStr">
        <is>
          <t>N-6</t>
        </is>
      </c>
      <c r="AI111" s="53" t="inlineStr">
        <is>
          <t>Individual Contributor</t>
        </is>
      </c>
      <c r="AJ111" s="53" t="inlineStr">
        <is>
          <t>2 years, 5 months, 0 days</t>
        </is>
      </c>
      <c r="AK111" s="53" t="inlineStr">
        <is>
          <t>21 years, 10 months, 19 days</t>
        </is>
      </c>
      <c r="AL111" s="53" t="inlineStr">
        <is>
          <t>Regtech</t>
        </is>
      </c>
      <c r="AM111" s="53" t="inlineStr">
        <is>
          <t>CARBON</t>
        </is>
      </c>
      <c r="AN111" s="53" t="inlineStr">
        <is>
          <t>Services</t>
        </is>
      </c>
      <c r="AO111" s="53" t="inlineStr">
        <is>
          <t>Expert Assisted services</t>
        </is>
      </c>
      <c r="AP111" s="53" t="inlineStr">
        <is>
          <t>No</t>
        </is>
      </c>
      <c r="AQ111" s="53" t="inlineStr">
        <is>
          <t>Professional Services</t>
        </is>
      </c>
      <c r="AR111" s="53" t="inlineStr">
        <is>
          <t>XBRL Domain</t>
        </is>
      </c>
      <c r="AS111" s="53" t="inlineStr">
        <is>
          <t>Non-technical</t>
        </is>
      </c>
      <c r="AT111" s="53" t="n">
        <v>20</v>
      </c>
      <c r="AU111" s="53" t="inlineStr">
        <is>
          <t>Covered</t>
        </is>
      </c>
      <c r="AV111" s="53" t="inlineStr">
        <is>
          <t>IRIS0014</t>
        </is>
      </c>
      <c r="AW111" s="53" t="inlineStr">
        <is>
          <t>Jayavant Bhabal</t>
        </is>
      </c>
      <c r="AX111" s="53" t="inlineStr">
        <is>
          <t>Services</t>
        </is>
      </c>
      <c r="AY111" s="53" t="inlineStr">
        <is>
          <t>Professional Services</t>
        </is>
      </c>
      <c r="AZ111" s="53" t="inlineStr">
        <is>
          <t>XBRL / Regulatory Reporting</t>
        </is>
      </c>
      <c r="BA111" s="53" t="n"/>
      <c r="BB111" s="53" t="n"/>
      <c r="BC111" s="53" t="inlineStr">
        <is>
          <t>Employee</t>
        </is>
      </c>
      <c r="BD111" s="53" t="inlineStr">
        <is>
          <t>Mayur Zope</t>
        </is>
      </c>
      <c r="BE111" s="53" t="inlineStr">
        <is>
          <t>Mayur Zope</t>
        </is>
      </c>
      <c r="BF111" s="53" t="inlineStr">
        <is>
          <t>No</t>
        </is>
      </c>
      <c r="BG111" s="53" t="inlineStr">
        <is>
          <t>Financial Analyst</t>
        </is>
      </c>
      <c r="BH111" s="53" t="inlineStr">
        <is>
          <t>Services Specialist</t>
        </is>
      </c>
      <c r="BI111" s="53" t="inlineStr">
        <is>
          <t>Yes</t>
        </is>
      </c>
      <c r="BJ111" s="53" t="inlineStr">
        <is>
          <t>—</t>
        </is>
      </c>
      <c r="BK111" s="53" t="inlineStr">
        <is>
          <t>—</t>
        </is>
      </c>
      <c r="BL111" s="53" t="inlineStr">
        <is>
          <t>—</t>
        </is>
      </c>
      <c r="BM111" s="53" t="inlineStr">
        <is>
          <t>Not a manager</t>
        </is>
      </c>
      <c r="BN111" s="53" t="inlineStr">
        <is>
          <t>—</t>
        </is>
      </c>
      <c r="BO111" s="53" t="inlineStr">
        <is>
          <t>—</t>
        </is>
      </c>
      <c r="BP111" s="53" t="inlineStr">
        <is>
          <t>—</t>
        </is>
      </c>
      <c r="BQ111" s="53" t="inlineStr">
        <is>
          <t>Not a manager</t>
        </is>
      </c>
      <c r="BR111" s="53" t="inlineStr">
        <is>
          <t>—</t>
        </is>
      </c>
      <c r="BS111" s="53" t="inlineStr">
        <is>
          <t>L3 – Professional / Associate</t>
        </is>
      </c>
      <c r="BT111" s="53" t="inlineStr">
        <is>
          <t>L2</t>
        </is>
      </c>
      <c r="BU111" s="53" t="inlineStr">
        <is>
          <t>Matched from Title Hierarchy · new designation</t>
        </is>
      </c>
      <c r="BV111"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111" s="53" t="n"/>
      <c r="BX111" s="53" t="inlineStr">
        <is>
          <t>UK - HMRC; India - MCA; South Africa - CIPC, SARB.</t>
        </is>
      </c>
      <c r="BY111" s="53" t="n"/>
      <c r="BZ111" s="53" t="inlineStr">
        <is>
          <t>IRIS0014</t>
        </is>
      </c>
      <c r="CA111" s="53" t="inlineStr">
        <is>
          <t>Employee</t>
        </is>
      </c>
      <c r="CB111" s="53" t="inlineStr">
        <is>
          <t>Active</t>
        </is>
      </c>
      <c r="CC111" s="53" t="inlineStr">
        <is>
          <t>Jayavant Bhabal</t>
        </is>
      </c>
      <c r="CD111" s="54" t="n">
        <v>38266</v>
      </c>
      <c r="CE111" s="53" t="inlineStr">
        <is>
          <t>Financial Analyst</t>
        </is>
      </c>
      <c r="CF111" s="53" t="n"/>
      <c r="CG111" s="53" t="inlineStr">
        <is>
          <t>Professional Services</t>
        </is>
      </c>
      <c r="CH111" s="53" t="inlineStr">
        <is>
          <t>XBRL / Regulatory Reporting</t>
        </is>
      </c>
      <c r="CI111" s="53" t="inlineStr">
        <is>
          <t>Financial Analyst</t>
        </is>
      </c>
      <c r="CJ111" s="53" t="inlineStr">
        <is>
          <t>L3 – Professional / Associate</t>
        </is>
      </c>
      <c r="CK111" s="53" t="inlineStr">
        <is>
          <t>Mayur Zope</t>
        </is>
      </c>
      <c r="CL111" s="53" t="inlineStr">
        <is>
          <t>N-6</t>
        </is>
      </c>
      <c r="CM111" s="53" t="inlineStr">
        <is>
          <t>Individual Contributor</t>
        </is>
      </c>
      <c r="CN111" s="53" t="inlineStr">
        <is>
          <t>Regtech</t>
        </is>
      </c>
      <c r="CO111" s="53" t="inlineStr">
        <is>
          <t>Services</t>
        </is>
      </c>
      <c r="CP111" s="53" t="inlineStr">
        <is>
          <t>24 years, 1 months, 14 days</t>
        </is>
      </c>
      <c r="CQ111" s="53" t="inlineStr">
        <is>
          <t>Services Specialist</t>
        </is>
      </c>
      <c r="CR111" s="53" t="n"/>
      <c r="CS111" s="53" t="n">
        <v>4</v>
      </c>
      <c r="CT111" s="53" t="inlineStr">
        <is>
          <t>High</t>
        </is>
      </c>
      <c r="CU111" s="53" t="inlineStr">
        <is>
          <t>Core Contributor</t>
        </is>
      </c>
      <c r="CV111" s="53" t="inlineStr">
        <is>
          <t>No</t>
        </is>
      </c>
      <c r="CW111" s="53" t="inlineStr">
        <is>
          <t>No</t>
        </is>
      </c>
      <c r="CX111" s="53" t="inlineStr">
        <is>
          <t>Yes</t>
        </is>
      </c>
      <c r="CY111" s="53" t="n"/>
      <c r="CZ111" s="53" t="n"/>
      <c r="DA111" s="53" t="n"/>
      <c r="DB111" s="53" t="inlineStr">
        <is>
          <t>Title to be standardized to : Services Specialist</t>
        </is>
      </c>
      <c r="DC111" s="53" t="n"/>
      <c r="DD111" s="53" t="n"/>
      <c r="DE111" s="53" t="n"/>
      <c r="DF111" s="53" t="n"/>
      <c r="DG111" s="53" t="n"/>
      <c r="DH111" s="53" t="n"/>
      <c r="DI111" s="53" t="n"/>
      <c r="DJ111" s="53" t="n"/>
      <c r="DK111" s="53" t="n"/>
      <c r="DL111" s="53" t="n"/>
      <c r="DM111" s="53" t="n"/>
      <c r="DN111" s="53" t="n"/>
      <c r="DO111" s="53" t="n"/>
      <c r="DP111" s="53" t="n"/>
      <c r="DQ111" s="53" t="n"/>
      <c r="DR111" s="53" t="n"/>
      <c r="DS111" s="53" t="n"/>
      <c r="DT111" s="53" t="n"/>
      <c r="DU111" s="53" t="n"/>
      <c r="DV111" s="53" t="n"/>
      <c r="DW111" s="53" t="n"/>
      <c r="DX111" s="53" t="n"/>
      <c r="DY111" s="53" t="n"/>
      <c r="DZ111" s="53" t="n"/>
      <c r="EA111" s="53" t="n"/>
      <c r="EB111" s="53" t="n"/>
      <c r="EC111" s="53" t="n"/>
      <c r="ED111" s="53" t="n"/>
      <c r="EE111" s="53" t="n"/>
      <c r="EF111" s="53" t="n"/>
      <c r="EG111" s="53" t="n"/>
      <c r="EH111" s="53" t="n"/>
      <c r="EI111" s="53" t="n"/>
      <c r="EJ111" s="53" t="n"/>
      <c r="EK111" s="53" t="n"/>
      <c r="EL111" s="53" t="n"/>
      <c r="EM111" s="53" t="n"/>
      <c r="EN111" s="53" t="n"/>
      <c r="EO111" s="53" t="n"/>
      <c r="EP111" s="53" t="n"/>
      <c r="EQ111" s="53" t="n"/>
      <c r="ER111" s="53" t="n"/>
      <c r="ES111" s="53" t="n"/>
      <c r="ET111" s="53" t="n"/>
      <c r="EU111" s="53" t="n"/>
      <c r="EV111" s="53" t="n"/>
      <c r="EW111" s="52" t="n"/>
      <c r="EX111" s="53" t="inlineStr">
        <is>
          <t>• Role / sub-team: PMO, MIS and Billing.</t>
        </is>
      </c>
      <c r="EY111" s="53"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EZ111" s="53" t="inlineStr">
        <is>
          <t>• Current capabilities: Process optimization; Tools / software used: Excel [Teams chat].</t>
        </is>
      </c>
      <c r="FA111" s="53" t="inlineStr">
        <is>
          <t>• Development priorities: No input received.
• Learning and Development Need: Client communication.</t>
        </is>
      </c>
      <c r="FB111" s="53" t="inlineStr">
        <is>
          <t>• Key challenges: No input received.
• Support required: No input received.</t>
        </is>
      </c>
      <c r="FC111" s="53" t="n"/>
      <c r="FD111" s="53" t="n"/>
      <c r="FE111"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111" s="56" t="n"/>
      <c r="FG111" s="56" t="n"/>
      <c r="FH111" s="56" t="n"/>
      <c r="FI111" s="56" t="n"/>
      <c r="FJ111" s="56" t="inlineStr">
        <is>
          <t>Received · manager annual</t>
        </is>
      </c>
      <c r="FK111" s="56" t="inlineStr">
        <is>
          <t>CARBON Mapping Master</t>
        </is>
      </c>
      <c r="FL111" s="56" t="n">
        <v>18</v>
      </c>
      <c r="FM111" s="56" t="inlineStr">
        <is>
          <t>• Role / sub-team: PMO, MIS and Billing.</t>
        </is>
      </c>
      <c r="FN111" s="56"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FO111" s="56" t="inlineStr">
        <is>
          <t>• Current capabilities: Process optimization; Tools / software used: Excel [Teams chat].</t>
        </is>
      </c>
      <c r="FP111" s="56" t="inlineStr">
        <is>
          <t>• Development priorities: No input received.
• Learning and Development Need: Client communication.</t>
        </is>
      </c>
      <c r="FQ111" s="56" t="inlineStr">
        <is>
          <t>• Key challenges: No input received.
• Support required: No input received.</t>
        </is>
      </c>
      <c r="FR111" s="56" t="inlineStr">
        <is>
          <t>Complexity: Evidence reads like A3: Project monitoring, client billing, MIS for multiple clients, SARB vetting process → moved up 0.5
Autonomy: Evidence reads like A3: Prioritises tasks, validates billing data; manager note: allocates received files within the team → moved up 0.5
Accountability: Evidence reads like A3: Billing and MIS reporting end to end for multiple clients → moved up 0.5
Leadership: Evidence reads like A2: Allocates incoming files to the team; no guiding or training described → moved up 0.5
Business Impact: Moved +0.5: the survey / manager mapping marks it business-critical.</t>
        </is>
      </c>
      <c r="FS111"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111" s="56" t="inlineStr">
        <is>
          <t>Self-identified: Answered · no common topic
For the next role: Answered · no common topic</t>
        </is>
      </c>
      <c r="FU111" s="56" t="inlineStr">
        <is>
          <t>Per-person summary · CARBON Mapping Master</t>
        </is>
      </c>
    </row>
    <row r="112" ht="90" customHeight="1">
      <c r="A112" s="51" t="inlineStr">
        <is>
          <t>◂ Back</t>
        </is>
      </c>
      <c r="B112" s="29" t="inlineStr">
        <is>
          <t>Mapped</t>
        </is>
      </c>
      <c r="C112" s="28" t="inlineStr">
        <is>
          <t>CARBON</t>
        </is>
      </c>
      <c r="D112" s="29" t="inlineStr">
        <is>
          <t>IRIS2475</t>
        </is>
      </c>
      <c r="E112" s="29" t="inlineStr">
        <is>
          <t>Yadavar Velumurgan S.</t>
        </is>
      </c>
      <c r="F112" s="29" t="inlineStr">
        <is>
          <t>Services</t>
        </is>
      </c>
      <c r="G112" s="29" t="inlineStr">
        <is>
          <t>Senior Financial Analyst</t>
        </is>
      </c>
      <c r="H112" s="29" t="inlineStr">
        <is>
          <t>Senior QA Engineer</t>
        </is>
      </c>
      <c r="I112" s="29" t="inlineStr">
        <is>
          <t>L4 – Senior</t>
        </is>
      </c>
      <c r="J112" s="29" t="inlineStr">
        <is>
          <t>A3</t>
        </is>
      </c>
      <c r="K112" s="29" t="inlineStr">
        <is>
          <t>• Same level</t>
        </is>
      </c>
      <c r="L112" s="29" t="inlineStr">
        <is>
          <t>Quality Assurance</t>
        </is>
      </c>
      <c r="M112" s="29" t="inlineStr">
        <is>
          <t>Functional &amp; Domain Testing</t>
        </is>
      </c>
      <c r="N112" s="29" t="inlineStr">
        <is>
          <t>• Correct the experience record — HR</t>
        </is>
      </c>
      <c r="O112" s="29" t="n">
        <v>20</v>
      </c>
      <c r="P112" s="28" t="inlineStr">
        <is>
          <t>P2</t>
        </is>
      </c>
      <c r="Q112" s="29" t="inlineStr">
        <is>
          <t>Developing</t>
        </is>
      </c>
      <c r="R112" s="29" t="inlineStr">
        <is>
          <t>3 Apply</t>
        </is>
      </c>
      <c r="S112" s="29" t="inlineStr">
        <is>
          <t>2–4 yrs</t>
        </is>
      </c>
      <c r="T112" s="29" t="inlineStr">
        <is>
          <t>3–5 · 2–5</t>
        </is>
      </c>
      <c r="U112" s="29" t="inlineStr">
        <is>
          <t>QA Engineer</t>
        </is>
      </c>
      <c r="V112" s="29" t="inlineStr">
        <is>
          <t>Workiva: SE · Broadridge India: SE · Nasdaq / AxiomSL: SE · IRIS Vs Market Benchmark — ISTQB certification pathway: Foundation</t>
        </is>
      </c>
      <c r="W112" s="29" t="inlineStr">
        <is>
          <t>ISTQB Foundation → Advanced → Expert; SFIA testing</t>
        </is>
      </c>
      <c r="X112" s="29" t="inlineStr">
        <is>
          <t>Core 2 · Future 2 · Functional 3 · Leadership not scored</t>
        </is>
      </c>
      <c r="Y112" s="52" t="n">
        <v>450</v>
      </c>
      <c r="Z112" s="53" t="inlineStr">
        <is>
          <t>IRIS2475</t>
        </is>
      </c>
      <c r="AA112" s="53" t="inlineStr">
        <is>
          <t>Employee</t>
        </is>
      </c>
      <c r="AB112" s="53" t="inlineStr">
        <is>
          <t>Active</t>
        </is>
      </c>
      <c r="AC112" s="53" t="inlineStr">
        <is>
          <t>Yadavar Velumurgan S.</t>
        </is>
      </c>
      <c r="AD112" s="54" t="n">
        <v>46058</v>
      </c>
      <c r="AE112" s="53" t="inlineStr">
        <is>
          <t>Senior Financial Analyst</t>
        </is>
      </c>
      <c r="AF112" s="53" t="inlineStr">
        <is>
          <t>B.Com</t>
        </is>
      </c>
      <c r="AG112" s="53" t="inlineStr">
        <is>
          <t>K Ashok Kumar</t>
        </is>
      </c>
      <c r="AH112" s="53" t="inlineStr">
        <is>
          <t>N-5</t>
        </is>
      </c>
      <c r="AI112" s="53" t="inlineStr">
        <is>
          <t>Individual Contributor</t>
        </is>
      </c>
      <c r="AJ112" s="53" t="inlineStr">
        <is>
          <t>2 years, 8 months, 0 days</t>
        </is>
      </c>
      <c r="AK112" s="53" t="inlineStr">
        <is>
          <t>0 years, 6 months, 20 days</t>
        </is>
      </c>
      <c r="AL112" s="53" t="inlineStr">
        <is>
          <t>Regtech</t>
        </is>
      </c>
      <c r="AM112" s="53" t="inlineStr">
        <is>
          <t>CARBON</t>
        </is>
      </c>
      <c r="AN112" s="53" t="inlineStr">
        <is>
          <t>Services</t>
        </is>
      </c>
      <c r="AO112" s="53" t="inlineStr">
        <is>
          <t>Expert Assisted services</t>
        </is>
      </c>
      <c r="AP112" s="53" t="inlineStr">
        <is>
          <t>No</t>
        </is>
      </c>
      <c r="AQ112" s="53" t="inlineStr">
        <is>
          <t>Professional Services</t>
        </is>
      </c>
      <c r="AR112" s="53" t="inlineStr">
        <is>
          <t>XBRL Domain</t>
        </is>
      </c>
      <c r="AS112" s="53" t="inlineStr">
        <is>
          <t>Non-technical</t>
        </is>
      </c>
      <c r="AT112" s="53" t="n">
        <v>20</v>
      </c>
      <c r="AU112" s="53" t="inlineStr">
        <is>
          <t>Covered</t>
        </is>
      </c>
      <c r="AV112" s="53" t="inlineStr">
        <is>
          <t>IRIS2475</t>
        </is>
      </c>
      <c r="AW112" s="53" t="inlineStr">
        <is>
          <t>Yadavar Velumurgan S.</t>
        </is>
      </c>
      <c r="AX112" s="53" t="inlineStr">
        <is>
          <t>Services</t>
        </is>
      </c>
      <c r="AY112" s="53" t="inlineStr">
        <is>
          <t>Professional Services</t>
        </is>
      </c>
      <c r="AZ112" s="53" t="inlineStr">
        <is>
          <t>AI /Domain Testing</t>
        </is>
      </c>
      <c r="BA112" s="53" t="n"/>
      <c r="BB112" s="53" t="n"/>
      <c r="BC112" s="53" t="inlineStr">
        <is>
          <t>Employee</t>
        </is>
      </c>
      <c r="BD112" s="53" t="inlineStr">
        <is>
          <t>Mohammed Sameer Shamsudin</t>
        </is>
      </c>
      <c r="BE112" s="53" t="inlineStr">
        <is>
          <t>Mohammed Sameer Shamsudin</t>
        </is>
      </c>
      <c r="BF112" s="53" t="inlineStr">
        <is>
          <t>No</t>
        </is>
      </c>
      <c r="BG112" s="53" t="inlineStr">
        <is>
          <t>Senior Financial Analyst</t>
        </is>
      </c>
      <c r="BH112" s="53" t="inlineStr">
        <is>
          <t>Senior Services Specialist</t>
        </is>
      </c>
      <c r="BI112" s="53" t="inlineStr">
        <is>
          <t>Yes</t>
        </is>
      </c>
      <c r="BJ112" s="53" t="inlineStr">
        <is>
          <t>—</t>
        </is>
      </c>
      <c r="BK112" s="53" t="inlineStr">
        <is>
          <t>—</t>
        </is>
      </c>
      <c r="BL112" s="53" t="inlineStr">
        <is>
          <t>—</t>
        </is>
      </c>
      <c r="BM112" s="53" t="inlineStr">
        <is>
          <t>Not a manager</t>
        </is>
      </c>
      <c r="BN112" s="53" t="inlineStr">
        <is>
          <t>—</t>
        </is>
      </c>
      <c r="BO112" s="53" t="inlineStr">
        <is>
          <t>—</t>
        </is>
      </c>
      <c r="BP112" s="53" t="inlineStr">
        <is>
          <t>—</t>
        </is>
      </c>
      <c r="BQ112" s="53" t="inlineStr">
        <is>
          <t>Not a manager</t>
        </is>
      </c>
      <c r="BR112" s="53" t="inlineStr">
        <is>
          <t>—</t>
        </is>
      </c>
      <c r="BS112" s="53" t="inlineStr">
        <is>
          <t>L4 – Senior</t>
        </is>
      </c>
      <c r="BT112" s="53" t="inlineStr">
        <is>
          <t>L4 – Senior</t>
        </is>
      </c>
      <c r="BU112" s="53" t="inlineStr">
        <is>
          <t>Designation refined from Raw tab Comments column · this update</t>
        </is>
      </c>
      <c r="BV112" s="53"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W112" s="53" t="n"/>
      <c r="BX112" s="53" t="inlineStr">
        <is>
          <t>India - MCA; UK - HMRC; Europe - ESEF; USA - SEC.</t>
        </is>
      </c>
      <c r="BY112" s="53" t="inlineStr">
        <is>
          <t>Ashok Kumar</t>
        </is>
      </c>
      <c r="BZ112" s="53" t="inlineStr">
        <is>
          <t>IRIS2475</t>
        </is>
      </c>
      <c r="CA112" s="53" t="inlineStr">
        <is>
          <t>Employee</t>
        </is>
      </c>
      <c r="CB112" s="53" t="inlineStr">
        <is>
          <t>Active</t>
        </is>
      </c>
      <c r="CC112" s="53" t="inlineStr">
        <is>
          <t>Yadavar Velumurgan S.</t>
        </is>
      </c>
      <c r="CD112" s="54" t="n">
        <v>46058</v>
      </c>
      <c r="CE112" s="53" t="inlineStr">
        <is>
          <t>Senior Financial Analyst</t>
        </is>
      </c>
      <c r="CF112" s="53" t="n"/>
      <c r="CG112" s="53" t="inlineStr">
        <is>
          <t>Professional Services</t>
        </is>
      </c>
      <c r="CH112" s="53" t="inlineStr">
        <is>
          <t>XBRL / Regulatory Reporting</t>
        </is>
      </c>
      <c r="CI112" s="53" t="inlineStr">
        <is>
          <t>Senior Financial Analyst</t>
        </is>
      </c>
      <c r="CJ112" s="53" t="inlineStr">
        <is>
          <t>L4 – Senior</t>
        </is>
      </c>
      <c r="CK112" s="53" t="inlineStr">
        <is>
          <t>Mohammed Sameer Shamsudin</t>
        </is>
      </c>
      <c r="CL112" s="53" t="inlineStr">
        <is>
          <t>N-7</t>
        </is>
      </c>
      <c r="CM112" s="53" t="inlineStr">
        <is>
          <t>Individual Contributor</t>
        </is>
      </c>
      <c r="CN112" s="53" t="inlineStr">
        <is>
          <t>Regtech</t>
        </is>
      </c>
      <c r="CO112" s="53" t="inlineStr">
        <is>
          <t>Services</t>
        </is>
      </c>
      <c r="CP112" s="53" t="inlineStr">
        <is>
          <t>3 years, 0 months, 15 days</t>
        </is>
      </c>
      <c r="CQ112" s="53" t="inlineStr">
        <is>
          <t>Senior Services Specialst</t>
        </is>
      </c>
      <c r="CR112" s="53" t="n"/>
      <c r="CS112" s="53" t="n">
        <v>3</v>
      </c>
      <c r="CT112" s="53" t="inlineStr">
        <is>
          <t>Medium</t>
        </is>
      </c>
      <c r="CU112" s="53" t="inlineStr">
        <is>
          <t>Core Contributor</t>
        </is>
      </c>
      <c r="CV112" s="53" t="inlineStr">
        <is>
          <t>No</t>
        </is>
      </c>
      <c r="CW112" s="53" t="inlineStr">
        <is>
          <t>No</t>
        </is>
      </c>
      <c r="CX112" s="53" t="inlineStr">
        <is>
          <t>Yes</t>
        </is>
      </c>
      <c r="CY112" s="53" t="n"/>
      <c r="CZ112" s="53" t="n"/>
      <c r="DA112" s="53" t="n"/>
      <c r="DB112" s="53" t="inlineStr">
        <is>
          <t>Title to be standardized to: Senior Services Specialist</t>
        </is>
      </c>
      <c r="DC112" s="53" t="n"/>
      <c r="DD112" s="53" t="n"/>
      <c r="DE112" s="53" t="n"/>
      <c r="DF112" s="53" t="n"/>
      <c r="DG112" s="53" t="n"/>
      <c r="DH112" s="53" t="n"/>
      <c r="DI112" s="53" t="n"/>
      <c r="DJ112" s="53" t="n"/>
      <c r="DK112" s="53" t="n"/>
      <c r="DL112" s="53" t="n"/>
      <c r="DM112" s="53" t="n"/>
      <c r="DN112" s="53" t="n"/>
      <c r="DO112" s="53" t="n"/>
      <c r="DP112" s="53" t="n"/>
      <c r="DQ112" s="53" t="n"/>
      <c r="DR112" s="53" t="n"/>
      <c r="DS112" s="53" t="n"/>
      <c r="DT112" s="53" t="n"/>
      <c r="DU112" s="53" t="n"/>
      <c r="DV112" s="53" t="n"/>
      <c r="DW112" s="53" t="n"/>
      <c r="DX112" s="53" t="n"/>
      <c r="DY112" s="53" t="n"/>
      <c r="DZ112" s="53" t="n"/>
      <c r="EA112" s="53" t="n"/>
      <c r="EB112" s="53" t="n"/>
      <c r="EC112" s="53" t="n"/>
      <c r="ED112" s="53" t="n"/>
      <c r="EE112" s="53" t="n"/>
      <c r="EF112" s="53" t="n"/>
      <c r="EG112" s="53" t="n"/>
      <c r="EH112" s="53" t="n"/>
      <c r="EI112" s="53" t="n"/>
      <c r="EJ112" s="53" t="n"/>
      <c r="EK112" s="53" t="n"/>
      <c r="EL112" s="53" t="n"/>
      <c r="EM112" s="53" t="n"/>
      <c r="EN112" s="53" t="n"/>
      <c r="EO112" s="53" t="n"/>
      <c r="EP112" s="53" t="n"/>
      <c r="EQ112" s="53" t="n"/>
      <c r="ER112" s="53" t="n"/>
      <c r="ES112" s="53" t="n"/>
      <c r="ET112" s="53" t="n"/>
      <c r="EU112" s="53" t="n"/>
      <c r="EV112" s="53" t="n"/>
      <c r="EW112" s="52" t="n"/>
      <c r="EX112" s="53" t="inlineStr">
        <is>
          <t>• Role / sub-team: AI Testing.</t>
        </is>
      </c>
      <c r="EY112" s="53"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EZ112" s="53" t="inlineStr">
        <is>
          <t>• Current capabilities: I am patient and detail; oriented which helps me; Tools / software used: HTML - Editor.</t>
        </is>
      </c>
      <c r="FA112" s="53"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B112" s="53" t="inlineStr">
        <is>
          <t>• Key challenges: Yes sometimes work gets; delayed while waiting; for issue fixes updated; builds or clarification; from the team.
• Support required: No input received.</t>
        </is>
      </c>
      <c r="FC112" s="53" t="n"/>
      <c r="FD112" s="53" t="n"/>
      <c r="FE112" s="57"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FF112" s="56" t="n"/>
      <c r="FG112" s="56" t="n"/>
      <c r="FH112" s="56" t="n"/>
      <c r="FI112" s="56" t="n"/>
      <c r="FJ112" s="56" t="inlineStr">
        <is>
          <t>Received · manager annual</t>
        </is>
      </c>
      <c r="FK112" s="56" t="inlineStr">
        <is>
          <t>CARBON Mapping Master</t>
        </is>
      </c>
      <c r="FL112" s="56" t="n">
        <v>20</v>
      </c>
      <c r="FM112" s="56" t="inlineStr">
        <is>
          <t>• Role / sub-team: AI Testing.</t>
        </is>
      </c>
      <c r="FN112" s="56"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FO112" s="56" t="inlineStr">
        <is>
          <t>• Current capabilities: I am patient and detail; oriented which helps me; Tools / software used: HTML - Editor.</t>
        </is>
      </c>
      <c r="FP112" s="56"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Q112" s="56" t="inlineStr">
        <is>
          <t>• Key challenges: Yes sometimes work gets; delayed while waiting; for issue fixes updated; builds or clarification; from the team.
• Support required: No input received.</t>
        </is>
      </c>
      <c r="FR112" s="56" t="inlineStr">
        <is>
          <t>Complexity: Evidence reads like A3: Designs test cases; validates AI-extracted financial data and anomaly detection against source filings → matches the start
Autonomy: Evidence reads like A3: Plans own testing, prioritises test cases, raises quality concerns without prior approval → matches the start
Accountability: Evidence reads like A2: Accuracy of own data validation and test results; defect reports go to developers → moved down 0.5
Leadership: Evidence reads like A1: No guidance or leadership of others described → moved down 0.5
Business Impact: Moved +0.5: the survey / manager mapping marks it business-critical.</t>
        </is>
      </c>
      <c r="FS112"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112" s="56" t="inlineStr">
        <is>
          <t>Self-identified: AI / automation · Testing &amp; quality · Product &amp; tool knowledge · Broader exposure &amp; ownership
For the next role: AI / automation · Testing &amp; quality · Product &amp; tool knowledge · Strategy &amp; business acumen · Broader exposure &amp; ownership</t>
        </is>
      </c>
      <c r="FU112" s="56" t="inlineStr">
        <is>
          <t>Per-person summary · CARBON Mapping Master</t>
        </is>
      </c>
    </row>
    <row r="113" ht="90" customHeight="1">
      <c r="A113" s="51" t="inlineStr">
        <is>
          <t>◂ Back</t>
        </is>
      </c>
      <c r="B113" s="29" t="inlineStr">
        <is>
          <t>Mapped</t>
        </is>
      </c>
      <c r="C113" s="28" t="inlineStr">
        <is>
          <t>CARBON</t>
        </is>
      </c>
      <c r="D113" s="29" t="inlineStr">
        <is>
          <t>IRIS1272</t>
        </is>
      </c>
      <c r="E113" s="29" t="inlineStr">
        <is>
          <t>Aaron Michael</t>
        </is>
      </c>
      <c r="F113" s="29" t="inlineStr">
        <is>
          <t>Technology</t>
        </is>
      </c>
      <c r="G113" s="29" t="inlineStr">
        <is>
          <t>Project Manager</t>
        </is>
      </c>
      <c r="H113" s="29" t="inlineStr">
        <is>
          <t>Project Manager</t>
        </is>
      </c>
      <c r="I113" s="29" t="inlineStr">
        <is>
          <t>L5 – Manager</t>
        </is>
      </c>
      <c r="J113" s="29" t="inlineStr">
        <is>
          <t>B2</t>
        </is>
      </c>
      <c r="K113" s="29" t="inlineStr">
        <is>
          <t>• Same level</t>
        </is>
      </c>
      <c r="L113" s="29" t="inlineStr">
        <is>
          <t>Project &amp; Program Management</t>
        </is>
      </c>
      <c r="M113" s="29" t="inlineStr">
        <is>
          <t>Project &amp; Program Delivery</t>
        </is>
      </c>
      <c r="N113" s="29" t="inlineStr">
        <is>
          <t>• Confirm the reporting line — Manager</t>
        </is>
      </c>
      <c r="O113" s="29" t="n">
        <v>20</v>
      </c>
      <c r="P113" s="28" t="inlineStr">
        <is>
          <t>P4 / M3</t>
        </is>
      </c>
      <c r="Q113" s="29" t="inlineStr">
        <is>
          <t>Senior / Manager</t>
        </is>
      </c>
      <c r="R113" s="29" t="inlineStr">
        <is>
          <t>4–5</t>
        </is>
      </c>
      <c r="S113" s="29" t="inlineStr">
        <is>
          <t>6–9 yrs</t>
        </is>
      </c>
      <c r="T113" s="29" t="inlineStr">
        <is>
          <t>7–10 · 6–11</t>
        </is>
      </c>
      <c r="U113" s="29" t="inlineStr">
        <is>
          <t>Senior Project / Program Manager</t>
        </is>
      </c>
      <c r="V113" s="29" t="inlineStr">
        <is>
          <t>IRIS Vs Competitor Benchmark — PMI pathway + SaaS delivery ladder: Senior PM</t>
        </is>
      </c>
      <c r="W113" s="29" t="inlineStr">
        <is>
          <t>PMI PMBOK and Talent Triangle; CAPM · entry → PMP → PgMP; Scrum / SAFe</t>
        </is>
      </c>
      <c r="X113" s="29" t="inlineStr">
        <is>
          <t>Core 3 · Future 3 · Functional 4 · Leadership 2</t>
        </is>
      </c>
      <c r="Y113" s="52" t="n">
        <v>115</v>
      </c>
      <c r="Z113" s="53" t="inlineStr">
        <is>
          <t>IRIS1272</t>
        </is>
      </c>
      <c r="AA113" s="53" t="inlineStr">
        <is>
          <t>Employee</t>
        </is>
      </c>
      <c r="AB113" s="53" t="inlineStr">
        <is>
          <t>Active</t>
        </is>
      </c>
      <c r="AC113" s="53" t="inlineStr">
        <is>
          <t>Aaron Michael</t>
        </is>
      </c>
      <c r="AD113" s="54" t="n">
        <v>41162</v>
      </c>
      <c r="AE113" s="53" t="inlineStr">
        <is>
          <t>Project Manager</t>
        </is>
      </c>
      <c r="AF113" s="53" t="inlineStr">
        <is>
          <t>MMS</t>
        </is>
      </c>
      <c r="AG113" s="53" t="inlineStr">
        <is>
          <t>Suman Adhikary</t>
        </is>
      </c>
      <c r="AH113" s="53" t="inlineStr">
        <is>
          <t>N-4</t>
        </is>
      </c>
      <c r="AI113" s="53" t="inlineStr">
        <is>
          <t>Individual Contributor</t>
        </is>
      </c>
      <c r="AJ113" s="53" t="inlineStr">
        <is>
          <t>1 years, 5 months, 0 days</t>
        </is>
      </c>
      <c r="AK113" s="53" t="inlineStr">
        <is>
          <t>13 years, 11 months, 15 days</t>
        </is>
      </c>
      <c r="AL113" s="53" t="inlineStr">
        <is>
          <t>Regtech</t>
        </is>
      </c>
      <c r="AM113" s="53" t="inlineStr">
        <is>
          <t>CARBON</t>
        </is>
      </c>
      <c r="AN113" s="53" t="inlineStr">
        <is>
          <t>Technology</t>
        </is>
      </c>
      <c r="AO113" s="53" t="inlineStr">
        <is>
          <t>Project Management</t>
        </is>
      </c>
      <c r="AP113" s="53" t="inlineStr">
        <is>
          <t>No</t>
        </is>
      </c>
      <c r="AQ113" s="53" t="inlineStr">
        <is>
          <t>Product/Project</t>
        </is>
      </c>
      <c r="AR113" s="53" t="inlineStr">
        <is>
          <t>Project Management</t>
        </is>
      </c>
      <c r="AS113" s="53" t="inlineStr">
        <is>
          <t>Technical · BA, PM and QA</t>
        </is>
      </c>
      <c r="AT113" s="53" t="n">
        <v>20</v>
      </c>
      <c r="AU113" s="53" t="inlineStr">
        <is>
          <t>Covered</t>
        </is>
      </c>
      <c r="AV113" s="53" t="inlineStr">
        <is>
          <t>IRIS1272</t>
        </is>
      </c>
      <c r="AW113" s="53" t="inlineStr">
        <is>
          <t>Aaron Michael</t>
        </is>
      </c>
      <c r="AX113" s="53" t="inlineStr">
        <is>
          <t>Functional</t>
        </is>
      </c>
      <c r="AY113" s="53" t="inlineStr">
        <is>
          <t>Consulting</t>
        </is>
      </c>
      <c r="AZ113" s="53" t="inlineStr">
        <is>
          <t>Project Management</t>
        </is>
      </c>
      <c r="BA113" s="53" t="inlineStr">
        <is>
          <t>Consulting</t>
        </is>
      </c>
      <c r="BB113" s="53" t="n"/>
      <c r="BC113" s="53" t="inlineStr">
        <is>
          <t>Employee</t>
        </is>
      </c>
      <c r="BD113" s="53" t="inlineStr">
        <is>
          <t>Suman Adhikary</t>
        </is>
      </c>
      <c r="BE113" s="53" t="inlineStr">
        <is>
          <t>Suman Adhikary</t>
        </is>
      </c>
      <c r="BF113" s="53" t="inlineStr">
        <is>
          <t>Yes</t>
        </is>
      </c>
      <c r="BG113" s="53" t="inlineStr">
        <is>
          <t>Project Manager</t>
        </is>
      </c>
      <c r="BH113" s="53" t="inlineStr">
        <is>
          <t>Project Manager</t>
        </is>
      </c>
      <c r="BI113" s="53" t="inlineStr">
        <is>
          <t>No</t>
        </is>
      </c>
      <c r="BJ113" s="53" t="inlineStr">
        <is>
          <t>—</t>
        </is>
      </c>
      <c r="BK113" s="53" t="inlineStr">
        <is>
          <t>—</t>
        </is>
      </c>
      <c r="BL113" s="53" t="inlineStr">
        <is>
          <t>—</t>
        </is>
      </c>
      <c r="BM113" s="53" t="inlineStr">
        <is>
          <t>Not a manager</t>
        </is>
      </c>
      <c r="BN113" s="53" t="inlineStr">
        <is>
          <t>—</t>
        </is>
      </c>
      <c r="BO113" s="53" t="inlineStr">
        <is>
          <t>—</t>
        </is>
      </c>
      <c r="BP113" s="53" t="inlineStr">
        <is>
          <t>—</t>
        </is>
      </c>
      <c r="BQ113" s="53" t="inlineStr">
        <is>
          <t>Not a manager</t>
        </is>
      </c>
      <c r="BR113" s="53" t="inlineStr">
        <is>
          <t>—</t>
        </is>
      </c>
      <c r="BS113" s="53" t="inlineStr">
        <is>
          <t>L5 – Manager</t>
        </is>
      </c>
      <c r="BT113" s="53" t="inlineStr">
        <is>
          <t>L5 – Manager</t>
        </is>
      </c>
      <c r="BU113" s="53" t="inlineStr">
        <is>
          <t>No designation change — current record value carried forward</t>
        </is>
      </c>
      <c r="BV113" s="53"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W113" s="53" t="n"/>
      <c r="BX113" s="53" t="inlineStr">
        <is>
          <t>Europe and LATAM.</t>
        </is>
      </c>
      <c r="BY113" s="53" t="n"/>
      <c r="BZ113" s="53" t="inlineStr">
        <is>
          <t>IRIS1272</t>
        </is>
      </c>
      <c r="CA113" s="53" t="inlineStr">
        <is>
          <t>Employee</t>
        </is>
      </c>
      <c r="CB113" s="53" t="inlineStr">
        <is>
          <t>Active</t>
        </is>
      </c>
      <c r="CC113" s="53" t="inlineStr">
        <is>
          <t>Aaron Michael</t>
        </is>
      </c>
      <c r="CD113" s="54" t="n">
        <v>41162</v>
      </c>
      <c r="CE113" s="53" t="inlineStr">
        <is>
          <t>Project Manager</t>
        </is>
      </c>
      <c r="CF113" s="53" t="inlineStr">
        <is>
          <t>Project Manager</t>
        </is>
      </c>
      <c r="CG113" s="53" t="inlineStr">
        <is>
          <t>Consulting  Services</t>
        </is>
      </c>
      <c r="CH113" s="53" t="inlineStr">
        <is>
          <t>Financial Reporting Advisory</t>
        </is>
      </c>
      <c r="CI113" s="53" t="inlineStr">
        <is>
          <t>Project Manager</t>
        </is>
      </c>
      <c r="CJ113" s="53" t="inlineStr">
        <is>
          <t>L5 – Manager</t>
        </is>
      </c>
      <c r="CK113" s="53" t="inlineStr">
        <is>
          <t>Anuradha RK</t>
        </is>
      </c>
      <c r="CL113" s="53" t="inlineStr">
        <is>
          <t>N-4</t>
        </is>
      </c>
      <c r="CM113" s="53" t="inlineStr">
        <is>
          <t>Individual Contributor</t>
        </is>
      </c>
      <c r="CN113" s="53" t="inlineStr">
        <is>
          <t>Regtech</t>
        </is>
      </c>
      <c r="CO113" s="53" t="inlineStr">
        <is>
          <t>Functional</t>
        </is>
      </c>
      <c r="CP113" s="53" t="inlineStr">
        <is>
          <t>15 years, 2 months, 10 days</t>
        </is>
      </c>
      <c r="CQ113" s="53" t="inlineStr">
        <is>
          <t>Project Manager</t>
        </is>
      </c>
      <c r="CR113" s="53" t="inlineStr">
        <is>
          <t>No</t>
        </is>
      </c>
      <c r="CS113" s="53" t="n">
        <v>3</v>
      </c>
      <c r="CT113" s="53" t="inlineStr">
        <is>
          <t>Medium</t>
        </is>
      </c>
      <c r="CU113" s="53" t="inlineStr">
        <is>
          <t>Core Contributor</t>
        </is>
      </c>
      <c r="CV113" s="53" t="n"/>
      <c r="CW113" s="53" t="n"/>
      <c r="CX113" s="53" t="inlineStr">
        <is>
          <t>Yes</t>
        </is>
      </c>
      <c r="CY113" s="53" t="n"/>
      <c r="CZ113" s="53" t="inlineStr">
        <is>
          <t>Agile/Scrum &amp; PMP fundamentals; risk &amp; stakeholder management; estimation; reporting/governance tools</t>
        </is>
      </c>
      <c r="DA113" s="53" t="inlineStr">
        <is>
          <t>Transition to leadership: people management &amp; delegation, mentoring/coaching, project ownership &amp; stakeholder management, prioritisation under ambiguity, presentation &amp; influence skills</t>
        </is>
      </c>
      <c r="DB113" s="53" t="n"/>
      <c r="DC113" s="53" t="n"/>
      <c r="DD113" s="53" t="n"/>
      <c r="DE113" s="53" t="n"/>
      <c r="DF113" s="53" t="n"/>
      <c r="DG113" s="53" t="n"/>
      <c r="DH113" s="53" t="n"/>
      <c r="DI113" s="53" t="n"/>
      <c r="DJ113" s="53" t="n"/>
      <c r="DK113" s="53" t="n"/>
      <c r="DL113" s="53" t="n"/>
      <c r="DM113" s="53" t="n"/>
      <c r="DN113" s="53" t="n"/>
      <c r="DO113" s="53" t="n"/>
      <c r="DP113" s="53" t="n"/>
      <c r="DQ113" s="53" t="n"/>
      <c r="DR113" s="53" t="n"/>
      <c r="DS113" s="53" t="n"/>
      <c r="DT113" s="53" t="n"/>
      <c r="DU113" s="53" t="n"/>
      <c r="DV113" s="53" t="n"/>
      <c r="DW113" s="53" t="n"/>
      <c r="DX113" s="53" t="n"/>
      <c r="DY113" s="53" t="n"/>
      <c r="DZ113" s="53" t="n"/>
      <c r="EA113" s="53" t="n"/>
      <c r="EB113" s="53" t="n"/>
      <c r="EC113" s="53" t="n"/>
      <c r="ED113" s="53" t="n"/>
      <c r="EE113" s="53" t="n"/>
      <c r="EF113" s="53" t="n"/>
      <c r="EG113" s="53" t="n"/>
      <c r="EH113" s="53" t="n"/>
      <c r="EI113" s="53" t="n"/>
      <c r="EJ113" s="53" t="n"/>
      <c r="EK113" s="53" t="n"/>
      <c r="EL113" s="53" t="n"/>
      <c r="EM113" s="53" t="n"/>
      <c r="EN113" s="53" t="n"/>
      <c r="EO113" s="53" t="n"/>
      <c r="EP113" s="53" t="n"/>
      <c r="EQ113" s="53" t="n"/>
      <c r="ER113" s="53" t="n"/>
      <c r="ES113" s="53" t="n"/>
      <c r="ET113" s="53" t="n"/>
      <c r="EU113" s="53" t="n"/>
      <c r="EV113" s="53" t="n"/>
      <c r="EW113" s="52" t="n"/>
      <c r="EX113" s="53"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EY113" s="53"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EZ113" s="53"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FA113" s="53"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B113" s="53"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C113" s="53" t="n"/>
      <c r="FD113" s="53" t="n"/>
      <c r="FE113" s="57"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FF113" s="56" t="n"/>
      <c r="FG113" s="56" t="n"/>
      <c r="FH113" s="56" t="n"/>
      <c r="FI113" s="56" t="inlineStr">
        <is>
          <t>Project Manager</t>
        </is>
      </c>
      <c r="FJ113" s="56" t="inlineStr">
        <is>
          <t>Received · manager annual</t>
        </is>
      </c>
      <c r="FK113" s="56" t="inlineStr">
        <is>
          <t>CARBON Mapping Master · CARBON Talent Mapping · Raw</t>
        </is>
      </c>
      <c r="FL113" s="56" t="n">
        <v>20</v>
      </c>
      <c r="FM113" s="56"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FN113" s="56"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FO113" s="56"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FP113" s="56"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Q113" s="56"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R113" s="56" t="inlineStr">
        <is>
          <t>Complexity: Evidence reads like B1: Scope, schedule, risk and client alignment for projects, including invoicing and payments → moved down 0.5
Autonomy: Evidence reads like B2: Decides client engagement and task assignment; sets team priorities → matches the start
Accountability: Evidence reads like B2: Planning, execution and end-to-end delivery including invoicing and payments → matches the start
Leadership: Evidence reads like B1: Assigns tasks, sets priorities and guides the team; 0 direct reports → matches the start
Business Impact: Moved +0.5: the survey / manager mapping marks it business-critical.</t>
        </is>
      </c>
      <c r="FS113"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113" s="56" t="inlineStr">
        <is>
          <t>Self-identified: AI / automation · Project / programme management · Product &amp; tool knowledge
For the next role: AI / automation · Project / programme management · Product &amp; tool knowledge</t>
        </is>
      </c>
      <c r="FU113" s="56" t="inlineStr">
        <is>
          <t>Per-person summary · CARBON Mapping Master</t>
        </is>
      </c>
    </row>
    <row r="114" ht="90" customHeight="1">
      <c r="A114" s="51" t="inlineStr">
        <is>
          <t>◂ Back</t>
        </is>
      </c>
      <c r="B114" s="29" t="inlineStr">
        <is>
          <t>Mapped</t>
        </is>
      </c>
      <c r="C114" s="28" t="inlineStr">
        <is>
          <t>CARBON</t>
        </is>
      </c>
      <c r="D114" s="29" t="inlineStr">
        <is>
          <t>IRIS0662</t>
        </is>
      </c>
      <c r="E114" s="29" t="inlineStr">
        <is>
          <t>Harshal Shah</t>
        </is>
      </c>
      <c r="F114" s="29" t="inlineStr">
        <is>
          <t>Support</t>
        </is>
      </c>
      <c r="G114" s="29" t="inlineStr">
        <is>
          <t>Support Lead</t>
        </is>
      </c>
      <c r="H114" s="29" t="inlineStr">
        <is>
          <t>Support Manager</t>
        </is>
      </c>
      <c r="I114" s="29" t="inlineStr">
        <is>
          <t>L5 – Lead · IC</t>
        </is>
      </c>
      <c r="J114" s="29" t="inlineStr">
        <is>
          <t>B2</t>
        </is>
      </c>
      <c r="K114" s="29" t="inlineStr">
        <is>
          <t>▼ Down · protected</t>
        </is>
      </c>
      <c r="L114" s="29" t="inlineStr">
        <is>
          <t>Customer Success &amp; Support</t>
        </is>
      </c>
      <c r="M114" s="29" t="inlineStr">
        <is>
          <t>Application &amp; Product Support</t>
        </is>
      </c>
      <c r="N114" s="29" t="n"/>
      <c r="O114" s="29" t="n">
        <v>20</v>
      </c>
      <c r="P114" s="28" t="inlineStr">
        <is>
          <t>P4 / M3</t>
        </is>
      </c>
      <c r="Q114" s="29" t="inlineStr">
        <is>
          <t>Senior / Manager</t>
        </is>
      </c>
      <c r="R114" s="29" t="inlineStr">
        <is>
          <t>4–5</t>
        </is>
      </c>
      <c r="S114" s="29" t="inlineStr">
        <is>
          <t>6–9 yrs</t>
        </is>
      </c>
      <c r="T114" s="29" t="inlineStr">
        <is>
          <t>7–10 · 6–11</t>
        </is>
      </c>
      <c r="U114" s="29" t="inlineStr">
        <is>
          <t>Manager</t>
        </is>
      </c>
      <c r="V114" s="29" t="inlineStr">
        <is>
          <t>Workiva: Product Success Manager · IRIS Vs Competitor Benchmark — SaaS customer-success ladder: Senior CSM · IRIS Vs Competitor Benchmark — support tiers: Support Team Manager</t>
        </is>
      </c>
      <c r="W114" s="29" t="inlineStr">
        <is>
          <t>TSIA frameworks and benchmarks; ITIL 4 service desk; Gainsight customer-success practice</t>
        </is>
      </c>
      <c r="X114" s="29" t="inlineStr">
        <is>
          <t>Core 3 · Future 3 · Functional 4 · Leadership 3</t>
        </is>
      </c>
      <c r="Y114" s="52" t="n">
        <v>87</v>
      </c>
      <c r="Z114" s="53" t="inlineStr">
        <is>
          <t>IRIS0662</t>
        </is>
      </c>
      <c r="AA114" s="53" t="inlineStr">
        <is>
          <t>Employee</t>
        </is>
      </c>
      <c r="AB114" s="53" t="inlineStr">
        <is>
          <t>Active</t>
        </is>
      </c>
      <c r="AC114" s="53" t="inlineStr">
        <is>
          <t>Harshal Shah</t>
        </is>
      </c>
      <c r="AD114" s="54" t="n">
        <v>40686</v>
      </c>
      <c r="AE114" s="53" t="inlineStr">
        <is>
          <t>Support Lead</t>
        </is>
      </c>
      <c r="AF114" s="53" t="inlineStr">
        <is>
          <t>B.Com</t>
        </is>
      </c>
      <c r="AG114" s="53" t="inlineStr">
        <is>
          <t>Suman Adhikary</t>
        </is>
      </c>
      <c r="AH114" s="53" t="inlineStr">
        <is>
          <t>N-4</t>
        </is>
      </c>
      <c r="AI114" s="53" t="inlineStr">
        <is>
          <t>Manager</t>
        </is>
      </c>
      <c r="AJ114" s="53" t="inlineStr">
        <is>
          <t>0 years, 0 months, 0 days</t>
        </is>
      </c>
      <c r="AK114" s="53" t="inlineStr">
        <is>
          <t>15 years, 3 months, 2 days</t>
        </is>
      </c>
      <c r="AL114" s="53" t="inlineStr">
        <is>
          <t>Regtech</t>
        </is>
      </c>
      <c r="AM114" s="53" t="inlineStr">
        <is>
          <t>CARBON</t>
        </is>
      </c>
      <c r="AN114" s="53" t="inlineStr">
        <is>
          <t>Support</t>
        </is>
      </c>
      <c r="AO114" s="53" t="inlineStr">
        <is>
          <t>Product Support</t>
        </is>
      </c>
      <c r="AP114" s="53" t="inlineStr">
        <is>
          <t>No</t>
        </is>
      </c>
      <c r="AQ114" s="53" t="inlineStr">
        <is>
          <t>Product/Project</t>
        </is>
      </c>
      <c r="AR114" s="53" t="inlineStr">
        <is>
          <t>Domain Support</t>
        </is>
      </c>
      <c r="AS114" s="53" t="inlineStr">
        <is>
          <t>Non-technical</t>
        </is>
      </c>
      <c r="AT114" s="53" t="n">
        <v>20</v>
      </c>
      <c r="AU114" s="53" t="inlineStr">
        <is>
          <t>Covered</t>
        </is>
      </c>
      <c r="AV114" s="53" t="inlineStr">
        <is>
          <t>IRIS0662</t>
        </is>
      </c>
      <c r="AW114" s="53" t="inlineStr">
        <is>
          <t>Harshal Shah</t>
        </is>
      </c>
      <c r="AX114" s="53" t="inlineStr">
        <is>
          <t>Support</t>
        </is>
      </c>
      <c r="AY114" s="53" t="inlineStr">
        <is>
          <t>Customer Success &amp; Support</t>
        </is>
      </c>
      <c r="AZ114" s="53" t="inlineStr">
        <is>
          <t>Customer Success</t>
        </is>
      </c>
      <c r="BA114" s="53" t="n"/>
      <c r="BB114" s="53" t="n"/>
      <c r="BC114" s="53" t="inlineStr">
        <is>
          <t>Employee</t>
        </is>
      </c>
      <c r="BD114" s="53" t="inlineStr">
        <is>
          <t>Suman Adhikary</t>
        </is>
      </c>
      <c r="BE114" s="53" t="inlineStr">
        <is>
          <t>Suman Adhikary</t>
        </is>
      </c>
      <c r="BF114" s="53" t="inlineStr">
        <is>
          <t>No</t>
        </is>
      </c>
      <c r="BG114" s="53" t="inlineStr">
        <is>
          <t>Support Lead</t>
        </is>
      </c>
      <c r="BH114" s="53" t="inlineStr">
        <is>
          <t>Sr. Manager - Customer Support</t>
        </is>
      </c>
      <c r="BI114" s="53" t="inlineStr">
        <is>
          <t>Yes</t>
        </is>
      </c>
      <c r="BJ114" s="53" t="n">
        <v>4</v>
      </c>
      <c r="BK114" s="53" t="n">
        <v>4</v>
      </c>
      <c r="BL114" s="53" t="n">
        <v>0</v>
      </c>
      <c r="BM114" s="53" t="inlineStr">
        <is>
          <t>Review</t>
        </is>
      </c>
      <c r="BN114" s="53" t="n">
        <v>4</v>
      </c>
      <c r="BO114" s="53" t="n">
        <v>4</v>
      </c>
      <c r="BP114" s="53" t="n">
        <v>0</v>
      </c>
      <c r="BQ114" s="53" t="inlineStr">
        <is>
          <t>Review</t>
        </is>
      </c>
      <c r="BR114" s="53" t="inlineStr">
        <is>
          <t>No</t>
        </is>
      </c>
      <c r="BS114" s="53" t="inlineStr">
        <is>
          <t>L5 – Lead · IC</t>
        </is>
      </c>
      <c r="BT114" s="53" t="inlineStr">
        <is>
          <t>L4</t>
        </is>
      </c>
      <c r="BU114" s="53" t="inlineStr">
        <is>
          <t>Matched from Title Hierarchy · new designation</t>
        </is>
      </c>
      <c r="BV114"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4" s="53" t="n"/>
      <c r="BX114" s="53" t="inlineStr">
        <is>
          <t>Global.</t>
        </is>
      </c>
      <c r="BY114" s="53" t="n"/>
      <c r="BZ114" s="53" t="inlineStr">
        <is>
          <t>IRIS0662</t>
        </is>
      </c>
      <c r="CA114" s="53" t="inlineStr">
        <is>
          <t>Employee</t>
        </is>
      </c>
      <c r="CB114" s="53" t="inlineStr">
        <is>
          <t>Active</t>
        </is>
      </c>
      <c r="CC114" s="53" t="inlineStr">
        <is>
          <t>Harshal Shah</t>
        </is>
      </c>
      <c r="CD114" s="54" t="n">
        <v>40686</v>
      </c>
      <c r="CE114" s="53" t="inlineStr">
        <is>
          <t>Support Lead</t>
        </is>
      </c>
      <c r="CF114" s="53" t="inlineStr">
        <is>
          <t>Leads L1 Support</t>
        </is>
      </c>
      <c r="CG114" s="53" t="inlineStr">
        <is>
          <t>Customer Success &amp; Support</t>
        </is>
      </c>
      <c r="CH114" s="53" t="inlineStr">
        <is>
          <t>Customer Support</t>
        </is>
      </c>
      <c r="CI114" s="53" t="inlineStr">
        <is>
          <t>Support Lead</t>
        </is>
      </c>
      <c r="CJ114" s="53" t="inlineStr">
        <is>
          <t>L5 – Lead · IC</t>
        </is>
      </c>
      <c r="CK114" s="53" t="inlineStr">
        <is>
          <t>Suman Adhikary</t>
        </is>
      </c>
      <c r="CL114" s="53" t="inlineStr">
        <is>
          <t>N-4</t>
        </is>
      </c>
      <c r="CM114" s="53" t="inlineStr">
        <is>
          <t>Manager</t>
        </is>
      </c>
      <c r="CN114" s="53" t="inlineStr">
        <is>
          <t>Regtech</t>
        </is>
      </c>
      <c r="CO114" s="53" t="inlineStr">
        <is>
          <t>Support</t>
        </is>
      </c>
      <c r="CP114" s="53" t="inlineStr">
        <is>
          <t>15 years, 0 months, 28 days</t>
        </is>
      </c>
      <c r="CQ114" s="53" t="inlineStr">
        <is>
          <t>Sr. Manager - Customer Support</t>
        </is>
      </c>
      <c r="CR114" s="53" t="inlineStr">
        <is>
          <t>Yes</t>
        </is>
      </c>
      <c r="CS114" s="53" t="n">
        <v>4</v>
      </c>
      <c r="CT114" s="53" t="inlineStr">
        <is>
          <t>Medium</t>
        </is>
      </c>
      <c r="CU114" s="53" t="inlineStr">
        <is>
          <t>High Impact / Growth Talent</t>
        </is>
      </c>
      <c r="CV114" s="53" t="n"/>
      <c r="CW114" s="53" t="n"/>
      <c r="CX114" s="53" t="inlineStr">
        <is>
          <t>Yes</t>
        </is>
      </c>
      <c r="CY114" s="53" t="inlineStr">
        <is>
          <t>Nelson Paul</t>
        </is>
      </c>
      <c r="CZ114" s="53" t="inlineStr">
        <is>
          <t>Customer success methods; communication &amp; de-escalation; People management: goal-setting &amp; feedback, 1:1 coaching, performance conversations</t>
        </is>
      </c>
      <c r="DA114" s="53" t="inlineStr">
        <is>
          <t>Leadership development: strategic thinking, cross-functional influence, financial/business acumen, succession &amp; talent development, change management, client  communication</t>
        </is>
      </c>
      <c r="DB114" s="53" t="inlineStr">
        <is>
          <t>Title to be standardized to:: Sr. Manager - Customer Support</t>
        </is>
      </c>
      <c r="DC114" s="53" t="n"/>
      <c r="DD114" s="53" t="n"/>
      <c r="DE114" s="53" t="n"/>
      <c r="DF114" s="53" t="n"/>
      <c r="DG114" s="53" t="n"/>
      <c r="DH114" s="53" t="n"/>
      <c r="DI114" s="53" t="n"/>
      <c r="DJ114" s="53" t="n"/>
      <c r="DK114" s="53" t="n"/>
      <c r="DL114" s="53" t="n"/>
      <c r="DM114" s="53" t="n"/>
      <c r="DN114" s="53" t="n"/>
      <c r="DO114" s="53" t="n"/>
      <c r="DP114" s="53" t="n"/>
      <c r="DQ114" s="53" t="n"/>
      <c r="DR114" s="53" t="n"/>
      <c r="DS114" s="53" t="n"/>
      <c r="DT114" s="53" t="n"/>
      <c r="DU114" s="53" t="n"/>
      <c r="DV114" s="53" t="n"/>
      <c r="DW114" s="53" t="n"/>
      <c r="DX114" s="53" t="n"/>
      <c r="DY114" s="53" t="n"/>
      <c r="DZ114" s="53" t="n"/>
      <c r="EA114" s="53" t="n"/>
      <c r="EB114" s="53" t="n"/>
      <c r="EC114" s="53" t="n"/>
      <c r="ED114" s="53" t="n"/>
      <c r="EE114" s="53" t="n"/>
      <c r="EF114" s="53" t="n"/>
      <c r="EG114" s="53" t="n"/>
      <c r="EH114" s="53" t="n"/>
      <c r="EI114" s="53" t="n"/>
      <c r="EJ114" s="53" t="n"/>
      <c r="EK114" s="53" t="n"/>
      <c r="EL114" s="53" t="n"/>
      <c r="EM114" s="53" t="n"/>
      <c r="EN114" s="53" t="n"/>
      <c r="EO114" s="53" t="n"/>
      <c r="EP114" s="53" t="n"/>
      <c r="EQ114" s="53" t="n"/>
      <c r="ER114" s="53" t="n"/>
      <c r="ES114" s="53" t="n"/>
      <c r="ET114" s="53" t="n"/>
      <c r="EU114" s="53" t="n"/>
      <c r="EV114" s="53" t="n"/>
      <c r="EW114" s="52" t="n"/>
      <c r="EX114" s="53"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EY114" s="53"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EZ114" s="53"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FA114" s="53"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B114" s="53" t="inlineStr">
        <is>
          <t>• Key challenges: Cross-team dependencies; lack of AI · tooling; use of multiple RDPs.
• Support required: More automation and streamlined processes.</t>
        </is>
      </c>
      <c r="FC114" s="53" t="n"/>
      <c r="FD114" s="53" t="n"/>
      <c r="FE114"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4" s="56" t="n"/>
      <c r="FG114" s="56" t="n"/>
      <c r="FH114" s="56" t="n"/>
      <c r="FI114" s="56" t="inlineStr">
        <is>
          <t>Leads L1 Support</t>
        </is>
      </c>
      <c r="FJ114" s="56" t="inlineStr">
        <is>
          <t>Received · manager annual</t>
        </is>
      </c>
      <c r="FK114" s="56" t="inlineStr">
        <is>
          <t>CARBON Mapping Master · CARBON Talent Mapping · Raw</t>
        </is>
      </c>
      <c r="FL114" s="56" t="n">
        <v>20</v>
      </c>
      <c r="FM114" s="56"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FN114" s="56"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FO114" s="56"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FP114" s="56"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Q114" s="56" t="inlineStr">
        <is>
          <t>• Key challenges: Cross-team dependencies; lack of AI · tooling; use of multiple RDPs.
• Support required: More automation and streamlined processes.</t>
        </is>
      </c>
      <c r="FR114" s="56" t="inlineStr">
        <is>
          <t>Complexity: Evidence reads like B1: Domain support and critical escalations; ensures regulatory filings are accurate and on time → matches the start
Autonomy: Evidence reads like B1: Decides priorities, coordinates other teams, makes calls on escalations for the team → matches the start
Accountability: Evidence reads like B1: Fully responsible for resolutions and customer communication; manages a four-person team → matches the start
Leadership: Evidence reads like B1: States he manages the team and handles its escalations; four reports → matches the start
Business Impact: Moved +1: the survey / manager mapping marks it business-critical and it does work no one else does.</t>
        </is>
      </c>
      <c r="FS114"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114" s="56" t="inlineStr">
        <is>
          <t>Self-identified: Leadership &amp; people management · Communication &amp; presentation · Broader exposure &amp; ownership
For the next role: Leadership &amp; people management · Communication &amp; presentation · Broader exposure &amp; ownership</t>
        </is>
      </c>
      <c r="FU114" s="56" t="inlineStr">
        <is>
          <t>Per-person summary · CARBON Mapping Master</t>
        </is>
      </c>
    </row>
    <row r="115" ht="90" customHeight="1">
      <c r="A115" s="51" t="inlineStr">
        <is>
          <t>◂ Back</t>
        </is>
      </c>
      <c r="B115" s="29" t="inlineStr">
        <is>
          <t>Mapped</t>
        </is>
      </c>
      <c r="C115" s="28" t="inlineStr">
        <is>
          <t>CARBON</t>
        </is>
      </c>
      <c r="D115" s="29" t="inlineStr">
        <is>
          <t>IRIS2081</t>
        </is>
      </c>
      <c r="E115" s="29" t="inlineStr">
        <is>
          <t>Chandra Sekhar Sahu</t>
        </is>
      </c>
      <c r="F115" s="29" t="inlineStr">
        <is>
          <t>Support</t>
        </is>
      </c>
      <c r="G115" s="29" t="inlineStr">
        <is>
          <t>Executive- Customer Support</t>
        </is>
      </c>
      <c r="H115" s="29" t="inlineStr">
        <is>
          <t>Senior Support Executive</t>
        </is>
      </c>
      <c r="I115" s="29" t="inlineStr">
        <is>
          <t>L3 – Professional / Associate</t>
        </is>
      </c>
      <c r="J115" s="29" t="inlineStr">
        <is>
          <t>A3</t>
        </is>
      </c>
      <c r="K115" s="29" t="inlineStr">
        <is>
          <t>▲ Up</t>
        </is>
      </c>
      <c r="L115" s="29" t="inlineStr">
        <is>
          <t>Customer Success &amp; Support</t>
        </is>
      </c>
      <c r="M115" s="29" t="inlineStr">
        <is>
          <t>Application &amp; Product Support</t>
        </is>
      </c>
      <c r="N115" s="29" t="n"/>
      <c r="O115" s="29" t="n">
        <v>20</v>
      </c>
      <c r="P115" s="28" t="inlineStr">
        <is>
          <t>P2</t>
        </is>
      </c>
      <c r="Q115" s="29" t="inlineStr">
        <is>
          <t>Developing</t>
        </is>
      </c>
      <c r="R115" s="29" t="inlineStr">
        <is>
          <t>3 Apply</t>
        </is>
      </c>
      <c r="S115" s="29" t="inlineStr">
        <is>
          <t>2–4 yrs</t>
        </is>
      </c>
      <c r="T115" s="29" t="inlineStr">
        <is>
          <t>3–5 · 2–5</t>
        </is>
      </c>
      <c r="U115" s="29" t="inlineStr">
        <is>
          <t>Support / CS Executive</t>
        </is>
      </c>
      <c r="V115" s="29" t="inlineStr">
        <is>
          <t>IRIS Vs Competitor Benchmark — SaaS customer-success ladder: Associate CSM · Regnology: Product Support Specialist · Reg Reporting · IRIS Vs Competitor Benchmark — support tiers: L2 Application Support</t>
        </is>
      </c>
      <c r="W115" s="29" t="inlineStr">
        <is>
          <t>TSIA frameworks and benchmarks; ITIL 4 service desk; Gainsight customer-success practice</t>
        </is>
      </c>
      <c r="X115" s="29" t="inlineStr">
        <is>
          <t>Core 2 · Future 2 · Functional 3 · Leadership not scored</t>
        </is>
      </c>
      <c r="Y115" s="52" t="n">
        <v>254</v>
      </c>
      <c r="Z115" s="53" t="inlineStr">
        <is>
          <t>IRIS2081</t>
        </is>
      </c>
      <c r="AA115" s="53" t="inlineStr">
        <is>
          <t>Employee</t>
        </is>
      </c>
      <c r="AB115" s="53" t="inlineStr">
        <is>
          <t>Active</t>
        </is>
      </c>
      <c r="AC115" s="53" t="inlineStr">
        <is>
          <t>Chandra Sekhar Sahu</t>
        </is>
      </c>
      <c r="AD115" s="54" t="n">
        <v>44893</v>
      </c>
      <c r="AE115" s="53" t="inlineStr">
        <is>
          <t>Executive- Customer Support</t>
        </is>
      </c>
      <c r="AF115" s="53" t="inlineStr">
        <is>
          <t>B.Com</t>
        </is>
      </c>
      <c r="AG115" s="53" t="inlineStr">
        <is>
          <t>Harshal Shah</t>
        </is>
      </c>
      <c r="AH115" s="53" t="inlineStr">
        <is>
          <t>N-5</t>
        </is>
      </c>
      <c r="AI115" s="53" t="inlineStr">
        <is>
          <t>Individual Contributor</t>
        </is>
      </c>
      <c r="AJ115" s="53" t="inlineStr">
        <is>
          <t>1 years, 8 months, 0 days</t>
        </is>
      </c>
      <c r="AK115" s="53" t="inlineStr">
        <is>
          <t>3 years, 8 months, 28 days</t>
        </is>
      </c>
      <c r="AL115" s="53" t="inlineStr">
        <is>
          <t>Regtech</t>
        </is>
      </c>
      <c r="AM115" s="53" t="inlineStr">
        <is>
          <t>CARBON</t>
        </is>
      </c>
      <c r="AN115" s="53" t="inlineStr">
        <is>
          <t>Support</t>
        </is>
      </c>
      <c r="AO115" s="53" t="inlineStr">
        <is>
          <t>Product Support</t>
        </is>
      </c>
      <c r="AP115" s="53" t="inlineStr">
        <is>
          <t>No</t>
        </is>
      </c>
      <c r="AQ115" s="53" t="inlineStr">
        <is>
          <t>Product/Project</t>
        </is>
      </c>
      <c r="AR115" s="53" t="inlineStr">
        <is>
          <t>Domain Support</t>
        </is>
      </c>
      <c r="AS115" s="53" t="inlineStr">
        <is>
          <t>Non-technical</t>
        </is>
      </c>
      <c r="AT115" s="53" t="n">
        <v>20</v>
      </c>
      <c r="AU115" s="53" t="inlineStr">
        <is>
          <t>Covered</t>
        </is>
      </c>
      <c r="AV115" s="53" t="inlineStr">
        <is>
          <t>IRIS2081</t>
        </is>
      </c>
      <c r="AW115" s="53" t="inlineStr">
        <is>
          <t>Chandra Sekhar Sahu</t>
        </is>
      </c>
      <c r="AX115" s="53" t="inlineStr">
        <is>
          <t>Support</t>
        </is>
      </c>
      <c r="AY115" s="53" t="inlineStr">
        <is>
          <t>Customer Success &amp; Support</t>
        </is>
      </c>
      <c r="AZ115" s="53" t="inlineStr">
        <is>
          <t>Customer Support</t>
        </is>
      </c>
      <c r="BA115" s="53" t="n"/>
      <c r="BB115" s="53" t="n"/>
      <c r="BC115" s="53" t="inlineStr">
        <is>
          <t>Employee</t>
        </is>
      </c>
      <c r="BD115" s="53" t="inlineStr">
        <is>
          <t>Harshal Shah</t>
        </is>
      </c>
      <c r="BE115" s="53" t="inlineStr">
        <is>
          <t>Harshal Shah</t>
        </is>
      </c>
      <c r="BF115" s="53" t="inlineStr">
        <is>
          <t>No</t>
        </is>
      </c>
      <c r="BG115" s="53" t="inlineStr">
        <is>
          <t>Executive- Customer Support</t>
        </is>
      </c>
      <c r="BH115" s="53" t="inlineStr">
        <is>
          <t>Customer Support Specialist</t>
        </is>
      </c>
      <c r="BI115" s="53" t="inlineStr">
        <is>
          <t>Yes</t>
        </is>
      </c>
      <c r="BJ115" s="53" t="inlineStr">
        <is>
          <t>—</t>
        </is>
      </c>
      <c r="BK115" s="53" t="inlineStr">
        <is>
          <t>—</t>
        </is>
      </c>
      <c r="BL115" s="53" t="inlineStr">
        <is>
          <t>—</t>
        </is>
      </c>
      <c r="BM115" s="53" t="inlineStr">
        <is>
          <t>Not a manager</t>
        </is>
      </c>
      <c r="BN115" s="53" t="inlineStr">
        <is>
          <t>—</t>
        </is>
      </c>
      <c r="BO115" s="53" t="inlineStr">
        <is>
          <t>—</t>
        </is>
      </c>
      <c r="BP115" s="53" t="inlineStr">
        <is>
          <t>—</t>
        </is>
      </c>
      <c r="BQ115" s="53" t="inlineStr">
        <is>
          <t>Not a manager</t>
        </is>
      </c>
      <c r="BR115" s="53" t="inlineStr">
        <is>
          <t>—</t>
        </is>
      </c>
      <c r="BS115" s="53" t="inlineStr">
        <is>
          <t>L3 – Professional / Associate</t>
        </is>
      </c>
      <c r="BT115" s="53" t="inlineStr">
        <is>
          <t>L2</t>
        </is>
      </c>
      <c r="BU115" s="53" t="inlineStr">
        <is>
          <t>Matched from Title Hierarchy · new designation</t>
        </is>
      </c>
      <c r="BV115"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5" s="53" t="n"/>
      <c r="BX115" s="53" t="inlineStr">
        <is>
          <t>Global.</t>
        </is>
      </c>
      <c r="BY115" s="53" t="n"/>
      <c r="BZ115" s="53" t="inlineStr">
        <is>
          <t>IRIS2081</t>
        </is>
      </c>
      <c r="CA115" s="53" t="inlineStr">
        <is>
          <t>Employee</t>
        </is>
      </c>
      <c r="CB115" s="53" t="inlineStr">
        <is>
          <t>Active</t>
        </is>
      </c>
      <c r="CC115" s="53" t="inlineStr">
        <is>
          <t>Chandra Sekhar Sahu</t>
        </is>
      </c>
      <c r="CD115" s="54" t="n">
        <v>44893</v>
      </c>
      <c r="CE115" s="53" t="inlineStr">
        <is>
          <t>Executive- Customer Support</t>
        </is>
      </c>
      <c r="CF115" s="53" t="inlineStr">
        <is>
          <t>L1 support</t>
        </is>
      </c>
      <c r="CG115" s="53" t="inlineStr">
        <is>
          <t>Customer Success &amp; Support</t>
        </is>
      </c>
      <c r="CH115" s="53" t="inlineStr">
        <is>
          <t>Customer Support</t>
        </is>
      </c>
      <c r="CI115" s="53" t="inlineStr">
        <is>
          <t>Customer Support Specialist</t>
        </is>
      </c>
      <c r="CJ115" s="53" t="inlineStr">
        <is>
          <t>L3 – Professional / Associate</t>
        </is>
      </c>
      <c r="CK115" s="53" t="inlineStr">
        <is>
          <t>Harshal Shah</t>
        </is>
      </c>
      <c r="CL115" s="53" t="inlineStr">
        <is>
          <t>N-5</t>
        </is>
      </c>
      <c r="CM115" s="53" t="inlineStr">
        <is>
          <t>Individual Contributor</t>
        </is>
      </c>
      <c r="CN115" s="53" t="inlineStr">
        <is>
          <t>Regtech</t>
        </is>
      </c>
      <c r="CO115" s="53" t="inlineStr">
        <is>
          <t>Support</t>
        </is>
      </c>
      <c r="CP115" s="53" t="inlineStr">
        <is>
          <t>5 years, 2 months, 23 days</t>
        </is>
      </c>
      <c r="CQ115" s="53" t="inlineStr">
        <is>
          <t>Customer Support Specialist</t>
        </is>
      </c>
      <c r="CR115" s="53" t="inlineStr">
        <is>
          <t>Yes</t>
        </is>
      </c>
      <c r="CS115" s="53" t="n">
        <v>3</v>
      </c>
      <c r="CT115" s="53" t="inlineStr">
        <is>
          <t>Medium</t>
        </is>
      </c>
      <c r="CU115" s="53" t="inlineStr">
        <is>
          <t>Trusted Professional</t>
        </is>
      </c>
      <c r="CV115" s="53" t="n"/>
      <c r="CW115" s="53" t="n"/>
      <c r="CX115" s="53" t="n"/>
      <c r="CY115" s="53" t="n"/>
      <c r="CZ115" s="53" t="inlineStr">
        <is>
          <t>Customer success methods; communication &amp; de-escalation; product/domain depth; ticketing &amp; SLA tools</t>
        </is>
      </c>
      <c r="DA115" s="53" t="inlineStr">
        <is>
          <t>Transition to leadership: people management &amp; delegation, mentoring/coaching, project ownership &amp; stakeholder management, prioritisation under ambiguity, presentation &amp; influence skills</t>
        </is>
      </c>
      <c r="DB115" s="53" t="inlineStr">
        <is>
          <t>Title to be changed to Customer Support Specialist</t>
        </is>
      </c>
      <c r="DC115" s="53" t="n"/>
      <c r="DD115" s="53" t="n"/>
      <c r="DE115" s="53" t="n"/>
      <c r="DF115" s="53" t="n"/>
      <c r="DG115" s="53" t="n"/>
      <c r="DH115" s="53" t="n"/>
      <c r="DI115" s="53" t="n"/>
      <c r="DJ115" s="53" t="n"/>
      <c r="DK115" s="53" t="n"/>
      <c r="DL115" s="53" t="n"/>
      <c r="DM115" s="53" t="n"/>
      <c r="DN115" s="53" t="n"/>
      <c r="DO115" s="53" t="n"/>
      <c r="DP115" s="53" t="n"/>
      <c r="DQ115" s="53" t="n"/>
      <c r="DR115" s="53" t="n"/>
      <c r="DS115" s="53" t="n"/>
      <c r="DT115" s="53" t="n"/>
      <c r="DU115" s="53" t="n"/>
      <c r="DV115" s="53" t="n"/>
      <c r="DW115" s="53" t="n"/>
      <c r="DX115" s="53" t="n"/>
      <c r="DY115" s="53" t="n"/>
      <c r="DZ115" s="53" t="n"/>
      <c r="EA115" s="53" t="n"/>
      <c r="EB115" s="53" t="n"/>
      <c r="EC115" s="53" t="n"/>
      <c r="ED115" s="53" t="n"/>
      <c r="EE115" s="53" t="n"/>
      <c r="EF115" s="53" t="n"/>
      <c r="EG115" s="53" t="n"/>
      <c r="EH115" s="53" t="n"/>
      <c r="EI115" s="53" t="n"/>
      <c r="EJ115" s="53" t="n"/>
      <c r="EK115" s="53" t="n"/>
      <c r="EL115" s="53" t="n"/>
      <c r="EM115" s="53" t="n"/>
      <c r="EN115" s="53" t="n"/>
      <c r="EO115" s="53" t="n"/>
      <c r="EP115" s="53" t="n"/>
      <c r="EQ115" s="53" t="n"/>
      <c r="ER115" s="53" t="n"/>
      <c r="ES115" s="53" t="n"/>
      <c r="ET115" s="53" t="n"/>
      <c r="EU115" s="53" t="n"/>
      <c r="EV115" s="53" t="n"/>
      <c r="EW115" s="52" t="n"/>
      <c r="EX115" s="53"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EY115" s="53"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EZ115" s="53"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FA115" s="53" t="inlineStr">
        <is>
          <t>• Development priorities: Wants complete XBRL knowledge to move into the next role.
• Learning and Development Need: Building complete product knowledge by learning from seniors, asking questions, and practising regularly cited as making a difference.</t>
        </is>
      </c>
      <c r="FB115" s="53" t="inlineStr">
        <is>
          <t>• Key challenges: Slow laptop; using RDP.
• Support required: Training sessions arranged for product knowledge and personal development.</t>
        </is>
      </c>
      <c r="FC115" s="53" t="n"/>
      <c r="FD115" s="53" t="n"/>
      <c r="FE115"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5" s="56" t="n"/>
      <c r="FG115" s="56" t="n"/>
      <c r="FH115" s="56" t="n"/>
      <c r="FI115" s="56" t="inlineStr">
        <is>
          <t>L1 support</t>
        </is>
      </c>
      <c r="FJ115" s="56" t="inlineStr">
        <is>
          <t>Received · manager annual</t>
        </is>
      </c>
      <c r="FK115" s="56" t="inlineStr">
        <is>
          <t>CARBON Mapping Master · CARBON Talent Mapping · Raw</t>
        </is>
      </c>
      <c r="FL115" s="56" t="n">
        <v>20</v>
      </c>
      <c r="FM115" s="56"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FN115" s="56"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FO115" s="56"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FP115" s="56" t="inlineStr">
        <is>
          <t>• Development priorities: Wants complete XBRL knowledge to move into the next role.
• Learning and Development Need: Building complete product knowledge by learning from seniors, asking questions, and practising regularly cited as making a difference.</t>
        </is>
      </c>
      <c r="FQ115" s="56" t="inlineStr">
        <is>
          <t>• Key challenges: Slow laptop; using RDP.
• Support required: Training sessions arranged for product knowledge and personal development.</t>
        </is>
      </c>
      <c r="FR115" s="56" t="inlineStr">
        <is>
          <t>Complexity: Evidence reads like A3: Researches and troubleshoots DM platform issues, tests platform, suggests features; HTML and XBRL knowledge → moved up 0.5
Autonomy: Evidence reads like A2: Researches and resolves issues independently; no wider decisions stated → matches the start
Accountability: Evidence reads like A2: Correctness of own resolutions to clients and internal teams → matches the start
Leadership: Evidence reads like A1: No guidance of others described → matches the start
Business Impact: No survey or manager-mapping signal on criticality: kept at the start point.</t>
        </is>
      </c>
      <c r="FS11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5" s="56" t="inlineStr">
        <is>
          <t>Self-identified: Domain, regulatory &amp; XBRL · Client, sales &amp; stakeholders
For the next role: Domain, regulatory &amp; XBRL · Client, sales &amp; stakeholders</t>
        </is>
      </c>
      <c r="FU115" s="56" t="inlineStr">
        <is>
          <t>Per-person summary · CARBON Mapping Master</t>
        </is>
      </c>
    </row>
    <row r="116" ht="90" customHeight="1">
      <c r="A116" s="51" t="inlineStr">
        <is>
          <t>◂ Back</t>
        </is>
      </c>
      <c r="B116" s="29" t="inlineStr">
        <is>
          <t>Mapped</t>
        </is>
      </c>
      <c r="C116" s="28" t="inlineStr">
        <is>
          <t>CARBON</t>
        </is>
      </c>
      <c r="D116" s="29" t="inlineStr">
        <is>
          <t>IRIS1951</t>
        </is>
      </c>
      <c r="E116" s="29" t="inlineStr">
        <is>
          <t>Kiran Pawar</t>
        </is>
      </c>
      <c r="F116" s="29" t="inlineStr">
        <is>
          <t>Support</t>
        </is>
      </c>
      <c r="G116" s="29" t="inlineStr">
        <is>
          <t>Executive- Product Support</t>
        </is>
      </c>
      <c r="H116" s="29" t="inlineStr">
        <is>
          <t>Senior Support Executive</t>
        </is>
      </c>
      <c r="I116" s="29" t="inlineStr">
        <is>
          <t>L3 – Professional / Associate</t>
        </is>
      </c>
      <c r="J116" s="29" t="inlineStr">
        <is>
          <t>A3</t>
        </is>
      </c>
      <c r="K116" s="29" t="inlineStr">
        <is>
          <t>▲ Up</t>
        </is>
      </c>
      <c r="L116" s="29" t="inlineStr">
        <is>
          <t>Customer Success &amp; Support</t>
        </is>
      </c>
      <c r="M116" s="29" t="inlineStr">
        <is>
          <t>Application &amp; Product Support</t>
        </is>
      </c>
      <c r="N116" s="29" t="inlineStr">
        <is>
          <t>• Confirm the reporting line — Manager</t>
        </is>
      </c>
      <c r="O116" s="29" t="n">
        <v>20</v>
      </c>
      <c r="P116" s="28" t="inlineStr">
        <is>
          <t>P2</t>
        </is>
      </c>
      <c r="Q116" s="29" t="inlineStr">
        <is>
          <t>Developing</t>
        </is>
      </c>
      <c r="R116" s="29" t="inlineStr">
        <is>
          <t>3 Apply</t>
        </is>
      </c>
      <c r="S116" s="29" t="inlineStr">
        <is>
          <t>2–4 yrs</t>
        </is>
      </c>
      <c r="T116" s="29" t="inlineStr">
        <is>
          <t>3–5 · 2–5</t>
        </is>
      </c>
      <c r="U116" s="29" t="inlineStr">
        <is>
          <t>Support / CS Executive</t>
        </is>
      </c>
      <c r="V116" s="29" t="inlineStr">
        <is>
          <t>IRIS Vs Competitor Benchmark — SaaS customer-success ladder: Associate CSM · Regnology: Product Support Specialist · Reg Reporting · IRIS Vs Competitor Benchmark — support tiers: L2 Application Support</t>
        </is>
      </c>
      <c r="W116" s="29" t="inlineStr">
        <is>
          <t>TSIA frameworks and benchmarks; ITIL 4 service desk; Gainsight customer-success practice</t>
        </is>
      </c>
      <c r="X116" s="29" t="inlineStr">
        <is>
          <t>Core 2 · Future 2 · Functional 3 · Leadership not scored</t>
        </is>
      </c>
      <c r="Y116" s="52" t="n">
        <v>197</v>
      </c>
      <c r="Z116" s="53" t="inlineStr">
        <is>
          <t>IRIS1951</t>
        </is>
      </c>
      <c r="AA116" s="53" t="inlineStr">
        <is>
          <t>Employee</t>
        </is>
      </c>
      <c r="AB116" s="53" t="inlineStr">
        <is>
          <t>Active</t>
        </is>
      </c>
      <c r="AC116" s="53" t="inlineStr">
        <is>
          <t>Kiran Pawar</t>
        </is>
      </c>
      <c r="AD116" s="54" t="n">
        <v>44445</v>
      </c>
      <c r="AE116" s="53" t="inlineStr">
        <is>
          <t>Executive- Product Support</t>
        </is>
      </c>
      <c r="AF116" s="53" t="inlineStr">
        <is>
          <t>B.Com</t>
        </is>
      </c>
      <c r="AG116" s="53" t="inlineStr">
        <is>
          <t>Harshal Shah</t>
        </is>
      </c>
      <c r="AH116" s="53" t="inlineStr">
        <is>
          <t>N-5</t>
        </is>
      </c>
      <c r="AI116" s="53" t="inlineStr">
        <is>
          <t>Manager</t>
        </is>
      </c>
      <c r="AJ116" s="53" t="inlineStr">
        <is>
          <t>3 years, 7 months, 0 days</t>
        </is>
      </c>
      <c r="AK116" s="53" t="inlineStr">
        <is>
          <t>4 years, 11 months, 19 days</t>
        </is>
      </c>
      <c r="AL116" s="53" t="inlineStr">
        <is>
          <t>Regtech</t>
        </is>
      </c>
      <c r="AM116" s="53" t="inlineStr">
        <is>
          <t>CARBON</t>
        </is>
      </c>
      <c r="AN116" s="53" t="inlineStr">
        <is>
          <t>Support</t>
        </is>
      </c>
      <c r="AO116" s="53" t="inlineStr">
        <is>
          <t>Product Support</t>
        </is>
      </c>
      <c r="AP116" s="53" t="inlineStr">
        <is>
          <t>No</t>
        </is>
      </c>
      <c r="AQ116" s="53" t="inlineStr">
        <is>
          <t>Product/Project</t>
        </is>
      </c>
      <c r="AR116" s="53" t="inlineStr">
        <is>
          <t>Domain Support</t>
        </is>
      </c>
      <c r="AS116" s="53" t="inlineStr">
        <is>
          <t>Non-technical</t>
        </is>
      </c>
      <c r="AT116" s="53" t="n">
        <v>20</v>
      </c>
      <c r="AU116" s="53" t="inlineStr">
        <is>
          <t>Covered</t>
        </is>
      </c>
      <c r="AV116" s="53" t="inlineStr">
        <is>
          <t>IRIS1951</t>
        </is>
      </c>
      <c r="AW116" s="53" t="inlineStr">
        <is>
          <t>Kiran Pawar</t>
        </is>
      </c>
      <c r="AX116" s="53" t="inlineStr">
        <is>
          <t>Support</t>
        </is>
      </c>
      <c r="AY116" s="53" t="inlineStr">
        <is>
          <t>Customer Success &amp; Support</t>
        </is>
      </c>
      <c r="AZ116" s="53" t="inlineStr">
        <is>
          <t>Customer Success</t>
        </is>
      </c>
      <c r="BA116" s="53" t="n"/>
      <c r="BB116" s="53" t="n"/>
      <c r="BC116" s="53" t="inlineStr">
        <is>
          <t>Employee</t>
        </is>
      </c>
      <c r="BD116" s="53" t="inlineStr">
        <is>
          <t>Harshal Shah</t>
        </is>
      </c>
      <c r="BE116" s="53" t="inlineStr">
        <is>
          <t>Harshal Shah</t>
        </is>
      </c>
      <c r="BF116" s="53" t="inlineStr">
        <is>
          <t>No</t>
        </is>
      </c>
      <c r="BG116" s="53" t="inlineStr">
        <is>
          <t>Executive- Product Support</t>
        </is>
      </c>
      <c r="BH116" s="53" t="inlineStr">
        <is>
          <t>Sr.Customer Support Specialist</t>
        </is>
      </c>
      <c r="BI116" s="53" t="inlineStr">
        <is>
          <t>Yes</t>
        </is>
      </c>
      <c r="BJ116" s="53" t="n">
        <v>1</v>
      </c>
      <c r="BK116" s="53" t="n">
        <v>1</v>
      </c>
      <c r="BL116" s="53" t="n">
        <v>0</v>
      </c>
      <c r="BM116" s="53" t="inlineStr">
        <is>
          <t>Consolidate / flatten</t>
        </is>
      </c>
      <c r="BN116" s="53" t="n">
        <v>1</v>
      </c>
      <c r="BO116" s="53" t="n">
        <v>1</v>
      </c>
      <c r="BP116" s="53" t="n">
        <v>0</v>
      </c>
      <c r="BQ116" s="53" t="inlineStr">
        <is>
          <t>Consolidate / flatten</t>
        </is>
      </c>
      <c r="BR116" s="53" t="inlineStr">
        <is>
          <t>No</t>
        </is>
      </c>
      <c r="BS116" s="53" t="inlineStr">
        <is>
          <t>L3 – Professional / Associate</t>
        </is>
      </c>
      <c r="BT116" s="53" t="inlineStr">
        <is>
          <t>L2</t>
        </is>
      </c>
      <c r="BU116" s="53" t="inlineStr">
        <is>
          <t>Designation refined from Raw tab Comments column · this update</t>
        </is>
      </c>
      <c r="BV116"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6" s="53" t="n"/>
      <c r="BX116" s="53" t="inlineStr">
        <is>
          <t>Global.</t>
        </is>
      </c>
      <c r="BY116" s="53" t="n"/>
      <c r="BZ116" s="53" t="inlineStr">
        <is>
          <t>IRIS1951</t>
        </is>
      </c>
      <c r="CA116" s="53" t="inlineStr">
        <is>
          <t>Employee</t>
        </is>
      </c>
      <c r="CB116" s="53" t="inlineStr">
        <is>
          <t>Active</t>
        </is>
      </c>
      <c r="CC116" s="53" t="inlineStr">
        <is>
          <t>Kiran Pawar</t>
        </is>
      </c>
      <c r="CD116" s="54" t="n">
        <v>44445</v>
      </c>
      <c r="CE116" s="53" t="inlineStr">
        <is>
          <t>Executive- Product Support</t>
        </is>
      </c>
      <c r="CF116" s="53" t="inlineStr">
        <is>
          <t>L1 support</t>
        </is>
      </c>
      <c r="CG116" s="53" t="inlineStr">
        <is>
          <t>Customer Success &amp; Support</t>
        </is>
      </c>
      <c r="CH116" s="53" t="inlineStr">
        <is>
          <t>Customer Support</t>
        </is>
      </c>
      <c r="CI116" s="53" t="inlineStr">
        <is>
          <t>Sr.Customer Support Specialist</t>
        </is>
      </c>
      <c r="CJ116" s="53" t="inlineStr">
        <is>
          <t>L3 – Professional / Associate</t>
        </is>
      </c>
      <c r="CK116" s="53" t="inlineStr">
        <is>
          <t>Harshal Shah</t>
        </is>
      </c>
      <c r="CL116" s="53" t="inlineStr">
        <is>
          <t>N-5</t>
        </is>
      </c>
      <c r="CM116" s="53" t="inlineStr">
        <is>
          <t>Individual Contributor</t>
        </is>
      </c>
      <c r="CN116" s="53" t="inlineStr">
        <is>
          <t>Regtech</t>
        </is>
      </c>
      <c r="CO116" s="53" t="inlineStr">
        <is>
          <t>Support</t>
        </is>
      </c>
      <c r="CP116" s="53" t="inlineStr">
        <is>
          <t>8 years, 4 months, 14 days</t>
        </is>
      </c>
      <c r="CQ116" s="53" t="inlineStr">
        <is>
          <t>Senior Customer Support Specialist</t>
        </is>
      </c>
      <c r="CR116" s="53" t="inlineStr">
        <is>
          <t>Yes</t>
        </is>
      </c>
      <c r="CS116" s="53" t="n">
        <v>4</v>
      </c>
      <c r="CT116" s="53" t="inlineStr">
        <is>
          <t>Medium</t>
        </is>
      </c>
      <c r="CU116" s="53" t="inlineStr">
        <is>
          <t>High Impact / Growth Talent</t>
        </is>
      </c>
      <c r="CV116" s="53" t="n"/>
      <c r="CW116" s="53" t="inlineStr">
        <is>
          <t>No</t>
        </is>
      </c>
      <c r="CX116" s="53" t="inlineStr">
        <is>
          <t>Yes</t>
        </is>
      </c>
      <c r="CY116" s="53" t="n"/>
      <c r="CZ116" s="53" t="inlineStr">
        <is>
          <t>Customer success methods; communication &amp; de-escalation; product/domain depth; ticketing &amp; SLA tools | People management: goal-setting &amp; feedback, 1:1 coaching, performance conversations</t>
        </is>
      </c>
      <c r="DA116" s="53" t="inlineStr">
        <is>
          <t>Leadership development: strategic thinking, cross-functional influence, financial/business acumen, succession &amp; talent development, change management, executive communication</t>
        </is>
      </c>
      <c r="DB116" s="53" t="inlineStr">
        <is>
          <t>IC Role - Not a MANAGER, He should take up additional responsibilities. Title to be standardized to: Sr.Customer Support Specialist</t>
        </is>
      </c>
      <c r="DC116" s="53" t="n"/>
      <c r="DD116" s="53" t="n"/>
      <c r="DE116" s="53" t="n"/>
      <c r="DF116" s="53" t="n"/>
      <c r="DG116" s="53" t="n"/>
      <c r="DH116" s="53" t="n"/>
      <c r="DI116" s="53" t="n"/>
      <c r="DJ116" s="53" t="n"/>
      <c r="DK116" s="53" t="n"/>
      <c r="DL116" s="53" t="n"/>
      <c r="DM116" s="53" t="n"/>
      <c r="DN116" s="53" t="n"/>
      <c r="DO116" s="53" t="n"/>
      <c r="DP116" s="53" t="n"/>
      <c r="DQ116" s="53" t="n"/>
      <c r="DR116" s="53" t="n"/>
      <c r="DS116" s="53" t="n"/>
      <c r="DT116" s="53" t="n"/>
      <c r="DU116" s="53" t="n"/>
      <c r="DV116" s="53" t="n"/>
      <c r="DW116" s="53" t="n"/>
      <c r="DX116" s="53" t="n"/>
      <c r="DY116" s="53" t="n"/>
      <c r="DZ116" s="53" t="n"/>
      <c r="EA116" s="53" t="n"/>
      <c r="EB116" s="53" t="n"/>
      <c r="EC116" s="53" t="n"/>
      <c r="ED116" s="53" t="n"/>
      <c r="EE116" s="53" t="n"/>
      <c r="EF116" s="53" t="n"/>
      <c r="EG116" s="53" t="n"/>
      <c r="EH116" s="53" t="n"/>
      <c r="EI116" s="53" t="n"/>
      <c r="EJ116" s="53" t="n"/>
      <c r="EK116" s="53" t="n"/>
      <c r="EL116" s="53" t="n"/>
      <c r="EM116" s="53" t="n"/>
      <c r="EN116" s="53" t="n"/>
      <c r="EO116" s="53" t="n"/>
      <c r="EP116" s="53" t="n"/>
      <c r="EQ116" s="53" t="n"/>
      <c r="ER116" s="53" t="n"/>
      <c r="ES116" s="53" t="n"/>
      <c r="ET116" s="53" t="n"/>
      <c r="EU116" s="53" t="n"/>
      <c r="EV116" s="53" t="n"/>
      <c r="EW116" s="52" t="n"/>
      <c r="EX116" s="53"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EY116" s="53"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EZ116" s="53"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FA116" s="53" t="inlineStr">
        <is>
          <t>• Development priorities: Wants faster collaboration and response from dependent teams, and stronger product-process knowledge and proactive communication skills.</t>
        </is>
      </c>
      <c r="FB116" s="53" t="inlineStr">
        <is>
          <t>• Key challenges: Dependency on other teams; supporting new DM product features.
• Support required: Faster collaboration and response from dependent teams.</t>
        </is>
      </c>
      <c r="FC116" s="53" t="n"/>
      <c r="FD116" s="53" t="n"/>
      <c r="FE116"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6" s="56" t="n"/>
      <c r="FG116" s="56" t="n"/>
      <c r="FH116" s="56" t="n"/>
      <c r="FI116" s="56" t="inlineStr">
        <is>
          <t>L1 support</t>
        </is>
      </c>
      <c r="FJ116" s="56" t="inlineStr">
        <is>
          <t>Received · manager annual</t>
        </is>
      </c>
      <c r="FK116" s="56" t="inlineStr">
        <is>
          <t>CARBON Mapping Master · CARBON Talent Mapping · Raw</t>
        </is>
      </c>
      <c r="FL116" s="56" t="n">
        <v>20</v>
      </c>
      <c r="FM116" s="56"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FN116" s="56"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FO116" s="56"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FP116" s="56" t="inlineStr">
        <is>
          <t>• Development priorities: Wants faster collaboration and response from dependent teams, and stronger product-process knowledge and proactive communication skills.</t>
        </is>
      </c>
      <c r="FQ116" s="56" t="inlineStr">
        <is>
          <t>• Key challenges: Dependency on other teams; supporting new DM product features.
• Support required: Faster collaboration and response from dependent teams.</t>
        </is>
      </c>
      <c r="FR116" s="56" t="inlineStr">
        <is>
          <t>Complexity: Evidence reads like A3: own survey / KRA answers · summarised by the rater; not quoted → moved up 0.5
Autonomy: Evidence reads like A3: Handles client requests independently; goes to team lead only on escalation → moved up 0.5
Accountability: Evidence reads like A3: Answerable for requirements passed to Product and high-priority client tickets → moved down 0.5
Leadership: Evidence reads like A1: Writes knowledge-base articles; no guidance of others described despite one report → moved down 1
Business Impact: Moved +0.5: the survey / manager mapping marks it business-critical.</t>
        </is>
      </c>
      <c r="FS11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6" s="56" t="inlineStr">
        <is>
          <t>Self-identified: Leadership &amp; people management · Technical depth &amp; architecture
For the next role: Leadership &amp; people management · Technical depth &amp; architecture</t>
        </is>
      </c>
      <c r="FU116" s="56" t="inlineStr">
        <is>
          <t>Per-person summary · CARBON Mapping Master</t>
        </is>
      </c>
    </row>
    <row r="117" ht="90" customHeight="1">
      <c r="A117" s="51" t="inlineStr">
        <is>
          <t>◂ Back</t>
        </is>
      </c>
      <c r="B117" s="29" t="inlineStr">
        <is>
          <t>Mapped</t>
        </is>
      </c>
      <c r="C117" s="28" t="inlineStr">
        <is>
          <t>CARBON</t>
        </is>
      </c>
      <c r="D117" s="29" t="inlineStr">
        <is>
          <t>IRIS2346</t>
        </is>
      </c>
      <c r="E117" s="29" t="inlineStr">
        <is>
          <t>Ravindra Kanojiya</t>
        </is>
      </c>
      <c r="F117" s="29" t="inlineStr">
        <is>
          <t>Support</t>
        </is>
      </c>
      <c r="G117" s="29" t="inlineStr">
        <is>
          <t>Client Support Executive</t>
        </is>
      </c>
      <c r="H117" s="29" t="inlineStr">
        <is>
          <t>Senior Support Executive</t>
        </is>
      </c>
      <c r="I117" s="29" t="inlineStr">
        <is>
          <t>L3 – Professional / Associate</t>
        </is>
      </c>
      <c r="J117" s="29" t="inlineStr">
        <is>
          <t>A3</t>
        </is>
      </c>
      <c r="K117" s="29" t="inlineStr">
        <is>
          <t>▲ Up</t>
        </is>
      </c>
      <c r="L117" s="29" t="inlineStr">
        <is>
          <t>Customer Success &amp; Support</t>
        </is>
      </c>
      <c r="M117" s="29" t="inlineStr">
        <is>
          <t>Application &amp; Product Support</t>
        </is>
      </c>
      <c r="N117" s="29" t="n"/>
      <c r="O117" s="29" t="n">
        <v>20</v>
      </c>
      <c r="P117" s="28" t="inlineStr">
        <is>
          <t>P2</t>
        </is>
      </c>
      <c r="Q117" s="29" t="inlineStr">
        <is>
          <t>Developing</t>
        </is>
      </c>
      <c r="R117" s="29" t="inlineStr">
        <is>
          <t>3 Apply</t>
        </is>
      </c>
      <c r="S117" s="29" t="inlineStr">
        <is>
          <t>2–4 yrs</t>
        </is>
      </c>
      <c r="T117" s="29" t="inlineStr">
        <is>
          <t>3–5 · 2–5</t>
        </is>
      </c>
      <c r="U117" s="29" t="inlineStr">
        <is>
          <t>Support / CS Executive</t>
        </is>
      </c>
      <c r="V117" s="29" t="inlineStr">
        <is>
          <t>IRIS Vs Competitor Benchmark — SaaS customer-success ladder: Associate CSM · Regnology: Product Support Specialist · Reg Reporting · IRIS Vs Competitor Benchmark — support tiers: L2 Application Support</t>
        </is>
      </c>
      <c r="W117" s="29" t="inlineStr">
        <is>
          <t>TSIA frameworks and benchmarks; ITIL 4 service desk; Gainsight customer-success practice</t>
        </is>
      </c>
      <c r="X117" s="29" t="inlineStr">
        <is>
          <t>Core 2 · Future 2 · Functional 3 · Leadership not scored</t>
        </is>
      </c>
      <c r="Y117" s="52" t="n">
        <v>360</v>
      </c>
      <c r="Z117" s="53" t="inlineStr">
        <is>
          <t>IRIS2346</t>
        </is>
      </c>
      <c r="AA117" s="53" t="inlineStr">
        <is>
          <t>Employee</t>
        </is>
      </c>
      <c r="AB117" s="53" t="inlineStr">
        <is>
          <t>Active</t>
        </is>
      </c>
      <c r="AC117" s="53" t="inlineStr">
        <is>
          <t>Ravindra Kanojiya</t>
        </is>
      </c>
      <c r="AD117" s="54" t="n">
        <v>45719</v>
      </c>
      <c r="AE117" s="53" t="inlineStr">
        <is>
          <t>Client Support Executive</t>
        </is>
      </c>
      <c r="AF117" s="53" t="inlineStr">
        <is>
          <t>MBA</t>
        </is>
      </c>
      <c r="AG117" s="53" t="inlineStr">
        <is>
          <t>Kiran Pawar</t>
        </is>
      </c>
      <c r="AH117" s="53" t="inlineStr">
        <is>
          <t>N-6</t>
        </is>
      </c>
      <c r="AI117" s="53" t="inlineStr">
        <is>
          <t>Individual Contributor</t>
        </is>
      </c>
      <c r="AJ117" s="53" t="inlineStr">
        <is>
          <t>6 years, 8 months, 0 days</t>
        </is>
      </c>
      <c r="AK117" s="53" t="inlineStr">
        <is>
          <t>1 years, 5 months, 22 days</t>
        </is>
      </c>
      <c r="AL117" s="53" t="inlineStr">
        <is>
          <t>Regtech</t>
        </is>
      </c>
      <c r="AM117" s="53" t="inlineStr">
        <is>
          <t>CARBON</t>
        </is>
      </c>
      <c r="AN117" s="53" t="inlineStr">
        <is>
          <t>Support</t>
        </is>
      </c>
      <c r="AO117" s="53" t="inlineStr">
        <is>
          <t>Product Support</t>
        </is>
      </c>
      <c r="AP117" s="53" t="inlineStr">
        <is>
          <t>No</t>
        </is>
      </c>
      <c r="AQ117" s="53" t="inlineStr">
        <is>
          <t>Client Engagement</t>
        </is>
      </c>
      <c r="AR117" s="53" t="inlineStr">
        <is>
          <t>Domain Support</t>
        </is>
      </c>
      <c r="AS117" s="53" t="inlineStr">
        <is>
          <t>Non-technical</t>
        </is>
      </c>
      <c r="AT117" s="53" t="n">
        <v>20</v>
      </c>
      <c r="AU117" s="53" t="inlineStr">
        <is>
          <t>Covered</t>
        </is>
      </c>
      <c r="AV117" s="53" t="inlineStr">
        <is>
          <t>IRIS2346</t>
        </is>
      </c>
      <c r="AW117" s="53" t="inlineStr">
        <is>
          <t>Ravindra Kanojiya</t>
        </is>
      </c>
      <c r="AX117" s="53" t="inlineStr">
        <is>
          <t>Support</t>
        </is>
      </c>
      <c r="AY117" s="53" t="inlineStr">
        <is>
          <t>Customer Success &amp; Support</t>
        </is>
      </c>
      <c r="AZ117" s="53" t="inlineStr">
        <is>
          <t>Customer Success</t>
        </is>
      </c>
      <c r="BA117" s="53" t="n"/>
      <c r="BB117" s="53" t="n"/>
      <c r="BC117" s="53" t="inlineStr">
        <is>
          <t>Employee</t>
        </is>
      </c>
      <c r="BD117" s="53" t="inlineStr">
        <is>
          <t>Kiran Pawar</t>
        </is>
      </c>
      <c r="BE117" s="53" t="inlineStr">
        <is>
          <t>Kiran Pawar</t>
        </is>
      </c>
      <c r="BF117" s="53" t="inlineStr">
        <is>
          <t>No</t>
        </is>
      </c>
      <c r="BG117" s="53" t="inlineStr">
        <is>
          <t>Client Support Executive</t>
        </is>
      </c>
      <c r="BH117" s="53" t="inlineStr">
        <is>
          <t>Customer Support Specialist</t>
        </is>
      </c>
      <c r="BI117" s="53" t="inlineStr">
        <is>
          <t>Yes</t>
        </is>
      </c>
      <c r="BJ117" s="53" t="inlineStr">
        <is>
          <t>—</t>
        </is>
      </c>
      <c r="BK117" s="53" t="inlineStr">
        <is>
          <t>—</t>
        </is>
      </c>
      <c r="BL117" s="53" t="inlineStr">
        <is>
          <t>—</t>
        </is>
      </c>
      <c r="BM117" s="53" t="inlineStr">
        <is>
          <t>Not a manager</t>
        </is>
      </c>
      <c r="BN117" s="53" t="inlineStr">
        <is>
          <t>—</t>
        </is>
      </c>
      <c r="BO117" s="53" t="inlineStr">
        <is>
          <t>—</t>
        </is>
      </c>
      <c r="BP117" s="53" t="inlineStr">
        <is>
          <t>—</t>
        </is>
      </c>
      <c r="BQ117" s="53" t="inlineStr">
        <is>
          <t>Not a manager</t>
        </is>
      </c>
      <c r="BR117" s="53" t="inlineStr">
        <is>
          <t>—</t>
        </is>
      </c>
      <c r="BS117" s="53" t="inlineStr">
        <is>
          <t>L3 – Professional / Associate</t>
        </is>
      </c>
      <c r="BT117" s="53" t="inlineStr">
        <is>
          <t>L2</t>
        </is>
      </c>
      <c r="BU117" s="53" t="inlineStr">
        <is>
          <t>Matched from Title Hierarchy · new designation</t>
        </is>
      </c>
      <c r="BV117"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W117" s="53" t="n"/>
      <c r="BX117" s="53" t="inlineStr">
        <is>
          <t>Global.</t>
        </is>
      </c>
      <c r="BY117" s="53" t="n"/>
      <c r="BZ117" s="53" t="inlineStr">
        <is>
          <t>IRIS2346</t>
        </is>
      </c>
      <c r="CA117" s="53" t="inlineStr">
        <is>
          <t>Employee</t>
        </is>
      </c>
      <c r="CB117" s="53" t="inlineStr">
        <is>
          <t>Active</t>
        </is>
      </c>
      <c r="CC117" s="53" t="inlineStr">
        <is>
          <t>Ravindra Kanojiya</t>
        </is>
      </c>
      <c r="CD117" s="54" t="n">
        <v>45719</v>
      </c>
      <c r="CE117" s="53" t="inlineStr">
        <is>
          <t>Client Support Executive</t>
        </is>
      </c>
      <c r="CF117" s="53" t="inlineStr">
        <is>
          <t>L1 support</t>
        </is>
      </c>
      <c r="CG117" s="53" t="inlineStr">
        <is>
          <t>Customer Success &amp; Support</t>
        </is>
      </c>
      <c r="CH117" s="53" t="inlineStr">
        <is>
          <t>Customer Support</t>
        </is>
      </c>
      <c r="CI117" s="53" t="inlineStr">
        <is>
          <t>Client Support Executive</t>
        </is>
      </c>
      <c r="CJ117" s="53" t="inlineStr">
        <is>
          <t>L3 – Professional / Associate</t>
        </is>
      </c>
      <c r="CK117" s="53" t="inlineStr">
        <is>
          <t>Kiran Pawar</t>
        </is>
      </c>
      <c r="CL117" s="53" t="inlineStr">
        <is>
          <t>N-6</t>
        </is>
      </c>
      <c r="CM117" s="53" t="inlineStr">
        <is>
          <t>Individual Contributor</t>
        </is>
      </c>
      <c r="CN117" s="53" t="inlineStr">
        <is>
          <t>Regtech</t>
        </is>
      </c>
      <c r="CO117" s="53" t="inlineStr">
        <is>
          <t>Support</t>
        </is>
      </c>
      <c r="CP117" s="53" t="inlineStr">
        <is>
          <t>7 years, 11 months, 17 days</t>
        </is>
      </c>
      <c r="CQ117" s="53" t="inlineStr">
        <is>
          <t>Customer Support Specialist</t>
        </is>
      </c>
      <c r="CR117" s="53" t="inlineStr">
        <is>
          <t>Yes</t>
        </is>
      </c>
      <c r="CS117" s="53" t="n">
        <v>3</v>
      </c>
      <c r="CT117" s="53" t="inlineStr">
        <is>
          <t>Low</t>
        </is>
      </c>
      <c r="CU117" s="53" t="inlineStr">
        <is>
          <t>Core Contributor</t>
        </is>
      </c>
      <c r="CV117" s="53" t="n"/>
      <c r="CW117" s="53" t="n"/>
      <c r="CX117" s="53" t="n"/>
      <c r="CY117" s="53" t="n"/>
      <c r="CZ117" s="53" t="inlineStr">
        <is>
          <t>Customer success methods; communication &amp; de-escalation; product/domain depth; ticketing &amp; SLA tools</t>
        </is>
      </c>
      <c r="DA117" s="53" t="inlineStr">
        <is>
          <t>Transition to leadership: people management &amp; delegation, mentoring/coaching, project ownership &amp; stakeholder management, prioritisation under ambiguity, presentation &amp; influence skills</t>
        </is>
      </c>
      <c r="DB117" s="53" t="inlineStr">
        <is>
          <t>Title to be standardized to: Customer Support Specialist</t>
        </is>
      </c>
      <c r="DC117" s="53" t="n"/>
      <c r="DD117" s="53" t="n"/>
      <c r="DE117" s="53" t="n"/>
      <c r="DF117" s="53" t="n"/>
      <c r="DG117" s="53" t="n"/>
      <c r="DH117" s="53" t="n"/>
      <c r="DI117" s="53" t="n"/>
      <c r="DJ117" s="53" t="n"/>
      <c r="DK117" s="53" t="n"/>
      <c r="DL117" s="53" t="n"/>
      <c r="DM117" s="53" t="n"/>
      <c r="DN117" s="53" t="n"/>
      <c r="DO117" s="53" t="n"/>
      <c r="DP117" s="53" t="n"/>
      <c r="DQ117" s="53" t="n"/>
      <c r="DR117" s="53" t="n"/>
      <c r="DS117" s="53" t="n"/>
      <c r="DT117" s="53" t="n"/>
      <c r="DU117" s="53" t="n"/>
      <c r="DV117" s="53" t="n"/>
      <c r="DW117" s="53" t="n"/>
      <c r="DX117" s="53" t="n"/>
      <c r="DY117" s="53" t="n"/>
      <c r="DZ117" s="53" t="n"/>
      <c r="EA117" s="53" t="n"/>
      <c r="EB117" s="53" t="n"/>
      <c r="EC117" s="53" t="n"/>
      <c r="ED117" s="53" t="n"/>
      <c r="EE117" s="53" t="n"/>
      <c r="EF117" s="53" t="n"/>
      <c r="EG117" s="53" t="n"/>
      <c r="EH117" s="53" t="n"/>
      <c r="EI117" s="53" t="n"/>
      <c r="EJ117" s="53" t="n"/>
      <c r="EK117" s="53" t="n"/>
      <c r="EL117" s="53" t="n"/>
      <c r="EM117" s="53" t="n"/>
      <c r="EN117" s="53" t="n"/>
      <c r="EO117" s="53" t="n"/>
      <c r="EP117" s="53" t="n"/>
      <c r="EQ117" s="53" t="n"/>
      <c r="ER117" s="53" t="n"/>
      <c r="ES117" s="53" t="n"/>
      <c r="ET117" s="53" t="n"/>
      <c r="EU117" s="53" t="n"/>
      <c r="EV117" s="53" t="n"/>
      <c r="EW117" s="52" t="n"/>
      <c r="EX117" s="53"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EY117" s="53"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EZ117" s="53"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FA117" s="53" t="inlineStr">
        <is>
          <t>• Development priorities: Wants better training, and a stronger understanding of processes, tools, and tagging requirements, to move into the next role.</t>
        </is>
      </c>
      <c r="FB117" s="53" t="inlineStr">
        <is>
          <t>• Key challenges: Slow laptop performance; RAM upgrade needed; new tools; evolving XBRL requirements; shifting priorities; product upgrades · DM and Carbon; new SEC form types; using RDP.
• Support required: Fixed roles and responsibilities; better training.</t>
        </is>
      </c>
      <c r="FC117" s="53" t="n"/>
      <c r="FD117" s="53" t="n"/>
      <c r="FE117"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FF117" s="56" t="n"/>
      <c r="FG117" s="56" t="n"/>
      <c r="FH117" s="56" t="n"/>
      <c r="FI117" s="56" t="inlineStr">
        <is>
          <t>L1 support</t>
        </is>
      </c>
      <c r="FJ117" s="56" t="inlineStr">
        <is>
          <t>Received · manager annual</t>
        </is>
      </c>
      <c r="FK117" s="56" t="inlineStr">
        <is>
          <t>CARBON Mapping Master · CARBON Talent Mapping · Raw</t>
        </is>
      </c>
      <c r="FL117" s="56" t="n">
        <v>20</v>
      </c>
      <c r="FM117" s="56"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FN117" s="56"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FO117" s="56"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FP117" s="56" t="inlineStr">
        <is>
          <t>• Development priorities: Wants better training, and a stronger understanding of processes, tools, and tagging requirements, to move into the next role.</t>
        </is>
      </c>
      <c r="FQ117" s="56" t="inlineStr">
        <is>
          <t>• Key challenges: Slow laptop performance; RAM upgrade needed; new tools; evolving XBRL requirements; shifting priorities; product upgrades · DM and Carbon; new SEC form types; using RDP.
• Support required: Fixed roles and responsibilities; better training.</t>
        </is>
      </c>
      <c r="FR117" s="56" t="inlineStr">
        <is>
          <t>Complexity: Evidence reads like A2: Handles known issues on DM and Carbon; checks prior SEC filings for tagging styles → matches the start
Autonomy: Evidence reads like A2: Handles known issues; coordinates with Product team for others → matches the start
Accountability: Evidence reads like A2: Timely responses to client queries; errors matter at filing deadlines → matches the start
Leadership: Evidence reads like A1: No guidance of others described → matches the start
Business Impact: No survey or manager-mapping signal on criticality: kept at the start point.</t>
        </is>
      </c>
      <c r="FS117"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7" s="56" t="inlineStr">
        <is>
          <t>Self-identified: Domain, regulatory &amp; XBRL · Product &amp; tool knowledge
For the next role: Domain, regulatory &amp; XBRL · Product &amp; tool knowledge</t>
        </is>
      </c>
      <c r="FU117" s="56" t="inlineStr">
        <is>
          <t>Per-person summary · CARBON Mapping Master</t>
        </is>
      </c>
    </row>
    <row r="118" ht="90" customHeight="1">
      <c r="A118" s="51" t="inlineStr">
        <is>
          <t>◂ Back</t>
        </is>
      </c>
      <c r="B118" s="29" t="inlineStr">
        <is>
          <t>Mapped</t>
        </is>
      </c>
      <c r="C118" s="28" t="inlineStr">
        <is>
          <t>CARBON</t>
        </is>
      </c>
      <c r="D118" s="29" t="inlineStr">
        <is>
          <t>IRIS0341</t>
        </is>
      </c>
      <c r="E118" s="29" t="inlineStr">
        <is>
          <t>Nelson Paul Koonan</t>
        </is>
      </c>
      <c r="F118" s="29" t="inlineStr">
        <is>
          <t>Support</t>
        </is>
      </c>
      <c r="G118" s="29" t="inlineStr">
        <is>
          <t>Client Solutions Executive</t>
        </is>
      </c>
      <c r="H118" s="29" t="inlineStr">
        <is>
          <t>Senior Support Executive</t>
        </is>
      </c>
      <c r="I118" s="29" t="inlineStr">
        <is>
          <t>L3 – Professional / Associate</t>
        </is>
      </c>
      <c r="J118" s="29" t="inlineStr">
        <is>
          <t>A3</t>
        </is>
      </c>
      <c r="K118" s="29" t="inlineStr">
        <is>
          <t>▲ Up</t>
        </is>
      </c>
      <c r="L118" s="29" t="inlineStr">
        <is>
          <t>Customer Success &amp; Support</t>
        </is>
      </c>
      <c r="M118" s="29" t="inlineStr">
        <is>
          <t>Application &amp; Product Support</t>
        </is>
      </c>
      <c r="N118" s="29" t="inlineStr">
        <is>
          <t>• Confirm the reporting line — Manager</t>
        </is>
      </c>
      <c r="O118" s="29" t="n">
        <v>20</v>
      </c>
      <c r="P118" s="28" t="inlineStr">
        <is>
          <t>P2</t>
        </is>
      </c>
      <c r="Q118" s="29" t="inlineStr">
        <is>
          <t>Developing</t>
        </is>
      </c>
      <c r="R118" s="29" t="inlineStr">
        <is>
          <t>3 Apply</t>
        </is>
      </c>
      <c r="S118" s="29" t="inlineStr">
        <is>
          <t>2–4 yrs</t>
        </is>
      </c>
      <c r="T118" s="29" t="inlineStr">
        <is>
          <t>3–5 · 2–5</t>
        </is>
      </c>
      <c r="U118" s="29" t="inlineStr">
        <is>
          <t>Support / CS Executive</t>
        </is>
      </c>
      <c r="V118" s="29" t="inlineStr">
        <is>
          <t>IRIS Vs Competitor Benchmark — SaaS customer-success ladder: Associate CSM · Regnology: Product Support Specialist · Reg Reporting · IRIS Vs Competitor Benchmark — support tiers: L2 Application Support</t>
        </is>
      </c>
      <c r="W118" s="29" t="inlineStr">
        <is>
          <t>TSIA frameworks and benchmarks; ITIL 4 service desk; Gainsight customer-success practice</t>
        </is>
      </c>
      <c r="X118" s="29" t="inlineStr">
        <is>
          <t>Core 2 · Future 2 · Functional 3 · Leadership not scored</t>
        </is>
      </c>
      <c r="Y118" s="52" t="n">
        <v>57</v>
      </c>
      <c r="Z118" s="53" t="inlineStr">
        <is>
          <t>IRIS0341</t>
        </is>
      </c>
      <c r="AA118" s="53" t="inlineStr">
        <is>
          <t>Employee</t>
        </is>
      </c>
      <c r="AB118" s="53" t="inlineStr">
        <is>
          <t>Active</t>
        </is>
      </c>
      <c r="AC118" s="53" t="inlineStr">
        <is>
          <t>Nelson Paul Koonan</t>
        </is>
      </c>
      <c r="AD118" s="54" t="n">
        <v>40329</v>
      </c>
      <c r="AE118" s="53" t="inlineStr">
        <is>
          <t>Client Solutions Executive</t>
        </is>
      </c>
      <c r="AF118" s="53" t="inlineStr">
        <is>
          <t>B.Com</t>
        </is>
      </c>
      <c r="AG118" s="53" t="inlineStr">
        <is>
          <t>Harshal Shah</t>
        </is>
      </c>
      <c r="AH118" s="53" t="inlineStr">
        <is>
          <t>N-5</t>
        </is>
      </c>
      <c r="AI118" s="53" t="inlineStr">
        <is>
          <t>Manager</t>
        </is>
      </c>
      <c r="AJ118" s="53" t="inlineStr">
        <is>
          <t>0 years, 0 months, 0 days</t>
        </is>
      </c>
      <c r="AK118" s="53" t="inlineStr">
        <is>
          <t>16 years, 2 months, 25 days</t>
        </is>
      </c>
      <c r="AL118" s="53" t="inlineStr">
        <is>
          <t>Regtech</t>
        </is>
      </c>
      <c r="AM118" s="53" t="inlineStr">
        <is>
          <t>CARBON</t>
        </is>
      </c>
      <c r="AN118" s="53" t="inlineStr">
        <is>
          <t>Support</t>
        </is>
      </c>
      <c r="AO118" s="53" t="inlineStr">
        <is>
          <t>Product Support</t>
        </is>
      </c>
      <c r="AP118" s="53" t="inlineStr">
        <is>
          <t>No</t>
        </is>
      </c>
      <c r="AQ118" s="53" t="inlineStr">
        <is>
          <t>Product/Project</t>
        </is>
      </c>
      <c r="AR118" s="53" t="inlineStr">
        <is>
          <t>Domain Support</t>
        </is>
      </c>
      <c r="AS118" s="53" t="inlineStr">
        <is>
          <t>Non-technical</t>
        </is>
      </c>
      <c r="AT118" s="53" t="n">
        <v>20</v>
      </c>
      <c r="AU118" s="53" t="inlineStr">
        <is>
          <t>Covered</t>
        </is>
      </c>
      <c r="AV118" s="53" t="inlineStr">
        <is>
          <t>IRIS0341</t>
        </is>
      </c>
      <c r="AW118" s="53" t="inlineStr">
        <is>
          <t>Nelson Paul Koonan</t>
        </is>
      </c>
      <c r="AX118" s="53" t="inlineStr">
        <is>
          <t>Support</t>
        </is>
      </c>
      <c r="AY118" s="53" t="inlineStr">
        <is>
          <t>Customer Success &amp; Support</t>
        </is>
      </c>
      <c r="AZ118" s="53" t="inlineStr">
        <is>
          <t>Customer Success</t>
        </is>
      </c>
      <c r="BA118" s="53" t="n"/>
      <c r="BB118" s="53" t="n"/>
      <c r="BC118" s="53" t="inlineStr">
        <is>
          <t>Employee</t>
        </is>
      </c>
      <c r="BD118" s="53" t="inlineStr">
        <is>
          <t>Harshal Shah</t>
        </is>
      </c>
      <c r="BE118" s="53" t="inlineStr">
        <is>
          <t>Harshal Shah</t>
        </is>
      </c>
      <c r="BF118" s="53" t="inlineStr">
        <is>
          <t>No</t>
        </is>
      </c>
      <c r="BG118" s="53" t="inlineStr">
        <is>
          <t>Client Solutions Executive</t>
        </is>
      </c>
      <c r="BH118" s="53" t="inlineStr">
        <is>
          <t>Manager Customer Support</t>
        </is>
      </c>
      <c r="BI118" s="53" t="inlineStr">
        <is>
          <t>Yes</t>
        </is>
      </c>
      <c r="BJ118" s="53" t="n">
        <v>2</v>
      </c>
      <c r="BK118" s="53" t="n">
        <v>2</v>
      </c>
      <c r="BL118" s="53" t="n">
        <v>0</v>
      </c>
      <c r="BM118" s="53" t="inlineStr">
        <is>
          <t>Consolidate / flatten</t>
        </is>
      </c>
      <c r="BN118" s="53" t="n">
        <v>2</v>
      </c>
      <c r="BO118" s="53" t="n">
        <v>2</v>
      </c>
      <c r="BP118" s="53" t="n">
        <v>0</v>
      </c>
      <c r="BQ118" s="53" t="inlineStr">
        <is>
          <t>Consolidate / flatten</t>
        </is>
      </c>
      <c r="BR118" s="53" t="inlineStr">
        <is>
          <t>No</t>
        </is>
      </c>
      <c r="BS118" s="53" t="inlineStr">
        <is>
          <t>L3 – Professional / Associate</t>
        </is>
      </c>
      <c r="BT118" s="53" t="inlineStr">
        <is>
          <t>L4</t>
        </is>
      </c>
      <c r="BU118" s="53" t="inlineStr">
        <is>
          <t>Matched from Title Hierarchy · new designation</t>
        </is>
      </c>
      <c r="BV118"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8" s="53" t="n"/>
      <c r="BX118" s="53" t="inlineStr">
        <is>
          <t>Global.</t>
        </is>
      </c>
      <c r="BY118" s="53" t="n"/>
      <c r="BZ118" s="53" t="inlineStr">
        <is>
          <t>IRIS0341</t>
        </is>
      </c>
      <c r="CA118" s="53" t="inlineStr">
        <is>
          <t>Employee</t>
        </is>
      </c>
      <c r="CB118" s="53" t="inlineStr">
        <is>
          <t>Active</t>
        </is>
      </c>
      <c r="CC118" s="53" t="inlineStr">
        <is>
          <t>Nelson Paul Koonan</t>
        </is>
      </c>
      <c r="CD118" s="54" t="n">
        <v>40329</v>
      </c>
      <c r="CE118" s="53" t="inlineStr">
        <is>
          <t>Client Solutions Executive</t>
        </is>
      </c>
      <c r="CF118" s="53" t="inlineStr">
        <is>
          <t>L1 support</t>
        </is>
      </c>
      <c r="CG118" s="53" t="inlineStr">
        <is>
          <t>Customer Success &amp; Support</t>
        </is>
      </c>
      <c r="CH118" s="53" t="inlineStr">
        <is>
          <t>Customer Support</t>
        </is>
      </c>
      <c r="CI118" s="53" t="inlineStr">
        <is>
          <t>Customer Support Lead</t>
        </is>
      </c>
      <c r="CJ118" s="53" t="inlineStr">
        <is>
          <t>L3 – Professional / Associate</t>
        </is>
      </c>
      <c r="CK118" s="53" t="inlineStr">
        <is>
          <t>Harshal Shah</t>
        </is>
      </c>
      <c r="CL118" s="53" t="inlineStr">
        <is>
          <t>N-5</t>
        </is>
      </c>
      <c r="CM118" s="53" t="inlineStr">
        <is>
          <t>Player Cum Coach</t>
        </is>
      </c>
      <c r="CN118" s="53" t="inlineStr">
        <is>
          <t>Regtech</t>
        </is>
      </c>
      <c r="CO118" s="53" t="inlineStr">
        <is>
          <t>Support</t>
        </is>
      </c>
      <c r="CP118" s="53" t="inlineStr">
        <is>
          <t>16 years, 0 months, 20 days</t>
        </is>
      </c>
      <c r="CQ118" s="53" t="inlineStr">
        <is>
          <t>Customer Support Lead</t>
        </is>
      </c>
      <c r="CR118" s="53" t="inlineStr">
        <is>
          <t>Yes</t>
        </is>
      </c>
      <c r="CS118" s="53" t="n">
        <v>3</v>
      </c>
      <c r="CT118" s="53" t="inlineStr">
        <is>
          <t>Medium</t>
        </is>
      </c>
      <c r="CU118" s="53" t="inlineStr">
        <is>
          <t>High Impact / Growth Talent</t>
        </is>
      </c>
      <c r="CV118" s="53" t="n"/>
      <c r="CW118" s="53" t="inlineStr">
        <is>
          <t>No</t>
        </is>
      </c>
      <c r="CX118" s="53" t="inlineStr">
        <is>
          <t>Yes</t>
        </is>
      </c>
      <c r="CY118" s="53" t="n"/>
      <c r="CZ118" s="53" t="inlineStr">
        <is>
          <t>Customer success methods; communication &amp; de-escalation; product/domain depth; ticketing &amp; SLA tools | People management: goal-setting &amp; feedback, 1:1 coaching, performance conversations</t>
        </is>
      </c>
      <c r="DA118" s="53" t="inlineStr">
        <is>
          <t>Leadership development: strategic thinking, cross-functional influence, financial/business acumen, succession &amp; talent development, change management, executive communication, Client conversations</t>
        </is>
      </c>
      <c r="DB118" s="53" t="inlineStr">
        <is>
          <t>IC Role - Not a MANAGER, He should take up additional responsibilities. Title to be standardized to: Customer Support Lead</t>
        </is>
      </c>
      <c r="DC118" s="53" t="n"/>
      <c r="DD118" s="53" t="n"/>
      <c r="DE118" s="53" t="n"/>
      <c r="DF118" s="53" t="n"/>
      <c r="DG118" s="53" t="n"/>
      <c r="DH118" s="53" t="n"/>
      <c r="DI118" s="53" t="n"/>
      <c r="DJ118" s="53" t="n"/>
      <c r="DK118" s="53" t="n"/>
      <c r="DL118" s="53" t="n"/>
      <c r="DM118" s="53" t="n"/>
      <c r="DN118" s="53" t="n"/>
      <c r="DO118" s="53" t="n"/>
      <c r="DP118" s="53" t="n"/>
      <c r="DQ118" s="53" t="n"/>
      <c r="DR118" s="53" t="n"/>
      <c r="DS118" s="53" t="n"/>
      <c r="DT118" s="53" t="n"/>
      <c r="DU118" s="53" t="n"/>
      <c r="DV118" s="53" t="n"/>
      <c r="DW118" s="53" t="n"/>
      <c r="DX118" s="53" t="n"/>
      <c r="DY118" s="53" t="n"/>
      <c r="DZ118" s="53" t="n"/>
      <c r="EA118" s="53" t="n"/>
      <c r="EB118" s="53" t="n"/>
      <c r="EC118" s="53" t="n"/>
      <c r="ED118" s="53" t="n"/>
      <c r="EE118" s="53" t="n"/>
      <c r="EF118" s="53" t="n"/>
      <c r="EG118" s="53" t="n"/>
      <c r="EH118" s="53" t="n"/>
      <c r="EI118" s="53" t="n"/>
      <c r="EJ118" s="53" t="n"/>
      <c r="EK118" s="53" t="n"/>
      <c r="EL118" s="53" t="n"/>
      <c r="EM118" s="53" t="n"/>
      <c r="EN118" s="53" t="n"/>
      <c r="EO118" s="53" t="n"/>
      <c r="EP118" s="53" t="n"/>
      <c r="EQ118" s="53" t="n"/>
      <c r="ER118" s="53" t="n"/>
      <c r="ES118" s="53" t="n"/>
      <c r="ET118" s="53" t="n"/>
      <c r="EU118" s="53" t="n"/>
      <c r="EV118" s="53" t="n"/>
      <c r="EW118" s="52" t="n"/>
      <c r="EX118" s="53"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EY118" s="53"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EZ118" s="53"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FA118" s="53" t="inlineStr">
        <is>
          <t>• Development priorities: Wants in-depth product knowledge, more advanced technical skills, and man-management exposure to move into the next role.</t>
        </is>
      </c>
      <c r="FB118" s="53" t="inlineStr">
        <is>
          <t>• Key challenges: System issues; needing a RAM upgrade; cross-team dependency; product upgrades.
• Support required: More fixed/defined roles and responsibilities.</t>
        </is>
      </c>
      <c r="FC118" s="53" t="n"/>
      <c r="FD118" s="53" t="n"/>
      <c r="FE118"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8" s="56" t="n"/>
      <c r="FG118" s="56" t="n"/>
      <c r="FH118" s="56" t="n"/>
      <c r="FI118" s="56" t="inlineStr">
        <is>
          <t>L1 support</t>
        </is>
      </c>
      <c r="FJ118" s="56" t="inlineStr">
        <is>
          <t>Received · manager annual</t>
        </is>
      </c>
      <c r="FK118" s="56" t="inlineStr">
        <is>
          <t>CARBON Mapping Master · CARBON Talent Mapping · Raw</t>
        </is>
      </c>
      <c r="FL118" s="56" t="n">
        <v>20</v>
      </c>
      <c r="FM118" s="56"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FN118" s="56"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FO118" s="56"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FP118" s="56" t="inlineStr">
        <is>
          <t>• Development priorities: Wants in-depth product knowledge, more advanced technical skills, and man-management exposure to move into the next role.</t>
        </is>
      </c>
      <c r="FQ118" s="56" t="inlineStr">
        <is>
          <t>• Key challenges: System issues; needing a RAM upgrade; cross-team dependency; product upgrades.
• Support required: More fixed/defined roles and responsibilities.</t>
        </is>
      </c>
      <c r="FR118" s="56" t="inlineStr">
        <is>
          <t>Complexity: Evidence reads like A2: Handles support requests by chat, email and calls; prepares ticket stats reports; basic XBRL → matches the start
Autonomy: Evidence reads like A2: own survey / KRA answers · summarised by the rater; not quoted → moved down 0.5
Accountability: Evidence reads like A2: own survey / KRA answers · summarised by the rater; not quoted → moved down 1
Leadership: Evidence reads like A3: Lists mentoring the team as a main responsibility; two reports → moved down 0.5
Business Impact: Moved +0.5: the survey / manager mapping marks it business-critical.</t>
        </is>
      </c>
      <c r="FS118"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8" s="56" t="inlineStr">
        <is>
          <t>Self-identified: Product &amp; tool knowledge
For the next role: Product &amp; tool knowledge</t>
        </is>
      </c>
      <c r="FU118" s="56" t="inlineStr">
        <is>
          <t>Per-person summary · CARBON Mapping Master</t>
        </is>
      </c>
    </row>
    <row r="119" ht="90" customHeight="1">
      <c r="A119" s="51" t="inlineStr">
        <is>
          <t>◂ Back</t>
        </is>
      </c>
      <c r="B119" s="29" t="inlineStr">
        <is>
          <t>Mapped</t>
        </is>
      </c>
      <c r="C119" s="28" t="inlineStr">
        <is>
          <t>CARBON</t>
        </is>
      </c>
      <c r="D119" s="29" t="inlineStr">
        <is>
          <t>IRIS2331</t>
        </is>
      </c>
      <c r="E119" s="29" t="inlineStr">
        <is>
          <t>Pritam Kadam</t>
        </is>
      </c>
      <c r="F119" s="29" t="inlineStr">
        <is>
          <t>Support</t>
        </is>
      </c>
      <c r="G119" s="29" t="inlineStr">
        <is>
          <t>Client Support Executive</t>
        </is>
      </c>
      <c r="H119" s="29" t="inlineStr">
        <is>
          <t>Senior Support Executive</t>
        </is>
      </c>
      <c r="I119" s="29" t="inlineStr">
        <is>
          <t>L3 – Professional / Associate</t>
        </is>
      </c>
      <c r="J119" s="29" t="inlineStr">
        <is>
          <t>A3</t>
        </is>
      </c>
      <c r="K119" s="29" t="inlineStr">
        <is>
          <t>▲ Up</t>
        </is>
      </c>
      <c r="L119" s="29" t="inlineStr">
        <is>
          <t>Customer Success &amp; Support</t>
        </is>
      </c>
      <c r="M119" s="29" t="inlineStr">
        <is>
          <t>Application &amp; Product Support</t>
        </is>
      </c>
      <c r="N119" s="29" t="n"/>
      <c r="O119" s="29" t="n">
        <v>20</v>
      </c>
      <c r="P119" s="28" t="inlineStr">
        <is>
          <t>P2</t>
        </is>
      </c>
      <c r="Q119" s="29" t="inlineStr">
        <is>
          <t>Developing</t>
        </is>
      </c>
      <c r="R119" s="29" t="inlineStr">
        <is>
          <t>3 Apply</t>
        </is>
      </c>
      <c r="S119" s="29" t="inlineStr">
        <is>
          <t>2–4 yrs</t>
        </is>
      </c>
      <c r="T119" s="29" t="inlineStr">
        <is>
          <t>3–5 · 2–5</t>
        </is>
      </c>
      <c r="U119" s="29" t="inlineStr">
        <is>
          <t>Support / CS Executive</t>
        </is>
      </c>
      <c r="V119" s="29" t="inlineStr">
        <is>
          <t>IRIS Vs Competitor Benchmark — SaaS customer-success ladder: Associate CSM · Regnology: Product Support Specialist · Reg Reporting · IRIS Vs Competitor Benchmark — support tiers: L2 Application Support</t>
        </is>
      </c>
      <c r="W119" s="29" t="inlineStr">
        <is>
          <t>TSIA frameworks and benchmarks; ITIL 4 service desk; Gainsight customer-success practice</t>
        </is>
      </c>
      <c r="X119" s="29" t="inlineStr">
        <is>
          <t>Core 2 · Future 2 · Functional 3 · Leadership not scored</t>
        </is>
      </c>
      <c r="Y119" s="52" t="n">
        <v>355</v>
      </c>
      <c r="Z119" s="53" t="inlineStr">
        <is>
          <t>IRIS2331</t>
        </is>
      </c>
      <c r="AA119" s="53" t="inlineStr">
        <is>
          <t>Employee</t>
        </is>
      </c>
      <c r="AB119" s="53" t="inlineStr">
        <is>
          <t>Active</t>
        </is>
      </c>
      <c r="AC119" s="53" t="inlineStr">
        <is>
          <t>Pritam Kadam</t>
        </is>
      </c>
      <c r="AD119" s="54" t="n">
        <v>45663</v>
      </c>
      <c r="AE119" s="53" t="inlineStr">
        <is>
          <t>Client Support Executive</t>
        </is>
      </c>
      <c r="AF119" s="53" t="inlineStr">
        <is>
          <t>MBA</t>
        </is>
      </c>
      <c r="AG119" s="53" t="inlineStr">
        <is>
          <t>Nelson Paul Koonan</t>
        </is>
      </c>
      <c r="AH119" s="53" t="inlineStr">
        <is>
          <t>N-6</t>
        </is>
      </c>
      <c r="AI119" s="53" t="inlineStr">
        <is>
          <t>Individual Contributor</t>
        </is>
      </c>
      <c r="AJ119" s="53" t="inlineStr">
        <is>
          <t>4 years, 0 months, 0 days</t>
        </is>
      </c>
      <c r="AK119" s="53" t="inlineStr">
        <is>
          <t>1 years, 7 months, 19 days</t>
        </is>
      </c>
      <c r="AL119" s="53" t="inlineStr">
        <is>
          <t>Regtech</t>
        </is>
      </c>
      <c r="AM119" s="53" t="inlineStr">
        <is>
          <t>CARBON</t>
        </is>
      </c>
      <c r="AN119" s="53" t="inlineStr">
        <is>
          <t>Support</t>
        </is>
      </c>
      <c r="AO119" s="53" t="inlineStr">
        <is>
          <t>Product Support</t>
        </is>
      </c>
      <c r="AP119" s="53" t="inlineStr">
        <is>
          <t>No</t>
        </is>
      </c>
      <c r="AQ119" s="53" t="inlineStr">
        <is>
          <t>Client Engagement</t>
        </is>
      </c>
      <c r="AR119" s="53" t="inlineStr">
        <is>
          <t>Domain Support</t>
        </is>
      </c>
      <c r="AS119" s="53" t="inlineStr">
        <is>
          <t>Non-technical</t>
        </is>
      </c>
      <c r="AT119" s="53" t="n">
        <v>20</v>
      </c>
      <c r="AU119" s="53" t="inlineStr">
        <is>
          <t>Covered</t>
        </is>
      </c>
      <c r="AV119" s="53" t="inlineStr">
        <is>
          <t>IRIS2331</t>
        </is>
      </c>
      <c r="AW119" s="53" t="inlineStr">
        <is>
          <t>Pritam Kadam</t>
        </is>
      </c>
      <c r="AX119" s="53" t="inlineStr">
        <is>
          <t>Support</t>
        </is>
      </c>
      <c r="AY119" s="53" t="inlineStr">
        <is>
          <t>Customer Success &amp; Support</t>
        </is>
      </c>
      <c r="AZ119" s="53" t="inlineStr">
        <is>
          <t>Customer Success</t>
        </is>
      </c>
      <c r="BA119" s="53" t="n"/>
      <c r="BB119" s="53" t="n"/>
      <c r="BC119" s="53" t="inlineStr">
        <is>
          <t>Employee</t>
        </is>
      </c>
      <c r="BD119" s="53" t="inlineStr">
        <is>
          <t>Nelson Paul Koonan</t>
        </is>
      </c>
      <c r="BE119" s="53" t="inlineStr">
        <is>
          <t>Nelson Paul Koonan</t>
        </is>
      </c>
      <c r="BF119" s="53" t="inlineStr">
        <is>
          <t>No</t>
        </is>
      </c>
      <c r="BG119" s="53" t="inlineStr">
        <is>
          <t>Client Support Executive</t>
        </is>
      </c>
      <c r="BH119" s="53" t="inlineStr">
        <is>
          <t>Customer Support Specialist</t>
        </is>
      </c>
      <c r="BI119" s="53" t="inlineStr">
        <is>
          <t>Yes</t>
        </is>
      </c>
      <c r="BJ119" s="53" t="inlineStr">
        <is>
          <t>—</t>
        </is>
      </c>
      <c r="BK119" s="53" t="inlineStr">
        <is>
          <t>—</t>
        </is>
      </c>
      <c r="BL119" s="53" t="inlineStr">
        <is>
          <t>—</t>
        </is>
      </c>
      <c r="BM119" s="53" t="inlineStr">
        <is>
          <t>Not a manager</t>
        </is>
      </c>
      <c r="BN119" s="53" t="inlineStr">
        <is>
          <t>—</t>
        </is>
      </c>
      <c r="BO119" s="53" t="inlineStr">
        <is>
          <t>—</t>
        </is>
      </c>
      <c r="BP119" s="53" t="inlineStr">
        <is>
          <t>—</t>
        </is>
      </c>
      <c r="BQ119" s="53" t="inlineStr">
        <is>
          <t>Not a manager</t>
        </is>
      </c>
      <c r="BR119" s="53" t="inlineStr">
        <is>
          <t>—</t>
        </is>
      </c>
      <c r="BS119" s="53" t="inlineStr">
        <is>
          <t>L3 – Professional / Associate</t>
        </is>
      </c>
      <c r="BT119" s="53" t="inlineStr">
        <is>
          <t>L2</t>
        </is>
      </c>
      <c r="BU119" s="53" t="inlineStr">
        <is>
          <t>Matched from Title Hierarchy · new designation</t>
        </is>
      </c>
      <c r="BV119"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W119" s="53" t="n"/>
      <c r="BX119" s="53" t="inlineStr">
        <is>
          <t>Global.</t>
        </is>
      </c>
      <c r="BY119" s="53" t="n"/>
      <c r="BZ119" s="53" t="inlineStr">
        <is>
          <t>IRIS2331</t>
        </is>
      </c>
      <c r="CA119" s="53" t="inlineStr">
        <is>
          <t>Employee</t>
        </is>
      </c>
      <c r="CB119" s="53" t="inlineStr">
        <is>
          <t>Active</t>
        </is>
      </c>
      <c r="CC119" s="53" t="inlineStr">
        <is>
          <t>Pritam Kadam</t>
        </is>
      </c>
      <c r="CD119" s="54" t="n">
        <v>45663</v>
      </c>
      <c r="CE119" s="53" t="inlineStr">
        <is>
          <t>Client Support Executive</t>
        </is>
      </c>
      <c r="CF119" s="53" t="inlineStr">
        <is>
          <t>L1 support</t>
        </is>
      </c>
      <c r="CG119" s="53" t="inlineStr">
        <is>
          <t>Customer Success &amp; Support</t>
        </is>
      </c>
      <c r="CH119" s="53" t="inlineStr">
        <is>
          <t>Customer Support</t>
        </is>
      </c>
      <c r="CI119" s="53" t="inlineStr">
        <is>
          <t>Customer Support Specialist</t>
        </is>
      </c>
      <c r="CJ119" s="53" t="inlineStr">
        <is>
          <t>L3 – Professional / Associate</t>
        </is>
      </c>
      <c r="CK119" s="53" t="inlineStr">
        <is>
          <t>Nelson Paul Koonan</t>
        </is>
      </c>
      <c r="CL119" s="53" t="inlineStr">
        <is>
          <t>N-6</t>
        </is>
      </c>
      <c r="CM119" s="53" t="inlineStr">
        <is>
          <t>Individual Contributor</t>
        </is>
      </c>
      <c r="CN119" s="53" t="inlineStr">
        <is>
          <t>Regtech</t>
        </is>
      </c>
      <c r="CO119" s="53" t="inlineStr">
        <is>
          <t>Support</t>
        </is>
      </c>
      <c r="CP119" s="53" t="inlineStr">
        <is>
          <t>5 years, 5 months, 14 days</t>
        </is>
      </c>
      <c r="CQ119" s="53" t="inlineStr">
        <is>
          <t>Customer Support Specialist</t>
        </is>
      </c>
      <c r="CR119" s="53" t="inlineStr">
        <is>
          <t>Yes</t>
        </is>
      </c>
      <c r="CS119" s="53" t="n">
        <v>3</v>
      </c>
      <c r="CT119" s="53" t="inlineStr">
        <is>
          <t>Medium</t>
        </is>
      </c>
      <c r="CU119" s="53" t="inlineStr">
        <is>
          <t>Core Contributor</t>
        </is>
      </c>
      <c r="CV119" s="53" t="n"/>
      <c r="CW119" s="53" t="n"/>
      <c r="CX119" s="53" t="n"/>
      <c r="CY119" s="53" t="n"/>
      <c r="CZ119" s="53" t="inlineStr">
        <is>
          <t>Customer success methods; communication &amp; de-escalation; product/domain depth; ticketing &amp; SLA tools</t>
        </is>
      </c>
      <c r="DA119" s="53" t="inlineStr">
        <is>
          <t>Transition to leadership: people management &amp; delegation, mentoring/coaching, project ownership &amp; stakeholder management, prioritisation under ambiguity, presentation &amp; influence skills</t>
        </is>
      </c>
      <c r="DB119" s="53" t="inlineStr">
        <is>
          <t>Title to be standardized to: Customer Support Specialist</t>
        </is>
      </c>
      <c r="DC119" s="53" t="n"/>
      <c r="DD119" s="53" t="n"/>
      <c r="DE119" s="53" t="n"/>
      <c r="DF119" s="53" t="n"/>
      <c r="DG119" s="53" t="n"/>
      <c r="DH119" s="53" t="n"/>
      <c r="DI119" s="53" t="n"/>
      <c r="DJ119" s="53" t="n"/>
      <c r="DK119" s="53" t="n"/>
      <c r="DL119" s="53" t="n"/>
      <c r="DM119" s="53" t="n"/>
      <c r="DN119" s="53" t="n"/>
      <c r="DO119" s="53" t="n"/>
      <c r="DP119" s="53" t="n"/>
      <c r="DQ119" s="53" t="n"/>
      <c r="DR119" s="53" t="n"/>
      <c r="DS119" s="53" t="n"/>
      <c r="DT119" s="53" t="n"/>
      <c r="DU119" s="53" t="n"/>
      <c r="DV119" s="53" t="n"/>
      <c r="DW119" s="53" t="n"/>
      <c r="DX119" s="53" t="n"/>
      <c r="DY119" s="53" t="n"/>
      <c r="DZ119" s="53" t="n"/>
      <c r="EA119" s="53" t="n"/>
      <c r="EB119" s="53" t="n"/>
      <c r="EC119" s="53" t="n"/>
      <c r="ED119" s="53" t="n"/>
      <c r="EE119" s="53" t="n"/>
      <c r="EF119" s="53" t="n"/>
      <c r="EG119" s="53" t="n"/>
      <c r="EH119" s="53" t="n"/>
      <c r="EI119" s="53" t="n"/>
      <c r="EJ119" s="53" t="n"/>
      <c r="EK119" s="53" t="n"/>
      <c r="EL119" s="53" t="n"/>
      <c r="EM119" s="53" t="n"/>
      <c r="EN119" s="53" t="n"/>
      <c r="EO119" s="53" t="n"/>
      <c r="EP119" s="53" t="n"/>
      <c r="EQ119" s="53" t="n"/>
      <c r="ER119" s="53" t="n"/>
      <c r="ES119" s="53" t="n"/>
      <c r="ET119" s="53" t="n"/>
      <c r="EU119" s="53" t="n"/>
      <c r="EV119" s="53" t="n"/>
      <c r="EW119" s="52" t="n"/>
      <c r="EX119" s="53"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EY119" s="53" t="inlineStr">
        <is>
          <t>• Key responsibilities include: Resolving common issues.
• How measured: No input received.</t>
        </is>
      </c>
      <c r="EZ119" s="53" t="inlineStr">
        <is>
          <t>• Current capabilities: No input received.
• Tools / software used: Faveo.
• Workload: Rated a manageable load · 2/5 in a typical week.</t>
        </is>
      </c>
      <c r="FA119" s="53" t="inlineStr">
        <is>
          <t>• Learning and Development Need: No input received.</t>
        </is>
      </c>
      <c r="FB119" s="53" t="inlineStr">
        <is>
          <t>• Key challenges: Slow laptop.
• Support required: No input received.</t>
        </is>
      </c>
      <c r="FC119" s="53" t="n"/>
      <c r="FD119" s="53" t="n"/>
      <c r="FE119"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FF119" s="56" t="n"/>
      <c r="FG119" s="56" t="n"/>
      <c r="FH119" s="56" t="n"/>
      <c r="FI119" s="56" t="inlineStr">
        <is>
          <t>L1 support</t>
        </is>
      </c>
      <c r="FJ119" s="56" t="inlineStr">
        <is>
          <t>Received · manager annual</t>
        </is>
      </c>
      <c r="FK119" s="56" t="inlineStr">
        <is>
          <t>CARBON Mapping Master · CARBON Talent Mapping · Raw</t>
        </is>
      </c>
      <c r="FL119" s="56" t="n">
        <v>20</v>
      </c>
      <c r="FM119" s="56"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FN119" s="56" t="inlineStr">
        <is>
          <t>• Key responsibilities include: Resolving common issues.
• How measured: No input received.</t>
        </is>
      </c>
      <c r="FO119" s="56" t="inlineStr">
        <is>
          <t>• Current capabilities: No input received.
• Tools / software used: Faveo.
• Workload: Rated a manageable load · 2/5 in a typical week.</t>
        </is>
      </c>
      <c r="FP119" s="56" t="inlineStr">
        <is>
          <t>• Learning and Development Need: No input received.</t>
        </is>
      </c>
      <c r="FQ119" s="56" t="inlineStr">
        <is>
          <t>• Key challenges: Slow laptop.
• Support required: No input received.</t>
        </is>
      </c>
      <c r="FR119" s="56" t="inlineStr">
        <is>
          <t>Complexity: Evidence reads like A2: First-line support: troubleshoots L1 product issues and follows up escalated tickets → matches the start
Autonomy: Evidence reads like A2: Troubleshoots L1 issues and updates tickets without approval; escalates to L2/Product → matches the start
Accountability: Evidence reads like A2: Timely resolution of own tickets, SLAs and follow-up on escalations → matches the start
Leadership: Evidence reads like A1: No guidance of others described → matches the start
Business Impact: No survey or manager-mapping signal on criticality: kept at the start point.</t>
        </is>
      </c>
      <c r="FS119"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9" s="56" t="inlineStr">
        <is>
          <t>Self-identified: Product &amp; tool knowledge · Broader exposure &amp; ownership
For the next role: Product &amp; tool knowledge · Broader exposure &amp; ownership</t>
        </is>
      </c>
      <c r="FU119" s="56" t="inlineStr">
        <is>
          <t>Per-person summary · CARBON Mapping Master</t>
        </is>
      </c>
    </row>
    <row r="120" ht="90" customHeight="1">
      <c r="A120" s="51" t="inlineStr">
        <is>
          <t>◂ Back</t>
        </is>
      </c>
      <c r="B120" s="29" t="inlineStr">
        <is>
          <t>Mapped</t>
        </is>
      </c>
      <c r="C120" s="28" t="inlineStr">
        <is>
          <t>CARBON</t>
        </is>
      </c>
      <c r="D120" s="29" t="inlineStr">
        <is>
          <t>IRIS2494</t>
        </is>
      </c>
      <c r="E120" s="29" t="inlineStr">
        <is>
          <t>Shruti Samant</t>
        </is>
      </c>
      <c r="F120" s="29" t="inlineStr">
        <is>
          <t>Support</t>
        </is>
      </c>
      <c r="G120" s="29" t="inlineStr">
        <is>
          <t>Executive- Customer Support</t>
        </is>
      </c>
      <c r="H120" s="29" t="inlineStr">
        <is>
          <t>Senior Support Executive</t>
        </is>
      </c>
      <c r="I120" s="29" t="inlineStr">
        <is>
          <t>L3 – Professional / Associate</t>
        </is>
      </c>
      <c r="J120" s="29" t="inlineStr">
        <is>
          <t>A3</t>
        </is>
      </c>
      <c r="K120" s="29" t="inlineStr">
        <is>
          <t>▲ Up</t>
        </is>
      </c>
      <c r="L120" s="29" t="inlineStr">
        <is>
          <t>Customer Success &amp; Support</t>
        </is>
      </c>
      <c r="M120" s="29" t="inlineStr">
        <is>
          <t>Application &amp; Product Support</t>
        </is>
      </c>
      <c r="N120" s="29" t="n"/>
      <c r="O120" s="29" t="n">
        <v>19</v>
      </c>
      <c r="P120" s="28" t="inlineStr">
        <is>
          <t>P2</t>
        </is>
      </c>
      <c r="Q120" s="29" t="inlineStr">
        <is>
          <t>Developing</t>
        </is>
      </c>
      <c r="R120" s="29" t="inlineStr">
        <is>
          <t>3 Apply</t>
        </is>
      </c>
      <c r="S120" s="29" t="inlineStr">
        <is>
          <t>2–4 yrs</t>
        </is>
      </c>
      <c r="T120" s="29" t="inlineStr">
        <is>
          <t>3–5 · 2–5</t>
        </is>
      </c>
      <c r="U120" s="29" t="inlineStr">
        <is>
          <t>Support / CS Executive</t>
        </is>
      </c>
      <c r="V120" s="29" t="inlineStr">
        <is>
          <t>IRIS Vs Competitor Benchmark — SaaS customer-success ladder: Associate CSM · Regnology: Product Support Specialist · Reg Reporting · IRIS Vs Competitor Benchmark — support tiers: L2 Application Support</t>
        </is>
      </c>
      <c r="W120" s="29" t="inlineStr">
        <is>
          <t>TSIA frameworks and benchmarks; ITIL 4 service desk; Gainsight customer-success practice</t>
        </is>
      </c>
      <c r="X120" s="29" t="inlineStr">
        <is>
          <t>Core 2 · Future 2 · Functional 3 · Leadership not scored</t>
        </is>
      </c>
      <c r="Y120" s="52" t="n">
        <v>467</v>
      </c>
      <c r="Z120" s="53" t="inlineStr">
        <is>
          <t>IRIS2494</t>
        </is>
      </c>
      <c r="AA120" s="53" t="inlineStr">
        <is>
          <t>Employee</t>
        </is>
      </c>
      <c r="AB120" s="53" t="inlineStr">
        <is>
          <t>Active</t>
        </is>
      </c>
      <c r="AC120" s="53" t="inlineStr">
        <is>
          <t>Shruti Samant</t>
        </is>
      </c>
      <c r="AD120" s="54" t="n">
        <v>46097</v>
      </c>
      <c r="AE120" s="53" t="inlineStr">
        <is>
          <t>Executive- Customer Support</t>
        </is>
      </c>
      <c r="AF120" s="53" t="inlineStr">
        <is>
          <t>PGDM</t>
        </is>
      </c>
      <c r="AG120" s="53" t="inlineStr">
        <is>
          <t>Nelson Paul Koonan</t>
        </is>
      </c>
      <c r="AH120" s="53" t="inlineStr">
        <is>
          <t>N-6</t>
        </is>
      </c>
      <c r="AI120" s="53" t="inlineStr">
        <is>
          <t>Individual Contributor</t>
        </is>
      </c>
      <c r="AJ120" s="53" t="inlineStr">
        <is>
          <t>3 years, 0 months, 0 days</t>
        </is>
      </c>
      <c r="AK120" s="53" t="inlineStr">
        <is>
          <t>0 years, 5 months, 9 days</t>
        </is>
      </c>
      <c r="AL120" s="53" t="inlineStr">
        <is>
          <t>Regtech</t>
        </is>
      </c>
      <c r="AM120" s="53" t="inlineStr">
        <is>
          <t>CARBON</t>
        </is>
      </c>
      <c r="AN120" s="53" t="inlineStr">
        <is>
          <t>Support</t>
        </is>
      </c>
      <c r="AO120" s="53" t="inlineStr">
        <is>
          <t>Product Support</t>
        </is>
      </c>
      <c r="AP120" s="53" t="inlineStr">
        <is>
          <t>No</t>
        </is>
      </c>
      <c r="AQ120" s="53" t="inlineStr">
        <is>
          <t>Product/Project</t>
        </is>
      </c>
      <c r="AR120" s="53" t="inlineStr">
        <is>
          <t>Domain Support</t>
        </is>
      </c>
      <c r="AS120" s="53" t="inlineStr">
        <is>
          <t>Non-technical</t>
        </is>
      </c>
      <c r="AT120" s="53" t="n">
        <v>20</v>
      </c>
      <c r="AU120" s="53" t="inlineStr">
        <is>
          <t>Covered</t>
        </is>
      </c>
      <c r="AV120" s="53" t="inlineStr">
        <is>
          <t>IRIS2494</t>
        </is>
      </c>
      <c r="AW120" s="53" t="inlineStr">
        <is>
          <t>Shruti Samant</t>
        </is>
      </c>
      <c r="AX120" s="53" t="inlineStr">
        <is>
          <t>Support</t>
        </is>
      </c>
      <c r="AY120" s="53" t="inlineStr">
        <is>
          <t>Customer Success &amp; Support</t>
        </is>
      </c>
      <c r="AZ120" s="53" t="inlineStr">
        <is>
          <t>Customer Success</t>
        </is>
      </c>
      <c r="BA120" s="53" t="n"/>
      <c r="BB120" s="53" t="n"/>
      <c r="BC120" s="53" t="inlineStr">
        <is>
          <t>Employee</t>
        </is>
      </c>
      <c r="BD120" s="53" t="inlineStr">
        <is>
          <t>Nelson Paul Koonan</t>
        </is>
      </c>
      <c r="BE120" s="53" t="inlineStr">
        <is>
          <t>Nelson Paul Koonan</t>
        </is>
      </c>
      <c r="BF120" s="53" t="inlineStr">
        <is>
          <t>No</t>
        </is>
      </c>
      <c r="BG120" s="53" t="inlineStr">
        <is>
          <t>Executive- Customer Support</t>
        </is>
      </c>
      <c r="BH120" s="53" t="inlineStr">
        <is>
          <t>Customer Support Associate</t>
        </is>
      </c>
      <c r="BI120" s="53" t="inlineStr">
        <is>
          <t>Yes</t>
        </is>
      </c>
      <c r="BJ120" s="53" t="inlineStr">
        <is>
          <t>—</t>
        </is>
      </c>
      <c r="BK120" s="53" t="inlineStr">
        <is>
          <t>—</t>
        </is>
      </c>
      <c r="BL120" s="53" t="inlineStr">
        <is>
          <t>—</t>
        </is>
      </c>
      <c r="BM120" s="53" t="inlineStr">
        <is>
          <t>Not a manager</t>
        </is>
      </c>
      <c r="BN120" s="53" t="inlineStr">
        <is>
          <t>—</t>
        </is>
      </c>
      <c r="BO120" s="53" t="inlineStr">
        <is>
          <t>—</t>
        </is>
      </c>
      <c r="BP120" s="53" t="inlineStr">
        <is>
          <t>—</t>
        </is>
      </c>
      <c r="BQ120" s="53" t="inlineStr">
        <is>
          <t>Not a manager</t>
        </is>
      </c>
      <c r="BR120" s="53" t="inlineStr">
        <is>
          <t>—</t>
        </is>
      </c>
      <c r="BS120" s="53" t="inlineStr">
        <is>
          <t>L3 – Professional / Associate</t>
        </is>
      </c>
      <c r="BT120" s="53" t="inlineStr">
        <is>
          <t>L1</t>
        </is>
      </c>
      <c r="BU120" s="53" t="inlineStr">
        <is>
          <t>Matched from Title Hierarchy · new designation</t>
        </is>
      </c>
      <c r="BV120"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20" s="53" t="n"/>
      <c r="BX120" s="53" t="inlineStr">
        <is>
          <t>Global.</t>
        </is>
      </c>
      <c r="BY120" s="53" t="n"/>
      <c r="BZ120" s="53" t="inlineStr">
        <is>
          <t>IRIS2494</t>
        </is>
      </c>
      <c r="CA120" s="53" t="inlineStr">
        <is>
          <t>Employee</t>
        </is>
      </c>
      <c r="CB120" s="53" t="inlineStr">
        <is>
          <t>Active</t>
        </is>
      </c>
      <c r="CC120" s="53" t="inlineStr">
        <is>
          <t>Shruti Samant</t>
        </is>
      </c>
      <c r="CD120" s="54" t="n">
        <v>46097</v>
      </c>
      <c r="CE120" s="53" t="inlineStr">
        <is>
          <t>Executive- Customer Support</t>
        </is>
      </c>
      <c r="CF120" s="53" t="inlineStr">
        <is>
          <t>L1 support</t>
        </is>
      </c>
      <c r="CG120" s="53" t="inlineStr">
        <is>
          <t>Customer Success &amp; Support</t>
        </is>
      </c>
      <c r="CH120" s="53" t="inlineStr">
        <is>
          <t>Customer Support</t>
        </is>
      </c>
      <c r="CI120" s="53" t="inlineStr">
        <is>
          <t>Customer Support Associate</t>
        </is>
      </c>
      <c r="CJ120" s="53" t="inlineStr">
        <is>
          <t>L3 – Professional / Associate</t>
        </is>
      </c>
      <c r="CK120" s="53" t="inlineStr">
        <is>
          <t>Nelson Paul Koonan</t>
        </is>
      </c>
      <c r="CL120" s="53" t="inlineStr">
        <is>
          <t>N-6</t>
        </is>
      </c>
      <c r="CM120" s="53" t="inlineStr">
        <is>
          <t>Individual Contributor</t>
        </is>
      </c>
      <c r="CN120" s="53" t="inlineStr">
        <is>
          <t>Regtech</t>
        </is>
      </c>
      <c r="CO120" s="53" t="inlineStr">
        <is>
          <t>Support</t>
        </is>
      </c>
      <c r="CP120" s="53" t="inlineStr">
        <is>
          <t>3 years, 3 months, 4 days</t>
        </is>
      </c>
      <c r="CQ120" s="53" t="inlineStr">
        <is>
          <t>Customer Support Associate</t>
        </is>
      </c>
      <c r="CR120" s="53" t="inlineStr">
        <is>
          <t>Yes</t>
        </is>
      </c>
      <c r="CS120" s="53" t="n">
        <v>2</v>
      </c>
      <c r="CT120" s="53" t="inlineStr">
        <is>
          <t>Medium</t>
        </is>
      </c>
      <c r="CU120" s="53" t="inlineStr">
        <is>
          <t>Emerging Talent</t>
        </is>
      </c>
      <c r="CV120" s="53" t="n"/>
      <c r="CW120" s="53" t="n"/>
      <c r="CX120" s="53" t="n"/>
      <c r="CY120" s="53" t="n"/>
      <c r="CZ120" s="53" t="inlineStr">
        <is>
          <t>Communication &amp; de-escalation; product/domain depth; ticketing &amp; SLA tools</t>
        </is>
      </c>
      <c r="DA120" s="53" t="inlineStr">
        <is>
          <t>Transition to leadership: people management &amp; delegation, mentoring/coaching, project ownership &amp; stakeholder management, prioritisation under ambiguity, presentation &amp; influence skills</t>
        </is>
      </c>
      <c r="DB120" s="53" t="inlineStr">
        <is>
          <t>07/16: Joined recently. Title to be standardized to; Customer Support Associate</t>
        </is>
      </c>
      <c r="DC120" s="53" t="n"/>
      <c r="DD120" s="53" t="n"/>
      <c r="DE120" s="53" t="n"/>
      <c r="DF120" s="53" t="n"/>
      <c r="DG120" s="53" t="n"/>
      <c r="DH120" s="53" t="n"/>
      <c r="DI120" s="53" t="n"/>
      <c r="DJ120" s="53" t="n"/>
      <c r="DK120" s="53" t="n"/>
      <c r="DL120" s="53" t="n"/>
      <c r="DM120" s="53" t="n"/>
      <c r="DN120" s="53" t="n"/>
      <c r="DO120" s="53" t="n"/>
      <c r="DP120" s="53" t="n"/>
      <c r="DQ120" s="53" t="n"/>
      <c r="DR120" s="53" t="n"/>
      <c r="DS120" s="53" t="n"/>
      <c r="DT120" s="53" t="n"/>
      <c r="DU120" s="53" t="n"/>
      <c r="DV120" s="53" t="n"/>
      <c r="DW120" s="53" t="n"/>
      <c r="DX120" s="53" t="n"/>
      <c r="DY120" s="53" t="n"/>
      <c r="DZ120" s="53" t="n"/>
      <c r="EA120" s="53" t="n"/>
      <c r="EB120" s="53" t="n"/>
      <c r="EC120" s="53" t="n"/>
      <c r="ED120" s="53" t="n"/>
      <c r="EE120" s="53" t="n"/>
      <c r="EF120" s="53" t="n"/>
      <c r="EG120" s="53" t="n"/>
      <c r="EH120" s="53" t="n"/>
      <c r="EI120" s="53" t="n"/>
      <c r="EJ120" s="53" t="n"/>
      <c r="EK120" s="53" t="n"/>
      <c r="EL120" s="53" t="n"/>
      <c r="EM120" s="53" t="n"/>
      <c r="EN120" s="53" t="n"/>
      <c r="EO120" s="53" t="n"/>
      <c r="EP120" s="53" t="n"/>
      <c r="EQ120" s="53" t="n"/>
      <c r="ER120" s="53" t="n"/>
      <c r="ES120" s="53" t="n"/>
      <c r="ET120" s="53" t="n"/>
      <c r="EU120" s="53" t="n"/>
      <c r="EV120" s="53" t="n"/>
      <c r="EW120" s="52" t="n"/>
      <c r="EX120" s="53"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EY120" s="53"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EZ120" s="53"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FA120" s="53" t="inlineStr">
        <is>
          <t>• Development priorities: Wants advanced product knowledge, technical skills, and leadership experience to move into the next role.</t>
        </is>
      </c>
      <c r="FB120" s="53" t="inlineStr">
        <is>
          <t>• Key challenges: Unclear issue details; changing customer requirements; new platform features.
• Support required: Automating routine responses and ticket categorization; balancing speed and accuracy.</t>
        </is>
      </c>
      <c r="FC120" s="53" t="n"/>
      <c r="FD120" s="53" t="n"/>
      <c r="FE120"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20" s="56" t="n"/>
      <c r="FG120" s="56" t="n"/>
      <c r="FH120" s="56" t="n"/>
      <c r="FI120" s="56" t="inlineStr">
        <is>
          <t>L1 support</t>
        </is>
      </c>
      <c r="FJ120" s="56" t="inlineStr">
        <is>
          <t>Received · manager annual</t>
        </is>
      </c>
      <c r="FK120" s="56" t="inlineStr">
        <is>
          <t>CARBON Mapping Master · CARBON Talent Mapping · Raw</t>
        </is>
      </c>
      <c r="FL120" s="56" t="n">
        <v>19</v>
      </c>
      <c r="FM120" s="56"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FN120" s="56"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FO120" s="56"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FP120" s="56" t="inlineStr">
        <is>
          <t>• Development priorities: Wants advanced product knowledge, technical skills, and leadership experience to move into the next role.</t>
        </is>
      </c>
      <c r="FQ120" s="56" t="inlineStr">
        <is>
          <t>• Key challenges: Unclear issue details; changing customer requirements; new platform features.
• Support required: Automating routine responses and ticket categorization; balancing speed and accuracy.</t>
        </is>
      </c>
      <c r="FR120" s="56" t="inlineStr">
        <is>
          <t>Complexity: Evidence reads like A2: First-level support: handles tickets and resolves issues using platform knowledge → matches the start
Autonomy: Evidence reads like A2: Prioritises tickets; no other decisions stated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120"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20" s="56" t="inlineStr">
        <is>
          <t>Self-identified: Leadership &amp; people management · Product &amp; tool knowledge
For the next role: Leadership &amp; people management · Product &amp; tool knowledge</t>
        </is>
      </c>
      <c r="FU120" s="56" t="inlineStr">
        <is>
          <t>Per-person summary · CARBON Mapping Master</t>
        </is>
      </c>
    </row>
    <row r="121" ht="90" customHeight="1">
      <c r="A121" s="51" t="inlineStr">
        <is>
          <t>◂ Back</t>
        </is>
      </c>
      <c r="B121" s="29" t="inlineStr">
        <is>
          <t>Mapped</t>
        </is>
      </c>
      <c r="C121" s="28" t="inlineStr">
        <is>
          <t>CARBON</t>
        </is>
      </c>
      <c r="D121" s="29" t="inlineStr">
        <is>
          <t>IRIS2096</t>
        </is>
      </c>
      <c r="E121" s="29" t="inlineStr">
        <is>
          <t>Sweety Mukherjee</t>
        </is>
      </c>
      <c r="F121" s="29" t="inlineStr">
        <is>
          <t>Support</t>
        </is>
      </c>
      <c r="G121" s="29" t="inlineStr">
        <is>
          <t>Executive- Customer Support</t>
        </is>
      </c>
      <c r="H121" s="29" t="inlineStr">
        <is>
          <t>Senior Support Executive</t>
        </is>
      </c>
      <c r="I121" s="29" t="inlineStr">
        <is>
          <t>L3 – Professional / Associate</t>
        </is>
      </c>
      <c r="J121" s="29" t="inlineStr">
        <is>
          <t>A3</t>
        </is>
      </c>
      <c r="K121" s="29" t="inlineStr">
        <is>
          <t>▲ Up</t>
        </is>
      </c>
      <c r="L121" s="29" t="inlineStr">
        <is>
          <t>Customer Success &amp; Support</t>
        </is>
      </c>
      <c r="M121" s="29" t="inlineStr">
        <is>
          <t>Application &amp; Product Support</t>
        </is>
      </c>
      <c r="N121" s="29" t="n"/>
      <c r="O121" s="29" t="n">
        <v>20</v>
      </c>
      <c r="P121" s="28" t="inlineStr">
        <is>
          <t>P2</t>
        </is>
      </c>
      <c r="Q121" s="29" t="inlineStr">
        <is>
          <t>Developing</t>
        </is>
      </c>
      <c r="R121" s="29" t="inlineStr">
        <is>
          <t>3 Apply</t>
        </is>
      </c>
      <c r="S121" s="29" t="inlineStr">
        <is>
          <t>2–4 yrs</t>
        </is>
      </c>
      <c r="T121" s="29" t="inlineStr">
        <is>
          <t>3–5 · 2–5</t>
        </is>
      </c>
      <c r="U121" s="29" t="inlineStr">
        <is>
          <t>Support / CS Executive</t>
        </is>
      </c>
      <c r="V121" s="29" t="inlineStr">
        <is>
          <t>IRIS Vs Competitor Benchmark — SaaS customer-success ladder: Associate CSM · Regnology: Product Support Specialist · Reg Reporting · IRIS Vs Competitor Benchmark — support tiers: L2 Application Support</t>
        </is>
      </c>
      <c r="W121" s="29" t="inlineStr">
        <is>
          <t>TSIA frameworks and benchmarks; ITIL 4 service desk; Gainsight customer-success practice</t>
        </is>
      </c>
      <c r="X121" s="29" t="inlineStr">
        <is>
          <t>Core 2 · Future 2 · Functional 3 · Leadership not scored</t>
        </is>
      </c>
      <c r="Y121" s="52" t="n">
        <v>259</v>
      </c>
      <c r="Z121" s="53" t="inlineStr">
        <is>
          <t>IRIS2096</t>
        </is>
      </c>
      <c r="AA121" s="53" t="inlineStr">
        <is>
          <t>Employee</t>
        </is>
      </c>
      <c r="AB121" s="53" t="inlineStr">
        <is>
          <t>Active</t>
        </is>
      </c>
      <c r="AC121" s="53" t="inlineStr">
        <is>
          <t>Sweety Mukherjee</t>
        </is>
      </c>
      <c r="AD121" s="54" t="n">
        <v>44949</v>
      </c>
      <c r="AE121" s="53" t="inlineStr">
        <is>
          <t>Executive- Customer Support</t>
        </is>
      </c>
      <c r="AF121" s="53" t="inlineStr">
        <is>
          <t>BCA</t>
        </is>
      </c>
      <c r="AG121" s="53" t="inlineStr">
        <is>
          <t>Harshal Shah</t>
        </is>
      </c>
      <c r="AH121" s="53" t="inlineStr">
        <is>
          <t>N-5</t>
        </is>
      </c>
      <c r="AI121" s="53" t="inlineStr">
        <is>
          <t>Individual Contributor</t>
        </is>
      </c>
      <c r="AJ121" s="53" t="inlineStr">
        <is>
          <t>3 years, 4 months, 0 days</t>
        </is>
      </c>
      <c r="AK121" s="53" t="inlineStr">
        <is>
          <t>3 years, 7 months, 2 days</t>
        </is>
      </c>
      <c r="AL121" s="53" t="inlineStr">
        <is>
          <t>Regtech</t>
        </is>
      </c>
      <c r="AM121" s="53" t="inlineStr">
        <is>
          <t>CARBON</t>
        </is>
      </c>
      <c r="AN121" s="53" t="inlineStr">
        <is>
          <t>Support</t>
        </is>
      </c>
      <c r="AO121" s="53" t="inlineStr">
        <is>
          <t>Product Support</t>
        </is>
      </c>
      <c r="AP121" s="53" t="inlineStr">
        <is>
          <t>No</t>
        </is>
      </c>
      <c r="AQ121" s="53" t="inlineStr">
        <is>
          <t>Product/Project</t>
        </is>
      </c>
      <c r="AR121" s="53" t="inlineStr">
        <is>
          <t>Domain Support</t>
        </is>
      </c>
      <c r="AS121" s="53" t="inlineStr">
        <is>
          <t>Non-technical</t>
        </is>
      </c>
      <c r="AT121" s="53" t="n">
        <v>20</v>
      </c>
      <c r="AU121" s="53" t="inlineStr">
        <is>
          <t>Covered</t>
        </is>
      </c>
      <c r="AV121" s="53" t="inlineStr">
        <is>
          <t>IRIS2096</t>
        </is>
      </c>
      <c r="AW121" s="53" t="inlineStr">
        <is>
          <t>Sweety Mukherjee</t>
        </is>
      </c>
      <c r="AX121" s="53" t="inlineStr">
        <is>
          <t>Support</t>
        </is>
      </c>
      <c r="AY121" s="53" t="inlineStr">
        <is>
          <t>Customer Success &amp; Support</t>
        </is>
      </c>
      <c r="AZ121" s="53" t="inlineStr">
        <is>
          <t>Customer Success</t>
        </is>
      </c>
      <c r="BA121" s="53" t="n"/>
      <c r="BB121" s="53" t="n"/>
      <c r="BC121" s="53" t="inlineStr">
        <is>
          <t>Employee</t>
        </is>
      </c>
      <c r="BD121" s="53" t="inlineStr">
        <is>
          <t>Harshal Shah</t>
        </is>
      </c>
      <c r="BE121" s="53" t="inlineStr">
        <is>
          <t>Harshal Shah</t>
        </is>
      </c>
      <c r="BF121" s="53" t="inlineStr">
        <is>
          <t>No</t>
        </is>
      </c>
      <c r="BG121" s="53" t="inlineStr">
        <is>
          <t>Executive- Customer Support</t>
        </is>
      </c>
      <c r="BH121" s="53" t="inlineStr">
        <is>
          <t>Customer Support Specialist</t>
        </is>
      </c>
      <c r="BI121" s="53" t="inlineStr">
        <is>
          <t>Yes</t>
        </is>
      </c>
      <c r="BJ121" s="53" t="inlineStr">
        <is>
          <t>—</t>
        </is>
      </c>
      <c r="BK121" s="53" t="inlineStr">
        <is>
          <t>—</t>
        </is>
      </c>
      <c r="BL121" s="53" t="inlineStr">
        <is>
          <t>—</t>
        </is>
      </c>
      <c r="BM121" s="53" t="inlineStr">
        <is>
          <t>Not a manager</t>
        </is>
      </c>
      <c r="BN121" s="53" t="inlineStr">
        <is>
          <t>—</t>
        </is>
      </c>
      <c r="BO121" s="53" t="inlineStr">
        <is>
          <t>—</t>
        </is>
      </c>
      <c r="BP121" s="53" t="inlineStr">
        <is>
          <t>—</t>
        </is>
      </c>
      <c r="BQ121" s="53" t="inlineStr">
        <is>
          <t>Not a manager</t>
        </is>
      </c>
      <c r="BR121" s="53" t="inlineStr">
        <is>
          <t>—</t>
        </is>
      </c>
      <c r="BS121" s="53" t="inlineStr">
        <is>
          <t>L3 – Professional / Associate</t>
        </is>
      </c>
      <c r="BT121" s="53" t="inlineStr">
        <is>
          <t>L2</t>
        </is>
      </c>
      <c r="BU121" s="53" t="inlineStr">
        <is>
          <t>Matched from Title Hierarchy · new designation</t>
        </is>
      </c>
      <c r="BV121"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21" s="53" t="n"/>
      <c r="BX121" s="53" t="inlineStr">
        <is>
          <t>No input received.</t>
        </is>
      </c>
      <c r="BY121" s="53" t="n"/>
      <c r="BZ121" s="53" t="inlineStr">
        <is>
          <t>IRIS2096</t>
        </is>
      </c>
      <c r="CA121" s="53" t="inlineStr">
        <is>
          <t>Employee</t>
        </is>
      </c>
      <c r="CB121" s="53" t="inlineStr">
        <is>
          <t>Active</t>
        </is>
      </c>
      <c r="CC121" s="53" t="inlineStr">
        <is>
          <t>Sweety Mukherjee</t>
        </is>
      </c>
      <c r="CD121" s="54" t="n">
        <v>44949</v>
      </c>
      <c r="CE121" s="53" t="inlineStr">
        <is>
          <t>Executive- Customer Support</t>
        </is>
      </c>
      <c r="CF121" s="53" t="inlineStr">
        <is>
          <t>L1 support</t>
        </is>
      </c>
      <c r="CG121" s="53" t="inlineStr">
        <is>
          <t>Customer Success &amp; Support</t>
        </is>
      </c>
      <c r="CH121" s="53" t="inlineStr">
        <is>
          <t>Customer Support</t>
        </is>
      </c>
      <c r="CI121" s="53" t="inlineStr">
        <is>
          <t>Customer Support Specialist</t>
        </is>
      </c>
      <c r="CJ121" s="53" t="inlineStr">
        <is>
          <t>L3 – Professional / Associate</t>
        </is>
      </c>
      <c r="CK121" s="53" t="inlineStr">
        <is>
          <t>Harshal Shah</t>
        </is>
      </c>
      <c r="CL121" s="53" t="inlineStr">
        <is>
          <t>N-5</t>
        </is>
      </c>
      <c r="CM121" s="53" t="inlineStr">
        <is>
          <t>Individual Contributor</t>
        </is>
      </c>
      <c r="CN121" s="53" t="inlineStr">
        <is>
          <t>Regtech</t>
        </is>
      </c>
      <c r="CO121" s="53" t="inlineStr">
        <is>
          <t>Support</t>
        </is>
      </c>
      <c r="CP121" s="53" t="inlineStr">
        <is>
          <t>6 years, 8 months, 28 days</t>
        </is>
      </c>
      <c r="CQ121" s="53" t="inlineStr">
        <is>
          <t>Customer Support Specialist</t>
        </is>
      </c>
      <c r="CR121" s="53" t="inlineStr">
        <is>
          <t>Yes</t>
        </is>
      </c>
      <c r="CS121" s="53" t="n">
        <v>3</v>
      </c>
      <c r="CT121" s="53" t="inlineStr">
        <is>
          <t>Medium</t>
        </is>
      </c>
      <c r="CU121" s="53" t="inlineStr">
        <is>
          <t>Core Contributor</t>
        </is>
      </c>
      <c r="CV121" s="53" t="n"/>
      <c r="CW121" s="53" t="n"/>
      <c r="CX121" s="53" t="n"/>
      <c r="CY121" s="53" t="n"/>
      <c r="CZ121" s="53" t="inlineStr">
        <is>
          <t>Customer success methods; communication &amp; de-escalation; product/domain depth; ticketing &amp; SLA tools</t>
        </is>
      </c>
      <c r="DA121" s="53" t="inlineStr">
        <is>
          <t>Transition to leadership: people management &amp; delegation, mentoring/coaching, project ownership &amp; stakeholder management, prioritisation under ambiguity, presentation &amp; influence skills</t>
        </is>
      </c>
      <c r="DB121" s="53" t="inlineStr">
        <is>
          <t>Title to be changed to Customer Support Specialist</t>
        </is>
      </c>
      <c r="DC121" s="53" t="n"/>
      <c r="DD121" s="53" t="n"/>
      <c r="DE121" s="53" t="n"/>
      <c r="DF121" s="53" t="n"/>
      <c r="DG121" s="53" t="n"/>
      <c r="DH121" s="53" t="n"/>
      <c r="DI121" s="53" t="n"/>
      <c r="DJ121" s="53" t="n"/>
      <c r="DK121" s="53" t="n"/>
      <c r="DL121" s="53" t="n"/>
      <c r="DM121" s="53" t="n"/>
      <c r="DN121" s="53" t="n"/>
      <c r="DO121" s="53" t="n"/>
      <c r="DP121" s="53" t="n"/>
      <c r="DQ121" s="53" t="n"/>
      <c r="DR121" s="53" t="n"/>
      <c r="DS121" s="53" t="n"/>
      <c r="DT121" s="53" t="n"/>
      <c r="DU121" s="53" t="n"/>
      <c r="DV121" s="53" t="n"/>
      <c r="DW121" s="53" t="n"/>
      <c r="DX121" s="53" t="n"/>
      <c r="DY121" s="53" t="n"/>
      <c r="DZ121" s="53" t="n"/>
      <c r="EA121" s="53" t="n"/>
      <c r="EB121" s="53" t="n"/>
      <c r="EC121" s="53" t="n"/>
      <c r="ED121" s="53" t="n"/>
      <c r="EE121" s="53" t="n"/>
      <c r="EF121" s="53" t="n"/>
      <c r="EG121" s="53" t="n"/>
      <c r="EH121" s="53" t="n"/>
      <c r="EI121" s="53" t="n"/>
      <c r="EJ121" s="53" t="n"/>
      <c r="EK121" s="53" t="n"/>
      <c r="EL121" s="53" t="n"/>
      <c r="EM121" s="53" t="n"/>
      <c r="EN121" s="53" t="n"/>
      <c r="EO121" s="53" t="n"/>
      <c r="EP121" s="53" t="n"/>
      <c r="EQ121" s="53" t="n"/>
      <c r="ER121" s="53" t="n"/>
      <c r="ES121" s="53" t="n"/>
      <c r="ET121" s="53" t="n"/>
      <c r="EU121" s="53" t="n"/>
      <c r="EV121" s="53" t="n"/>
      <c r="EW121" s="52" t="n"/>
      <c r="EX121" s="53"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EY121" s="53"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EZ121" s="53"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FA121" s="53"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B121" s="53" t="inlineStr">
        <is>
          <t>• Support required: No input received.</t>
        </is>
      </c>
      <c r="FC121" s="53" t="n"/>
      <c r="FD121" s="53" t="n"/>
      <c r="FE121"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21" s="56" t="n"/>
      <c r="FG121" s="56" t="n"/>
      <c r="FH121" s="56" t="n"/>
      <c r="FI121" s="56" t="inlineStr">
        <is>
          <t>L1 support</t>
        </is>
      </c>
      <c r="FJ121" s="56" t="inlineStr">
        <is>
          <t>Received · manager annual</t>
        </is>
      </c>
      <c r="FK121" s="56" t="inlineStr">
        <is>
          <t>CARBON Mapping Master · CARBON Talent Mapping · Raw</t>
        </is>
      </c>
      <c r="FL121" s="56" t="n">
        <v>20</v>
      </c>
      <c r="FM121" s="56"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FN121" s="56"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FO121" s="56"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FP121" s="56"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Q121" s="56" t="inlineStr">
        <is>
          <t>• Support required: No input received.</t>
        </is>
      </c>
      <c r="FR121" s="56" t="inlineStr">
        <is>
          <t>Complexity: Evidence reads like A2: Resolves routine customer issues and basic complaints with standard solutions; some testing → matches the start
Autonomy: Evidence reads like A2: Resolves routine issues, handles basic complaints, gives standard solutions → matches the start
Accountability: Evidence reads like A2: Timely, accurate responses on own customer complaints → matches the start
Leadership: Evidence reads like A1: No guidance of others described → matches the start
Business Impact: No survey or manager-mapping signal on criticality: kept at the start point.</t>
        </is>
      </c>
      <c r="FS121"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21" s="56" t="inlineStr">
        <is>
          <t>Self-identified: Product &amp; tool knowledge · Client, sales &amp; stakeholders
For the next role: Product &amp; tool knowledge · Client, sales &amp; stakeholders</t>
        </is>
      </c>
      <c r="FU121" s="56" t="inlineStr">
        <is>
          <t>Per-person summary · CARBON Mapping Master</t>
        </is>
      </c>
    </row>
    <row r="122" ht="90" customHeight="1">
      <c r="A122" s="51" t="inlineStr">
        <is>
          <t>◂ Back</t>
        </is>
      </c>
      <c r="B122" s="29" t="inlineStr">
        <is>
          <t>Mapped</t>
        </is>
      </c>
      <c r="C122" s="28" t="inlineStr">
        <is>
          <t>CARBON</t>
        </is>
      </c>
      <c r="D122" s="29" t="inlineStr">
        <is>
          <t>IRIS2372</t>
        </is>
      </c>
      <c r="E122" s="29" t="inlineStr">
        <is>
          <t>Aakanksha Swaminathan</t>
        </is>
      </c>
      <c r="F122" s="29" t="inlineStr">
        <is>
          <t>Functional</t>
        </is>
      </c>
      <c r="G122" s="29" t="inlineStr">
        <is>
          <t>Functional Specialist</t>
        </is>
      </c>
      <c r="H122" s="29" t="inlineStr">
        <is>
          <t>Senior Customer Success Specialist – POD Lead</t>
        </is>
      </c>
      <c r="I122" s="29" t="inlineStr">
        <is>
          <t>L3 – Professional / Associate</t>
        </is>
      </c>
      <c r="J122" s="29" t="inlineStr">
        <is>
          <t>B1</t>
        </is>
      </c>
      <c r="K122" s="29" t="inlineStr">
        <is>
          <t>▲ Up</t>
        </is>
      </c>
      <c r="L122" s="29" t="inlineStr">
        <is>
          <t>Customer Success &amp; Support</t>
        </is>
      </c>
      <c r="M122" s="29" t="inlineStr">
        <is>
          <t>Customer Success &amp; Account Management</t>
        </is>
      </c>
      <c r="N122" s="29" t="n"/>
      <c r="O122" s="29" t="n">
        <v>16</v>
      </c>
      <c r="P122" s="28" t="inlineStr">
        <is>
          <t>P3 / M2</t>
        </is>
      </c>
      <c r="Q122" s="29" t="inlineStr">
        <is>
          <t>Career / · Team Lead</t>
        </is>
      </c>
      <c r="R122" s="29" t="inlineStr">
        <is>
          <t>4 Enable</t>
        </is>
      </c>
      <c r="S122" s="29" t="inlineStr">
        <is>
          <t>4–7 yrs</t>
        </is>
      </c>
      <c r="T122" s="29" t="inlineStr">
        <is>
          <t>5–8 · 4–8</t>
        </is>
      </c>
      <c r="U122" s="29" t="inlineStr">
        <is>
          <t>Senior CSM / Support Specialist</t>
        </is>
      </c>
      <c r="V122" s="29" t="inlineStr">
        <is>
          <t>Workiva: Customer Success Manager · IRIS Vs Competitor Benchmark — SaaS customer-success ladder: CSM · IRIS Vs Competitor Benchmark — support tiers: L3 / Problem Analyst</t>
        </is>
      </c>
      <c r="W122" s="29" t="inlineStr">
        <is>
          <t>TSIA frameworks and benchmarks; ITIL 4 service desk; Gainsight customer-success practice</t>
        </is>
      </c>
      <c r="X122" s="29" t="inlineStr">
        <is>
          <t>Core 3 · Future 3 · Functional 3 · Leadership 2</t>
        </is>
      </c>
      <c r="Y122" s="52" t="n">
        <v>369</v>
      </c>
      <c r="Z122" s="53" t="inlineStr">
        <is>
          <t>IRIS2372</t>
        </is>
      </c>
      <c r="AA122" s="53" t="inlineStr">
        <is>
          <t>Employee</t>
        </is>
      </c>
      <c r="AB122" s="53" t="inlineStr">
        <is>
          <t>Active</t>
        </is>
      </c>
      <c r="AC122" s="53" t="inlineStr">
        <is>
          <t>Aakanksha Swaminathan</t>
        </is>
      </c>
      <c r="AD122" s="54" t="n">
        <v>45782</v>
      </c>
      <c r="AE122" s="53" t="inlineStr">
        <is>
          <t>Functional Specialist</t>
        </is>
      </c>
      <c r="AF122" s="53" t="inlineStr">
        <is>
          <t>CA</t>
        </is>
      </c>
      <c r="AG122" s="53" t="inlineStr">
        <is>
          <t>Suman Adhikary</t>
        </is>
      </c>
      <c r="AH122" s="53" t="inlineStr">
        <is>
          <t>N-4</t>
        </is>
      </c>
      <c r="AI122" s="53" t="inlineStr">
        <is>
          <t>Manager</t>
        </is>
      </c>
      <c r="AJ122" s="53" t="inlineStr">
        <is>
          <t>6 years, 10 months, 0 days</t>
        </is>
      </c>
      <c r="AK122" s="53" t="inlineStr">
        <is>
          <t>1 years, 3 months, 20 days</t>
        </is>
      </c>
      <c r="AL122" s="53" t="inlineStr">
        <is>
          <t>Regtech</t>
        </is>
      </c>
      <c r="AM122" s="53" t="inlineStr">
        <is>
          <t>CARBON</t>
        </is>
      </c>
      <c r="AN122" s="53" t="inlineStr">
        <is>
          <t>Functional</t>
        </is>
      </c>
      <c r="AO122" s="53" t="inlineStr">
        <is>
          <t>Client Engagement</t>
        </is>
      </c>
      <c r="AP122" s="53" t="inlineStr">
        <is>
          <t>No</t>
        </is>
      </c>
      <c r="AQ122" s="53" t="inlineStr">
        <is>
          <t>Client Engagement</t>
        </is>
      </c>
      <c r="AR122" s="53" t="inlineStr">
        <is>
          <t>CA + CE</t>
        </is>
      </c>
      <c r="AS122" s="53" t="inlineStr">
        <is>
          <t>Non-technical</t>
        </is>
      </c>
      <c r="AT122" s="53" t="n">
        <v>20</v>
      </c>
      <c r="AU122" s="53" t="inlineStr">
        <is>
          <t>Covered</t>
        </is>
      </c>
      <c r="AV122" s="53" t="inlineStr">
        <is>
          <t>IRIS2372</t>
        </is>
      </c>
      <c r="AW122" s="53" t="inlineStr">
        <is>
          <t>Aakanksha Swaminathan</t>
        </is>
      </c>
      <c r="AX122" s="53" t="inlineStr">
        <is>
          <t>Functional</t>
        </is>
      </c>
      <c r="AY122" s="53" t="inlineStr">
        <is>
          <t>Consulting</t>
        </is>
      </c>
      <c r="AZ122" s="53" t="inlineStr">
        <is>
          <t>GTM &amp; Business Develoment</t>
        </is>
      </c>
      <c r="BA122" s="53" t="inlineStr">
        <is>
          <t>Consulting</t>
        </is>
      </c>
      <c r="BB122" s="53" t="inlineStr">
        <is>
          <t>Product Management</t>
        </is>
      </c>
      <c r="BC122" s="53" t="inlineStr">
        <is>
          <t>Employee</t>
        </is>
      </c>
      <c r="BD122" s="53" t="inlineStr">
        <is>
          <t>Suman Adhikary</t>
        </is>
      </c>
      <c r="BE122" s="53" t="inlineStr">
        <is>
          <t>Anuradha RK</t>
        </is>
      </c>
      <c r="BF122" s="53" t="inlineStr">
        <is>
          <t>Yes</t>
        </is>
      </c>
      <c r="BG122" s="53" t="inlineStr">
        <is>
          <t>Functional Specialist</t>
        </is>
      </c>
      <c r="BH122" s="53" t="inlineStr">
        <is>
          <t>Lead - Growth Strategy &amp; GTM, Office of CFO Solutions</t>
        </is>
      </c>
      <c r="BI122" s="53" t="inlineStr">
        <is>
          <t>Yes</t>
        </is>
      </c>
      <c r="BJ122" s="53" t="n">
        <v>1</v>
      </c>
      <c r="BK122" s="53" t="n">
        <v>1</v>
      </c>
      <c r="BL122" s="53" t="n">
        <v>0</v>
      </c>
      <c r="BM122" s="53" t="inlineStr">
        <is>
          <t>Consolidate / flatten</t>
        </is>
      </c>
      <c r="BN122" s="53" t="n">
        <v>1</v>
      </c>
      <c r="BO122" s="53" t="n">
        <v>1</v>
      </c>
      <c r="BP122" s="53" t="n">
        <v>0</v>
      </c>
      <c r="BQ122" s="53" t="inlineStr">
        <is>
          <t>Consolidate / flatten</t>
        </is>
      </c>
      <c r="BR122" s="53" t="inlineStr">
        <is>
          <t>No</t>
        </is>
      </c>
      <c r="BS122" s="53" t="inlineStr">
        <is>
          <t>L3 – Professional / Associate</t>
        </is>
      </c>
      <c r="BT122" s="53" t="inlineStr">
        <is>
          <t>L3</t>
        </is>
      </c>
      <c r="BU122" s="53" t="inlineStr">
        <is>
          <t>Matched from Title Hierarchy · new designation</t>
        </is>
      </c>
      <c r="BV122" s="53"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W122" s="53" t="n"/>
      <c r="BX122" s="53" t="n"/>
      <c r="BY122" s="53" t="n"/>
      <c r="BZ122" s="53" t="inlineStr">
        <is>
          <t>IRIS2372</t>
        </is>
      </c>
      <c r="CA122" s="53" t="inlineStr">
        <is>
          <t>Employee</t>
        </is>
      </c>
      <c r="CB122" s="53" t="inlineStr">
        <is>
          <t>Active</t>
        </is>
      </c>
      <c r="CC122" s="53" t="inlineStr">
        <is>
          <t>Aakanksha Swaminathan</t>
        </is>
      </c>
      <c r="CD122" s="54" t="n">
        <v>45782</v>
      </c>
      <c r="CE122" s="53" t="inlineStr">
        <is>
          <t>Functional Specialist</t>
        </is>
      </c>
      <c r="CF122" s="53" t="n"/>
      <c r="CG122" s="53" t="inlineStr">
        <is>
          <t>Consulting  Services</t>
        </is>
      </c>
      <c r="CH122" s="53" t="inlineStr">
        <is>
          <t>Financial Reporting Advisory</t>
        </is>
      </c>
      <c r="CI122" s="53" t="inlineStr">
        <is>
          <t>Functional Specialist</t>
        </is>
      </c>
      <c r="CJ122" s="53" t="inlineStr">
        <is>
          <t>L3 – Professional / Associate</t>
        </is>
      </c>
      <c r="CK122" s="53" t="inlineStr">
        <is>
          <t>Anuradha RK</t>
        </is>
      </c>
      <c r="CL122" s="53" t="inlineStr">
        <is>
          <t>N-4</t>
        </is>
      </c>
      <c r="CM122" s="53" t="inlineStr">
        <is>
          <t>Individual Contributor</t>
        </is>
      </c>
      <c r="CN122" s="53" t="inlineStr">
        <is>
          <t>Regtech</t>
        </is>
      </c>
      <c r="CO122" s="53" t="inlineStr">
        <is>
          <t>Functional</t>
        </is>
      </c>
      <c r="CP122" s="53" t="inlineStr">
        <is>
          <t>7 years, 11 months, 15 days</t>
        </is>
      </c>
      <c r="CQ122" s="53" t="inlineStr">
        <is>
          <t>Lead - GTM &amp; Strategic Initiatives</t>
        </is>
      </c>
      <c r="CR122" s="53" t="inlineStr">
        <is>
          <t>No</t>
        </is>
      </c>
      <c r="CS122" s="53" t="n">
        <v>5</v>
      </c>
      <c r="CT122" s="53" t="inlineStr">
        <is>
          <t>High</t>
        </is>
      </c>
      <c r="CU122" s="53" t="inlineStr">
        <is>
          <t>Future Leader</t>
        </is>
      </c>
      <c r="CV122" s="53" t="n"/>
      <c r="CW122" s="53" t="n"/>
      <c r="CX122" s="53" t="n"/>
      <c r="CY122" s="53" t="n"/>
      <c r="CZ122" s="53" t="inlineStr">
        <is>
          <t>Customer success methods; communication &amp; de-escalation; Team work</t>
        </is>
      </c>
      <c r="DA122" s="53" t="inlineStr">
        <is>
          <t>Transition to leadership: people management &amp; delegation, mentoring/coaching, prioritisation under ambiguity, Customer Management, influence skills</t>
        </is>
      </c>
      <c r="DB122" s="53" t="inlineStr">
        <is>
          <t>Suggested for GTM Role as additional role. Title to be standardized as : Strategic &amp; Learning Initiative Owner</t>
        </is>
      </c>
      <c r="DC122" s="53" t="n"/>
      <c r="DD122" s="53" t="n"/>
      <c r="DE122" s="53" t="n"/>
      <c r="DF122" s="53" t="n"/>
      <c r="DG122" s="53" t="n"/>
      <c r="DH122" s="53" t="n"/>
      <c r="DI122" s="53" t="n"/>
      <c r="DJ122" s="53" t="n"/>
      <c r="DK122" s="53" t="n"/>
      <c r="DL122" s="53" t="n"/>
      <c r="DM122" s="53" t="n"/>
      <c r="DN122" s="53" t="n"/>
      <c r="DO122" s="53" t="n"/>
      <c r="DP122" s="53" t="n"/>
      <c r="DQ122" s="53" t="n"/>
      <c r="DR122" s="53" t="n"/>
      <c r="DS122" s="53" t="n"/>
      <c r="DT122" s="53" t="n"/>
      <c r="DU122" s="53" t="n"/>
      <c r="DV122" s="53" t="n"/>
      <c r="DW122" s="53" t="n"/>
      <c r="DX122" s="53" t="n"/>
      <c r="DY122" s="53" t="n"/>
      <c r="DZ122" s="53" t="n"/>
      <c r="EA122" s="53" t="n"/>
      <c r="EB122" s="53" t="n"/>
      <c r="EC122" s="53" t="n"/>
      <c r="ED122" s="53" t="n"/>
      <c r="EE122" s="53" t="n"/>
      <c r="EF122" s="53" t="n"/>
      <c r="EG122" s="53" t="n"/>
      <c r="EH122" s="53" t="n"/>
      <c r="EI122" s="53" t="n"/>
      <c r="EJ122" s="53" t="n"/>
      <c r="EK122" s="53" t="n"/>
      <c r="EL122" s="53" t="n"/>
      <c r="EM122" s="53" t="n"/>
      <c r="EN122" s="53" t="n"/>
      <c r="EO122" s="53" t="n"/>
      <c r="EP122" s="53" t="n"/>
      <c r="EQ122" s="53" t="n"/>
      <c r="ER122" s="53" t="n"/>
      <c r="ES122" s="53" t="n"/>
      <c r="ET122" s="53" t="n"/>
      <c r="EU122" s="53" t="n"/>
      <c r="EV122" s="53" t="n"/>
      <c r="EW122" s="52" t="n"/>
      <c r="EX122" s="53" t="n"/>
      <c r="EY122" s="53" t="n"/>
      <c r="EZ122" s="53" t="n"/>
      <c r="FA122" s="53" t="n"/>
      <c r="FB122" s="53" t="n"/>
      <c r="FC122" s="53" t="n"/>
      <c r="FD122" s="53" t="n"/>
      <c r="FE122" s="57"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FF122" s="56" t="n"/>
      <c r="FG122" s="56" t="n"/>
      <c r="FH122" s="56" t="n"/>
      <c r="FI122" s="56" t="n"/>
      <c r="FJ122" s="56" t="inlineStr">
        <is>
          <t>Received · manager annual</t>
        </is>
      </c>
      <c r="FK122" s="56" t="inlineStr">
        <is>
          <t>CARBON Mapping Master</t>
        </is>
      </c>
      <c r="FL122" s="56" t="n">
        <v>16</v>
      </c>
      <c r="FM122" s="32" t="inlineStr">
        <is>
          <t>Full survey answers not in the files received · How We Grow export needed · HR</t>
        </is>
      </c>
      <c r="FN122" s="56" t="inlineStr">
        <is>
          <t>—</t>
        </is>
      </c>
      <c r="FO122" s="56" t="inlineStr">
        <is>
          <t>—</t>
        </is>
      </c>
      <c r="FP122" s="56" t="inlineStr">
        <is>
          <t>—</t>
        </is>
      </c>
      <c r="FQ122" s="56" t="inlineStr">
        <is>
          <t>—</t>
        </is>
      </c>
      <c r="FR122" s="56"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'All' → moved up 0.5
Leadership: Evidence reads like A3: Upskilling of department listed; 2 direct reports → moved down 0.5
Business Impact: No survey or manager-mapping signal on criticality: kept at the start point.</t>
        </is>
      </c>
      <c r="FS122"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22" s="56" t="inlineStr">
        <is>
          <t>Self-identified: Leadership &amp; people management
For the next role: Leadership &amp; people management</t>
        </is>
      </c>
      <c r="FU122" s="32" t="inlineStr">
        <is>
          <t>Full survey answers not in the files received · How We Grow export needed · HR</t>
        </is>
      </c>
    </row>
    <row r="123" ht="90" customHeight="1">
      <c r="A123" s="51" t="inlineStr">
        <is>
          <t>◂ Back</t>
        </is>
      </c>
      <c r="B123" s="29" t="inlineStr">
        <is>
          <t>Mapped</t>
        </is>
      </c>
      <c r="C123" s="28" t="inlineStr">
        <is>
          <t>CARBON</t>
        </is>
      </c>
      <c r="D123" s="29" t="inlineStr">
        <is>
          <t>IRIS2510</t>
        </is>
      </c>
      <c r="E123" s="29" t="inlineStr">
        <is>
          <t>Chirag Shah</t>
        </is>
      </c>
      <c r="F123" s="29" t="inlineStr">
        <is>
          <t>Functional</t>
        </is>
      </c>
      <c r="G123" s="29" t="inlineStr">
        <is>
          <t>Functional Specialist</t>
        </is>
      </c>
      <c r="H123" s="29" t="inlineStr">
        <is>
          <t>Functional Specialist</t>
        </is>
      </c>
      <c r="I123" s="29" t="inlineStr">
        <is>
          <t>L3 – Professional / Associate</t>
        </is>
      </c>
      <c r="J123" s="29" t="inlineStr">
        <is>
          <t>B1</t>
        </is>
      </c>
      <c r="K123" s="29" t="inlineStr">
        <is>
          <t>▲ Up</t>
        </is>
      </c>
      <c r="L123" s="29" t="inlineStr">
        <is>
          <t>Solution Consulting &amp; Implementation</t>
        </is>
      </c>
      <c r="M123" s="29" t="inlineStr">
        <is>
          <t>Solution Consulting &amp; Implementation</t>
        </is>
      </c>
      <c r="N123" s="29" t="n"/>
      <c r="O123" s="29" t="n">
        <v>20</v>
      </c>
      <c r="P123" s="28" t="inlineStr">
        <is>
          <t>P3 / M2</t>
        </is>
      </c>
      <c r="Q123" s="29" t="inlineStr">
        <is>
          <t>Career / · Team Lead</t>
        </is>
      </c>
      <c r="R123" s="29" t="inlineStr">
        <is>
          <t>4 Enable</t>
        </is>
      </c>
      <c r="S123" s="29" t="inlineStr">
        <is>
          <t>4–7 yrs</t>
        </is>
      </c>
      <c r="T123" s="29" t="inlineStr">
        <is>
          <t>5–8 · 4–8</t>
        </is>
      </c>
      <c r="U123" s="29" t="inlineStr">
        <is>
          <t>Senior Consultant</t>
        </is>
      </c>
      <c r="V123" s="29" t="inlineStr">
        <is>
          <t>Big Four: Senior Consultant · Regnology: BA · Reg Reporting</t>
        </is>
      </c>
      <c r="W123" s="29" t="inlineStr">
        <is>
          <t>TSIA professional services; PMI; BABOK</t>
        </is>
      </c>
      <c r="X123" s="29" t="inlineStr">
        <is>
          <t>Core 3 · Future 3 · Functional 3 · Leadership 1</t>
        </is>
      </c>
      <c r="Y123" s="52" t="n">
        <v>481</v>
      </c>
      <c r="Z123" s="53" t="inlineStr">
        <is>
          <t>IRIS2510</t>
        </is>
      </c>
      <c r="AA123" s="53" t="inlineStr">
        <is>
          <t>Employee</t>
        </is>
      </c>
      <c r="AB123" s="53" t="inlineStr">
        <is>
          <t>Active</t>
        </is>
      </c>
      <c r="AC123" s="53" t="inlineStr">
        <is>
          <t>Chirag Shah</t>
        </is>
      </c>
      <c r="AD123" s="54" t="n">
        <v>46125</v>
      </c>
      <c r="AE123" s="53" t="inlineStr">
        <is>
          <t>Functional Specialist</t>
        </is>
      </c>
      <c r="AF123" s="53" t="inlineStr">
        <is>
          <t>CA</t>
        </is>
      </c>
      <c r="AG123" s="53" t="inlineStr">
        <is>
          <t>Aakanksha Swaminathan</t>
        </is>
      </c>
      <c r="AH123" s="53" t="inlineStr">
        <is>
          <t>N-5</t>
        </is>
      </c>
      <c r="AI123" s="53" t="inlineStr">
        <is>
          <t>Individual Contributor</t>
        </is>
      </c>
      <c r="AJ123" s="53" t="inlineStr">
        <is>
          <t>4 years, 0 months, 0 days</t>
        </is>
      </c>
      <c r="AK123" s="53" t="inlineStr">
        <is>
          <t>0 years, 4 months, 12 days</t>
        </is>
      </c>
      <c r="AL123" s="53" t="inlineStr">
        <is>
          <t>Regtech</t>
        </is>
      </c>
      <c r="AM123" s="53" t="inlineStr">
        <is>
          <t>CARBON</t>
        </is>
      </c>
      <c r="AN123" s="53" t="inlineStr">
        <is>
          <t>Functional</t>
        </is>
      </c>
      <c r="AO123" s="53" t="inlineStr">
        <is>
          <t>Client Engagement</t>
        </is>
      </c>
      <c r="AP123" s="53" t="inlineStr">
        <is>
          <t>No</t>
        </is>
      </c>
      <c r="AQ123" s="53" t="inlineStr">
        <is>
          <t>Client Engagement</t>
        </is>
      </c>
      <c r="AR123" s="53" t="inlineStr">
        <is>
          <t>CE</t>
        </is>
      </c>
      <c r="AS123" s="53" t="inlineStr">
        <is>
          <t>Non-technical</t>
        </is>
      </c>
      <c r="AT123" s="53" t="n">
        <v>20</v>
      </c>
      <c r="AU123" s="53" t="inlineStr">
        <is>
          <t>Covered</t>
        </is>
      </c>
      <c r="AV123" s="53" t="inlineStr">
        <is>
          <t>IRIS2510</t>
        </is>
      </c>
      <c r="AW123" s="53" t="inlineStr">
        <is>
          <t>Chirag Shah</t>
        </is>
      </c>
      <c r="AX123" s="53" t="inlineStr">
        <is>
          <t>Functional</t>
        </is>
      </c>
      <c r="AY123" s="53" t="inlineStr">
        <is>
          <t>Consulting</t>
        </is>
      </c>
      <c r="AZ123" s="53" t="inlineStr">
        <is>
          <t>Implementation &amp; Solutions Consulting</t>
        </is>
      </c>
      <c r="BA123" s="53" t="inlineStr">
        <is>
          <t>Consulting</t>
        </is>
      </c>
      <c r="BB123" s="53" t="inlineStr">
        <is>
          <t>Product Management</t>
        </is>
      </c>
      <c r="BC123" s="53" t="inlineStr">
        <is>
          <t>Employee</t>
        </is>
      </c>
      <c r="BD123" s="53" t="inlineStr">
        <is>
          <t>Suman Adhikary</t>
        </is>
      </c>
      <c r="BE123" s="53" t="n"/>
      <c r="BF123" s="53" t="inlineStr">
        <is>
          <t>Yes</t>
        </is>
      </c>
      <c r="BG123" s="53" t="inlineStr">
        <is>
          <t>Functional Specialist</t>
        </is>
      </c>
      <c r="BH123" s="53" t="inlineStr">
        <is>
          <t>Functional Specialist</t>
        </is>
      </c>
      <c r="BI123" s="53" t="inlineStr">
        <is>
          <t>No</t>
        </is>
      </c>
      <c r="BJ123" s="53" t="inlineStr">
        <is>
          <t>—</t>
        </is>
      </c>
      <c r="BK123" s="53" t="inlineStr">
        <is>
          <t>—</t>
        </is>
      </c>
      <c r="BL123" s="53" t="inlineStr">
        <is>
          <t>—</t>
        </is>
      </c>
      <c r="BM123" s="53" t="inlineStr">
        <is>
          <t>Not a manager</t>
        </is>
      </c>
      <c r="BN123" s="53" t="inlineStr">
        <is>
          <t>—</t>
        </is>
      </c>
      <c r="BO123" s="53" t="inlineStr">
        <is>
          <t>—</t>
        </is>
      </c>
      <c r="BP123" s="53" t="inlineStr">
        <is>
          <t>—</t>
        </is>
      </c>
      <c r="BQ123" s="53" t="inlineStr">
        <is>
          <t>Not a manager</t>
        </is>
      </c>
      <c r="BR123" s="53" t="inlineStr">
        <is>
          <t>—</t>
        </is>
      </c>
      <c r="BS123" s="53" t="inlineStr">
        <is>
          <t>L3 – Professional / Associate</t>
        </is>
      </c>
      <c r="BT123" s="53" t="inlineStr">
        <is>
          <t>L3 – Professional / Associate</t>
        </is>
      </c>
      <c r="BU123" s="53" t="inlineStr">
        <is>
          <t>No designation change — current record value carried forward</t>
        </is>
      </c>
      <c r="BV123" s="53"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W123" s="53" t="n"/>
      <c r="BX123" s="53" t="inlineStr">
        <is>
          <t>EU and India.</t>
        </is>
      </c>
      <c r="BY123" s="53" t="n"/>
      <c r="BZ123" s="53" t="inlineStr">
        <is>
          <t>IRIS2510</t>
        </is>
      </c>
      <c r="CA123" s="53" t="inlineStr">
        <is>
          <t>Employee</t>
        </is>
      </c>
      <c r="CB123" s="53" t="inlineStr">
        <is>
          <t>Active</t>
        </is>
      </c>
      <c r="CC123" s="53" t="inlineStr">
        <is>
          <t>Chirag Shah</t>
        </is>
      </c>
      <c r="CD123" s="54" t="n">
        <v>46125</v>
      </c>
      <c r="CE123" s="53" t="inlineStr">
        <is>
          <t>Functional Specialist</t>
        </is>
      </c>
      <c r="CF123" s="53" t="inlineStr">
        <is>
          <t>Tag with Sales team to give product demo to the clients and post onboarding of customers, they help in implementation</t>
        </is>
      </c>
      <c r="CG123" s="53" t="inlineStr">
        <is>
          <t>Consulting  Services</t>
        </is>
      </c>
      <c r="CH123" s="53" t="inlineStr">
        <is>
          <t>Financial Reporting Advisory</t>
        </is>
      </c>
      <c r="CI123" s="53" t="inlineStr">
        <is>
          <t>Functional Specialist</t>
        </is>
      </c>
      <c r="CJ123" s="53" t="inlineStr">
        <is>
          <t>L3 – Professional / Associate</t>
        </is>
      </c>
      <c r="CK123" s="53" t="inlineStr">
        <is>
          <t>Anuradha RK</t>
        </is>
      </c>
      <c r="CL123" s="53" t="inlineStr">
        <is>
          <t>N-4</t>
        </is>
      </c>
      <c r="CM123" s="53" t="inlineStr">
        <is>
          <t>Individual Contributor</t>
        </is>
      </c>
      <c r="CN123" s="53" t="inlineStr">
        <is>
          <t>Regtech</t>
        </is>
      </c>
      <c r="CO123" s="53" t="inlineStr">
        <is>
          <t>Functional</t>
        </is>
      </c>
      <c r="CP123" s="53" t="inlineStr">
        <is>
          <t>4 years, 2 months, 7 days</t>
        </is>
      </c>
      <c r="CQ123" s="53" t="n"/>
      <c r="CR123" s="53" t="inlineStr">
        <is>
          <t>No</t>
        </is>
      </c>
      <c r="CS123" s="53" t="n">
        <v>3</v>
      </c>
      <c r="CT123" s="53" t="inlineStr">
        <is>
          <t>Medium</t>
        </is>
      </c>
      <c r="CU123" s="53" t="inlineStr">
        <is>
          <t>Core Contributor</t>
        </is>
      </c>
      <c r="CV123" s="53" t="n"/>
      <c r="CW123" s="53" t="n"/>
      <c r="CX123" s="53" t="n"/>
      <c r="CY123" s="53" t="n"/>
      <c r="CZ123" s="53" t="inlineStr">
        <is>
          <t>Customer success methods; communication &amp; de-escalation; product/domain depth; ticketing &amp; SLA tools</t>
        </is>
      </c>
      <c r="DA123" s="53" t="inlineStr">
        <is>
          <t>Transition to leadership: people management &amp; delegation, mentoring/coaching, project ownership &amp; stakeholder management, prioritisation under ambiguity, presentation &amp; influence skills</t>
        </is>
      </c>
      <c r="DB123" s="53" t="n"/>
      <c r="DC123" s="53" t="n"/>
      <c r="DD123" s="53" t="n"/>
      <c r="DE123" s="53" t="n"/>
      <c r="DF123" s="53" t="n"/>
      <c r="DG123" s="53" t="n"/>
      <c r="DH123" s="53" t="n"/>
      <c r="DI123" s="53" t="n"/>
      <c r="DJ123" s="53" t="n"/>
      <c r="DK123" s="53" t="n"/>
      <c r="DL123" s="53" t="n"/>
      <c r="DM123" s="53" t="n"/>
      <c r="DN123" s="53" t="n"/>
      <c r="DO123" s="53" t="n"/>
      <c r="DP123" s="53" t="n"/>
      <c r="DQ123" s="53" t="n"/>
      <c r="DR123" s="53" t="n"/>
      <c r="DS123" s="53" t="n"/>
      <c r="DT123" s="53" t="n"/>
      <c r="DU123" s="53" t="n"/>
      <c r="DV123" s="53" t="n"/>
      <c r="DW123" s="53" t="n"/>
      <c r="DX123" s="53" t="n"/>
      <c r="DY123" s="53" t="n"/>
      <c r="DZ123" s="53" t="n"/>
      <c r="EA123" s="53" t="n"/>
      <c r="EB123" s="53" t="n"/>
      <c r="EC123" s="53" t="n"/>
      <c r="ED123" s="53" t="n"/>
      <c r="EE123" s="53" t="n"/>
      <c r="EF123" s="53" t="n"/>
      <c r="EG123" s="53" t="n"/>
      <c r="EH123" s="53" t="n"/>
      <c r="EI123" s="53" t="n"/>
      <c r="EJ123" s="53" t="n"/>
      <c r="EK123" s="53" t="n"/>
      <c r="EL123" s="53" t="n"/>
      <c r="EM123" s="53" t="n"/>
      <c r="EN123" s="53" t="n"/>
      <c r="EO123" s="53" t="n"/>
      <c r="EP123" s="53" t="n"/>
      <c r="EQ123" s="53" t="n"/>
      <c r="ER123" s="53" t="n"/>
      <c r="ES123" s="53" t="n"/>
      <c r="ET123" s="53" t="n"/>
      <c r="EU123" s="53" t="n"/>
      <c r="EV123" s="53" t="n"/>
      <c r="EW123" s="52" t="n"/>
      <c r="EX123" s="53"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EY123" s="53"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EZ123" s="53" t="inlineStr">
        <is>
          <t>• Current capabilities: Financial knowledge; understand clients issues.
• Tools / software used: Adobe InDesign; hubspot.
• Workload: Rated a heavy load · 4/5 in a typical week.
• Judgment/way of working: Good judgement.</t>
        </is>
      </c>
      <c r="FA123" s="53" t="inlineStr">
        <is>
          <t>• Development priorities: No input received.
• Learning and Development Need: Knowledge transfer; previous demo recordings. Some sort of go to manual.</t>
        </is>
      </c>
      <c r="FB123" s="53" t="inlineStr">
        <is>
          <t>• Key challenges: Back 2 back meetings; last minute invite 4 call.
• Support required: Better team structure; Clear distinction of responsibilities.</t>
        </is>
      </c>
      <c r="FC123" s="53" t="n"/>
      <c r="FD123" s="53" t="n"/>
      <c r="FE123" s="57"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FF123" s="56" t="n"/>
      <c r="FG123" s="56" t="n"/>
      <c r="FH123" s="56" t="n"/>
      <c r="FI123" s="56" t="inlineStr">
        <is>
          <t>Tag with Sales team to give product demo to the clients and post onboarding of customers, they help in implementation</t>
        </is>
      </c>
      <c r="FJ123" s="56" t="inlineStr">
        <is>
          <t>Received · manager annual</t>
        </is>
      </c>
      <c r="FK123" s="56" t="inlineStr">
        <is>
          <t>CARBON Mapping Master · CARBON Talent Mapping · Raw</t>
        </is>
      </c>
      <c r="FL123" s="56" t="n">
        <v>20</v>
      </c>
      <c r="FM123" s="56"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FN123" s="56"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FO123" s="56" t="inlineStr">
        <is>
          <t>• Current capabilities: Financial knowledge; understand clients issues.
• Tools / software used: Adobe InDesign; hubspot.
• Workload: Rated a heavy load · 4/5 in a typical week.
• Judgment/way of working: Good judgement.</t>
        </is>
      </c>
      <c r="FP123" s="56" t="inlineStr">
        <is>
          <t>• Development priorities: No input received.
• Learning and Development Need: Knowledge transfer; previous demo recordings. Some sort of go to manual.</t>
        </is>
      </c>
      <c r="FQ123" s="56" t="inlineStr">
        <is>
          <t>• Key challenges: Back 2 back meetings; last minute invite 4 call.
• Support required: Better team structure; Clear distinction of responsibilities.</t>
        </is>
      </c>
      <c r="FR123" s="56" t="inlineStr">
        <is>
          <t>Complexity: Evidence reads like A3: Understands client reporting needs, tailors DM platform demos, tests features, helps implement reports → moved down 0.5
Autonomy: Evidence reads like A3: Decides which features to focus on in demos → moved down 0.5
Accountability: Evidence reads like A3: Pre-sales demos and implementation; a poor demo can lose the conversion → moved down 0.5
Leadership: Evidence reads like A1: No guidance of others described; only forwards client feedback → moved down 1
Business Impact: No survey or manager-mapping signal on criticality: kept at the start point.</t>
        </is>
      </c>
      <c r="FS123"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23" s="56" t="inlineStr">
        <is>
          <t>Self-identified: Product &amp; tool knowledge
For the next role: Product &amp; tool knowledge</t>
        </is>
      </c>
      <c r="FU123" s="56" t="inlineStr">
        <is>
          <t>Per-person summary · CARBON Mapping Master</t>
        </is>
      </c>
    </row>
    <row r="124" ht="90" customHeight="1">
      <c r="A124" s="51" t="inlineStr">
        <is>
          <t>◂ Back</t>
        </is>
      </c>
      <c r="B124" s="29" t="inlineStr">
        <is>
          <t>Mapped</t>
        </is>
      </c>
      <c r="C124" s="28" t="inlineStr">
        <is>
          <t>CARBON</t>
        </is>
      </c>
      <c r="D124" s="29" t="inlineStr">
        <is>
          <t>IRIS2515</t>
        </is>
      </c>
      <c r="E124" s="29" t="inlineStr">
        <is>
          <t>Aashima Singh</t>
        </is>
      </c>
      <c r="F124" s="29" t="inlineStr">
        <is>
          <t>Marketing</t>
        </is>
      </c>
      <c r="G124" s="29" t="inlineStr">
        <is>
          <t>Marketing Associate</t>
        </is>
      </c>
      <c r="H124" s="29" t="inlineStr">
        <is>
          <t>Marketing Associate</t>
        </is>
      </c>
      <c r="I124" s="29" t="inlineStr">
        <is>
          <t>L3 – Professional / Associate</t>
        </is>
      </c>
      <c r="J124" s="29" t="inlineStr">
        <is>
          <t>A2</t>
        </is>
      </c>
      <c r="K124" s="29" t="inlineStr">
        <is>
          <t>• Same level</t>
        </is>
      </c>
      <c r="L124" s="29" t="inlineStr">
        <is>
          <t>Marketing &amp; Communications</t>
        </is>
      </c>
      <c r="M124" s="29" t="inlineStr">
        <is>
          <t>Demand Generation, Brand &amp; Events</t>
        </is>
      </c>
      <c r="N124" s="29" t="n"/>
      <c r="O124" s="29" t="n">
        <v>19</v>
      </c>
      <c r="P124" s="28" t="inlineStr">
        <is>
          <t>P1–P2</t>
        </is>
      </c>
      <c r="Q124" s="29" t="inlineStr">
        <is>
          <t>Entry / Developing</t>
        </is>
      </c>
      <c r="R124" s="29" t="inlineStr">
        <is>
          <t>2 Assist</t>
        </is>
      </c>
      <c r="S124" s="29" t="inlineStr">
        <is>
          <t>0–2 yrs</t>
        </is>
      </c>
      <c r="T124" s="29" t="inlineStr">
        <is>
          <t>1–3 · 0–3</t>
        </is>
      </c>
      <c r="U124" s="29" t="inlineStr">
        <is>
          <t>Marketing Associate / Marketing Executive</t>
        </is>
      </c>
      <c r="V124" s="29" t="inlineStr">
        <is>
          <t>IRIS Vs Market Benchmark — CIM proficiency scale: 2 Active learner · IRIS Vs Competitor Benchmark — SaaS marketing ladder: Marketing Associate</t>
        </is>
      </c>
      <c r="W124" s="29" t="inlineStr">
        <is>
          <t>CIM Global Professional Marketing Framework — proficiency Aware → Active learner → Able → Accomplished → Authoritative</t>
        </is>
      </c>
      <c r="X124" s="29" t="inlineStr">
        <is>
          <t>Core 2 · Future 2 · Functional 2 · Leadership not scored</t>
        </is>
      </c>
      <c r="Y124" s="52" t="n">
        <v>486</v>
      </c>
      <c r="Z124" s="53" t="inlineStr">
        <is>
          <t>IRIS2515</t>
        </is>
      </c>
      <c r="AA124" s="53" t="inlineStr">
        <is>
          <t>Employee</t>
        </is>
      </c>
      <c r="AB124" s="53" t="inlineStr">
        <is>
          <t>Active</t>
        </is>
      </c>
      <c r="AC124" s="53" t="inlineStr">
        <is>
          <t>Aashima Singh</t>
        </is>
      </c>
      <c r="AD124" s="54" t="n">
        <v>46125</v>
      </c>
      <c r="AE124" s="53" t="inlineStr">
        <is>
          <t>Marketing Associate</t>
        </is>
      </c>
      <c r="AF124" s="53" t="inlineStr">
        <is>
          <t>MBA</t>
        </is>
      </c>
      <c r="AG124" s="53" t="inlineStr">
        <is>
          <t>Aakanksha Swaminathan</t>
        </is>
      </c>
      <c r="AH124" s="53" t="inlineStr">
        <is>
          <t>N-5</t>
        </is>
      </c>
      <c r="AI124" s="53" t="inlineStr">
        <is>
          <t>Individual Contributor</t>
        </is>
      </c>
      <c r="AJ124" s="53" t="inlineStr">
        <is>
          <t>0 years, 0 months, 0 days</t>
        </is>
      </c>
      <c r="AK124" s="53" t="inlineStr">
        <is>
          <t>0 years, 4 months, 12 days</t>
        </is>
      </c>
      <c r="AL124" s="53" t="inlineStr">
        <is>
          <t>Regtech</t>
        </is>
      </c>
      <c r="AM124" s="53" t="inlineStr">
        <is>
          <t>CARBON</t>
        </is>
      </c>
      <c r="AN124" s="53" t="inlineStr">
        <is>
          <t>Marketing</t>
        </is>
      </c>
      <c r="AO124" s="53" t="inlineStr">
        <is>
          <t>Marketing</t>
        </is>
      </c>
      <c r="AP124" s="53" t="inlineStr">
        <is>
          <t>No</t>
        </is>
      </c>
      <c r="AQ124" s="53" t="inlineStr">
        <is>
          <t>Sales, Marketing &amp; Support</t>
        </is>
      </c>
      <c r="AR124" s="53" t="inlineStr">
        <is>
          <t>Marketing</t>
        </is>
      </c>
      <c r="AS124" s="53" t="inlineStr">
        <is>
          <t>Non-technical</t>
        </is>
      </c>
      <c r="AT124" s="53" t="n">
        <v>20</v>
      </c>
      <c r="AU124" s="53" t="inlineStr">
        <is>
          <t>Covered</t>
        </is>
      </c>
      <c r="AV124" s="53" t="inlineStr">
        <is>
          <t>IRIS2515</t>
        </is>
      </c>
      <c r="AW124" s="53" t="inlineStr">
        <is>
          <t>Aashima Singh</t>
        </is>
      </c>
      <c r="AX124" s="53" t="inlineStr">
        <is>
          <t>Functional</t>
        </is>
      </c>
      <c r="AY124" s="53" t="inlineStr">
        <is>
          <t>Consulting</t>
        </is>
      </c>
      <c r="AZ124" s="53" t="inlineStr">
        <is>
          <t>GTM &amp; Business Develoment</t>
        </is>
      </c>
      <c r="BA124" s="53" t="n"/>
      <c r="BB124" s="53" t="n"/>
      <c r="BC124" s="53" t="inlineStr">
        <is>
          <t>Employee</t>
        </is>
      </c>
      <c r="BD124" s="53" t="inlineStr">
        <is>
          <t>Aakanksha Swaminathan</t>
        </is>
      </c>
      <c r="BE124" s="53" t="inlineStr">
        <is>
          <t>Aakanksha Swaminathan</t>
        </is>
      </c>
      <c r="BF124" s="53" t="inlineStr">
        <is>
          <t>No</t>
        </is>
      </c>
      <c r="BG124" s="53" t="inlineStr">
        <is>
          <t>Marketing Associate</t>
        </is>
      </c>
      <c r="BH124" s="53" t="inlineStr">
        <is>
          <t>GTM Associate - New Initiatives</t>
        </is>
      </c>
      <c r="BI124" s="53" t="inlineStr">
        <is>
          <t>No</t>
        </is>
      </c>
      <c r="BJ124" s="53" t="inlineStr">
        <is>
          <t>—</t>
        </is>
      </c>
      <c r="BK124" s="53" t="inlineStr">
        <is>
          <t>—</t>
        </is>
      </c>
      <c r="BL124" s="53" t="inlineStr">
        <is>
          <t>—</t>
        </is>
      </c>
      <c r="BM124" s="53" t="inlineStr">
        <is>
          <t>Not a manager</t>
        </is>
      </c>
      <c r="BN124" s="53" t="inlineStr">
        <is>
          <t>—</t>
        </is>
      </c>
      <c r="BO124" s="53" t="inlineStr">
        <is>
          <t>—</t>
        </is>
      </c>
      <c r="BP124" s="53" t="inlineStr">
        <is>
          <t>—</t>
        </is>
      </c>
      <c r="BQ124" s="53" t="inlineStr">
        <is>
          <t>Not a manager</t>
        </is>
      </c>
      <c r="BR124" s="53" t="inlineStr">
        <is>
          <t>—</t>
        </is>
      </c>
      <c r="BS124" s="53" t="inlineStr">
        <is>
          <t>L3 – Professional / Associate</t>
        </is>
      </c>
      <c r="BT124" s="53" t="inlineStr">
        <is>
          <t>L3 – Professional / Associate</t>
        </is>
      </c>
      <c r="BU124" s="53" t="inlineStr">
        <is>
          <t>No designation change — current record value carried forward</t>
        </is>
      </c>
      <c r="BV124"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W124" s="53" t="n"/>
      <c r="BX124" s="53" t="inlineStr">
        <is>
          <t>Global; global - DM.</t>
        </is>
      </c>
      <c r="BY124" s="53" t="n"/>
      <c r="BZ124" s="53" t="inlineStr">
        <is>
          <t>IRIS2515</t>
        </is>
      </c>
      <c r="CA124" s="53" t="inlineStr">
        <is>
          <t>Employee</t>
        </is>
      </c>
      <c r="CB124" s="53" t="inlineStr">
        <is>
          <t>Active</t>
        </is>
      </c>
      <c r="CC124" s="53" t="inlineStr">
        <is>
          <t>Aashima Singh</t>
        </is>
      </c>
      <c r="CD124" s="54" t="n">
        <v>46125</v>
      </c>
      <c r="CE124" s="53" t="inlineStr">
        <is>
          <t>Marketing Associate</t>
        </is>
      </c>
      <c r="CF124" s="53" t="inlineStr">
        <is>
          <t>GTM role - works with Aakanksha - department changed to Functional</t>
        </is>
      </c>
      <c r="CG124" s="53" t="inlineStr">
        <is>
          <t>Marketing &amp; Communications</t>
        </is>
      </c>
      <c r="CH124" s="53" t="inlineStr">
        <is>
          <t>Marketing Operations</t>
        </is>
      </c>
      <c r="CI124" s="53" t="inlineStr">
        <is>
          <t>Marketing Associate</t>
        </is>
      </c>
      <c r="CJ124" s="53" t="inlineStr">
        <is>
          <t>L3 – Professional / Associate</t>
        </is>
      </c>
      <c r="CK124" s="53" t="inlineStr">
        <is>
          <t>Aakanksha Swaminathan</t>
        </is>
      </c>
      <c r="CL124" s="53" t="inlineStr">
        <is>
          <t>N-4</t>
        </is>
      </c>
      <c r="CM124" s="53" t="inlineStr">
        <is>
          <t>Individual Contributor</t>
        </is>
      </c>
      <c r="CN124" s="53" t="inlineStr">
        <is>
          <t>Regtech</t>
        </is>
      </c>
      <c r="CO124" s="53" t="inlineStr">
        <is>
          <t>Marketing</t>
        </is>
      </c>
      <c r="CP124" s="53" t="inlineStr">
        <is>
          <t>0 years, 2 months, 7 days</t>
        </is>
      </c>
      <c r="CQ124" s="53" t="inlineStr">
        <is>
          <t>Marketing Associate</t>
        </is>
      </c>
      <c r="CR124" s="53" t="inlineStr">
        <is>
          <t>No</t>
        </is>
      </c>
      <c r="CS124" s="53" t="n">
        <v>3</v>
      </c>
      <c r="CT124" s="53" t="inlineStr">
        <is>
          <t>Medium</t>
        </is>
      </c>
      <c r="CU124" s="53" t="inlineStr">
        <is>
          <t>Core Contributor</t>
        </is>
      </c>
      <c r="CV124" s="53" t="n"/>
      <c r="CW124" s="53" t="n"/>
      <c r="CX124" s="53" t="n"/>
      <c r="CY124" s="53" t="n"/>
      <c r="CZ124" s="53" t="inlineStr">
        <is>
          <t>Digital marketing &amp; analytics; content/SEO; campaign tooling; brand &amp; creative best practices</t>
        </is>
      </c>
      <c r="DA124" s="53" t="inlineStr">
        <is>
          <t>Transition to leadership: people management &amp; delegation, mentoring/coaching, project ownership &amp; stakeholder management, prioritisation under ambiguity, presentation &amp; influence skills</t>
        </is>
      </c>
      <c r="DB124" s="53" t="inlineStr">
        <is>
          <t>Ashima's dept to be changed to Functional</t>
        </is>
      </c>
      <c r="DC124" s="53" t="n"/>
      <c r="DD124" s="53" t="n"/>
      <c r="DE124" s="53" t="n"/>
      <c r="DF124" s="53" t="n"/>
      <c r="DG124" s="53" t="n"/>
      <c r="DH124" s="53" t="n"/>
      <c r="DI124" s="53" t="n"/>
      <c r="DJ124" s="53" t="n"/>
      <c r="DK124" s="53" t="n"/>
      <c r="DL124" s="53" t="n"/>
      <c r="DM124" s="53" t="n"/>
      <c r="DN124" s="53" t="n"/>
      <c r="DO124" s="53" t="n"/>
      <c r="DP124" s="53" t="n"/>
      <c r="DQ124" s="53" t="n"/>
      <c r="DR124" s="53" t="n"/>
      <c r="DS124" s="53" t="n"/>
      <c r="DT124" s="53" t="n"/>
      <c r="DU124" s="53" t="n"/>
      <c r="DV124" s="53" t="n"/>
      <c r="DW124" s="53" t="n"/>
      <c r="DX124" s="53" t="n"/>
      <c r="DY124" s="53" t="n"/>
      <c r="DZ124" s="53" t="n"/>
      <c r="EA124" s="53" t="n"/>
      <c r="EB124" s="53" t="n"/>
      <c r="EC124" s="53" t="n"/>
      <c r="ED124" s="53" t="n"/>
      <c r="EE124" s="53" t="n"/>
      <c r="EF124" s="53" t="n"/>
      <c r="EG124" s="53" t="n"/>
      <c r="EH124" s="53" t="n"/>
      <c r="EI124" s="53" t="n"/>
      <c r="EJ124" s="53" t="n"/>
      <c r="EK124" s="53" t="n"/>
      <c r="EL124" s="53" t="n"/>
      <c r="EM124" s="53" t="n"/>
      <c r="EN124" s="53" t="n"/>
      <c r="EO124" s="53" t="n"/>
      <c r="EP124" s="53" t="n"/>
      <c r="EQ124" s="53" t="n"/>
      <c r="ER124" s="53" t="n"/>
      <c r="ES124" s="53" t="n"/>
      <c r="ET124" s="53" t="n"/>
      <c r="EU124" s="53" t="n"/>
      <c r="EV124" s="53" t="n"/>
      <c r="EW124" s="52" t="n"/>
      <c r="EX124" s="53"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EY124" s="53"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EZ124" s="53" t="inlineStr">
        <is>
          <t>• Current capabilities: Domain knowledge; market knowledge.
• Tools / software used: Excel; Claude.
• Workload: Rated a heavy load · 4/5 in a typical week.
• Judgment/way of working: Time management.</t>
        </is>
      </c>
      <c r="FA124" s="53" t="inlineStr">
        <is>
          <t>• Development priorities: How initiatives get greenlit and resourced, Deeper product roadmap involvement.
• Learning and Development Need: Mentoring. Better knowledge of product, market and OKRs.
• Role evolving toward: NA.</t>
        </is>
      </c>
      <c r="FB124" s="53" t="inlineStr">
        <is>
          <t>• Key challenges: Waiting for approvals.
• Support required: Structured approach.</t>
        </is>
      </c>
      <c r="FC124" s="53" t="n"/>
      <c r="FD124" s="53" t="n"/>
      <c r="FE124"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124" s="56" t="n"/>
      <c r="FG124" s="56" t="n"/>
      <c r="FH124" s="56" t="n"/>
      <c r="FI124" s="56" t="inlineStr">
        <is>
          <t>GTM role - works with Aakanksha - department changed to Functional</t>
        </is>
      </c>
      <c r="FJ124" s="56" t="inlineStr">
        <is>
          <t>Received · manager annual</t>
        </is>
      </c>
      <c r="FK124" s="56" t="inlineStr">
        <is>
          <t>CARBON Mapping Master · CARBON Talent Mapping · Raw</t>
        </is>
      </c>
      <c r="FL124" s="56" t="n">
        <v>19</v>
      </c>
      <c r="FM124" s="56"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FN124" s="56"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FO124" s="56" t="inlineStr">
        <is>
          <t>• Current capabilities: Domain knowledge; market knowledge.
• Tools / software used: Excel; Claude.
• Workload: Rated a heavy load · 4/5 in a typical week.
• Judgment/way of working: Time management.</t>
        </is>
      </c>
      <c r="FP124" s="56" t="inlineStr">
        <is>
          <t>• Development priorities: How initiatives get greenlit and resourced, Deeper product roadmap involvement.
• Learning and Development Need: Mentoring. Better knowledge of product, market and OKRs.
• Role evolving toward: NA.</t>
        </is>
      </c>
      <c r="FQ124" s="56" t="inlineStr">
        <is>
          <t>• Key challenges: Waiting for approvals.
• Support required: Structured approach.</t>
        </is>
      </c>
      <c r="FR124" s="56" t="inlineStr">
        <is>
          <t>Complexity: Evidence reads like A3: Market, regulatory and competitor research turned into GTM and outreach initiatives; no concrete examples → moved up 0.5
Autonomy: Evidence reads like A2: Claims 'strategy development' and choosing what to pursue; no concrete decision named → matches the start
Accountability: Evidence reads like A2: own survey / KRA answers · summarised by the rater; not quoted → matches the start
Leadership: Evidence reads like A2: Says builds systems so others can repeat plays; no guiding of people described → moved up 0.5
Business Impact: No survey or manager-mapping signal on criticality: kept at the start point.</t>
        </is>
      </c>
      <c r="FS124"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24" s="56" t="inlineStr">
        <is>
          <t>Self-identified: Product &amp; tool knowledge
For the next role: Product &amp; tool knowledge</t>
        </is>
      </c>
      <c r="FU124" s="56" t="inlineStr">
        <is>
          <t>Per-person summary · CARBON Mapping Master</t>
        </is>
      </c>
    </row>
    <row r="125" ht="90" customHeight="1">
      <c r="A125" s="51" t="inlineStr">
        <is>
          <t>◂ Back</t>
        </is>
      </c>
      <c r="B125" s="29" t="inlineStr">
        <is>
          <t>Mapped</t>
        </is>
      </c>
      <c r="C125" s="28" t="inlineStr">
        <is>
          <t>CARBON</t>
        </is>
      </c>
      <c r="D125" s="29" t="inlineStr">
        <is>
          <t>IRIS2344</t>
        </is>
      </c>
      <c r="E125" s="29" t="inlineStr">
        <is>
          <t>Medha Ganti</t>
        </is>
      </c>
      <c r="F125" s="29" t="inlineStr">
        <is>
          <t>Functional</t>
        </is>
      </c>
      <c r="G125" s="29" t="inlineStr">
        <is>
          <t>Functional Specialist</t>
        </is>
      </c>
      <c r="H125" s="29" t="inlineStr">
        <is>
          <t>Associate Product Manager – POD Lead</t>
        </is>
      </c>
      <c r="I125" s="29" t="inlineStr">
        <is>
          <t>L3 – Professional / Associate</t>
        </is>
      </c>
      <c r="J125" s="29" t="inlineStr">
        <is>
          <t>B1</t>
        </is>
      </c>
      <c r="K125" s="29" t="inlineStr">
        <is>
          <t>▲ Up</t>
        </is>
      </c>
      <c r="L125" s="29" t="inlineStr">
        <is>
          <t>Product Management</t>
        </is>
      </c>
      <c r="M125" s="29" t="inlineStr">
        <is>
          <t>Product Management</t>
        </is>
      </c>
      <c r="N125" s="29" t="n"/>
      <c r="O125" s="29" t="n">
        <v>20</v>
      </c>
      <c r="P125" s="28" t="inlineStr">
        <is>
          <t>P3 / M2</t>
        </is>
      </c>
      <c r="Q125" s="29" t="inlineStr">
        <is>
          <t>Career / · Team Lead</t>
        </is>
      </c>
      <c r="R125" s="29" t="inlineStr">
        <is>
          <t>4 Enable</t>
        </is>
      </c>
      <c r="S125" s="29" t="inlineStr">
        <is>
          <t>4–7 yrs</t>
        </is>
      </c>
      <c r="T125" s="29" t="inlineStr">
        <is>
          <t>5–8 · 4–8</t>
        </is>
      </c>
      <c r="U125" s="29" t="inlineStr">
        <is>
          <t>Product Manager</t>
        </is>
      </c>
      <c r="V125" s="29" t="inlineStr">
        <is>
          <t>IRIS Vs Competitor Benchmark — SaaS product ladder: Product Manager</t>
        </is>
      </c>
      <c r="W125" s="29" t="inlineStr">
        <is>
          <t>Pragmatic Institute Framework · 37 activities, 7 categories; AIPMM</t>
        </is>
      </c>
      <c r="X125" s="29" t="inlineStr">
        <is>
          <t>Core 3 · Future 3 · Functional 3 · Leadership 2</t>
        </is>
      </c>
      <c r="Y125" s="52" t="n">
        <v>357</v>
      </c>
      <c r="Z125" s="53" t="inlineStr">
        <is>
          <t>IRIS2344</t>
        </is>
      </c>
      <c r="AA125" s="53" t="inlineStr">
        <is>
          <t>Employee</t>
        </is>
      </c>
      <c r="AB125" s="53" t="inlineStr">
        <is>
          <t>Active</t>
        </is>
      </c>
      <c r="AC125" s="53" t="inlineStr">
        <is>
          <t>Medha Ganti</t>
        </is>
      </c>
      <c r="AD125" s="54" t="n">
        <v>45698</v>
      </c>
      <c r="AE125" s="53" t="inlineStr">
        <is>
          <t>Functional Specialist</t>
        </is>
      </c>
      <c r="AF125" s="53" t="inlineStr">
        <is>
          <t>CA</t>
        </is>
      </c>
      <c r="AG125" s="53" t="inlineStr">
        <is>
          <t>Suman Adhikary</t>
        </is>
      </c>
      <c r="AH125" s="53" t="inlineStr">
        <is>
          <t>N-4</t>
        </is>
      </c>
      <c r="AI125" s="53" t="inlineStr">
        <is>
          <t>Manager</t>
        </is>
      </c>
      <c r="AJ125" s="53" t="inlineStr">
        <is>
          <t>4 years, 0 months, 0 days</t>
        </is>
      </c>
      <c r="AK125" s="53" t="inlineStr">
        <is>
          <t>1 years, 6 months, 15 days</t>
        </is>
      </c>
      <c r="AL125" s="53" t="inlineStr">
        <is>
          <t>Regtech</t>
        </is>
      </c>
      <c r="AM125" s="53" t="inlineStr">
        <is>
          <t>CARBON</t>
        </is>
      </c>
      <c r="AN125" s="53" t="inlineStr">
        <is>
          <t>Functional</t>
        </is>
      </c>
      <c r="AO125" s="53" t="inlineStr">
        <is>
          <t>Client Engagement</t>
        </is>
      </c>
      <c r="AP125" s="53" t="inlineStr">
        <is>
          <t>No</t>
        </is>
      </c>
      <c r="AQ125" s="53" t="inlineStr">
        <is>
          <t>Client Engagement</t>
        </is>
      </c>
      <c r="AR125" s="53" t="inlineStr">
        <is>
          <t>CA + CE</t>
        </is>
      </c>
      <c r="AS125" s="53" t="inlineStr">
        <is>
          <t>Non-technical</t>
        </is>
      </c>
      <c r="AT125" s="53" t="n">
        <v>20</v>
      </c>
      <c r="AU125" s="53" t="inlineStr">
        <is>
          <t>Covered</t>
        </is>
      </c>
      <c r="AV125" s="53" t="inlineStr">
        <is>
          <t>IRIS2344</t>
        </is>
      </c>
      <c r="AW125" s="53" t="inlineStr">
        <is>
          <t>Medha Ganti</t>
        </is>
      </c>
      <c r="AX125" s="53" t="inlineStr">
        <is>
          <t>Functional</t>
        </is>
      </c>
      <c r="AY125" s="53" t="inlineStr">
        <is>
          <t>Consulting</t>
        </is>
      </c>
      <c r="AZ125" s="53" t="inlineStr">
        <is>
          <t>Product Management</t>
        </is>
      </c>
      <c r="BA125" s="53" t="inlineStr">
        <is>
          <t>Consulting</t>
        </is>
      </c>
      <c r="BB125" s="53" t="inlineStr">
        <is>
          <t>Product Management</t>
        </is>
      </c>
      <c r="BC125" s="53" t="inlineStr">
        <is>
          <t>Employee</t>
        </is>
      </c>
      <c r="BD125" s="53" t="inlineStr">
        <is>
          <t>Suman Adhikary</t>
        </is>
      </c>
      <c r="BE125" s="53" t="inlineStr">
        <is>
          <t>Sharanya Balachandran</t>
        </is>
      </c>
      <c r="BF125" s="53" t="inlineStr">
        <is>
          <t>Yes</t>
        </is>
      </c>
      <c r="BG125" s="53" t="inlineStr">
        <is>
          <t>Functional Specialist</t>
        </is>
      </c>
      <c r="BH125" s="53" t="inlineStr">
        <is>
          <t>Product Manager - Disclosure Management, Office of CFO Solutions</t>
        </is>
      </c>
      <c r="BI125" s="53" t="inlineStr">
        <is>
          <t>Yes</t>
        </is>
      </c>
      <c r="BJ125" s="53" t="n">
        <v>1</v>
      </c>
      <c r="BK125" s="53" t="n">
        <v>1</v>
      </c>
      <c r="BL125" s="53" t="n">
        <v>0</v>
      </c>
      <c r="BM125" s="53" t="inlineStr">
        <is>
          <t>Consolidate / flatten</t>
        </is>
      </c>
      <c r="BN125" s="53" t="n">
        <v>1</v>
      </c>
      <c r="BO125" s="53" t="n">
        <v>1</v>
      </c>
      <c r="BP125" s="53" t="n">
        <v>0</v>
      </c>
      <c r="BQ125" s="53" t="inlineStr">
        <is>
          <t>Consolidate / flatten</t>
        </is>
      </c>
      <c r="BR125" s="53" t="inlineStr">
        <is>
          <t>No</t>
        </is>
      </c>
      <c r="BS125" s="53" t="inlineStr">
        <is>
          <t>L3 – Professional / Associate</t>
        </is>
      </c>
      <c r="BT125" s="53" t="inlineStr">
        <is>
          <t>L4</t>
        </is>
      </c>
      <c r="BU125" s="53" t="inlineStr">
        <is>
          <t>Matched from Title Hierarchy · new designation</t>
        </is>
      </c>
      <c r="BV125" s="53"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W125" s="53" t="n"/>
      <c r="BX125" s="53" t="n"/>
      <c r="BY125" s="53" t="n"/>
      <c r="BZ125" s="53" t="inlineStr">
        <is>
          <t>IRIS2344</t>
        </is>
      </c>
      <c r="CA125" s="53" t="inlineStr">
        <is>
          <t>Employee</t>
        </is>
      </c>
      <c r="CB125" s="53" t="inlineStr">
        <is>
          <t>Active</t>
        </is>
      </c>
      <c r="CC125" s="53" t="inlineStr">
        <is>
          <t>Medha Ganti</t>
        </is>
      </c>
      <c r="CD125" s="54" t="n">
        <v>45698</v>
      </c>
      <c r="CE125" s="53" t="inlineStr">
        <is>
          <t>Functional Specialist</t>
        </is>
      </c>
      <c r="CF125" s="53" t="inlineStr">
        <is>
          <t>Stakeholder Management and Product Roadmap for DM product.</t>
        </is>
      </c>
      <c r="CG125" s="53" t="inlineStr">
        <is>
          <t>Consulting  Services</t>
        </is>
      </c>
      <c r="CH125" s="53" t="inlineStr">
        <is>
          <t>Product Management</t>
        </is>
      </c>
      <c r="CI125" s="53" t="inlineStr">
        <is>
          <t>Functional Specialist</t>
        </is>
      </c>
      <c r="CJ125" s="53" t="inlineStr">
        <is>
          <t>L3 – Professional / Associate</t>
        </is>
      </c>
      <c r="CK125" s="53" t="inlineStr">
        <is>
          <t>Sharanya Balachandran</t>
        </is>
      </c>
      <c r="CL125" s="53" t="inlineStr">
        <is>
          <t>N-4</t>
        </is>
      </c>
      <c r="CM125" s="53" t="inlineStr">
        <is>
          <t>Manager</t>
        </is>
      </c>
      <c r="CN125" s="53" t="inlineStr">
        <is>
          <t>Regtech</t>
        </is>
      </c>
      <c r="CO125" s="53" t="inlineStr">
        <is>
          <t>Functional</t>
        </is>
      </c>
      <c r="CP125" s="53" t="inlineStr">
        <is>
          <t>5 years, 4 months, 10 days</t>
        </is>
      </c>
      <c r="CQ125" s="53" t="inlineStr">
        <is>
          <t>Sr.Product Specialist</t>
        </is>
      </c>
      <c r="CR125" s="53" t="inlineStr">
        <is>
          <t>No</t>
        </is>
      </c>
      <c r="CS125" s="53" t="n">
        <v>3</v>
      </c>
      <c r="CT125" s="53" t="inlineStr">
        <is>
          <t>Medium</t>
        </is>
      </c>
      <c r="CU125" s="53" t="inlineStr">
        <is>
          <t>High Impact / Growth Talent</t>
        </is>
      </c>
      <c r="CV125" s="53" t="n"/>
      <c r="CW125" s="53" t="n"/>
      <c r="CX125" s="53" t="inlineStr">
        <is>
          <t>Yes</t>
        </is>
      </c>
      <c r="CY125" s="53" t="n"/>
      <c r="CZ125" s="53" t="inlineStr">
        <is>
          <t>Customer success methods; communication &amp; de-escalation; product/domain depth; ticketing &amp; SLA tools | People management: goal-setting &amp; feedback, 1:1 coaching, performance conversations</t>
        </is>
      </c>
      <c r="DA125" s="53" t="inlineStr">
        <is>
          <t>Leadership development: strategic thinking, cross-functional influence, financial/business acumen, succession &amp; talent development, change management, executive communication</t>
        </is>
      </c>
      <c r="DB125" s="53" t="inlineStr">
        <is>
          <t>Aligned to Prod role as additional now</t>
        </is>
      </c>
      <c r="DC125" s="53" t="n"/>
      <c r="DD125" s="53" t="n"/>
      <c r="DE125" s="53" t="n"/>
      <c r="DF125" s="53" t="n"/>
      <c r="DG125" s="53" t="n"/>
      <c r="DH125" s="53" t="n"/>
      <c r="DI125" s="53" t="n"/>
      <c r="DJ125" s="53" t="n"/>
      <c r="DK125" s="53" t="n"/>
      <c r="DL125" s="53" t="n"/>
      <c r="DM125" s="53" t="n"/>
      <c r="DN125" s="53" t="n"/>
      <c r="DO125" s="53" t="n"/>
      <c r="DP125" s="53" t="n"/>
      <c r="DQ125" s="53" t="n"/>
      <c r="DR125" s="53" t="n"/>
      <c r="DS125" s="53" t="n"/>
      <c r="DT125" s="53" t="n"/>
      <c r="DU125" s="53" t="n"/>
      <c r="DV125" s="53" t="n"/>
      <c r="DW125" s="53" t="n"/>
      <c r="DX125" s="53" t="n"/>
      <c r="DY125" s="53" t="n"/>
      <c r="DZ125" s="53" t="n"/>
      <c r="EA125" s="53" t="n"/>
      <c r="EB125" s="53" t="n"/>
      <c r="EC125" s="53" t="n"/>
      <c r="ED125" s="53" t="n"/>
      <c r="EE125" s="53" t="n"/>
      <c r="EF125" s="53" t="n"/>
      <c r="EG125" s="53" t="n"/>
      <c r="EH125" s="53" t="n"/>
      <c r="EI125" s="53" t="n"/>
      <c r="EJ125" s="53" t="n"/>
      <c r="EK125" s="53" t="n"/>
      <c r="EL125" s="53" t="n"/>
      <c r="EM125" s="53" t="n"/>
      <c r="EN125" s="53" t="n"/>
      <c r="EO125" s="53" t="n"/>
      <c r="EP125" s="53" t="n"/>
      <c r="EQ125" s="53" t="n"/>
      <c r="ER125" s="53" t="n"/>
      <c r="ES125" s="53" t="n"/>
      <c r="ET125" s="53" t="n"/>
      <c r="EU125" s="53" t="n"/>
      <c r="EV125" s="53" t="n"/>
      <c r="EW125" s="52" t="n"/>
      <c r="EX125" s="53" t="n"/>
      <c r="EY125" s="53" t="n"/>
      <c r="EZ125" s="53" t="n"/>
      <c r="FA125" s="53" t="n"/>
      <c r="FB125" s="53" t="n"/>
      <c r="FC125" s="53" t="n"/>
      <c r="FD125" s="53" t="n"/>
      <c r="FE125" s="57"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FF125" s="56" t="n"/>
      <c r="FG125" s="56" t="n"/>
      <c r="FH125" s="56" t="n"/>
      <c r="FI125" s="56" t="inlineStr">
        <is>
          <t>Stakeholder Management and Product Roadmap for DM product.</t>
        </is>
      </c>
      <c r="FJ125" s="56" t="inlineStr">
        <is>
          <t>Received · manager annual</t>
        </is>
      </c>
      <c r="FK125" s="56" t="inlineStr">
        <is>
          <t>CARBON Mapping Master · CARBON Talent Mapping · Raw</t>
        </is>
      </c>
      <c r="FL125" s="56" t="n">
        <v>20</v>
      </c>
      <c r="FM125" s="32" t="inlineStr">
        <is>
          <t>Full survey answers not in the files received · How We Grow export needed · HR</t>
        </is>
      </c>
      <c r="FN125" s="56" t="inlineStr">
        <is>
          <t>—</t>
        </is>
      </c>
      <c r="FO125" s="56" t="inlineStr">
        <is>
          <t>—</t>
        </is>
      </c>
      <c r="FP125" s="56" t="inlineStr">
        <is>
          <t>—</t>
        </is>
      </c>
      <c r="FQ125" s="56" t="inlineStr">
        <is>
          <t>—</t>
        </is>
      </c>
      <c r="FR125" s="56"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rater; not quoted → moved up 0.2
Leadership: Evidence reads like A3: Aligns stakeholders on the roadmap; 1 direct report → moved down 0.5
Business Impact: Moved +0.5: the survey / manager mapping marks it business-critical.</t>
        </is>
      </c>
      <c r="FS125"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25" s="56" t="inlineStr">
        <is>
          <t>Self-identified: Product &amp; tool knowledge
For the next role: Product &amp; tool knowledge</t>
        </is>
      </c>
      <c r="FU125" s="32" t="inlineStr">
        <is>
          <t>Full survey answers not in the files received · How We Grow export needed · HR</t>
        </is>
      </c>
    </row>
    <row r="126" ht="90" customHeight="1">
      <c r="A126" s="51" t="inlineStr">
        <is>
          <t>◂ Back</t>
        </is>
      </c>
      <c r="B126" s="29" t="inlineStr">
        <is>
          <t>Mapped</t>
        </is>
      </c>
      <c r="C126" s="28" t="inlineStr">
        <is>
          <t>CARBON</t>
        </is>
      </c>
      <c r="D126" s="29" t="inlineStr">
        <is>
          <t>IRIS2308</t>
        </is>
      </c>
      <c r="E126" s="29" t="inlineStr">
        <is>
          <t>Smriti Priya</t>
        </is>
      </c>
      <c r="F126" s="29" t="inlineStr">
        <is>
          <t>Sales</t>
        </is>
      </c>
      <c r="G126" s="29" t="inlineStr">
        <is>
          <t>Senior Analyst, Strategy and Operations</t>
        </is>
      </c>
      <c r="H126" s="29" t="inlineStr">
        <is>
          <t>Senior Sales Operations Analyst</t>
        </is>
      </c>
      <c r="I126" s="29" t="inlineStr">
        <is>
          <t>L4 – Senior</t>
        </is>
      </c>
      <c r="J126" s="29" t="inlineStr">
        <is>
          <t>A3</t>
        </is>
      </c>
      <c r="K126" s="29" t="inlineStr">
        <is>
          <t>• Same level</t>
        </is>
      </c>
      <c r="L126" s="29" t="inlineStr">
        <is>
          <t>Sales &amp; Business Development</t>
        </is>
      </c>
      <c r="M126" s="29" t="inlineStr">
        <is>
          <t>Bids, RFP &amp; Sales Operations</t>
        </is>
      </c>
      <c r="N126" s="29" t="n"/>
      <c r="O126" s="29" t="n">
        <v>20</v>
      </c>
      <c r="P126" s="28" t="inlineStr">
        <is>
          <t>P2</t>
        </is>
      </c>
      <c r="Q126" s="29" t="inlineStr">
        <is>
          <t>Developing</t>
        </is>
      </c>
      <c r="R126" s="29" t="inlineStr">
        <is>
          <t>3 Apply</t>
        </is>
      </c>
      <c r="S126" s="29" t="inlineStr">
        <is>
          <t>2–4 yrs</t>
        </is>
      </c>
      <c r="T126" s="29" t="inlineStr">
        <is>
          <t>3–5 · 2–5</t>
        </is>
      </c>
      <c r="U126" s="29" t="inlineStr">
        <is>
          <t>SDR / Inside Sales</t>
        </is>
      </c>
      <c r="V126" s="29" t="inlineStr">
        <is>
          <t>IRIS Vs Competitor Benchmark — SaaS sales ladder — IC: Senior SDR</t>
        </is>
      </c>
      <c r="W126" s="29" t="inlineStr">
        <is>
          <t>SaaS sales ladder · SDR → AE → Enterprise AE → VP / CRO; MEDDICC-style qualification</t>
        </is>
      </c>
      <c r="X126" s="29" t="inlineStr">
        <is>
          <t>Core 2 · Future 2 · Functional 3 · Leadership not scored</t>
        </is>
      </c>
      <c r="Y126" s="52" t="n">
        <v>343</v>
      </c>
      <c r="Z126" s="53" t="inlineStr">
        <is>
          <t>IRIS2308</t>
        </is>
      </c>
      <c r="AA126" s="53" t="inlineStr">
        <is>
          <t>Employee</t>
        </is>
      </c>
      <c r="AB126" s="53" t="inlineStr">
        <is>
          <t>Active</t>
        </is>
      </c>
      <c r="AC126" s="53" t="inlineStr">
        <is>
          <t>Smriti Priya</t>
        </is>
      </c>
      <c r="AD126" s="54" t="n">
        <v>45551</v>
      </c>
      <c r="AE126" s="53" t="inlineStr">
        <is>
          <t>Senior Analyst, Strategy and Operations</t>
        </is>
      </c>
      <c r="AF126" s="53" t="inlineStr">
        <is>
          <t>MBA</t>
        </is>
      </c>
      <c r="AG126" s="53" t="inlineStr">
        <is>
          <t>Medha Ganti</t>
        </is>
      </c>
      <c r="AH126" s="53" t="inlineStr">
        <is>
          <t>N-5</t>
        </is>
      </c>
      <c r="AI126" s="53" t="inlineStr">
        <is>
          <t>Individual Contributor</t>
        </is>
      </c>
      <c r="AJ126" s="53" t="inlineStr">
        <is>
          <t>2 years, 0 months, 0 days</t>
        </is>
      </c>
      <c r="AK126" s="53" t="inlineStr">
        <is>
          <t>1 years, 11 months, 9 days</t>
        </is>
      </c>
      <c r="AL126" s="53" t="inlineStr">
        <is>
          <t>Regtech</t>
        </is>
      </c>
      <c r="AM126" s="53" t="inlineStr">
        <is>
          <t>CARBON</t>
        </is>
      </c>
      <c r="AN126" s="53" t="inlineStr">
        <is>
          <t>Sales</t>
        </is>
      </c>
      <c r="AO126" s="53" t="inlineStr">
        <is>
          <t>Sales</t>
        </is>
      </c>
      <c r="AP126" s="53" t="inlineStr">
        <is>
          <t>No</t>
        </is>
      </c>
      <c r="AQ126" s="53" t="inlineStr">
        <is>
          <t>Sales, Marketing &amp; Support</t>
        </is>
      </c>
      <c r="AR126" s="53" t="inlineStr">
        <is>
          <t>Sales</t>
        </is>
      </c>
      <c r="AS126" s="53" t="inlineStr">
        <is>
          <t>Non-technical</t>
        </is>
      </c>
      <c r="AT126" s="53" t="n">
        <v>20</v>
      </c>
      <c r="AU126" s="53" t="inlineStr">
        <is>
          <t>Covered</t>
        </is>
      </c>
      <c r="AV126" s="53" t="inlineStr">
        <is>
          <t>IRIS2308</t>
        </is>
      </c>
      <c r="AW126" s="53" t="inlineStr">
        <is>
          <t>Smriti Priya</t>
        </is>
      </c>
      <c r="AX126" s="53" t="inlineStr">
        <is>
          <t>Sales</t>
        </is>
      </c>
      <c r="AY126" s="53" t="inlineStr">
        <is>
          <t>Sales &amp; Business Development</t>
        </is>
      </c>
      <c r="AZ126" s="53" t="inlineStr">
        <is>
          <t>Sales Enablement / Bid Management</t>
        </is>
      </c>
      <c r="BA126" s="53" t="inlineStr">
        <is>
          <t>Sales Operations</t>
        </is>
      </c>
      <c r="BB126" s="53" t="inlineStr">
        <is>
          <t>Strategy &amp; Operations</t>
        </is>
      </c>
      <c r="BC126" s="53" t="inlineStr">
        <is>
          <t>Employee</t>
        </is>
      </c>
      <c r="BD126" s="53" t="inlineStr">
        <is>
          <t>Medha Ganti</t>
        </is>
      </c>
      <c r="BE126" s="53" t="inlineStr">
        <is>
          <t>Medha Ganti</t>
        </is>
      </c>
      <c r="BF126" s="53" t="inlineStr">
        <is>
          <t>No</t>
        </is>
      </c>
      <c r="BG126" s="53" t="inlineStr">
        <is>
          <t>Senior Analyst, Strategy and Operations</t>
        </is>
      </c>
      <c r="BH126" s="53" t="inlineStr">
        <is>
          <t>Senior Associate - Strategy &amp; Operations</t>
        </is>
      </c>
      <c r="BI126" s="53" t="inlineStr">
        <is>
          <t>Yes</t>
        </is>
      </c>
      <c r="BJ126" s="53" t="inlineStr">
        <is>
          <t>—</t>
        </is>
      </c>
      <c r="BK126" s="53" t="inlineStr">
        <is>
          <t>—</t>
        </is>
      </c>
      <c r="BL126" s="53" t="inlineStr">
        <is>
          <t>—</t>
        </is>
      </c>
      <c r="BM126" s="53" t="inlineStr">
        <is>
          <t>Not a manager</t>
        </is>
      </c>
      <c r="BN126" s="53" t="inlineStr">
        <is>
          <t>—</t>
        </is>
      </c>
      <c r="BO126" s="53" t="inlineStr">
        <is>
          <t>—</t>
        </is>
      </c>
      <c r="BP126" s="53" t="inlineStr">
        <is>
          <t>—</t>
        </is>
      </c>
      <c r="BQ126" s="53" t="inlineStr">
        <is>
          <t>Not a manager</t>
        </is>
      </c>
      <c r="BR126" s="53" t="inlineStr">
        <is>
          <t>—</t>
        </is>
      </c>
      <c r="BS126" s="53" t="inlineStr">
        <is>
          <t>L4 – Senior</t>
        </is>
      </c>
      <c r="BT126" s="53" t="inlineStr">
        <is>
          <t>L4 – Senior</t>
        </is>
      </c>
      <c r="BU126" s="53" t="inlineStr">
        <is>
          <t>No exact Title Hierarchy match — retained current record value</t>
        </is>
      </c>
      <c r="BV126" s="53"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W126" s="53" t="n"/>
      <c r="BX126" s="53" t="inlineStr">
        <is>
          <t>Global</t>
        </is>
      </c>
      <c r="BY126" s="53" t="n"/>
      <c r="BZ126" s="53" t="inlineStr">
        <is>
          <t>IRIS2308</t>
        </is>
      </c>
      <c r="CA126" s="53" t="inlineStr">
        <is>
          <t>Employee</t>
        </is>
      </c>
      <c r="CB126" s="53" t="inlineStr">
        <is>
          <t>Active</t>
        </is>
      </c>
      <c r="CC126" s="53" t="inlineStr">
        <is>
          <t>Smriti Priya</t>
        </is>
      </c>
      <c r="CD126" s="54" t="n">
        <v>45551</v>
      </c>
      <c r="CE126" s="53" t="inlineStr">
        <is>
          <t>Senior Analyst, Strategy and Operations</t>
        </is>
      </c>
      <c r="CF126" s="53" t="inlineStr">
        <is>
          <t>Actual - mostly coordinates and furnishes data in RFP, volume of RFP is not high - 2-3 RFT in a month max</t>
        </is>
      </c>
      <c r="CG126" s="53" t="inlineStr">
        <is>
          <t>Sales Operations</t>
        </is>
      </c>
      <c r="CH126" s="53" t="inlineStr">
        <is>
          <t>Strategy &amp; Operations</t>
        </is>
      </c>
      <c r="CI126" s="53" t="inlineStr">
        <is>
          <t>Senior Analyst, Strategy and Operations</t>
        </is>
      </c>
      <c r="CJ126" s="53" t="inlineStr">
        <is>
          <t>L4 – Senior</t>
        </is>
      </c>
      <c r="CK126" s="53" t="inlineStr">
        <is>
          <t>Medha Ganti</t>
        </is>
      </c>
      <c r="CL126" s="53" t="inlineStr">
        <is>
          <t>N-5</t>
        </is>
      </c>
      <c r="CM126" s="53" t="inlineStr">
        <is>
          <t>Individual Contributor</t>
        </is>
      </c>
      <c r="CN126" s="53" t="inlineStr">
        <is>
          <t>Regtech</t>
        </is>
      </c>
      <c r="CO126" s="53" t="inlineStr">
        <is>
          <t>Sales</t>
        </is>
      </c>
      <c r="CP126" s="53" t="inlineStr">
        <is>
          <t>3 years, 9 months, 4 days</t>
        </is>
      </c>
      <c r="CQ126" s="53" t="inlineStr">
        <is>
          <t>Senior Associate - Strategy &amp; Operations</t>
        </is>
      </c>
      <c r="CR126" s="53" t="inlineStr">
        <is>
          <t>No</t>
        </is>
      </c>
      <c r="CS126" s="53" t="n">
        <v>3</v>
      </c>
      <c r="CT126" s="53" t="inlineStr">
        <is>
          <t>Low</t>
        </is>
      </c>
      <c r="CU126" s="53" t="inlineStr">
        <is>
          <t>Reliable Specialist</t>
        </is>
      </c>
      <c r="CV126" s="53" t="n"/>
      <c r="CW126" s="53" t="n"/>
      <c r="CX126" s="53" t="n"/>
      <c r="CY126" s="53" t="n"/>
      <c r="CZ126" s="53" t="inlineStr">
        <is>
          <t>Consultative &amp; solution selling; negotiation; CRM discipline; SaaS/RegTech product &amp; domain knowledge</t>
        </is>
      </c>
      <c r="DA126" s="53" t="inlineStr">
        <is>
          <t>Transition to leadership: people management &amp; delegation, mentoring/coaching, project ownership &amp; stakeholder management, prioritisation under ambiguity, presentation &amp; influence skills</t>
        </is>
      </c>
      <c r="DB126" s="53" t="inlineStr">
        <is>
          <t>Title to be standardized to: Senior Associate - Strategy &amp; Operations</t>
        </is>
      </c>
      <c r="DC126" s="53" t="n"/>
      <c r="DD126" s="53" t="n"/>
      <c r="DE126" s="53" t="n"/>
      <c r="DF126" s="53" t="n"/>
      <c r="DG126" s="53" t="n"/>
      <c r="DH126" s="53" t="n"/>
      <c r="DI126" s="53" t="n"/>
      <c r="DJ126" s="53" t="n"/>
      <c r="DK126" s="53" t="n"/>
      <c r="DL126" s="53" t="n"/>
      <c r="DM126" s="53" t="n"/>
      <c r="DN126" s="53" t="n"/>
      <c r="DO126" s="53" t="n"/>
      <c r="DP126" s="53" t="n"/>
      <c r="DQ126" s="53" t="n"/>
      <c r="DR126" s="53" t="n"/>
      <c r="DS126" s="53" t="n"/>
      <c r="DT126" s="53" t="n"/>
      <c r="DU126" s="53" t="n"/>
      <c r="DV126" s="53" t="n"/>
      <c r="DW126" s="53" t="n"/>
      <c r="DX126" s="53" t="n"/>
      <c r="DY126" s="53" t="n"/>
      <c r="DZ126" s="53" t="n"/>
      <c r="EA126" s="53" t="n"/>
      <c r="EB126" s="53" t="n"/>
      <c r="EC126" s="53" t="n"/>
      <c r="ED126" s="53" t="n"/>
      <c r="EE126" s="53" t="n"/>
      <c r="EF126" s="53" t="n"/>
      <c r="EG126" s="53" t="n"/>
      <c r="EH126" s="53" t="n"/>
      <c r="EI126" s="53" t="n"/>
      <c r="EJ126" s="53" t="n"/>
      <c r="EK126" s="53" t="n"/>
      <c r="EL126" s="53" t="n"/>
      <c r="EM126" s="53" t="n"/>
      <c r="EN126" s="53" t="n"/>
      <c r="EO126" s="53" t="n"/>
      <c r="EP126" s="53" t="n"/>
      <c r="EQ126" s="53" t="n"/>
      <c r="ER126" s="53" t="n"/>
      <c r="ES126" s="53" t="n"/>
      <c r="ET126" s="53" t="n"/>
      <c r="EU126" s="53" t="n"/>
      <c r="EV126" s="53" t="n"/>
      <c r="EW126" s="52" t="n"/>
      <c r="EX126" s="53" t="inlineStr">
        <is>
          <t>Streamline and support the sales process by coordinating cross-functional inputs, managing RFPs/tenders and commercial requirements, and ensuring timely, accurate execution.; RFP Tracking Response consolidation Process Improvement Deadline Management</t>
        </is>
      </c>
      <c r="EY126" s="53"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EZ126" s="53"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FA126" s="53"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B126" s="53" t="inlineStr">
        <is>
          <t>Cross functional inputs Multiple urgent requests Competitive priorities Too many parallel tasks Unclear ownership; Clearer ownership and prioritization of cross-team requests, so urgent work can be handled without constantly switching between priorities.</t>
        </is>
      </c>
      <c r="FC126" s="53" t="n"/>
      <c r="FD126" s="53" t="n"/>
      <c r="FE126"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126" s="56" t="n"/>
      <c r="FG126" s="56" t="n"/>
      <c r="FH126" s="56" t="n"/>
      <c r="FI126" s="56" t="inlineStr">
        <is>
          <t>Actual - mostly coordinates and furnishes data in RFP, volume of RFP is not high - 2-3 RFT in a month max</t>
        </is>
      </c>
      <c r="FJ126" s="56" t="inlineStr">
        <is>
          <t>Received · manager annual</t>
        </is>
      </c>
      <c r="FK126" s="56" t="inlineStr">
        <is>
          <t>CARBON Mapping Master · CARBON Talent Mapping · Raw</t>
        </is>
      </c>
      <c r="FL126" s="56" t="n">
        <v>20</v>
      </c>
      <c r="FM126" s="56" t="inlineStr">
        <is>
          <t>Streamline and support the sales process by coordinating cross-functional inputs, managing RFPs/tenders and commercial requirements, and ensuring timely, accurate execution.; RFP Tracking Response consolidation Process Improvement Deadline Management</t>
        </is>
      </c>
      <c r="FN126" s="56"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FO126" s="56"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FP126" s="56"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Q126" s="56" t="inlineStr">
        <is>
          <t>Cross functional inputs Multiple urgent requests Competitive priorities Too many parallel tasks Unclear ownership; Clearer ownership and prioritization of cross-team requests, so urgent work can be handled without constantly switching between priorities.</t>
        </is>
      </c>
      <c r="FR126" s="56" t="inlineStr">
        <is>
          <t>Complexity: Evidence reads like A3: Manages RFPs/tenders, bid compliance, vendor registration, questionnaires, commission calculation and legal coordination → matches the start
Autonomy: Evidence reads like A3: Decides RFP tracking, response consolidation, process improvement; judges when to deviate from the repository → matches the start
Accountability: Evidence reads like A3: Accuracy and on-time submission of RFP responses; errors can cost participation in opportunities → matches the start
Leadership: Evidence reads like A1: Coordinates cross-functional inputs; no guidance of others described → moved down 0.5
Business Impact: No survey or manager-mapping signal on criticality: kept at the start point.</t>
        </is>
      </c>
      <c r="FS126" s="56" t="n"/>
      <c r="FT126" s="56" t="inlineStr">
        <is>
          <t>Self-identified: Leadership &amp; people management · Strategy &amp; business acumen · Broader exposure &amp; ownership
For the next role: Leadership &amp; people management · Client, sales &amp; stakeholders · Strategy &amp; business acumen · Broader exposure &amp; ownership</t>
        </is>
      </c>
      <c r="FU126" s="56" t="inlineStr">
        <is>
          <t>Per-person summary · CARBON Mapping Master</t>
        </is>
      </c>
    </row>
    <row r="127" ht="90" customHeight="1">
      <c r="A127" s="51" t="inlineStr">
        <is>
          <t>◂ Back</t>
        </is>
      </c>
      <c r="B127" s="29" t="inlineStr">
        <is>
          <t>Mapped</t>
        </is>
      </c>
      <c r="C127" s="28" t="inlineStr">
        <is>
          <t>CARBON</t>
        </is>
      </c>
      <c r="D127" s="29" t="inlineStr">
        <is>
          <t>IRIS2301</t>
        </is>
      </c>
      <c r="E127" s="29" t="inlineStr">
        <is>
          <t>Priyadarsini Kairali</t>
        </is>
      </c>
      <c r="F127" s="29" t="inlineStr">
        <is>
          <t>Functional</t>
        </is>
      </c>
      <c r="G127" s="29" t="inlineStr">
        <is>
          <t>Functional Specialist</t>
        </is>
      </c>
      <c r="H127" s="29" t="inlineStr">
        <is>
          <t>Associate Product Manager – POD Lead</t>
        </is>
      </c>
      <c r="I127" s="29" t="inlineStr">
        <is>
          <t>L3 – Professional / Associate</t>
        </is>
      </c>
      <c r="J127" s="29" t="inlineStr">
        <is>
          <t>B1</t>
        </is>
      </c>
      <c r="K127" s="29" t="inlineStr">
        <is>
          <t>▲ Up</t>
        </is>
      </c>
      <c r="L127" s="29" t="inlineStr">
        <is>
          <t>Product Management</t>
        </is>
      </c>
      <c r="M127" s="29" t="inlineStr">
        <is>
          <t>Product Management</t>
        </is>
      </c>
      <c r="N127" s="29" t="n"/>
      <c r="O127" s="29" t="n">
        <v>20</v>
      </c>
      <c r="P127" s="28" t="inlineStr">
        <is>
          <t>P3 / M2</t>
        </is>
      </c>
      <c r="Q127" s="29" t="inlineStr">
        <is>
          <t>Career / · Team Lead</t>
        </is>
      </c>
      <c r="R127" s="29" t="inlineStr">
        <is>
          <t>4 Enable</t>
        </is>
      </c>
      <c r="S127" s="29" t="inlineStr">
        <is>
          <t>4–7 yrs</t>
        </is>
      </c>
      <c r="T127" s="29" t="inlineStr">
        <is>
          <t>5–8 · 4–8</t>
        </is>
      </c>
      <c r="U127" s="29" t="inlineStr">
        <is>
          <t>Product Manager</t>
        </is>
      </c>
      <c r="V127" s="29" t="inlineStr">
        <is>
          <t>IRIS Vs Competitor Benchmark — SaaS product ladder: Product Manager</t>
        </is>
      </c>
      <c r="W127" s="29" t="inlineStr">
        <is>
          <t>Pragmatic Institute Framework · 37 activities, 7 categories; AIPMM</t>
        </is>
      </c>
      <c r="X127" s="29" t="inlineStr">
        <is>
          <t>Core 3 · Future 3 · Functional 3 · Leadership 2</t>
        </is>
      </c>
      <c r="Y127" s="52" t="n">
        <v>339</v>
      </c>
      <c r="Z127" s="53" t="inlineStr">
        <is>
          <t>IRIS2301</t>
        </is>
      </c>
      <c r="AA127" s="53" t="inlineStr">
        <is>
          <t>Employee</t>
        </is>
      </c>
      <c r="AB127" s="53" t="inlineStr">
        <is>
          <t>Active</t>
        </is>
      </c>
      <c r="AC127" s="53" t="inlineStr">
        <is>
          <t>Priyadarsini Kairali</t>
        </is>
      </c>
      <c r="AD127" s="54" t="n">
        <v>45537</v>
      </c>
      <c r="AE127" s="53" t="inlineStr">
        <is>
          <t>Functional Specialist</t>
        </is>
      </c>
      <c r="AF127" s="53" t="inlineStr">
        <is>
          <t>MBA</t>
        </is>
      </c>
      <c r="AG127" s="53" t="inlineStr">
        <is>
          <t>Suman Adhikary</t>
        </is>
      </c>
      <c r="AH127" s="53" t="inlineStr">
        <is>
          <t>N-4</t>
        </is>
      </c>
      <c r="AI127" s="53" t="inlineStr">
        <is>
          <t>Manager</t>
        </is>
      </c>
      <c r="AJ127" s="53" t="inlineStr">
        <is>
          <t>5 years, 9 months, 0 days</t>
        </is>
      </c>
      <c r="AK127" s="53" t="inlineStr">
        <is>
          <t>1 years, 11 months, 23 days</t>
        </is>
      </c>
      <c r="AL127" s="53" t="inlineStr">
        <is>
          <t>Regtech</t>
        </is>
      </c>
      <c r="AM127" s="53" t="inlineStr">
        <is>
          <t>CARBON</t>
        </is>
      </c>
      <c r="AN127" s="53" t="inlineStr">
        <is>
          <t>Functional</t>
        </is>
      </c>
      <c r="AO127" s="53" t="inlineStr">
        <is>
          <t>Client Engagement</t>
        </is>
      </c>
      <c r="AP127" s="53" t="inlineStr">
        <is>
          <t>No</t>
        </is>
      </c>
      <c r="AQ127" s="53" t="inlineStr">
        <is>
          <t>Client Engagement</t>
        </is>
      </c>
      <c r="AR127" s="53" t="inlineStr">
        <is>
          <t>CA + CE</t>
        </is>
      </c>
      <c r="AS127" s="53" t="inlineStr">
        <is>
          <t>Non-technical</t>
        </is>
      </c>
      <c r="AT127" s="53" t="n">
        <v>20</v>
      </c>
      <c r="AU127" s="53" t="inlineStr">
        <is>
          <t>Covered</t>
        </is>
      </c>
      <c r="AV127" s="53" t="inlineStr">
        <is>
          <t>IRIS2301</t>
        </is>
      </c>
      <c r="AW127" s="53" t="inlineStr">
        <is>
          <t>Priyadarsini Kairali</t>
        </is>
      </c>
      <c r="AX127" s="53" t="inlineStr">
        <is>
          <t>Functional</t>
        </is>
      </c>
      <c r="AY127" s="53" t="inlineStr">
        <is>
          <t>Consulting</t>
        </is>
      </c>
      <c r="AZ127" s="53" t="inlineStr">
        <is>
          <t>Implementation &amp; Solutions Consulting</t>
        </is>
      </c>
      <c r="BA127" s="53" t="inlineStr">
        <is>
          <t>Consulting</t>
        </is>
      </c>
      <c r="BB127" s="53" t="inlineStr">
        <is>
          <t>Product Management</t>
        </is>
      </c>
      <c r="BC127" s="53" t="inlineStr">
        <is>
          <t>Employee</t>
        </is>
      </c>
      <c r="BD127" s="53" t="inlineStr">
        <is>
          <t>Suman Adhikary</t>
        </is>
      </c>
      <c r="BE127" s="53" t="inlineStr">
        <is>
          <t>Anuradha RK</t>
        </is>
      </c>
      <c r="BF127" s="53" t="inlineStr">
        <is>
          <t>Yes</t>
        </is>
      </c>
      <c r="BG127" s="53" t="inlineStr">
        <is>
          <t>Functional Specialist</t>
        </is>
      </c>
      <c r="BH127" s="53" t="inlineStr">
        <is>
          <t>Lead Strategy &amp; Solutions Consultant - Disclosure Management, Office of CFO Solutions</t>
        </is>
      </c>
      <c r="BI127" s="53" t="inlineStr">
        <is>
          <t>Yes</t>
        </is>
      </c>
      <c r="BJ127" s="53" t="n">
        <v>3</v>
      </c>
      <c r="BK127" s="53" t="n">
        <v>3</v>
      </c>
      <c r="BL127" s="53" t="n">
        <v>0</v>
      </c>
      <c r="BM127" s="53" t="inlineStr">
        <is>
          <t>Review</t>
        </is>
      </c>
      <c r="BN127" s="53" t="n">
        <v>2</v>
      </c>
      <c r="BO127" s="53" t="n">
        <v>2</v>
      </c>
      <c r="BP127" s="53" t="n">
        <v>0</v>
      </c>
      <c r="BQ127" s="53" t="inlineStr">
        <is>
          <t>Consolidate / flatten</t>
        </is>
      </c>
      <c r="BR127" s="53" t="inlineStr">
        <is>
          <t>Yes</t>
        </is>
      </c>
      <c r="BS127" s="53" t="inlineStr">
        <is>
          <t>L3 – Professional / Associate</t>
        </is>
      </c>
      <c r="BT127" s="53" t="inlineStr">
        <is>
          <t>L3</t>
        </is>
      </c>
      <c r="BU127" s="53" t="inlineStr">
        <is>
          <t>Matched from Title Hierarchy · new designation</t>
        </is>
      </c>
      <c r="BV127" s="53"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W127" s="53" t="n"/>
      <c r="BX127" s="53" t="inlineStr">
        <is>
          <t>EU; APAC; US.</t>
        </is>
      </c>
      <c r="BY127" s="53" t="n"/>
      <c r="BZ127" s="53" t="inlineStr">
        <is>
          <t>IRIS2301</t>
        </is>
      </c>
      <c r="CA127" s="53" t="inlineStr">
        <is>
          <t>Employee</t>
        </is>
      </c>
      <c r="CB127" s="53" t="inlineStr">
        <is>
          <t>Active</t>
        </is>
      </c>
      <c r="CC127" s="53" t="inlineStr">
        <is>
          <t>Priyadarsini Kairali</t>
        </is>
      </c>
      <c r="CD127" s="54" t="n">
        <v>45537</v>
      </c>
      <c r="CE127" s="53" t="inlineStr">
        <is>
          <t>Functional Specialist</t>
        </is>
      </c>
      <c r="CF127" s="53" t="inlineStr">
        <is>
          <t>. Revenue impact: Handle the pre-sales process where we can represent our product and solutions effectively to prospects, which leads to deal closures.</t>
        </is>
      </c>
      <c r="CG127" s="53" t="inlineStr">
        <is>
          <t>Consulting  Services</t>
        </is>
      </c>
      <c r="CH127" s="53" t="inlineStr">
        <is>
          <t>Financial Reporting Advisory</t>
        </is>
      </c>
      <c r="CI127" s="53" t="inlineStr">
        <is>
          <t>Functional Specialist</t>
        </is>
      </c>
      <c r="CJ127" s="53" t="inlineStr">
        <is>
          <t>L3 – Professional / Associate</t>
        </is>
      </c>
      <c r="CK127" s="53" t="inlineStr">
        <is>
          <t>Anuradha RK</t>
        </is>
      </c>
      <c r="CL127" s="53" t="inlineStr">
        <is>
          <t>N-4</t>
        </is>
      </c>
      <c r="CM127" s="53" t="inlineStr">
        <is>
          <t>Manager</t>
        </is>
      </c>
      <c r="CN127" s="53" t="inlineStr">
        <is>
          <t>Regtech</t>
        </is>
      </c>
      <c r="CO127" s="53" t="inlineStr">
        <is>
          <t>Functional</t>
        </is>
      </c>
      <c r="CP127" s="53" t="inlineStr">
        <is>
          <t>7 years, 6 months, 18 days</t>
        </is>
      </c>
      <c r="CQ127" s="53" t="inlineStr">
        <is>
          <t>Lead Strategy &amp; Solutions Consulting</t>
        </is>
      </c>
      <c r="CR127" s="53" t="inlineStr">
        <is>
          <t>No</t>
        </is>
      </c>
      <c r="CS127" s="53" t="n">
        <v>3</v>
      </c>
      <c r="CT127" s="53" t="inlineStr">
        <is>
          <t>Medium</t>
        </is>
      </c>
      <c r="CU127" s="53" t="inlineStr">
        <is>
          <t>High Impact / Growth Talent</t>
        </is>
      </c>
      <c r="CV127" s="53" t="n"/>
      <c r="CW127" s="53" t="n"/>
      <c r="CX127" s="53" t="inlineStr">
        <is>
          <t>Yes</t>
        </is>
      </c>
      <c r="CY127" s="53" t="n"/>
      <c r="CZ127" s="53" t="inlineStr">
        <is>
          <t>Customer success methods; communication &amp; de-escalation; product/domain depth; ticketing &amp; SLA tools | People management: goal-setting &amp; feedback, 1:1 coaching, performance conversations</t>
        </is>
      </c>
      <c r="DA127" s="53" t="inlineStr">
        <is>
          <t>Leadership development: strategic thinking, cross-functional influence, financial/business acumen, succession &amp; talent development, change management, executive communication</t>
        </is>
      </c>
      <c r="DB127" s="53" t="inlineStr">
        <is>
          <t>Suggested a designation of "Solutions &amp; Strategy Lead"</t>
        </is>
      </c>
      <c r="DC127" s="53" t="n"/>
      <c r="DD127" s="53" t="n"/>
      <c r="DE127" s="53" t="n"/>
      <c r="DF127" s="53" t="n"/>
      <c r="DG127" s="53" t="n"/>
      <c r="DH127" s="53" t="n"/>
      <c r="DI127" s="53" t="n"/>
      <c r="DJ127" s="53" t="n"/>
      <c r="DK127" s="53" t="n"/>
      <c r="DL127" s="53" t="n"/>
      <c r="DM127" s="53" t="n"/>
      <c r="DN127" s="53" t="n"/>
      <c r="DO127" s="53" t="n"/>
      <c r="DP127" s="53" t="n"/>
      <c r="DQ127" s="53" t="n"/>
      <c r="DR127" s="53" t="n"/>
      <c r="DS127" s="53" t="n"/>
      <c r="DT127" s="53" t="n"/>
      <c r="DU127" s="53" t="n"/>
      <c r="DV127" s="53" t="n"/>
      <c r="DW127" s="53" t="n"/>
      <c r="DX127" s="53" t="n"/>
      <c r="DY127" s="53" t="n"/>
      <c r="DZ127" s="53" t="n"/>
      <c r="EA127" s="53" t="n"/>
      <c r="EB127" s="53" t="n"/>
      <c r="EC127" s="53" t="n"/>
      <c r="ED127" s="53" t="n"/>
      <c r="EE127" s="53" t="n"/>
      <c r="EF127" s="53" t="n"/>
      <c r="EG127" s="53" t="n"/>
      <c r="EH127" s="53" t="n"/>
      <c r="EI127" s="53" t="n"/>
      <c r="EJ127" s="53" t="n"/>
      <c r="EK127" s="53" t="n"/>
      <c r="EL127" s="53" t="n"/>
      <c r="EM127" s="53" t="n"/>
      <c r="EN127" s="53" t="n"/>
      <c r="EO127" s="53" t="n"/>
      <c r="EP127" s="53" t="n"/>
      <c r="EQ127" s="53" t="n"/>
      <c r="ER127" s="53" t="n"/>
      <c r="ES127" s="53" t="n"/>
      <c r="ET127" s="53" t="n"/>
      <c r="EU127" s="53" t="n"/>
      <c r="EV127" s="53" t="n"/>
      <c r="EW127" s="52" t="n"/>
      <c r="EX127" s="53"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EY127" s="53"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EZ127" s="53"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FA127" s="53"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B127" s="53"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C127" s="53" t="n"/>
      <c r="FD127" s="53" t="n"/>
      <c r="FE127" s="57"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FF127" s="56" t="n"/>
      <c r="FG127" s="56" t="n"/>
      <c r="FH127" s="56" t="n"/>
      <c r="FI127" s="56" t="inlineStr">
        <is>
          <t>. Revenue impact: Handle the pre-sales process where we can represent our product and solutions effectively to prospects, which leads to deal closures.</t>
        </is>
      </c>
      <c r="FJ127" s="56" t="inlineStr">
        <is>
          <t>Received · manager annual</t>
        </is>
      </c>
      <c r="FK127" s="56" t="inlineStr">
        <is>
          <t>CARBON Mapping Master · CARBON Talent Mapping · Raw</t>
        </is>
      </c>
      <c r="FL127" s="56" t="n">
        <v>20</v>
      </c>
      <c r="FM127" s="56"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FN127" s="56"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FO127" s="56"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FP127" s="56"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Q127" s="56"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R127" s="56" t="inlineStr">
        <is>
          <t>Complexity: Evidence reads like B1: Discovery calls and demos for enterprise customers, pricing inputs, partner and customer enablement → matches the start
Autonomy: Evidence reads like A3: Decides approach for client calls, how to pitch and feedback given → moved down 0.5
Accountability: Evidence reads like A3: Customer clarity on product capability; errors delay revenue or cool prospects → moved down 0.5
Leadership: Evidence reads like A3: Enables partners and customers; 2 direct reports → moved down 0.5
Business Impact: Moved +0.5: the survey / manager mapping marks it business-critical.</t>
        </is>
      </c>
      <c r="FS127"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27" s="56" t="inlineStr">
        <is>
          <t>Self-identified: AI / automation · Product &amp; tool knowledge
For the next role: AI / automation · Product &amp; tool knowledge</t>
        </is>
      </c>
      <c r="FU127" s="56" t="inlineStr">
        <is>
          <t>Per-person summary · CARBON Mapping Master</t>
        </is>
      </c>
    </row>
    <row r="128" ht="90" customHeight="1">
      <c r="A128" s="51" t="inlineStr">
        <is>
          <t>◂ Back</t>
        </is>
      </c>
      <c r="B128" s="29" t="inlineStr">
        <is>
          <t>Mapped</t>
        </is>
      </c>
      <c r="C128" s="28" t="inlineStr">
        <is>
          <t>CARBON</t>
        </is>
      </c>
      <c r="D128" s="29" t="inlineStr">
        <is>
          <t>IRIS2463</t>
        </is>
      </c>
      <c r="E128" s="29" t="inlineStr">
        <is>
          <t>Nandit Verma</t>
        </is>
      </c>
      <c r="F128" s="29" t="inlineStr">
        <is>
          <t>Functional</t>
        </is>
      </c>
      <c r="G128" s="29" t="inlineStr">
        <is>
          <t>Functional Specialist</t>
        </is>
      </c>
      <c r="H128" s="29" t="inlineStr">
        <is>
          <t>Functional Specialist</t>
        </is>
      </c>
      <c r="I128" s="29" t="inlineStr">
        <is>
          <t>L3 – Professional / Associate</t>
        </is>
      </c>
      <c r="J128" s="29" t="inlineStr">
        <is>
          <t>B1</t>
        </is>
      </c>
      <c r="K128" s="29" t="inlineStr">
        <is>
          <t>▲ Up</t>
        </is>
      </c>
      <c r="L128" s="29" t="inlineStr">
        <is>
          <t>Solution Consulting &amp; Implementation</t>
        </is>
      </c>
      <c r="M128" s="29" t="inlineStr">
        <is>
          <t>Solution Consulting &amp; Implementation</t>
        </is>
      </c>
      <c r="N128" s="29" t="n"/>
      <c r="O128" s="29" t="n">
        <v>20</v>
      </c>
      <c r="P128" s="28" t="inlineStr">
        <is>
          <t>P3 / M2</t>
        </is>
      </c>
      <c r="Q128" s="29" t="inlineStr">
        <is>
          <t>Career / · Team Lead</t>
        </is>
      </c>
      <c r="R128" s="29" t="inlineStr">
        <is>
          <t>4 Enable</t>
        </is>
      </c>
      <c r="S128" s="29" t="inlineStr">
        <is>
          <t>4–7 yrs</t>
        </is>
      </c>
      <c r="T128" s="29" t="inlineStr">
        <is>
          <t>5–8 · 4–8</t>
        </is>
      </c>
      <c r="U128" s="29" t="inlineStr">
        <is>
          <t>Senior Consultant</t>
        </is>
      </c>
      <c r="V128" s="29" t="inlineStr">
        <is>
          <t>Big Four: Senior Consultant · Regnology: BA · Reg Reporting</t>
        </is>
      </c>
      <c r="W128" s="29" t="inlineStr">
        <is>
          <t>TSIA professional services; PMI; BABOK</t>
        </is>
      </c>
      <c r="X128" s="29" t="inlineStr">
        <is>
          <t>Core 3 · Future 3 · Functional 3 · Leadership 1</t>
        </is>
      </c>
      <c r="Y128" s="52" t="n">
        <v>435</v>
      </c>
      <c r="Z128" s="53" t="inlineStr">
        <is>
          <t>IRIS2463</t>
        </is>
      </c>
      <c r="AA128" s="53" t="inlineStr">
        <is>
          <t>Employee</t>
        </is>
      </c>
      <c r="AB128" s="53" t="inlineStr">
        <is>
          <t>Active</t>
        </is>
      </c>
      <c r="AC128" s="53" t="inlineStr">
        <is>
          <t>Nandit Verma</t>
        </is>
      </c>
      <c r="AD128" s="54" t="n">
        <v>46030</v>
      </c>
      <c r="AE128" s="53" t="inlineStr">
        <is>
          <t>Functional Specialist</t>
        </is>
      </c>
      <c r="AF128" s="53" t="inlineStr">
        <is>
          <t>B.E</t>
        </is>
      </c>
      <c r="AG128" s="53" t="inlineStr">
        <is>
          <t>Priyadarsini Kairali</t>
        </is>
      </c>
      <c r="AH128" s="53" t="inlineStr">
        <is>
          <t>N-5</t>
        </is>
      </c>
      <c r="AI128" s="53" t="inlineStr">
        <is>
          <t>Individual Contributor</t>
        </is>
      </c>
      <c r="AJ128" s="53" t="inlineStr">
        <is>
          <t>4 years, 3 months, 0 days</t>
        </is>
      </c>
      <c r="AK128" s="53" t="inlineStr">
        <is>
          <t>0 years, 7 months, 17 days</t>
        </is>
      </c>
      <c r="AL128" s="53" t="inlineStr">
        <is>
          <t>Regtech</t>
        </is>
      </c>
      <c r="AM128" s="53" t="inlineStr">
        <is>
          <t>CARBON</t>
        </is>
      </c>
      <c r="AN128" s="53" t="inlineStr">
        <is>
          <t>Functional</t>
        </is>
      </c>
      <c r="AO128" s="53" t="inlineStr">
        <is>
          <t>Client Engagement</t>
        </is>
      </c>
      <c r="AP128" s="53" t="inlineStr">
        <is>
          <t>No</t>
        </is>
      </c>
      <c r="AQ128" s="53" t="inlineStr">
        <is>
          <t>Client Engagement</t>
        </is>
      </c>
      <c r="AR128" s="53" t="inlineStr">
        <is>
          <t>CE</t>
        </is>
      </c>
      <c r="AS128" s="53" t="inlineStr">
        <is>
          <t>Non-technical</t>
        </is>
      </c>
      <c r="AT128" s="53" t="n">
        <v>20</v>
      </c>
      <c r="AU128" s="53" t="inlineStr">
        <is>
          <t>Covered</t>
        </is>
      </c>
      <c r="AV128" s="53" t="inlineStr">
        <is>
          <t>IRIS2463</t>
        </is>
      </c>
      <c r="AW128" s="53" t="inlineStr">
        <is>
          <t>Nandit Verma</t>
        </is>
      </c>
      <c r="AX128" s="53" t="inlineStr">
        <is>
          <t>Functional</t>
        </is>
      </c>
      <c r="AY128" s="53" t="inlineStr">
        <is>
          <t>Consulting</t>
        </is>
      </c>
      <c r="AZ128" s="53" t="inlineStr">
        <is>
          <t>Implementation &amp; Solutions Consulting</t>
        </is>
      </c>
      <c r="BA128" s="53" t="inlineStr">
        <is>
          <t>Consulting</t>
        </is>
      </c>
      <c r="BB128" s="53" t="n"/>
      <c r="BC128" s="53" t="inlineStr">
        <is>
          <t>Employee</t>
        </is>
      </c>
      <c r="BD128" s="53" t="inlineStr">
        <is>
          <t>Priyadarsini Kairali</t>
        </is>
      </c>
      <c r="BE128" s="53" t="inlineStr">
        <is>
          <t>Priyadarsini Kairali</t>
        </is>
      </c>
      <c r="BF128" s="53" t="inlineStr">
        <is>
          <t>No</t>
        </is>
      </c>
      <c r="BG128" s="53" t="inlineStr">
        <is>
          <t>Functional Specialist</t>
        </is>
      </c>
      <c r="BH128" s="53" t="inlineStr">
        <is>
          <t>Functional Specialist</t>
        </is>
      </c>
      <c r="BI128" s="53" t="inlineStr">
        <is>
          <t>No</t>
        </is>
      </c>
      <c r="BJ128" s="53" t="inlineStr">
        <is>
          <t>—</t>
        </is>
      </c>
      <c r="BK128" s="53" t="inlineStr">
        <is>
          <t>—</t>
        </is>
      </c>
      <c r="BL128" s="53" t="inlineStr">
        <is>
          <t>—</t>
        </is>
      </c>
      <c r="BM128" s="53" t="inlineStr">
        <is>
          <t>Not a manager</t>
        </is>
      </c>
      <c r="BN128" s="53" t="inlineStr">
        <is>
          <t>—</t>
        </is>
      </c>
      <c r="BO128" s="53" t="inlineStr">
        <is>
          <t>—</t>
        </is>
      </c>
      <c r="BP128" s="53" t="inlineStr">
        <is>
          <t>—</t>
        </is>
      </c>
      <c r="BQ128" s="53" t="inlineStr">
        <is>
          <t>Not a manager</t>
        </is>
      </c>
      <c r="BR128" s="53" t="inlineStr">
        <is>
          <t>—</t>
        </is>
      </c>
      <c r="BS128" s="53" t="inlineStr">
        <is>
          <t>L3 – Professional / Associate</t>
        </is>
      </c>
      <c r="BT128" s="53" t="inlineStr">
        <is>
          <t>L3 – Professional / Associate</t>
        </is>
      </c>
      <c r="BU128" s="53" t="inlineStr">
        <is>
          <t>No designation change — current record value carried forward</t>
        </is>
      </c>
      <c r="BV128" s="53" t="inlineStr">
        <is>
          <t>OKR Link</t>
        </is>
      </c>
      <c r="BW128" s="53" t="n"/>
      <c r="BX128" s="53" t="inlineStr">
        <is>
          <t>Global - DM.</t>
        </is>
      </c>
      <c r="BY128" s="53" t="n"/>
      <c r="BZ128" s="53" t="inlineStr">
        <is>
          <t>IRIS2463</t>
        </is>
      </c>
      <c r="CA128" s="53" t="inlineStr">
        <is>
          <t>Employee</t>
        </is>
      </c>
      <c r="CB128" s="53" t="inlineStr">
        <is>
          <t>Active</t>
        </is>
      </c>
      <c r="CC128" s="53" t="inlineStr">
        <is>
          <t>Nandit Verma</t>
        </is>
      </c>
      <c r="CD128" s="54" t="n">
        <v>46030</v>
      </c>
      <c r="CE128" s="53" t="inlineStr">
        <is>
          <t>Functional Specialist</t>
        </is>
      </c>
      <c r="CF128" s="53" t="inlineStr">
        <is>
          <t>Tag with Sales team to give product demo to the clients and post onboarding of customers, they help in implementation</t>
        </is>
      </c>
      <c r="CG128" s="53" t="inlineStr">
        <is>
          <t>Consulting  Services</t>
        </is>
      </c>
      <c r="CH128" s="53" t="inlineStr">
        <is>
          <t>Financial Reporting Advisory</t>
        </is>
      </c>
      <c r="CI128" s="53" t="inlineStr">
        <is>
          <t>Functional Specialist</t>
        </is>
      </c>
      <c r="CJ128" s="53" t="inlineStr">
        <is>
          <t>L3 – Professional / Associate</t>
        </is>
      </c>
      <c r="CK128" s="53" t="inlineStr">
        <is>
          <t>Priyadarsini Kairali</t>
        </is>
      </c>
      <c r="CL128" s="53" t="inlineStr">
        <is>
          <t>N-5</t>
        </is>
      </c>
      <c r="CM128" s="53" t="inlineStr">
        <is>
          <t>Individual Contributor</t>
        </is>
      </c>
      <c r="CN128" s="53" t="inlineStr">
        <is>
          <t>Regtech</t>
        </is>
      </c>
      <c r="CO128" s="53" t="inlineStr">
        <is>
          <t>Functional</t>
        </is>
      </c>
      <c r="CP128" s="53" t="inlineStr">
        <is>
          <t>4 years, 8 months, 12 days</t>
        </is>
      </c>
      <c r="CQ128" s="53" t="inlineStr">
        <is>
          <t>Functional Specialist</t>
        </is>
      </c>
      <c r="CR128" s="53" t="inlineStr">
        <is>
          <t>No</t>
        </is>
      </c>
      <c r="CS128" s="53" t="n">
        <v>4</v>
      </c>
      <c r="CT128" s="53" t="inlineStr">
        <is>
          <t>Medium</t>
        </is>
      </c>
      <c r="CU128" s="53" t="inlineStr">
        <is>
          <t>High Impact / Growth Talent</t>
        </is>
      </c>
      <c r="CV128" s="53" t="n"/>
      <c r="CW128" s="53" t="n"/>
      <c r="CX128" s="53" t="n"/>
      <c r="CY128" s="53" t="n"/>
      <c r="CZ128" s="53" t="inlineStr">
        <is>
          <t>Customer success methods; communication &amp; de-escalation; product/domain depth; ticketing &amp; SLA tools</t>
        </is>
      </c>
      <c r="DA128" s="53" t="inlineStr">
        <is>
          <t>Transition to leadership: people management &amp; delegation, mentoring/coaching, project ownership &amp; stakeholder management, prioritisation under ambiguity, presentation &amp; influence skills</t>
        </is>
      </c>
      <c r="DB128" s="53" t="n"/>
      <c r="DC128" s="53" t="n"/>
      <c r="DD128" s="53" t="n"/>
      <c r="DE128" s="53" t="n"/>
      <c r="DF128" s="53" t="n"/>
      <c r="DG128" s="53" t="n"/>
      <c r="DH128" s="53" t="n"/>
      <c r="DI128" s="53" t="n"/>
      <c r="DJ128" s="53" t="n"/>
      <c r="DK128" s="53" t="n"/>
      <c r="DL128" s="53" t="n"/>
      <c r="DM128" s="53" t="n"/>
      <c r="DN128" s="53" t="n"/>
      <c r="DO128" s="53" t="n"/>
      <c r="DP128" s="53" t="n"/>
      <c r="DQ128" s="53" t="n"/>
      <c r="DR128" s="53" t="n"/>
      <c r="DS128" s="53" t="n"/>
      <c r="DT128" s="53" t="n"/>
      <c r="DU128" s="53" t="n"/>
      <c r="DV128" s="53" t="n"/>
      <c r="DW128" s="53" t="n"/>
      <c r="DX128" s="53" t="n"/>
      <c r="DY128" s="53" t="n"/>
      <c r="DZ128" s="53" t="n"/>
      <c r="EA128" s="53" t="n"/>
      <c r="EB128" s="53" t="n"/>
      <c r="EC128" s="53" t="n"/>
      <c r="ED128" s="53" t="n"/>
      <c r="EE128" s="53" t="n"/>
      <c r="EF128" s="53" t="n"/>
      <c r="EG128" s="53" t="n"/>
      <c r="EH128" s="53" t="n"/>
      <c r="EI128" s="53" t="n"/>
      <c r="EJ128" s="53" t="n"/>
      <c r="EK128" s="53" t="n"/>
      <c r="EL128" s="53" t="n"/>
      <c r="EM128" s="53" t="n"/>
      <c r="EN128" s="53" t="n"/>
      <c r="EO128" s="53" t="n"/>
      <c r="EP128" s="53" t="n"/>
      <c r="EQ128" s="53" t="n"/>
      <c r="ER128" s="53" t="n"/>
      <c r="ES128" s="53" t="n"/>
      <c r="ET128" s="53" t="n"/>
      <c r="EU128" s="53" t="n"/>
      <c r="EV128" s="53" t="n"/>
      <c r="EW128" s="52" t="n"/>
      <c r="EX128" s="53"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EY128" s="53"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EZ128" s="53"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FA128" s="53"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B128" s="53" t="inlineStr">
        <is>
          <t>• Key challenges: Random tasks assigned.
• Support required: Introduce more roles which define proper responsibilities. Eg. Designated Pre Sales Consultant, Designated QA Tester. Solution Architect etc.</t>
        </is>
      </c>
      <c r="FC128" s="53" t="n"/>
      <c r="FD128" s="53" t="n"/>
      <c r="FE128" s="57" t="inlineStr">
        <is>
          <t>OKR Link</t>
        </is>
      </c>
      <c r="FF128" s="56" t="n"/>
      <c r="FG128" s="56" t="n"/>
      <c r="FH128" s="56" t="n"/>
      <c r="FI128" s="56" t="inlineStr">
        <is>
          <t>Tag with Sales team to give product demo to the clients and post onboarding of customers, they help in implementation</t>
        </is>
      </c>
      <c r="FJ128" s="56" t="inlineStr">
        <is>
          <t>Received · manager annual</t>
        </is>
      </c>
      <c r="FK128" s="56" t="inlineStr">
        <is>
          <t>CARBON Mapping Master · CARBON Talent Mapping · Raw</t>
        </is>
      </c>
      <c r="FL128" s="56" t="n">
        <v>20</v>
      </c>
      <c r="FM128" s="56"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FN128" s="56"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FO128" s="56"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FP128" s="56"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Q128" s="56" t="inlineStr">
        <is>
          <t>• Key challenges: Random tasks assigned.
• Support required: Introduce more roles which define proper responsibilities. Eg. Designated Pre Sales Consultant, Designated QA Tester. Solution Architect etc.</t>
        </is>
      </c>
      <c r="FR128" s="56" t="inlineStr">
        <is>
          <t>Complexity: Evidence reads like B1: Translates client requirements into implementations; US/EMEA financial reporting and XBRL mandate knowledge; bug testing → matches the start
Autonomy: Evidence reads like A3: Decides project set-up activities; suggests product features → moved down 0.5
Accountability: Evidence reads like B1: own survey / KRA answers · summarised by the rater; not quoted → matches the start
Leadership: Evidence reads like A2: Coordinates internal teams on bugs and gaps; no juniors guided → moved down 0.5
Business Impact: No survey or manager-mapping signal on criticality: kept at the start point.</t>
        </is>
      </c>
      <c r="FS128"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28" s="56" t="inlineStr">
        <is>
          <t>Self-identified: Client, sales &amp; stakeholders
For the next role: Client, sales &amp; stakeholders</t>
        </is>
      </c>
      <c r="FU128" s="56" t="inlineStr">
        <is>
          <t>Per-person summary · CARBON Mapping Master</t>
        </is>
      </c>
    </row>
    <row r="129" ht="90" customHeight="1">
      <c r="A129" s="51" t="inlineStr">
        <is>
          <t>◂ Back</t>
        </is>
      </c>
      <c r="B129" s="29" t="inlineStr">
        <is>
          <t>Mapped</t>
        </is>
      </c>
      <c r="C129" s="28" t="inlineStr">
        <is>
          <t>CARBON</t>
        </is>
      </c>
      <c r="D129" s="29" t="inlineStr">
        <is>
          <t>IRIS2421</t>
        </is>
      </c>
      <c r="E129" s="29" t="inlineStr">
        <is>
          <t>Prathamesh Patil</t>
        </is>
      </c>
      <c r="F129" s="29" t="inlineStr">
        <is>
          <t>Functional</t>
        </is>
      </c>
      <c r="G129" s="29" t="inlineStr">
        <is>
          <t>Functional Analyst</t>
        </is>
      </c>
      <c r="H129" s="29" t="inlineStr">
        <is>
          <t>Senior Functional Analyst</t>
        </is>
      </c>
      <c r="I129" s="29" t="inlineStr">
        <is>
          <t>L3 – Professional / Associate</t>
        </is>
      </c>
      <c r="J129" s="29" t="inlineStr">
        <is>
          <t>A3</t>
        </is>
      </c>
      <c r="K129" s="29" t="inlineStr">
        <is>
          <t>▲ Up</t>
        </is>
      </c>
      <c r="L129" s="29" t="inlineStr">
        <is>
          <t>Solution Consulting &amp; Implementation</t>
        </is>
      </c>
      <c r="M129" s="29" t="inlineStr">
        <is>
          <t>Solution Consulting &amp; Implementation</t>
        </is>
      </c>
      <c r="N129" s="29" t="n"/>
      <c r="O129" s="29" t="n">
        <v>19</v>
      </c>
      <c r="P129" s="28" t="inlineStr">
        <is>
          <t>P2</t>
        </is>
      </c>
      <c r="Q129" s="29" t="inlineStr">
        <is>
          <t>Developing</t>
        </is>
      </c>
      <c r="R129" s="29" t="inlineStr">
        <is>
          <t>3 Apply</t>
        </is>
      </c>
      <c r="S129" s="29" t="inlineStr">
        <is>
          <t>2–4 yrs</t>
        </is>
      </c>
      <c r="T129" s="29" t="inlineStr">
        <is>
          <t>3–5 · 2–5</t>
        </is>
      </c>
      <c r="U129" s="29" t="inlineStr">
        <is>
          <t>Implementation Consultant</t>
        </is>
      </c>
      <c r="V129" s="29" t="inlineStr">
        <is>
          <t>Big Four: Consultant · Regnology: Junior BA</t>
        </is>
      </c>
      <c r="W129" s="29" t="inlineStr">
        <is>
          <t>TSIA professional services; PMI; BABOK</t>
        </is>
      </c>
      <c r="X129" s="29" t="inlineStr">
        <is>
          <t>Core 2 · Future 2 · Functional 3 · Leadership not scored</t>
        </is>
      </c>
      <c r="Y129" s="52" t="n">
        <v>392</v>
      </c>
      <c r="Z129" s="53" t="inlineStr">
        <is>
          <t>IRIS2421</t>
        </is>
      </c>
      <c r="AA129" s="53" t="inlineStr">
        <is>
          <t>Employee</t>
        </is>
      </c>
      <c r="AB129" s="53" t="inlineStr">
        <is>
          <t>Active</t>
        </is>
      </c>
      <c r="AC129" s="53" t="inlineStr">
        <is>
          <t>Prathamesh Patil</t>
        </is>
      </c>
      <c r="AD129" s="54" t="n">
        <v>45881</v>
      </c>
      <c r="AE129" s="53" t="inlineStr">
        <is>
          <t>Functional Analyst</t>
        </is>
      </c>
      <c r="AF129" s="53" t="inlineStr">
        <is>
          <t>MMS</t>
        </is>
      </c>
      <c r="AG129" s="53" t="inlineStr">
        <is>
          <t>Priyadarsini Kairali</t>
        </is>
      </c>
      <c r="AH129" s="53" t="inlineStr">
        <is>
          <t>N-5</t>
        </is>
      </c>
      <c r="AI129" s="53" t="inlineStr">
        <is>
          <t>Individual Contributor</t>
        </is>
      </c>
      <c r="AJ129" s="53" t="inlineStr">
        <is>
          <t>0 years, 6 months, 0 days</t>
        </is>
      </c>
      <c r="AK129" s="53" t="inlineStr">
        <is>
          <t>1 years, 0 months, 13 days</t>
        </is>
      </c>
      <c r="AL129" s="53" t="inlineStr">
        <is>
          <t>Regtech</t>
        </is>
      </c>
      <c r="AM129" s="53" t="inlineStr">
        <is>
          <t>CARBON</t>
        </is>
      </c>
      <c r="AN129" s="53" t="inlineStr">
        <is>
          <t>Functional</t>
        </is>
      </c>
      <c r="AO129" s="53" t="inlineStr">
        <is>
          <t>Client Engagement</t>
        </is>
      </c>
      <c r="AP129" s="53" t="inlineStr">
        <is>
          <t>No</t>
        </is>
      </c>
      <c r="AQ129" s="53" t="inlineStr">
        <is>
          <t>Client Engagement</t>
        </is>
      </c>
      <c r="AR129" s="53" t="inlineStr">
        <is>
          <t>CE</t>
        </is>
      </c>
      <c r="AS129" s="53" t="inlineStr">
        <is>
          <t>Non-technical</t>
        </is>
      </c>
      <c r="AT129" s="53" t="n">
        <v>20</v>
      </c>
      <c r="AU129" s="53" t="inlineStr">
        <is>
          <t>Covered</t>
        </is>
      </c>
      <c r="AV129" s="53" t="inlineStr">
        <is>
          <t>IRIS2421</t>
        </is>
      </c>
      <c r="AW129" s="53" t="inlineStr">
        <is>
          <t>Prathamesh Patil</t>
        </is>
      </c>
      <c r="AX129" s="53" t="inlineStr">
        <is>
          <t>Functional</t>
        </is>
      </c>
      <c r="AY129" s="53" t="inlineStr">
        <is>
          <t>Consulting</t>
        </is>
      </c>
      <c r="AZ129" s="53" t="inlineStr">
        <is>
          <t>Implementation &amp; Solutions Consulting</t>
        </is>
      </c>
      <c r="BA129" s="53" t="inlineStr">
        <is>
          <t>Consulting</t>
        </is>
      </c>
      <c r="BB129" s="53" t="n"/>
      <c r="BC129" s="53" t="inlineStr">
        <is>
          <t>Employee</t>
        </is>
      </c>
      <c r="BD129" s="53" t="inlineStr">
        <is>
          <t>Priyadarsini Kairali</t>
        </is>
      </c>
      <c r="BE129" s="53" t="inlineStr">
        <is>
          <t>Priyadarsini Kairali</t>
        </is>
      </c>
      <c r="BF129" s="53" t="inlineStr">
        <is>
          <t>No</t>
        </is>
      </c>
      <c r="BG129" s="53" t="inlineStr">
        <is>
          <t>Functional Analyst</t>
        </is>
      </c>
      <c r="BH129" s="53" t="inlineStr">
        <is>
          <t>Functional Specialist</t>
        </is>
      </c>
      <c r="BI129" s="53" t="inlineStr">
        <is>
          <t>Yes</t>
        </is>
      </c>
      <c r="BJ129" s="53" t="inlineStr">
        <is>
          <t>—</t>
        </is>
      </c>
      <c r="BK129" s="53" t="inlineStr">
        <is>
          <t>—</t>
        </is>
      </c>
      <c r="BL129" s="53" t="inlineStr">
        <is>
          <t>—</t>
        </is>
      </c>
      <c r="BM129" s="53" t="inlineStr">
        <is>
          <t>Not a manager</t>
        </is>
      </c>
      <c r="BN129" s="53" t="inlineStr">
        <is>
          <t>—</t>
        </is>
      </c>
      <c r="BO129" s="53" t="inlineStr">
        <is>
          <t>—</t>
        </is>
      </c>
      <c r="BP129" s="53" t="inlineStr">
        <is>
          <t>—</t>
        </is>
      </c>
      <c r="BQ129" s="53" t="inlineStr">
        <is>
          <t>Not a manager</t>
        </is>
      </c>
      <c r="BR129" s="53" t="inlineStr">
        <is>
          <t>—</t>
        </is>
      </c>
      <c r="BS129" s="53" t="inlineStr">
        <is>
          <t>L3 – Professional / Associate</t>
        </is>
      </c>
      <c r="BT129" s="53" t="inlineStr">
        <is>
          <t>L1</t>
        </is>
      </c>
      <c r="BU129" s="53" t="inlineStr">
        <is>
          <t>Matched from Title Hierarchy · new designation</t>
        </is>
      </c>
      <c r="BV129" s="53" t="n"/>
      <c r="BW129" s="53" t="n"/>
      <c r="BX129" s="53" t="inlineStr">
        <is>
          <t>Global DM.</t>
        </is>
      </c>
      <c r="BY129" s="53" t="n"/>
      <c r="BZ129" s="53" t="inlineStr">
        <is>
          <t>IRIS2421</t>
        </is>
      </c>
      <c r="CA129" s="53" t="inlineStr">
        <is>
          <t>Employee</t>
        </is>
      </c>
      <c r="CB129" s="53" t="inlineStr">
        <is>
          <t>Active</t>
        </is>
      </c>
      <c r="CC129" s="53" t="inlineStr">
        <is>
          <t>Prathamesh Patil</t>
        </is>
      </c>
      <c r="CD129" s="54" t="n">
        <v>45881</v>
      </c>
      <c r="CE129" s="53" t="inlineStr">
        <is>
          <t>Functional Analyst</t>
        </is>
      </c>
      <c r="CF129" s="53" t="inlineStr">
        <is>
          <t>pre and post sales support</t>
        </is>
      </c>
      <c r="CG129" s="53" t="inlineStr">
        <is>
          <t>Consulting  Services</t>
        </is>
      </c>
      <c r="CH129" s="53" t="inlineStr">
        <is>
          <t>Financial Reporting Advisory</t>
        </is>
      </c>
      <c r="CI129" s="53" t="inlineStr">
        <is>
          <t>Functional Analyst</t>
        </is>
      </c>
      <c r="CJ129" s="53" t="inlineStr">
        <is>
          <t>L3 – Professional / Associate</t>
        </is>
      </c>
      <c r="CK129" s="53" t="inlineStr">
        <is>
          <t>Priyadarsini Kairali</t>
        </is>
      </c>
      <c r="CL129" s="53" t="inlineStr">
        <is>
          <t>N-5</t>
        </is>
      </c>
      <c r="CM129" s="53" t="inlineStr">
        <is>
          <t>Individual Contributor</t>
        </is>
      </c>
      <c r="CN129" s="53" t="inlineStr">
        <is>
          <t>Regtech</t>
        </is>
      </c>
      <c r="CO129" s="53" t="inlineStr">
        <is>
          <t>Functional</t>
        </is>
      </c>
      <c r="CP129" s="53" t="inlineStr">
        <is>
          <t>1 years, 4 months, 8 days</t>
        </is>
      </c>
      <c r="CQ129" s="53" t="inlineStr">
        <is>
          <t>Functional Specialist</t>
        </is>
      </c>
      <c r="CR129" s="53" t="n"/>
      <c r="CS129" s="53" t="n"/>
      <c r="CT129" s="53" t="n"/>
      <c r="CU129" s="53" t="n"/>
      <c r="CV129" s="53" t="n"/>
      <c r="CW129" s="53" t="n"/>
      <c r="CX129" s="53" t="n"/>
      <c r="CY129" s="53" t="n"/>
      <c r="CZ129" s="53" t="inlineStr">
        <is>
          <t>Customer success methods; communication &amp; de-escalation; product/domain depth; ticketing &amp; SLA tools</t>
        </is>
      </c>
      <c r="DA129" s="53" t="inlineStr">
        <is>
          <t>Transition to leadership: people management &amp; delegation, mentoring/coaching, project ownership &amp; stakeholder management, prioritisation under ambiguity, presentation &amp; influence skills</t>
        </is>
      </c>
      <c r="DB129" s="53" t="n"/>
      <c r="DC129" s="53" t="n"/>
      <c r="DD129" s="53" t="n"/>
      <c r="DE129" s="53" t="n"/>
      <c r="DF129" s="53" t="n"/>
      <c r="DG129" s="53" t="n"/>
      <c r="DH129" s="53" t="n"/>
      <c r="DI129" s="53" t="n"/>
      <c r="DJ129" s="53" t="n"/>
      <c r="DK129" s="53" t="n"/>
      <c r="DL129" s="53" t="n"/>
      <c r="DM129" s="53" t="n"/>
      <c r="DN129" s="53" t="n"/>
      <c r="DO129" s="53" t="n"/>
      <c r="DP129" s="53" t="n"/>
      <c r="DQ129" s="53" t="n"/>
      <c r="DR129" s="53" t="n"/>
      <c r="DS129" s="53" t="n"/>
      <c r="DT129" s="53" t="n"/>
      <c r="DU129" s="53" t="n"/>
      <c r="DV129" s="53" t="n"/>
      <c r="DW129" s="53" t="n"/>
      <c r="DX129" s="53" t="n"/>
      <c r="DY129" s="53" t="n"/>
      <c r="DZ129" s="53" t="n"/>
      <c r="EA129" s="53" t="n"/>
      <c r="EB129" s="53" t="n"/>
      <c r="EC129" s="53" t="n"/>
      <c r="ED129" s="53" t="n"/>
      <c r="EE129" s="53" t="n"/>
      <c r="EF129" s="53" t="n"/>
      <c r="EG129" s="53" t="n"/>
      <c r="EH129" s="53" t="n"/>
      <c r="EI129" s="53" t="n"/>
      <c r="EJ129" s="53" t="n"/>
      <c r="EK129" s="53" t="n"/>
      <c r="EL129" s="53" t="n"/>
      <c r="EM129" s="53" t="n"/>
      <c r="EN129" s="53" t="n"/>
      <c r="EO129" s="53" t="n"/>
      <c r="EP129" s="53" t="n"/>
      <c r="EQ129" s="53" t="n"/>
      <c r="ER129" s="53" t="n"/>
      <c r="ES129" s="53" t="n"/>
      <c r="ET129" s="53" t="n"/>
      <c r="EU129" s="53" t="n"/>
      <c r="EV129" s="53" t="n"/>
      <c r="EW129" s="52" t="n"/>
      <c r="EX129" s="53"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EY129" s="53"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EZ129" s="53"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FA129" s="53"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B129" s="53" t="inlineStr">
        <is>
          <t>• Key challenges: Serviceteam Excelknowled; Multiple tasks assigned.
• Support required: Training services team with excel; Improvement in processes.</t>
        </is>
      </c>
      <c r="FC129" s="53" t="n"/>
      <c r="FD129" s="53" t="n"/>
      <c r="FE129" s="55" t="inlineStr">
        <is>
          <t>KRAs not received · manager to supply</t>
        </is>
      </c>
      <c r="FF129" s="56" t="n"/>
      <c r="FG129" s="56" t="n"/>
      <c r="FH129" s="56" t="n"/>
      <c r="FI129" s="56" t="inlineStr">
        <is>
          <t>pre and post sales support</t>
        </is>
      </c>
      <c r="FJ129" s="32" t="inlineStr">
        <is>
          <t>KRAs not received · manager to supply</t>
        </is>
      </c>
      <c r="FK129" s="56" t="inlineStr">
        <is>
          <t>CARBON Talent Mapping · Raw</t>
        </is>
      </c>
      <c r="FL129" s="56" t="n">
        <v>19</v>
      </c>
      <c r="FM129" s="56"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FN129" s="56"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FO129" s="56"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FP129" s="56"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Q129" s="56" t="inlineStr">
        <is>
          <t>• Key challenges: Serviceteam Excelknowled; Multiple tasks assigned.
• Support required: Training services team with excel; Improvement in processes.</t>
        </is>
      </c>
      <c r="FR129" s="56" t="inlineStr">
        <is>
          <t>Complexity: Evidence reads like B1: Plans, designs, tests and implements client set-ups; devises workarounds; structures demo flows → moved up 1
Autonomy: Evidence reads like A3: Decides project set-up strategies for own implementations → moved up 0.5
Accountability: Evidence reads like B1: Client implementations and set-up strategy; poor set-up risks adoption and churn → moved up 1
Leadership: Evidence reads like A2: Trains internal and external users; bridges client and product team → moved up 0.5
Business Impact: No survey or manager-mapping signal on criticality: kept at the start point.</t>
        </is>
      </c>
      <c r="FS129" s="56"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FT129" s="56" t="inlineStr">
        <is>
          <t>Self-identified: Answered · no common topic
For the next role: Answered · no common topic</t>
        </is>
      </c>
      <c r="FU129" s="56" t="inlineStr">
        <is>
          <t>Per-person summary · CARBON Mapping Master</t>
        </is>
      </c>
    </row>
    <row r="130" ht="90" customHeight="1">
      <c r="A130" s="51" t="inlineStr">
        <is>
          <t>◂ Back</t>
        </is>
      </c>
      <c r="B130" s="29" t="inlineStr">
        <is>
          <t>Mapped</t>
        </is>
      </c>
      <c r="C130" s="28" t="inlineStr">
        <is>
          <t>CARBON</t>
        </is>
      </c>
      <c r="D130" s="29" t="inlineStr">
        <is>
          <t>IRIS1970</t>
        </is>
      </c>
      <c r="E130" s="29" t="inlineStr">
        <is>
          <t>Sharanya Balachandran</t>
        </is>
      </c>
      <c r="F130" s="29" t="inlineStr">
        <is>
          <t>Functional</t>
        </is>
      </c>
      <c r="G130" s="29" t="inlineStr">
        <is>
          <t>Business Consultant</t>
        </is>
      </c>
      <c r="H130" s="29" t="inlineStr">
        <is>
          <t>Functional Specialist – POD Lead</t>
        </is>
      </c>
      <c r="I130" s="29" t="inlineStr">
        <is>
          <t>L3 – Professional / Associate</t>
        </is>
      </c>
      <c r="J130" s="29" t="inlineStr">
        <is>
          <t>B1</t>
        </is>
      </c>
      <c r="K130" s="29" t="inlineStr">
        <is>
          <t>▲ Up</t>
        </is>
      </c>
      <c r="L130" s="29" t="inlineStr">
        <is>
          <t>Solution Consulting &amp; Implementation</t>
        </is>
      </c>
      <c r="M130" s="29" t="inlineStr">
        <is>
          <t>Solution Consulting &amp; Implementation</t>
        </is>
      </c>
      <c r="N130" s="29" t="n"/>
      <c r="O130" s="29" t="n">
        <v>17</v>
      </c>
      <c r="P130" s="28" t="inlineStr">
        <is>
          <t>P3 / M2</t>
        </is>
      </c>
      <c r="Q130" s="29" t="inlineStr">
        <is>
          <t>Career / · Team Lead</t>
        </is>
      </c>
      <c r="R130" s="29" t="inlineStr">
        <is>
          <t>4 Enable</t>
        </is>
      </c>
      <c r="S130" s="29" t="inlineStr">
        <is>
          <t>4–7 yrs</t>
        </is>
      </c>
      <c r="T130" s="29" t="inlineStr">
        <is>
          <t>5–8 · 4–8</t>
        </is>
      </c>
      <c r="U130" s="29" t="inlineStr">
        <is>
          <t>Senior Consultant</t>
        </is>
      </c>
      <c r="V130" s="29" t="inlineStr">
        <is>
          <t>Big Four: Senior Consultant · Regnology: BA · Reg Reporting</t>
        </is>
      </c>
      <c r="W130" s="29" t="inlineStr">
        <is>
          <t>TSIA professional services; PMI; BABOK</t>
        </is>
      </c>
      <c r="X130" s="29" t="inlineStr">
        <is>
          <t>Core 3 · Future 3 · Functional 3 · Leadership 2</t>
        </is>
      </c>
      <c r="Y130" s="52" t="n">
        <v>204</v>
      </c>
      <c r="Z130" s="53" t="inlineStr">
        <is>
          <t>IRIS1970</t>
        </is>
      </c>
      <c r="AA130" s="53" t="inlineStr">
        <is>
          <t>Employee</t>
        </is>
      </c>
      <c r="AB130" s="53" t="inlineStr">
        <is>
          <t>Active</t>
        </is>
      </c>
      <c r="AC130" s="53" t="inlineStr">
        <is>
          <t>Sharanya Balachandran</t>
        </is>
      </c>
      <c r="AD130" s="54" t="n">
        <v>44544</v>
      </c>
      <c r="AE130" s="53" t="inlineStr">
        <is>
          <t>Business Consultant</t>
        </is>
      </c>
      <c r="AF130" s="53" t="inlineStr">
        <is>
          <t>CA</t>
        </is>
      </c>
      <c r="AG130" s="53" t="inlineStr">
        <is>
          <t>Suman Adhikary</t>
        </is>
      </c>
      <c r="AH130" s="53" t="inlineStr">
        <is>
          <t>N-4</t>
        </is>
      </c>
      <c r="AI130" s="53" t="inlineStr">
        <is>
          <t>Manager</t>
        </is>
      </c>
      <c r="AJ130" s="53" t="inlineStr">
        <is>
          <t>0 years, 0 months, 0 days</t>
        </is>
      </c>
      <c r="AK130" s="53" t="inlineStr">
        <is>
          <t>4 years, 8 months, 11 days</t>
        </is>
      </c>
      <c r="AL130" s="53" t="inlineStr">
        <is>
          <t>Regtech</t>
        </is>
      </c>
      <c r="AM130" s="53" t="inlineStr">
        <is>
          <t>CARBON</t>
        </is>
      </c>
      <c r="AN130" s="53" t="inlineStr">
        <is>
          <t>Functional</t>
        </is>
      </c>
      <c r="AO130" s="53" t="inlineStr">
        <is>
          <t>Client Engagement</t>
        </is>
      </c>
      <c r="AP130" s="53" t="inlineStr">
        <is>
          <t>No</t>
        </is>
      </c>
      <c r="AQ130" s="53" t="inlineStr">
        <is>
          <t>Client Engagement</t>
        </is>
      </c>
      <c r="AR130" s="53" t="inlineStr">
        <is>
          <t>CA + CE</t>
        </is>
      </c>
      <c r="AS130" s="53" t="inlineStr">
        <is>
          <t>Non-technical</t>
        </is>
      </c>
      <c r="AT130" s="53" t="n">
        <v>20</v>
      </c>
      <c r="AU130" s="53" t="inlineStr">
        <is>
          <t>Covered</t>
        </is>
      </c>
      <c r="AV130" s="53" t="inlineStr">
        <is>
          <t>IRIS1970</t>
        </is>
      </c>
      <c r="AW130" s="53" t="inlineStr">
        <is>
          <t>Sharanya Balachandran</t>
        </is>
      </c>
      <c r="AX130" s="53" t="inlineStr">
        <is>
          <t>Functional</t>
        </is>
      </c>
      <c r="AY130" s="53" t="inlineStr">
        <is>
          <t>Consulting</t>
        </is>
      </c>
      <c r="AZ130" s="53" t="inlineStr">
        <is>
          <t>Product Management</t>
        </is>
      </c>
      <c r="BA130" s="53" t="inlineStr">
        <is>
          <t>Consulting</t>
        </is>
      </c>
      <c r="BB130" s="53" t="inlineStr">
        <is>
          <t>Product Management</t>
        </is>
      </c>
      <c r="BC130" s="53" t="inlineStr">
        <is>
          <t>Employee</t>
        </is>
      </c>
      <c r="BD130" s="53" t="inlineStr">
        <is>
          <t>Suman Adhikary</t>
        </is>
      </c>
      <c r="BE130" s="53" t="inlineStr">
        <is>
          <t>Anuradha RK</t>
        </is>
      </c>
      <c r="BF130" s="53" t="inlineStr">
        <is>
          <t>Yes</t>
        </is>
      </c>
      <c r="BG130" s="53" t="inlineStr">
        <is>
          <t>Business Consultant</t>
        </is>
      </c>
      <c r="BH130" s="53" t="inlineStr">
        <is>
          <t>Lead Product Manager - Disclosure Management, Office of CFO Solutions</t>
        </is>
      </c>
      <c r="BI130" s="53" t="inlineStr">
        <is>
          <t>Yes</t>
        </is>
      </c>
      <c r="BJ130" s="53" t="inlineStr">
        <is>
          <t>—</t>
        </is>
      </c>
      <c r="BK130" s="53" t="inlineStr">
        <is>
          <t>—</t>
        </is>
      </c>
      <c r="BL130" s="53" t="inlineStr">
        <is>
          <t>—</t>
        </is>
      </c>
      <c r="BM130" s="53" t="inlineStr">
        <is>
          <t>Not a manager</t>
        </is>
      </c>
      <c r="BN130" s="53" t="n">
        <v>1</v>
      </c>
      <c r="BO130" s="53" t="n">
        <v>1</v>
      </c>
      <c r="BP130" s="53" t="n">
        <v>0</v>
      </c>
      <c r="BQ130" s="53" t="inlineStr">
        <is>
          <t>Consolidate / flatten</t>
        </is>
      </c>
      <c r="BR130" s="53" t="inlineStr">
        <is>
          <t>Yes</t>
        </is>
      </c>
      <c r="BS130" s="53" t="inlineStr">
        <is>
          <t>L3 – Professional / Associate</t>
        </is>
      </c>
      <c r="BT130" s="53" t="inlineStr">
        <is>
          <t>L4</t>
        </is>
      </c>
      <c r="BU130" s="53" t="inlineStr">
        <is>
          <t>Matched from Title Hierarchy · new designation</t>
        </is>
      </c>
      <c r="BV130" s="53"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W130" s="53" t="n"/>
      <c r="BX130" s="53" t="n"/>
      <c r="BY130" s="53" t="n"/>
      <c r="BZ130" s="53" t="inlineStr">
        <is>
          <t>IRIS1970</t>
        </is>
      </c>
      <c r="CA130" s="53" t="inlineStr">
        <is>
          <t>Employee</t>
        </is>
      </c>
      <c r="CB130" s="53" t="inlineStr">
        <is>
          <t>Active</t>
        </is>
      </c>
      <c r="CC130" s="53" t="inlineStr">
        <is>
          <t>Sharanya Balachandran</t>
        </is>
      </c>
      <c r="CD130" s="54" t="n">
        <v>44544</v>
      </c>
      <c r="CE130" s="53" t="inlineStr">
        <is>
          <t>Business Consultant</t>
        </is>
      </c>
      <c r="CF130" s="53" t="inlineStr">
        <is>
          <t>1. Drive Product Strategy and roadmap execution for DM with domain focus.</t>
        </is>
      </c>
      <c r="CG130" s="53" t="inlineStr">
        <is>
          <t>Consulting  Services</t>
        </is>
      </c>
      <c r="CH130" s="53" t="inlineStr">
        <is>
          <t>Product Management</t>
        </is>
      </c>
      <c r="CI130" s="53" t="inlineStr">
        <is>
          <t>Business Consultant</t>
        </is>
      </c>
      <c r="CJ130" s="53" t="inlineStr">
        <is>
          <t>L3 – Professional / Associate</t>
        </is>
      </c>
      <c r="CK130" s="53" t="inlineStr">
        <is>
          <t>Anuradha RK</t>
        </is>
      </c>
      <c r="CL130" s="53" t="inlineStr">
        <is>
          <t>N-4</t>
        </is>
      </c>
      <c r="CM130" s="53" t="inlineStr">
        <is>
          <t>Individual Contributor</t>
        </is>
      </c>
      <c r="CN130" s="53" t="inlineStr">
        <is>
          <t>Regtech</t>
        </is>
      </c>
      <c r="CO130" s="53" t="inlineStr">
        <is>
          <t>Functional</t>
        </is>
      </c>
      <c r="CP130" s="53" t="inlineStr">
        <is>
          <t>4 years, 6 months, 6 days</t>
        </is>
      </c>
      <c r="CQ130" s="53" t="inlineStr">
        <is>
          <t>Lead Product Manager</t>
        </is>
      </c>
      <c r="CR130" s="53" t="inlineStr">
        <is>
          <t>No</t>
        </is>
      </c>
      <c r="CS130" s="53" t="n">
        <v>5</v>
      </c>
      <c r="CT130" s="53" t="inlineStr">
        <is>
          <t>High</t>
        </is>
      </c>
      <c r="CU130" s="53" t="inlineStr">
        <is>
          <t>Future Leader</t>
        </is>
      </c>
      <c r="CV130" s="53" t="inlineStr">
        <is>
          <t>Yes</t>
        </is>
      </c>
      <c r="CW130" s="53" t="inlineStr">
        <is>
          <t>Yes</t>
        </is>
      </c>
      <c r="CX130" s="53" t="inlineStr">
        <is>
          <t>Yes</t>
        </is>
      </c>
      <c r="CY130" s="53" t="inlineStr">
        <is>
          <t>Medha Ganti</t>
        </is>
      </c>
      <c r="CZ130" s="53" t="inlineStr">
        <is>
          <t>Customer success methods; communication &amp; de-escalation; Team work, Proactive collaboration</t>
        </is>
      </c>
      <c r="DA130" s="53" t="inlineStr">
        <is>
          <t>Transition to leadership: people management &amp; delegation, mentoring/coaching, project ownership &amp; stakeholder management, prioritisation under ambiguity, presentation &amp; influence skills</t>
        </is>
      </c>
      <c r="DB130" s="53" t="inlineStr">
        <is>
          <t>Suggested for Product Management Role as Product Owner</t>
        </is>
      </c>
      <c r="DC130" s="53" t="n"/>
      <c r="DD130" s="53" t="n"/>
      <c r="DE130" s="53" t="n"/>
      <c r="DF130" s="53" t="n"/>
      <c r="DG130" s="53" t="n"/>
      <c r="DH130" s="53" t="n"/>
      <c r="DI130" s="53" t="n"/>
      <c r="DJ130" s="53" t="n"/>
      <c r="DK130" s="53" t="n"/>
      <c r="DL130" s="53" t="n"/>
      <c r="DM130" s="53" t="n"/>
      <c r="DN130" s="53" t="n"/>
      <c r="DO130" s="53" t="n"/>
      <c r="DP130" s="53" t="n"/>
      <c r="DQ130" s="53" t="n"/>
      <c r="DR130" s="53" t="n"/>
      <c r="DS130" s="53" t="n"/>
      <c r="DT130" s="53" t="n"/>
      <c r="DU130" s="53" t="n"/>
      <c r="DV130" s="53" t="n"/>
      <c r="DW130" s="53" t="n"/>
      <c r="DX130" s="53" t="n"/>
      <c r="DY130" s="53" t="n"/>
      <c r="DZ130" s="53" t="n"/>
      <c r="EA130" s="53" t="n"/>
      <c r="EB130" s="53" t="n"/>
      <c r="EC130" s="53" t="n"/>
      <c r="ED130" s="53" t="n"/>
      <c r="EE130" s="53" t="n"/>
      <c r="EF130" s="53" t="n"/>
      <c r="EG130" s="53" t="n"/>
      <c r="EH130" s="53" t="n"/>
      <c r="EI130" s="53" t="n"/>
      <c r="EJ130" s="53" t="n"/>
      <c r="EK130" s="53" t="n"/>
      <c r="EL130" s="53" t="n"/>
      <c r="EM130" s="53" t="n"/>
      <c r="EN130" s="53" t="n"/>
      <c r="EO130" s="53" t="n"/>
      <c r="EP130" s="53" t="n"/>
      <c r="EQ130" s="53" t="n"/>
      <c r="ER130" s="53" t="n"/>
      <c r="ES130" s="53" t="n"/>
      <c r="ET130" s="53" t="n"/>
      <c r="EU130" s="53" t="n"/>
      <c r="EV130" s="53" t="n"/>
      <c r="EW130" s="52" t="n"/>
      <c r="EX130" s="53" t="n"/>
      <c r="EY130" s="53" t="n"/>
      <c r="EZ130" s="53" t="n"/>
      <c r="FA130" s="53" t="n"/>
      <c r="FB130" s="53" t="n"/>
      <c r="FC130" s="53" t="n"/>
      <c r="FD130" s="53" t="n"/>
      <c r="FE130" s="57"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FF130" s="56" t="n"/>
      <c r="FG130" s="56" t="n"/>
      <c r="FH130" s="56" t="n"/>
      <c r="FI130" s="56" t="inlineStr">
        <is>
          <t>1. Drive Product Strategy and roadmap execution for DM with domain focus.</t>
        </is>
      </c>
      <c r="FJ130" s="56" t="inlineStr">
        <is>
          <t>Received · manager annual</t>
        </is>
      </c>
      <c r="FK130" s="56" t="inlineStr">
        <is>
          <t>CARBON Mapping Master · CARBON Talent Mapping · Raw</t>
        </is>
      </c>
      <c r="FL130" s="56" t="n">
        <v>17</v>
      </c>
      <c r="FM130" s="32" t="inlineStr">
        <is>
          <t>Full survey answers not in the files received · How We Grow export needed · HR</t>
        </is>
      </c>
      <c r="FN130" s="56" t="inlineStr">
        <is>
          <t>—</t>
        </is>
      </c>
      <c r="FO130" s="56" t="inlineStr">
        <is>
          <t>—</t>
        </is>
      </c>
      <c r="FP130" s="56" t="inlineStr">
        <is>
          <t>—</t>
        </is>
      </c>
      <c r="FQ130" s="56" t="inlineStr">
        <is>
          <t>—</t>
        </is>
      </c>
      <c r="FR13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130"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30" s="56" t="inlineStr">
        <is>
          <t>Self-identified: Technical depth &amp; architecture
For the next role: Technical depth &amp; architecture</t>
        </is>
      </c>
      <c r="FU130" s="32" t="inlineStr">
        <is>
          <t>Full survey answers not in the files received · How We Grow export needed · HR</t>
        </is>
      </c>
    </row>
    <row r="131" ht="90" customHeight="1">
      <c r="A131" s="51" t="inlineStr">
        <is>
          <t>◂ Back</t>
        </is>
      </c>
      <c r="B131" s="29" t="inlineStr">
        <is>
          <t>Mapped</t>
        </is>
      </c>
      <c r="C131" s="28" t="inlineStr">
        <is>
          <t>CARBON</t>
        </is>
      </c>
      <c r="D131" s="29" t="inlineStr">
        <is>
          <t>IRIS2545</t>
        </is>
      </c>
      <c r="E131" s="29" t="inlineStr">
        <is>
          <t>Vishal Gujar</t>
        </is>
      </c>
      <c r="F131" s="29" t="inlineStr">
        <is>
          <t>Functional</t>
        </is>
      </c>
      <c r="G131" s="29" t="inlineStr">
        <is>
          <t>Functional Specialist</t>
        </is>
      </c>
      <c r="H131" s="29" t="inlineStr">
        <is>
          <t>Functional Specialist</t>
        </is>
      </c>
      <c r="I131" s="29" t="inlineStr">
        <is>
          <t>Not in current mapping files</t>
        </is>
      </c>
      <c r="J131" s="29" t="inlineStr">
        <is>
          <t>B1</t>
        </is>
      </c>
      <c r="K131" s="29" t="inlineStr">
        <is>
          <t>● Newly mapped</t>
        </is>
      </c>
      <c r="L131" s="29" t="inlineStr">
        <is>
          <t>Solution Consulting &amp; Implementation</t>
        </is>
      </c>
      <c r="M131" s="29" t="inlineStr">
        <is>
          <t>Solution Consulting &amp; Implementation</t>
        </is>
      </c>
      <c r="N131" s="29" t="n"/>
      <c r="O131" s="29" t="n">
        <v>20</v>
      </c>
      <c r="P131" s="28" t="inlineStr">
        <is>
          <t>P3 / M2</t>
        </is>
      </c>
      <c r="Q131" s="29" t="inlineStr">
        <is>
          <t>Career / · Team Lead</t>
        </is>
      </c>
      <c r="R131" s="29" t="inlineStr">
        <is>
          <t>4 Enable</t>
        </is>
      </c>
      <c r="S131" s="29" t="inlineStr">
        <is>
          <t>4–7 yrs</t>
        </is>
      </c>
      <c r="T131" s="29" t="inlineStr">
        <is>
          <t>5–8 · 4–8</t>
        </is>
      </c>
      <c r="U131" s="29" t="inlineStr">
        <is>
          <t>Senior Consultant</t>
        </is>
      </c>
      <c r="V131" s="29" t="inlineStr">
        <is>
          <t>Big Four: Senior Consultant · Regnology: BA · Reg Reporting</t>
        </is>
      </c>
      <c r="W131" s="29" t="inlineStr">
        <is>
          <t>TSIA professional services; PMI; BABOK</t>
        </is>
      </c>
      <c r="X131" s="29" t="inlineStr">
        <is>
          <t>Core 3 · Future 3 · Functional 3 · Leadership 1</t>
        </is>
      </c>
      <c r="Y131" s="52" t="n">
        <v>519</v>
      </c>
      <c r="Z131" s="53" t="inlineStr">
        <is>
          <t>IRIS2545</t>
        </is>
      </c>
      <c r="AA131" s="53" t="inlineStr">
        <is>
          <t>Employee</t>
        </is>
      </c>
      <c r="AB131" s="53" t="inlineStr">
        <is>
          <t>Active</t>
        </is>
      </c>
      <c r="AC131" s="53" t="inlineStr">
        <is>
          <t>Vishal Gujar</t>
        </is>
      </c>
      <c r="AD131" s="54" t="n">
        <v>46223</v>
      </c>
      <c r="AE131" s="53" t="inlineStr">
        <is>
          <t>Functional Specialist</t>
        </is>
      </c>
      <c r="AF131" s="53" t="inlineStr">
        <is>
          <t>MBA</t>
        </is>
      </c>
      <c r="AG131" s="53" t="inlineStr">
        <is>
          <t>Sharanya Balachandran</t>
        </is>
      </c>
      <c r="AH131" s="53" t="inlineStr">
        <is>
          <t>N-5</t>
        </is>
      </c>
      <c r="AI131" s="53" t="inlineStr">
        <is>
          <t>Individual Contributor</t>
        </is>
      </c>
      <c r="AJ131" s="53" t="inlineStr">
        <is>
          <t>5 years, 9 months, 0 days</t>
        </is>
      </c>
      <c r="AK131" s="53" t="inlineStr">
        <is>
          <t>0 years, 1 months, 5 days</t>
        </is>
      </c>
      <c r="AL131" s="53" t="inlineStr">
        <is>
          <t>Regtech</t>
        </is>
      </c>
      <c r="AM131" s="53" t="inlineStr">
        <is>
          <t>CARBON</t>
        </is>
      </c>
      <c r="AN131" s="53" t="inlineStr">
        <is>
          <t>Functional</t>
        </is>
      </c>
      <c r="AO131" s="53" t="inlineStr">
        <is>
          <t>Client Engagement</t>
        </is>
      </c>
      <c r="AP131" s="53" t="inlineStr">
        <is>
          <t>No</t>
        </is>
      </c>
      <c r="AQ131" s="53" t="inlineStr">
        <is>
          <t>Client Engagement</t>
        </is>
      </c>
      <c r="AR131" s="53" t="inlineStr">
        <is>
          <t>CE</t>
        </is>
      </c>
      <c r="AS131" s="53" t="inlineStr">
        <is>
          <t>Non-technical</t>
        </is>
      </c>
      <c r="AT131" s="53" t="n">
        <v>20</v>
      </c>
      <c r="AU131" s="53" t="inlineStr">
        <is>
          <t>Covered</t>
        </is>
      </c>
      <c r="AV131" s="53" t="inlineStr">
        <is>
          <t>IRIS2545</t>
        </is>
      </c>
      <c r="AW131" s="53" t="inlineStr">
        <is>
          <t>Vishal Gujar</t>
        </is>
      </c>
      <c r="AX131" s="53" t="inlineStr">
        <is>
          <t>Functional</t>
        </is>
      </c>
      <c r="AY131" s="53" t="n"/>
      <c r="AZ131" s="53" t="inlineStr">
        <is>
          <t>Client Engagement</t>
        </is>
      </c>
      <c r="BA131" s="53" t="n"/>
      <c r="BB131" s="53" t="n"/>
      <c r="BC131" s="53" t="inlineStr">
        <is>
          <t>Employee</t>
        </is>
      </c>
      <c r="BD131" s="53" t="inlineStr">
        <is>
          <t>Suman Adhikary</t>
        </is>
      </c>
      <c r="BE131" s="53" t="n"/>
      <c r="BF131" s="53" t="inlineStr">
        <is>
          <t>New entry</t>
        </is>
      </c>
      <c r="BG131" s="53" t="inlineStr">
        <is>
          <t>Functional Specialist</t>
        </is>
      </c>
      <c r="BH131" s="53" t="n"/>
      <c r="BI131" s="53" t="inlineStr">
        <is>
          <t>N/A · new entry</t>
        </is>
      </c>
      <c r="BJ131" s="53" t="inlineStr">
        <is>
          <t>—</t>
        </is>
      </c>
      <c r="BK131" s="53" t="inlineStr">
        <is>
          <t>—</t>
        </is>
      </c>
      <c r="BL131" s="53" t="inlineStr">
        <is>
          <t>—</t>
        </is>
      </c>
      <c r="BM131" s="53" t="inlineStr">
        <is>
          <t>Not a manager</t>
        </is>
      </c>
      <c r="BN131" s="53" t="inlineStr">
        <is>
          <t>—</t>
        </is>
      </c>
      <c r="BO131" s="53" t="inlineStr">
        <is>
          <t>—</t>
        </is>
      </c>
      <c r="BP131" s="53" t="inlineStr">
        <is>
          <t>—</t>
        </is>
      </c>
      <c r="BQ131" s="53" t="inlineStr">
        <is>
          <t>Not a manager</t>
        </is>
      </c>
      <c r="BR131" s="53" t="inlineStr">
        <is>
          <t>—</t>
        </is>
      </c>
      <c r="BS131" s="53" t="n"/>
      <c r="BT131" s="53" t="n"/>
      <c r="BU131" s="53" t="inlineStr">
        <is>
          <t>No designation change — current record value carried forward</t>
        </is>
      </c>
      <c r="BV131" s="53" t="n"/>
      <c r="BW131" s="53" t="n"/>
      <c r="BX131" s="53" t="inlineStr">
        <is>
          <t>All Regions.</t>
        </is>
      </c>
      <c r="BY131" s="53" t="n"/>
      <c r="BZ131" s="53" t="n"/>
      <c r="CA131" s="53" t="n"/>
      <c r="CB131" s="53" t="n"/>
      <c r="CC131" s="53" t="n"/>
      <c r="CD131" s="53" t="n"/>
      <c r="CE131" s="53" t="n"/>
      <c r="CF131" s="53" t="n"/>
      <c r="CG131" s="53" t="n"/>
      <c r="CH131" s="53" t="n"/>
      <c r="CI131" s="53" t="n"/>
      <c r="CJ131" s="53" t="n"/>
      <c r="CK131" s="53" t="n"/>
      <c r="CL131" s="53" t="n"/>
      <c r="CM131" s="53" t="n"/>
      <c r="CN131" s="53" t="n"/>
      <c r="CO131" s="53" t="n"/>
      <c r="CP131" s="53" t="n"/>
      <c r="CQ131" s="53" t="n"/>
      <c r="CR131" s="53" t="n"/>
      <c r="CS131" s="53" t="n"/>
      <c r="CT131" s="53" t="n"/>
      <c r="CU131" s="53" t="n"/>
      <c r="CV131" s="53" t="n"/>
      <c r="CW131" s="53" t="n"/>
      <c r="CX131" s="53" t="n"/>
      <c r="CY131" s="53" t="n"/>
      <c r="CZ131" s="53" t="n"/>
      <c r="DA131" s="53" t="n"/>
      <c r="DB131" s="53" t="n"/>
      <c r="DC131" s="53" t="n"/>
      <c r="DD131" s="53" t="n"/>
      <c r="DE131" s="53" t="n"/>
      <c r="DF131" s="53" t="n"/>
      <c r="DG131" s="53" t="n"/>
      <c r="DH131" s="53" t="n"/>
      <c r="DI131" s="53" t="n"/>
      <c r="DJ131" s="53" t="n"/>
      <c r="DK131" s="53" t="n"/>
      <c r="DL131" s="53" t="n"/>
      <c r="DM131" s="53" t="n"/>
      <c r="DN131" s="53" t="n"/>
      <c r="DO131" s="53" t="n"/>
      <c r="DP131" s="53" t="n"/>
      <c r="DQ131" s="53" t="n"/>
      <c r="DR131" s="53" t="n"/>
      <c r="DS131" s="53" t="n"/>
      <c r="DT131" s="53" t="n"/>
      <c r="DU131" s="53" t="n"/>
      <c r="DV131" s="53" t="n"/>
      <c r="DW131" s="53" t="n"/>
      <c r="DX131" s="53" t="n"/>
      <c r="DY131" s="53" t="n"/>
      <c r="DZ131" s="53" t="n"/>
      <c r="EA131" s="53" t="n"/>
      <c r="EB131" s="53" t="n"/>
      <c r="EC131" s="53" t="n"/>
      <c r="ED131" s="53" t="n"/>
      <c r="EE131" s="53" t="n"/>
      <c r="EF131" s="53" t="n"/>
      <c r="EG131" s="53" t="n"/>
      <c r="EH131" s="53" t="n"/>
      <c r="EI131" s="53" t="n"/>
      <c r="EJ131" s="53" t="n"/>
      <c r="EK131" s="53" t="n"/>
      <c r="EL131" s="53" t="n"/>
      <c r="EM131" s="53" t="n"/>
      <c r="EN131" s="53" t="n"/>
      <c r="EO131" s="53" t="n"/>
      <c r="EP131" s="53" t="n"/>
      <c r="EQ131" s="53" t="n"/>
      <c r="ER131" s="53" t="n"/>
      <c r="ES131" s="53" t="n"/>
      <c r="ET131" s="53" t="n"/>
      <c r="EU131" s="53" t="n"/>
      <c r="EV131" s="53" t="n"/>
      <c r="EW131" s="52" t="n"/>
      <c r="EX131" s="53"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EY131" s="53"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EZ131" s="53" t="inlineStr">
        <is>
          <t>• Current capabilities: Requirement Gathering; Process Mapping.
• Tools / software used: Claude; Adobe InDesign; MS 365.
• Workload: Rated a heavy load · 4/5 in a typical week.
• Judgment/way of working: Building trust and rapport with clients.</t>
        </is>
      </c>
      <c r="FA131" s="53"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B131" s="53" t="inlineStr">
        <is>
          <t>• Key challenges: Adhoc activities.
• Support required: Focus on better documentation.</t>
        </is>
      </c>
      <c r="FC131" s="53" t="n"/>
      <c r="FD131" s="53" t="n"/>
      <c r="FE131" s="55" t="inlineStr">
        <is>
          <t>KRAs not received · manager to supply</t>
        </is>
      </c>
      <c r="FF131" s="56" t="n"/>
      <c r="FG131" s="56" t="n"/>
      <c r="FH131" s="56" t="n"/>
      <c r="FI131" s="56" t="n"/>
      <c r="FJ131" s="32" t="inlineStr">
        <is>
          <t>KRAs not received · manager to supply</t>
        </is>
      </c>
      <c r="FK131" s="56" t="n"/>
      <c r="FL131" s="56" t="n">
        <v>20</v>
      </c>
      <c r="FM131" s="56"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FN131" s="56"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FO131" s="56" t="inlineStr">
        <is>
          <t>• Current capabilities: Requirement Gathering; Process Mapping.
• Tools / software used: Claude; Adobe InDesign; MS 365.
• Workload: Rated a heavy load · 4/5 in a typical week.
• Judgment/way of working: Building trust and rapport with clients.</t>
        </is>
      </c>
      <c r="FP131" s="56"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Q131" s="56" t="inlineStr">
        <is>
          <t>• Key challenges: Adhoc activities.
• Support required: Focus on better documentation.</t>
        </is>
      </c>
      <c r="FR131" s="56" t="inlineStr">
        <is>
          <t>Complexity: Evidence reads like A3: own survey / KRA answers · summarised by the rater; not quoted → moved down 0.5
Autonomy: Evidence reads like A3: Decides implementation approach for own clients → moved down 0.5
Accountability: Evidence reads like A3: Demos, training and smooth implementation; customer may go to other vendors → moved down 0.5
Leadership: Evidence reads like A1: No guidance or leadership of others described → moved down 1
Business Impact: No survey or manager-mapping signal on criticality: kept at the start point.</t>
        </is>
      </c>
      <c r="FS131"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31" s="56" t="inlineStr">
        <is>
          <t>Self-identified: Domain, regulatory &amp; XBRL · Client, sales &amp; stakeholders
For the next role: Domain, regulatory &amp; XBRL · Client, sales &amp; stakeholders</t>
        </is>
      </c>
      <c r="FU131" s="56" t="inlineStr">
        <is>
          <t>Per-person summary · CARBON Mapping Master</t>
        </is>
      </c>
    </row>
    <row r="132" ht="90" customHeight="1">
      <c r="A132" s="51" t="inlineStr">
        <is>
          <t>◂ Back</t>
        </is>
      </c>
      <c r="B132" s="29" t="inlineStr">
        <is>
          <t>Mapped</t>
        </is>
      </c>
      <c r="C132" s="28" t="inlineStr">
        <is>
          <t>CARBON</t>
        </is>
      </c>
      <c r="D132" s="29" t="inlineStr">
        <is>
          <t>IRIS2489</t>
        </is>
      </c>
      <c r="E132" s="29" t="inlineStr">
        <is>
          <t>Sreyash Duragkar</t>
        </is>
      </c>
      <c r="F132" s="29" t="inlineStr">
        <is>
          <t>Sales</t>
        </is>
      </c>
      <c r="G132" s="29" t="inlineStr">
        <is>
          <t>Director- Enterprise Sales</t>
        </is>
      </c>
      <c r="H132" s="29" t="inlineStr">
        <is>
          <t>Principal – Enterprise Sales</t>
        </is>
      </c>
      <c r="I132" s="29" t="inlineStr">
        <is>
          <t>Not in current mapping files</t>
        </is>
      </c>
      <c r="J132" s="29" t="inlineStr">
        <is>
          <t>C1</t>
        </is>
      </c>
      <c r="K132" s="29" t="inlineStr">
        <is>
          <t>● Newly mapped</t>
        </is>
      </c>
      <c r="L132" s="29" t="inlineStr">
        <is>
          <t>Sales &amp; Business Development</t>
        </is>
      </c>
      <c r="M132" s="29" t="inlineStr">
        <is>
          <t>Sales Leadership</t>
        </is>
      </c>
      <c r="N132" s="29" t="inlineStr">
        <is>
          <t>• Survey response or KRAs describing the work · nothing on file — Employee + manager
• Confirm structure behind the senior title · org chart — Business head
• Correct the experience record — HR</t>
        </is>
      </c>
      <c r="O132" s="29" t="n">
        <v>0</v>
      </c>
      <c r="P132" s="28" t="inlineStr">
        <is>
          <t>P6 / M5</t>
        </is>
      </c>
      <c r="Q132" s="29" t="inlineStr">
        <is>
          <t>Principal / Director</t>
        </is>
      </c>
      <c r="R132" s="29" t="inlineStr">
        <is>
          <t>5–6</t>
        </is>
      </c>
      <c r="S132" s="29" t="inlineStr">
        <is>
          <t>10–14 yrs</t>
        </is>
      </c>
      <c r="T132" s="29" t="inlineStr">
        <is>
          <t>12–16 · 12–18</t>
        </is>
      </c>
      <c r="U132" s="29" t="inlineStr">
        <is>
          <t>—</t>
        </is>
      </c>
      <c r="V132" s="29" t="inlineStr">
        <is>
          <t>IRIS Vs Competitor Benchmark — SaaS sales ladder — IC: Strategic / Principal AE · IRIS Vs Competitor Benchmark — SaaS sales ladder — management: Regional Sales Head</t>
        </is>
      </c>
      <c r="W132" s="29" t="inlineStr">
        <is>
          <t>SaaS sales ladder · SDR → AE → Enterprise AE → VP / CRO; MEDDICC-style qualification</t>
        </is>
      </c>
      <c r="X132" s="29" t="inlineStr">
        <is>
          <t>Core 4 · Future 4 · Functional 4 · Leadership 4</t>
        </is>
      </c>
      <c r="Y132" s="52" t="n">
        <v>462</v>
      </c>
      <c r="Z132" s="53" t="inlineStr">
        <is>
          <t>IRIS2489</t>
        </is>
      </c>
      <c r="AA132" s="53" t="inlineStr">
        <is>
          <t>Employee</t>
        </is>
      </c>
      <c r="AB132" s="53" t="inlineStr">
        <is>
          <t>Active</t>
        </is>
      </c>
      <c r="AC132" s="53" t="inlineStr">
        <is>
          <t>Sreyash Duragkar</t>
        </is>
      </c>
      <c r="AD132" s="54" t="n">
        <v>46086</v>
      </c>
      <c r="AE132" s="53" t="inlineStr">
        <is>
          <t>Director- Enterprise Sales</t>
        </is>
      </c>
      <c r="AF132" s="53" t="inlineStr">
        <is>
          <t>PGDM</t>
        </is>
      </c>
      <c r="AG132" s="53" t="inlineStr">
        <is>
          <t>Anuradha RK</t>
        </is>
      </c>
      <c r="AH132" s="53" t="inlineStr">
        <is>
          <t>N-3</t>
        </is>
      </c>
      <c r="AI132" s="53" t="inlineStr">
        <is>
          <t>Individual Contributor</t>
        </is>
      </c>
      <c r="AJ132" s="53" t="inlineStr">
        <is>
          <t>2 years, 0 months, 0 days</t>
        </is>
      </c>
      <c r="AK132" s="53" t="inlineStr">
        <is>
          <t>0 years, 5 months, 20 days</t>
        </is>
      </c>
      <c r="AL132" s="53" t="inlineStr">
        <is>
          <t>Regtech</t>
        </is>
      </c>
      <c r="AM132" s="53" t="inlineStr">
        <is>
          <t>CARBON</t>
        </is>
      </c>
      <c r="AN132" s="53" t="inlineStr">
        <is>
          <t>Sales</t>
        </is>
      </c>
      <c r="AO132" s="53" t="inlineStr">
        <is>
          <t>Sales</t>
        </is>
      </c>
      <c r="AP132" s="53" t="inlineStr">
        <is>
          <t>No</t>
        </is>
      </c>
      <c r="AQ132" s="53" t="inlineStr">
        <is>
          <t>Sales, Marketing &amp; Support</t>
        </is>
      </c>
      <c r="AR132" s="53" t="inlineStr">
        <is>
          <t>Sales</t>
        </is>
      </c>
      <c r="AS132" s="53" t="inlineStr">
        <is>
          <t>Non-technical</t>
        </is>
      </c>
      <c r="AT132" s="53" t="n">
        <v>0</v>
      </c>
      <c r="AU132" s="53" t="inlineStr">
        <is>
          <t>E-Top management</t>
        </is>
      </c>
      <c r="AV132" s="53" t="inlineStr">
        <is>
          <t>IRIS2489</t>
        </is>
      </c>
      <c r="AW132" s="53" t="inlineStr">
        <is>
          <t>Sreyash Duragkar</t>
        </is>
      </c>
      <c r="AX132" s="53" t="inlineStr">
        <is>
          <t>Sales</t>
        </is>
      </c>
      <c r="AY132" s="53" t="inlineStr">
        <is>
          <t>Sales &amp; Business Development</t>
        </is>
      </c>
      <c r="AZ132" s="53" t="inlineStr">
        <is>
          <t>Enterprise sales</t>
        </is>
      </c>
      <c r="BA132" s="53" t="inlineStr">
        <is>
          <t>Sales &amp; Business Development</t>
        </is>
      </c>
      <c r="BB132" s="53" t="inlineStr">
        <is>
          <t>—</t>
        </is>
      </c>
      <c r="BC132" s="53" t="inlineStr">
        <is>
          <t>Employee</t>
        </is>
      </c>
      <c r="BD132" s="53" t="inlineStr">
        <is>
          <t>Anuradha RK</t>
        </is>
      </c>
      <c r="BE132" s="53" t="inlineStr">
        <is>
          <t>Anuradha RK</t>
        </is>
      </c>
      <c r="BF132" s="53" t="inlineStr">
        <is>
          <t>New entry</t>
        </is>
      </c>
      <c r="BG132" s="53" t="inlineStr">
        <is>
          <t>Director- Enterprise Sales</t>
        </is>
      </c>
      <c r="BH132" s="53" t="inlineStr">
        <is>
          <t>Regional Manager Sales</t>
        </is>
      </c>
      <c r="BI132" s="53" t="inlineStr">
        <is>
          <t>N/A · new entry</t>
        </is>
      </c>
      <c r="BJ132" s="53" t="inlineStr">
        <is>
          <t>—</t>
        </is>
      </c>
      <c r="BK132" s="53" t="inlineStr">
        <is>
          <t>—</t>
        </is>
      </c>
      <c r="BL132" s="53" t="inlineStr">
        <is>
          <t>—</t>
        </is>
      </c>
      <c r="BM132" s="53" t="inlineStr">
        <is>
          <t>Not a manager</t>
        </is>
      </c>
      <c r="BN132" s="53" t="inlineStr">
        <is>
          <t>—</t>
        </is>
      </c>
      <c r="BO132" s="53" t="inlineStr">
        <is>
          <t>—</t>
        </is>
      </c>
      <c r="BP132" s="53" t="inlineStr">
        <is>
          <t>—</t>
        </is>
      </c>
      <c r="BQ132" s="53" t="inlineStr">
        <is>
          <t>Not a manager</t>
        </is>
      </c>
      <c r="BR132" s="53" t="inlineStr">
        <is>
          <t>—</t>
        </is>
      </c>
      <c r="BS132" s="53" t="n"/>
      <c r="BT132" s="53" t="n"/>
      <c r="BU132" s="53" t="inlineStr">
        <is>
          <t>No designation change — current record value carried forward</t>
        </is>
      </c>
      <c r="BV132" s="53" t="n"/>
      <c r="BW132" s="53" t="n"/>
      <c r="BX132" s="53" t="n"/>
      <c r="BY132" s="53" t="n"/>
      <c r="BZ132" s="53" t="inlineStr">
        <is>
          <t>IRIS2489</t>
        </is>
      </c>
      <c r="CA132" s="53" t="inlineStr">
        <is>
          <t>Employee</t>
        </is>
      </c>
      <c r="CB132" s="53" t="inlineStr">
        <is>
          <t>Active</t>
        </is>
      </c>
      <c r="CC132" s="53" t="inlineStr">
        <is>
          <t>Sreyash Duragkar</t>
        </is>
      </c>
      <c r="CD132" s="54" t="n">
        <v>32100</v>
      </c>
      <c r="CE132" s="53" t="inlineStr">
        <is>
          <t>Director- Enterprise Sales</t>
        </is>
      </c>
      <c r="CF132" s="53" t="inlineStr">
        <is>
          <t>North America: Understand the shortlisted customers details from SDR team, schedule the discovery call, demo call and make the presetation/Demo to the client - Follow up -till the deal closure  along with price negotiations</t>
        </is>
      </c>
      <c r="CG132" s="53" t="inlineStr">
        <is>
          <t>Executive Leadership</t>
        </is>
      </c>
      <c r="CH132" s="53" t="inlineStr">
        <is>
          <t>Business / Functional Leadership</t>
        </is>
      </c>
      <c r="CI132" s="53" t="inlineStr">
        <is>
          <t>Director- Enterprise Sales</t>
        </is>
      </c>
      <c r="CJ132" s="53" t="inlineStr">
        <is>
          <t>L8 – Director</t>
        </is>
      </c>
      <c r="CK132" s="53" t="inlineStr">
        <is>
          <t>Anuradha RK</t>
        </is>
      </c>
      <c r="CL132" s="53" t="inlineStr">
        <is>
          <t>N-3</t>
        </is>
      </c>
      <c r="CM132" s="53" t="n"/>
      <c r="CN132" s="53" t="inlineStr">
        <is>
          <t>Individual Contributor</t>
        </is>
      </c>
      <c r="CO132" s="53" t="inlineStr">
        <is>
          <t>Sales</t>
        </is>
      </c>
      <c r="CP132" s="53" t="inlineStr">
        <is>
          <t>2 years, 0 months, 0 days</t>
        </is>
      </c>
      <c r="CQ132" s="53" t="n"/>
      <c r="CR132" s="53" t="inlineStr">
        <is>
          <t>0 years, 3 months, 15 days</t>
        </is>
      </c>
      <c r="CS132" s="53" t="inlineStr">
        <is>
          <t>2 years, 3 months, 15 days</t>
        </is>
      </c>
      <c r="CT132" s="53" t="n">
        <v>0.166666667</v>
      </c>
      <c r="CU132" s="53" t="n"/>
      <c r="CV132" s="53" t="n"/>
      <c r="CW132" s="53" t="inlineStr">
        <is>
          <t>Regtech</t>
        </is>
      </c>
      <c r="CX132" s="53" t="inlineStr">
        <is>
          <t>CARBON</t>
        </is>
      </c>
      <c r="CY132" s="53" t="inlineStr">
        <is>
          <t>Sales</t>
        </is>
      </c>
      <c r="CZ132" s="53" t="inlineStr">
        <is>
          <t>Sales</t>
        </is>
      </c>
      <c r="DA132" s="53" t="inlineStr">
        <is>
          <t>No</t>
        </is>
      </c>
      <c r="DB132" s="53" t="inlineStr">
        <is>
          <t>Sales, Marketing &amp; Support</t>
        </is>
      </c>
      <c r="DC132" s="53" t="n"/>
      <c r="DD132" s="53" t="n"/>
      <c r="DE132" s="53" t="n"/>
      <c r="DF132" s="53" t="n"/>
      <c r="DG132" s="53" t="n"/>
      <c r="DH132" s="53" t="n"/>
      <c r="DI132" s="53" t="n"/>
      <c r="DJ132" s="53" t="n"/>
      <c r="DK132" s="53" t="n"/>
      <c r="DL132" s="53" t="n"/>
      <c r="DM132" s="53" t="n"/>
      <c r="DN132" s="53" t="n"/>
      <c r="DO132" s="53" t="n"/>
      <c r="DP132" s="53" t="n"/>
      <c r="DQ132" s="53" t="n"/>
      <c r="DR132" s="53" t="n"/>
      <c r="DS132" s="53" t="n"/>
      <c r="DT132" s="53" t="n"/>
      <c r="DU132" s="53" t="n"/>
      <c r="DV132" s="53" t="n"/>
      <c r="DW132" s="53" t="n"/>
      <c r="DX132" s="53" t="n"/>
      <c r="DY132" s="53" t="n"/>
      <c r="DZ132" s="53" t="n"/>
      <c r="EA132" s="53" t="n"/>
      <c r="EB132" s="53" t="n"/>
      <c r="EC132" s="53" t="n"/>
      <c r="ED132" s="53" t="n"/>
      <c r="EE132" s="53" t="n"/>
      <c r="EF132" s="53" t="n"/>
      <c r="EG132" s="53" t="n"/>
      <c r="EH132" s="53" t="n"/>
      <c r="EI132" s="53" t="n"/>
      <c r="EJ132" s="53" t="n"/>
      <c r="EK132" s="53" t="n"/>
      <c r="EL132" s="53" t="n"/>
      <c r="EM132" s="53" t="n"/>
      <c r="EN132" s="53" t="n"/>
      <c r="EO132" s="53" t="n"/>
      <c r="EP132" s="53" t="n"/>
      <c r="EQ132" s="53" t="n"/>
      <c r="ER132" s="53" t="n"/>
      <c r="ES132" s="53" t="n"/>
      <c r="ET132" s="53" t="n"/>
      <c r="EU132" s="53" t="n"/>
      <c r="EV132" s="53" t="n"/>
      <c r="EW132" s="52" t="n"/>
      <c r="EX132" s="53" t="n"/>
      <c r="EY132" s="53" t="n"/>
      <c r="EZ132" s="53" t="n"/>
      <c r="FA132" s="53" t="n"/>
      <c r="FB132" s="53" t="n"/>
      <c r="FC132" s="53" t="n"/>
      <c r="FD132" s="53" t="n"/>
      <c r="FE132" s="55" t="inlineStr">
        <is>
          <t>KRAs not received · manager to supply</t>
        </is>
      </c>
      <c r="FF132" s="56" t="n"/>
      <c r="FG132" s="56" t="n"/>
      <c r="FH132" s="56" t="n"/>
      <c r="FI132" s="56" t="inlineStr">
        <is>
          <t>North America: Understand the shortlisted customers details from SDR team, schedule the discovery call, demo call and make the presetation/Demo to the client - Follow up -till the deal closure  along with price negotiations</t>
        </is>
      </c>
      <c r="FJ132" s="32" t="inlineStr">
        <is>
          <t>KRAs not received · manager to supply</t>
        </is>
      </c>
      <c r="FK132" s="56" t="inlineStr">
        <is>
          <t>CARBON Talent Mapping · Raw</t>
        </is>
      </c>
      <c r="FL132" s="56" t="n">
        <v>0</v>
      </c>
      <c r="FM132" s="32" t="inlineStr">
        <is>
          <t>No survey response on file</t>
        </is>
      </c>
      <c r="FN132" s="56" t="inlineStr">
        <is>
          <t>—</t>
        </is>
      </c>
      <c r="FO132" s="56" t="inlineStr">
        <is>
          <t>—</t>
        </is>
      </c>
      <c r="FP132" s="56" t="inlineStr">
        <is>
          <t>—</t>
        </is>
      </c>
      <c r="FQ132" s="56" t="inlineStr">
        <is>
          <t>—</t>
        </is>
      </c>
      <c r="FR132"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32"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32" s="56" t="n"/>
      <c r="FU132" s="32" t="inlineStr">
        <is>
          <t>No survey response on file</t>
        </is>
      </c>
    </row>
    <row r="133" ht="90" customHeight="1">
      <c r="A133" s="51" t="inlineStr">
        <is>
          <t>◂ Back</t>
        </is>
      </c>
      <c r="B133" s="29" t="inlineStr">
        <is>
          <t>Mapped</t>
        </is>
      </c>
      <c r="C133" s="28" t="inlineStr">
        <is>
          <t>CARBON</t>
        </is>
      </c>
      <c r="D133" s="29" t="inlineStr">
        <is>
          <t>IRIS2239</t>
        </is>
      </c>
      <c r="E133" s="29" t="inlineStr">
        <is>
          <t>Saahit Togaru</t>
        </is>
      </c>
      <c r="F133" s="29" t="inlineStr">
        <is>
          <t>Marketing</t>
        </is>
      </c>
      <c r="G133" s="29" t="inlineStr">
        <is>
          <t>Senior Manager - Strategy &amp; Product Marketing</t>
        </is>
      </c>
      <c r="H133" s="29" t="inlineStr">
        <is>
          <t>Senior Marketing Manager</t>
        </is>
      </c>
      <c r="I133" s="29" t="inlineStr">
        <is>
          <t>Not in current mapping files</t>
        </is>
      </c>
      <c r="J133" s="29" t="inlineStr">
        <is>
          <t>B3</t>
        </is>
      </c>
      <c r="K133" s="29" t="inlineStr">
        <is>
          <t>● Newly mapped</t>
        </is>
      </c>
      <c r="L133" s="29" t="inlineStr">
        <is>
          <t>Marketing &amp; Communications</t>
        </is>
      </c>
      <c r="M133" s="29" t="inlineStr">
        <is>
          <t>Marketing Leadership</t>
        </is>
      </c>
      <c r="N133" s="29" t="n"/>
      <c r="O133" s="29" t="n">
        <v>20</v>
      </c>
      <c r="P133" s="28" t="inlineStr">
        <is>
          <t>P5 / M4</t>
        </is>
      </c>
      <c r="Q133" s="29" t="inlineStr">
        <is>
          <t>Expert / Senior Manager</t>
        </is>
      </c>
      <c r="R133" s="29" t="inlineStr">
        <is>
          <t>5 Ensure, advise</t>
        </is>
      </c>
      <c r="S133" s="29" t="inlineStr">
        <is>
          <t>8–12 yrs</t>
        </is>
      </c>
      <c r="T133" s="29" t="inlineStr">
        <is>
          <t>9–13 · 9–14</t>
        </is>
      </c>
      <c r="U133" s="29" t="inlineStr">
        <is>
          <t>Senior Manager</t>
        </is>
      </c>
      <c r="V133" s="29" t="inlineStr">
        <is>
          <t>IRIS Vs Market Benchmark — CIM proficiency scale: 4 Accomplished · IRIS Vs Competitor Benchmark — SaaS marketing ladder: Senior Marketing Manager</t>
        </is>
      </c>
      <c r="W133" s="29" t="inlineStr">
        <is>
          <t>CIM Global Professional Marketing Framework — proficiency Aware → Active learner → Able → Accomplished → Authoritative</t>
        </is>
      </c>
      <c r="X133" s="29" t="inlineStr">
        <is>
          <t>Core 4 · Future 3 · Functional 4 · Leadership 4</t>
        </is>
      </c>
      <c r="Y133" s="52" t="n">
        <v>313</v>
      </c>
      <c r="Z133" s="53" t="inlineStr">
        <is>
          <t>IRIS2239</t>
        </is>
      </c>
      <c r="AA133" s="53" t="inlineStr">
        <is>
          <t>Employee</t>
        </is>
      </c>
      <c r="AB133" s="53" t="inlineStr">
        <is>
          <t>Active</t>
        </is>
      </c>
      <c r="AC133" s="53" t="inlineStr">
        <is>
          <t>Saahit Togaru</t>
        </is>
      </c>
      <c r="AD133" s="54" t="n">
        <v>45398</v>
      </c>
      <c r="AE133" s="53" t="inlineStr">
        <is>
          <t>Senior Manager - Strategy &amp; Product Marketing</t>
        </is>
      </c>
      <c r="AF133" s="53" t="inlineStr">
        <is>
          <t>Masters in Liberal Arts</t>
        </is>
      </c>
      <c r="AG133" s="53" t="inlineStr">
        <is>
          <t>Anuradha Rk</t>
        </is>
      </c>
      <c r="AH133" s="53" t="inlineStr">
        <is>
          <t>N-3</t>
        </is>
      </c>
      <c r="AI133" s="53" t="inlineStr">
        <is>
          <t>Manager</t>
        </is>
      </c>
      <c r="AJ133" s="53" t="inlineStr">
        <is>
          <t>8 years, 4 months, 0 days</t>
        </is>
      </c>
      <c r="AK133" s="53" t="inlineStr">
        <is>
          <t>2 years, 4 months, 9 days</t>
        </is>
      </c>
      <c r="AL133" s="53" t="inlineStr">
        <is>
          <t>Regtech</t>
        </is>
      </c>
      <c r="AM133" s="53" t="inlineStr">
        <is>
          <t>CARBON</t>
        </is>
      </c>
      <c r="AN133" s="53" t="inlineStr">
        <is>
          <t>Marketing</t>
        </is>
      </c>
      <c r="AO133" s="53" t="inlineStr">
        <is>
          <t>Marketing</t>
        </is>
      </c>
      <c r="AP133" s="53" t="inlineStr">
        <is>
          <t>No</t>
        </is>
      </c>
      <c r="AQ133" s="53" t="inlineStr">
        <is>
          <t>Sales, Marketing &amp; Support</t>
        </is>
      </c>
      <c r="AR133" s="53" t="inlineStr">
        <is>
          <t>Marketing</t>
        </is>
      </c>
      <c r="AS133" s="53" t="inlineStr">
        <is>
          <t>Non-technical</t>
        </is>
      </c>
      <c r="AT133" s="53" t="n">
        <v>20</v>
      </c>
      <c r="AU133" s="53" t="inlineStr">
        <is>
          <t>Covered</t>
        </is>
      </c>
      <c r="AV133" s="53" t="inlineStr">
        <is>
          <t>IRIS2239</t>
        </is>
      </c>
      <c r="AW133" s="53" t="inlineStr">
        <is>
          <t>Saahit Togaru</t>
        </is>
      </c>
      <c r="AX133" s="53" t="inlineStr">
        <is>
          <t>Marketing</t>
        </is>
      </c>
      <c r="AY133" s="53" t="inlineStr">
        <is>
          <t>Marketing &amp; Communications</t>
        </is>
      </c>
      <c r="AZ133" s="53" t="inlineStr">
        <is>
          <t>Marketing</t>
        </is>
      </c>
      <c r="BA133" s="53" t="inlineStr">
        <is>
          <t>Business &amp; Functional Leadership</t>
        </is>
      </c>
      <c r="BB133" s="53" t="inlineStr">
        <is>
          <t>Marketing</t>
        </is>
      </c>
      <c r="BC133" s="53" t="inlineStr">
        <is>
          <t>Employee</t>
        </is>
      </c>
      <c r="BD133" s="53" t="inlineStr">
        <is>
          <t>Anuradha Rk</t>
        </is>
      </c>
      <c r="BE133" s="53" t="inlineStr">
        <is>
          <t>Dixit Jasani</t>
        </is>
      </c>
      <c r="BF133" s="53" t="inlineStr">
        <is>
          <t>Yes</t>
        </is>
      </c>
      <c r="BG133" s="53" t="inlineStr">
        <is>
          <t>Senior Manager - Strategy &amp; Product Marketing</t>
        </is>
      </c>
      <c r="BH133" s="53" t="inlineStr">
        <is>
          <t>Senior Manager - Strategy &amp; Product Marketing</t>
        </is>
      </c>
      <c r="BI133" s="53" t="inlineStr">
        <is>
          <t>N/A · new entry</t>
        </is>
      </c>
      <c r="BJ133" s="53" t="n">
        <v>14</v>
      </c>
      <c r="BK133" s="53" t="n">
        <v>14</v>
      </c>
      <c r="BL133" s="53" t="n">
        <v>0</v>
      </c>
      <c r="BM133" s="53" t="inlineStr">
        <is>
          <t>Healthy</t>
        </is>
      </c>
      <c r="BN133" s="53" t="n">
        <v>10</v>
      </c>
      <c r="BO133" s="53" t="n">
        <v>10</v>
      </c>
      <c r="BP133" s="53" t="n">
        <v>0</v>
      </c>
      <c r="BQ133" s="53" t="inlineStr">
        <is>
          <t>Healthy</t>
        </is>
      </c>
      <c r="BR133" s="53" t="inlineStr">
        <is>
          <t>Yes</t>
        </is>
      </c>
      <c r="BS133" s="53" t="n"/>
      <c r="BT133" s="53" t="n"/>
      <c r="BU133" s="53" t="inlineStr">
        <is>
          <t>No designation change — current record value carried forward</t>
        </is>
      </c>
      <c r="BV133" s="53" t="n"/>
      <c r="BW133" s="53" t="n"/>
      <c r="BX133" s="53" t="inlineStr">
        <is>
          <t>Global</t>
        </is>
      </c>
      <c r="BY133" s="53" t="n"/>
      <c r="BZ133" s="53" t="inlineStr">
        <is>
          <t>IRIS2239</t>
        </is>
      </c>
      <c r="CA133" s="53" t="inlineStr">
        <is>
          <t>Employee</t>
        </is>
      </c>
      <c r="CB133" s="53" t="inlineStr">
        <is>
          <t>Active</t>
        </is>
      </c>
      <c r="CC133" s="53" t="inlineStr">
        <is>
          <t>Saahit Togaru</t>
        </is>
      </c>
      <c r="CD133" s="53" t="n">
        <v>31</v>
      </c>
      <c r="CE133" s="53" t="inlineStr">
        <is>
          <t>Senior Manager - Strategy &amp; Product Marketing</t>
        </is>
      </c>
      <c r="CF133" s="53" t="inlineStr">
        <is>
          <t>- Deliver pipeline to Sales</t>
        </is>
      </c>
      <c r="CG133" s="53" t="inlineStr">
        <is>
          <t>Marketing</t>
        </is>
      </c>
      <c r="CH133" s="53" t="inlineStr">
        <is>
          <t>Product Management</t>
        </is>
      </c>
      <c r="CI133" s="53" t="inlineStr">
        <is>
          <t>Senior Manager - Strategy &amp; Product Marketing</t>
        </is>
      </c>
      <c r="CJ133" s="53" t="inlineStr">
        <is>
          <t>L6 – Senior Manager</t>
        </is>
      </c>
      <c r="CK133" s="53" t="inlineStr">
        <is>
          <t>Anuradha Rk</t>
        </is>
      </c>
      <c r="CL133" s="53" t="inlineStr">
        <is>
          <t>N-3</t>
        </is>
      </c>
      <c r="CM133" s="53" t="n"/>
      <c r="CN133" s="53" t="inlineStr">
        <is>
          <t>Manager</t>
        </is>
      </c>
      <c r="CO133" s="53" t="inlineStr">
        <is>
          <t>Marketing</t>
        </is>
      </c>
      <c r="CP133" s="53" t="inlineStr">
        <is>
          <t>8 years, 4 months, 0 days</t>
        </is>
      </c>
      <c r="CQ133" s="53" t="n"/>
      <c r="CR133" s="53" t="inlineStr">
        <is>
          <t>2 years, 2 months, 4 days</t>
        </is>
      </c>
      <c r="CS133" s="53" t="inlineStr">
        <is>
          <t>10 years, 6 months, 4 days</t>
        </is>
      </c>
      <c r="CT133" s="53" t="n">
        <v>2.177625571</v>
      </c>
      <c r="CU133" s="53" t="n"/>
      <c r="CV133" s="53" t="n"/>
      <c r="CW133" s="53" t="inlineStr">
        <is>
          <t>Regtech</t>
        </is>
      </c>
      <c r="CX133" s="53" t="inlineStr">
        <is>
          <t>CARBON</t>
        </is>
      </c>
      <c r="CY133" s="53" t="inlineStr">
        <is>
          <t>Marketing</t>
        </is>
      </c>
      <c r="CZ133" s="53" t="inlineStr">
        <is>
          <t>Marketing</t>
        </is>
      </c>
      <c r="DA133" s="53" t="inlineStr">
        <is>
          <t>No</t>
        </is>
      </c>
      <c r="DB133" s="53" t="inlineStr">
        <is>
          <t>Sales, Marketing &amp; Support</t>
        </is>
      </c>
      <c r="DC133" s="53" t="n"/>
      <c r="DD133" s="53" t="n"/>
      <c r="DE133" s="53" t="n"/>
      <c r="DF133" s="53" t="n"/>
      <c r="DG133" s="53" t="n"/>
      <c r="DH133" s="53" t="n"/>
      <c r="DI133" s="53" t="n"/>
      <c r="DJ133" s="53" t="n"/>
      <c r="DK133" s="53" t="n"/>
      <c r="DL133" s="53" t="n"/>
      <c r="DM133" s="53" t="n"/>
      <c r="DN133" s="53" t="n"/>
      <c r="DO133" s="53" t="n"/>
      <c r="DP133" s="53" t="n"/>
      <c r="DQ133" s="53" t="n"/>
      <c r="DR133" s="53" t="n"/>
      <c r="DS133" s="53" t="n"/>
      <c r="DT133" s="53" t="n"/>
      <c r="DU133" s="53" t="n"/>
      <c r="DV133" s="53" t="n"/>
      <c r="DW133" s="53" t="n"/>
      <c r="DX133" s="53" t="n"/>
      <c r="DY133" s="53" t="n"/>
      <c r="DZ133" s="53" t="n"/>
      <c r="EA133" s="53" t="n"/>
      <c r="EB133" s="53" t="n"/>
      <c r="EC133" s="53" t="n"/>
      <c r="ED133" s="53" t="n"/>
      <c r="EE133" s="53" t="n"/>
      <c r="EF133" s="53" t="n"/>
      <c r="EG133" s="53" t="n"/>
      <c r="EH133" s="53" t="n"/>
      <c r="EI133" s="53" t="n"/>
      <c r="EJ133" s="53" t="n"/>
      <c r="EK133" s="53" t="n"/>
      <c r="EL133" s="53" t="n"/>
      <c r="EM133" s="53" t="n"/>
      <c r="EN133" s="53" t="n"/>
      <c r="EO133" s="53" t="n"/>
      <c r="EP133" s="53" t="n"/>
      <c r="EQ133" s="53" t="n"/>
      <c r="ER133" s="53" t="n"/>
      <c r="ES133" s="53" t="n"/>
      <c r="ET133" s="53" t="n"/>
      <c r="EU133" s="53" t="n"/>
      <c r="EV133" s="53" t="n"/>
      <c r="EW133" s="52" t="n"/>
      <c r="EX133" s="53" t="inlineStr">
        <is>
          <t>Growth, Revenue and building the brand; Marketing Demand Capture Demand Gene Strategies GTM Strategies</t>
        </is>
      </c>
      <c r="EY133" s="53"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EZ133" s="53"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FA133" s="53"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B133" s="53"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C133" s="53" t="n"/>
      <c r="FD133" s="53" t="n"/>
      <c r="FE133" s="55" t="inlineStr">
        <is>
          <t>KRAs not received · manager to supply</t>
        </is>
      </c>
      <c r="FF133" s="56" t="n"/>
      <c r="FG133" s="56" t="n"/>
      <c r="FH133" s="56" t="n"/>
      <c r="FI133" s="56" t="inlineStr">
        <is>
          <t>- Deliver pipeline to Sales</t>
        </is>
      </c>
      <c r="FJ133" s="32" t="inlineStr">
        <is>
          <t>KRAs not received · manager to supply</t>
        </is>
      </c>
      <c r="FK133" s="56" t="inlineStr">
        <is>
          <t>CARBON Talent Mapping · Raw</t>
        </is>
      </c>
      <c r="FL133" s="56" t="n">
        <v>20</v>
      </c>
      <c r="FM133" s="56" t="inlineStr">
        <is>
          <t>Growth, Revenue and building the brand; Marketing Demand Capture Demand Gene Strategies GTM Strategies</t>
        </is>
      </c>
      <c r="FN133" s="56"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FO133" s="56"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FP133" s="56"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Q133" s="56"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R133" s="56" t="inlineStr">
        <is>
          <t>Complexity: Evidence reads like B1: Analyses internal and external data sets to map market demand, position brand and build pipeline → moved down 0.5
Autonomy: Evidence reads like B2: Decides marketing, demand generation, demand capture and GTM strategies → moved down 0.5
Accountability: Evidence reads like B2: Accountable for marketing pipeline, revenue contribution, brand and product positioning; five-person team → moved down 0.5
Leadership: Evidence reads like B1: Five direct reports in HR data; text does not describe people management → moved down 0.5
Business Impact: No survey or manager-mapping signal on criticality: kept at the start point.</t>
        </is>
      </c>
      <c r="FS133" s="56" t="n"/>
      <c r="FT133" s="56" t="inlineStr">
        <is>
          <t>Self-identified: Leadership &amp; people management · Domain, regulatory &amp; XBRL
For the next role: Leadership &amp; people management · Domain, regulatory &amp; XBRL</t>
        </is>
      </c>
      <c r="FU133" s="56" t="inlineStr">
        <is>
          <t>Per-person summary · CARBON Mapping Master</t>
        </is>
      </c>
    </row>
    <row r="134" ht="90" customHeight="1">
      <c r="A134" s="51" t="inlineStr">
        <is>
          <t>◂ Back</t>
        </is>
      </c>
      <c r="B134" s="29" t="inlineStr">
        <is>
          <t>Mapped</t>
        </is>
      </c>
      <c r="C134" s="28" t="inlineStr">
        <is>
          <t>CARBON</t>
        </is>
      </c>
      <c r="D134" s="29" t="inlineStr">
        <is>
          <t>IRIS2358</t>
        </is>
      </c>
      <c r="E134" s="29" t="inlineStr">
        <is>
          <t>Sobhan Pramanik</t>
        </is>
      </c>
      <c r="F134" s="29" t="inlineStr">
        <is>
          <t>Marketing</t>
        </is>
      </c>
      <c r="G134" s="29" t="inlineStr">
        <is>
          <t>Manager - Marketing</t>
        </is>
      </c>
      <c r="H134" s="29" t="inlineStr">
        <is>
          <t>Marketing Manager</t>
        </is>
      </c>
      <c r="I134" s="29" t="inlineStr">
        <is>
          <t>L5 – Manager</t>
        </is>
      </c>
      <c r="J134" s="29" t="inlineStr">
        <is>
          <t>B2</t>
        </is>
      </c>
      <c r="K134" s="29" t="inlineStr">
        <is>
          <t>• Same level</t>
        </is>
      </c>
      <c r="L134" s="29" t="inlineStr">
        <is>
          <t>Marketing &amp; Communications</t>
        </is>
      </c>
      <c r="M134" s="29" t="inlineStr">
        <is>
          <t>Demand Generation, Brand &amp; Events</t>
        </is>
      </c>
      <c r="N134" s="29" t="n"/>
      <c r="O134" s="29" t="n">
        <v>20</v>
      </c>
      <c r="P134" s="28" t="inlineStr">
        <is>
          <t>P4 / M3</t>
        </is>
      </c>
      <c r="Q134" s="29" t="inlineStr">
        <is>
          <t>Senior / Manager</t>
        </is>
      </c>
      <c r="R134" s="29" t="inlineStr">
        <is>
          <t>4–5</t>
        </is>
      </c>
      <c r="S134" s="29" t="inlineStr">
        <is>
          <t>6–9 yrs</t>
        </is>
      </c>
      <c r="T134" s="29" t="inlineStr">
        <is>
          <t>7–10 · 6–11</t>
        </is>
      </c>
      <c r="U134" s="29" t="inlineStr">
        <is>
          <t>Manager</t>
        </is>
      </c>
      <c r="V134" s="29" t="inlineStr">
        <is>
          <t>IRIS Vs Market Benchmark — CIM proficiency scale: 3–4 · IRIS Vs Competitor Benchmark — SaaS marketing ladder: Marketing Manager</t>
        </is>
      </c>
      <c r="W134" s="29" t="inlineStr">
        <is>
          <t>CIM Global Professional Marketing Framework — proficiency Aware → Active learner → Able → Accomplished → Authoritative</t>
        </is>
      </c>
      <c r="X134" s="29" t="inlineStr">
        <is>
          <t>Core 3 · Future 3 · Functional 4 · Leadership 3</t>
        </is>
      </c>
      <c r="Y134" s="52" t="n">
        <v>364</v>
      </c>
      <c r="Z134" s="53" t="inlineStr">
        <is>
          <t>IRIS2358</t>
        </is>
      </c>
      <c r="AA134" s="53" t="inlineStr">
        <is>
          <t>Employee</t>
        </is>
      </c>
      <c r="AB134" s="53" t="inlineStr">
        <is>
          <t>Active</t>
        </is>
      </c>
      <c r="AC134" s="53" t="inlineStr">
        <is>
          <t>Sobhan Pramanik</t>
        </is>
      </c>
      <c r="AD134" s="54" t="n">
        <v>45748</v>
      </c>
      <c r="AE134" s="53" t="inlineStr">
        <is>
          <t>Manager - Marketing</t>
        </is>
      </c>
      <c r="AF134" s="53" t="inlineStr">
        <is>
          <t>B.Tech</t>
        </is>
      </c>
      <c r="AG134" s="53" t="inlineStr">
        <is>
          <t>Saahit Togaru</t>
        </is>
      </c>
      <c r="AH134" s="53" t="inlineStr">
        <is>
          <t>N-4</t>
        </is>
      </c>
      <c r="AI134" s="53" t="inlineStr">
        <is>
          <t>Manager</t>
        </is>
      </c>
      <c r="AJ134" s="53" t="inlineStr">
        <is>
          <t>7 years, 0 months, 0 days</t>
        </is>
      </c>
      <c r="AK134" s="53" t="inlineStr">
        <is>
          <t>1 years, 4 months, 24 days</t>
        </is>
      </c>
      <c r="AL134" s="53" t="inlineStr">
        <is>
          <t>Regtech</t>
        </is>
      </c>
      <c r="AM134" s="53" t="inlineStr">
        <is>
          <t>CARBON</t>
        </is>
      </c>
      <c r="AN134" s="53" t="inlineStr">
        <is>
          <t>Marketing</t>
        </is>
      </c>
      <c r="AO134" s="53" t="inlineStr">
        <is>
          <t>Marketing</t>
        </is>
      </c>
      <c r="AP134" s="53" t="inlineStr">
        <is>
          <t>No</t>
        </is>
      </c>
      <c r="AQ134" s="53" t="inlineStr">
        <is>
          <t>Sales, Marketing &amp; Support</t>
        </is>
      </c>
      <c r="AR134" s="53" t="inlineStr">
        <is>
          <t>Marketing</t>
        </is>
      </c>
      <c r="AS134" s="53" t="inlineStr">
        <is>
          <t>Non-technical</t>
        </is>
      </c>
      <c r="AT134" s="53" t="n">
        <v>20</v>
      </c>
      <c r="AU134" s="53" t="inlineStr">
        <is>
          <t>Covered</t>
        </is>
      </c>
      <c r="AV134" s="53" t="inlineStr">
        <is>
          <t>IRIS2358</t>
        </is>
      </c>
      <c r="AW134" s="53" t="inlineStr">
        <is>
          <t>Sobhan Pramanik</t>
        </is>
      </c>
      <c r="AX134" s="53" t="inlineStr">
        <is>
          <t>Marketing</t>
        </is>
      </c>
      <c r="AY134" s="53" t="inlineStr">
        <is>
          <t>Marketing &amp; Communications</t>
        </is>
      </c>
      <c r="AZ134" s="53" t="inlineStr">
        <is>
          <t>Demand Generation &amp; Branding</t>
        </is>
      </c>
      <c r="BA134" s="53" t="n"/>
      <c r="BB134" s="53" t="n"/>
      <c r="BC134" s="53" t="inlineStr">
        <is>
          <t>Employee</t>
        </is>
      </c>
      <c r="BD134" s="53" t="inlineStr">
        <is>
          <t>Saahit Togaru</t>
        </is>
      </c>
      <c r="BE134" s="53" t="inlineStr">
        <is>
          <t>Saahit Togaru</t>
        </is>
      </c>
      <c r="BF134" s="53" t="inlineStr">
        <is>
          <t>No</t>
        </is>
      </c>
      <c r="BG134" s="53" t="inlineStr">
        <is>
          <t>Manager - Marketing</t>
        </is>
      </c>
      <c r="BH134" s="53" t="inlineStr">
        <is>
          <t>Manager - Marketing</t>
        </is>
      </c>
      <c r="BI134" s="53" t="inlineStr">
        <is>
          <t>No</t>
        </is>
      </c>
      <c r="BJ134" s="53" t="n">
        <v>4</v>
      </c>
      <c r="BK134" s="53" t="n">
        <v>2</v>
      </c>
      <c r="BL134" s="53" t="n">
        <v>2</v>
      </c>
      <c r="BM134" s="53" t="inlineStr">
        <is>
          <t>Review</t>
        </is>
      </c>
      <c r="BN134" s="53" t="n">
        <v>8</v>
      </c>
      <c r="BO134" s="53" t="n">
        <v>6</v>
      </c>
      <c r="BP134" s="53" t="n">
        <v>2</v>
      </c>
      <c r="BQ134" s="53" t="inlineStr">
        <is>
          <t>Healthy</t>
        </is>
      </c>
      <c r="BR134" s="53" t="inlineStr">
        <is>
          <t>Yes</t>
        </is>
      </c>
      <c r="BS134" s="53" t="inlineStr">
        <is>
          <t>L5 – Manager</t>
        </is>
      </c>
      <c r="BT134" s="53" t="inlineStr">
        <is>
          <t>L5 – Manager</t>
        </is>
      </c>
      <c r="BU134" s="53" t="inlineStr">
        <is>
          <t>No designation change — current record value carried forward</t>
        </is>
      </c>
      <c r="BV134" s="53" t="inlineStr">
        <is>
          <t>OKR Tracker - Marketing 2026 · FY27.xlsx</t>
        </is>
      </c>
      <c r="BW134" s="53" t="n"/>
      <c r="BX134" s="53" t="inlineStr">
        <is>
          <t>US; EU; India; Africa.</t>
        </is>
      </c>
      <c r="BY134" s="53" t="n"/>
      <c r="BZ134" s="53" t="inlineStr">
        <is>
          <t>IRIS2358</t>
        </is>
      </c>
      <c r="CA134" s="53" t="inlineStr">
        <is>
          <t>Employee</t>
        </is>
      </c>
      <c r="CB134" s="53" t="inlineStr">
        <is>
          <t>Active</t>
        </is>
      </c>
      <c r="CC134" s="53" t="inlineStr">
        <is>
          <t>Sobhan Pramanik</t>
        </is>
      </c>
      <c r="CD134" s="54" t="n">
        <v>45748</v>
      </c>
      <c r="CE134" s="53" t="inlineStr">
        <is>
          <t>Manager - Marketing</t>
        </is>
      </c>
      <c r="CF134" s="53" t="inlineStr">
        <is>
          <t>Content and social media Management team : Run Campaigns for Carbon across region,</t>
        </is>
      </c>
      <c r="CG134" s="53" t="inlineStr">
        <is>
          <t>Marketing &amp; Communications</t>
        </is>
      </c>
      <c r="CH134" s="53" t="inlineStr">
        <is>
          <t>Demand Generation</t>
        </is>
      </c>
      <c r="CI134" s="53" t="inlineStr">
        <is>
          <t>Manager - Marketing</t>
        </is>
      </c>
      <c r="CJ134" s="53" t="inlineStr">
        <is>
          <t>L5 – Manager</t>
        </is>
      </c>
      <c r="CK134" s="53" t="inlineStr">
        <is>
          <t>Saahit Togaru</t>
        </is>
      </c>
      <c r="CL134" s="53" t="inlineStr">
        <is>
          <t>N-4</t>
        </is>
      </c>
      <c r="CM134" s="53" t="inlineStr">
        <is>
          <t>Manager</t>
        </is>
      </c>
      <c r="CN134" s="53" t="inlineStr">
        <is>
          <t>Regtech</t>
        </is>
      </c>
      <c r="CO134" s="53" t="inlineStr">
        <is>
          <t>Marketing</t>
        </is>
      </c>
      <c r="CP134" s="53" t="inlineStr">
        <is>
          <t>8 years, 2 months, 19 days</t>
        </is>
      </c>
      <c r="CQ134" s="53" t="n"/>
      <c r="CR134" s="53" t="inlineStr">
        <is>
          <t>No</t>
        </is>
      </c>
      <c r="CS134" s="53" t="n">
        <v>3</v>
      </c>
      <c r="CT134" s="53" t="inlineStr">
        <is>
          <t>High</t>
        </is>
      </c>
      <c r="CU134" s="53" t="inlineStr">
        <is>
          <t>Future Leader</t>
        </is>
      </c>
      <c r="CV134" s="53" t="n"/>
      <c r="CW134" s="53" t="inlineStr">
        <is>
          <t>No</t>
        </is>
      </c>
      <c r="CX134" s="53" t="inlineStr">
        <is>
          <t>Yes</t>
        </is>
      </c>
      <c r="CY134" s="53" t="inlineStr">
        <is>
          <t>Alisha Sheikh</t>
        </is>
      </c>
      <c r="CZ134" s="53" t="inlineStr">
        <is>
          <t>-Time management</t>
        </is>
      </c>
      <c r="DA134" s="53" t="n"/>
      <c r="DB134" s="53" t="n"/>
      <c r="DC134" s="53" t="n"/>
      <c r="DD134" s="53" t="n"/>
      <c r="DE134" s="53" t="n"/>
      <c r="DF134" s="53" t="n"/>
      <c r="DG134" s="53" t="n"/>
      <c r="DH134" s="53" t="n"/>
      <c r="DI134" s="53" t="n"/>
      <c r="DJ134" s="53" t="n"/>
      <c r="DK134" s="53" t="n"/>
      <c r="DL134" s="53" t="n"/>
      <c r="DM134" s="53" t="n"/>
      <c r="DN134" s="53" t="n"/>
      <c r="DO134" s="53" t="n"/>
      <c r="DP134" s="53" t="n"/>
      <c r="DQ134" s="53" t="n"/>
      <c r="DR134" s="53" t="n"/>
      <c r="DS134" s="53" t="n"/>
      <c r="DT134" s="53" t="n"/>
      <c r="DU134" s="53" t="n"/>
      <c r="DV134" s="53" t="n"/>
      <c r="DW134" s="53" t="n"/>
      <c r="DX134" s="53" t="n"/>
      <c r="DY134" s="53" t="n"/>
      <c r="DZ134" s="53" t="n"/>
      <c r="EA134" s="53" t="n"/>
      <c r="EB134" s="53" t="n"/>
      <c r="EC134" s="53" t="n"/>
      <c r="ED134" s="53" t="n"/>
      <c r="EE134" s="53" t="n"/>
      <c r="EF134" s="53" t="n"/>
      <c r="EG134" s="53" t="n"/>
      <c r="EH134" s="53" t="n"/>
      <c r="EI134" s="53" t="n"/>
      <c r="EJ134" s="53" t="n"/>
      <c r="EK134" s="53" t="n"/>
      <c r="EL134" s="53" t="n"/>
      <c r="EM134" s="53" t="n"/>
      <c r="EN134" s="53" t="n"/>
      <c r="EO134" s="53" t="n"/>
      <c r="EP134" s="53" t="n"/>
      <c r="EQ134" s="53" t="n"/>
      <c r="ER134" s="53" t="n"/>
      <c r="ES134" s="53" t="n"/>
      <c r="ET134" s="53" t="n"/>
      <c r="EU134" s="53" t="n"/>
      <c r="EV134" s="53" t="n"/>
      <c r="EW134" s="52" t="n"/>
      <c r="EX134" s="53" t="inlineStr">
        <is>
          <t>• Role / sub-team: Marketing — Manager - Marketing.
• Core purpose: Building brand awareness and demand for IRIS CARBON globally.
• Decision-making autonomy: Can independently content Strategy.
• Is this something only they do: Everyone on the team.</t>
        </is>
      </c>
      <c r="EY134" s="53"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EZ134" s="53"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FA134" s="53"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B134" s="53" t="inlineStr">
        <is>
          <t>• Key challenges: Adhoc requirements.
• Support required: Clear prioritization, lesser ambiguity.</t>
        </is>
      </c>
      <c r="FC134" s="53" t="inlineStr">
        <is>
          <t>KRAs Submitted</t>
        </is>
      </c>
      <c r="FD134" s="53" t="n"/>
      <c r="FE134" s="57" t="inlineStr">
        <is>
          <t>OKR Tracker - Marketing 2026 · FY27.xlsx</t>
        </is>
      </c>
      <c r="FF134" s="56" t="n"/>
      <c r="FG134" s="56" t="n"/>
      <c r="FH134" s="56" t="n"/>
      <c r="FI134" s="56" t="inlineStr">
        <is>
          <t>Content and social media Management team : Run Campaigns for Carbon across region,</t>
        </is>
      </c>
      <c r="FJ134" s="56" t="inlineStr">
        <is>
          <t>Received · manager annual</t>
        </is>
      </c>
      <c r="FK134" s="56" t="inlineStr">
        <is>
          <t>CARBON Mapping Master · CARBON Talent Mapping · Raw</t>
        </is>
      </c>
      <c r="FL134" s="56" t="n">
        <v>20</v>
      </c>
      <c r="FM134" s="56" t="inlineStr">
        <is>
          <t>• Role / sub-team: Marketing — Manager - Marketing.
• Core purpose: Building brand awareness and demand for IRIS CARBON globally.
• Decision-making autonomy: Can independently content Strategy.
• Is this something only they do: Everyone on the team.</t>
        </is>
      </c>
      <c r="FN134" s="56"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FO134" s="56"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FP134" s="56"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Q134" s="56" t="inlineStr">
        <is>
          <t>• Key challenges: Adhoc requirements.
• Support required: Clear prioritization, lesser ambiguity.</t>
        </is>
      </c>
      <c r="FR134" s="56" t="inlineStr">
        <is>
          <t>Complexity: Evidence reads like B2: Runs marketing across organic/SEO, paid, events, PR and analyst relations; builds messaging and team processes → matches the start
Autonomy: Evidence reads like B2: Decides content strategy; manages the team and institutionalises its processes → matches the start
Accountability: Evidence reads like B2: MQL volume plus brand messaging and visual consistency for IRIS CARBON → matches the start
Leadership: Evidence reads like B2: Team management listed; 7 direct reports → matches the start
Business Impact: Moved +0.5: the survey / manager mapping marks it business-critical.</t>
        </is>
      </c>
      <c r="FS134"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34" s="56" t="inlineStr">
        <is>
          <t>Self-identified: Leadership &amp; people management · Client, sales &amp; stakeholders · Strategy &amp; business acumen · Marketing &amp; content
For the next role: Leadership &amp; people management · Client, sales &amp; stakeholders · Strategy &amp; business acumen · Marketing &amp; content</t>
        </is>
      </c>
      <c r="FU134" s="56" t="inlineStr">
        <is>
          <t>Per-person summary · CARBON Mapping Master</t>
        </is>
      </c>
    </row>
    <row r="135" ht="90" customHeight="1">
      <c r="A135" s="51" t="inlineStr">
        <is>
          <t>◂ Back</t>
        </is>
      </c>
      <c r="B135" s="29" t="inlineStr">
        <is>
          <t>Mapped</t>
        </is>
      </c>
      <c r="C135" s="28" t="inlineStr">
        <is>
          <t>CARBON</t>
        </is>
      </c>
      <c r="D135" s="29" t="inlineStr">
        <is>
          <t>IRIS2400</t>
        </is>
      </c>
      <c r="E135" s="29" t="inlineStr">
        <is>
          <t>Bharani Kumar</t>
        </is>
      </c>
      <c r="F135" s="29" t="inlineStr">
        <is>
          <t>Marketing</t>
        </is>
      </c>
      <c r="G135" s="29" t="inlineStr">
        <is>
          <t>Creative Lead</t>
        </is>
      </c>
      <c r="H135" s="29" t="inlineStr">
        <is>
          <t>Design Specialist – POD Lead</t>
        </is>
      </c>
      <c r="I135" s="29" t="inlineStr">
        <is>
          <t>L5 – Lead · IC</t>
        </is>
      </c>
      <c r="J135" s="29" t="inlineStr">
        <is>
          <t>B1</t>
        </is>
      </c>
      <c r="K135" s="29" t="inlineStr">
        <is>
          <t>▼ Down · protected</t>
        </is>
      </c>
      <c r="L135" s="29" t="inlineStr">
        <is>
          <t>Design &amp; Creative</t>
        </is>
      </c>
      <c r="M135" s="29" t="inlineStr">
        <is>
          <t>Brand, Graphic &amp; Video Design</t>
        </is>
      </c>
      <c r="N135" s="29" t="n"/>
      <c r="O135" s="29" t="n">
        <v>20</v>
      </c>
      <c r="P135" s="28" t="inlineStr">
        <is>
          <t>P3 / M2</t>
        </is>
      </c>
      <c r="Q135" s="29" t="inlineStr">
        <is>
          <t>Career / · Team Lead</t>
        </is>
      </c>
      <c r="R135" s="29" t="inlineStr">
        <is>
          <t>4 Enable</t>
        </is>
      </c>
      <c r="S135" s="29" t="inlineStr">
        <is>
          <t>4–7 yrs</t>
        </is>
      </c>
      <c r="T135" s="29" t="inlineStr">
        <is>
          <t>5–8 · 4–8</t>
        </is>
      </c>
      <c r="U135" s="29" t="inlineStr">
        <is>
          <t>Senior Designer</t>
        </is>
      </c>
      <c r="V135" s="29" t="inlineStr">
        <is>
          <t>IRIS Vs Competitor Benchmark — UX / design ladder: UX Designer</t>
        </is>
      </c>
      <c r="W135" s="29" t="inlineStr">
        <is>
          <t>UX career ladder Junior → Designer → Senior → Lead → Principal; WCAG accessibility</t>
        </is>
      </c>
      <c r="X135" s="29" t="inlineStr">
        <is>
          <t>Core 3 · Future 3 · Functional 3 · Leadership 2</t>
        </is>
      </c>
      <c r="Y135" s="52" t="n">
        <v>383</v>
      </c>
      <c r="Z135" s="53" t="inlineStr">
        <is>
          <t>IRIS2400</t>
        </is>
      </c>
      <c r="AA135" s="53" t="inlineStr">
        <is>
          <t>Employee</t>
        </is>
      </c>
      <c r="AB135" s="53" t="inlineStr">
        <is>
          <t>Active</t>
        </is>
      </c>
      <c r="AC135" s="53" t="inlineStr">
        <is>
          <t>Bharani Kumar</t>
        </is>
      </c>
      <c r="AD135" s="54" t="n">
        <v>45845</v>
      </c>
      <c r="AE135" s="53" t="inlineStr">
        <is>
          <t>Creative Lead</t>
        </is>
      </c>
      <c r="AF135" s="53" t="inlineStr">
        <is>
          <t>BA</t>
        </is>
      </c>
      <c r="AG135" s="53" t="inlineStr">
        <is>
          <t>Sobhan Pramanik</t>
        </is>
      </c>
      <c r="AH135" s="53" t="inlineStr">
        <is>
          <t>N-5</t>
        </is>
      </c>
      <c r="AI135" s="53" t="inlineStr">
        <is>
          <t>Manager</t>
        </is>
      </c>
      <c r="AJ135" s="53" t="inlineStr">
        <is>
          <t>11 years, 0 months, 0 days</t>
        </is>
      </c>
      <c r="AK135" s="53" t="inlineStr">
        <is>
          <t>1 years, 1 months, 18 days</t>
        </is>
      </c>
      <c r="AL135" s="53" t="inlineStr">
        <is>
          <t>Regtech</t>
        </is>
      </c>
      <c r="AM135" s="53" t="inlineStr">
        <is>
          <t>CARBON</t>
        </is>
      </c>
      <c r="AN135" s="53" t="inlineStr">
        <is>
          <t>Marketing</t>
        </is>
      </c>
      <c r="AO135" s="53" t="inlineStr">
        <is>
          <t>Marketing</t>
        </is>
      </c>
      <c r="AP135" s="53" t="inlineStr">
        <is>
          <t>No</t>
        </is>
      </c>
      <c r="AQ135" s="53" t="inlineStr">
        <is>
          <t>Sales, Marketing &amp; Support</t>
        </is>
      </c>
      <c r="AR135" s="53" t="inlineStr">
        <is>
          <t>Graphic design</t>
        </is>
      </c>
      <c r="AS135" s="53" t="inlineStr">
        <is>
          <t>Non-technical</t>
        </is>
      </c>
      <c r="AT135" s="53" t="n">
        <v>20</v>
      </c>
      <c r="AU135" s="53" t="inlineStr">
        <is>
          <t>Covered</t>
        </is>
      </c>
      <c r="AV135" s="53" t="inlineStr">
        <is>
          <t>IRIS2400</t>
        </is>
      </c>
      <c r="AW135" s="53" t="inlineStr">
        <is>
          <t>Bharani Kumar</t>
        </is>
      </c>
      <c r="AX135" s="53" t="inlineStr">
        <is>
          <t>Marketing</t>
        </is>
      </c>
      <c r="AY135" s="53" t="inlineStr">
        <is>
          <t>Marketing &amp; Communications</t>
        </is>
      </c>
      <c r="AZ135" s="53" t="inlineStr">
        <is>
          <t>Creative &amp; Design</t>
        </is>
      </c>
      <c r="BA135" s="53" t="n"/>
      <c r="BB135" s="53" t="n"/>
      <c r="BC135" s="53" t="inlineStr">
        <is>
          <t>Employee</t>
        </is>
      </c>
      <c r="BD135" s="53" t="inlineStr">
        <is>
          <t>Sobhan Pramanik</t>
        </is>
      </c>
      <c r="BE135" s="53" t="inlineStr">
        <is>
          <t>Sobhan Pramanik</t>
        </is>
      </c>
      <c r="BF135" s="53" t="inlineStr">
        <is>
          <t>No</t>
        </is>
      </c>
      <c r="BG135" s="53" t="inlineStr">
        <is>
          <t>Creative Lead</t>
        </is>
      </c>
      <c r="BH135" s="53" t="inlineStr">
        <is>
          <t>Creative Lead</t>
        </is>
      </c>
      <c r="BI135" s="53" t="inlineStr">
        <is>
          <t>No</t>
        </is>
      </c>
      <c r="BJ135" s="53" t="n">
        <v>1</v>
      </c>
      <c r="BK135" s="53" t="n">
        <v>1</v>
      </c>
      <c r="BL135" s="53" t="n">
        <v>0</v>
      </c>
      <c r="BM135" s="53" t="inlineStr">
        <is>
          <t>Consolidate / flatten</t>
        </is>
      </c>
      <c r="BN135" s="53" t="n">
        <v>1</v>
      </c>
      <c r="BO135" s="53" t="n">
        <v>1</v>
      </c>
      <c r="BP135" s="53" t="n">
        <v>0</v>
      </c>
      <c r="BQ135" s="53" t="inlineStr">
        <is>
          <t>Consolidate / flatten</t>
        </is>
      </c>
      <c r="BR135" s="53" t="inlineStr">
        <is>
          <t>No</t>
        </is>
      </c>
      <c r="BS135" s="53" t="inlineStr">
        <is>
          <t>L5 – Lead · IC</t>
        </is>
      </c>
      <c r="BT135" s="53" t="inlineStr">
        <is>
          <t>L5 – Lead · IC</t>
        </is>
      </c>
      <c r="BU135" s="53" t="inlineStr">
        <is>
          <t>No designation change — current record value carried forward</t>
        </is>
      </c>
      <c r="BV135" s="53" t="inlineStr">
        <is>
          <t>c</t>
        </is>
      </c>
      <c r="BW135" s="53" t="n"/>
      <c r="BX135" s="53" t="inlineStr">
        <is>
          <t>No input received — attended/was listed as a respondent but did not provide answers to any of the survey questions.</t>
        </is>
      </c>
      <c r="BY135" s="53" t="n"/>
      <c r="BZ135" s="53" t="inlineStr">
        <is>
          <t>IRIS2400</t>
        </is>
      </c>
      <c r="CA135" s="53" t="inlineStr">
        <is>
          <t>Employee</t>
        </is>
      </c>
      <c r="CB135" s="53" t="inlineStr">
        <is>
          <t>Active</t>
        </is>
      </c>
      <c r="CC135" s="53" t="inlineStr">
        <is>
          <t>Bharani Kumar</t>
        </is>
      </c>
      <c r="CD135" s="54" t="n">
        <v>45845</v>
      </c>
      <c r="CE135" s="53" t="inlineStr">
        <is>
          <t>Creative Lead</t>
        </is>
      </c>
      <c r="CF135" s="53" t="inlineStr">
        <is>
          <t>Reports to Shobhan: Responsible for designing the collaterals for social media</t>
        </is>
      </c>
      <c r="CG135" s="53" t="inlineStr">
        <is>
          <t>Marketing &amp; Communications</t>
        </is>
      </c>
      <c r="CH135" s="53" t="inlineStr">
        <is>
          <t>Marketing Operations</t>
        </is>
      </c>
      <c r="CI135" s="53" t="inlineStr">
        <is>
          <t>Creative Lead</t>
        </is>
      </c>
      <c r="CJ135" s="53" t="inlineStr">
        <is>
          <t>L5 – Lead · IC</t>
        </is>
      </c>
      <c r="CK135" s="53" t="inlineStr">
        <is>
          <t>Sobhan Pramanik</t>
        </is>
      </c>
      <c r="CL135" s="53" t="inlineStr">
        <is>
          <t>N-5</t>
        </is>
      </c>
      <c r="CM135" s="53" t="inlineStr">
        <is>
          <t>Manager</t>
        </is>
      </c>
      <c r="CN135" s="53" t="inlineStr">
        <is>
          <t>Regtech</t>
        </is>
      </c>
      <c r="CO135" s="53" t="inlineStr">
        <is>
          <t>Marketing</t>
        </is>
      </c>
      <c r="CP135" s="53" t="inlineStr">
        <is>
          <t>11 years, 11 months, 13 days</t>
        </is>
      </c>
      <c r="CQ135" s="53" t="inlineStr">
        <is>
          <t>Creative Lead</t>
        </is>
      </c>
      <c r="CR135" s="53" t="inlineStr">
        <is>
          <t>No</t>
        </is>
      </c>
      <c r="CS135" s="53" t="n"/>
      <c r="CT135" s="53" t="inlineStr">
        <is>
          <t>Medium</t>
        </is>
      </c>
      <c r="CU135" s="53" t="inlineStr">
        <is>
          <t>Core Contributor</t>
        </is>
      </c>
      <c r="CV135" s="53" t="n"/>
      <c r="CW135" s="53" t="inlineStr">
        <is>
          <t>No</t>
        </is>
      </c>
      <c r="CX135" s="53" t="inlineStr">
        <is>
          <t>No</t>
        </is>
      </c>
      <c r="CY135" s="53" t="n"/>
      <c r="CZ135" s="53" t="inlineStr">
        <is>
          <t>High time he learns the product/industry/brand positioning</t>
        </is>
      </c>
      <c r="DA135" s="53" t="n"/>
      <c r="DB135" s="53" t="n"/>
      <c r="DC135" s="53" t="n"/>
      <c r="DD135" s="53" t="n"/>
      <c r="DE135" s="53" t="n"/>
      <c r="DF135" s="53" t="n"/>
      <c r="DG135" s="53" t="n"/>
      <c r="DH135" s="53" t="n"/>
      <c r="DI135" s="53" t="n"/>
      <c r="DJ135" s="53" t="n"/>
      <c r="DK135" s="53" t="n"/>
      <c r="DL135" s="53" t="n"/>
      <c r="DM135" s="53" t="n"/>
      <c r="DN135" s="53" t="n"/>
      <c r="DO135" s="53" t="n"/>
      <c r="DP135" s="53" t="n"/>
      <c r="DQ135" s="53" t="n"/>
      <c r="DR135" s="53" t="n"/>
      <c r="DS135" s="53" t="n"/>
      <c r="DT135" s="53" t="n"/>
      <c r="DU135" s="53" t="n"/>
      <c r="DV135" s="53" t="n"/>
      <c r="DW135" s="53" t="n"/>
      <c r="DX135" s="53" t="n"/>
      <c r="DY135" s="53" t="n"/>
      <c r="DZ135" s="53" t="n"/>
      <c r="EA135" s="53" t="n"/>
      <c r="EB135" s="53" t="n"/>
      <c r="EC135" s="53" t="n"/>
      <c r="ED135" s="53" t="n"/>
      <c r="EE135" s="53" t="n"/>
      <c r="EF135" s="53" t="n"/>
      <c r="EG135" s="53" t="n"/>
      <c r="EH135" s="53" t="n"/>
      <c r="EI135" s="53" t="n"/>
      <c r="EJ135" s="53" t="n"/>
      <c r="EK135" s="53" t="n"/>
      <c r="EL135" s="53" t="n"/>
      <c r="EM135" s="53" t="n"/>
      <c r="EN135" s="53" t="n"/>
      <c r="EO135" s="53" t="n"/>
      <c r="EP135" s="53" t="n"/>
      <c r="EQ135" s="53" t="n"/>
      <c r="ER135" s="53" t="n"/>
      <c r="ES135" s="53" t="n"/>
      <c r="ET135" s="53" t="n"/>
      <c r="EU135" s="53" t="n"/>
      <c r="EV135" s="53" t="n"/>
      <c r="EW135" s="52" t="n"/>
      <c r="EX135" s="53" t="inlineStr">
        <is>
          <t>• Role / sub-team: Marketing — Creative Lead.
• Core purpose: Input not given by Participant.
• Decision-making autonomy: Input not given by Participant.
• Is this something only they do: Input not given by Participant.</t>
        </is>
      </c>
      <c r="EY135" s="53" t="inlineStr">
        <is>
          <t>• Key responsibilities include: Input not given by Participant.
• Impact if missed or done wrong: Input not given by Participant.
• How measured: Input not given by Participant.</t>
        </is>
      </c>
      <c r="EZ135" s="53" t="inlineStr">
        <is>
          <t>• Current capabilities: Input not given by Participant.
• Tools / software used: Input not given by Participant.</t>
        </is>
      </c>
      <c r="FA135" s="53" t="inlineStr">
        <is>
          <t>• Development priorities: Input not given by Participant.</t>
        </is>
      </c>
      <c r="FB135" s="53" t="inlineStr">
        <is>
          <t>• Key challenges: Input not given by Participant.
• Support required: Input not given by Participant.</t>
        </is>
      </c>
      <c r="FC135" s="53" t="n"/>
      <c r="FD135" s="53" t="n"/>
      <c r="FE135" s="57" t="inlineStr">
        <is>
          <t>c</t>
        </is>
      </c>
      <c r="FF135" s="56" t="n"/>
      <c r="FG135" s="56" t="n"/>
      <c r="FH135" s="56" t="n"/>
      <c r="FI135" s="56" t="inlineStr">
        <is>
          <t>Reports to Shobhan: Responsible for designing the collaterals for social media</t>
        </is>
      </c>
      <c r="FJ135" s="56" t="inlineStr">
        <is>
          <t>Received · manager annual</t>
        </is>
      </c>
      <c r="FK135" s="56" t="inlineStr">
        <is>
          <t>CARBON Mapping Master · CARBON Talent Mapping · Raw</t>
        </is>
      </c>
      <c r="FL135" s="56" t="n">
        <v>20</v>
      </c>
      <c r="FM135" s="56" t="inlineStr">
        <is>
          <t>• Role / sub-team: Marketing — Creative Lead.
• Core purpose: Input not given by Participant.
• Decision-making autonomy: Input not given by Participant.
• Is this something only they do: Input not given by Participant.</t>
        </is>
      </c>
      <c r="FN135" s="56" t="inlineStr">
        <is>
          <t>• Key responsibilities include: Input not given by Participant.
• Impact if missed or done wrong: Input not given by Participant.
• How measured: Input not given by Participant.</t>
        </is>
      </c>
      <c r="FO135" s="56" t="inlineStr">
        <is>
          <t>• Current capabilities: Input not given by Participant.
• Tools / software used: Input not given by Participant.</t>
        </is>
      </c>
      <c r="FP135" s="56" t="inlineStr">
        <is>
          <t>• Development priorities: Input not given by Participant.</t>
        </is>
      </c>
      <c r="FQ135" s="56" t="inlineStr">
        <is>
          <t>• Key challenges: Input not given by Participant.
• Support required: Input not given by Participant.</t>
        </is>
      </c>
      <c r="FR135" s="56" t="inlineStr">
        <is>
          <t>Complexity: Evidence reads like B1: Designs brand visuals, sales decks, motion graphics and video; owns brand design rules → matches the start
Autonomy: Evidence reads like B1: Decides design direction, visual style, motion approach and design standards used across decks and videos → matches the start
Accountability: Evidence reads like B1: Brand and visual design, motion/video content and decks that customers see → moved up 0.2
Leadership: Evidence reads like A2: Sets design standards others follow; no people guidance described · 1 report in HR → moved down 0.5
Business Impact: No survey or manager-mapping signal on criticality: kept at the start point.</t>
        </is>
      </c>
      <c r="FS13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135" s="56" t="inlineStr">
        <is>
          <t>Self-identified: AI / automation · Testing &amp; quality · Product &amp; tool knowledge · Marketing &amp; content
For the next role: AI / automation · Testing &amp; quality · Product &amp; tool knowledge · Marketing &amp; content</t>
        </is>
      </c>
      <c r="FU135" s="56" t="inlineStr">
        <is>
          <t>Per-person summary · CARBON Mapping Master</t>
        </is>
      </c>
    </row>
    <row r="136" ht="90" customHeight="1">
      <c r="A136" s="51" t="inlineStr">
        <is>
          <t>◂ Back</t>
        </is>
      </c>
      <c r="B136" s="29" t="inlineStr">
        <is>
          <t>Mapped</t>
        </is>
      </c>
      <c r="C136" s="28" t="inlineStr">
        <is>
          <t>CARBON</t>
        </is>
      </c>
      <c r="D136" s="29" t="inlineStr">
        <is>
          <t>IRIS2387</t>
        </is>
      </c>
      <c r="E136" s="29" t="inlineStr">
        <is>
          <t>Avidi Jeevitesh</t>
        </is>
      </c>
      <c r="F136" s="29" t="inlineStr">
        <is>
          <t>Marketing</t>
        </is>
      </c>
      <c r="G136" s="29" t="inlineStr">
        <is>
          <t>Senior Designer</t>
        </is>
      </c>
      <c r="H136" s="29" t="inlineStr">
        <is>
          <t>Senior Designer</t>
        </is>
      </c>
      <c r="I136" s="29" t="inlineStr">
        <is>
          <t>L4 – Senior</t>
        </is>
      </c>
      <c r="J136" s="29" t="inlineStr">
        <is>
          <t>A3</t>
        </is>
      </c>
      <c r="K136" s="29" t="inlineStr">
        <is>
          <t>• Same level</t>
        </is>
      </c>
      <c r="L136" s="29" t="inlineStr">
        <is>
          <t>Design &amp; Creative</t>
        </is>
      </c>
      <c r="M136" s="29" t="inlineStr">
        <is>
          <t>Brand, Graphic &amp; Video Design</t>
        </is>
      </c>
      <c r="N136" s="29" t="n"/>
      <c r="O136" s="29" t="n">
        <v>20</v>
      </c>
      <c r="P136" s="28" t="inlineStr">
        <is>
          <t>P2</t>
        </is>
      </c>
      <c r="Q136" s="29" t="inlineStr">
        <is>
          <t>Developing</t>
        </is>
      </c>
      <c r="R136" s="29" t="inlineStr">
        <is>
          <t>3 Apply</t>
        </is>
      </c>
      <c r="S136" s="29" t="inlineStr">
        <is>
          <t>2–4 yrs</t>
        </is>
      </c>
      <c r="T136" s="29" t="inlineStr">
        <is>
          <t>3–5 · 2–5</t>
        </is>
      </c>
      <c r="U136" s="29" t="inlineStr">
        <is>
          <t>Designer</t>
        </is>
      </c>
      <c r="V136" s="29" t="inlineStr">
        <is>
          <t>IRIS Vs Competitor Benchmark — UX / design ladder: Designer</t>
        </is>
      </c>
      <c r="W136" s="29" t="inlineStr">
        <is>
          <t>UX career ladder Junior → Designer → Senior → Lead → Principal; WCAG accessibility</t>
        </is>
      </c>
      <c r="X136" s="29" t="inlineStr">
        <is>
          <t>Core 2 · Future 2 · Functional 3 · Leadership not scored</t>
        </is>
      </c>
      <c r="Y136" s="52" t="n">
        <v>376</v>
      </c>
      <c r="Z136" s="53" t="inlineStr">
        <is>
          <t>IRIS2387</t>
        </is>
      </c>
      <c r="AA136" s="53" t="inlineStr">
        <is>
          <t>Employee</t>
        </is>
      </c>
      <c r="AB136" s="53" t="inlineStr">
        <is>
          <t>Active</t>
        </is>
      </c>
      <c r="AC136" s="53" t="inlineStr">
        <is>
          <t>Avidi Jeevitesh</t>
        </is>
      </c>
      <c r="AD136" s="54" t="n">
        <v>45824</v>
      </c>
      <c r="AE136" s="53" t="inlineStr">
        <is>
          <t>Senior Designer</t>
        </is>
      </c>
      <c r="AF136" s="53" t="inlineStr">
        <is>
          <t>Under Gratuate</t>
        </is>
      </c>
      <c r="AG136" s="53" t="inlineStr">
        <is>
          <t>Bharani Kumar</t>
        </is>
      </c>
      <c r="AH136" s="53" t="inlineStr">
        <is>
          <t>N-6</t>
        </is>
      </c>
      <c r="AI136" s="53" t="inlineStr">
        <is>
          <t>Individual Contributor</t>
        </is>
      </c>
      <c r="AJ136" s="53" t="inlineStr">
        <is>
          <t>9 years, 4 months, 00 days</t>
        </is>
      </c>
      <c r="AK136" s="53" t="inlineStr">
        <is>
          <t>1 years, 2 months, 9 days</t>
        </is>
      </c>
      <c r="AL136" s="53" t="inlineStr">
        <is>
          <t>Regtech</t>
        </is>
      </c>
      <c r="AM136" s="53" t="inlineStr">
        <is>
          <t>CARBON</t>
        </is>
      </c>
      <c r="AN136" s="53" t="inlineStr">
        <is>
          <t>Marketing</t>
        </is>
      </c>
      <c r="AO136" s="53" t="inlineStr">
        <is>
          <t>Marketing</t>
        </is>
      </c>
      <c r="AP136" s="53" t="inlineStr">
        <is>
          <t>No</t>
        </is>
      </c>
      <c r="AQ136" s="53" t="inlineStr">
        <is>
          <t>Sales, Marketing &amp; Support</t>
        </is>
      </c>
      <c r="AR136" s="53" t="inlineStr">
        <is>
          <t>Graphic design</t>
        </is>
      </c>
      <c r="AS136" s="53" t="inlineStr">
        <is>
          <t>Non-technical</t>
        </is>
      </c>
      <c r="AT136" s="53" t="n">
        <v>20</v>
      </c>
      <c r="AU136" s="53" t="inlineStr">
        <is>
          <t>Covered</t>
        </is>
      </c>
      <c r="AV136" s="53" t="inlineStr">
        <is>
          <t>IRIS2387</t>
        </is>
      </c>
      <c r="AW136" s="53" t="inlineStr">
        <is>
          <t>Avidi Jeevitesh</t>
        </is>
      </c>
      <c r="AX136" s="53" t="inlineStr">
        <is>
          <t>Marketing</t>
        </is>
      </c>
      <c r="AY136" s="53" t="inlineStr">
        <is>
          <t>Marketing &amp; Communications</t>
        </is>
      </c>
      <c r="AZ136" s="53" t="inlineStr">
        <is>
          <t>Creative &amp; Design</t>
        </is>
      </c>
      <c r="BA136" s="53" t="n"/>
      <c r="BB136" s="53" t="n"/>
      <c r="BC136" s="53" t="inlineStr">
        <is>
          <t>Employee</t>
        </is>
      </c>
      <c r="BD136" s="53" t="inlineStr">
        <is>
          <t>Bharani Kumar</t>
        </is>
      </c>
      <c r="BE136" s="53" t="inlineStr">
        <is>
          <t>Bharani Kumar</t>
        </is>
      </c>
      <c r="BF136" s="53" t="inlineStr">
        <is>
          <t>No</t>
        </is>
      </c>
      <c r="BG136" s="53" t="inlineStr">
        <is>
          <t>Senior Designer</t>
        </is>
      </c>
      <c r="BH136" s="53" t="inlineStr">
        <is>
          <t>Senior Desinger</t>
        </is>
      </c>
      <c r="BI136" s="53" t="inlineStr">
        <is>
          <t>Yes</t>
        </is>
      </c>
      <c r="BJ136" s="53" t="inlineStr">
        <is>
          <t>—</t>
        </is>
      </c>
      <c r="BK136" s="53" t="inlineStr">
        <is>
          <t>—</t>
        </is>
      </c>
      <c r="BL136" s="53" t="inlineStr">
        <is>
          <t>—</t>
        </is>
      </c>
      <c r="BM136" s="53" t="inlineStr">
        <is>
          <t>Not a manager</t>
        </is>
      </c>
      <c r="BN136" s="53" t="inlineStr">
        <is>
          <t>—</t>
        </is>
      </c>
      <c r="BO136" s="53" t="inlineStr">
        <is>
          <t>—</t>
        </is>
      </c>
      <c r="BP136" s="53" t="inlineStr">
        <is>
          <t>—</t>
        </is>
      </c>
      <c r="BQ136" s="53" t="inlineStr">
        <is>
          <t>Not a manager</t>
        </is>
      </c>
      <c r="BR136" s="53" t="inlineStr">
        <is>
          <t>—</t>
        </is>
      </c>
      <c r="BS136" s="53" t="inlineStr">
        <is>
          <t>L4 – Senior</t>
        </is>
      </c>
      <c r="BT136" s="53" t="inlineStr">
        <is>
          <t>L4 – Senior</t>
        </is>
      </c>
      <c r="BU136" s="53" t="inlineStr">
        <is>
          <t>No exact Title Hierarchy match — retained current record value</t>
        </is>
      </c>
      <c r="BV136" s="53" t="n"/>
      <c r="BW136" s="53" t="n"/>
      <c r="BX136" s="53" t="inlineStr">
        <is>
          <t>Global</t>
        </is>
      </c>
      <c r="BY136" s="53" t="n"/>
      <c r="BZ136" s="53" t="inlineStr">
        <is>
          <t>IRIS2387</t>
        </is>
      </c>
      <c r="CA136" s="53" t="inlineStr">
        <is>
          <t>Employee</t>
        </is>
      </c>
      <c r="CB136" s="53" t="inlineStr">
        <is>
          <t>Active</t>
        </is>
      </c>
      <c r="CC136" s="53" t="inlineStr">
        <is>
          <t>Avidi Jeevitesh</t>
        </is>
      </c>
      <c r="CD136" s="54" t="n">
        <v>45824</v>
      </c>
      <c r="CE136" s="53" t="inlineStr">
        <is>
          <t>Senior Designer</t>
        </is>
      </c>
      <c r="CF136" s="53" t="inlineStr">
        <is>
          <t>Reports to Shobhan: Responsible for designing the collaterals for social media</t>
        </is>
      </c>
      <c r="CG136" s="53" t="inlineStr">
        <is>
          <t>Marketing &amp; Communications</t>
        </is>
      </c>
      <c r="CH136" s="53" t="inlineStr">
        <is>
          <t>Marketing Operations</t>
        </is>
      </c>
      <c r="CI136" s="53" t="inlineStr">
        <is>
          <t>Senior Designer</t>
        </is>
      </c>
      <c r="CJ136" s="53" t="inlineStr">
        <is>
          <t>L4 – Senior</t>
        </is>
      </c>
      <c r="CK136" s="53" t="inlineStr">
        <is>
          <t>Bharani Kumar</t>
        </is>
      </c>
      <c r="CL136" s="53" t="inlineStr">
        <is>
          <t>N-6</t>
        </is>
      </c>
      <c r="CM136" s="53" t="inlineStr">
        <is>
          <t>Individual Contributor</t>
        </is>
      </c>
      <c r="CN136" s="53" t="inlineStr">
        <is>
          <t>Regtech</t>
        </is>
      </c>
      <c r="CO136" s="53" t="inlineStr">
        <is>
          <t>Marketing</t>
        </is>
      </c>
      <c r="CP136" s="53" t="inlineStr">
        <is>
          <t>10 years, 4 months, 4 days</t>
        </is>
      </c>
      <c r="CQ136" s="53" t="inlineStr">
        <is>
          <t>Senior Desinger</t>
        </is>
      </c>
      <c r="CR136" s="53" t="inlineStr">
        <is>
          <t>No</t>
        </is>
      </c>
      <c r="CS136" s="53" t="n"/>
      <c r="CT136" s="53" t="inlineStr">
        <is>
          <t>Medium</t>
        </is>
      </c>
      <c r="CU136" s="53" t="inlineStr">
        <is>
          <t>Reliable Specialist</t>
        </is>
      </c>
      <c r="CV136" s="53" t="n"/>
      <c r="CW136" s="53" t="inlineStr">
        <is>
          <t>No</t>
        </is>
      </c>
      <c r="CX136" s="53" t="inlineStr">
        <is>
          <t>No</t>
        </is>
      </c>
      <c r="CY136" s="53" t="n"/>
      <c r="CZ136" s="53" t="inlineStr">
        <is>
          <t>Get trained on PPT/UI/UX fundamentals</t>
        </is>
      </c>
      <c r="DA136" s="53" t="n"/>
      <c r="DB136" s="53" t="inlineStr">
        <is>
          <t>Reporting manager to be Bharani Kumar</t>
        </is>
      </c>
      <c r="DC136" s="53" t="n"/>
      <c r="DD136" s="53" t="n"/>
      <c r="DE136" s="53" t="n"/>
      <c r="DF136" s="53" t="n"/>
      <c r="DG136" s="53" t="n"/>
      <c r="DH136" s="53" t="n"/>
      <c r="DI136" s="53" t="n"/>
      <c r="DJ136" s="53" t="n"/>
      <c r="DK136" s="53" t="n"/>
      <c r="DL136" s="53" t="n"/>
      <c r="DM136" s="53" t="n"/>
      <c r="DN136" s="53" t="n"/>
      <c r="DO136" s="53" t="n"/>
      <c r="DP136" s="53" t="n"/>
      <c r="DQ136" s="53" t="n"/>
      <c r="DR136" s="53" t="n"/>
      <c r="DS136" s="53" t="n"/>
      <c r="DT136" s="53" t="n"/>
      <c r="DU136" s="53" t="n"/>
      <c r="DV136" s="53" t="n"/>
      <c r="DW136" s="53" t="n"/>
      <c r="DX136" s="53" t="n"/>
      <c r="DY136" s="53" t="n"/>
      <c r="DZ136" s="53" t="n"/>
      <c r="EA136" s="53" t="n"/>
      <c r="EB136" s="53" t="n"/>
      <c r="EC136" s="53" t="n"/>
      <c r="ED136" s="53" t="n"/>
      <c r="EE136" s="53" t="n"/>
      <c r="EF136" s="53" t="n"/>
      <c r="EG136" s="53" t="n"/>
      <c r="EH136" s="53" t="n"/>
      <c r="EI136" s="53" t="n"/>
      <c r="EJ136" s="53" t="n"/>
      <c r="EK136" s="53" t="n"/>
      <c r="EL136" s="53" t="n"/>
      <c r="EM136" s="53" t="n"/>
      <c r="EN136" s="53" t="n"/>
      <c r="EO136" s="53" t="n"/>
      <c r="EP136" s="53" t="n"/>
      <c r="EQ136" s="53" t="n"/>
      <c r="ER136" s="53" t="n"/>
      <c r="ES136" s="53" t="n"/>
      <c r="ET136" s="53" t="n"/>
      <c r="EU136" s="53" t="n"/>
      <c r="EV136" s="53" t="n"/>
      <c r="EW136" s="52" t="n"/>
      <c r="EX136" s="53" t="inlineStr">
        <is>
          <t>• This role manages the visual identity of brand assets, including e-books, social-media posts and solution briefs.</t>
        </is>
      </c>
      <c r="EY136" s="53"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EZ136" s="53" t="inlineStr">
        <is>
          <t>• Current capabilities: Adobe Illustrator, Photoshop and After Effects; AI-assisted design, visual storytelling and business-focused creative judgement.</t>
        </is>
      </c>
      <c r="FA136" s="53"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B136" s="53" t="inlineStr">
        <is>
          <t>• Key challenges: Frequent ad-hoc priorities and time pressure; Limited capacity for high-priority asset creation and revisions.
• Support required: Improved planning and workload bandwidth; Mentorship and exposure to design-leadership opportunities.</t>
        </is>
      </c>
      <c r="FC136" s="53" t="n"/>
      <c r="FD136" s="53" t="n"/>
      <c r="FE136" s="55" t="inlineStr">
        <is>
          <t>KRAs not received · manager to supply</t>
        </is>
      </c>
      <c r="FF136" s="56" t="n"/>
      <c r="FG136" s="56" t="n"/>
      <c r="FH136" s="56" t="n"/>
      <c r="FI136" s="56" t="inlineStr">
        <is>
          <t>Reports to Shobhan: Responsible for designing the collaterals for social media</t>
        </is>
      </c>
      <c r="FJ136" s="32" t="inlineStr">
        <is>
          <t>KRAs not received · manager to supply</t>
        </is>
      </c>
      <c r="FK136" s="56" t="inlineStr">
        <is>
          <t>CARBON Talent Mapping · Raw</t>
        </is>
      </c>
      <c r="FL136" s="56" t="n">
        <v>20</v>
      </c>
      <c r="FM136" s="56" t="inlineStr">
        <is>
          <t>• This role manages the visual identity of brand assets, including e-books, social-media posts and solution briefs.</t>
        </is>
      </c>
      <c r="FN136" s="56"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FO136" s="56" t="inlineStr">
        <is>
          <t>• Current capabilities: Adobe Illustrator, Photoshop and After Effects; AI-assisted design, visual storytelling and business-focused creative judgement.</t>
        </is>
      </c>
      <c r="FP136" s="56"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Q136" s="56" t="inlineStr">
        <is>
          <t>• Key challenges: Frequent ad-hoc priorities and time pressure; Limited capacity for high-priority asset creation and revisions.
• Support required: Improved planning and workload bandwidth; Mentorship and exposure to design-leadership opportunities.</t>
        </is>
      </c>
      <c r="FR136" s="56" t="inlineStr">
        <is>
          <t>Complexity: Evidence reads like A2: Designs ebooks, social posts, solution briefs, print and landing-page assets in Adobe tools → moved down 0.5
Autonomy: Evidence reads like A2: Decides document sizes and layout → moved down 0.5
Accountability: Evidence reads like A2: Accountable for print files matching specifications and correct details such as CTA links → moved down 0.5
Leadership: Evidence reads like A1: No guidance or leadership of others described → moved down 0.5
Business Impact: No survey or manager-mapping signal on criticality: kept at the start point.</t>
        </is>
      </c>
      <c r="FS136"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136" s="56" t="inlineStr">
        <is>
          <t>Self-identified: Leadership &amp; people management · Project / programme management · Strategy &amp; business acumen
For the next role: Leadership &amp; people management · Project / programme management · Strategy &amp; business acumen</t>
        </is>
      </c>
      <c r="FU136" s="56" t="inlineStr">
        <is>
          <t>Per-person summary · CARBON Mapping Master</t>
        </is>
      </c>
    </row>
    <row r="137" ht="90" customHeight="1">
      <c r="A137" s="51" t="inlineStr">
        <is>
          <t>◂ Back</t>
        </is>
      </c>
      <c r="B137" s="29" t="inlineStr">
        <is>
          <t>Mapped</t>
        </is>
      </c>
      <c r="C137" s="28" t="inlineStr">
        <is>
          <t>CARBON</t>
        </is>
      </c>
      <c r="D137" s="29" t="inlineStr">
        <is>
          <t>IRIS2348</t>
        </is>
      </c>
      <c r="E137" s="29" t="inlineStr">
        <is>
          <t>Alisha Sheikh</t>
        </is>
      </c>
      <c r="F137" s="29" t="inlineStr">
        <is>
          <t>Marketing</t>
        </is>
      </c>
      <c r="G137" s="29" t="inlineStr">
        <is>
          <t>Content Marketer</t>
        </is>
      </c>
      <c r="H137" s="29" t="inlineStr">
        <is>
          <t>Senior Content Marketing Associate</t>
        </is>
      </c>
      <c r="I137" s="29" t="inlineStr">
        <is>
          <t>L3 – Professional / Associate</t>
        </is>
      </c>
      <c r="J137" s="29" t="inlineStr">
        <is>
          <t>A3</t>
        </is>
      </c>
      <c r="K137" s="29" t="inlineStr">
        <is>
          <t>▲ Up</t>
        </is>
      </c>
      <c r="L137" s="29" t="inlineStr">
        <is>
          <t>Marketing &amp; Communications</t>
        </is>
      </c>
      <c r="M137" s="29" t="inlineStr">
        <is>
          <t>Content Marketing</t>
        </is>
      </c>
      <c r="N137" s="29" t="n"/>
      <c r="O137" s="29" t="n">
        <v>20</v>
      </c>
      <c r="P137" s="28" t="inlineStr">
        <is>
          <t>P2</t>
        </is>
      </c>
      <c r="Q137" s="29" t="inlineStr">
        <is>
          <t>Developing</t>
        </is>
      </c>
      <c r="R137" s="29" t="inlineStr">
        <is>
          <t>3 Apply</t>
        </is>
      </c>
      <c r="S137" s="29" t="inlineStr">
        <is>
          <t>2–4 yrs</t>
        </is>
      </c>
      <c r="T137" s="29" t="inlineStr">
        <is>
          <t>3–5 · 2–5</t>
        </is>
      </c>
      <c r="U137" s="29" t="inlineStr">
        <is>
          <t>Marketing Executive</t>
        </is>
      </c>
      <c r="V137" s="29" t="inlineStr">
        <is>
          <t>IRIS Vs Market Benchmark — CIM proficiency scale: 2–3 · IRIS Vs Competitor Benchmark — SaaS marketing ladder: Marketing Specialist</t>
        </is>
      </c>
      <c r="W137" s="29" t="inlineStr">
        <is>
          <t>CIM Global Professional Marketing Framework — proficiency Aware → Active learner → Able → Accomplished → Authoritative</t>
        </is>
      </c>
      <c r="X137" s="29" t="inlineStr">
        <is>
          <t>Core 2 · Future 2 · Functional 3 · Leadership not scored</t>
        </is>
      </c>
      <c r="Y137" s="52" t="n">
        <v>359</v>
      </c>
      <c r="Z137" s="53" t="inlineStr">
        <is>
          <t>IRIS2348</t>
        </is>
      </c>
      <c r="AA137" s="53" t="inlineStr">
        <is>
          <t>Employee</t>
        </is>
      </c>
      <c r="AB137" s="53" t="inlineStr">
        <is>
          <t>Active</t>
        </is>
      </c>
      <c r="AC137" s="53" t="inlineStr">
        <is>
          <t>Alisha Sheikh</t>
        </is>
      </c>
      <c r="AD137" s="54" t="n">
        <v>45719</v>
      </c>
      <c r="AE137" s="53" t="inlineStr">
        <is>
          <t>Content Marketer</t>
        </is>
      </c>
      <c r="AF137" s="53" t="inlineStr">
        <is>
          <t>MBA</t>
        </is>
      </c>
      <c r="AG137" s="53" t="inlineStr">
        <is>
          <t>Sobhan Pramanik</t>
        </is>
      </c>
      <c r="AH137" s="53" t="inlineStr">
        <is>
          <t>N-5</t>
        </is>
      </c>
      <c r="AI137" s="53" t="inlineStr">
        <is>
          <t>Individual Contributor</t>
        </is>
      </c>
      <c r="AJ137" s="53" t="inlineStr">
        <is>
          <t>1 years, 5 months, 0 days</t>
        </is>
      </c>
      <c r="AK137" s="53" t="inlineStr">
        <is>
          <t>1 years, 5 months, 22 days</t>
        </is>
      </c>
      <c r="AL137" s="53" t="inlineStr">
        <is>
          <t>Regtech</t>
        </is>
      </c>
      <c r="AM137" s="53" t="inlineStr">
        <is>
          <t>CARBON</t>
        </is>
      </c>
      <c r="AN137" s="53" t="inlineStr">
        <is>
          <t>Marketing</t>
        </is>
      </c>
      <c r="AO137" s="53" t="inlineStr">
        <is>
          <t>Marketing</t>
        </is>
      </c>
      <c r="AP137" s="53" t="inlineStr">
        <is>
          <t>No</t>
        </is>
      </c>
      <c r="AQ137" s="53" t="inlineStr">
        <is>
          <t>Sales, Marketing &amp; Support</t>
        </is>
      </c>
      <c r="AR137" s="53" t="inlineStr">
        <is>
          <t>Marketing</t>
        </is>
      </c>
      <c r="AS137" s="53" t="inlineStr">
        <is>
          <t>Non-technical</t>
        </is>
      </c>
      <c r="AT137" s="53" t="n">
        <v>20</v>
      </c>
      <c r="AU137" s="53" t="inlineStr">
        <is>
          <t>Covered</t>
        </is>
      </c>
      <c r="AV137" s="53" t="inlineStr">
        <is>
          <t>IRIS2348</t>
        </is>
      </c>
      <c r="AW137" s="53" t="inlineStr">
        <is>
          <t>Alisha Sheikh</t>
        </is>
      </c>
      <c r="AX137" s="53" t="inlineStr">
        <is>
          <t>Marketing</t>
        </is>
      </c>
      <c r="AY137" s="53" t="inlineStr">
        <is>
          <t>Marketing &amp; Communications</t>
        </is>
      </c>
      <c r="AZ137" s="53" t="inlineStr">
        <is>
          <t>Content Marketing</t>
        </is>
      </c>
      <c r="BA137" s="53" t="n"/>
      <c r="BB137" s="53" t="n"/>
      <c r="BC137" s="53" t="inlineStr">
        <is>
          <t>Employee</t>
        </is>
      </c>
      <c r="BD137" s="53" t="inlineStr">
        <is>
          <t>Sobhan Pramanik</t>
        </is>
      </c>
      <c r="BE137" s="53" t="inlineStr">
        <is>
          <t>Sobhan Pramanik</t>
        </is>
      </c>
      <c r="BF137" s="53" t="inlineStr">
        <is>
          <t>No</t>
        </is>
      </c>
      <c r="BG137" s="53" t="inlineStr">
        <is>
          <t>Content Marketer</t>
        </is>
      </c>
      <c r="BH137" s="53" t="inlineStr">
        <is>
          <t>Content Marketer</t>
        </is>
      </c>
      <c r="BI137" s="53" t="inlineStr">
        <is>
          <t>No</t>
        </is>
      </c>
      <c r="BJ137" s="53" t="inlineStr">
        <is>
          <t>—</t>
        </is>
      </c>
      <c r="BK137" s="53" t="inlineStr">
        <is>
          <t>—</t>
        </is>
      </c>
      <c r="BL137" s="53" t="inlineStr">
        <is>
          <t>—</t>
        </is>
      </c>
      <c r="BM137" s="53" t="inlineStr">
        <is>
          <t>Not a manager</t>
        </is>
      </c>
      <c r="BN137" s="53" t="inlineStr">
        <is>
          <t>—</t>
        </is>
      </c>
      <c r="BO137" s="53" t="inlineStr">
        <is>
          <t>—</t>
        </is>
      </c>
      <c r="BP137" s="53" t="inlineStr">
        <is>
          <t>—</t>
        </is>
      </c>
      <c r="BQ137" s="53" t="inlineStr">
        <is>
          <t>Not a manager</t>
        </is>
      </c>
      <c r="BR137" s="53" t="inlineStr">
        <is>
          <t>—</t>
        </is>
      </c>
      <c r="BS137" s="53" t="inlineStr">
        <is>
          <t>L3 – Professional / Associate</t>
        </is>
      </c>
      <c r="BT137" s="53" t="inlineStr">
        <is>
          <t>L3 – Professional / Associate</t>
        </is>
      </c>
      <c r="BU137" s="53" t="inlineStr">
        <is>
          <t>No designation change — current record value carried forward</t>
        </is>
      </c>
      <c r="BV137" s="53" t="n"/>
      <c r="BW137" s="53" t="n"/>
      <c r="BX137" s="53" t="inlineStr">
        <is>
          <t>United States</t>
        </is>
      </c>
      <c r="BY137" s="53" t="n"/>
      <c r="BZ137" s="53" t="inlineStr">
        <is>
          <t>IRIS2348</t>
        </is>
      </c>
      <c r="CA137" s="53" t="inlineStr">
        <is>
          <t>Employee</t>
        </is>
      </c>
      <c r="CB137" s="53" t="inlineStr">
        <is>
          <t>Active</t>
        </is>
      </c>
      <c r="CC137" s="53" t="inlineStr">
        <is>
          <t>Alisha Sheikh</t>
        </is>
      </c>
      <c r="CD137" s="54" t="n">
        <v>45719</v>
      </c>
      <c r="CE137" s="53" t="inlineStr">
        <is>
          <t>Content Marketer</t>
        </is>
      </c>
      <c r="CF137" s="53" t="inlineStr">
        <is>
          <t>Reports to Shobhan: Responsible for content creation</t>
        </is>
      </c>
      <c r="CG137" s="53" t="inlineStr">
        <is>
          <t>Marketing &amp; Communications</t>
        </is>
      </c>
      <c r="CH137" s="53" t="inlineStr">
        <is>
          <t>Content Marketing</t>
        </is>
      </c>
      <c r="CI137" s="53" t="inlineStr">
        <is>
          <t>Content Marketer</t>
        </is>
      </c>
      <c r="CJ137" s="53" t="inlineStr">
        <is>
          <t>L3 – Professional / Associate</t>
        </is>
      </c>
      <c r="CK137" s="53" t="inlineStr">
        <is>
          <t>Sobhan Pramanik</t>
        </is>
      </c>
      <c r="CL137" s="53" t="inlineStr">
        <is>
          <t>N-5</t>
        </is>
      </c>
      <c r="CM137" s="53" t="inlineStr">
        <is>
          <t>Individual Contributor</t>
        </is>
      </c>
      <c r="CN137" s="53" t="inlineStr">
        <is>
          <t>Regtech</t>
        </is>
      </c>
      <c r="CO137" s="53" t="inlineStr">
        <is>
          <t>Marketing</t>
        </is>
      </c>
      <c r="CP137" s="53" t="inlineStr">
        <is>
          <t>2 years, 8 months, 17 days</t>
        </is>
      </c>
      <c r="CQ137" s="53" t="inlineStr">
        <is>
          <t>Content Marketer</t>
        </is>
      </c>
      <c r="CR137" s="53" t="inlineStr">
        <is>
          <t>No</t>
        </is>
      </c>
      <c r="CS137" s="53" t="n">
        <v>4</v>
      </c>
      <c r="CT137" s="53" t="inlineStr">
        <is>
          <t>Medium</t>
        </is>
      </c>
      <c r="CU137" s="53" t="inlineStr">
        <is>
          <t>High Impact / Growth Talent</t>
        </is>
      </c>
      <c r="CV137" s="53" t="n"/>
      <c r="CW137" s="53" t="inlineStr">
        <is>
          <t>No</t>
        </is>
      </c>
      <c r="CX137" s="53" t="inlineStr">
        <is>
          <t>Yes</t>
        </is>
      </c>
      <c r="CY137" s="53" t="n"/>
      <c r="CZ137" s="53" t="inlineStr">
        <is>
          <t>Alisha to learn how brand positioning is mapped into content strategy for messaging consistency.</t>
        </is>
      </c>
      <c r="DA137" s="53" t="n"/>
      <c r="DB137" s="53" t="n"/>
      <c r="DC137" s="53" t="n"/>
      <c r="DD137" s="53" t="n"/>
      <c r="DE137" s="53" t="n"/>
      <c r="DF137" s="53" t="n"/>
      <c r="DG137" s="53" t="n"/>
      <c r="DH137" s="53" t="n"/>
      <c r="DI137" s="53" t="n"/>
      <c r="DJ137" s="53" t="n"/>
      <c r="DK137" s="53" t="n"/>
      <c r="DL137" s="53" t="n"/>
      <c r="DM137" s="53" t="n"/>
      <c r="DN137" s="53" t="n"/>
      <c r="DO137" s="53" t="n"/>
      <c r="DP137" s="53" t="n"/>
      <c r="DQ137" s="53" t="n"/>
      <c r="DR137" s="53" t="n"/>
      <c r="DS137" s="53" t="n"/>
      <c r="DT137" s="53" t="n"/>
      <c r="DU137" s="53" t="n"/>
      <c r="DV137" s="53" t="n"/>
      <c r="DW137" s="53" t="n"/>
      <c r="DX137" s="53" t="n"/>
      <c r="DY137" s="53" t="n"/>
      <c r="DZ137" s="53" t="n"/>
      <c r="EA137" s="53" t="n"/>
      <c r="EB137" s="53" t="n"/>
      <c r="EC137" s="53" t="n"/>
      <c r="ED137" s="53" t="n"/>
      <c r="EE137" s="53" t="n"/>
      <c r="EF137" s="53" t="n"/>
      <c r="EG137" s="53" t="n"/>
      <c r="EH137" s="53" t="n"/>
      <c r="EI137" s="53" t="n"/>
      <c r="EJ137" s="53" t="n"/>
      <c r="EK137" s="53" t="n"/>
      <c r="EL137" s="53" t="n"/>
      <c r="EM137" s="53" t="n"/>
      <c r="EN137" s="53" t="n"/>
      <c r="EO137" s="53" t="n"/>
      <c r="EP137" s="53" t="n"/>
      <c r="EQ137" s="53" t="n"/>
      <c r="ER137" s="53" t="n"/>
      <c r="ES137" s="53" t="n"/>
      <c r="ET137" s="53" t="n"/>
      <c r="EU137" s="53" t="n"/>
      <c r="EV137" s="53" t="n"/>
      <c r="EW137" s="52" t="n"/>
      <c r="EX137" s="53" t="inlineStr">
        <is>
          <t>• This role creates engaging content across multiple formats and channels to strengthen brand presence and engage audiences.</t>
        </is>
      </c>
      <c r="EY137" s="53"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EZ137" s="53" t="inlineStr">
        <is>
          <t>• Current capabilities: Content writing, SEO research and social media; Time management, audience research and functional understanding; SEMrush, Microsoft Office, LinkedIn and AI research tools.</t>
        </is>
      </c>
      <c r="FA137" s="53"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B137" s="53" t="inlineStr">
        <is>
          <t>• Key challenges: Delays in reviews and approvals; Process changes, added trackers and shifting responsibilities.
• Support required: Fewer approval layers; Clear, consistent processes for content and syndication.</t>
        </is>
      </c>
      <c r="FC137" s="53" t="n"/>
      <c r="FD137" s="53" t="n"/>
      <c r="FE137" s="55" t="inlineStr">
        <is>
          <t>KRAs not received · manager to supply</t>
        </is>
      </c>
      <c r="FF137" s="56" t="n"/>
      <c r="FG137" s="56" t="n"/>
      <c r="FH137" s="56" t="n"/>
      <c r="FI137" s="56" t="inlineStr">
        <is>
          <t>Reports to Shobhan: Responsible for content creation</t>
        </is>
      </c>
      <c r="FJ137" s="32" t="inlineStr">
        <is>
          <t>KRAs not received · manager to supply</t>
        </is>
      </c>
      <c r="FK137" s="56" t="inlineStr">
        <is>
          <t>CARBON Talent Mapping · Raw</t>
        </is>
      </c>
      <c r="FL137" s="56" t="n">
        <v>20</v>
      </c>
      <c r="FM137" s="56" t="inlineStr">
        <is>
          <t>• This role creates engaging content across multiple formats and channels to strengthen brand presence and engage audiences.</t>
        </is>
      </c>
      <c r="FN137" s="56"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FO137" s="56" t="inlineStr">
        <is>
          <t>• Current capabilities: Content writing, SEO research and social media; Time management, audience research and functional understanding; SEMrush, Microsoft Office, LinkedIn and AI research tools.</t>
        </is>
      </c>
      <c r="FP137" s="56"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Q137" s="56" t="inlineStr">
        <is>
          <t>• Key challenges: Delays in reviews and approvals; Process changes, added trackers and shifting responsibilities.
• Support required: Fewer approval layers; Clear, consistent processes for content and syndication.</t>
        </is>
      </c>
      <c r="FR137" s="56" t="inlineStr">
        <is>
          <t>Complexity: Evidence reads like A3: Writes blogs, social, SEO, sales-enablement and demand-generation content, video scripts; builds content plans → moved up 0.5
Autonomy: Evidence reads like A3: Decides social posts, captions, content calendars, blog SEO and images → moved up 0.5
Accountability: Evidence reads like A3: own survey / KRA answers · summarised by the rater; not quoted → moved up 0.5
Leadership: Evidence reads like A1: No guiding or leading of others described → matches the start
Business Impact: Moved +0.5: the survey / manager mapping marks it business-critical.</t>
        </is>
      </c>
      <c r="FS137"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137" s="56" t="inlineStr">
        <is>
          <t>Self-identified: Leadership &amp; people management · Product &amp; tool knowledge · Marketing &amp; content
For the next role: Leadership &amp; people management · Product &amp; tool knowledge · Marketing &amp; content</t>
        </is>
      </c>
      <c r="FU137" s="56" t="inlineStr">
        <is>
          <t>Per-person summary · CARBON Mapping Master</t>
        </is>
      </c>
    </row>
    <row r="138" ht="90" customHeight="1">
      <c r="A138" s="51" t="inlineStr">
        <is>
          <t>◂ Back</t>
        </is>
      </c>
      <c r="B138" s="29" t="inlineStr">
        <is>
          <t>Mapped</t>
        </is>
      </c>
      <c r="C138" s="28" t="inlineStr">
        <is>
          <t>CARBON</t>
        </is>
      </c>
      <c r="D138" s="29" t="inlineStr">
        <is>
          <t>IRIS2005</t>
        </is>
      </c>
      <c r="E138" s="29" t="inlineStr">
        <is>
          <t>Danish Baksh</t>
        </is>
      </c>
      <c r="F138" s="29" t="inlineStr">
        <is>
          <t>Marketing</t>
        </is>
      </c>
      <c r="G138" s="29" t="inlineStr">
        <is>
          <t>Marketing Web Developer</t>
        </is>
      </c>
      <c r="H138" s="29" t="inlineStr">
        <is>
          <t>Senior Digital Marketing Associate</t>
        </is>
      </c>
      <c r="I138" s="29" t="inlineStr">
        <is>
          <t>L3 – Professional / Associate</t>
        </is>
      </c>
      <c r="J138" s="29" t="inlineStr">
        <is>
          <t>A3</t>
        </is>
      </c>
      <c r="K138" s="29" t="inlineStr">
        <is>
          <t>▲ Up</t>
        </is>
      </c>
      <c r="L138" s="29" t="inlineStr">
        <is>
          <t>Marketing &amp; Communications</t>
        </is>
      </c>
      <c r="M138" s="29" t="inlineStr">
        <is>
          <t>Digital Marketing, Web &amp; Social</t>
        </is>
      </c>
      <c r="N138" s="29" t="n"/>
      <c r="O138" s="29" t="n">
        <v>20</v>
      </c>
      <c r="P138" s="28" t="inlineStr">
        <is>
          <t>P2</t>
        </is>
      </c>
      <c r="Q138" s="29" t="inlineStr">
        <is>
          <t>Developing</t>
        </is>
      </c>
      <c r="R138" s="29" t="inlineStr">
        <is>
          <t>3 Apply</t>
        </is>
      </c>
      <c r="S138" s="29" t="inlineStr">
        <is>
          <t>2–4 yrs</t>
        </is>
      </c>
      <c r="T138" s="29" t="inlineStr">
        <is>
          <t>3–5 · 2–5</t>
        </is>
      </c>
      <c r="U138" s="29" t="inlineStr">
        <is>
          <t>Marketing Executive</t>
        </is>
      </c>
      <c r="V138" s="29" t="inlineStr">
        <is>
          <t>IRIS Vs Market Benchmark — CIM proficiency scale: 2–3 · IRIS Vs Competitor Benchmark — SaaS marketing ladder: Marketing Specialist</t>
        </is>
      </c>
      <c r="W138" s="29" t="inlineStr">
        <is>
          <t>CIM Global Professional Marketing Framework — proficiency Aware → Active learner → Able → Accomplished → Authoritative</t>
        </is>
      </c>
      <c r="X138" s="29" t="inlineStr">
        <is>
          <t>Core 2 · Future 2 · Functional 3 · Leadership not scored</t>
        </is>
      </c>
      <c r="Y138" s="52" t="n">
        <v>215</v>
      </c>
      <c r="Z138" s="53" t="inlineStr">
        <is>
          <t>IRIS2005</t>
        </is>
      </c>
      <c r="AA138" s="53" t="inlineStr">
        <is>
          <t>Employee</t>
        </is>
      </c>
      <c r="AB138" s="53" t="inlineStr">
        <is>
          <t>Active</t>
        </is>
      </c>
      <c r="AC138" s="53" t="inlineStr">
        <is>
          <t>Danish Baksh</t>
        </is>
      </c>
      <c r="AD138" s="54" t="n">
        <v>44643</v>
      </c>
      <c r="AE138" s="53" t="inlineStr">
        <is>
          <t>Marketing Web Developer</t>
        </is>
      </c>
      <c r="AF138" s="53" t="inlineStr">
        <is>
          <t>B.E</t>
        </is>
      </c>
      <c r="AG138" s="53" t="inlineStr">
        <is>
          <t>Sobhan Pramanik</t>
        </is>
      </c>
      <c r="AH138" s="53" t="inlineStr">
        <is>
          <t>N-5</t>
        </is>
      </c>
      <c r="AI138" s="53" t="inlineStr">
        <is>
          <t>Individual Contributor</t>
        </is>
      </c>
      <c r="AJ138" s="53" t="inlineStr">
        <is>
          <t>6 years, 0 months, 0 days</t>
        </is>
      </c>
      <c r="AK138" s="53" t="inlineStr">
        <is>
          <t>4 years, 5 months, 2 days</t>
        </is>
      </c>
      <c r="AL138" s="53" t="inlineStr">
        <is>
          <t>Regtech</t>
        </is>
      </c>
      <c r="AM138" s="53" t="inlineStr">
        <is>
          <t>CARBON</t>
        </is>
      </c>
      <c r="AN138" s="53" t="inlineStr">
        <is>
          <t>Marketing</t>
        </is>
      </c>
      <c r="AO138" s="53" t="inlineStr">
        <is>
          <t>Marketing</t>
        </is>
      </c>
      <c r="AP138" s="53" t="inlineStr">
        <is>
          <t>No</t>
        </is>
      </c>
      <c r="AQ138" s="53" t="inlineStr">
        <is>
          <t>Sales, Marketing &amp; Support</t>
        </is>
      </c>
      <c r="AR138" s="53" t="inlineStr">
        <is>
          <t>Marketing</t>
        </is>
      </c>
      <c r="AS138" s="53" t="inlineStr">
        <is>
          <t>Non-technical</t>
        </is>
      </c>
      <c r="AT138" s="53" t="n">
        <v>20</v>
      </c>
      <c r="AU138" s="53" t="inlineStr">
        <is>
          <t>Covered</t>
        </is>
      </c>
      <c r="AV138" s="53" t="inlineStr">
        <is>
          <t>IRIS2005</t>
        </is>
      </c>
      <c r="AW138" s="53" t="inlineStr">
        <is>
          <t>Danish Baksh</t>
        </is>
      </c>
      <c r="AX138" s="53" t="inlineStr">
        <is>
          <t>Marketing</t>
        </is>
      </c>
      <c r="AY138" s="53" t="inlineStr">
        <is>
          <t>Marketing &amp; Communications</t>
        </is>
      </c>
      <c r="AZ138" s="53" t="inlineStr">
        <is>
          <t>Digital Marketing &amp; Web</t>
        </is>
      </c>
      <c r="BA138" s="53" t="n"/>
      <c r="BB138" s="53" t="n"/>
      <c r="BC138" s="53" t="inlineStr">
        <is>
          <t>Employee</t>
        </is>
      </c>
      <c r="BD138" s="53" t="inlineStr">
        <is>
          <t>Sudipta Kundu</t>
        </is>
      </c>
      <c r="BE138" s="53" t="inlineStr">
        <is>
          <t>Sudipta Kundu</t>
        </is>
      </c>
      <c r="BF138" s="53" t="inlineStr">
        <is>
          <t>No</t>
        </is>
      </c>
      <c r="BG138" s="53" t="inlineStr">
        <is>
          <t>Marketing Web Developer</t>
        </is>
      </c>
      <c r="BH138" s="53" t="inlineStr">
        <is>
          <t>Marketing Web Developer</t>
        </is>
      </c>
      <c r="BI138" s="53" t="inlineStr">
        <is>
          <t>No</t>
        </is>
      </c>
      <c r="BJ138" s="53" t="inlineStr">
        <is>
          <t>—</t>
        </is>
      </c>
      <c r="BK138" s="53" t="inlineStr">
        <is>
          <t>—</t>
        </is>
      </c>
      <c r="BL138" s="53" t="inlineStr">
        <is>
          <t>—</t>
        </is>
      </c>
      <c r="BM138" s="53" t="inlineStr">
        <is>
          <t>Not a manager</t>
        </is>
      </c>
      <c r="BN138" s="53" t="inlineStr">
        <is>
          <t>—</t>
        </is>
      </c>
      <c r="BO138" s="53" t="inlineStr">
        <is>
          <t>—</t>
        </is>
      </c>
      <c r="BP138" s="53" t="inlineStr">
        <is>
          <t>—</t>
        </is>
      </c>
      <c r="BQ138" s="53" t="inlineStr">
        <is>
          <t>Not a manager</t>
        </is>
      </c>
      <c r="BR138" s="53" t="inlineStr">
        <is>
          <t>—</t>
        </is>
      </c>
      <c r="BS138" s="53" t="inlineStr">
        <is>
          <t>L3 – Professional / Associate</t>
        </is>
      </c>
      <c r="BT138" s="53" t="inlineStr">
        <is>
          <t>L3 – Professional / Associate</t>
        </is>
      </c>
      <c r="BU138" s="53" t="inlineStr">
        <is>
          <t>No designation change — current record value carried forward</t>
        </is>
      </c>
      <c r="BV138" s="53"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W138" s="53" t="n"/>
      <c r="BX138" s="53" t="inlineStr">
        <is>
          <t>All markets</t>
        </is>
      </c>
      <c r="BY138" s="53" t="n"/>
      <c r="BZ138" s="53" t="inlineStr">
        <is>
          <t>IRIS2005</t>
        </is>
      </c>
      <c r="CA138" s="53" t="inlineStr">
        <is>
          <t>Employee</t>
        </is>
      </c>
      <c r="CB138" s="53" t="inlineStr">
        <is>
          <t>Active</t>
        </is>
      </c>
      <c r="CC138" s="53" t="inlineStr">
        <is>
          <t>Danish Baksh</t>
        </is>
      </c>
      <c r="CD138" s="54" t="n">
        <v>44643</v>
      </c>
      <c r="CE138" s="53" t="inlineStr">
        <is>
          <t>Marketing Web Developer</t>
        </is>
      </c>
      <c r="CF138" s="53" t="inlineStr">
        <is>
          <t>Digital Marketing, SEO, Website optimisation, Wordpress, Web designing and development</t>
        </is>
      </c>
      <c r="CG138" s="53" t="inlineStr">
        <is>
          <t>Marketing &amp; Communications</t>
        </is>
      </c>
      <c r="CH138" s="53" t="inlineStr">
        <is>
          <t>Marketing Operations</t>
        </is>
      </c>
      <c r="CI138" s="53" t="inlineStr">
        <is>
          <t>Marketing Web Developer</t>
        </is>
      </c>
      <c r="CJ138" s="53" t="inlineStr">
        <is>
          <t>L3 – Professional / Associate</t>
        </is>
      </c>
      <c r="CK138" s="53" t="inlineStr">
        <is>
          <t>Sudipta Kundu</t>
        </is>
      </c>
      <c r="CL138" s="53" t="inlineStr">
        <is>
          <t>N-5</t>
        </is>
      </c>
      <c r="CM138" s="53" t="inlineStr">
        <is>
          <t>Individual Contributor</t>
        </is>
      </c>
      <c r="CN138" s="53" t="inlineStr">
        <is>
          <t>Regtech</t>
        </is>
      </c>
      <c r="CO138" s="53" t="inlineStr">
        <is>
          <t>Marketing</t>
        </is>
      </c>
      <c r="CP138" s="53" t="inlineStr">
        <is>
          <t>10 years, 2 months, 28 days</t>
        </is>
      </c>
      <c r="CQ138" s="53" t="n"/>
      <c r="CR138" s="53" t="inlineStr">
        <is>
          <t>No</t>
        </is>
      </c>
      <c r="CS138" s="53" t="n">
        <v>3</v>
      </c>
      <c r="CT138" s="53" t="inlineStr">
        <is>
          <t>Medium</t>
        </is>
      </c>
      <c r="CU138" s="53" t="inlineStr">
        <is>
          <t>Reliable Specialist</t>
        </is>
      </c>
      <c r="CV138" s="53" t="n"/>
      <c r="CW138" s="53" t="inlineStr">
        <is>
          <t>No</t>
        </is>
      </c>
      <c r="CX138" s="53" t="inlineStr">
        <is>
          <t>No</t>
        </is>
      </c>
      <c r="CY138" s="53" t="n"/>
      <c r="CZ138" s="53" t="n"/>
      <c r="DA138" s="53" t="n"/>
      <c r="DB138" s="53" t="n"/>
      <c r="DC138" s="53" t="n"/>
      <c r="DD138" s="53" t="n"/>
      <c r="DE138" s="53" t="n"/>
      <c r="DF138" s="53" t="n"/>
      <c r="DG138" s="53" t="n"/>
      <c r="DH138" s="53" t="n"/>
      <c r="DI138" s="53" t="n"/>
      <c r="DJ138" s="53" t="n"/>
      <c r="DK138" s="53" t="n"/>
      <c r="DL138" s="53" t="n"/>
      <c r="DM138" s="53" t="n"/>
      <c r="DN138" s="53" t="n"/>
      <c r="DO138" s="53" t="n"/>
      <c r="DP138" s="53" t="n"/>
      <c r="DQ138" s="53" t="n"/>
      <c r="DR138" s="53" t="n"/>
      <c r="DS138" s="53" t="n"/>
      <c r="DT138" s="53" t="n"/>
      <c r="DU138" s="53" t="n"/>
      <c r="DV138" s="53" t="n"/>
      <c r="DW138" s="53" t="n"/>
      <c r="DX138" s="53" t="n"/>
      <c r="DY138" s="53" t="n"/>
      <c r="DZ138" s="53" t="n"/>
      <c r="EA138" s="53" t="n"/>
      <c r="EB138" s="53" t="n"/>
      <c r="EC138" s="53" t="n"/>
      <c r="ED138" s="53" t="n"/>
      <c r="EE138" s="53" t="n"/>
      <c r="EF138" s="53" t="n"/>
      <c r="EG138" s="53" t="n"/>
      <c r="EH138" s="53" t="n"/>
      <c r="EI138" s="53" t="n"/>
      <c r="EJ138" s="53" t="n"/>
      <c r="EK138" s="53" t="n"/>
      <c r="EL138" s="53" t="n"/>
      <c r="EM138" s="53" t="n"/>
      <c r="EN138" s="53" t="n"/>
      <c r="EO138" s="53" t="n"/>
      <c r="EP138" s="53" t="n"/>
      <c r="EQ138" s="53" t="n"/>
      <c r="ER138" s="53" t="n"/>
      <c r="ES138" s="53" t="n"/>
      <c r="ET138" s="53" t="n"/>
      <c r="EU138" s="53" t="n"/>
      <c r="EV138" s="53" t="n"/>
      <c r="EW138" s="52" t="n"/>
      <c r="EX138" s="53" t="inlineStr">
        <is>
          <t>• This role builds, runs and optimises websites to attract visitors and convert them into customers.</t>
        </is>
      </c>
      <c r="EY138" s="53"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EZ138" s="53" t="inlineStr">
        <is>
          <t>• Current capabilities: WordPress, SEO tools, HubSpot Marketing, HTML, CSS and hosting; Keyword research, email campaigns and user-behaviour analysis; FileZilla, HubSpot, Claude and server administration.</t>
        </is>
      </c>
      <c r="FA138" s="53"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B138" s="53" t="inlineStr">
        <is>
          <t>• Key challenges: Limited laptop capacity; Too many urgent, unplanned requests; Insufficient content and design capacity.
• Support required: Dedicated content and design support; Stronger prioritisation and planning discipline.</t>
        </is>
      </c>
      <c r="FC138" s="53" t="n"/>
      <c r="FD138" s="53" t="n"/>
      <c r="FE138" s="57"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FF138" s="56" t="n"/>
      <c r="FG138" s="56" t="n"/>
      <c r="FH138" s="56" t="n"/>
      <c r="FI138" s="56" t="inlineStr">
        <is>
          <t>Digital Marketing, SEO, Website optimisation, Wordpress, Web designing and development</t>
        </is>
      </c>
      <c r="FJ138" s="56" t="inlineStr">
        <is>
          <t>Received · manager annual</t>
        </is>
      </c>
      <c r="FK138" s="56" t="inlineStr">
        <is>
          <t>CARBON Mapping Master · CARBON Talent Mapping · Raw</t>
        </is>
      </c>
      <c r="FL138" s="56" t="n">
        <v>20</v>
      </c>
      <c r="FM138" s="56" t="inlineStr">
        <is>
          <t>• This role builds, runs and optimises websites to attract visitors and convert them into customers.</t>
        </is>
      </c>
      <c r="FN138" s="56"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FO138" s="56" t="inlineStr">
        <is>
          <t>• Current capabilities: WordPress, SEO tools, HubSpot Marketing, HTML, CSS and hosting; Keyword research, email campaigns and user-behaviour analysis; FileZilla, HubSpot, Claude and server administration.</t>
        </is>
      </c>
      <c r="FP138" s="56"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Q138" s="56" t="inlineStr">
        <is>
          <t>• Key challenges: Limited laptop capacity; Too many urgent, unplanned requests; Insufficient content and design capacity.
• Support required: Dedicated content and design support; Stronger prioritisation and planning discipline.</t>
        </is>
      </c>
      <c r="FR138" s="56" t="inlineStr">
        <is>
          <t>Complexity: Evidence reads like A3: Builds and runs WordPress websites, landing pages, technical SEO, email campaigns and marketing automation → matches the start
Autonomy: Evidence reads like A3: Decides keyword strategy, technical SEO, content planning, website technicalities and landing page design → matches the start
Accountability: Evidence reads like A3: Accountable for websites and digital marketing except paid campaigns; broken pages or forms lose leads → matches the start
Leadership: Evidence reads like A1: No guidance or leadership of others described → moved down 0.5
Business Impact: No survey or manager-mapping signal on criticality: kept at the start point.</t>
        </is>
      </c>
      <c r="FS138" s="56" t="n"/>
      <c r="FT138" s="56" t="inlineStr">
        <is>
          <t>Self-identified: Marketing &amp; content
For the next role: Marketing &amp; content</t>
        </is>
      </c>
      <c r="FU138" s="56" t="inlineStr">
        <is>
          <t>Per-person summary · CARBON Mapping Master</t>
        </is>
      </c>
    </row>
    <row r="139" ht="90" customHeight="1">
      <c r="A139" s="51" t="inlineStr">
        <is>
          <t>◂ Back</t>
        </is>
      </c>
      <c r="B139" s="29" t="inlineStr">
        <is>
          <t>Mapped</t>
        </is>
      </c>
      <c r="C139" s="28" t="inlineStr">
        <is>
          <t>CARBON</t>
        </is>
      </c>
      <c r="D139" s="29" t="inlineStr">
        <is>
          <t>IRIS2541</t>
        </is>
      </c>
      <c r="E139" s="29" t="inlineStr">
        <is>
          <t>Aakansha Gupta</t>
        </is>
      </c>
      <c r="F139" s="29" t="inlineStr">
        <is>
          <t>Marketing</t>
        </is>
      </c>
      <c r="G139" s="29" t="inlineStr">
        <is>
          <t>Marketing Associate</t>
        </is>
      </c>
      <c r="H139" s="29" t="inlineStr">
        <is>
          <t>Content Marketing Associate</t>
        </is>
      </c>
      <c r="I139" s="29" t="inlineStr">
        <is>
          <t>Not in current mapping files</t>
        </is>
      </c>
      <c r="J139" s="29" t="inlineStr">
        <is>
          <t>A2</t>
        </is>
      </c>
      <c r="K139" s="29" t="inlineStr">
        <is>
          <t>● Newly mapped</t>
        </is>
      </c>
      <c r="L139" s="29" t="inlineStr">
        <is>
          <t>Marketing &amp; Communications</t>
        </is>
      </c>
      <c r="M139" s="29" t="inlineStr">
        <is>
          <t>Content Marketing</t>
        </is>
      </c>
      <c r="N139" s="29" t="n"/>
      <c r="O139" s="29" t="n">
        <v>20</v>
      </c>
      <c r="P139" s="28" t="inlineStr">
        <is>
          <t>P1–P2</t>
        </is>
      </c>
      <c r="Q139" s="29" t="inlineStr">
        <is>
          <t>Entry / Developing</t>
        </is>
      </c>
      <c r="R139" s="29" t="inlineStr">
        <is>
          <t>2 Assist</t>
        </is>
      </c>
      <c r="S139" s="29" t="inlineStr">
        <is>
          <t>0–2 yrs</t>
        </is>
      </c>
      <c r="T139" s="29" t="inlineStr">
        <is>
          <t>1–3 · 0–3</t>
        </is>
      </c>
      <c r="U139" s="29" t="inlineStr">
        <is>
          <t>Marketing Associate / Marketing Executive</t>
        </is>
      </c>
      <c r="V139" s="29" t="inlineStr">
        <is>
          <t>IRIS Vs Market Benchmark — CIM proficiency scale: 2 Active learner · IRIS Vs Competitor Benchmark — SaaS marketing ladder: Marketing Associate</t>
        </is>
      </c>
      <c r="W139" s="29" t="inlineStr">
        <is>
          <t>CIM Global Professional Marketing Framework — proficiency Aware → Active learner → Able → Accomplished → Authoritative</t>
        </is>
      </c>
      <c r="X139" s="29" t="inlineStr">
        <is>
          <t>Core 2 · Future 2 · Functional 2 · Leadership not scored</t>
        </is>
      </c>
      <c r="Y139" s="52" t="n">
        <v>514</v>
      </c>
      <c r="Z139" s="53" t="inlineStr">
        <is>
          <t>IRIS2541</t>
        </is>
      </c>
      <c r="AA139" s="53" t="inlineStr">
        <is>
          <t>Employee</t>
        </is>
      </c>
      <c r="AB139" s="53" t="inlineStr">
        <is>
          <t>Active</t>
        </is>
      </c>
      <c r="AC139" s="53" t="inlineStr">
        <is>
          <t>Aakansha Gupta</t>
        </is>
      </c>
      <c r="AD139" s="54" t="n">
        <v>46195</v>
      </c>
      <c r="AE139" s="53" t="inlineStr">
        <is>
          <t>Marketing Associate</t>
        </is>
      </c>
      <c r="AF139" s="53" t="inlineStr">
        <is>
          <t>BBA.LLB</t>
        </is>
      </c>
      <c r="AG139" s="53" t="inlineStr">
        <is>
          <t>Sobhan Pramanik</t>
        </is>
      </c>
      <c r="AH139" s="53" t="inlineStr">
        <is>
          <t>N-5</t>
        </is>
      </c>
      <c r="AI139" s="53" t="inlineStr">
        <is>
          <t>Individual Contributor</t>
        </is>
      </c>
      <c r="AJ139" s="53" t="inlineStr">
        <is>
          <t>0 years, 0 months, 0 days</t>
        </is>
      </c>
      <c r="AK139" s="53" t="inlineStr">
        <is>
          <t>0 years, 2 months, 3 days</t>
        </is>
      </c>
      <c r="AL139" s="53" t="inlineStr">
        <is>
          <t>Regtech</t>
        </is>
      </c>
      <c r="AM139" s="53" t="inlineStr">
        <is>
          <t>CARBON</t>
        </is>
      </c>
      <c r="AN139" s="53" t="inlineStr">
        <is>
          <t>Marketing</t>
        </is>
      </c>
      <c r="AO139" s="53" t="inlineStr">
        <is>
          <t>Marketing</t>
        </is>
      </c>
      <c r="AP139" s="53" t="inlineStr">
        <is>
          <t>No</t>
        </is>
      </c>
      <c r="AQ139" s="53" t="inlineStr">
        <is>
          <t>Sales, Marketing &amp; Support</t>
        </is>
      </c>
      <c r="AR139" s="53" t="inlineStr">
        <is>
          <t>Marketing</t>
        </is>
      </c>
      <c r="AS139" s="53" t="inlineStr">
        <is>
          <t>Non-technical</t>
        </is>
      </c>
      <c r="AT139" s="53" t="n">
        <v>20</v>
      </c>
      <c r="AU139" s="53" t="inlineStr">
        <is>
          <t>Covered</t>
        </is>
      </c>
      <c r="AV139" s="53" t="inlineStr">
        <is>
          <t>IRIS2541</t>
        </is>
      </c>
      <c r="AW139" s="53" t="inlineStr">
        <is>
          <t>Aakanksha Gupta</t>
        </is>
      </c>
      <c r="AX139" s="53" t="inlineStr">
        <is>
          <t>Marketing</t>
        </is>
      </c>
      <c r="AY139" s="53" t="inlineStr">
        <is>
          <t>Marketing &amp; Communications</t>
        </is>
      </c>
      <c r="AZ139" s="53" t="inlineStr">
        <is>
          <t>Content Marketing</t>
        </is>
      </c>
      <c r="BA139" s="53" t="inlineStr">
        <is>
          <t>Marketing &amp; Communications</t>
        </is>
      </c>
      <c r="BB139" s="53" t="inlineStr">
        <is>
          <t>Content Marketing</t>
        </is>
      </c>
      <c r="BC139" s="53" t="inlineStr">
        <is>
          <t>Employee</t>
        </is>
      </c>
      <c r="BD139" s="53" t="inlineStr">
        <is>
          <t>Sobhan Pramanik</t>
        </is>
      </c>
      <c r="BE139" s="53" t="inlineStr">
        <is>
          <t>Sobhan Pramanik</t>
        </is>
      </c>
      <c r="BF139" s="53" t="inlineStr">
        <is>
          <t>No</t>
        </is>
      </c>
      <c r="BG139" s="53" t="inlineStr">
        <is>
          <t>Marketing Associate</t>
        </is>
      </c>
      <c r="BH139" s="53" t="inlineStr">
        <is>
          <t>Marketing Associate - content</t>
        </is>
      </c>
      <c r="BI139" s="53" t="inlineStr">
        <is>
          <t>N/A · new entry</t>
        </is>
      </c>
      <c r="BJ139" s="53" t="inlineStr">
        <is>
          <t>—</t>
        </is>
      </c>
      <c r="BK139" s="53" t="inlineStr">
        <is>
          <t>—</t>
        </is>
      </c>
      <c r="BL139" s="53" t="inlineStr">
        <is>
          <t>—</t>
        </is>
      </c>
      <c r="BM139" s="53" t="inlineStr">
        <is>
          <t>Not a manager</t>
        </is>
      </c>
      <c r="BN139" s="53" t="inlineStr">
        <is>
          <t>—</t>
        </is>
      </c>
      <c r="BO139" s="53" t="inlineStr">
        <is>
          <t>—</t>
        </is>
      </c>
      <c r="BP139" s="53" t="inlineStr">
        <is>
          <t>—</t>
        </is>
      </c>
      <c r="BQ139" s="53" t="inlineStr">
        <is>
          <t>Not a manager</t>
        </is>
      </c>
      <c r="BR139" s="53" t="inlineStr">
        <is>
          <t>—</t>
        </is>
      </c>
      <c r="BS139" s="53" t="n"/>
      <c r="BT139" s="53" t="n"/>
      <c r="BU139" s="53" t="inlineStr">
        <is>
          <t>No designation change — current record value carried forward</t>
        </is>
      </c>
      <c r="BV139" s="53" t="n"/>
      <c r="BW139" s="53" t="n"/>
      <c r="BX139" s="53" t="inlineStr">
        <is>
          <t>US and Europe</t>
        </is>
      </c>
      <c r="BY139" s="53" t="n"/>
      <c r="BZ139" s="53" t="n"/>
      <c r="CA139" s="53" t="n"/>
      <c r="CB139" s="53" t="n"/>
      <c r="CC139" s="53" t="n"/>
      <c r="CD139" s="53" t="n"/>
      <c r="CE139" s="53" t="n"/>
      <c r="CF139" s="53" t="n"/>
      <c r="CG139" s="53" t="n"/>
      <c r="CH139" s="53" t="n"/>
      <c r="CI139" s="53" t="n"/>
      <c r="CJ139" s="53" t="n"/>
      <c r="CK139" s="53" t="n"/>
      <c r="CL139" s="53" t="n"/>
      <c r="CM139" s="53" t="n"/>
      <c r="CN139" s="53" t="n"/>
      <c r="CO139" s="53" t="n"/>
      <c r="CP139" s="53" t="n"/>
      <c r="CQ139" s="53" t="n"/>
      <c r="CR139" s="53" t="n"/>
      <c r="CS139" s="53" t="n"/>
      <c r="CT139" s="53" t="n"/>
      <c r="CU139" s="53" t="n"/>
      <c r="CV139" s="53" t="n"/>
      <c r="CW139" s="53" t="n"/>
      <c r="CX139" s="53" t="n"/>
      <c r="CY139" s="53" t="n"/>
      <c r="CZ139" s="53" t="n"/>
      <c r="DA139" s="53" t="n"/>
      <c r="DB139" s="53" t="n"/>
      <c r="DC139" s="53" t="n"/>
      <c r="DD139" s="53" t="n"/>
      <c r="DE139" s="53" t="n"/>
      <c r="DF139" s="53" t="n"/>
      <c r="DG139" s="53" t="n"/>
      <c r="DH139" s="53" t="n"/>
      <c r="DI139" s="53" t="n"/>
      <c r="DJ139" s="53" t="n"/>
      <c r="DK139" s="53" t="n"/>
      <c r="DL139" s="53" t="n"/>
      <c r="DM139" s="53" t="n"/>
      <c r="DN139" s="53" t="n"/>
      <c r="DO139" s="53" t="n"/>
      <c r="DP139" s="53" t="n"/>
      <c r="DQ139" s="53" t="n"/>
      <c r="DR139" s="53" t="n"/>
      <c r="DS139" s="53" t="n"/>
      <c r="DT139" s="53" t="n"/>
      <c r="DU139" s="53" t="n"/>
      <c r="DV139" s="53" t="n"/>
      <c r="DW139" s="53" t="n"/>
      <c r="DX139" s="53" t="n"/>
      <c r="DY139" s="53" t="n"/>
      <c r="DZ139" s="53" t="n"/>
      <c r="EA139" s="53" t="n"/>
      <c r="EB139" s="53" t="n"/>
      <c r="EC139" s="53" t="n"/>
      <c r="ED139" s="53" t="n"/>
      <c r="EE139" s="53" t="n"/>
      <c r="EF139" s="53" t="n"/>
      <c r="EG139" s="53" t="n"/>
      <c r="EH139" s="53" t="n"/>
      <c r="EI139" s="53" t="n"/>
      <c r="EJ139" s="53" t="n"/>
      <c r="EK139" s="53" t="n"/>
      <c r="EL139" s="53" t="n"/>
      <c r="EM139" s="53" t="n"/>
      <c r="EN139" s="53" t="n"/>
      <c r="EO139" s="53" t="n"/>
      <c r="EP139" s="53" t="n"/>
      <c r="EQ139" s="53" t="n"/>
      <c r="ER139" s="53" t="n"/>
      <c r="ES139" s="53" t="n"/>
      <c r="ET139" s="53" t="n"/>
      <c r="EU139" s="53" t="n"/>
      <c r="EV139" s="53" t="n"/>
      <c r="EW139" s="52" t="n"/>
      <c r="EX139" s="53" t="inlineStr">
        <is>
          <t>• This role creates content for products being sold and promotes it through social media.</t>
        </is>
      </c>
      <c r="EY139" s="53"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EZ139" s="53" t="inlineStr">
        <is>
          <t>• Current capabilities: Storytelling and content drafting; Research and message development; Video editing.</t>
        </is>
      </c>
      <c r="FA139" s="53" t="inlineStr">
        <is>
          <t>• Development priorities: Needs earlier clarity on content expectations and priorities.
• Learning and Development Need: Training in content prioritisation and campaign planning to build independent judgment when priorities shift.</t>
        </is>
      </c>
      <c r="FB139" s="53" t="inlineStr">
        <is>
          <t>• Key challenges: Design delays; Ad-hoc work that disrupts planned priorities.
• Support required: Clearer priority-setting and predictable design support.</t>
        </is>
      </c>
      <c r="FC139" s="53" t="n"/>
      <c r="FD139" s="53" t="n"/>
      <c r="FE139" s="55" t="inlineStr">
        <is>
          <t>KRAs not received · manager to supply</t>
        </is>
      </c>
      <c r="FF139" s="56" t="n"/>
      <c r="FG139" s="56" t="n"/>
      <c r="FH139" s="56" t="n"/>
      <c r="FI139" s="56" t="n"/>
      <c r="FJ139" s="32" t="inlineStr">
        <is>
          <t>KRAs not received · manager to supply</t>
        </is>
      </c>
      <c r="FK139" s="56" t="n"/>
      <c r="FL139" s="56" t="n">
        <v>20</v>
      </c>
      <c r="FM139" s="56" t="inlineStr">
        <is>
          <t>• This role creates content for products being sold and promotes it through social media.</t>
        </is>
      </c>
      <c r="FN139" s="56"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FO139" s="56" t="inlineStr">
        <is>
          <t>• Current capabilities: Storytelling and content drafting; Research and message development; Video editing.</t>
        </is>
      </c>
      <c r="FP139" s="56" t="inlineStr">
        <is>
          <t>• Development priorities: Needs earlier clarity on content expectations and priorities.
• Learning and Development Need: Training in content prioritisation and campaign planning to build independent judgment when priorities shift.</t>
        </is>
      </c>
      <c r="FQ139" s="56" t="inlineStr">
        <is>
          <t>• Key challenges: Design delays; Ad-hoc work that disrupts planned priorities.
• Support required: Clearer priority-setting and predictable design support.</t>
        </is>
      </c>
      <c r="FR139" s="56" t="inlineStr">
        <is>
          <t>Complexity: Evidence reads like A2: Researches and writes blogs, assets and campaign content with SEO; one asset per week → matches the start
Autonomy: Evidence reads like A2: Decides blog topics and SEO for own content → matches the start
Accountability: Evidence reads like A2: Quality, accuracy and relevance of own content → matches the start
Leadership: Evidence reads like A1: No guiding or leading of others described → matches the start
Business Impact: No survey or manager-mapping signal on criticality: kept at the start point.</t>
        </is>
      </c>
      <c r="FS139"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39" s="56" t="inlineStr">
        <is>
          <t>Self-identified: Product &amp; tool knowledge
For the next role: Product &amp; tool knowledge</t>
        </is>
      </c>
      <c r="FU139" s="56" t="inlineStr">
        <is>
          <t>Per-person summary · CARBON Mapping Master</t>
        </is>
      </c>
    </row>
    <row r="140" ht="90" customHeight="1">
      <c r="A140" s="51" t="inlineStr">
        <is>
          <t>◂ Back</t>
        </is>
      </c>
      <c r="B140" s="29" t="inlineStr">
        <is>
          <t>Mapped</t>
        </is>
      </c>
      <c r="C140" s="28" t="inlineStr">
        <is>
          <t>iDEAL</t>
        </is>
      </c>
      <c r="D140" s="29" t="inlineStr">
        <is>
          <t>IRIS2511</t>
        </is>
      </c>
      <c r="E140" s="29" t="inlineStr">
        <is>
          <t>Muskan Jain</t>
        </is>
      </c>
      <c r="F140" s="29" t="inlineStr">
        <is>
          <t>Marketing</t>
        </is>
      </c>
      <c r="G140" s="29" t="inlineStr">
        <is>
          <t>Marketing Associate</t>
        </is>
      </c>
      <c r="H140" s="29" t="inlineStr">
        <is>
          <t>Content Marketing Associate</t>
        </is>
      </c>
      <c r="I140" s="29" t="inlineStr">
        <is>
          <t>L3 – Professional / Associate</t>
        </is>
      </c>
      <c r="J140" s="29" t="inlineStr">
        <is>
          <t>A2</t>
        </is>
      </c>
      <c r="K140" s="29" t="inlineStr">
        <is>
          <t>• Same level</t>
        </is>
      </c>
      <c r="L140" s="29" t="inlineStr">
        <is>
          <t>Marketing &amp; Communications</t>
        </is>
      </c>
      <c r="M140" s="29" t="inlineStr">
        <is>
          <t>Content Marketing</t>
        </is>
      </c>
      <c r="N140" s="29" t="n"/>
      <c r="O140" s="29" t="n">
        <v>20</v>
      </c>
      <c r="P140" s="28" t="inlineStr">
        <is>
          <t>P1–P2</t>
        </is>
      </c>
      <c r="Q140" s="29" t="inlineStr">
        <is>
          <t>Entry / Developing</t>
        </is>
      </c>
      <c r="R140" s="29" t="inlineStr">
        <is>
          <t>2 Assist</t>
        </is>
      </c>
      <c r="S140" s="29" t="inlineStr">
        <is>
          <t>0–2 yrs</t>
        </is>
      </c>
      <c r="T140" s="29" t="inlineStr">
        <is>
          <t>1–3 · 0–3</t>
        </is>
      </c>
      <c r="U140" s="29" t="inlineStr">
        <is>
          <t>Marketing Associate / Marketing Executive</t>
        </is>
      </c>
      <c r="V140" s="29" t="inlineStr">
        <is>
          <t>IRIS Vs Market Benchmark — CIM proficiency scale: 2 Active learner · IRIS Vs Competitor Benchmark — SaaS marketing ladder: Marketing Associate</t>
        </is>
      </c>
      <c r="W140" s="29" t="inlineStr">
        <is>
          <t>CIM Global Professional Marketing Framework — proficiency Aware → Active learner → Able → Accomplished → Authoritative</t>
        </is>
      </c>
      <c r="X140" s="29" t="inlineStr">
        <is>
          <t>Core 2 · Future 2 · Functional 2 · Leadership not scored</t>
        </is>
      </c>
      <c r="Y140" s="52" t="n">
        <v>482</v>
      </c>
      <c r="Z140" s="53" t="inlineStr">
        <is>
          <t>IRIS2511</t>
        </is>
      </c>
      <c r="AA140" s="53" t="inlineStr">
        <is>
          <t>Employee</t>
        </is>
      </c>
      <c r="AB140" s="53" t="inlineStr">
        <is>
          <t>Active</t>
        </is>
      </c>
      <c r="AC140" s="53" t="inlineStr">
        <is>
          <t>Muskan Jain</t>
        </is>
      </c>
      <c r="AD140" s="54" t="n">
        <v>46125</v>
      </c>
      <c r="AE140" s="53" t="inlineStr">
        <is>
          <t>Marketing Associate</t>
        </is>
      </c>
      <c r="AF140" s="53" t="inlineStr">
        <is>
          <t>PGDM</t>
        </is>
      </c>
      <c r="AG140" s="53" t="inlineStr">
        <is>
          <t>Sobhan Pramanik</t>
        </is>
      </c>
      <c r="AH140" s="53" t="inlineStr">
        <is>
          <t>N-5</t>
        </is>
      </c>
      <c r="AI140" s="53" t="inlineStr">
        <is>
          <t>Individual Contributor</t>
        </is>
      </c>
      <c r="AJ140" s="53" t="inlineStr">
        <is>
          <t>0 years, 0 months, 0 days</t>
        </is>
      </c>
      <c r="AK140" s="53" t="inlineStr">
        <is>
          <t>0 years, 4 months, 12 days</t>
        </is>
      </c>
      <c r="AL140" s="53" t="inlineStr">
        <is>
          <t>Regtech</t>
        </is>
      </c>
      <c r="AM140" s="53" t="inlineStr">
        <is>
          <t>iDEAL</t>
        </is>
      </c>
      <c r="AN140" s="53" t="inlineStr">
        <is>
          <t>Marketing</t>
        </is>
      </c>
      <c r="AO140" s="53" t="inlineStr">
        <is>
          <t>Marketing</t>
        </is>
      </c>
      <c r="AP140" s="53" t="inlineStr">
        <is>
          <t>No</t>
        </is>
      </c>
      <c r="AQ140" s="53" t="inlineStr">
        <is>
          <t>Sales, Marketing &amp; Support</t>
        </is>
      </c>
      <c r="AR140" s="53" t="inlineStr">
        <is>
          <t>Marketing</t>
        </is>
      </c>
      <c r="AS140" s="53" t="inlineStr">
        <is>
          <t>Non-technical</t>
        </is>
      </c>
      <c r="AT140" s="53" t="n">
        <v>20</v>
      </c>
      <c r="AU140" s="53" t="inlineStr">
        <is>
          <t>Covered</t>
        </is>
      </c>
      <c r="AV140" s="53" t="inlineStr">
        <is>
          <t>IRIS2511</t>
        </is>
      </c>
      <c r="AW140" s="53" t="inlineStr">
        <is>
          <t>Muskan Jain</t>
        </is>
      </c>
      <c r="AX140" s="53" t="inlineStr">
        <is>
          <t>Marketing</t>
        </is>
      </c>
      <c r="AY140" s="53" t="inlineStr">
        <is>
          <t>Marketing &amp; Communications</t>
        </is>
      </c>
      <c r="AZ140" s="53" t="inlineStr">
        <is>
          <t>Content Marketing</t>
        </is>
      </c>
      <c r="BA140" s="53" t="n"/>
      <c r="BB140" s="53" t="n"/>
      <c r="BC140" s="53" t="inlineStr">
        <is>
          <t>Employee</t>
        </is>
      </c>
      <c r="BD140" s="53" t="inlineStr">
        <is>
          <t>Saahit Togaru</t>
        </is>
      </c>
      <c r="BE140" s="53" t="inlineStr">
        <is>
          <t>Sobhan Pramanik</t>
        </is>
      </c>
      <c r="BF140" s="53" t="inlineStr">
        <is>
          <t>Yes</t>
        </is>
      </c>
      <c r="BG140" s="53" t="inlineStr">
        <is>
          <t>Marketing Associate</t>
        </is>
      </c>
      <c r="BH140" s="53" t="inlineStr">
        <is>
          <t>Marketing Associate - content</t>
        </is>
      </c>
      <c r="BI140" s="53" t="inlineStr">
        <is>
          <t>No</t>
        </is>
      </c>
      <c r="BJ140" s="53" t="inlineStr">
        <is>
          <t>—</t>
        </is>
      </c>
      <c r="BK140" s="53" t="inlineStr">
        <is>
          <t>—</t>
        </is>
      </c>
      <c r="BL140" s="53" t="inlineStr">
        <is>
          <t>—</t>
        </is>
      </c>
      <c r="BM140" s="53" t="inlineStr">
        <is>
          <t>Not a manager</t>
        </is>
      </c>
      <c r="BN140" s="53" t="inlineStr">
        <is>
          <t>—</t>
        </is>
      </c>
      <c r="BO140" s="53" t="inlineStr">
        <is>
          <t>—</t>
        </is>
      </c>
      <c r="BP140" s="53" t="inlineStr">
        <is>
          <t>—</t>
        </is>
      </c>
      <c r="BQ140" s="53" t="inlineStr">
        <is>
          <t>Not a manager</t>
        </is>
      </c>
      <c r="BR140" s="53" t="inlineStr">
        <is>
          <t>—</t>
        </is>
      </c>
      <c r="BS140" s="53" t="inlineStr">
        <is>
          <t>L3 – Professional / Associate</t>
        </is>
      </c>
      <c r="BT140" s="53" t="inlineStr">
        <is>
          <t>L3 – Professional / Associate</t>
        </is>
      </c>
      <c r="BU140" s="53" t="inlineStr">
        <is>
          <t>No designation change — current record value carried forward</t>
        </is>
      </c>
      <c r="BV140" s="53" t="n"/>
      <c r="BW140" s="53" t="n"/>
      <c r="BX140" s="53" t="inlineStr">
        <is>
          <t>UAE; banking and financial-services sector</t>
        </is>
      </c>
      <c r="BY140" s="53" t="n"/>
      <c r="BZ140" s="53" t="inlineStr">
        <is>
          <t>IRIS2511</t>
        </is>
      </c>
      <c r="CA140" s="53" t="inlineStr">
        <is>
          <t>Employee</t>
        </is>
      </c>
      <c r="CB140" s="53" t="inlineStr">
        <is>
          <t>Active</t>
        </is>
      </c>
      <c r="CC140" s="53" t="inlineStr">
        <is>
          <t>Muskan Jain</t>
        </is>
      </c>
      <c r="CD140" s="54" t="n">
        <v>46125</v>
      </c>
      <c r="CE140" s="53" t="inlineStr">
        <is>
          <t>Marketing Associate</t>
        </is>
      </c>
      <c r="CF140" s="53" t="inlineStr">
        <is>
          <t>Content management allocated to the ideal business</t>
        </is>
      </c>
      <c r="CG140" s="53" t="inlineStr">
        <is>
          <t>Marketing &amp; Communications</t>
        </is>
      </c>
      <c r="CH140" s="53" t="inlineStr">
        <is>
          <t>Content Marketing</t>
        </is>
      </c>
      <c r="CI140" s="53" t="inlineStr">
        <is>
          <t>Marketing Associate</t>
        </is>
      </c>
      <c r="CJ140" s="53" t="inlineStr">
        <is>
          <t>L3 – Professional / Associate</t>
        </is>
      </c>
      <c r="CK140" s="53" t="inlineStr">
        <is>
          <t>Sobhan Pramanik</t>
        </is>
      </c>
      <c r="CL140" s="53" t="inlineStr">
        <is>
          <t>N-4</t>
        </is>
      </c>
      <c r="CM140" s="53" t="inlineStr">
        <is>
          <t>Individual Contributor</t>
        </is>
      </c>
      <c r="CN140" s="53" t="inlineStr">
        <is>
          <t>Regtech</t>
        </is>
      </c>
      <c r="CO140" s="53" t="inlineStr">
        <is>
          <t>Marketing</t>
        </is>
      </c>
      <c r="CP140" s="53" t="inlineStr">
        <is>
          <t>0 years, 2 months, 7 days</t>
        </is>
      </c>
      <c r="CQ140" s="53" t="inlineStr">
        <is>
          <t>Marketing Associate</t>
        </is>
      </c>
      <c r="CR140" s="53" t="inlineStr">
        <is>
          <t>No</t>
        </is>
      </c>
      <c r="CS140" s="53" t="n"/>
      <c r="CT140" s="53" t="inlineStr">
        <is>
          <t>Medium</t>
        </is>
      </c>
      <c r="CU140" s="53" t="inlineStr">
        <is>
          <t>Core Contributor</t>
        </is>
      </c>
      <c r="CV140" s="53" t="n"/>
      <c r="CW140" s="53" t="inlineStr">
        <is>
          <t>No</t>
        </is>
      </c>
      <c r="CX140" s="53" t="inlineStr">
        <is>
          <t>No</t>
        </is>
      </c>
      <c r="CY140" s="53" t="n"/>
      <c r="CZ140" s="53" t="inlineStr">
        <is>
          <t>Needs to learn the fundamentals of content marketing</t>
        </is>
      </c>
      <c r="DA140" s="53" t="n"/>
      <c r="DB140" s="53" t="inlineStr">
        <is>
          <t>To be mapped to Sobhan Pramanik as reporting manager</t>
        </is>
      </c>
      <c r="DC140" s="53" t="n"/>
      <c r="DD140" s="53" t="inlineStr">
        <is>
          <t>IRIS2511</t>
        </is>
      </c>
      <c r="DE140" s="53" t="inlineStr">
        <is>
          <t>Employee</t>
        </is>
      </c>
      <c r="DF140" s="53" t="inlineStr">
        <is>
          <t>Active</t>
        </is>
      </c>
      <c r="DG140" s="53" t="inlineStr">
        <is>
          <t>Muskan Jain</t>
        </is>
      </c>
      <c r="DH140" s="54" t="n">
        <v>46125</v>
      </c>
      <c r="DI140" s="53" t="inlineStr">
        <is>
          <t>Marketing Associate</t>
        </is>
      </c>
      <c r="DJ140" s="53" t="inlineStr">
        <is>
          <t>Marketing &amp; Communications</t>
        </is>
      </c>
      <c r="DK140" s="53" t="inlineStr">
        <is>
          <t>Demand Generation / Brand</t>
        </is>
      </c>
      <c r="DL140" s="53" t="inlineStr">
        <is>
          <t>Marketing Associate</t>
        </is>
      </c>
      <c r="DM140" s="53" t="inlineStr">
        <is>
          <t>L3 – Professional / Associate</t>
        </is>
      </c>
      <c r="DN140" s="53" t="inlineStr">
        <is>
          <t>PGDM</t>
        </is>
      </c>
      <c r="DO140" s="53" t="inlineStr">
        <is>
          <t>Saahit Togaru</t>
        </is>
      </c>
      <c r="DP140" s="53" t="inlineStr">
        <is>
          <t>N-4</t>
        </is>
      </c>
      <c r="DQ140" s="53" t="inlineStr">
        <is>
          <t>Individual Contributor</t>
        </is>
      </c>
      <c r="DR140" s="53" t="inlineStr">
        <is>
          <t>0 years, 0 months, 0 days</t>
        </is>
      </c>
      <c r="DS140" s="53" t="inlineStr">
        <is>
          <t>0 years, 2 months, 7 days</t>
        </is>
      </c>
      <c r="DT140" s="53" t="inlineStr">
        <is>
          <t>0 years, 2 months, 7 days</t>
        </is>
      </c>
      <c r="DU140" s="53" t="n"/>
      <c r="DV140" s="53" t="inlineStr">
        <is>
          <t>Regtech</t>
        </is>
      </c>
      <c r="DW140" s="53" t="inlineStr">
        <is>
          <t>iDEAL</t>
        </is>
      </c>
      <c r="DX140" s="53" t="inlineStr">
        <is>
          <t>Marketing</t>
        </is>
      </c>
      <c r="DY140" s="53" t="inlineStr">
        <is>
          <t>Marketing</t>
        </is>
      </c>
      <c r="DZ140" s="53" t="inlineStr">
        <is>
          <t>No</t>
        </is>
      </c>
      <c r="EA140" s="53" t="inlineStr">
        <is>
          <t>Sales, Marketing &amp; Support</t>
        </is>
      </c>
      <c r="EB140" s="53" t="inlineStr">
        <is>
          <t>Marketing</t>
        </is>
      </c>
      <c r="EC140" s="53" t="inlineStr">
        <is>
          <t>Non-technical</t>
        </is>
      </c>
      <c r="ED140" s="53" t="inlineStr">
        <is>
          <t>Work From Office- Hyderabad</t>
        </is>
      </c>
      <c r="EE140" s="53" t="n"/>
      <c r="EF140" s="53" t="n"/>
      <c r="EG140" s="53" t="n"/>
      <c r="EH140" s="53" t="n"/>
      <c r="EI140" s="53" t="n"/>
      <c r="EJ140" s="53" t="inlineStr">
        <is>
          <t>Same as per records</t>
        </is>
      </c>
      <c r="EK140" s="53" t="n"/>
      <c r="EL140" s="53" t="n"/>
      <c r="EM140" s="53" t="n"/>
      <c r="EN140" s="53" t="n"/>
      <c r="EO140" s="53" t="n"/>
      <c r="EP140" s="53" t="n"/>
      <c r="EQ140" s="53" t="n"/>
      <c r="ER140" s="53" t="n"/>
      <c r="ES140" s="53" t="inlineStr">
        <is>
          <t>Training on the effective utilization of AI tools.</t>
        </is>
      </c>
      <c r="ET140" s="53" t="n"/>
      <c r="EU140" s="53" t="n"/>
      <c r="EV140" s="53" t="n"/>
      <c r="EW140" s="52" t="n"/>
      <c r="EX140" s="53" t="inlineStr">
        <is>
          <t>• This role is intended to get the inbound leads through the website content and branding. That can be converted into full time clients.</t>
        </is>
      </c>
      <c r="EY140" s="53"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EZ140" s="53" t="inlineStr">
        <is>
          <t>• Current capabilities: Research, marketing knowledge, creative writing and content development; Industry understanding and audience communication; SEMrush, Google Scholar, Buffer, PowerPoint, Canva and Freepik.</t>
        </is>
      </c>
      <c r="FA140" s="53" t="inlineStr">
        <is>
          <t>• Development priorities: Build target-audience and industry knowledge; Develop Adobe and Acrobat capability.
• Learning and Development Need: BFSI industry and target-audience knowledge sessions, plus Adobe Creative Suite and Acrobat skills training.</t>
        </is>
      </c>
      <c r="FB140" s="53" t="inlineStr">
        <is>
          <t>• Key challenges: Review delays and repeated back-and-forth on content.
• Support required: Faster reviews and clearer expectations for deliverables.</t>
        </is>
      </c>
      <c r="FC140" s="53" t="n"/>
      <c r="FD140" s="53" t="n"/>
      <c r="FE140" s="55" t="inlineStr">
        <is>
          <t>KRAs not received · manager to supply</t>
        </is>
      </c>
      <c r="FF140" s="56" t="n"/>
      <c r="FG140" s="56" t="n"/>
      <c r="FH140" s="56" t="n"/>
      <c r="FI140" s="56" t="inlineStr">
        <is>
          <t>Content management allocated to the ideal business</t>
        </is>
      </c>
      <c r="FJ140" s="32" t="inlineStr">
        <is>
          <t>KRAs not received · manager to supply</t>
        </is>
      </c>
      <c r="FK140" s="56" t="inlineStr">
        <is>
          <t>CARBON Talent Mapping · Raw</t>
        </is>
      </c>
      <c r="FL140" s="56" t="n">
        <v>20</v>
      </c>
      <c r="FM140" s="56" t="inlineStr">
        <is>
          <t>• This role is intended to get the inbound leads through the website content and branding. That can be converted into full time clients.</t>
        </is>
      </c>
      <c r="FN140" s="56"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FO140" s="56" t="inlineStr">
        <is>
          <t>• Current capabilities: Research, marketing knowledge, creative writing and content development; Industry understanding and audience communication; SEMrush, Google Scholar, Buffer, PowerPoint, Canva and Freepik.</t>
        </is>
      </c>
      <c r="FP140" s="56" t="inlineStr">
        <is>
          <t>• Development priorities: Build target-audience and industry knowledge; Develop Adobe and Acrobat capability.
• Learning and Development Need: BFSI industry and target-audience knowledge sessions, plus Adobe Creative Suite and Acrobat skills training.</t>
        </is>
      </c>
      <c r="FQ140" s="56" t="inlineStr">
        <is>
          <t>• Key challenges: Review delays and repeated back-and-forth on content.
• Support required: Faster reviews and clearer expectations for deliverables.</t>
        </is>
      </c>
      <c r="FR140" s="56" t="inlineStr">
        <is>
          <t>Complexity: Evidence reads like A2: Writes blogs, ebooks, infographics, decks and brochures and optimises content for iDEAL's bank audience → matches the start
Autonomy: Evidence reads like A2: Decides own calendars, trackers and decks → matches the start
Accountability: Evidence reads like A3: Accountable for all bank / financial-institution content: website, social media, client decks → moved up 0.5
Leadership: Evidence reads like A1: No guidance or leadership of others described → matches the start
Business Impact: No survey or manager-mapping signal on criticality: kept at the start point.</t>
        </is>
      </c>
      <c r="FS140"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0" s="56" t="inlineStr">
        <is>
          <t>Self-identified: Marketing &amp; content · Certification / formal course
For the next role: Marketing &amp; content · Certification / formal course</t>
        </is>
      </c>
      <c r="FU140" s="56" t="inlineStr">
        <is>
          <t>Per-person summary · CARBON Mapping Master</t>
        </is>
      </c>
    </row>
    <row r="141" ht="90" customHeight="1">
      <c r="A141" s="51" t="inlineStr">
        <is>
          <t>◂ Back</t>
        </is>
      </c>
      <c r="B141" s="29" t="inlineStr">
        <is>
          <t>Mapped</t>
        </is>
      </c>
      <c r="C141" s="28" t="inlineStr">
        <is>
          <t>CARBON</t>
        </is>
      </c>
      <c r="D141" s="29" t="inlineStr">
        <is>
          <t>IRIS2516</t>
        </is>
      </c>
      <c r="E141" s="29" t="inlineStr">
        <is>
          <t>Rimsha Khan</t>
        </is>
      </c>
      <c r="F141" s="29" t="inlineStr">
        <is>
          <t>Marketing</t>
        </is>
      </c>
      <c r="G141" s="29" t="inlineStr">
        <is>
          <t>Marketing Associate</t>
        </is>
      </c>
      <c r="H141" s="29" t="inlineStr">
        <is>
          <t>Content Marketing Associate</t>
        </is>
      </c>
      <c r="I141" s="29" t="inlineStr">
        <is>
          <t>L3 – Professional / Associate</t>
        </is>
      </c>
      <c r="J141" s="29" t="inlineStr">
        <is>
          <t>A2</t>
        </is>
      </c>
      <c r="K141" s="29" t="inlineStr">
        <is>
          <t>• Same level</t>
        </is>
      </c>
      <c r="L141" s="29" t="inlineStr">
        <is>
          <t>Marketing &amp; Communications</t>
        </is>
      </c>
      <c r="M141" s="29" t="inlineStr">
        <is>
          <t>Content Marketing</t>
        </is>
      </c>
      <c r="N141" s="29" t="n"/>
      <c r="O141" s="29" t="n">
        <v>18</v>
      </c>
      <c r="P141" s="28" t="inlineStr">
        <is>
          <t>P1–P2</t>
        </is>
      </c>
      <c r="Q141" s="29" t="inlineStr">
        <is>
          <t>Entry / Developing</t>
        </is>
      </c>
      <c r="R141" s="29" t="inlineStr">
        <is>
          <t>2 Assist</t>
        </is>
      </c>
      <c r="S141" s="29" t="inlineStr">
        <is>
          <t>0–2 yrs</t>
        </is>
      </c>
      <c r="T141" s="29" t="inlineStr">
        <is>
          <t>1–3 · 0–3</t>
        </is>
      </c>
      <c r="U141" s="29" t="inlineStr">
        <is>
          <t>Marketing Associate / Marketing Executive</t>
        </is>
      </c>
      <c r="V141" s="29" t="inlineStr">
        <is>
          <t>IRIS Vs Market Benchmark — CIM proficiency scale: 2 Active learner · IRIS Vs Competitor Benchmark — SaaS marketing ladder: Marketing Associate</t>
        </is>
      </c>
      <c r="W141" s="29" t="inlineStr">
        <is>
          <t>CIM Global Professional Marketing Framework — proficiency Aware → Active learner → Able → Accomplished → Authoritative</t>
        </is>
      </c>
      <c r="X141" s="29" t="inlineStr">
        <is>
          <t>Core 2 · Future 2 · Functional 2 · Leadership not scored</t>
        </is>
      </c>
      <c r="Y141" s="52" t="n">
        <v>487</v>
      </c>
      <c r="Z141" s="53" t="inlineStr">
        <is>
          <t>IRIS2516</t>
        </is>
      </c>
      <c r="AA141" s="53" t="inlineStr">
        <is>
          <t>Employee</t>
        </is>
      </c>
      <c r="AB141" s="53" t="inlineStr">
        <is>
          <t>Active</t>
        </is>
      </c>
      <c r="AC141" s="53" t="inlineStr">
        <is>
          <t>Rimsha Khan</t>
        </is>
      </c>
      <c r="AD141" s="54" t="n">
        <v>46125</v>
      </c>
      <c r="AE141" s="53" t="inlineStr">
        <is>
          <t>Marketing Associate</t>
        </is>
      </c>
      <c r="AF141" s="53" t="inlineStr">
        <is>
          <t>PGDM</t>
        </is>
      </c>
      <c r="AG141" s="53" t="inlineStr">
        <is>
          <t>Sobhan Pramanik</t>
        </is>
      </c>
      <c r="AH141" s="53" t="inlineStr">
        <is>
          <t>N-5</t>
        </is>
      </c>
      <c r="AI141" s="53" t="inlineStr">
        <is>
          <t>Individual Contributor</t>
        </is>
      </c>
      <c r="AJ141" s="53" t="inlineStr">
        <is>
          <t>0 years, 0 months, 0 days</t>
        </is>
      </c>
      <c r="AK141" s="53" t="inlineStr">
        <is>
          <t>0 years, 4 months, 12 days</t>
        </is>
      </c>
      <c r="AL141" s="53" t="inlineStr">
        <is>
          <t>Regtech</t>
        </is>
      </c>
      <c r="AM141" s="53" t="inlineStr">
        <is>
          <t>CARBON</t>
        </is>
      </c>
      <c r="AN141" s="53" t="inlineStr">
        <is>
          <t>Marketing</t>
        </is>
      </c>
      <c r="AO141" s="53" t="inlineStr">
        <is>
          <t>Marketing</t>
        </is>
      </c>
      <c r="AP141" s="53" t="inlineStr">
        <is>
          <t>No</t>
        </is>
      </c>
      <c r="AQ141" s="53" t="inlineStr">
        <is>
          <t>Sales, Marketing &amp; Support</t>
        </is>
      </c>
      <c r="AR141" s="53" t="inlineStr">
        <is>
          <t>Marketing</t>
        </is>
      </c>
      <c r="AS141" s="53" t="inlineStr">
        <is>
          <t>Non-technical</t>
        </is>
      </c>
      <c r="AT141" s="53" t="n">
        <v>20</v>
      </c>
      <c r="AU141" s="53" t="inlineStr">
        <is>
          <t>Covered</t>
        </is>
      </c>
      <c r="AV141" s="53" t="inlineStr">
        <is>
          <t>IRIS2516</t>
        </is>
      </c>
      <c r="AW141" s="53" t="inlineStr">
        <is>
          <t>Rimsha Khan</t>
        </is>
      </c>
      <c r="AX141" s="53" t="inlineStr">
        <is>
          <t>Marketing</t>
        </is>
      </c>
      <c r="AY141" s="53" t="inlineStr">
        <is>
          <t>Marketing &amp; Communications</t>
        </is>
      </c>
      <c r="AZ141" s="53" t="inlineStr">
        <is>
          <t>Content Marketing</t>
        </is>
      </c>
      <c r="BA141" s="53" t="n"/>
      <c r="BB141" s="53" t="n"/>
      <c r="BC141" s="53" t="inlineStr">
        <is>
          <t>Employee</t>
        </is>
      </c>
      <c r="BD141" s="53" t="inlineStr">
        <is>
          <t>Saahit Togaru</t>
        </is>
      </c>
      <c r="BE141" s="53" t="inlineStr">
        <is>
          <t>Sobhan Pramanik</t>
        </is>
      </c>
      <c r="BF141" s="53" t="inlineStr">
        <is>
          <t>Yes</t>
        </is>
      </c>
      <c r="BG141" s="53" t="inlineStr">
        <is>
          <t>Marketing Associate</t>
        </is>
      </c>
      <c r="BH141" s="53" t="inlineStr">
        <is>
          <t>Marketing Associate - content</t>
        </is>
      </c>
      <c r="BI141" s="53" t="inlineStr">
        <is>
          <t>No</t>
        </is>
      </c>
      <c r="BJ141" s="53" t="inlineStr">
        <is>
          <t>—</t>
        </is>
      </c>
      <c r="BK141" s="53" t="inlineStr">
        <is>
          <t>—</t>
        </is>
      </c>
      <c r="BL141" s="53" t="inlineStr">
        <is>
          <t>—</t>
        </is>
      </c>
      <c r="BM141" s="53" t="inlineStr">
        <is>
          <t>Not a manager</t>
        </is>
      </c>
      <c r="BN141" s="53" t="inlineStr">
        <is>
          <t>—</t>
        </is>
      </c>
      <c r="BO141" s="53" t="inlineStr">
        <is>
          <t>—</t>
        </is>
      </c>
      <c r="BP141" s="53" t="inlineStr">
        <is>
          <t>—</t>
        </is>
      </c>
      <c r="BQ141" s="53" t="inlineStr">
        <is>
          <t>Not a manager</t>
        </is>
      </c>
      <c r="BR141" s="53" t="inlineStr">
        <is>
          <t>—</t>
        </is>
      </c>
      <c r="BS141" s="53" t="inlineStr">
        <is>
          <t>L3 – Professional / Associate</t>
        </is>
      </c>
      <c r="BT141" s="53" t="inlineStr">
        <is>
          <t>L3 – Professional / Associate</t>
        </is>
      </c>
      <c r="BU141" s="53" t="inlineStr">
        <is>
          <t>No designation change — current record value carried forward</t>
        </is>
      </c>
      <c r="BV141" s="53" t="n"/>
      <c r="BW141" s="53" t="n"/>
      <c r="BX141" s="53" t="inlineStr">
        <is>
          <t>Europe and United States</t>
        </is>
      </c>
      <c r="BY141" s="53" t="n"/>
      <c r="BZ141" s="53" t="inlineStr">
        <is>
          <t>IRIS2516</t>
        </is>
      </c>
      <c r="CA141" s="53" t="inlineStr">
        <is>
          <t>Employee</t>
        </is>
      </c>
      <c r="CB141" s="53" t="inlineStr">
        <is>
          <t>Active</t>
        </is>
      </c>
      <c r="CC141" s="53" t="inlineStr">
        <is>
          <t>Rimsha Khan</t>
        </is>
      </c>
      <c r="CD141" s="54" t="n">
        <v>46125</v>
      </c>
      <c r="CE141" s="53" t="inlineStr">
        <is>
          <t>Marketing Associate</t>
        </is>
      </c>
      <c r="CF141" s="53" t="inlineStr">
        <is>
          <t>Content Creation</t>
        </is>
      </c>
      <c r="CG141" s="53" t="inlineStr">
        <is>
          <t>Marketing &amp; Communications</t>
        </is>
      </c>
      <c r="CH141" s="53" t="inlineStr">
        <is>
          <t>Content Marketing</t>
        </is>
      </c>
      <c r="CI141" s="53" t="inlineStr">
        <is>
          <t>Marketing Associate</t>
        </is>
      </c>
      <c r="CJ141" s="53" t="inlineStr">
        <is>
          <t>L3 – Professional / Associate</t>
        </is>
      </c>
      <c r="CK141" s="53" t="inlineStr">
        <is>
          <t>Sobhan Pramanik</t>
        </is>
      </c>
      <c r="CL141" s="53" t="inlineStr">
        <is>
          <t>N-4</t>
        </is>
      </c>
      <c r="CM141" s="53" t="inlineStr">
        <is>
          <t>Individual Contributor</t>
        </is>
      </c>
      <c r="CN141" s="53" t="inlineStr">
        <is>
          <t>Regtech</t>
        </is>
      </c>
      <c r="CO141" s="53" t="inlineStr">
        <is>
          <t>Marketing</t>
        </is>
      </c>
      <c r="CP141" s="53" t="inlineStr">
        <is>
          <t>0 years, 2 months, 7 days</t>
        </is>
      </c>
      <c r="CQ141" s="53" t="inlineStr">
        <is>
          <t>Marketing Associate</t>
        </is>
      </c>
      <c r="CR141" s="53" t="inlineStr">
        <is>
          <t>No</t>
        </is>
      </c>
      <c r="CS141" s="53" t="n"/>
      <c r="CT141" s="53" t="inlineStr">
        <is>
          <t>Low</t>
        </is>
      </c>
      <c r="CU141" s="53" t="inlineStr">
        <is>
          <t>Misplaced Talent / Enigma</t>
        </is>
      </c>
      <c r="CV141" s="53" t="n"/>
      <c r="CW141" s="53" t="inlineStr">
        <is>
          <t>No</t>
        </is>
      </c>
      <c r="CX141" s="53" t="inlineStr">
        <is>
          <t>No</t>
        </is>
      </c>
      <c r="CY141" s="53" t="n"/>
      <c r="CZ141" s="53" t="inlineStr">
        <is>
          <t>Needs to learn the fundamentals of content marketing</t>
        </is>
      </c>
      <c r="DA141" s="53" t="n"/>
      <c r="DB141" s="53" t="inlineStr">
        <is>
          <t>To be mapped to Sobhan Pramanik as reporting manager</t>
        </is>
      </c>
      <c r="DC141" s="53" t="n"/>
      <c r="DD141" s="53" t="n"/>
      <c r="DE141" s="53" t="n"/>
      <c r="DF141" s="53" t="n"/>
      <c r="DG141" s="53" t="n"/>
      <c r="DH141" s="53" t="n"/>
      <c r="DI141" s="53" t="n"/>
      <c r="DJ141" s="53" t="n"/>
      <c r="DK141" s="53" t="n"/>
      <c r="DL141" s="53" t="n"/>
      <c r="DM141" s="53" t="n"/>
      <c r="DN141" s="53" t="n"/>
      <c r="DO141" s="53" t="n"/>
      <c r="DP141" s="53" t="n"/>
      <c r="DQ141" s="53" t="n"/>
      <c r="DR141" s="53" t="n"/>
      <c r="DS141" s="53" t="n"/>
      <c r="DT141" s="53" t="n"/>
      <c r="DU141" s="53" t="n"/>
      <c r="DV141" s="53" t="n"/>
      <c r="DW141" s="53" t="n"/>
      <c r="DX141" s="53" t="n"/>
      <c r="DY141" s="53" t="n"/>
      <c r="DZ141" s="53" t="n"/>
      <c r="EA141" s="53" t="n"/>
      <c r="EB141" s="53" t="n"/>
      <c r="EC141" s="53" t="n"/>
      <c r="ED141" s="53" t="n"/>
      <c r="EE141" s="53" t="n"/>
      <c r="EF141" s="53" t="n"/>
      <c r="EG141" s="53" t="n"/>
      <c r="EH141" s="53" t="n"/>
      <c r="EI141" s="53" t="n"/>
      <c r="EJ141" s="53" t="n"/>
      <c r="EK141" s="53" t="n"/>
      <c r="EL141" s="53" t="n"/>
      <c r="EM141" s="53" t="n"/>
      <c r="EN141" s="53" t="n"/>
      <c r="EO141" s="53" t="n"/>
      <c r="EP141" s="53" t="n"/>
      <c r="EQ141" s="53" t="n"/>
      <c r="ER141" s="53" t="n"/>
      <c r="ES141" s="53" t="n"/>
      <c r="ET141" s="53" t="n"/>
      <c r="EU141" s="53" t="n"/>
      <c r="EV141" s="53" t="n"/>
      <c r="EW141" s="52" t="n"/>
      <c r="EX141" s="53" t="inlineStr">
        <is>
          <t>• This role focuses on brand content writing and generating MQLs through organic channels.</t>
        </is>
      </c>
      <c r="EY141" s="53"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EZ141" s="53" t="inlineStr">
        <is>
          <t>• Current capabilities: Content writing, SEO, Google Analytics, presentation development and Buffer; ESG domain knowledge, narration and audience-relatable messaging; SEMrush.</t>
        </is>
      </c>
      <c r="FA141" s="53"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B141" s="53" t="inlineStr">
        <is>
          <t>• Key challenges: Frequent changes, urgent requests and varying requirements; Delayed approvals and design dependencies.
• Support required: More autonomy and space for creative work; Clearer briefs and faster approvals.</t>
        </is>
      </c>
      <c r="FC141" s="53" t="n"/>
      <c r="FD141" s="53" t="n"/>
      <c r="FE141" s="55" t="inlineStr">
        <is>
          <t>KRAs not received · manager to supply</t>
        </is>
      </c>
      <c r="FF141" s="56" t="n"/>
      <c r="FG141" s="56" t="n"/>
      <c r="FH141" s="56" t="n"/>
      <c r="FI141" s="56" t="inlineStr">
        <is>
          <t>Content Creation</t>
        </is>
      </c>
      <c r="FJ141" s="32" t="inlineStr">
        <is>
          <t>KRAs not received · manager to supply</t>
        </is>
      </c>
      <c r="FK141" s="56" t="inlineStr">
        <is>
          <t>CARBON Talent Mapping · Raw</t>
        </is>
      </c>
      <c r="FL141" s="56" t="n">
        <v>18</v>
      </c>
      <c r="FM141" s="56" t="inlineStr">
        <is>
          <t>• This role focuses on brand content writing and generating MQLs through organic channels.</t>
        </is>
      </c>
      <c r="FN141" s="56"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FO141" s="56" t="inlineStr">
        <is>
          <t>• Current capabilities: Content writing, SEO, Google Analytics, presentation development and Buffer; ESG domain knowledge, narration and audience-relatable messaging; SEMrush.</t>
        </is>
      </c>
      <c r="FP141" s="56"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Q141" s="56" t="inlineStr">
        <is>
          <t>• Key challenges: Frequent changes, urgent requests and varying requirements; Delayed approvals and design dependencies.
• Support required: More autonomy and space for creative work; Clearer briefs and faster approvals.</t>
        </is>
      </c>
      <c r="FR141" s="56" t="inlineStr">
        <is>
          <t>Complexity: Evidence reads like A2: Writes two ESG blogs a week and other content assets after research → matches the start
Autonomy: Evidence reads like A2: own survey / KRA answers · summarised by the rater; not quoted → matches the start
Accountability: Evidence reads like A2: Answerable for own content deliverables; says only 'everything' → matches the start
Leadership: Evidence reads like A1: No guidance or leadership of others described → matches the start
Business Impact: No survey or manager-mapping signal on criticality: kept at the start point.</t>
        </is>
      </c>
      <c r="FS141"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1" s="56" t="n"/>
      <c r="FU141" s="56" t="inlineStr">
        <is>
          <t>Per-person summary · CARBON Mapping Master</t>
        </is>
      </c>
    </row>
    <row r="142" ht="90" customHeight="1">
      <c r="A142" s="51" t="inlineStr">
        <is>
          <t>◂ Back</t>
        </is>
      </c>
      <c r="B142" s="29" t="inlineStr">
        <is>
          <t>Mapped</t>
        </is>
      </c>
      <c r="C142" s="28" t="inlineStr">
        <is>
          <t>CARBON</t>
        </is>
      </c>
      <c r="D142" s="29" t="inlineStr">
        <is>
          <t>IRIS2517</t>
        </is>
      </c>
      <c r="E142" s="29" t="inlineStr">
        <is>
          <t>Shubhangi Sharma</t>
        </is>
      </c>
      <c r="F142" s="29" t="inlineStr">
        <is>
          <t>Marketing</t>
        </is>
      </c>
      <c r="G142" s="29" t="inlineStr">
        <is>
          <t>Marketing Associate</t>
        </is>
      </c>
      <c r="H142" s="29" t="inlineStr">
        <is>
          <t>Content Marketing Associate</t>
        </is>
      </c>
      <c r="I142" s="29" t="inlineStr">
        <is>
          <t>L3 – Professional / Associate</t>
        </is>
      </c>
      <c r="J142" s="29" t="inlineStr">
        <is>
          <t>A2</t>
        </is>
      </c>
      <c r="K142" s="29" t="inlineStr">
        <is>
          <t>• Same level</t>
        </is>
      </c>
      <c r="L142" s="29" t="inlineStr">
        <is>
          <t>Marketing &amp; Communications</t>
        </is>
      </c>
      <c r="M142" s="29" t="inlineStr">
        <is>
          <t>Content Marketing</t>
        </is>
      </c>
      <c r="N142" s="29" t="n"/>
      <c r="O142" s="29" t="n">
        <v>20</v>
      </c>
      <c r="P142" s="28" t="inlineStr">
        <is>
          <t>P1–P2</t>
        </is>
      </c>
      <c r="Q142" s="29" t="inlineStr">
        <is>
          <t>Entry / Developing</t>
        </is>
      </c>
      <c r="R142" s="29" t="inlineStr">
        <is>
          <t>2 Assist</t>
        </is>
      </c>
      <c r="S142" s="29" t="inlineStr">
        <is>
          <t>0–2 yrs</t>
        </is>
      </c>
      <c r="T142" s="29" t="inlineStr">
        <is>
          <t>1–3 · 0–3</t>
        </is>
      </c>
      <c r="U142" s="29" t="inlineStr">
        <is>
          <t>Marketing Associate / Marketing Executive</t>
        </is>
      </c>
      <c r="V142" s="29" t="inlineStr">
        <is>
          <t>IRIS Vs Market Benchmark — CIM proficiency scale: 2 Active learner · IRIS Vs Competitor Benchmark — SaaS marketing ladder: Marketing Associate</t>
        </is>
      </c>
      <c r="W142" s="29" t="inlineStr">
        <is>
          <t>CIM Global Professional Marketing Framework — proficiency Aware → Active learner → Able → Accomplished → Authoritative</t>
        </is>
      </c>
      <c r="X142" s="29" t="inlineStr">
        <is>
          <t>Core 2 · Future 2 · Functional 2 · Leadership not scored</t>
        </is>
      </c>
      <c r="Y142" s="52" t="n">
        <v>488</v>
      </c>
      <c r="Z142" s="53" t="inlineStr">
        <is>
          <t>IRIS2517</t>
        </is>
      </c>
      <c r="AA142" s="53" t="inlineStr">
        <is>
          <t>Employee</t>
        </is>
      </c>
      <c r="AB142" s="53" t="inlineStr">
        <is>
          <t>Active</t>
        </is>
      </c>
      <c r="AC142" s="53" t="inlineStr">
        <is>
          <t>Shubhangi Sharma</t>
        </is>
      </c>
      <c r="AD142" s="54" t="n">
        <v>46125</v>
      </c>
      <c r="AE142" s="53" t="inlineStr">
        <is>
          <t>Marketing Associate</t>
        </is>
      </c>
      <c r="AF142" s="53" t="inlineStr">
        <is>
          <t>PGDM</t>
        </is>
      </c>
      <c r="AG142" s="53" t="inlineStr">
        <is>
          <t>Sobhan Pramanik</t>
        </is>
      </c>
      <c r="AH142" s="53" t="inlineStr">
        <is>
          <t>N-5</t>
        </is>
      </c>
      <c r="AI142" s="53" t="inlineStr">
        <is>
          <t>Individual Contributor</t>
        </is>
      </c>
      <c r="AJ142" s="53" t="inlineStr">
        <is>
          <t>0 years, 0 months, 0 days</t>
        </is>
      </c>
      <c r="AK142" s="53" t="inlineStr">
        <is>
          <t>0 years, 4 months, 12 days</t>
        </is>
      </c>
      <c r="AL142" s="53" t="inlineStr">
        <is>
          <t>Regtech</t>
        </is>
      </c>
      <c r="AM142" s="53" t="inlineStr">
        <is>
          <t>CARBON</t>
        </is>
      </c>
      <c r="AN142" s="53" t="inlineStr">
        <is>
          <t>Marketing</t>
        </is>
      </c>
      <c r="AO142" s="53" t="inlineStr">
        <is>
          <t>Marketing</t>
        </is>
      </c>
      <c r="AP142" s="53" t="inlineStr">
        <is>
          <t>No</t>
        </is>
      </c>
      <c r="AQ142" s="53" t="inlineStr">
        <is>
          <t>Sales, Marketing &amp; Support</t>
        </is>
      </c>
      <c r="AR142" s="53" t="inlineStr">
        <is>
          <t>Marketing</t>
        </is>
      </c>
      <c r="AS142" s="53" t="inlineStr">
        <is>
          <t>Non-technical</t>
        </is>
      </c>
      <c r="AT142" s="53" t="n">
        <v>20</v>
      </c>
      <c r="AU142" s="53" t="inlineStr">
        <is>
          <t>Covered</t>
        </is>
      </c>
      <c r="AV142" s="53" t="inlineStr">
        <is>
          <t>IRIS2517</t>
        </is>
      </c>
      <c r="AW142" s="53" t="inlineStr">
        <is>
          <t>Shubhangi Sharma</t>
        </is>
      </c>
      <c r="AX142" s="53" t="inlineStr">
        <is>
          <t>Marketing</t>
        </is>
      </c>
      <c r="AY142" s="53" t="inlineStr">
        <is>
          <t>Marketing &amp; Communications</t>
        </is>
      </c>
      <c r="AZ142" s="53" t="inlineStr">
        <is>
          <t>Content Marketing</t>
        </is>
      </c>
      <c r="BA142" s="53" t="n"/>
      <c r="BB142" s="53" t="n"/>
      <c r="BC142" s="53" t="inlineStr">
        <is>
          <t>Employee</t>
        </is>
      </c>
      <c r="BD142" s="53" t="inlineStr">
        <is>
          <t>Saahit Togaru</t>
        </is>
      </c>
      <c r="BE142" s="53" t="inlineStr">
        <is>
          <t>Sobhan Pramanik</t>
        </is>
      </c>
      <c r="BF142" s="53" t="inlineStr">
        <is>
          <t>Yes</t>
        </is>
      </c>
      <c r="BG142" s="53" t="inlineStr">
        <is>
          <t>Marketing Associate</t>
        </is>
      </c>
      <c r="BH142" s="53" t="inlineStr">
        <is>
          <t>Marketing Associate</t>
        </is>
      </c>
      <c r="BI142" s="53" t="inlineStr">
        <is>
          <t>No</t>
        </is>
      </c>
      <c r="BJ142" s="53" t="inlineStr">
        <is>
          <t>—</t>
        </is>
      </c>
      <c r="BK142" s="53" t="inlineStr">
        <is>
          <t>—</t>
        </is>
      </c>
      <c r="BL142" s="53" t="inlineStr">
        <is>
          <t>—</t>
        </is>
      </c>
      <c r="BM142" s="53" t="inlineStr">
        <is>
          <t>Not a manager</t>
        </is>
      </c>
      <c r="BN142" s="53" t="inlineStr">
        <is>
          <t>—</t>
        </is>
      </c>
      <c r="BO142" s="53" t="inlineStr">
        <is>
          <t>—</t>
        </is>
      </c>
      <c r="BP142" s="53" t="inlineStr">
        <is>
          <t>—</t>
        </is>
      </c>
      <c r="BQ142" s="53" t="inlineStr">
        <is>
          <t>Not a manager</t>
        </is>
      </c>
      <c r="BR142" s="53" t="inlineStr">
        <is>
          <t>—</t>
        </is>
      </c>
      <c r="BS142" s="53" t="inlineStr">
        <is>
          <t>L3 – Professional / Associate</t>
        </is>
      </c>
      <c r="BT142" s="53" t="inlineStr">
        <is>
          <t>L3 – Professional / Associate</t>
        </is>
      </c>
      <c r="BU142" s="53" t="inlineStr">
        <is>
          <t>No designation change — current record value carried forward</t>
        </is>
      </c>
      <c r="BV142" s="53" t="n"/>
      <c r="BW142" s="53" t="n"/>
      <c r="BX142" s="53" t="inlineStr">
        <is>
          <t>Europe and United Kingdom</t>
        </is>
      </c>
      <c r="BY142" s="53" t="n"/>
      <c r="BZ142" s="53" t="inlineStr">
        <is>
          <t>IRIS2517</t>
        </is>
      </c>
      <c r="CA142" s="53" t="inlineStr">
        <is>
          <t>Employee</t>
        </is>
      </c>
      <c r="CB142" s="53" t="inlineStr">
        <is>
          <t>Active</t>
        </is>
      </c>
      <c r="CC142" s="53" t="inlineStr">
        <is>
          <t>Shubhangi Sharma</t>
        </is>
      </c>
      <c r="CD142" s="54" t="n">
        <v>46125</v>
      </c>
      <c r="CE142" s="53" t="inlineStr">
        <is>
          <t>Marketing Associate</t>
        </is>
      </c>
      <c r="CF142" s="53" t="inlineStr">
        <is>
          <t>Content Creation</t>
        </is>
      </c>
      <c r="CG142" s="53" t="inlineStr">
        <is>
          <t>Marketing &amp; Communications</t>
        </is>
      </c>
      <c r="CH142" s="53" t="inlineStr">
        <is>
          <t>Content Marketing</t>
        </is>
      </c>
      <c r="CI142" s="53" t="inlineStr">
        <is>
          <t>Marketing Associate</t>
        </is>
      </c>
      <c r="CJ142" s="53" t="inlineStr">
        <is>
          <t>L3 – Professional / Associate</t>
        </is>
      </c>
      <c r="CK142" s="53" t="inlineStr">
        <is>
          <t>Sobhan Pramanik</t>
        </is>
      </c>
      <c r="CL142" s="53" t="inlineStr">
        <is>
          <t>N-4</t>
        </is>
      </c>
      <c r="CM142" s="53" t="inlineStr">
        <is>
          <t>Individual Contributor</t>
        </is>
      </c>
      <c r="CN142" s="53" t="inlineStr">
        <is>
          <t>Regtech</t>
        </is>
      </c>
      <c r="CO142" s="53" t="inlineStr">
        <is>
          <t>Marketing</t>
        </is>
      </c>
      <c r="CP142" s="53" t="inlineStr">
        <is>
          <t>0 years, 2 months, 7 days</t>
        </is>
      </c>
      <c r="CQ142" s="53" t="inlineStr">
        <is>
          <t>Marketing Associate</t>
        </is>
      </c>
      <c r="CR142" s="53" t="inlineStr">
        <is>
          <t>No</t>
        </is>
      </c>
      <c r="CS142" s="53" t="n"/>
      <c r="CT142" s="53" t="inlineStr">
        <is>
          <t>Medium</t>
        </is>
      </c>
      <c r="CU142" s="53" t="inlineStr">
        <is>
          <t>Core Contributor</t>
        </is>
      </c>
      <c r="CV142" s="53" t="n"/>
      <c r="CW142" s="53" t="inlineStr">
        <is>
          <t>No</t>
        </is>
      </c>
      <c r="CX142" s="53" t="inlineStr">
        <is>
          <t>No</t>
        </is>
      </c>
      <c r="CY142" s="53" t="n"/>
      <c r="CZ142" s="53" t="inlineStr">
        <is>
          <t>Needs to learn the fundamentals of content marketing</t>
        </is>
      </c>
      <c r="DA142" s="53" t="n"/>
      <c r="DB142" s="53" t="inlineStr">
        <is>
          <t>To be mapped to Sobhan Pramanik as Reporting Mgr</t>
        </is>
      </c>
      <c r="DC142" s="53" t="n"/>
      <c r="DD142" s="53" t="n"/>
      <c r="DE142" s="53" t="n"/>
      <c r="DF142" s="53" t="n"/>
      <c r="DG142" s="53" t="n"/>
      <c r="DH142" s="53" t="n"/>
      <c r="DI142" s="53" t="n"/>
      <c r="DJ142" s="53" t="n"/>
      <c r="DK142" s="53" t="n"/>
      <c r="DL142" s="53" t="n"/>
      <c r="DM142" s="53" t="n"/>
      <c r="DN142" s="53" t="n"/>
      <c r="DO142" s="53" t="n"/>
      <c r="DP142" s="53" t="n"/>
      <c r="DQ142" s="53" t="n"/>
      <c r="DR142" s="53" t="n"/>
      <c r="DS142" s="53" t="n"/>
      <c r="DT142" s="53" t="n"/>
      <c r="DU142" s="53" t="n"/>
      <c r="DV142" s="53" t="n"/>
      <c r="DW142" s="53" t="n"/>
      <c r="DX142" s="53" t="n"/>
      <c r="DY142" s="53" t="n"/>
      <c r="DZ142" s="53" t="n"/>
      <c r="EA142" s="53" t="n"/>
      <c r="EB142" s="53" t="n"/>
      <c r="EC142" s="53" t="n"/>
      <c r="ED142" s="53" t="n"/>
      <c r="EE142" s="53" t="n"/>
      <c r="EF142" s="53" t="n"/>
      <c r="EG142" s="53" t="n"/>
      <c r="EH142" s="53" t="n"/>
      <c r="EI142" s="53" t="n"/>
      <c r="EJ142" s="53" t="n"/>
      <c r="EK142" s="53" t="n"/>
      <c r="EL142" s="53" t="n"/>
      <c r="EM142" s="53" t="n"/>
      <c r="EN142" s="53" t="n"/>
      <c r="EO142" s="53" t="n"/>
      <c r="EP142" s="53" t="n"/>
      <c r="EQ142" s="53" t="n"/>
      <c r="ER142" s="53" t="n"/>
      <c r="ES142" s="53" t="n"/>
      <c r="ET142" s="53" t="n"/>
      <c r="EU142" s="53" t="n"/>
      <c r="EV142" s="53" t="n"/>
      <c r="EW142" s="52" t="n"/>
      <c r="EX142" s="53" t="inlineStr">
        <is>
          <t>• This role focuses on branding and content marketing to generate MQLs through organic channels, campaigns and events.</t>
        </is>
      </c>
      <c r="EY142" s="53" t="inlineStr">
        <is>
          <t>• Reported deliverables and outcomes include: AEO optimization.
• Key responsibilities include Campaign delieverables; 8-10 blogs per month.
• The role is accountable for Europe based MQLs and content.
• The role independently makes decisions on Asset types.</t>
        </is>
      </c>
      <c r="EZ142" s="53" t="inlineStr">
        <is>
          <t>• Current capabilities: Presentation development, storytelling and positioning; SEMrush and Copilot; Content and campaign planning.</t>
        </is>
      </c>
      <c r="FA142" s="53"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B142" s="53" t="inlineStr">
        <is>
          <t>• Key challenges: Last-minute changes disrupt planned work.
• Support required: No input received.</t>
        </is>
      </c>
      <c r="FC142" s="53" t="n"/>
      <c r="FD142" s="53" t="n"/>
      <c r="FE142" s="55" t="inlineStr">
        <is>
          <t>KRAs not received · manager to supply</t>
        </is>
      </c>
      <c r="FF142" s="56" t="n"/>
      <c r="FG142" s="56" t="n"/>
      <c r="FH142" s="56" t="n"/>
      <c r="FI142" s="56" t="inlineStr">
        <is>
          <t>Content Creation</t>
        </is>
      </c>
      <c r="FJ142" s="32" t="inlineStr">
        <is>
          <t>KRAs not received · manager to supply</t>
        </is>
      </c>
      <c r="FK142" s="56" t="inlineStr">
        <is>
          <t>CARBON Talent Mapping · Raw</t>
        </is>
      </c>
      <c r="FL142" s="56" t="n">
        <v>20</v>
      </c>
      <c r="FM142" s="56" t="inlineStr">
        <is>
          <t>• This role focuses on branding and content marketing to generate MQLs through organic channels, campaigns and events.</t>
        </is>
      </c>
      <c r="FN142" s="56" t="inlineStr">
        <is>
          <t>• Reported deliverables and outcomes include: AEO optimization.
• Key responsibilities include Campaign delieverables; 8-10 blogs per month.
• The role is accountable for Europe based MQLs and content.
• The role independently makes decisions on Asset types.</t>
        </is>
      </c>
      <c r="FO142" s="56" t="inlineStr">
        <is>
          <t>• Current capabilities: Presentation development, storytelling and positioning; SEMrush and Copilot; Content and campaign planning.</t>
        </is>
      </c>
      <c r="FP142" s="56"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Q142" s="56" t="inlineStr">
        <is>
          <t>• Key challenges: Last-minute changes disrupt planned work.
• Support required: No input received.</t>
        </is>
      </c>
      <c r="FR142" s="56" t="inlineStr">
        <is>
          <t>Complexity: Evidence reads like A2: Produces 8-10 blogs a month and campaign deliverables; SEO/AEO optimisation using Semrush → matches the start
Autonomy: Evidence reads like A2: Decides asset types within campaign plans → matches the start
Accountability: Evidence reads like A3: own survey / KRA answers · summarised by the rater; not quoted → moved up 0.5
Leadership: Evidence reads like A1: No guidance or leadership of others described → matches the start
Business Impact: No survey or manager-mapping signal on criticality: kept at the start point.</t>
        </is>
      </c>
      <c r="FS142"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2" s="56" t="inlineStr">
        <is>
          <t>Self-identified: Product &amp; tool knowledge · Marketing &amp; content
For the next role: Product &amp; tool knowledge · Marketing &amp; content</t>
        </is>
      </c>
      <c r="FU142" s="56" t="inlineStr">
        <is>
          <t>Per-person summary · CARBON Mapping Master</t>
        </is>
      </c>
    </row>
    <row r="143" ht="90" customHeight="1">
      <c r="A143" s="51" t="inlineStr">
        <is>
          <t>◂ Back</t>
        </is>
      </c>
      <c r="B143" s="29" t="inlineStr">
        <is>
          <t>Mapped</t>
        </is>
      </c>
      <c r="C143" s="28" t="inlineStr">
        <is>
          <t>CARBON</t>
        </is>
      </c>
      <c r="D143" s="29" t="inlineStr">
        <is>
          <t>IRIS2502</t>
        </is>
      </c>
      <c r="E143" s="29" t="inlineStr">
        <is>
          <t>Sudipta Kundu</t>
        </is>
      </c>
      <c r="F143" s="29" t="inlineStr">
        <is>
          <t>Marketing</t>
        </is>
      </c>
      <c r="G143" s="29" t="inlineStr">
        <is>
          <t>Marketing Manager- Partner and Automation</t>
        </is>
      </c>
      <c r="H143" s="29" t="inlineStr">
        <is>
          <t>Senior Marketing Specialist – POD Lead</t>
        </is>
      </c>
      <c r="I143" s="29" t="inlineStr">
        <is>
          <t>L5 – Manager</t>
        </is>
      </c>
      <c r="J143" s="29" t="inlineStr">
        <is>
          <t>B2</t>
        </is>
      </c>
      <c r="K143" s="29" t="inlineStr">
        <is>
          <t>• Same level</t>
        </is>
      </c>
      <c r="L143" s="29" t="inlineStr">
        <is>
          <t>Marketing &amp; Communications</t>
        </is>
      </c>
      <c r="M143" s="29" t="inlineStr">
        <is>
          <t>Demand Generation, Brand &amp; Events</t>
        </is>
      </c>
      <c r="N143" s="29" t="n"/>
      <c r="O143" s="29" t="n">
        <v>20</v>
      </c>
      <c r="P143" s="28" t="inlineStr">
        <is>
          <t>P4 / M3</t>
        </is>
      </c>
      <c r="Q143" s="29" t="inlineStr">
        <is>
          <t>Senior / Manager</t>
        </is>
      </c>
      <c r="R143" s="29" t="inlineStr">
        <is>
          <t>4–5</t>
        </is>
      </c>
      <c r="S143" s="29" t="inlineStr">
        <is>
          <t>6–9 yrs</t>
        </is>
      </c>
      <c r="T143" s="29" t="inlineStr">
        <is>
          <t>7–10 · 6–11</t>
        </is>
      </c>
      <c r="U143" s="29" t="inlineStr">
        <is>
          <t>Senior Marketing Specialist</t>
        </is>
      </c>
      <c r="V143" s="29" t="inlineStr">
        <is>
          <t>IRIS Vs Market Benchmark — CIM proficiency scale: 3–4 · IRIS Vs Competitor Benchmark — SaaS marketing ladder: Marketing Manager</t>
        </is>
      </c>
      <c r="W143" s="29" t="inlineStr">
        <is>
          <t>CIM Global Professional Marketing Framework — proficiency Aware → Active learner → Able → Accomplished → Authoritative</t>
        </is>
      </c>
      <c r="X143" s="29" t="inlineStr">
        <is>
          <t>Core 3 · Future 3 · Functional 4 · Leadership 3</t>
        </is>
      </c>
      <c r="Y143" s="52" t="n">
        <v>473</v>
      </c>
      <c r="Z143" s="53" t="inlineStr">
        <is>
          <t>IRIS2502</t>
        </is>
      </c>
      <c r="AA143" s="53" t="inlineStr">
        <is>
          <t>Employee</t>
        </is>
      </c>
      <c r="AB143" s="53" t="inlineStr">
        <is>
          <t>Active</t>
        </is>
      </c>
      <c r="AC143" s="53" t="inlineStr">
        <is>
          <t>Sudipta Kundu</t>
        </is>
      </c>
      <c r="AD143" s="54" t="n">
        <v>46104</v>
      </c>
      <c r="AE143" s="53" t="inlineStr">
        <is>
          <t>Marketing Manager- Partner and Automation</t>
        </is>
      </c>
      <c r="AF143" s="53" t="inlineStr">
        <is>
          <t>MBA</t>
        </is>
      </c>
      <c r="AG143" s="53" t="inlineStr">
        <is>
          <t>Saahit togaru</t>
        </is>
      </c>
      <c r="AH143" s="53" t="inlineStr">
        <is>
          <t>N-4</t>
        </is>
      </c>
      <c r="AI143" s="53" t="inlineStr">
        <is>
          <t>Manager</t>
        </is>
      </c>
      <c r="AJ143" s="53" t="inlineStr">
        <is>
          <t>8 years, 4 months, 0 days</t>
        </is>
      </c>
      <c r="AK143" s="53" t="inlineStr">
        <is>
          <t>0 years, 5 months, 2 days</t>
        </is>
      </c>
      <c r="AL143" s="53" t="inlineStr">
        <is>
          <t>Regtech</t>
        </is>
      </c>
      <c r="AM143" s="53" t="inlineStr">
        <is>
          <t>CARBON</t>
        </is>
      </c>
      <c r="AN143" s="53" t="inlineStr">
        <is>
          <t>Marketing</t>
        </is>
      </c>
      <c r="AO143" s="53" t="inlineStr">
        <is>
          <t>Marketing</t>
        </is>
      </c>
      <c r="AP143" s="53" t="inlineStr">
        <is>
          <t>No</t>
        </is>
      </c>
      <c r="AQ143" s="53" t="inlineStr">
        <is>
          <t>Sales, Marketing &amp; Support</t>
        </is>
      </c>
      <c r="AR143" s="53" t="inlineStr">
        <is>
          <t>Marketing</t>
        </is>
      </c>
      <c r="AS143" s="53" t="inlineStr">
        <is>
          <t>Non-technical</t>
        </is>
      </c>
      <c r="AT143" s="53" t="n">
        <v>20</v>
      </c>
      <c r="AU143" s="53" t="inlineStr">
        <is>
          <t>Covered</t>
        </is>
      </c>
      <c r="AV143" s="53" t="inlineStr">
        <is>
          <t>IRIS2502</t>
        </is>
      </c>
      <c r="AW143" s="53" t="inlineStr">
        <is>
          <t>Sudipta Kundu</t>
        </is>
      </c>
      <c r="AX143" s="53" t="inlineStr">
        <is>
          <t>Marketing</t>
        </is>
      </c>
      <c r="AY143" s="53" t="inlineStr">
        <is>
          <t>Marketing &amp; Communications</t>
        </is>
      </c>
      <c r="AZ143" s="53" t="inlineStr">
        <is>
          <t>Partner GTM &amp; Marketing Operations</t>
        </is>
      </c>
      <c r="BA143" s="53" t="inlineStr">
        <is>
          <t>Marketing &amp; Communications</t>
        </is>
      </c>
      <c r="BB143" s="53" t="inlineStr">
        <is>
          <t>Marketing Operations</t>
        </is>
      </c>
      <c r="BC143" s="53" t="inlineStr">
        <is>
          <t>Employee</t>
        </is>
      </c>
      <c r="BD143" s="53" t="inlineStr">
        <is>
          <t>Saahit Togaru</t>
        </is>
      </c>
      <c r="BE143" s="53" t="inlineStr">
        <is>
          <t>Saahit Togaru</t>
        </is>
      </c>
      <c r="BF143" s="53" t="inlineStr">
        <is>
          <t>No</t>
        </is>
      </c>
      <c r="BG143" s="53" t="inlineStr">
        <is>
          <t>Marketing Manager- Partner and Automation</t>
        </is>
      </c>
      <c r="BH143" s="53" t="inlineStr">
        <is>
          <t>Marketing Manager- Partner and Automation</t>
        </is>
      </c>
      <c r="BI143" s="53" t="inlineStr">
        <is>
          <t>No</t>
        </is>
      </c>
      <c r="BJ143" s="53" t="n">
        <v>4</v>
      </c>
      <c r="BK143" s="53" t="n">
        <v>2</v>
      </c>
      <c r="BL143" s="53" t="n">
        <v>2</v>
      </c>
      <c r="BM143" s="53" t="inlineStr">
        <is>
          <t>Review</t>
        </is>
      </c>
      <c r="BN143" s="53" t="n">
        <v>4</v>
      </c>
      <c r="BO143" s="53" t="n">
        <v>2</v>
      </c>
      <c r="BP143" s="53" t="n">
        <v>2</v>
      </c>
      <c r="BQ143" s="53" t="inlineStr">
        <is>
          <t>Review</t>
        </is>
      </c>
      <c r="BR143" s="53" t="inlineStr">
        <is>
          <t>No</t>
        </is>
      </c>
      <c r="BS143" s="53" t="inlineStr">
        <is>
          <t>L5 – Manager</t>
        </is>
      </c>
      <c r="BT143" s="53" t="inlineStr">
        <is>
          <t>L5 – Manager</t>
        </is>
      </c>
      <c r="BU143" s="53" t="inlineStr">
        <is>
          <t>No designation change — current record value carried forward</t>
        </is>
      </c>
      <c r="BV143" s="53" t="inlineStr">
        <is>
          <t>OKR Tracker - Marketing 2026 · FY27.xlsx</t>
        </is>
      </c>
      <c r="BW143" s="53" t="n"/>
      <c r="BX143" s="53" t="inlineStr">
        <is>
          <t>Europe; US; global.</t>
        </is>
      </c>
      <c r="BY143" s="53" t="n"/>
      <c r="BZ143" s="53" t="inlineStr">
        <is>
          <t>IRIS2502</t>
        </is>
      </c>
      <c r="CA143" s="53" t="inlineStr">
        <is>
          <t>Employee</t>
        </is>
      </c>
      <c r="CB143" s="53" t="inlineStr">
        <is>
          <t>Active</t>
        </is>
      </c>
      <c r="CC143" s="53" t="inlineStr">
        <is>
          <t>Sudipta Kundu</t>
        </is>
      </c>
      <c r="CD143" s="54" t="n">
        <v>46104</v>
      </c>
      <c r="CE143" s="53" t="inlineStr">
        <is>
          <t>Marketing Manager- Partner and Automation</t>
        </is>
      </c>
      <c r="CF143" s="53" t="inlineStr">
        <is>
          <t>Leads Database team &amp; automation to bring efficiencies across marketing - recently role is upgraded to Partner management as well</t>
        </is>
      </c>
      <c r="CG143" s="53" t="inlineStr">
        <is>
          <t>Marketing &amp; Communications</t>
        </is>
      </c>
      <c r="CH143" s="53" t="n"/>
      <c r="CI143" s="53" t="inlineStr">
        <is>
          <t>Marketing Manager- Partner and Automation</t>
        </is>
      </c>
      <c r="CJ143" s="53" t="inlineStr">
        <is>
          <t>L5 – Manager</t>
        </is>
      </c>
      <c r="CK143" s="53" t="inlineStr">
        <is>
          <t>Saahit Togaru</t>
        </is>
      </c>
      <c r="CL143" s="53" t="inlineStr">
        <is>
          <t>N-4</t>
        </is>
      </c>
      <c r="CM143" s="53" t="inlineStr">
        <is>
          <t>Manager</t>
        </is>
      </c>
      <c r="CN143" s="53" t="inlineStr">
        <is>
          <t>Regtech</t>
        </is>
      </c>
      <c r="CO143" s="53" t="inlineStr">
        <is>
          <t>Marketing</t>
        </is>
      </c>
      <c r="CP143" s="53" t="inlineStr">
        <is>
          <t>8 years, 6 months, 28 days</t>
        </is>
      </c>
      <c r="CQ143" s="53" t="n"/>
      <c r="CR143" s="53" t="inlineStr">
        <is>
          <t>No</t>
        </is>
      </c>
      <c r="CS143" s="53" t="n">
        <v>2</v>
      </c>
      <c r="CT143" s="53" t="inlineStr">
        <is>
          <t>Medium</t>
        </is>
      </c>
      <c r="CU143" s="53" t="inlineStr">
        <is>
          <t>Reliable Specialist</t>
        </is>
      </c>
      <c r="CV143" s="53" t="n"/>
      <c r="CW143" s="53" t="inlineStr">
        <is>
          <t>No</t>
        </is>
      </c>
      <c r="CX143" s="53" t="inlineStr">
        <is>
          <t>No</t>
        </is>
      </c>
      <c r="CY143" s="53" t="n"/>
      <c r="CZ143" s="53" t="inlineStr">
        <is>
          <t>Would benefit from deeper understanding of domain + perspective of database &amp; marketing</t>
        </is>
      </c>
      <c r="DA143" s="53" t="n"/>
      <c r="DB143" s="53" t="n"/>
      <c r="DC143" s="53" t="n"/>
      <c r="DD143" s="53" t="n"/>
      <c r="DE143" s="53" t="n"/>
      <c r="DF143" s="53" t="n"/>
      <c r="DG143" s="53" t="n"/>
      <c r="DH143" s="53" t="n"/>
      <c r="DI143" s="53" t="n"/>
      <c r="DJ143" s="53" t="n"/>
      <c r="DK143" s="53" t="n"/>
      <c r="DL143" s="53" t="n"/>
      <c r="DM143" s="53" t="n"/>
      <c r="DN143" s="53" t="n"/>
      <c r="DO143" s="53" t="n"/>
      <c r="DP143" s="53" t="n"/>
      <c r="DQ143" s="53" t="n"/>
      <c r="DR143" s="53" t="n"/>
      <c r="DS143" s="53" t="n"/>
      <c r="DT143" s="53" t="n"/>
      <c r="DU143" s="53" t="n"/>
      <c r="DV143" s="53" t="n"/>
      <c r="DW143" s="53" t="n"/>
      <c r="DX143" s="53" t="n"/>
      <c r="DY143" s="53" t="n"/>
      <c r="DZ143" s="53" t="n"/>
      <c r="EA143" s="53" t="n"/>
      <c r="EB143" s="53" t="n"/>
      <c r="EC143" s="53" t="n"/>
      <c r="ED143" s="53" t="n"/>
      <c r="EE143" s="53" t="n"/>
      <c r="EF143" s="53" t="n"/>
      <c r="EG143" s="53" t="n"/>
      <c r="EH143" s="53" t="n"/>
      <c r="EI143" s="53" t="n"/>
      <c r="EJ143" s="53" t="n"/>
      <c r="EK143" s="53" t="n"/>
      <c r="EL143" s="53" t="n"/>
      <c r="EM143" s="53" t="n"/>
      <c r="EN143" s="53" t="n"/>
      <c r="EO143" s="53" t="n"/>
      <c r="EP143" s="53" t="n"/>
      <c r="EQ143" s="53" t="n"/>
      <c r="ER143" s="53" t="n"/>
      <c r="ES143" s="53" t="n"/>
      <c r="ET143" s="53" t="n"/>
      <c r="EU143" s="53" t="n"/>
      <c r="EV143" s="53" t="n"/>
      <c r="EW143" s="52" t="n"/>
      <c r="EX143" s="53"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EY143" s="53"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EZ143" s="53"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FA143" s="53"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B143" s="53" t="inlineStr">
        <is>
          <t>• Key challenges: Multiple Approvals; multiple reviews.
• Support required: Clearer priorities; More clarity on ownership and decision-making, with faster support when priorities or requirements change.</t>
        </is>
      </c>
      <c r="FC143" s="53" t="inlineStr">
        <is>
          <t>KRAs Submitted</t>
        </is>
      </c>
      <c r="FD143" s="53" t="n"/>
      <c r="FE143" s="57" t="inlineStr">
        <is>
          <t>OKR Tracker - Marketing 2026 · FY27.xlsx</t>
        </is>
      </c>
      <c r="FF143" s="56" t="n"/>
      <c r="FG143" s="56" t="n"/>
      <c r="FH143" s="56" t="n"/>
      <c r="FI143" s="56" t="inlineStr">
        <is>
          <t>Leads Database team &amp; automation to bring efficiencies across marketing - recently role is upgraded to Partner management as well</t>
        </is>
      </c>
      <c r="FJ143" s="56" t="inlineStr">
        <is>
          <t>Received · manager annual</t>
        </is>
      </c>
      <c r="FK143" s="56" t="inlineStr">
        <is>
          <t>CARBON Mapping Master · CARBON Talent Mapping · Raw</t>
        </is>
      </c>
      <c r="FL143" s="56" t="n">
        <v>20</v>
      </c>
      <c r="FM143" s="56"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FN143" s="56"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FO143" s="56"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FP143" s="56"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Q143" s="56" t="inlineStr">
        <is>
          <t>• Key challenges: Multiple Approvals; multiple reviews.
• Support required: Clearer priorities; More clarity on ownership and decision-making, with faster support when priorities or requirements change.</t>
        </is>
      </c>
      <c r="FR143" s="56" t="inlineStr">
        <is>
          <t>Complexity: Evidence reads like B1: Manages partner GTM, CRM, partner marketing, automation and events across multiple stakeholders and tools → moved down 0.5
Autonomy: Evidence reads like B1: Decides on database, partner relationships and database health score for the area → moved down 0.5
Accountability: Evidence reads like B1: own survey / KRA answers · summarised by the rater; not quoted → moved down 0.5
Leadership: Evidence reads like B1: Lists team management; three direct reports → matches the start
Business Impact: No survey or manager-mapping signal on criticality: kept at the start point.</t>
        </is>
      </c>
      <c r="FS143"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43" s="56" t="inlineStr">
        <is>
          <t>Self-identified: Leadership &amp; people management · Strategy &amp; business acumen · Broader exposure &amp; ownership
For the next role: Leadership &amp; people management · Strategy &amp; business acumen · Broader exposure &amp; ownership</t>
        </is>
      </c>
      <c r="FU143" s="56" t="inlineStr">
        <is>
          <t>Per-person summary · CARBON Mapping Master</t>
        </is>
      </c>
    </row>
    <row r="144" ht="90" customHeight="1">
      <c r="A144" s="51" t="inlineStr">
        <is>
          <t>◂ Back</t>
        </is>
      </c>
      <c r="B144" s="29" t="inlineStr">
        <is>
          <t>Mapped</t>
        </is>
      </c>
      <c r="C144" s="28" t="inlineStr">
        <is>
          <t>CARBON</t>
        </is>
      </c>
      <c r="D144" s="29" t="inlineStr">
        <is>
          <t>IRIS2316</t>
        </is>
      </c>
      <c r="E144" s="29" t="inlineStr">
        <is>
          <t>Mounika Kattula</t>
        </is>
      </c>
      <c r="F144" s="29" t="inlineStr">
        <is>
          <t>Marketing</t>
        </is>
      </c>
      <c r="G144" s="29" t="inlineStr">
        <is>
          <t>Marketing Associate</t>
        </is>
      </c>
      <c r="H144" s="29" t="inlineStr">
        <is>
          <t>Senior Marketing Operations Associate</t>
        </is>
      </c>
      <c r="I144" s="29" t="inlineStr">
        <is>
          <t>L3 – Professional / Associate</t>
        </is>
      </c>
      <c r="J144" s="29" t="inlineStr">
        <is>
          <t>A3</t>
        </is>
      </c>
      <c r="K144" s="29" t="inlineStr">
        <is>
          <t>▲ Up</t>
        </is>
      </c>
      <c r="L144" s="29" t="inlineStr">
        <is>
          <t>Marketing &amp; Communications</t>
        </is>
      </c>
      <c r="M144" s="29" t="inlineStr">
        <is>
          <t>Marketing Operations &amp; Automation</t>
        </is>
      </c>
      <c r="N144" s="29" t="inlineStr">
        <is>
          <t>• Confirm the reporting line — Manager</t>
        </is>
      </c>
      <c r="O144" s="29" t="n">
        <v>20</v>
      </c>
      <c r="P144" s="28" t="inlineStr">
        <is>
          <t>P2</t>
        </is>
      </c>
      <c r="Q144" s="29" t="inlineStr">
        <is>
          <t>Developing</t>
        </is>
      </c>
      <c r="R144" s="29" t="inlineStr">
        <is>
          <t>3 Apply</t>
        </is>
      </c>
      <c r="S144" s="29" t="inlineStr">
        <is>
          <t>2–4 yrs</t>
        </is>
      </c>
      <c r="T144" s="29" t="inlineStr">
        <is>
          <t>3–5 · 2–5</t>
        </is>
      </c>
      <c r="U144" s="29" t="inlineStr">
        <is>
          <t>Marketing Executive</t>
        </is>
      </c>
      <c r="V144" s="29" t="inlineStr">
        <is>
          <t>IRIS Vs Market Benchmark — CIM proficiency scale: 2–3 · IRIS Vs Competitor Benchmark — SaaS marketing ladder: Marketing Specialist</t>
        </is>
      </c>
      <c r="W144" s="29" t="inlineStr">
        <is>
          <t>CIM Global Professional Marketing Framework — proficiency Aware → Active learner → Able → Accomplished → Authoritative</t>
        </is>
      </c>
      <c r="X144" s="29" t="inlineStr">
        <is>
          <t>Core 2 · Future 2 · Functional 3 · Leadership not scored</t>
        </is>
      </c>
      <c r="Y144" s="52" t="n">
        <v>347</v>
      </c>
      <c r="Z144" s="53" t="inlineStr">
        <is>
          <t>IRIS2316</t>
        </is>
      </c>
      <c r="AA144" s="53" t="inlineStr">
        <is>
          <t>Employee</t>
        </is>
      </c>
      <c r="AB144" s="53" t="inlineStr">
        <is>
          <t>Active</t>
        </is>
      </c>
      <c r="AC144" s="53" t="inlineStr">
        <is>
          <t>Mounika Kattula</t>
        </is>
      </c>
      <c r="AD144" s="54" t="n">
        <v>45572</v>
      </c>
      <c r="AE144" s="53" t="inlineStr">
        <is>
          <t>Marketing Associate</t>
        </is>
      </c>
      <c r="AF144" s="53" t="inlineStr">
        <is>
          <t>MBA</t>
        </is>
      </c>
      <c r="AG144" s="53" t="inlineStr">
        <is>
          <t>Sudipta Kundu</t>
        </is>
      </c>
      <c r="AH144" s="53" t="inlineStr">
        <is>
          <t>N-5</t>
        </is>
      </c>
      <c r="AI144" s="53" t="inlineStr">
        <is>
          <t>Manager</t>
        </is>
      </c>
      <c r="AJ144" s="53" t="inlineStr">
        <is>
          <t>2 years, 1 months, 0 days</t>
        </is>
      </c>
      <c r="AK144" s="53" t="inlineStr">
        <is>
          <t>1 years, 10 months, 18 days</t>
        </is>
      </c>
      <c r="AL144" s="53" t="inlineStr">
        <is>
          <t>Regtech</t>
        </is>
      </c>
      <c r="AM144" s="53" t="inlineStr">
        <is>
          <t>CARBON</t>
        </is>
      </c>
      <c r="AN144" s="53" t="inlineStr">
        <is>
          <t>Marketing</t>
        </is>
      </c>
      <c r="AO144" s="53" t="inlineStr">
        <is>
          <t>Marketing</t>
        </is>
      </c>
      <c r="AP144" s="53" t="inlineStr">
        <is>
          <t>No</t>
        </is>
      </c>
      <c r="AQ144" s="53" t="inlineStr">
        <is>
          <t>Sales, Marketing &amp; Support</t>
        </is>
      </c>
      <c r="AR144" s="53" t="inlineStr">
        <is>
          <t>Marketing</t>
        </is>
      </c>
      <c r="AS144" s="53" t="inlineStr">
        <is>
          <t>Non-technical</t>
        </is>
      </c>
      <c r="AT144" s="53" t="n">
        <v>20</v>
      </c>
      <c r="AU144" s="53" t="inlineStr">
        <is>
          <t>Covered</t>
        </is>
      </c>
      <c r="AV144" s="53" t="inlineStr">
        <is>
          <t>IRIS2316</t>
        </is>
      </c>
      <c r="AW144" s="53" t="inlineStr">
        <is>
          <t>Mounika Kattula</t>
        </is>
      </c>
      <c r="AX144" s="53" t="inlineStr">
        <is>
          <t>Marketing</t>
        </is>
      </c>
      <c r="AY144" s="53" t="inlineStr">
        <is>
          <t>Marketing &amp; Communications</t>
        </is>
      </c>
      <c r="AZ144" s="53" t="inlineStr">
        <is>
          <t>Marketing Operations</t>
        </is>
      </c>
      <c r="BA144" s="53" t="n"/>
      <c r="BB144" s="53" t="n"/>
      <c r="BC144" s="53" t="inlineStr">
        <is>
          <t>Employee</t>
        </is>
      </c>
      <c r="BD144" s="53" t="inlineStr">
        <is>
          <t>Sudipta Kundu</t>
        </is>
      </c>
      <c r="BE144" s="53" t="inlineStr">
        <is>
          <t>Sudipta Kundu</t>
        </is>
      </c>
      <c r="BF144" s="53" t="inlineStr">
        <is>
          <t>No</t>
        </is>
      </c>
      <c r="BG144" s="53" t="inlineStr">
        <is>
          <t>Marketing Associate</t>
        </is>
      </c>
      <c r="BH144" s="53" t="inlineStr">
        <is>
          <t>Sr. Marketing Associate</t>
        </is>
      </c>
      <c r="BI144" s="53" t="inlineStr">
        <is>
          <t>Yes</t>
        </is>
      </c>
      <c r="BJ144" s="53" t="inlineStr">
        <is>
          <t>—</t>
        </is>
      </c>
      <c r="BK144" s="53" t="inlineStr">
        <is>
          <t>—</t>
        </is>
      </c>
      <c r="BL144" s="53" t="inlineStr">
        <is>
          <t>—</t>
        </is>
      </c>
      <c r="BM144" s="53" t="inlineStr">
        <is>
          <t>Not a manager</t>
        </is>
      </c>
      <c r="BN144" s="53" t="inlineStr">
        <is>
          <t>—</t>
        </is>
      </c>
      <c r="BO144" s="53" t="inlineStr">
        <is>
          <t>—</t>
        </is>
      </c>
      <c r="BP144" s="53" t="inlineStr">
        <is>
          <t>—</t>
        </is>
      </c>
      <c r="BQ144" s="53" t="inlineStr">
        <is>
          <t>Not a manager</t>
        </is>
      </c>
      <c r="BR144" s="53" t="inlineStr">
        <is>
          <t>—</t>
        </is>
      </c>
      <c r="BS144" s="53" t="inlineStr">
        <is>
          <t>L3 – Professional / Associate</t>
        </is>
      </c>
      <c r="BT144" s="53" t="inlineStr">
        <is>
          <t>L3 – Professional / Associate</t>
        </is>
      </c>
      <c r="BU144" s="53" t="inlineStr">
        <is>
          <t>No exact Title Hierarchy match — retained current record value</t>
        </is>
      </c>
      <c r="BV144" s="53"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W144" s="53" t="n"/>
      <c r="BX144" s="53" t="inlineStr">
        <is>
          <t>Global</t>
        </is>
      </c>
      <c r="BY144" s="53" t="n"/>
      <c r="BZ144" s="53" t="inlineStr">
        <is>
          <t>IRIS2316</t>
        </is>
      </c>
      <c r="CA144" s="53" t="inlineStr">
        <is>
          <t>Employee</t>
        </is>
      </c>
      <c r="CB144" s="53" t="inlineStr">
        <is>
          <t>Active</t>
        </is>
      </c>
      <c r="CC144" s="53" t="inlineStr">
        <is>
          <t>Mounika Kattula</t>
        </is>
      </c>
      <c r="CD144" s="54" t="n">
        <v>45572</v>
      </c>
      <c r="CE144" s="53" t="inlineStr">
        <is>
          <t>Marketing Associate</t>
        </is>
      </c>
      <c r="CF144" s="53" t="inlineStr">
        <is>
          <t>reports to Sudipta, database creation team - they use Lusha to generate the list of customers for the SDR team &amp; upload the same on hubspot:</t>
        </is>
      </c>
      <c r="CG144" s="53" t="inlineStr">
        <is>
          <t>Marketing &amp; Communications</t>
        </is>
      </c>
      <c r="CH144" s="53" t="inlineStr">
        <is>
          <t>Marketing Operations</t>
        </is>
      </c>
      <c r="CI144" s="53" t="inlineStr">
        <is>
          <t>Marketing Associate</t>
        </is>
      </c>
      <c r="CJ144" s="53" t="inlineStr">
        <is>
          <t>L3 – Professional / Associate</t>
        </is>
      </c>
      <c r="CK144" s="53" t="inlineStr">
        <is>
          <t>Sudipta Kundu</t>
        </is>
      </c>
      <c r="CL144" s="53" t="inlineStr">
        <is>
          <t>N-5</t>
        </is>
      </c>
      <c r="CM144" s="53" t="inlineStr">
        <is>
          <t>Individual Contributor</t>
        </is>
      </c>
      <c r="CN144" s="53" t="inlineStr">
        <is>
          <t>Regtech</t>
        </is>
      </c>
      <c r="CO144" s="53" t="inlineStr">
        <is>
          <t>Marketing</t>
        </is>
      </c>
      <c r="CP144" s="53" t="inlineStr">
        <is>
          <t>3 years, 9 months, 13 days</t>
        </is>
      </c>
      <c r="CQ144" s="53" t="inlineStr">
        <is>
          <t>Senior Marketing Associates</t>
        </is>
      </c>
      <c r="CR144" s="53" t="inlineStr">
        <is>
          <t>Yes</t>
        </is>
      </c>
      <c r="CS144" s="53" t="n">
        <v>4</v>
      </c>
      <c r="CT144" s="53" t="inlineStr">
        <is>
          <t>High</t>
        </is>
      </c>
      <c r="CU144" s="53" t="inlineStr">
        <is>
          <t>Emerging Talent</t>
        </is>
      </c>
      <c r="CV144" s="53" t="inlineStr">
        <is>
          <t>Yes</t>
        </is>
      </c>
      <c r="CW144" s="53" t="inlineStr">
        <is>
          <t>Yes</t>
        </is>
      </c>
      <c r="CX144" s="53" t="inlineStr">
        <is>
          <t>Yes</t>
        </is>
      </c>
      <c r="CY144" s="53" t="inlineStr">
        <is>
          <t>Ritam Mukhopadhyay</t>
        </is>
      </c>
      <c r="CZ144" s="53" t="n"/>
      <c r="DA144" s="53" t="inlineStr">
        <is>
          <t>Yes</t>
        </is>
      </c>
      <c r="DB144" s="53" t="n"/>
      <c r="DC144" s="53" t="n"/>
      <c r="DD144" s="53" t="n"/>
      <c r="DE144" s="53" t="n"/>
      <c r="DF144" s="53" t="n"/>
      <c r="DG144" s="53" t="n"/>
      <c r="DH144" s="53" t="n"/>
      <c r="DI144" s="53" t="n"/>
      <c r="DJ144" s="53" t="n"/>
      <c r="DK144" s="53" t="n"/>
      <c r="DL144" s="53" t="n"/>
      <c r="DM144" s="53" t="n"/>
      <c r="DN144" s="53" t="n"/>
      <c r="DO144" s="53" t="n"/>
      <c r="DP144" s="53" t="n"/>
      <c r="DQ144" s="53" t="n"/>
      <c r="DR144" s="53" t="n"/>
      <c r="DS144" s="53" t="n"/>
      <c r="DT144" s="53" t="n"/>
      <c r="DU144" s="53" t="n"/>
      <c r="DV144" s="53" t="n"/>
      <c r="DW144" s="53" t="n"/>
      <c r="DX144" s="53" t="n"/>
      <c r="DY144" s="53" t="n"/>
      <c r="DZ144" s="53" t="n"/>
      <c r="EA144" s="53" t="n"/>
      <c r="EB144" s="53" t="n"/>
      <c r="EC144" s="53" t="n"/>
      <c r="ED144" s="53" t="n"/>
      <c r="EE144" s="53" t="n"/>
      <c r="EF144" s="53" t="n"/>
      <c r="EG144" s="53" t="n"/>
      <c r="EH144" s="53" t="n"/>
      <c r="EI144" s="53" t="n"/>
      <c r="EJ144" s="53" t="n"/>
      <c r="EK144" s="53" t="n"/>
      <c r="EL144" s="53" t="n"/>
      <c r="EM144" s="53" t="n"/>
      <c r="EN144" s="53" t="n"/>
      <c r="EO144" s="53" t="n"/>
      <c r="EP144" s="53" t="n"/>
      <c r="EQ144" s="53" t="n"/>
      <c r="ER144" s="53" t="n"/>
      <c r="ES144" s="53" t="n"/>
      <c r="ET144" s="53" t="n"/>
      <c r="EU144" s="53" t="n"/>
      <c r="EV144" s="53" t="n"/>
      <c r="EW144" s="52" t="n"/>
      <c r="EX144" s="53" t="inlineStr">
        <is>
          <t>• This role leads database strategy, research and CRM management to keep data accurate, organised and effectively used across the business.</t>
        </is>
      </c>
      <c r="EY144" s="53"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EZ144" s="53" t="inlineStr">
        <is>
          <t>• Current capabilities: HubSpot, Excel, Seamless and data-quality auditing; Critical thinking, attention to detail and process improvement.</t>
        </is>
      </c>
      <c r="FA144" s="53"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B144" s="53" t="inlineStr">
        <is>
          <t>• Key challenges: Incomplete and inconsistent source data; Manual processes and missing CRM information.
• Support required: Better tool integration and automation to reduce manual effort and improve data accuracy.</t>
        </is>
      </c>
      <c r="FC144" s="53" t="n"/>
      <c r="FD144" s="53" t="n"/>
      <c r="FE144" s="57"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FF144" s="56" t="n"/>
      <c r="FG144" s="56" t="n"/>
      <c r="FH144" s="56" t="n"/>
      <c r="FI144" s="56" t="inlineStr">
        <is>
          <t>reports to Sudipta, database creation team - they use Lusha to generate the list of customers for the SDR team &amp; upload the same on hubspot:</t>
        </is>
      </c>
      <c r="FJ144" s="56" t="inlineStr">
        <is>
          <t>Received · manager annual</t>
        </is>
      </c>
      <c r="FK144" s="56" t="inlineStr">
        <is>
          <t>CARBON Mapping Master · CARBON Talent Mapping · Raw</t>
        </is>
      </c>
      <c r="FL144" s="56" t="n">
        <v>20</v>
      </c>
      <c r="FM144" s="56" t="inlineStr">
        <is>
          <t>• This role leads database strategy, research and CRM management to keep data accurate, organised and effectively used across the business.</t>
        </is>
      </c>
      <c r="FN144" s="56"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FO144" s="56" t="inlineStr">
        <is>
          <t>• Current capabilities: HubSpot, Excel, Seamless and data-quality auditing; Critical thinking, attention to detail and process improvement.</t>
        </is>
      </c>
      <c r="FP144" s="56"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Q144" s="56" t="inlineStr">
        <is>
          <t>• Key challenges: Incomplete and inconsistent source data; Manual processes and missing CRM information.
• Support required: Better tool integration and automation to reduce manual effort and improve data accuracy.</t>
        </is>
      </c>
      <c r="FR144" s="56" t="inlineStr">
        <is>
          <t>Complexity: Evidence reads like A3: Runs CRM data quality: enrichment, validation, auditing, tagging and process improvement on global HubSpot data → moved up 0.5
Autonomy: Evidence reads like A3: Decides data quality and CRM hygiene matters independently → matches the start
Accountability: Evidence reads like A3: Accountable for data quality and CRM accuracy that outreach, reporting and SDR effort depend on → moved down 0.5
Leadership: Evidence reads like A3: Two direct reports in HR data and 'we manage global data'; no leadership tasks described → moved down 0.5
Business Impact: Moved +0.5: the survey / manager mapping marks it business-critical.</t>
        </is>
      </c>
      <c r="FS144"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144" s="56" t="inlineStr">
        <is>
          <t>Self-identified: Strategy &amp; business acumen
For the next role: Strategy &amp; business acumen</t>
        </is>
      </c>
      <c r="FU144" s="56" t="inlineStr">
        <is>
          <t>Per-person summary · CARBON Mapping Master</t>
        </is>
      </c>
    </row>
    <row r="145" ht="90" customHeight="1">
      <c r="A145" s="51" t="inlineStr">
        <is>
          <t>◂ Back</t>
        </is>
      </c>
      <c r="B145" s="29" t="inlineStr">
        <is>
          <t>Mapped</t>
        </is>
      </c>
      <c r="C145" s="28" t="inlineStr">
        <is>
          <t>CARBON</t>
        </is>
      </c>
      <c r="D145" s="29" t="inlineStr">
        <is>
          <t>IRIS2535</t>
        </is>
      </c>
      <c r="E145" s="29" t="inlineStr">
        <is>
          <t>Kaninika Kali</t>
        </is>
      </c>
      <c r="F145" s="29" t="inlineStr">
        <is>
          <t>Marketing</t>
        </is>
      </c>
      <c r="G145" s="29" t="inlineStr">
        <is>
          <t>Associate- MarkOps</t>
        </is>
      </c>
      <c r="H145" s="29" t="inlineStr">
        <is>
          <t>Marketing Operations Associate</t>
        </is>
      </c>
      <c r="I145" s="29" t="inlineStr">
        <is>
          <t>L1 – Intern</t>
        </is>
      </c>
      <c r="J145" s="29" t="inlineStr">
        <is>
          <t>A2</t>
        </is>
      </c>
      <c r="K145" s="29" t="inlineStr">
        <is>
          <t>▲ Up</t>
        </is>
      </c>
      <c r="L145" s="29" t="inlineStr">
        <is>
          <t>Marketing &amp; Communications</t>
        </is>
      </c>
      <c r="M145" s="29" t="inlineStr">
        <is>
          <t>Marketing Operations &amp; Automation</t>
        </is>
      </c>
      <c r="N145" s="29" t="n"/>
      <c r="O145" s="29" t="n">
        <v>20</v>
      </c>
      <c r="P145" s="28" t="inlineStr">
        <is>
          <t>P1–P2</t>
        </is>
      </c>
      <c r="Q145" s="29" t="inlineStr">
        <is>
          <t>Entry / Developing</t>
        </is>
      </c>
      <c r="R145" s="29" t="inlineStr">
        <is>
          <t>2 Assist</t>
        </is>
      </c>
      <c r="S145" s="29" t="inlineStr">
        <is>
          <t>0–2 yrs</t>
        </is>
      </c>
      <c r="T145" s="29" t="inlineStr">
        <is>
          <t>1–3 · 0–3</t>
        </is>
      </c>
      <c r="U145" s="29" t="inlineStr">
        <is>
          <t>Marketing Associate / Marketing Executive</t>
        </is>
      </c>
      <c r="V145" s="29" t="inlineStr">
        <is>
          <t>IRIS Vs Market Benchmark — CIM proficiency scale: 2 Active learner · IRIS Vs Competitor Benchmark — SaaS marketing ladder: Marketing Associate</t>
        </is>
      </c>
      <c r="W145" s="29" t="inlineStr">
        <is>
          <t>CIM Global Professional Marketing Framework — proficiency Aware → Active learner → Able → Accomplished → Authoritative</t>
        </is>
      </c>
      <c r="X145" s="29" t="inlineStr">
        <is>
          <t>Core 2 · Future 2 · Functional 2 · Leadership not scored</t>
        </is>
      </c>
      <c r="Y145" s="52" t="n">
        <v>507</v>
      </c>
      <c r="Z145" s="53" t="inlineStr">
        <is>
          <t>IRIS2535</t>
        </is>
      </c>
      <c r="AA145" s="53" t="inlineStr">
        <is>
          <t>Employee</t>
        </is>
      </c>
      <c r="AB145" s="53" t="inlineStr">
        <is>
          <t>Active</t>
        </is>
      </c>
      <c r="AC145" s="53" t="inlineStr">
        <is>
          <t>Kaninika Kali</t>
        </is>
      </c>
      <c r="AD145" s="54" t="n">
        <v>46178</v>
      </c>
      <c r="AE145" s="53" t="inlineStr">
        <is>
          <t>Associate- MarkOps</t>
        </is>
      </c>
      <c r="AF145" s="53" t="inlineStr">
        <is>
          <t>B.Tech</t>
        </is>
      </c>
      <c r="AG145" s="53" t="inlineStr">
        <is>
          <t>Mounika Kattula</t>
        </is>
      </c>
      <c r="AH145" s="53" t="inlineStr">
        <is>
          <t>N-6</t>
        </is>
      </c>
      <c r="AI145" s="53" t="inlineStr">
        <is>
          <t>Individual Contributor</t>
        </is>
      </c>
      <c r="AJ145" s="53" t="inlineStr">
        <is>
          <t>0 years, 0 months, 00 days</t>
        </is>
      </c>
      <c r="AK145" s="53" t="inlineStr">
        <is>
          <t>0 years, 11 months, 30 days</t>
        </is>
      </c>
      <c r="AL145" s="53" t="inlineStr">
        <is>
          <t>Regtech</t>
        </is>
      </c>
      <c r="AM145" s="53" t="inlineStr">
        <is>
          <t>CARBON</t>
        </is>
      </c>
      <c r="AN145" s="53" t="inlineStr">
        <is>
          <t>Marketing</t>
        </is>
      </c>
      <c r="AO145" s="53" t="inlineStr">
        <is>
          <t>Marketing</t>
        </is>
      </c>
      <c r="AP145" s="53" t="inlineStr">
        <is>
          <t>No</t>
        </is>
      </c>
      <c r="AQ145" s="53" t="inlineStr">
        <is>
          <t>Sales, Marketing &amp; Support</t>
        </is>
      </c>
      <c r="AR145" s="53" t="inlineStr">
        <is>
          <t>Marketing</t>
        </is>
      </c>
      <c r="AS145" s="53" t="inlineStr">
        <is>
          <t>Non-technical</t>
        </is>
      </c>
      <c r="AT145" s="53" t="n">
        <v>20</v>
      </c>
      <c r="AU145" s="53" t="inlineStr">
        <is>
          <t>Covered</t>
        </is>
      </c>
      <c r="AV145" s="53" t="inlineStr">
        <is>
          <t>INTN0271</t>
        </is>
      </c>
      <c r="AW145" s="53" t="inlineStr">
        <is>
          <t>Kaninika Kali</t>
        </is>
      </c>
      <c r="AX145" s="53" t="inlineStr">
        <is>
          <t>Marketing</t>
        </is>
      </c>
      <c r="AY145" s="53" t="inlineStr">
        <is>
          <t>Marketing &amp; Communications</t>
        </is>
      </c>
      <c r="AZ145" s="53" t="inlineStr">
        <is>
          <t>Marketing Operations</t>
        </is>
      </c>
      <c r="BA145" s="53" t="n"/>
      <c r="BB145" s="53" t="n"/>
      <c r="BC145" s="53" t="inlineStr">
        <is>
          <t>Intern</t>
        </is>
      </c>
      <c r="BD145" s="53" t="inlineStr">
        <is>
          <t>Sudipta Kundu</t>
        </is>
      </c>
      <c r="BE145" s="53" t="inlineStr">
        <is>
          <t>Sudipta Kundu</t>
        </is>
      </c>
      <c r="BF145" s="53" t="inlineStr">
        <is>
          <t>No</t>
        </is>
      </c>
      <c r="BG145" s="53" t="inlineStr">
        <is>
          <t>Intern</t>
        </is>
      </c>
      <c r="BH145" s="53" t="inlineStr">
        <is>
          <t>Associate - Marketing Operations</t>
        </is>
      </c>
      <c r="BI145" s="53" t="inlineStr">
        <is>
          <t>Yes</t>
        </is>
      </c>
      <c r="BJ145" s="53" t="inlineStr">
        <is>
          <t>—</t>
        </is>
      </c>
      <c r="BK145" s="53" t="inlineStr">
        <is>
          <t>—</t>
        </is>
      </c>
      <c r="BL145" s="53" t="inlineStr">
        <is>
          <t>—</t>
        </is>
      </c>
      <c r="BM145" s="53" t="inlineStr">
        <is>
          <t>Not a manager</t>
        </is>
      </c>
      <c r="BN145" s="53" t="inlineStr">
        <is>
          <t>—</t>
        </is>
      </c>
      <c r="BO145" s="53" t="inlineStr">
        <is>
          <t>—</t>
        </is>
      </c>
      <c r="BP145" s="53" t="inlineStr">
        <is>
          <t>—</t>
        </is>
      </c>
      <c r="BQ145" s="53" t="inlineStr">
        <is>
          <t>Not a manager</t>
        </is>
      </c>
      <c r="BR145" s="53" t="inlineStr">
        <is>
          <t>—</t>
        </is>
      </c>
      <c r="BS145" s="53" t="inlineStr">
        <is>
          <t>L1 – Intern</t>
        </is>
      </c>
      <c r="BT145" s="53" t="inlineStr">
        <is>
          <t>L1 – Intern</t>
        </is>
      </c>
      <c r="BU145" s="53" t="inlineStr">
        <is>
          <t>No exact Title Hierarchy match — retained current record value</t>
        </is>
      </c>
      <c r="BV145" s="53"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W145" s="53" t="n"/>
      <c r="BX145" s="53" t="inlineStr">
        <is>
          <t>India and global enterprise accounts</t>
        </is>
      </c>
      <c r="BY145" s="53" t="n"/>
      <c r="BZ145" s="53" t="inlineStr">
        <is>
          <t>INTN0271</t>
        </is>
      </c>
      <c r="CA145" s="53" t="inlineStr">
        <is>
          <t>Intern</t>
        </is>
      </c>
      <c r="CB145" s="53" t="inlineStr">
        <is>
          <t>Active</t>
        </is>
      </c>
      <c r="CC145" s="53" t="inlineStr">
        <is>
          <t>Kaninika Kali</t>
        </is>
      </c>
      <c r="CD145" s="54" t="n">
        <v>45817</v>
      </c>
      <c r="CE145" s="53" t="inlineStr">
        <is>
          <t>Intern</t>
        </is>
      </c>
      <c r="CF145" s="53" t="inlineStr">
        <is>
          <t>Converted to FTE: reports to Sudipta, database creation team - they use Lusha to generate the list of customers for the SDR team &amp; upload the same on hubspot:</t>
        </is>
      </c>
      <c r="CG145" s="53" t="inlineStr">
        <is>
          <t>Marketing &amp; Communications</t>
        </is>
      </c>
      <c r="CH145" s="53" t="inlineStr">
        <is>
          <t>Marketing Operations</t>
        </is>
      </c>
      <c r="CI145" s="53" t="inlineStr">
        <is>
          <t>Intern</t>
        </is>
      </c>
      <c r="CJ145" s="53" t="inlineStr">
        <is>
          <t>L1 – Intern</t>
        </is>
      </c>
      <c r="CK145" s="53" t="inlineStr">
        <is>
          <t>Sudipta Kundu</t>
        </is>
      </c>
      <c r="CL145" s="53" t="inlineStr">
        <is>
          <t>N-5</t>
        </is>
      </c>
      <c r="CM145" s="53" t="inlineStr">
        <is>
          <t>Individual Contributor</t>
        </is>
      </c>
      <c r="CN145" s="53" t="inlineStr">
        <is>
          <t>Regtech</t>
        </is>
      </c>
      <c r="CO145" s="53" t="inlineStr">
        <is>
          <t>Marketing</t>
        </is>
      </c>
      <c r="CP145" s="53" t="inlineStr">
        <is>
          <t>1 years, 0 months, 11 days</t>
        </is>
      </c>
      <c r="CQ145" s="53" t="inlineStr">
        <is>
          <t>Associate - Marketing Operations</t>
        </is>
      </c>
      <c r="CR145" s="53" t="inlineStr">
        <is>
          <t>No</t>
        </is>
      </c>
      <c r="CS145" s="53" t="n">
        <v>3</v>
      </c>
      <c r="CT145" s="53" t="inlineStr">
        <is>
          <t>Low</t>
        </is>
      </c>
      <c r="CU145" s="53" t="inlineStr">
        <is>
          <t>Core Contributor</t>
        </is>
      </c>
      <c r="CV145" s="53" t="n"/>
      <c r="CW145" s="53" t="inlineStr">
        <is>
          <t>No</t>
        </is>
      </c>
      <c r="CX145" s="53" t="inlineStr">
        <is>
          <t>No</t>
        </is>
      </c>
      <c r="CY145" s="53" t="n"/>
      <c r="CZ145" s="53" t="inlineStr">
        <is>
          <t>Yes</t>
        </is>
      </c>
      <c r="DA145" s="53" t="n"/>
      <c r="DB145" s="53" t="inlineStr">
        <is>
          <t>Title to be standardized to: Associate - Marketing Operations</t>
        </is>
      </c>
      <c r="DC145" s="53" t="n"/>
      <c r="DD145" s="53" t="n"/>
      <c r="DE145" s="53" t="n"/>
      <c r="DF145" s="53" t="n"/>
      <c r="DG145" s="53" t="n"/>
      <c r="DH145" s="53" t="n"/>
      <c r="DI145" s="53" t="n"/>
      <c r="DJ145" s="53" t="n"/>
      <c r="DK145" s="53" t="n"/>
      <c r="DL145" s="53" t="n"/>
      <c r="DM145" s="53" t="n"/>
      <c r="DN145" s="53" t="n"/>
      <c r="DO145" s="53" t="n"/>
      <c r="DP145" s="53" t="n"/>
      <c r="DQ145" s="53" t="n"/>
      <c r="DR145" s="53" t="n"/>
      <c r="DS145" s="53" t="n"/>
      <c r="DT145" s="53" t="n"/>
      <c r="DU145" s="53" t="n"/>
      <c r="DV145" s="53" t="n"/>
      <c r="DW145" s="53" t="n"/>
      <c r="DX145" s="53" t="n"/>
      <c r="DY145" s="53" t="n"/>
      <c r="DZ145" s="53" t="n"/>
      <c r="EA145" s="53" t="n"/>
      <c r="EB145" s="53" t="n"/>
      <c r="EC145" s="53" t="n"/>
      <c r="ED145" s="53" t="n"/>
      <c r="EE145" s="53" t="n"/>
      <c r="EF145" s="53" t="n"/>
      <c r="EG145" s="53" t="n"/>
      <c r="EH145" s="53" t="n"/>
      <c r="EI145" s="53" t="n"/>
      <c r="EJ145" s="53" t="n"/>
      <c r="EK145" s="53" t="n"/>
      <c r="EL145" s="53" t="n"/>
      <c r="EM145" s="53" t="n"/>
      <c r="EN145" s="53" t="n"/>
      <c r="EO145" s="53" t="n"/>
      <c r="EP145" s="53" t="n"/>
      <c r="EQ145" s="53" t="n"/>
      <c r="ER145" s="53" t="n"/>
      <c r="ES145" s="53" t="n"/>
      <c r="ET145" s="53" t="n"/>
      <c r="EU145" s="53" t="n"/>
      <c r="EV145" s="53" t="n"/>
      <c r="EW145" s="52" t="n"/>
      <c r="EX145" s="53" t="inlineStr">
        <is>
          <t>• This role conducts database research, data enrichment and data-quality maintenance.</t>
        </is>
      </c>
      <c r="EY145" s="53"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EZ145" s="53" t="inlineStr">
        <is>
          <t>• Current capabilities: Advanced Excel, HubSpot, AI and enrichment tools; Structured data management and enterprise-account research.</t>
        </is>
      </c>
      <c r="FA145" s="53"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B145" s="53"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C145" s="53" t="n"/>
      <c r="FD145" s="53" t="inlineStr">
        <is>
          <t>INTN0271</t>
        </is>
      </c>
      <c r="FE145" s="57"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FF145" s="56" t="n"/>
      <c r="FG145" s="56" t="n"/>
      <c r="FH145" s="56" t="n"/>
      <c r="FI145" s="56" t="inlineStr">
        <is>
          <t>Converted to FTE: reports to Sudipta, database creation team - they use Lusha to generate the list of customers for the SDR team &amp; upload the same on hubspot:</t>
        </is>
      </c>
      <c r="FJ145" s="56" t="inlineStr">
        <is>
          <t>Received · manager annual</t>
        </is>
      </c>
      <c r="FK145" s="56" t="inlineStr">
        <is>
          <t>CARBON Mapping Master · CARBON Talent Mapping · Raw</t>
        </is>
      </c>
      <c r="FL145" s="56" t="n">
        <v>20</v>
      </c>
      <c r="FM145" s="56" t="inlineStr">
        <is>
          <t>• This role conducts database research, data enrichment and data-quality maintenance.</t>
        </is>
      </c>
      <c r="FN145" s="56"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FO145" s="56" t="inlineStr">
        <is>
          <t>• Current capabilities: Advanced Excel, HubSpot, AI and enrichment tools; Structured data management and enterprise-account research.</t>
        </is>
      </c>
      <c r="FP145" s="56"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Q145" s="56"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R145" s="56" t="inlineStr">
        <is>
          <t>Complexity: Evidence reads like A2: Database research, contact and company enrichment, SDR contact assignment, HubSpot property tagging → matches the start
Autonomy: Evidence reads like A2: Decides contact segments and company information within set HubSpot processes → matches the start
Accountability: Evidence reads like A2: Correct contact/company ownership and HubSpot property tagging on own records → matches the start
Leadership: Evidence reads like A1: No guiding or leading of others described → matches the start
Business Impact: No survey or manager-mapping signal on criticality: kept at the start point.</t>
        </is>
      </c>
      <c r="FS145" s="56" t="inlineStr">
        <is>
          <t>Common themes in role-holders' answers: maintaining · data · sdr · involves · lusha · upload
Common themes in role-holders' answers: hygiene · enrichment · data · hubspot
Common themes in role-holders' answers: data
Common themes in role-holders' answers: hubspot</t>
        </is>
      </c>
      <c r="FT145" s="56" t="inlineStr">
        <is>
          <t>Self-identified: Data, SQL &amp; analytics · Marketing &amp; content
For the next role: Data, SQL &amp; analytics · Marketing &amp; content</t>
        </is>
      </c>
      <c r="FU145" s="56" t="inlineStr">
        <is>
          <t>Per-person summary · CARBON Mapping Master</t>
        </is>
      </c>
    </row>
    <row r="146" ht="90" customHeight="1">
      <c r="A146" s="51" t="inlineStr">
        <is>
          <t>◂ Back</t>
        </is>
      </c>
      <c r="B146" s="29" t="inlineStr">
        <is>
          <t>Mapped</t>
        </is>
      </c>
      <c r="C146" s="28" t="inlineStr">
        <is>
          <t>CARBON</t>
        </is>
      </c>
      <c r="D146" s="29" t="inlineStr">
        <is>
          <t>IRIS2534</t>
        </is>
      </c>
      <c r="E146" s="29" t="inlineStr">
        <is>
          <t>Vishal</t>
        </is>
      </c>
      <c r="F146" s="29" t="inlineStr">
        <is>
          <t>Marketing</t>
        </is>
      </c>
      <c r="G146" s="29" t="inlineStr">
        <is>
          <t>Associate- MarkOps</t>
        </is>
      </c>
      <c r="H146" s="29" t="inlineStr">
        <is>
          <t>Marketing Operations Associate</t>
        </is>
      </c>
      <c r="I146" s="29" t="inlineStr">
        <is>
          <t>L1 – Intern</t>
        </is>
      </c>
      <c r="J146" s="29" t="inlineStr">
        <is>
          <t>A2</t>
        </is>
      </c>
      <c r="K146" s="29" t="inlineStr">
        <is>
          <t>▲ Up</t>
        </is>
      </c>
      <c r="L146" s="29" t="inlineStr">
        <is>
          <t>Marketing &amp; Communications</t>
        </is>
      </c>
      <c r="M146" s="29" t="inlineStr">
        <is>
          <t>Marketing Operations &amp; Automation</t>
        </is>
      </c>
      <c r="N146" s="29" t="n"/>
      <c r="O146" s="29" t="n">
        <v>20</v>
      </c>
      <c r="P146" s="28" t="inlineStr">
        <is>
          <t>P1–P2</t>
        </is>
      </c>
      <c r="Q146" s="29" t="inlineStr">
        <is>
          <t>Entry / Developing</t>
        </is>
      </c>
      <c r="R146" s="29" t="inlineStr">
        <is>
          <t>2 Assist</t>
        </is>
      </c>
      <c r="S146" s="29" t="inlineStr">
        <is>
          <t>0–2 yrs</t>
        </is>
      </c>
      <c r="T146" s="29" t="inlineStr">
        <is>
          <t>1–3 · 0–3</t>
        </is>
      </c>
      <c r="U146" s="29" t="inlineStr">
        <is>
          <t>Marketing Associate / Marketing Executive</t>
        </is>
      </c>
      <c r="V146" s="29" t="inlineStr">
        <is>
          <t>IRIS Vs Market Benchmark — CIM proficiency scale: 2 Active learner · IRIS Vs Competitor Benchmark — SaaS marketing ladder: Marketing Associate</t>
        </is>
      </c>
      <c r="W146" s="29" t="inlineStr">
        <is>
          <t>CIM Global Professional Marketing Framework — proficiency Aware → Active learner → Able → Accomplished → Authoritative</t>
        </is>
      </c>
      <c r="X146" s="29" t="inlineStr">
        <is>
          <t>Core 2 · Future 2 · Functional 2 · Leadership not scored</t>
        </is>
      </c>
      <c r="Y146" s="52" t="n">
        <v>506</v>
      </c>
      <c r="Z146" s="53" t="inlineStr">
        <is>
          <t>IRIS2534</t>
        </is>
      </c>
      <c r="AA146" s="53" t="inlineStr">
        <is>
          <t>Employee</t>
        </is>
      </c>
      <c r="AB146" s="53" t="inlineStr">
        <is>
          <t>Active</t>
        </is>
      </c>
      <c r="AC146" s="53" t="inlineStr">
        <is>
          <t>Vishal</t>
        </is>
      </c>
      <c r="AD146" s="54" t="n">
        <v>46178</v>
      </c>
      <c r="AE146" s="53" t="inlineStr">
        <is>
          <t>Associate- MarkOps</t>
        </is>
      </c>
      <c r="AF146" s="53" t="inlineStr">
        <is>
          <t>B.E</t>
        </is>
      </c>
      <c r="AG146" s="53" t="inlineStr">
        <is>
          <t>Mounika Kattula</t>
        </is>
      </c>
      <c r="AH146" s="53" t="inlineStr">
        <is>
          <t>N-6</t>
        </is>
      </c>
      <c r="AI146" s="53" t="inlineStr">
        <is>
          <t>Individual Contributor</t>
        </is>
      </c>
      <c r="AJ146" s="53" t="inlineStr">
        <is>
          <t>0 years, 0 months, 00 days</t>
        </is>
      </c>
      <c r="AK146" s="53" t="inlineStr">
        <is>
          <t>1 years, 0 months, 3 days</t>
        </is>
      </c>
      <c r="AL146" s="53" t="inlineStr">
        <is>
          <t>Regtech</t>
        </is>
      </c>
      <c r="AM146" s="53" t="inlineStr">
        <is>
          <t>CARBON</t>
        </is>
      </c>
      <c r="AN146" s="53" t="inlineStr">
        <is>
          <t>Marketing</t>
        </is>
      </c>
      <c r="AO146" s="53" t="inlineStr">
        <is>
          <t>Marketing</t>
        </is>
      </c>
      <c r="AP146" s="53" t="inlineStr">
        <is>
          <t>No</t>
        </is>
      </c>
      <c r="AQ146" s="53" t="inlineStr">
        <is>
          <t>Sales, Marketing &amp; Support</t>
        </is>
      </c>
      <c r="AR146" s="53" t="inlineStr">
        <is>
          <t>Marketing</t>
        </is>
      </c>
      <c r="AS146" s="53" t="inlineStr">
        <is>
          <t>Non-technical</t>
        </is>
      </c>
      <c r="AT146" s="53" t="n">
        <v>20</v>
      </c>
      <c r="AU146" s="53" t="inlineStr">
        <is>
          <t>Covered</t>
        </is>
      </c>
      <c r="AV146" s="53" t="inlineStr">
        <is>
          <t>INTN0266</t>
        </is>
      </c>
      <c r="AW146" s="53" t="inlineStr">
        <is>
          <t>Vishal</t>
        </is>
      </c>
      <c r="AX146" s="53" t="inlineStr">
        <is>
          <t>Marketing</t>
        </is>
      </c>
      <c r="AY146" s="53" t="inlineStr">
        <is>
          <t>Marketing &amp; Communications</t>
        </is>
      </c>
      <c r="AZ146" s="53" t="inlineStr">
        <is>
          <t>Marketing Operations</t>
        </is>
      </c>
      <c r="BA146" s="53" t="n"/>
      <c r="BB146" s="53" t="n"/>
      <c r="BC146" s="53" t="inlineStr">
        <is>
          <t>Intern</t>
        </is>
      </c>
      <c r="BD146" s="53" t="inlineStr">
        <is>
          <t>Sudipta Kundu</t>
        </is>
      </c>
      <c r="BE146" s="53" t="inlineStr">
        <is>
          <t>Sudipta Kundu</t>
        </is>
      </c>
      <c r="BF146" s="53" t="inlineStr">
        <is>
          <t>No</t>
        </is>
      </c>
      <c r="BG146" s="53" t="inlineStr">
        <is>
          <t>Intern</t>
        </is>
      </c>
      <c r="BH146" s="53" t="inlineStr">
        <is>
          <t>Associate MarkOps</t>
        </is>
      </c>
      <c r="BI146" s="53" t="inlineStr">
        <is>
          <t>Yes</t>
        </is>
      </c>
      <c r="BJ146" s="53" t="inlineStr">
        <is>
          <t>—</t>
        </is>
      </c>
      <c r="BK146" s="53" t="inlineStr">
        <is>
          <t>—</t>
        </is>
      </c>
      <c r="BL146" s="53" t="inlineStr">
        <is>
          <t>—</t>
        </is>
      </c>
      <c r="BM146" s="53" t="inlineStr">
        <is>
          <t>Not a manager</t>
        </is>
      </c>
      <c r="BN146" s="53" t="inlineStr">
        <is>
          <t>—</t>
        </is>
      </c>
      <c r="BO146" s="53" t="inlineStr">
        <is>
          <t>—</t>
        </is>
      </c>
      <c r="BP146" s="53" t="inlineStr">
        <is>
          <t>—</t>
        </is>
      </c>
      <c r="BQ146" s="53" t="inlineStr">
        <is>
          <t>Not a manager</t>
        </is>
      </c>
      <c r="BR146" s="53" t="inlineStr">
        <is>
          <t>—</t>
        </is>
      </c>
      <c r="BS146" s="53" t="inlineStr">
        <is>
          <t>L1 – Intern</t>
        </is>
      </c>
      <c r="BT146" s="53" t="inlineStr">
        <is>
          <t>L1 – Intern</t>
        </is>
      </c>
      <c r="BU146" s="53" t="inlineStr">
        <is>
          <t>No exact Title Hierarchy match — retained current record value</t>
        </is>
      </c>
      <c r="BV146" s="53"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W146" s="53" t="n"/>
      <c r="BX146" s="53" t="inlineStr">
        <is>
          <t>Worldwide</t>
        </is>
      </c>
      <c r="BY146" s="53" t="inlineStr">
        <is>
          <t>Saahit Togaru</t>
        </is>
      </c>
      <c r="BZ146" s="53" t="inlineStr">
        <is>
          <t>INTN0266</t>
        </is>
      </c>
      <c r="CA146" s="53" t="inlineStr">
        <is>
          <t>Intern</t>
        </is>
      </c>
      <c r="CB146" s="53" t="inlineStr">
        <is>
          <t>Active</t>
        </is>
      </c>
      <c r="CC146" s="53" t="inlineStr">
        <is>
          <t>Vishal</t>
        </is>
      </c>
      <c r="CD146" s="54" t="n">
        <v>45813</v>
      </c>
      <c r="CE146" s="53" t="inlineStr">
        <is>
          <t>Intern</t>
        </is>
      </c>
      <c r="CF146" s="53" t="inlineStr">
        <is>
          <t>Converted to Full time - reports to Sudipta, database creation team - they use Lusha to generate the list of customers for the SDR team &amp; upload the same on hubspot:</t>
        </is>
      </c>
      <c r="CG146" s="53" t="inlineStr">
        <is>
          <t>Marketing &amp; Communications</t>
        </is>
      </c>
      <c r="CH146" s="53" t="inlineStr">
        <is>
          <t>Marketing Operations</t>
        </is>
      </c>
      <c r="CI146" s="53" t="inlineStr">
        <is>
          <t>Intern</t>
        </is>
      </c>
      <c r="CJ146" s="53" t="inlineStr">
        <is>
          <t>L1 – Intern</t>
        </is>
      </c>
      <c r="CK146" s="53" t="inlineStr">
        <is>
          <t>Sudipta Kundu</t>
        </is>
      </c>
      <c r="CL146" s="53" t="inlineStr">
        <is>
          <t>N-5</t>
        </is>
      </c>
      <c r="CM146" s="53" t="inlineStr">
        <is>
          <t>Individual Contributor</t>
        </is>
      </c>
      <c r="CN146" s="53" t="inlineStr">
        <is>
          <t>Regtech</t>
        </is>
      </c>
      <c r="CO146" s="53" t="inlineStr">
        <is>
          <t>Marketing</t>
        </is>
      </c>
      <c r="CP146" s="53" t="inlineStr">
        <is>
          <t>1 years, 0 months, 15 days</t>
        </is>
      </c>
      <c r="CQ146" s="53" t="inlineStr">
        <is>
          <t>Associate MarkOps</t>
        </is>
      </c>
      <c r="CR146" s="53" t="inlineStr">
        <is>
          <t>No</t>
        </is>
      </c>
      <c r="CS146" s="53" t="n">
        <v>4</v>
      </c>
      <c r="CT146" s="53" t="inlineStr">
        <is>
          <t>Medium</t>
        </is>
      </c>
      <c r="CU146" s="53" t="inlineStr">
        <is>
          <t>Core Contributor</t>
        </is>
      </c>
      <c r="CV146" s="53" t="n"/>
      <c r="CW146" s="53" t="inlineStr">
        <is>
          <t>No</t>
        </is>
      </c>
      <c r="CX146" s="53" t="inlineStr">
        <is>
          <t>No</t>
        </is>
      </c>
      <c r="CY146" s="53" t="n"/>
      <c r="CZ146" s="53" t="inlineStr">
        <is>
          <t>Would benefit from deeper understanding of domain + perspective of database &amp; marketing</t>
        </is>
      </c>
      <c r="DA146" s="53" t="n"/>
      <c r="DB146" s="53" t="inlineStr">
        <is>
          <t>Reporting to Mounika - for now, reporting structure change can wait, soft skill training for Mounika on people management</t>
        </is>
      </c>
      <c r="DC146" s="53" t="n"/>
      <c r="DD146" s="53" t="n"/>
      <c r="DE146" s="53" t="n"/>
      <c r="DF146" s="53" t="n"/>
      <c r="DG146" s="53" t="n"/>
      <c r="DH146" s="53" t="n"/>
      <c r="DI146" s="53" t="n"/>
      <c r="DJ146" s="53" t="n"/>
      <c r="DK146" s="53" t="n"/>
      <c r="DL146" s="53" t="n"/>
      <c r="DM146" s="53" t="n"/>
      <c r="DN146" s="53" t="n"/>
      <c r="DO146" s="53" t="n"/>
      <c r="DP146" s="53" t="n"/>
      <c r="DQ146" s="53" t="n"/>
      <c r="DR146" s="53" t="n"/>
      <c r="DS146" s="53" t="n"/>
      <c r="DT146" s="53" t="n"/>
      <c r="DU146" s="53" t="n"/>
      <c r="DV146" s="53" t="n"/>
      <c r="DW146" s="53" t="n"/>
      <c r="DX146" s="53" t="n"/>
      <c r="DY146" s="53" t="n"/>
      <c r="DZ146" s="53" t="n"/>
      <c r="EA146" s="53" t="n"/>
      <c r="EB146" s="53" t="n"/>
      <c r="EC146" s="53" t="n"/>
      <c r="ED146" s="53" t="n"/>
      <c r="EE146" s="53" t="n"/>
      <c r="EF146" s="53" t="n"/>
      <c r="EG146" s="53" t="n"/>
      <c r="EH146" s="53" t="n"/>
      <c r="EI146" s="53" t="n"/>
      <c r="EJ146" s="53" t="n"/>
      <c r="EK146" s="53" t="n"/>
      <c r="EL146" s="53" t="n"/>
      <c r="EM146" s="53" t="n"/>
      <c r="EN146" s="53" t="n"/>
      <c r="EO146" s="53" t="n"/>
      <c r="EP146" s="53" t="n"/>
      <c r="EQ146" s="53" t="n"/>
      <c r="ER146" s="53" t="n"/>
      <c r="ES146" s="53" t="n"/>
      <c r="ET146" s="53" t="n"/>
      <c r="EU146" s="53" t="n"/>
      <c r="EV146" s="53" t="n"/>
      <c r="EW146" s="52" t="n"/>
      <c r="EX146" s="53" t="inlineStr">
        <is>
          <t>• This role manages and improves data, maintains HubSpot and supports SDR requests.</t>
        </is>
      </c>
      <c r="EY146" s="53"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EZ146" s="53" t="inlineStr">
        <is>
          <t>• Current capabilities: HubSpot, LinkedIn Sales Navigator and AI-enabled enrichment tools; Data-quality management, research and task prioritisation.</t>
        </is>
      </c>
      <c r="FA146" s="53"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B146" s="53"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C146" s="53" t="n"/>
      <c r="FD146" s="53" t="inlineStr">
        <is>
          <t>INTN0266</t>
        </is>
      </c>
      <c r="FE146" s="57"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FF146" s="56" t="n"/>
      <c r="FG146" s="56" t="n"/>
      <c r="FH146" s="56" t="n"/>
      <c r="FI146" s="56" t="inlineStr">
        <is>
          <t>Converted to Full time - reports to Sudipta, database creation team - they use Lusha to generate the list of customers for the SDR team &amp; upload the same on hubspot:</t>
        </is>
      </c>
      <c r="FJ146" s="56" t="inlineStr">
        <is>
          <t>Received · manager annual</t>
        </is>
      </c>
      <c r="FK146" s="56" t="inlineStr">
        <is>
          <t>CARBON Mapping Master · CARBON Talent Mapping · Raw</t>
        </is>
      </c>
      <c r="FL146" s="56" t="n">
        <v>20</v>
      </c>
      <c r="FM146" s="56" t="inlineStr">
        <is>
          <t>• This role manages and improves data, maintains HubSpot and supports SDR requests.</t>
        </is>
      </c>
      <c r="FN146" s="56"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FO146" s="56" t="inlineStr">
        <is>
          <t>• Current capabilities: HubSpot, LinkedIn Sales Navigator and AI-enabled enrichment tools; Data-quality management, research and task prioritisation.</t>
        </is>
      </c>
      <c r="FP146" s="56"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Q146" s="56"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R146" s="56" t="inlineStr">
        <is>
          <t>Complexity: Evidence reads like A2: own survey / KRA answers · summarised by the rater; not quoted → matches the start
Autonomy: Evidence reads like A2: Decides ICP research independently; prioritises tasks by business requirement → matches the start
Accountability: Evidence reads like A2: Data accuracy and quality in HubSpot; avoiding duplicates and outdated records → matches the start
Leadership: Evidence reads like A1: No guiding or leading of others described → matches the start
Business Impact: No survey or manager-mapping signal on criticality: kept at the start point.</t>
        </is>
      </c>
      <c r="FS146" s="56" t="inlineStr">
        <is>
          <t>Common themes in role-holders' answers: maintaining · data · sdr · involves · lusha · upload
Common themes in role-holders' answers: hygiene · enrichment · data · hubspot
Common themes in role-holders' answers: data
Common themes in role-holders' answers: hubspot</t>
        </is>
      </c>
      <c r="FT146" s="56" t="inlineStr">
        <is>
          <t>Self-identified: Marketing &amp; content
For the next role: Product &amp; tool knowledge · Marketing &amp; content</t>
        </is>
      </c>
      <c r="FU146" s="56" t="inlineStr">
        <is>
          <t>Per-person summary · CARBON Mapping Master</t>
        </is>
      </c>
    </row>
    <row r="147" ht="90" customHeight="1">
      <c r="A147" s="51" t="inlineStr">
        <is>
          <t>◂ Back</t>
        </is>
      </c>
      <c r="B147" s="29" t="inlineStr">
        <is>
          <t>Mapped</t>
        </is>
      </c>
      <c r="C147" s="28" t="inlineStr">
        <is>
          <t>CARBON</t>
        </is>
      </c>
      <c r="D147" s="29" t="inlineStr">
        <is>
          <t>IRIS2514</t>
        </is>
      </c>
      <c r="E147" s="29" t="inlineStr">
        <is>
          <t>Jatin Khare</t>
        </is>
      </c>
      <c r="F147" s="29" t="inlineStr">
        <is>
          <t>Marketing</t>
        </is>
      </c>
      <c r="G147" s="29" t="inlineStr">
        <is>
          <t>Marketing Associate</t>
        </is>
      </c>
      <c r="H147" s="29" t="inlineStr">
        <is>
          <t>Content Marketing Associate</t>
        </is>
      </c>
      <c r="I147" s="29" t="inlineStr">
        <is>
          <t>L3 – Professional / Associate</t>
        </is>
      </c>
      <c r="J147" s="29" t="inlineStr">
        <is>
          <t>A2</t>
        </is>
      </c>
      <c r="K147" s="29" t="inlineStr">
        <is>
          <t>• Same level</t>
        </is>
      </c>
      <c r="L147" s="29" t="inlineStr">
        <is>
          <t>Marketing &amp; Communications</t>
        </is>
      </c>
      <c r="M147" s="29" t="inlineStr">
        <is>
          <t>Content Marketing</t>
        </is>
      </c>
      <c r="N147" s="29" t="n"/>
      <c r="O147" s="29" t="n">
        <v>19</v>
      </c>
      <c r="P147" s="28" t="inlineStr">
        <is>
          <t>P1–P2</t>
        </is>
      </c>
      <c r="Q147" s="29" t="inlineStr">
        <is>
          <t>Entry / Developing</t>
        </is>
      </c>
      <c r="R147" s="29" t="inlineStr">
        <is>
          <t>2 Assist</t>
        </is>
      </c>
      <c r="S147" s="29" t="inlineStr">
        <is>
          <t>0–2 yrs</t>
        </is>
      </c>
      <c r="T147" s="29" t="inlineStr">
        <is>
          <t>1–3 · 0–3</t>
        </is>
      </c>
      <c r="U147" s="29" t="inlineStr">
        <is>
          <t>Marketing Associate / Marketing Executive</t>
        </is>
      </c>
      <c r="V147" s="29" t="inlineStr">
        <is>
          <t>IRIS Vs Market Benchmark — CIM proficiency scale: 2 Active learner · IRIS Vs Competitor Benchmark — SaaS marketing ladder: Marketing Associate</t>
        </is>
      </c>
      <c r="W147" s="29" t="inlineStr">
        <is>
          <t>CIM Global Professional Marketing Framework — proficiency Aware → Active learner → Able → Accomplished → Authoritative</t>
        </is>
      </c>
      <c r="X147" s="29" t="inlineStr">
        <is>
          <t>Core 2 · Future 2 · Functional 2 · Leadership not scored</t>
        </is>
      </c>
      <c r="Y147" s="52" t="n">
        <v>485</v>
      </c>
      <c r="Z147" s="53" t="inlineStr">
        <is>
          <t>IRIS2514</t>
        </is>
      </c>
      <c r="AA147" s="53" t="inlineStr">
        <is>
          <t>Employee</t>
        </is>
      </c>
      <c r="AB147" s="53" t="inlineStr">
        <is>
          <t>Active</t>
        </is>
      </c>
      <c r="AC147" s="53" t="inlineStr">
        <is>
          <t>Jatin Khare</t>
        </is>
      </c>
      <c r="AD147" s="54" t="n">
        <v>46125</v>
      </c>
      <c r="AE147" s="53" t="inlineStr">
        <is>
          <t>Marketing Associate</t>
        </is>
      </c>
      <c r="AF147" s="53" t="inlineStr">
        <is>
          <t>PGDM</t>
        </is>
      </c>
      <c r="AG147" s="53" t="inlineStr">
        <is>
          <t>Sudipta Kundu</t>
        </is>
      </c>
      <c r="AH147" s="53" t="inlineStr">
        <is>
          <t>N-5</t>
        </is>
      </c>
      <c r="AI147" s="53" t="inlineStr">
        <is>
          <t>Individual Contributor</t>
        </is>
      </c>
      <c r="AJ147" s="53" t="inlineStr">
        <is>
          <t>0 years, 0 months, 0 days</t>
        </is>
      </c>
      <c r="AK147" s="53" t="inlineStr">
        <is>
          <t>0 years, 4 months, 12 days</t>
        </is>
      </c>
      <c r="AL147" s="53" t="inlineStr">
        <is>
          <t>Regtech</t>
        </is>
      </c>
      <c r="AM147" s="53" t="inlineStr">
        <is>
          <t>CARBON</t>
        </is>
      </c>
      <c r="AN147" s="53" t="inlineStr">
        <is>
          <t>Marketing</t>
        </is>
      </c>
      <c r="AO147" s="53" t="inlineStr">
        <is>
          <t>Marketing</t>
        </is>
      </c>
      <c r="AP147" s="53" t="inlineStr">
        <is>
          <t>No</t>
        </is>
      </c>
      <c r="AQ147" s="53" t="inlineStr">
        <is>
          <t>Sales, Marketing &amp; Support</t>
        </is>
      </c>
      <c r="AR147" s="53" t="inlineStr">
        <is>
          <t>Marketing</t>
        </is>
      </c>
      <c r="AS147" s="53" t="inlineStr">
        <is>
          <t>Non-technical</t>
        </is>
      </c>
      <c r="AT147" s="53" t="n">
        <v>20</v>
      </c>
      <c r="AU147" s="53" t="inlineStr">
        <is>
          <t>Covered</t>
        </is>
      </c>
      <c r="AV147" s="53" t="inlineStr">
        <is>
          <t>IRIS2514</t>
        </is>
      </c>
      <c r="AW147" s="53" t="inlineStr">
        <is>
          <t>Jatin Khare</t>
        </is>
      </c>
      <c r="AX147" s="53" t="inlineStr">
        <is>
          <t>Marketing</t>
        </is>
      </c>
      <c r="AY147" s="53" t="inlineStr">
        <is>
          <t>Marketing &amp; Communications</t>
        </is>
      </c>
      <c r="AZ147" s="53" t="inlineStr">
        <is>
          <t>Demand Generation &amp; Branding</t>
        </is>
      </c>
      <c r="BA147" s="53" t="n"/>
      <c r="BB147" s="53" t="n"/>
      <c r="BC147" s="53" t="inlineStr">
        <is>
          <t>Employee</t>
        </is>
      </c>
      <c r="BD147" s="53" t="inlineStr">
        <is>
          <t>Saahit Togaru</t>
        </is>
      </c>
      <c r="BE147" s="53" t="inlineStr">
        <is>
          <t>Sudipta Kundu</t>
        </is>
      </c>
      <c r="BF147" s="53" t="inlineStr">
        <is>
          <t>Yes</t>
        </is>
      </c>
      <c r="BG147" s="53" t="inlineStr">
        <is>
          <t>Marketing Associate</t>
        </is>
      </c>
      <c r="BH147" s="53" t="inlineStr">
        <is>
          <t>Marketing Associate - Events</t>
        </is>
      </c>
      <c r="BI147" s="53" t="inlineStr">
        <is>
          <t>No</t>
        </is>
      </c>
      <c r="BJ147" s="53" t="inlineStr">
        <is>
          <t>—</t>
        </is>
      </c>
      <c r="BK147" s="53" t="inlineStr">
        <is>
          <t>—</t>
        </is>
      </c>
      <c r="BL147" s="53" t="inlineStr">
        <is>
          <t>—</t>
        </is>
      </c>
      <c r="BM147" s="53" t="inlineStr">
        <is>
          <t>Not a manager</t>
        </is>
      </c>
      <c r="BN147" s="53" t="inlineStr">
        <is>
          <t>—</t>
        </is>
      </c>
      <c r="BO147" s="53" t="inlineStr">
        <is>
          <t>—</t>
        </is>
      </c>
      <c r="BP147" s="53" t="inlineStr">
        <is>
          <t>—</t>
        </is>
      </c>
      <c r="BQ147" s="53" t="inlineStr">
        <is>
          <t>Not a manager</t>
        </is>
      </c>
      <c r="BR147" s="53" t="inlineStr">
        <is>
          <t>—</t>
        </is>
      </c>
      <c r="BS147" s="53" t="inlineStr">
        <is>
          <t>L3 – Professional / Associate</t>
        </is>
      </c>
      <c r="BT147" s="53" t="inlineStr">
        <is>
          <t>L3 – Professional / Associate</t>
        </is>
      </c>
      <c r="BU147" s="53" t="inlineStr">
        <is>
          <t>No designation change — current record value carried forward</t>
        </is>
      </c>
      <c r="BV147" s="53" t="n"/>
      <c r="BW147" s="53" t="n"/>
      <c r="BX147" s="53" t="inlineStr">
        <is>
          <t>United States, Europe and United Kingdom</t>
        </is>
      </c>
      <c r="BY147" s="53" t="n"/>
      <c r="BZ147" s="53" t="inlineStr">
        <is>
          <t>IRIS2514</t>
        </is>
      </c>
      <c r="CA147" s="53" t="inlineStr">
        <is>
          <t>Employee</t>
        </is>
      </c>
      <c r="CB147" s="53" t="inlineStr">
        <is>
          <t>Active</t>
        </is>
      </c>
      <c r="CC147" s="53" t="inlineStr">
        <is>
          <t>Jatin Khare</t>
        </is>
      </c>
      <c r="CD147" s="54" t="n">
        <v>46125</v>
      </c>
      <c r="CE147" s="53" t="inlineStr">
        <is>
          <t>Marketing Associate</t>
        </is>
      </c>
      <c r="CF147" s="53" t="inlineStr">
        <is>
          <t>Event Management - reports to Saahit</t>
        </is>
      </c>
      <c r="CG147" s="53" t="inlineStr">
        <is>
          <t>Marketing &amp; Communications</t>
        </is>
      </c>
      <c r="CH147" s="53" t="inlineStr">
        <is>
          <t>Demand Generation</t>
        </is>
      </c>
      <c r="CI147" s="53" t="inlineStr">
        <is>
          <t>Marketing Associate</t>
        </is>
      </c>
      <c r="CJ147" s="53" t="inlineStr">
        <is>
          <t>L3 – Professional / Associate</t>
        </is>
      </c>
      <c r="CK147" s="53" t="inlineStr">
        <is>
          <t>Sobhan Pramanik</t>
        </is>
      </c>
      <c r="CL147" s="53" t="inlineStr">
        <is>
          <t>N-4</t>
        </is>
      </c>
      <c r="CM147" s="53" t="inlineStr">
        <is>
          <t>Individual Contributor</t>
        </is>
      </c>
      <c r="CN147" s="53" t="inlineStr">
        <is>
          <t>Regtech</t>
        </is>
      </c>
      <c r="CO147" s="53" t="inlineStr">
        <is>
          <t>Marketing</t>
        </is>
      </c>
      <c r="CP147" s="53" t="inlineStr">
        <is>
          <t>0 years, 2 months, 7 days</t>
        </is>
      </c>
      <c r="CQ147" s="53" t="inlineStr">
        <is>
          <t>Marketing Associate</t>
        </is>
      </c>
      <c r="CR147" s="53" t="inlineStr">
        <is>
          <t>No</t>
        </is>
      </c>
      <c r="CS147" s="53" t="n"/>
      <c r="CT147" s="53" t="inlineStr">
        <is>
          <t>Medium</t>
        </is>
      </c>
      <c r="CU147" s="53" t="inlineStr">
        <is>
          <t>Core Contributor</t>
        </is>
      </c>
      <c r="CV147" s="53" t="n"/>
      <c r="CW147" s="53" t="inlineStr">
        <is>
          <t>No</t>
        </is>
      </c>
      <c r="CX147" s="53" t="inlineStr">
        <is>
          <t>No</t>
        </is>
      </c>
      <c r="CY147" s="53" t="n"/>
      <c r="CZ147" s="53" t="inlineStr">
        <is>
          <t>Jatin needs to be more proactive when dealing with conflicting priorities</t>
        </is>
      </c>
      <c r="DA147" s="53" t="n"/>
      <c r="DB147" s="53" t="inlineStr">
        <is>
          <t>To be mapped to Sobhan Pramanik as reporting manager</t>
        </is>
      </c>
      <c r="DC147" s="53" t="n"/>
      <c r="DD147" s="53" t="n"/>
      <c r="DE147" s="53" t="n"/>
      <c r="DF147" s="53" t="n"/>
      <c r="DG147" s="53" t="n"/>
      <c r="DH147" s="53" t="n"/>
      <c r="DI147" s="53" t="n"/>
      <c r="DJ147" s="53" t="n"/>
      <c r="DK147" s="53" t="n"/>
      <c r="DL147" s="53" t="n"/>
      <c r="DM147" s="53" t="n"/>
      <c r="DN147" s="53" t="n"/>
      <c r="DO147" s="53" t="n"/>
      <c r="DP147" s="53" t="n"/>
      <c r="DQ147" s="53" t="n"/>
      <c r="DR147" s="53" t="n"/>
      <c r="DS147" s="53" t="n"/>
      <c r="DT147" s="53" t="n"/>
      <c r="DU147" s="53" t="n"/>
      <c r="DV147" s="53" t="n"/>
      <c r="DW147" s="53" t="n"/>
      <c r="DX147" s="53" t="n"/>
      <c r="DY147" s="53" t="n"/>
      <c r="DZ147" s="53" t="n"/>
      <c r="EA147" s="53" t="n"/>
      <c r="EB147" s="53" t="n"/>
      <c r="EC147" s="53" t="n"/>
      <c r="ED147" s="53" t="n"/>
      <c r="EE147" s="53" t="n"/>
      <c r="EF147" s="53" t="n"/>
      <c r="EG147" s="53" t="n"/>
      <c r="EH147" s="53" t="n"/>
      <c r="EI147" s="53" t="n"/>
      <c r="EJ147" s="53" t="n"/>
      <c r="EK147" s="53" t="n"/>
      <c r="EL147" s="53" t="n"/>
      <c r="EM147" s="53" t="n"/>
      <c r="EN147" s="53" t="n"/>
      <c r="EO147" s="53" t="n"/>
      <c r="EP147" s="53" t="n"/>
      <c r="EQ147" s="53" t="n"/>
      <c r="ER147" s="53" t="n"/>
      <c r="ES147" s="53" t="n"/>
      <c r="ET147" s="53" t="n"/>
      <c r="EU147" s="53" t="n"/>
      <c r="EV147" s="53" t="n"/>
      <c r="EW147" s="52" t="n"/>
      <c r="EX147" s="53" t="inlineStr">
        <is>
          <t>• This role manages event marketing and operations by coordinating internal and external stakeholders for exhibition events.</t>
        </is>
      </c>
      <c r="EY147" s="53" t="inlineStr">
        <is>
          <t>• Reported deliverables and outcomes include: Event Experience.
• Key responsibilities include Vendor Management; Stakeholder coordination; Event experience; Event Calendar and Delive.</t>
        </is>
      </c>
      <c r="EZ147" s="53" t="inlineStr">
        <is>
          <t>• Current capabilities: Stakeholder coordination and proactive execution; Vendor management and event operations; HubSpot.</t>
        </is>
      </c>
      <c r="FA147" s="53" t="inlineStr">
        <is>
          <t>• Development priorities: Improve decision-making through stronger event frameworks and checklists.
• Learning and Development Need: Training on event-management frameworks and decision checklists to reduce reliance on ad hoc escalation for decisions.</t>
        </is>
      </c>
      <c r="FB147" s="53" t="inlineStr">
        <is>
          <t>• Key challenges: No clear point of contact for decisions; Internal coordination gaps and limited error tolerance; Workload is very high.
• Support required: Additional team capacity; Clearer guidance, ownership and operating checklists.</t>
        </is>
      </c>
      <c r="FC147" s="53" t="n"/>
      <c r="FD147" s="53" t="n"/>
      <c r="FE147" s="55" t="inlineStr">
        <is>
          <t>KRAs not received · manager to supply</t>
        </is>
      </c>
      <c r="FF147" s="56" t="n"/>
      <c r="FG147" s="56" t="n"/>
      <c r="FH147" s="56" t="n"/>
      <c r="FI147" s="56" t="inlineStr">
        <is>
          <t>Event Management - reports to Saahit</t>
        </is>
      </c>
      <c r="FJ147" s="32" t="inlineStr">
        <is>
          <t>KRAs not received · manager to supply</t>
        </is>
      </c>
      <c r="FK147" s="56" t="inlineStr">
        <is>
          <t>CARBON Talent Mapping · Raw</t>
        </is>
      </c>
      <c r="FL147" s="56" t="n">
        <v>19</v>
      </c>
      <c r="FM147" s="56" t="inlineStr">
        <is>
          <t>• This role manages event marketing and operations by coordinating internal and external stakeholders for exhibition events.</t>
        </is>
      </c>
      <c r="FN147" s="56" t="inlineStr">
        <is>
          <t>• Reported deliverables and outcomes include: Event Experience.
• Key responsibilities include Vendor Management; Stakeholder coordination; Event experience; Event Calendar and Delive.</t>
        </is>
      </c>
      <c r="FO147" s="56" t="inlineStr">
        <is>
          <t>• Current capabilities: Stakeholder coordination and proactive execution; Vendor management and event operations; HubSpot.</t>
        </is>
      </c>
      <c r="FP147" s="56" t="inlineStr">
        <is>
          <t>• Development priorities: Improve decision-making through stronger event frameworks and checklists.
• Learning and Development Need: Training on event-management frameworks and decision checklists to reduce reliance on ad hoc escalation for decisions.</t>
        </is>
      </c>
      <c r="FQ147" s="56" t="inlineStr">
        <is>
          <t>• Key challenges: No clear point of contact for decisions; Internal coordination gaps and limited error tolerance; Workload is very high.
• Support required: Additional team capacity; Clearer guidance, ownership and operating checklists.</t>
        </is>
      </c>
      <c r="FR147" s="56" t="inlineStr">
        <is>
          <t>Complexity: Evidence reads like A2: Coordinates events and webinars: vendor management, stakeholder coordination, brand-aligned content, internal communication → matches the start
Autonomy: Evidence reads like A2: Decides only 'few marketing materials'; the rest goes through stakeholders → matches the start
Accountability: Evidence reads like A3: Looks after the event and webinar channel end to end for lead generation and engagement → moved up 0.5
Leadership: Evidence reads like A1: No guidance or leadership of others described → matches the start
Business Impact: No survey or manager-mapping signal on criticality: kept at the start point.</t>
        </is>
      </c>
      <c r="FS147"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7" s="56" t="inlineStr">
        <is>
          <t>Self-identified: Answered · no common topic
For the next role: Answered · no common topic</t>
        </is>
      </c>
      <c r="FU147" s="56" t="inlineStr">
        <is>
          <t>Per-person summary · CARBON Mapping Master</t>
        </is>
      </c>
    </row>
    <row r="148" ht="90" customHeight="1">
      <c r="A148" s="51" t="inlineStr">
        <is>
          <t>◂ Back</t>
        </is>
      </c>
      <c r="B148" s="29" t="inlineStr">
        <is>
          <t>Mapped</t>
        </is>
      </c>
      <c r="C148" s="28" t="inlineStr">
        <is>
          <t>CARBON</t>
        </is>
      </c>
      <c r="D148" s="29" t="inlineStr">
        <is>
          <t>IRIS2391</t>
        </is>
      </c>
      <c r="E148" s="29" t="inlineStr">
        <is>
          <t>Ritam Mukhopadhyay</t>
        </is>
      </c>
      <c r="F148" s="29" t="inlineStr">
        <is>
          <t>Marketing</t>
        </is>
      </c>
      <c r="G148" s="29" t="inlineStr">
        <is>
          <t>Marketing Operations Executive</t>
        </is>
      </c>
      <c r="H148" s="29" t="inlineStr">
        <is>
          <t>Marketing Operations Associate</t>
        </is>
      </c>
      <c r="I148" s="29" t="inlineStr">
        <is>
          <t>L3 – Professional / Associate</t>
        </is>
      </c>
      <c r="J148" s="29" t="inlineStr">
        <is>
          <t>A2</t>
        </is>
      </c>
      <c r="K148" s="29" t="inlineStr">
        <is>
          <t>• Same level</t>
        </is>
      </c>
      <c r="L148" s="29" t="inlineStr">
        <is>
          <t>Marketing &amp; Communications</t>
        </is>
      </c>
      <c r="M148" s="29" t="inlineStr">
        <is>
          <t>Marketing Operations &amp; Automation</t>
        </is>
      </c>
      <c r="N148" s="29" t="n"/>
      <c r="O148" s="29" t="n">
        <v>20</v>
      </c>
      <c r="P148" s="28" t="inlineStr">
        <is>
          <t>P1–P2</t>
        </is>
      </c>
      <c r="Q148" s="29" t="inlineStr">
        <is>
          <t>Entry / Developing</t>
        </is>
      </c>
      <c r="R148" s="29" t="inlineStr">
        <is>
          <t>2 Assist</t>
        </is>
      </c>
      <c r="S148" s="29" t="inlineStr">
        <is>
          <t>0–2 yrs</t>
        </is>
      </c>
      <c r="T148" s="29" t="inlineStr">
        <is>
          <t>1–3 · 0–3</t>
        </is>
      </c>
      <c r="U148" s="29" t="inlineStr">
        <is>
          <t>Marketing Associate / Marketing Executive</t>
        </is>
      </c>
      <c r="V148" s="29" t="inlineStr">
        <is>
          <t>IRIS Vs Market Benchmark — CIM proficiency scale: 2 Active learner · IRIS Vs Competitor Benchmark — SaaS marketing ladder: Marketing Associate</t>
        </is>
      </c>
      <c r="W148" s="29" t="inlineStr">
        <is>
          <t>CIM Global Professional Marketing Framework — proficiency Aware → Active learner → Able → Accomplished → Authoritative</t>
        </is>
      </c>
      <c r="X148" s="29" t="inlineStr">
        <is>
          <t>Core 2 · Future 2 · Functional 2 · Leadership not scored</t>
        </is>
      </c>
      <c r="Y148" s="52" t="n">
        <v>378</v>
      </c>
      <c r="Z148" s="53" t="inlineStr">
        <is>
          <t>IRIS2391</t>
        </is>
      </c>
      <c r="AA148" s="53" t="inlineStr">
        <is>
          <t>Employee</t>
        </is>
      </c>
      <c r="AB148" s="53" t="inlineStr">
        <is>
          <t>Active</t>
        </is>
      </c>
      <c r="AC148" s="53" t="inlineStr">
        <is>
          <t>Ritam Mukhopadhyay</t>
        </is>
      </c>
      <c r="AD148" s="54" t="n">
        <v>45839</v>
      </c>
      <c r="AE148" s="53" t="inlineStr">
        <is>
          <t>Marketing Operations Executive</t>
        </is>
      </c>
      <c r="AF148" s="53" t="inlineStr">
        <is>
          <t>B.Tech</t>
        </is>
      </c>
      <c r="AG148" s="53" t="inlineStr">
        <is>
          <t>Sudipta Kundu</t>
        </is>
      </c>
      <c r="AH148" s="53" t="inlineStr">
        <is>
          <t>N-5</t>
        </is>
      </c>
      <c r="AI148" s="53" t="inlineStr">
        <is>
          <t>Individual Contributor</t>
        </is>
      </c>
      <c r="AJ148" s="53" t="inlineStr">
        <is>
          <t>0 years, 0 months, 0 days</t>
        </is>
      </c>
      <c r="AK148" s="53" t="inlineStr">
        <is>
          <t>1 years, 1 months, 24 days</t>
        </is>
      </c>
      <c r="AL148" s="53" t="inlineStr">
        <is>
          <t>Regtech</t>
        </is>
      </c>
      <c r="AM148" s="53" t="inlineStr">
        <is>
          <t>CARBON</t>
        </is>
      </c>
      <c r="AN148" s="53" t="inlineStr">
        <is>
          <t>Marketing</t>
        </is>
      </c>
      <c r="AO148" s="53" t="inlineStr">
        <is>
          <t>Marketing</t>
        </is>
      </c>
      <c r="AP148" s="53" t="inlineStr">
        <is>
          <t>No</t>
        </is>
      </c>
      <c r="AQ148" s="53" t="inlineStr">
        <is>
          <t>Sales, Marketing &amp; Support</t>
        </is>
      </c>
      <c r="AR148" s="53" t="inlineStr">
        <is>
          <t>Marketing</t>
        </is>
      </c>
      <c r="AS148" s="53" t="inlineStr">
        <is>
          <t>Non-technical</t>
        </is>
      </c>
      <c r="AT148" s="53" t="n">
        <v>20</v>
      </c>
      <c r="AU148" s="53" t="inlineStr">
        <is>
          <t>Covered</t>
        </is>
      </c>
      <c r="AV148" s="53" t="inlineStr">
        <is>
          <t>IRIS2391</t>
        </is>
      </c>
      <c r="AW148" s="53" t="inlineStr">
        <is>
          <t>Ritam Mukhopadhyay</t>
        </is>
      </c>
      <c r="AX148" s="53" t="inlineStr">
        <is>
          <t>Marketing</t>
        </is>
      </c>
      <c r="AY148" s="53" t="inlineStr">
        <is>
          <t>Marketing &amp; Communications</t>
        </is>
      </c>
      <c r="AZ148" s="53" t="inlineStr">
        <is>
          <t>Marketing Operations</t>
        </is>
      </c>
      <c r="BA148" s="53" t="n"/>
      <c r="BB148" s="53" t="n"/>
      <c r="BC148" s="53" t="inlineStr">
        <is>
          <t>Employee</t>
        </is>
      </c>
      <c r="BD148" s="53" t="inlineStr">
        <is>
          <t>Saahit Togaru</t>
        </is>
      </c>
      <c r="BE148" s="53" t="inlineStr">
        <is>
          <t>Saahit Togaru</t>
        </is>
      </c>
      <c r="BF148" s="53" t="inlineStr">
        <is>
          <t>No</t>
        </is>
      </c>
      <c r="BG148" s="53" t="inlineStr">
        <is>
          <t>Marketing Operations Executive</t>
        </is>
      </c>
      <c r="BH148" s="53" t="inlineStr">
        <is>
          <t>Sr. Marketing Associate</t>
        </is>
      </c>
      <c r="BI148" s="53" t="inlineStr">
        <is>
          <t>Yes</t>
        </is>
      </c>
      <c r="BJ148" s="53" t="inlineStr">
        <is>
          <t>—</t>
        </is>
      </c>
      <c r="BK148" s="53" t="inlineStr">
        <is>
          <t>—</t>
        </is>
      </c>
      <c r="BL148" s="53" t="inlineStr">
        <is>
          <t>—</t>
        </is>
      </c>
      <c r="BM148" s="53" t="inlineStr">
        <is>
          <t>Not a manager</t>
        </is>
      </c>
      <c r="BN148" s="53" t="inlineStr">
        <is>
          <t>—</t>
        </is>
      </c>
      <c r="BO148" s="53" t="inlineStr">
        <is>
          <t>—</t>
        </is>
      </c>
      <c r="BP148" s="53" t="inlineStr">
        <is>
          <t>—</t>
        </is>
      </c>
      <c r="BQ148" s="53" t="inlineStr">
        <is>
          <t>Not a manager</t>
        </is>
      </c>
      <c r="BR148" s="53" t="inlineStr">
        <is>
          <t>—</t>
        </is>
      </c>
      <c r="BS148" s="53" t="inlineStr">
        <is>
          <t>L3 – Professional / Associate</t>
        </is>
      </c>
      <c r="BT148" s="53" t="inlineStr">
        <is>
          <t>L3 – Professional / Associate</t>
        </is>
      </c>
      <c r="BU148" s="53" t="inlineStr">
        <is>
          <t>No exact Title Hierarchy match — retained current record value</t>
        </is>
      </c>
      <c r="BV148" s="53"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W148" s="53" t="n"/>
      <c r="BX148" s="53" t="inlineStr">
        <is>
          <t>Internal / enterprise-wide</t>
        </is>
      </c>
      <c r="BY148" s="53" t="n"/>
      <c r="BZ148" s="53" t="inlineStr">
        <is>
          <t>IRIS2391</t>
        </is>
      </c>
      <c r="CA148" s="53" t="inlineStr">
        <is>
          <t>Employee</t>
        </is>
      </c>
      <c r="CB148" s="53" t="inlineStr">
        <is>
          <t>Active</t>
        </is>
      </c>
      <c r="CC148" s="53" t="inlineStr">
        <is>
          <t>Ritam Mukhopadhyay</t>
        </is>
      </c>
      <c r="CD148" s="54" t="n">
        <v>45839</v>
      </c>
      <c r="CE148" s="53" t="inlineStr">
        <is>
          <t>Marketing Operations Executive</t>
        </is>
      </c>
      <c r="CF148" s="53" t="inlineStr">
        <is>
          <t>Takes care of market data reporting, inbound database distribution to SDR team, performance Dashboard maintenance for WBRX and Review meeting , people spoc for Hyderabad office</t>
        </is>
      </c>
      <c r="CG148" s="53" t="inlineStr">
        <is>
          <t>Marketing &amp; Communications</t>
        </is>
      </c>
      <c r="CH148" s="53" t="inlineStr">
        <is>
          <t>Marketing Operations</t>
        </is>
      </c>
      <c r="CI148" s="53" t="inlineStr">
        <is>
          <t>Marketing Operations Executive</t>
        </is>
      </c>
      <c r="CJ148" s="53" t="inlineStr">
        <is>
          <t>L3 – Professional / Associate</t>
        </is>
      </c>
      <c r="CK148" s="53" t="inlineStr">
        <is>
          <t>Saahit Togaru</t>
        </is>
      </c>
      <c r="CL148" s="53" t="inlineStr">
        <is>
          <t>N-4</t>
        </is>
      </c>
      <c r="CM148" s="53" t="inlineStr">
        <is>
          <t>Individual Contributor</t>
        </is>
      </c>
      <c r="CN148" s="53" t="inlineStr">
        <is>
          <t>Regtech</t>
        </is>
      </c>
      <c r="CO148" s="53" t="inlineStr">
        <is>
          <t>Marketing</t>
        </is>
      </c>
      <c r="CP148" s="53" t="inlineStr">
        <is>
          <t>0 years, 11 months, 19 days</t>
        </is>
      </c>
      <c r="CQ148" s="53" t="inlineStr">
        <is>
          <t>Marketing Associate</t>
        </is>
      </c>
      <c r="CR148" s="53" t="inlineStr">
        <is>
          <t>No</t>
        </is>
      </c>
      <c r="CS148" s="53" t="n">
        <v>3</v>
      </c>
      <c r="CT148" s="53" t="inlineStr">
        <is>
          <t>Medium</t>
        </is>
      </c>
      <c r="CU148" s="53" t="inlineStr">
        <is>
          <t>Reliable Specialist</t>
        </is>
      </c>
      <c r="CV148" s="53" t="n"/>
      <c r="CW148" s="53" t="inlineStr">
        <is>
          <t>No</t>
        </is>
      </c>
      <c r="CX148" s="53" t="inlineStr">
        <is>
          <t>No</t>
        </is>
      </c>
      <c r="CY148" s="53" t="n"/>
      <c r="CZ148" s="53" t="inlineStr">
        <is>
          <t>Yes</t>
        </is>
      </c>
      <c r="DA148" s="53" t="n"/>
      <c r="DB148" s="53" t="inlineStr">
        <is>
          <t>to be mapped to Sudipta Kunduas reporting manager. Title to be standardized to : Marketing Associate</t>
        </is>
      </c>
      <c r="DC148" s="53" t="n"/>
      <c r="DD148" s="53" t="n"/>
      <c r="DE148" s="53" t="n"/>
      <c r="DF148" s="53" t="n"/>
      <c r="DG148" s="53" t="n"/>
      <c r="DH148" s="53" t="n"/>
      <c r="DI148" s="53" t="n"/>
      <c r="DJ148" s="53" t="n"/>
      <c r="DK148" s="53" t="n"/>
      <c r="DL148" s="53" t="n"/>
      <c r="DM148" s="53" t="n"/>
      <c r="DN148" s="53" t="n"/>
      <c r="DO148" s="53" t="n"/>
      <c r="DP148" s="53" t="n"/>
      <c r="DQ148" s="53" t="n"/>
      <c r="DR148" s="53" t="n"/>
      <c r="DS148" s="53" t="n"/>
      <c r="DT148" s="53" t="n"/>
      <c r="DU148" s="53" t="n"/>
      <c r="DV148" s="53" t="n"/>
      <c r="DW148" s="53" t="n"/>
      <c r="DX148" s="53" t="n"/>
      <c r="DY148" s="53" t="n"/>
      <c r="DZ148" s="53" t="n"/>
      <c r="EA148" s="53" t="n"/>
      <c r="EB148" s="53" t="n"/>
      <c r="EC148" s="53" t="n"/>
      <c r="ED148" s="53" t="n"/>
      <c r="EE148" s="53" t="n"/>
      <c r="EF148" s="53" t="n"/>
      <c r="EG148" s="53" t="n"/>
      <c r="EH148" s="53" t="n"/>
      <c r="EI148" s="53" t="n"/>
      <c r="EJ148" s="53" t="n"/>
      <c r="EK148" s="53" t="n"/>
      <c r="EL148" s="53" t="n"/>
      <c r="EM148" s="53" t="n"/>
      <c r="EN148" s="53" t="n"/>
      <c r="EO148" s="53" t="n"/>
      <c r="EP148" s="53" t="n"/>
      <c r="EQ148" s="53" t="n"/>
      <c r="ER148" s="53" t="n"/>
      <c r="ES148" s="53" t="n"/>
      <c r="ET148" s="53" t="n"/>
      <c r="EU148" s="53" t="n"/>
      <c r="EV148" s="53" t="n"/>
      <c r="EW148" s="52" t="n"/>
      <c r="EX148" s="53" t="inlineStr">
        <is>
          <t>• This role creates marketing reporting dashboards for leadership and maintains processes and data governance.</t>
        </is>
      </c>
      <c r="EY148" s="53"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EZ148" s="53" t="inlineStr">
        <is>
          <t>• Current capabilities: HubSpot, Excel, Power BI, GA4, marketing automation, workflows and email tools; Cross-functional collaboration, stakeholder management and proactive process design.</t>
        </is>
      </c>
      <c r="FA148" s="53"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B148" s="53"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C148" s="53" t="n"/>
      <c r="FD148" s="53" t="n"/>
      <c r="FE148" s="57"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FF148" s="56" t="n"/>
      <c r="FG148" s="56" t="n"/>
      <c r="FH148" s="56" t="n"/>
      <c r="FI148" s="56" t="inlineStr">
        <is>
          <t>Takes care of market data reporting, inbound database distribution to SDR team, performance Dashboard maintenance for WBRX and Review meeting , people spoc for Hyderabad office</t>
        </is>
      </c>
      <c r="FJ148" s="56" t="inlineStr">
        <is>
          <t>Received · manager annual</t>
        </is>
      </c>
      <c r="FK148" s="56" t="inlineStr">
        <is>
          <t>CARBON Mapping Master · CARBON Talent Mapping · Raw</t>
        </is>
      </c>
      <c r="FL148" s="56" t="n">
        <v>20</v>
      </c>
      <c r="FM148" s="56" t="inlineStr">
        <is>
          <t>• This role creates marketing reporting dashboards for leadership and maintains processes and data governance.</t>
        </is>
      </c>
      <c r="FN148" s="56"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FO148" s="56" t="inlineStr">
        <is>
          <t>• Current capabilities: HubSpot, Excel, Power BI, GA4, marketing automation, workflows and email tools; Cross-functional collaboration, stakeholder management and proactive process design.</t>
        </is>
      </c>
      <c r="FP148" s="56"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Q148" s="56"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R148" s="56" t="inlineStr">
        <is>
          <t>Complexity: Evidence reads like A3: Builds leadership dashboards, administers HubSpot CRM, audits marketing numbers, tracks KPIs and spends → moved up 0.5
Autonomy: Evidence reads like A2: Only stated independent decision is validating process numbers → matches the start
Accountability: Evidence reads like A3: own survey / KRA answers · summarised by the rater; not quoted → moved up 0.5
Leadership: Evidence reads like A1: own survey / KRA answers · summarised by the rater; not quoted → matches the start
Business Impact: No survey or manager-mapping signal on criticality: kept at the start point.</t>
        </is>
      </c>
      <c r="FS148" s="56" t="inlineStr">
        <is>
          <t>Common themes in role-holders' answers: maintaining · data · sdr · involves · lusha · upload
Common themes in role-holders' answers: hygiene · enrichment · data · hubspot
Common themes in role-holders' answers: data
Common themes in role-holders' answers: hubspot</t>
        </is>
      </c>
      <c r="FT148" s="56" t="inlineStr">
        <is>
          <t>Self-identified: Product &amp; tool knowledge · Client, sales &amp; stakeholders · Marketing &amp; content
For the next role: Product &amp; tool knowledge · Client, sales &amp; stakeholders · Marketing &amp; content</t>
        </is>
      </c>
      <c r="FU148" s="56" t="inlineStr">
        <is>
          <t>Per-person summary · CARBON Mapping Master</t>
        </is>
      </c>
    </row>
    <row r="149" ht="90" customHeight="1">
      <c r="A149" s="51" t="inlineStr">
        <is>
          <t>◂ Back</t>
        </is>
      </c>
      <c r="B149" s="29" t="inlineStr">
        <is>
          <t>Mapped</t>
        </is>
      </c>
      <c r="C149" s="28" t="inlineStr">
        <is>
          <t>CARBON</t>
        </is>
      </c>
      <c r="D149" s="29" t="inlineStr">
        <is>
          <t>IRIS2324</t>
        </is>
      </c>
      <c r="E149" s="29" t="inlineStr">
        <is>
          <t>Priyadarshini Dey</t>
        </is>
      </c>
      <c r="F149" s="29" t="inlineStr">
        <is>
          <t>Marketing</t>
        </is>
      </c>
      <c r="G149" s="29" t="inlineStr">
        <is>
          <t>Team Lead SDR</t>
        </is>
      </c>
      <c r="H149" s="29" t="inlineStr">
        <is>
          <t>Team Lead – Sales Development</t>
        </is>
      </c>
      <c r="I149" s="29" t="inlineStr">
        <is>
          <t>L4 – Senior</t>
        </is>
      </c>
      <c r="J149" s="29" t="inlineStr">
        <is>
          <t>B1</t>
        </is>
      </c>
      <c r="K149" s="29" t="inlineStr">
        <is>
          <t>▲ Up</t>
        </is>
      </c>
      <c r="L149" s="29" t="inlineStr">
        <is>
          <t>Sales &amp; Business Development</t>
        </is>
      </c>
      <c r="M149" s="29" t="inlineStr">
        <is>
          <t>Sales Development &amp; Prospecting</t>
        </is>
      </c>
      <c r="N149" s="29" t="n"/>
      <c r="O149" s="29" t="n">
        <v>20</v>
      </c>
      <c r="P149" s="28" t="inlineStr">
        <is>
          <t>P3 / M2</t>
        </is>
      </c>
      <c r="Q149" s="29" t="inlineStr">
        <is>
          <t>Career / · Team Lead</t>
        </is>
      </c>
      <c r="R149" s="29" t="inlineStr">
        <is>
          <t>4 Enable</t>
        </is>
      </c>
      <c r="S149" s="29" t="inlineStr">
        <is>
          <t>4–7 yrs</t>
        </is>
      </c>
      <c r="T149" s="29" t="inlineStr">
        <is>
          <t>5–8 · 4–8</t>
        </is>
      </c>
      <c r="U149" s="29" t="inlineStr">
        <is>
          <t>Team Lead / Assistant Manager</t>
        </is>
      </c>
      <c r="V149" s="29" t="inlineStr">
        <is>
          <t>IRIS Vs Competitor Benchmark — SaaS sales ladder — IC: Account Executive · SMB · IRIS Vs Competitor Benchmark — SaaS sales ladder — management: SDR Team Lead</t>
        </is>
      </c>
      <c r="W149" s="29" t="inlineStr">
        <is>
          <t>SaaS sales ladder · SDR → AE → Enterprise AE → VP / CRO; MEDDICC-style qualification</t>
        </is>
      </c>
      <c r="X149" s="29" t="inlineStr">
        <is>
          <t>Core 3 · Future 3 · Functional 3 · Leadership 2</t>
        </is>
      </c>
      <c r="Y149" s="52" t="n">
        <v>353</v>
      </c>
      <c r="Z149" s="53" t="inlineStr">
        <is>
          <t>IRIS2324</t>
        </is>
      </c>
      <c r="AA149" s="53" t="inlineStr">
        <is>
          <t>Employee</t>
        </is>
      </c>
      <c r="AB149" s="53" t="inlineStr">
        <is>
          <t>Active</t>
        </is>
      </c>
      <c r="AC149" s="53" t="inlineStr">
        <is>
          <t>Priyadarshini Dey</t>
        </is>
      </c>
      <c r="AD149" s="54" t="n">
        <v>45607</v>
      </c>
      <c r="AE149" s="53" t="inlineStr">
        <is>
          <t>Team Lead SDR</t>
        </is>
      </c>
      <c r="AF149" s="53" t="inlineStr">
        <is>
          <t>B.Tech</t>
        </is>
      </c>
      <c r="AG149" s="53" t="inlineStr">
        <is>
          <t>Saahit Togaru</t>
        </is>
      </c>
      <c r="AH149" s="53" t="inlineStr">
        <is>
          <t>N-4</t>
        </is>
      </c>
      <c r="AI149" s="53" t="inlineStr">
        <is>
          <t>Manager</t>
        </is>
      </c>
      <c r="AJ149" s="53" t="inlineStr">
        <is>
          <t>2 years, 4 months, 0 days</t>
        </is>
      </c>
      <c r="AK149" s="53" t="inlineStr">
        <is>
          <t>1 years, 9 months, 14 days</t>
        </is>
      </c>
      <c r="AL149" s="53" t="inlineStr">
        <is>
          <t>Regtech</t>
        </is>
      </c>
      <c r="AM149" s="53" t="inlineStr">
        <is>
          <t>CARBON</t>
        </is>
      </c>
      <c r="AN149" s="53" t="inlineStr">
        <is>
          <t>Marketing</t>
        </is>
      </c>
      <c r="AO149" s="53" t="inlineStr">
        <is>
          <t>Marketing - SDR</t>
        </is>
      </c>
      <c r="AP149" s="53" t="inlineStr">
        <is>
          <t>No</t>
        </is>
      </c>
      <c r="AQ149" s="53" t="inlineStr">
        <is>
          <t>Sales, Marketing &amp; Support</t>
        </is>
      </c>
      <c r="AR149" s="53" t="inlineStr">
        <is>
          <t>Marketing</t>
        </is>
      </c>
      <c r="AS149" s="53" t="inlineStr">
        <is>
          <t>Non-technical</t>
        </is>
      </c>
      <c r="AT149" s="53" t="n">
        <v>20</v>
      </c>
      <c r="AU149" s="53" t="inlineStr">
        <is>
          <t>Covered</t>
        </is>
      </c>
      <c r="AV149" s="53" t="inlineStr">
        <is>
          <t>IRIS2324</t>
        </is>
      </c>
      <c r="AW149" s="53" t="inlineStr">
        <is>
          <t>Priyadarshini Dey</t>
        </is>
      </c>
      <c r="AX149" s="53" t="inlineStr">
        <is>
          <t>Marketing</t>
        </is>
      </c>
      <c r="AY149" s="53" t="inlineStr">
        <is>
          <t>Sales &amp; Business Development</t>
        </is>
      </c>
      <c r="AZ149" s="53" t="inlineStr">
        <is>
          <t>Sales Development · SDR</t>
        </is>
      </c>
      <c r="BA149" s="53" t="n"/>
      <c r="BB149" s="53" t="n"/>
      <c r="BC149" s="53" t="inlineStr">
        <is>
          <t>Employee</t>
        </is>
      </c>
      <c r="BD149" s="53" t="inlineStr">
        <is>
          <t>Saahit Togaru</t>
        </is>
      </c>
      <c r="BE149" s="53" t="inlineStr">
        <is>
          <t>Saahit Togaru</t>
        </is>
      </c>
      <c r="BF149" s="53" t="inlineStr">
        <is>
          <t>No</t>
        </is>
      </c>
      <c r="BG149" s="53" t="inlineStr">
        <is>
          <t>Senior Sales Development Representative</t>
        </is>
      </c>
      <c r="BH149" s="53" t="inlineStr">
        <is>
          <t>Team Lead - Sales Development</t>
        </is>
      </c>
      <c r="BI149" s="53" t="inlineStr">
        <is>
          <t>Yes</t>
        </is>
      </c>
      <c r="BJ149" s="53" t="n">
        <v>2</v>
      </c>
      <c r="BK149" s="53" t="n">
        <v>0</v>
      </c>
      <c r="BL149" s="53" t="n">
        <v>2</v>
      </c>
      <c r="BM149" s="53" t="inlineStr">
        <is>
          <t>Consolidate / flatten</t>
        </is>
      </c>
      <c r="BN149" s="53" t="n">
        <v>2</v>
      </c>
      <c r="BO149" s="53" t="n">
        <v>0</v>
      </c>
      <c r="BP149" s="53" t="n">
        <v>2</v>
      </c>
      <c r="BQ149" s="53" t="inlineStr">
        <is>
          <t>Consolidate / flatten</t>
        </is>
      </c>
      <c r="BR149" s="53" t="inlineStr">
        <is>
          <t>No</t>
        </is>
      </c>
      <c r="BS149" s="53" t="inlineStr">
        <is>
          <t>L4 – Senior</t>
        </is>
      </c>
      <c r="BT149" s="53" t="inlineStr">
        <is>
          <t>L4</t>
        </is>
      </c>
      <c r="BU149" s="53" t="inlineStr">
        <is>
          <t>Matched from Title Hierarchy · new designation</t>
        </is>
      </c>
      <c r="BV149"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W149" s="53" t="n"/>
      <c r="BX149" s="53" t="inlineStr">
        <is>
          <t>Europe</t>
        </is>
      </c>
      <c r="BY149" s="53" t="n"/>
      <c r="BZ149" s="53" t="inlineStr">
        <is>
          <t>IRIS2324</t>
        </is>
      </c>
      <c r="CA149" s="53" t="inlineStr">
        <is>
          <t>Employee</t>
        </is>
      </c>
      <c r="CB149" s="53" t="inlineStr">
        <is>
          <t>Active</t>
        </is>
      </c>
      <c r="CC149" s="53" t="inlineStr">
        <is>
          <t>Priyadarshini Dey</t>
        </is>
      </c>
      <c r="CD149" s="54" t="n">
        <v>45607</v>
      </c>
      <c r="CE149" s="53" t="inlineStr">
        <is>
          <t>Senior Sales Development Representative</t>
        </is>
      </c>
      <c r="CF149" s="53"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CG149" s="53" t="inlineStr">
        <is>
          <t>Sales &amp; Business Development</t>
        </is>
      </c>
      <c r="CH149" s="53" t="inlineStr">
        <is>
          <t>Sales Development · SDR</t>
        </is>
      </c>
      <c r="CI149" s="53" t="inlineStr">
        <is>
          <t>SDR Team Lead</t>
        </is>
      </c>
      <c r="CJ149" s="53" t="inlineStr">
        <is>
          <t>L4 – Senior</t>
        </is>
      </c>
      <c r="CK149" s="53" t="inlineStr">
        <is>
          <t>Saahit Togaru</t>
        </is>
      </c>
      <c r="CL149" s="53" t="inlineStr">
        <is>
          <t>N-4</t>
        </is>
      </c>
      <c r="CM149" s="53" t="inlineStr">
        <is>
          <t>Player Cum Coach</t>
        </is>
      </c>
      <c r="CN149" s="53" t="inlineStr">
        <is>
          <t>Regtech</t>
        </is>
      </c>
      <c r="CO149" s="53" t="inlineStr">
        <is>
          <t>Marketing</t>
        </is>
      </c>
      <c r="CP149" s="53" t="inlineStr">
        <is>
          <t>3 years, 11 months, 9 days</t>
        </is>
      </c>
      <c r="CQ149" s="53" t="inlineStr">
        <is>
          <t>Team Lead - Sales Development</t>
        </is>
      </c>
      <c r="CR149" s="53" t="inlineStr">
        <is>
          <t>No</t>
        </is>
      </c>
      <c r="CS149" s="53" t="n"/>
      <c r="CT149" s="53" t="n"/>
      <c r="CU149" s="53" t="n"/>
      <c r="CV149" s="53" t="n"/>
      <c r="CW149" s="53" t="inlineStr">
        <is>
          <t>No</t>
        </is>
      </c>
      <c r="CX149" s="53" t="inlineStr">
        <is>
          <t>No</t>
        </is>
      </c>
      <c r="CY149" s="53" t="n"/>
      <c r="CZ149" s="53" t="n"/>
      <c r="DA149" s="53" t="n"/>
      <c r="DB149" s="53" t="inlineStr">
        <is>
          <t>Title to be standardized to Team Lead - Sales Development, To be mapped to SDR Mgr Europe - TBH</t>
        </is>
      </c>
      <c r="DC149" s="53" t="n"/>
      <c r="DD149" s="53" t="n"/>
      <c r="DE149" s="53" t="n"/>
      <c r="DF149" s="53" t="n"/>
      <c r="DG149" s="53" t="n"/>
      <c r="DH149" s="53" t="n"/>
      <c r="DI149" s="53" t="n"/>
      <c r="DJ149" s="53" t="n"/>
      <c r="DK149" s="53" t="n"/>
      <c r="DL149" s="53" t="n"/>
      <c r="DM149" s="53" t="n"/>
      <c r="DN149" s="53" t="n"/>
      <c r="DO149" s="53" t="n"/>
      <c r="DP149" s="53" t="n"/>
      <c r="DQ149" s="53" t="n"/>
      <c r="DR149" s="53" t="n"/>
      <c r="DS149" s="53" t="n"/>
      <c r="DT149" s="53" t="n"/>
      <c r="DU149" s="53" t="n"/>
      <c r="DV149" s="53" t="n"/>
      <c r="DW149" s="53" t="n"/>
      <c r="DX149" s="53" t="n"/>
      <c r="DY149" s="53" t="n"/>
      <c r="DZ149" s="53" t="n"/>
      <c r="EA149" s="53" t="n"/>
      <c r="EB149" s="53" t="n"/>
      <c r="EC149" s="53" t="n"/>
      <c r="ED149" s="53" t="n"/>
      <c r="EE149" s="53" t="n"/>
      <c r="EF149" s="53" t="n"/>
      <c r="EG149" s="53" t="n"/>
      <c r="EH149" s="53" t="n"/>
      <c r="EI149" s="53" t="n"/>
      <c r="EJ149" s="53" t="n"/>
      <c r="EK149" s="53" t="n"/>
      <c r="EL149" s="53" t="n"/>
      <c r="EM149" s="53" t="n"/>
      <c r="EN149" s="53" t="n"/>
      <c r="EO149" s="53" t="n"/>
      <c r="EP149" s="53" t="n"/>
      <c r="EQ149" s="53" t="n"/>
      <c r="ER149" s="53" t="n"/>
      <c r="ES149" s="53" t="n"/>
      <c r="ET149" s="53" t="n"/>
      <c r="EU149" s="53" t="n"/>
      <c r="EV149" s="53" t="n"/>
      <c r="EW149" s="52" t="n"/>
      <c r="EX149" s="53" t="inlineStr">
        <is>
          <t>My role of an SDR is to reach out to prospects, understand and recognise ICPs and put out what IRIS CARBON does in a consultative and strategic way; Outreach Pipeline Generation Strategies for the team</t>
        </is>
      </c>
      <c r="EY149" s="53"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EZ149" s="53" t="inlineStr">
        <is>
          <t>Cold Calling HubSpot Outreach Team management Outbound Inside Sales; HubSpot Excel; This job requires me to fail fast and fix fast. Adaptability, ability to navigate through rejections and wearing multiple hats is what sets it apart from just doing it.</t>
        </is>
      </c>
      <c r="FA149" s="53"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B149" s="53" t="inlineStr">
        <is>
          <t>Market Instability; Nothing as of now.</t>
        </is>
      </c>
      <c r="FC149" s="53" t="n"/>
      <c r="FD149" s="53" t="n"/>
      <c r="FE149"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FF149" s="56" t="n"/>
      <c r="FG149" s="56" t="n"/>
      <c r="FH149" s="56" t="n"/>
      <c r="FI149" s="56" t="inlineStr">
        <is>
          <t>Team lead parallel to Vijay : Cold calling+Emailing, Scheduling Demo, , Before Demo, they huddle with Functional * Sales team to provide detailed portfolio about the company.Tools used - Linkedin Sales navigator · To fetch number of customers shared by Database Team:</t>
        </is>
      </c>
      <c r="FJ149" s="56" t="inlineStr">
        <is>
          <t>Received · manager annual</t>
        </is>
      </c>
      <c r="FK149" s="56" t="inlineStr">
        <is>
          <t>CARBON Mapping Master · CARBON Talent Mapping · Raw</t>
        </is>
      </c>
      <c r="FL149" s="56" t="n">
        <v>20</v>
      </c>
      <c r="FM149" s="56" t="inlineStr">
        <is>
          <t>My role of an SDR is to reach out to prospects, understand and recognise ICPs and put out what IRIS CARBON does in a consultative and strategic way; Outreach Pipeline Generation Strategies for the team</t>
        </is>
      </c>
      <c r="FN149" s="56"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FO149" s="56" t="inlineStr">
        <is>
          <t>Cold Calling HubSpot Outreach Team management Outbound Inside Sales; HubSpot Excel; This job requires me to fail fast and fix fast. Adaptability, ability to navigate through rejections and wearing multiple hats is what sets it apart from just doing it.</t>
        </is>
      </c>
      <c r="FP149" s="56"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Q149" s="56" t="inlineStr">
        <is>
          <t>Market Instability; Nothing as of now.</t>
        </is>
      </c>
      <c r="FR149" s="56" t="inlineStr">
        <is>
          <t>Complexity: Evidence reads like A3: Player-coach: own consultative outreach and lead qualification plus working out new strategies for SDR team → moved down 0.5
Autonomy: Evidence reads like B1: Decides outreach, pipeline generation and strategies for the team → matches the start
Accountability: Evidence reads like B1: Leads an SDR team delivering qualified leads and pipeline; four reports → matches the start
Leadership: Evidence reads like B1: Leads an SDR team as player and coach; four direct reports → matches the start
Business Impact: No survey or manager-mapping signal on criticality: kept at the start point.</t>
        </is>
      </c>
      <c r="FS149"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49" s="56" t="inlineStr">
        <is>
          <t>Self-identified: Leadership &amp; people management · Data, SQL &amp; analytics · Product &amp; tool knowledge · Broader exposure &amp; ownership
For the next role: Leadership &amp; people management · Data, SQL &amp; analytics · Product &amp; tool knowledge · Broader exposure &amp; ownership</t>
        </is>
      </c>
      <c r="FU149" s="56" t="inlineStr">
        <is>
          <t>Per-person summary · CARBON Mapping Master</t>
        </is>
      </c>
    </row>
    <row r="150" ht="90" customHeight="1">
      <c r="A150" s="51" t="inlineStr">
        <is>
          <t>◂ Back</t>
        </is>
      </c>
      <c r="B150" s="29" t="inlineStr">
        <is>
          <t>Mapped</t>
        </is>
      </c>
      <c r="C150" s="28" t="inlineStr">
        <is>
          <t>CARBON</t>
        </is>
      </c>
      <c r="D150" s="29" t="inlineStr">
        <is>
          <t>IRIS2513</t>
        </is>
      </c>
      <c r="E150" s="29" t="inlineStr">
        <is>
          <t>Satyarth Singh</t>
        </is>
      </c>
      <c r="F150" s="29" t="inlineStr">
        <is>
          <t>Marketing</t>
        </is>
      </c>
      <c r="G150" s="29" t="inlineStr">
        <is>
          <t>Marketing Associate</t>
        </is>
      </c>
      <c r="H150" s="29" t="inlineStr">
        <is>
          <t>Sales Development Representative</t>
        </is>
      </c>
      <c r="I150" s="29" t="inlineStr">
        <is>
          <t>L3 – Professional / Associate</t>
        </is>
      </c>
      <c r="J150" s="29" t="inlineStr">
        <is>
          <t>A2</t>
        </is>
      </c>
      <c r="K150" s="29" t="inlineStr">
        <is>
          <t>• Same level</t>
        </is>
      </c>
      <c r="L150" s="29" t="inlineStr">
        <is>
          <t>Sales &amp; Business Development</t>
        </is>
      </c>
      <c r="M150" s="29" t="inlineStr">
        <is>
          <t>Sales Development &amp; Prospecting</t>
        </is>
      </c>
      <c r="N150" s="29" t="n"/>
      <c r="O150" s="29" t="n">
        <v>19</v>
      </c>
      <c r="P150" s="28" t="inlineStr">
        <is>
          <t>P1–P2</t>
        </is>
      </c>
      <c r="Q150" s="29" t="inlineStr">
        <is>
          <t>Entry / Developing</t>
        </is>
      </c>
      <c r="R150" s="29" t="inlineStr">
        <is>
          <t>2 Assist</t>
        </is>
      </c>
      <c r="S150" s="29" t="inlineStr">
        <is>
          <t>0–2 yrs</t>
        </is>
      </c>
      <c r="T150" s="29" t="inlineStr">
        <is>
          <t>1–3 · 0–3</t>
        </is>
      </c>
      <c r="U150" s="29" t="inlineStr">
        <is>
          <t>SDR · entry / SDR / Inside Sales</t>
        </is>
      </c>
      <c r="V150" s="29" t="inlineStr">
        <is>
          <t>IRIS Vs Competitor Benchmark — SaaS sales ladder — IC: SDR / BDR</t>
        </is>
      </c>
      <c r="W150" s="29" t="inlineStr">
        <is>
          <t>SaaS sales ladder · SDR → AE → Enterprise AE → VP / CRO; MEDDICC-style qualification</t>
        </is>
      </c>
      <c r="X150" s="29" t="inlineStr">
        <is>
          <t>Core 2 · Future 2 · Functional 2 · Leadership not scored</t>
        </is>
      </c>
      <c r="Y150" s="52" t="n">
        <v>484</v>
      </c>
      <c r="Z150" s="53" t="inlineStr">
        <is>
          <t>IRIS2513</t>
        </is>
      </c>
      <c r="AA150" s="53" t="inlineStr">
        <is>
          <t>Employee</t>
        </is>
      </c>
      <c r="AB150" s="53" t="inlineStr">
        <is>
          <t>Active</t>
        </is>
      </c>
      <c r="AC150" s="53" t="inlineStr">
        <is>
          <t>Satyarth Singh</t>
        </is>
      </c>
      <c r="AD150" s="54" t="n">
        <v>46125</v>
      </c>
      <c r="AE150" s="53" t="inlineStr">
        <is>
          <t>Marketing Associate</t>
        </is>
      </c>
      <c r="AF150" s="53" t="inlineStr">
        <is>
          <t>PGDM</t>
        </is>
      </c>
      <c r="AG150" s="53" t="inlineStr">
        <is>
          <t>Priyadarshini Dey</t>
        </is>
      </c>
      <c r="AH150" s="53" t="inlineStr">
        <is>
          <t>N-5</t>
        </is>
      </c>
      <c r="AI150" s="53" t="inlineStr">
        <is>
          <t>Individual Contributor</t>
        </is>
      </c>
      <c r="AJ150" s="53" t="inlineStr">
        <is>
          <t>0 years, 0 months, 0 days</t>
        </is>
      </c>
      <c r="AK150" s="53" t="inlineStr">
        <is>
          <t>0 years, 4 months, 12 days</t>
        </is>
      </c>
      <c r="AL150" s="53" t="inlineStr">
        <is>
          <t>Regtech</t>
        </is>
      </c>
      <c r="AM150" s="53" t="inlineStr">
        <is>
          <t>CARBON</t>
        </is>
      </c>
      <c r="AN150" s="53" t="inlineStr">
        <is>
          <t>Marketing</t>
        </is>
      </c>
      <c r="AO150" s="53" t="inlineStr">
        <is>
          <t>Marketing</t>
        </is>
      </c>
      <c r="AP150" s="53" t="inlineStr">
        <is>
          <t>No</t>
        </is>
      </c>
      <c r="AQ150" s="53" t="inlineStr">
        <is>
          <t>Sales, Marketing &amp; Support</t>
        </is>
      </c>
      <c r="AR150" s="53" t="inlineStr">
        <is>
          <t>Marketing</t>
        </is>
      </c>
      <c r="AS150" s="53" t="inlineStr">
        <is>
          <t>Non-technical</t>
        </is>
      </c>
      <c r="AT150" s="53" t="n">
        <v>20</v>
      </c>
      <c r="AU150" s="53" t="inlineStr">
        <is>
          <t>Covered</t>
        </is>
      </c>
      <c r="AV150" s="53" t="inlineStr">
        <is>
          <t>IRIS2513</t>
        </is>
      </c>
      <c r="AW150" s="53" t="inlineStr">
        <is>
          <t>Satyarth Singh</t>
        </is>
      </c>
      <c r="AX150" s="53" t="inlineStr">
        <is>
          <t>Marketing</t>
        </is>
      </c>
      <c r="AY150" s="53" t="inlineStr">
        <is>
          <t>Sales &amp; Business Development</t>
        </is>
      </c>
      <c r="AZ150" s="53" t="inlineStr">
        <is>
          <t>Sales Development · SDR</t>
        </is>
      </c>
      <c r="BA150" s="53" t="n"/>
      <c r="BB150" s="53" t="n"/>
      <c r="BC150" s="53" t="inlineStr">
        <is>
          <t>Employee</t>
        </is>
      </c>
      <c r="BD150" s="53" t="inlineStr">
        <is>
          <t>Saahit Togaru</t>
        </is>
      </c>
      <c r="BE150" s="53" t="inlineStr">
        <is>
          <t>Saahit Togaru</t>
        </is>
      </c>
      <c r="BF150" s="53" t="inlineStr">
        <is>
          <t>No</t>
        </is>
      </c>
      <c r="BG150" s="53" t="inlineStr">
        <is>
          <t>Marketing Associate</t>
        </is>
      </c>
      <c r="BH150" s="53" t="inlineStr">
        <is>
          <t>Sales Development Associate</t>
        </is>
      </c>
      <c r="BI150" s="53" t="inlineStr">
        <is>
          <t>Yes</t>
        </is>
      </c>
      <c r="BJ150" s="53" t="inlineStr">
        <is>
          <t>—</t>
        </is>
      </c>
      <c r="BK150" s="53" t="inlineStr">
        <is>
          <t>—</t>
        </is>
      </c>
      <c r="BL150" s="53" t="inlineStr">
        <is>
          <t>—</t>
        </is>
      </c>
      <c r="BM150" s="53" t="inlineStr">
        <is>
          <t>Not a manager</t>
        </is>
      </c>
      <c r="BN150" s="53" t="inlineStr">
        <is>
          <t>—</t>
        </is>
      </c>
      <c r="BO150" s="53" t="inlineStr">
        <is>
          <t>—</t>
        </is>
      </c>
      <c r="BP150" s="53" t="inlineStr">
        <is>
          <t>—</t>
        </is>
      </c>
      <c r="BQ150" s="53" t="inlineStr">
        <is>
          <t>Not a manager</t>
        </is>
      </c>
      <c r="BR150" s="53" t="inlineStr">
        <is>
          <t>—</t>
        </is>
      </c>
      <c r="BS150" s="53" t="inlineStr">
        <is>
          <t>L3 – Professional / Associate</t>
        </is>
      </c>
      <c r="BT150" s="53" t="inlineStr">
        <is>
          <t>L3 – Professional / Associate</t>
        </is>
      </c>
      <c r="BU150" s="53" t="inlineStr">
        <is>
          <t>No designation change — current record value carried forward</t>
        </is>
      </c>
      <c r="BV150" s="53" t="n"/>
      <c r="BW150" s="53" t="n"/>
      <c r="BX150" s="53" t="inlineStr">
        <is>
          <t>No input received.</t>
        </is>
      </c>
      <c r="BY150" s="53" t="n"/>
      <c r="BZ150" s="53" t="inlineStr">
        <is>
          <t>IRIS2513</t>
        </is>
      </c>
      <c r="CA150" s="53" t="inlineStr">
        <is>
          <t>Employee</t>
        </is>
      </c>
      <c r="CB150" s="53" t="inlineStr">
        <is>
          <t>Active</t>
        </is>
      </c>
      <c r="CC150" s="53" t="inlineStr">
        <is>
          <t>Satyarth Singh</t>
        </is>
      </c>
      <c r="CD150" s="54" t="n">
        <v>46125</v>
      </c>
      <c r="CE150" s="53" t="inlineStr">
        <is>
          <t>Marketing Associate</t>
        </is>
      </c>
      <c r="CF150" s="53" t="inlineStr">
        <is>
          <t>Cold calling+Emailing, Scheduling Demo, Before Demo, they huddle with Functional * Sales team to provide detailed portfolio about the company. Tools used - Linkedin Sales navigator · To fetch number of customers shared by Database Team:</t>
        </is>
      </c>
      <c r="CG150" s="53" t="inlineStr">
        <is>
          <t>Sales &amp; Business Development</t>
        </is>
      </c>
      <c r="CH150" s="53" t="inlineStr">
        <is>
          <t>Sales Development · SDR</t>
        </is>
      </c>
      <c r="CI150" s="53" t="inlineStr">
        <is>
          <t>Marketing Associate</t>
        </is>
      </c>
      <c r="CJ150" s="53" t="inlineStr">
        <is>
          <t>L3 – Professional / Associate</t>
        </is>
      </c>
      <c r="CK150" s="53" t="inlineStr">
        <is>
          <t>Saahit Togaru</t>
        </is>
      </c>
      <c r="CL150" s="53" t="inlineStr">
        <is>
          <t>N-4</t>
        </is>
      </c>
      <c r="CM150" s="53" t="inlineStr">
        <is>
          <t>Individual Contributor</t>
        </is>
      </c>
      <c r="CN150" s="53" t="inlineStr">
        <is>
          <t>Regtech</t>
        </is>
      </c>
      <c r="CO150" s="53" t="inlineStr">
        <is>
          <t>Marketing</t>
        </is>
      </c>
      <c r="CP150" s="53" t="inlineStr">
        <is>
          <t>0 years, 2 months, 7 days</t>
        </is>
      </c>
      <c r="CQ150" s="53" t="n"/>
      <c r="CR150" s="53" t="n"/>
      <c r="CS150" s="53" t="n"/>
      <c r="CT150" s="53" t="n"/>
      <c r="CU150" s="53" t="n"/>
      <c r="CV150" s="53" t="n"/>
      <c r="CW150" s="53" t="inlineStr">
        <is>
          <t>No</t>
        </is>
      </c>
      <c r="CX150" s="53" t="inlineStr">
        <is>
          <t>No</t>
        </is>
      </c>
      <c r="CY150" s="53" t="n"/>
      <c r="CZ150" s="53" t="n"/>
      <c r="DA150" s="53" t="n"/>
      <c r="DB150" s="53" t="inlineStr">
        <is>
          <t>To be mapped to SDR Mgr US - TBH</t>
        </is>
      </c>
      <c r="DC150" s="53" t="n"/>
      <c r="DD150" s="53" t="n"/>
      <c r="DE150" s="53" t="n"/>
      <c r="DF150" s="53" t="n"/>
      <c r="DG150" s="53" t="n"/>
      <c r="DH150" s="53" t="n"/>
      <c r="DI150" s="53" t="n"/>
      <c r="DJ150" s="53" t="n"/>
      <c r="DK150" s="53" t="n"/>
      <c r="DL150" s="53" t="n"/>
      <c r="DM150" s="53" t="n"/>
      <c r="DN150" s="53" t="n"/>
      <c r="DO150" s="53" t="n"/>
      <c r="DP150" s="53" t="n"/>
      <c r="DQ150" s="53" t="n"/>
      <c r="DR150" s="53" t="n"/>
      <c r="DS150" s="53" t="n"/>
      <c r="DT150" s="53" t="n"/>
      <c r="DU150" s="53" t="n"/>
      <c r="DV150" s="53" t="n"/>
      <c r="DW150" s="53" t="n"/>
      <c r="DX150" s="53" t="n"/>
      <c r="DY150" s="53" t="n"/>
      <c r="DZ150" s="53" t="n"/>
      <c r="EA150" s="53" t="n"/>
      <c r="EB150" s="53" t="n"/>
      <c r="EC150" s="53" t="n"/>
      <c r="ED150" s="53" t="n"/>
      <c r="EE150" s="53" t="n"/>
      <c r="EF150" s="53" t="n"/>
      <c r="EG150" s="53" t="n"/>
      <c r="EH150" s="53" t="n"/>
      <c r="EI150" s="53" t="n"/>
      <c r="EJ150" s="53" t="n"/>
      <c r="EK150" s="53" t="n"/>
      <c r="EL150" s="53" t="n"/>
      <c r="EM150" s="53" t="n"/>
      <c r="EN150" s="53" t="n"/>
      <c r="EO150" s="53" t="n"/>
      <c r="EP150" s="53" t="n"/>
      <c r="EQ150" s="53" t="n"/>
      <c r="ER150" s="53" t="n"/>
      <c r="ES150" s="53" t="n"/>
      <c r="ET150" s="53" t="n"/>
      <c r="EU150" s="53" t="n"/>
      <c r="EV150" s="53" t="n"/>
      <c r="EW150" s="52" t="n"/>
      <c r="EX150" s="53" t="inlineStr">
        <is>
          <t>• This role books pre-sales discovery meetings, primarily through outbound calls, between relevant ICPs and the sales and functional teams.</t>
        </is>
      </c>
      <c r="EY150" s="53"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EZ150" s="53" t="inlineStr">
        <is>
          <t>• Current capabilities: Account research and targeted outreach; Cold calling, email outreach and LinkedIn engagement; Prospect qualification and meeting coordination.</t>
        </is>
      </c>
      <c r="FA150" s="53"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B150" s="53" t="inlineStr">
        <is>
          <t>• Key challenges: Internal coordination gaps can result in missed prospects; Needs more consistent outreach cadence and communication confidence.
• Support required: No input received.</t>
        </is>
      </c>
      <c r="FC150" s="53" t="n"/>
      <c r="FD150" s="53" t="n"/>
      <c r="FE150" s="55" t="inlineStr">
        <is>
          <t>KRAs not received · manager to supply</t>
        </is>
      </c>
      <c r="FF150" s="56" t="n"/>
      <c r="FG150" s="56" t="n"/>
      <c r="FH150" s="56" t="n"/>
      <c r="FI150" s="56" t="inlineStr">
        <is>
          <t>Cold calling+Emailing, Scheduling Demo, Before Demo, they huddle with Functional * Sales team to provide detailed portfolio about the company. Tools used - Linkedin Sales navigator · To fetch number of customers shared by Database Team:</t>
        </is>
      </c>
      <c r="FJ150" s="32" t="inlineStr">
        <is>
          <t>KRAs not received · manager to supply</t>
        </is>
      </c>
      <c r="FK150" s="56" t="inlineStr">
        <is>
          <t>CARBON Talent Mapping · Raw</t>
        </is>
      </c>
      <c r="FL150" s="56" t="n">
        <v>19</v>
      </c>
      <c r="FM150" s="56" t="inlineStr">
        <is>
          <t>• This role books pre-sales discovery meetings, primarily through outbound calls, between relevant ICPs and the sales and functional teams.</t>
        </is>
      </c>
      <c r="FN150" s="56"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FO150" s="56" t="inlineStr">
        <is>
          <t>• Current capabilities: Account research and targeted outreach; Cold calling, email outreach and LinkedIn engagement; Prospect qualification and meeting coordination.</t>
        </is>
      </c>
      <c r="FP150" s="56"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Q150" s="56" t="inlineStr">
        <is>
          <t>• Key challenges: Internal coordination gaps can result in missed prospects; Needs more consistent outreach cadence and communication confidence.
• Support required: No input received.</t>
        </is>
      </c>
      <c r="FR150" s="56" t="inlineStr">
        <is>
          <t>Complexity: Evidence reads like A2: Books discovery meetings via cold calls, emails and LinkedIn for France and Italy; researches ICPs → matches the start
Autonomy: Evidence reads like A2: Decides the first outreach; adapts approach by region → matches the start
Accountability: Evidence reads like A2: Accountable for ICP research and scheduling discovery calls; missed coordination loses a prospect → matches the start
Leadership: Evidence reads like A1: No guidance or leadership of others described → matches the start
Business Impact: No survey or manager-mapping signal on criticality: kept at the start point.</t>
        </is>
      </c>
      <c r="FS150"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0" s="56" t="inlineStr">
        <is>
          <t>Self-identified: Communication &amp; presentation
For the next role: Communication &amp; presentation</t>
        </is>
      </c>
      <c r="FU150" s="56" t="inlineStr">
        <is>
          <t>Per-person summary · CARBON Mapping Master</t>
        </is>
      </c>
    </row>
    <row r="151" ht="90" customHeight="1">
      <c r="A151" s="51" t="inlineStr">
        <is>
          <t>◂ Back</t>
        </is>
      </c>
      <c r="B151" s="29" t="inlineStr">
        <is>
          <t>Mapped</t>
        </is>
      </c>
      <c r="C151" s="28" t="inlineStr">
        <is>
          <t>CARBON</t>
        </is>
      </c>
      <c r="D151" s="29" t="inlineStr">
        <is>
          <t>IRIS2512</t>
        </is>
      </c>
      <c r="E151" s="29" t="inlineStr">
        <is>
          <t>Shobhit Dhingra</t>
        </is>
      </c>
      <c r="F151" s="29" t="inlineStr">
        <is>
          <t>Marketing</t>
        </is>
      </c>
      <c r="G151" s="29" t="inlineStr">
        <is>
          <t>Marketing Associate</t>
        </is>
      </c>
      <c r="H151" s="29" t="inlineStr">
        <is>
          <t>Sales Development Representative</t>
        </is>
      </c>
      <c r="I151" s="29" t="inlineStr">
        <is>
          <t>L3 – Professional / Associate</t>
        </is>
      </c>
      <c r="J151" s="29" t="inlineStr">
        <is>
          <t>A2</t>
        </is>
      </c>
      <c r="K151" s="29" t="inlineStr">
        <is>
          <t>• Same level</t>
        </is>
      </c>
      <c r="L151" s="29" t="inlineStr">
        <is>
          <t>Sales &amp; Business Development</t>
        </is>
      </c>
      <c r="M151" s="29" t="inlineStr">
        <is>
          <t>Sales Development &amp; Prospecting</t>
        </is>
      </c>
      <c r="N151" s="29" t="n"/>
      <c r="O151" s="29" t="n">
        <v>20</v>
      </c>
      <c r="P151" s="28" t="inlineStr">
        <is>
          <t>P1–P2</t>
        </is>
      </c>
      <c r="Q151" s="29" t="inlineStr">
        <is>
          <t>Entry / Developing</t>
        </is>
      </c>
      <c r="R151" s="29" t="inlineStr">
        <is>
          <t>2 Assist</t>
        </is>
      </c>
      <c r="S151" s="29" t="inlineStr">
        <is>
          <t>0–2 yrs</t>
        </is>
      </c>
      <c r="T151" s="29" t="inlineStr">
        <is>
          <t>1–3 · 0–3</t>
        </is>
      </c>
      <c r="U151" s="29" t="inlineStr">
        <is>
          <t>SDR · entry / SDR / Inside Sales</t>
        </is>
      </c>
      <c r="V151" s="29" t="inlineStr">
        <is>
          <t>IRIS Vs Competitor Benchmark — SaaS sales ladder — IC: SDR / BDR</t>
        </is>
      </c>
      <c r="W151" s="29" t="inlineStr">
        <is>
          <t>SaaS sales ladder · SDR → AE → Enterprise AE → VP / CRO; MEDDICC-style qualification</t>
        </is>
      </c>
      <c r="X151" s="29" t="inlineStr">
        <is>
          <t>Core 2 · Future 2 · Functional 2 · Leadership not scored</t>
        </is>
      </c>
      <c r="Y151" s="52" t="n">
        <v>483</v>
      </c>
      <c r="Z151" s="53" t="inlineStr">
        <is>
          <t>IRIS2512</t>
        </is>
      </c>
      <c r="AA151" s="53" t="inlineStr">
        <is>
          <t>Employee</t>
        </is>
      </c>
      <c r="AB151" s="53" t="inlineStr">
        <is>
          <t>Active</t>
        </is>
      </c>
      <c r="AC151" s="53" t="inlineStr">
        <is>
          <t>Shobhit Dhingra</t>
        </is>
      </c>
      <c r="AD151" s="54" t="n">
        <v>46125</v>
      </c>
      <c r="AE151" s="53" t="inlineStr">
        <is>
          <t>Marketing Associate</t>
        </is>
      </c>
      <c r="AF151" s="53" t="inlineStr">
        <is>
          <t>B.Com</t>
        </is>
      </c>
      <c r="AG151" s="53" t="inlineStr">
        <is>
          <t>Priyadarshini Dey</t>
        </is>
      </c>
      <c r="AH151" s="53" t="inlineStr">
        <is>
          <t>N-5</t>
        </is>
      </c>
      <c r="AI151" s="53" t="inlineStr">
        <is>
          <t>Individual Contributor</t>
        </is>
      </c>
      <c r="AJ151" s="53" t="inlineStr">
        <is>
          <t>0 years, 0 months, 0 days</t>
        </is>
      </c>
      <c r="AK151" s="53" t="inlineStr">
        <is>
          <t>0 years, 4 months, 12 days</t>
        </is>
      </c>
      <c r="AL151" s="53" t="inlineStr">
        <is>
          <t>Regtech</t>
        </is>
      </c>
      <c r="AM151" s="53" t="inlineStr">
        <is>
          <t>CARBON</t>
        </is>
      </c>
      <c r="AN151" s="53" t="inlineStr">
        <is>
          <t>Marketing</t>
        </is>
      </c>
      <c r="AO151" s="53" t="inlineStr">
        <is>
          <t>Marketing</t>
        </is>
      </c>
      <c r="AP151" s="53" t="inlineStr">
        <is>
          <t>No</t>
        </is>
      </c>
      <c r="AQ151" s="53" t="inlineStr">
        <is>
          <t>Sales, Marketing &amp; Support</t>
        </is>
      </c>
      <c r="AR151" s="53" t="inlineStr">
        <is>
          <t>Marketing</t>
        </is>
      </c>
      <c r="AS151" s="53" t="inlineStr">
        <is>
          <t>Non-technical</t>
        </is>
      </c>
      <c r="AT151" s="53" t="n">
        <v>20</v>
      </c>
      <c r="AU151" s="53" t="inlineStr">
        <is>
          <t>Covered</t>
        </is>
      </c>
      <c r="AV151" s="53" t="inlineStr">
        <is>
          <t>IRIS2512</t>
        </is>
      </c>
      <c r="AW151" s="53" t="inlineStr">
        <is>
          <t>Shobhit Dhingra</t>
        </is>
      </c>
      <c r="AX151" s="53" t="inlineStr">
        <is>
          <t>Marketing</t>
        </is>
      </c>
      <c r="AY151" s="53" t="inlineStr">
        <is>
          <t>Sales &amp; Business Development</t>
        </is>
      </c>
      <c r="AZ151" s="53" t="inlineStr">
        <is>
          <t>Sales Development · SDR</t>
        </is>
      </c>
      <c r="BA151" s="53" t="n"/>
      <c r="BB151" s="53" t="n"/>
      <c r="BC151" s="53" t="inlineStr">
        <is>
          <t>Employee</t>
        </is>
      </c>
      <c r="BD151" s="53" t="inlineStr">
        <is>
          <t>Saahit Togaru</t>
        </is>
      </c>
      <c r="BE151" s="53" t="inlineStr">
        <is>
          <t>Saahit Togaru</t>
        </is>
      </c>
      <c r="BF151" s="53" t="inlineStr">
        <is>
          <t>No</t>
        </is>
      </c>
      <c r="BG151" s="53" t="inlineStr">
        <is>
          <t>Marketing Associate</t>
        </is>
      </c>
      <c r="BH151" s="53" t="inlineStr">
        <is>
          <t>Sales Development Associate</t>
        </is>
      </c>
      <c r="BI151" s="53" t="inlineStr">
        <is>
          <t>Yes</t>
        </is>
      </c>
      <c r="BJ151" s="53" t="inlineStr">
        <is>
          <t>—</t>
        </is>
      </c>
      <c r="BK151" s="53" t="inlineStr">
        <is>
          <t>—</t>
        </is>
      </c>
      <c r="BL151" s="53" t="inlineStr">
        <is>
          <t>—</t>
        </is>
      </c>
      <c r="BM151" s="53" t="inlineStr">
        <is>
          <t>Not a manager</t>
        </is>
      </c>
      <c r="BN151" s="53" t="inlineStr">
        <is>
          <t>—</t>
        </is>
      </c>
      <c r="BO151" s="53" t="inlineStr">
        <is>
          <t>—</t>
        </is>
      </c>
      <c r="BP151" s="53" t="inlineStr">
        <is>
          <t>—</t>
        </is>
      </c>
      <c r="BQ151" s="53" t="inlineStr">
        <is>
          <t>Not a manager</t>
        </is>
      </c>
      <c r="BR151" s="53" t="inlineStr">
        <is>
          <t>—</t>
        </is>
      </c>
      <c r="BS151" s="53" t="inlineStr">
        <is>
          <t>L3 – Professional / Associate</t>
        </is>
      </c>
      <c r="BT151" s="53" t="inlineStr">
        <is>
          <t>L3 – Professional / Associate</t>
        </is>
      </c>
      <c r="BU151" s="53" t="inlineStr">
        <is>
          <t>No designation change — current record value carried forward</t>
        </is>
      </c>
      <c r="BV151" s="53"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W151" s="53" t="n"/>
      <c r="BX151" s="53" t="inlineStr">
        <is>
          <t>No input received.</t>
        </is>
      </c>
      <c r="BY151" s="53" t="n"/>
      <c r="BZ151" s="53" t="inlineStr">
        <is>
          <t>IRIS2512</t>
        </is>
      </c>
      <c r="CA151" s="53" t="inlineStr">
        <is>
          <t>Employee</t>
        </is>
      </c>
      <c r="CB151" s="53" t="inlineStr">
        <is>
          <t>Active</t>
        </is>
      </c>
      <c r="CC151" s="53" t="inlineStr">
        <is>
          <t>Shobhit Dhingra</t>
        </is>
      </c>
      <c r="CD151" s="54" t="n">
        <v>46125</v>
      </c>
      <c r="CE151" s="53" t="inlineStr">
        <is>
          <t>Marketing Associate</t>
        </is>
      </c>
      <c r="CF151" s="53" t="inlineStr">
        <is>
          <t>SDR Management for EU region reports to Saahit</t>
        </is>
      </c>
      <c r="CG151" s="53" t="inlineStr">
        <is>
          <t>Sales &amp; Business Development</t>
        </is>
      </c>
      <c r="CH151" s="53" t="inlineStr">
        <is>
          <t>Sales Development · SDR</t>
        </is>
      </c>
      <c r="CI151" s="53" t="inlineStr">
        <is>
          <t>Marketing Associate</t>
        </is>
      </c>
      <c r="CJ151" s="53" t="inlineStr">
        <is>
          <t>L3 – Professional / Associate</t>
        </is>
      </c>
      <c r="CK151" s="53" t="inlineStr">
        <is>
          <t>Saahit Togaru</t>
        </is>
      </c>
      <c r="CL151" s="53" t="inlineStr">
        <is>
          <t>N-4</t>
        </is>
      </c>
      <c r="CM151" s="53" t="inlineStr">
        <is>
          <t>Individual Contributor</t>
        </is>
      </c>
      <c r="CN151" s="53" t="inlineStr">
        <is>
          <t>Regtech</t>
        </is>
      </c>
      <c r="CO151" s="53" t="inlineStr">
        <is>
          <t>Marketing</t>
        </is>
      </c>
      <c r="CP151" s="53" t="inlineStr">
        <is>
          <t>0 years, 2 months, 7 days</t>
        </is>
      </c>
      <c r="CQ151" s="53" t="n"/>
      <c r="CR151" s="53" t="inlineStr">
        <is>
          <t>No</t>
        </is>
      </c>
      <c r="CS151" s="53" t="n">
        <v>1</v>
      </c>
      <c r="CT151" s="53" t="inlineStr">
        <is>
          <t>Medium</t>
        </is>
      </c>
      <c r="CU151" s="53" t="inlineStr">
        <is>
          <t>Core Contributor</t>
        </is>
      </c>
      <c r="CV151" s="53" t="inlineStr">
        <is>
          <t>Too soon to comment</t>
        </is>
      </c>
      <c r="CW151" s="53" t="inlineStr">
        <is>
          <t>No</t>
        </is>
      </c>
      <c r="CX151" s="53" t="inlineStr">
        <is>
          <t>Yes</t>
        </is>
      </c>
      <c r="CY151" s="53" t="n"/>
      <c r="CZ151" s="53" t="inlineStr">
        <is>
          <t>Would benefit from a deeper understanding of the current role and  sales process, while continuing to build confidence in prospecting and customer conversations.</t>
        </is>
      </c>
      <c r="DA151" s="53" t="n"/>
      <c r="DB151" s="53" t="inlineStr">
        <is>
          <t>To be mapped to SDR Mgr Europe - TBH</t>
        </is>
      </c>
      <c r="DC151" s="53" t="n"/>
      <c r="DD151" s="53" t="n"/>
      <c r="DE151" s="53" t="n"/>
      <c r="DF151" s="53" t="n"/>
      <c r="DG151" s="53" t="n"/>
      <c r="DH151" s="53" t="n"/>
      <c r="DI151" s="53" t="n"/>
      <c r="DJ151" s="53" t="n"/>
      <c r="DK151" s="53" t="n"/>
      <c r="DL151" s="53" t="n"/>
      <c r="DM151" s="53" t="n"/>
      <c r="DN151" s="53" t="n"/>
      <c r="DO151" s="53" t="n"/>
      <c r="DP151" s="53" t="n"/>
      <c r="DQ151" s="53" t="n"/>
      <c r="DR151" s="53" t="n"/>
      <c r="DS151" s="53" t="n"/>
      <c r="DT151" s="53" t="n"/>
      <c r="DU151" s="53" t="n"/>
      <c r="DV151" s="53" t="n"/>
      <c r="DW151" s="53" t="n"/>
      <c r="DX151" s="53" t="n"/>
      <c r="DY151" s="53" t="n"/>
      <c r="DZ151" s="53" t="n"/>
      <c r="EA151" s="53" t="n"/>
      <c r="EB151" s="53" t="n"/>
      <c r="EC151" s="53" t="n"/>
      <c r="ED151" s="53" t="n"/>
      <c r="EE151" s="53" t="n"/>
      <c r="EF151" s="53" t="n"/>
      <c r="EG151" s="53" t="n"/>
      <c r="EH151" s="53" t="n"/>
      <c r="EI151" s="53" t="n"/>
      <c r="EJ151" s="53" t="n"/>
      <c r="EK151" s="53" t="n"/>
      <c r="EL151" s="53" t="n"/>
      <c r="EM151" s="53" t="n"/>
      <c r="EN151" s="53" t="n"/>
      <c r="EO151" s="53" t="n"/>
      <c r="EP151" s="53" t="n"/>
      <c r="EQ151" s="53" t="n"/>
      <c r="ER151" s="53" t="n"/>
      <c r="ES151" s="53" t="n"/>
      <c r="ET151" s="53" t="n"/>
      <c r="EU151" s="53" t="n"/>
      <c r="EV151" s="53" t="n"/>
      <c r="EW151" s="52" t="n"/>
      <c r="EX151" s="53" t="inlineStr">
        <is>
          <t>• This role creates immediate revenue impact by generating leads and new business opportunities.</t>
        </is>
      </c>
      <c r="EY151" s="53"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EZ151" s="53" t="inlineStr">
        <is>
          <t>• Current capabilities: Pipeline building and outbound outreach; Initial relationship management and sales-funnel execution.</t>
        </is>
      </c>
      <c r="FA151" s="53" t="inlineStr">
        <is>
          <t>• Development priorities: Build communication, relationship-building and prospect-research capability.
• Learning and Development Need: Communication and relationship-building skills training, along with prospect-research methods and CRM data-discipline coaching.</t>
        </is>
      </c>
      <c r="FB151" s="53" t="inlineStr">
        <is>
          <t>• Key challenges: Outdated database and limited contact information; Needs stronger CRM discipline and access to better prospect research.
• Support required: Dedicated research support to improve data quality and targeting.</t>
        </is>
      </c>
      <c r="FC151" s="53" t="n"/>
      <c r="FD151" s="53" t="n"/>
      <c r="FE151" s="57"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FF151" s="56" t="n"/>
      <c r="FG151" s="56" t="n"/>
      <c r="FH151" s="56" t="n"/>
      <c r="FI151" s="56" t="inlineStr">
        <is>
          <t>SDR Management for EU region reports to Saahit</t>
        </is>
      </c>
      <c r="FJ151" s="56" t="inlineStr">
        <is>
          <t>Received · manager annual</t>
        </is>
      </c>
      <c r="FK151" s="56" t="inlineStr">
        <is>
          <t>CARBON Mapping Master · CARBON Talent Mapping · Raw</t>
        </is>
      </c>
      <c r="FL151" s="56" t="n">
        <v>20</v>
      </c>
      <c r="FM151" s="56" t="inlineStr">
        <is>
          <t>• This role creates immediate revenue impact by generating leads and new business opportunities.</t>
        </is>
      </c>
      <c r="FN151" s="56"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FO151" s="56" t="inlineStr">
        <is>
          <t>• Current capabilities: Pipeline building and outbound outreach; Initial relationship management and sales-funnel execution.</t>
        </is>
      </c>
      <c r="FP151" s="56" t="inlineStr">
        <is>
          <t>• Development priorities: Build communication, relationship-building and prospect-research capability.
• Learning and Development Need: Communication and relationship-building skills training, along with prospect-research methods and CRM data-discipline coaching.</t>
        </is>
      </c>
      <c r="FQ151" s="56" t="inlineStr">
        <is>
          <t>• Key challenges: Outdated database and limited contact information; Needs stronger CRM discipline and access to better prospect research.
• Support required: Dedicated research support to improve data quality and targeting.</t>
        </is>
      </c>
      <c r="FR151" s="56" t="inlineStr">
        <is>
          <t>Complexity: Evidence reads like A2: Pure outbound outreach to create pipeline, start the sales funnel and maintain the CRM → matches the start
Autonomy: Evidence reads like A2: Decides own outreach approach, e.g. A/B tests of messaging → matches the start
Accountability: Evidence reads like A2: own survey / KRA answers · summarised by the rater; not quoted → matches the start
Leadership: Evidence reads like A1: No guidance or leadership of others described → matches the start
Business Impact: Moved +0.5: the survey / manager mapping marks it business-critical.</t>
        </is>
      </c>
      <c r="FS151"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1" s="56" t="inlineStr">
        <is>
          <t>Self-identified: Communication &amp; presentation
For the next role: Communication &amp; presentation</t>
        </is>
      </c>
      <c r="FU151" s="56" t="inlineStr">
        <is>
          <t>Per-person summary · CARBON Mapping Master</t>
        </is>
      </c>
    </row>
    <row r="152" ht="90" customHeight="1">
      <c r="A152" s="51" t="inlineStr">
        <is>
          <t>◂ Back</t>
        </is>
      </c>
      <c r="B152" s="29" t="inlineStr">
        <is>
          <t>Mapped</t>
        </is>
      </c>
      <c r="C152" s="28" t="inlineStr">
        <is>
          <t>CARBON</t>
        </is>
      </c>
      <c r="D152" s="29" t="inlineStr">
        <is>
          <t>INTN0287</t>
        </is>
      </c>
      <c r="E152" s="29" t="inlineStr">
        <is>
          <t>Anika Mariam</t>
        </is>
      </c>
      <c r="F152" s="29" t="inlineStr">
        <is>
          <t>Marketing</t>
        </is>
      </c>
      <c r="G152" s="29" t="inlineStr">
        <is>
          <t>Intern</t>
        </is>
      </c>
      <c r="H152" s="29" t="inlineStr">
        <is>
          <t>Intern – Sales Development &amp; Prospecting</t>
        </is>
      </c>
      <c r="I152" s="29" t="inlineStr">
        <is>
          <t>L1 – Intern</t>
        </is>
      </c>
      <c r="J152" s="29" t="inlineStr">
        <is>
          <t>A1</t>
        </is>
      </c>
      <c r="K152" s="29" t="inlineStr">
        <is>
          <t>• Same level</t>
        </is>
      </c>
      <c r="L152" s="29" t="inlineStr">
        <is>
          <t>Sales &amp; Business Development</t>
        </is>
      </c>
      <c r="M152" s="29" t="inlineStr">
        <is>
          <t>Sales Development &amp; Prospecting</t>
        </is>
      </c>
      <c r="N152" s="29" t="n"/>
      <c r="O152" s="29" t="n">
        <v>19</v>
      </c>
      <c r="P152" s="28" t="inlineStr">
        <is>
          <t>Entry / P1 · intern</t>
        </is>
      </c>
      <c r="Q152" s="29" t="inlineStr">
        <is>
          <t>Entry</t>
        </is>
      </c>
      <c r="R152" s="29" t="inlineStr">
        <is>
          <t>1 Follow</t>
        </is>
      </c>
      <c r="S152" s="29" t="inlineStr">
        <is>
          <t>0 yrs · fresher / intern</t>
        </is>
      </c>
      <c r="T152" s="29" t="inlineStr">
        <is>
          <t>—</t>
        </is>
      </c>
      <c r="U152" s="29" t="inlineStr">
        <is>
          <t>SDR · entry</t>
        </is>
      </c>
      <c r="V152" s="29" t="inlineStr">
        <is>
          <t>—</t>
        </is>
      </c>
      <c r="W152" s="29" t="inlineStr">
        <is>
          <t>SaaS sales ladder · SDR → AE → Enterprise AE → VP / CRO; MEDDICC-style qualification</t>
        </is>
      </c>
      <c r="X152" s="29" t="inlineStr">
        <is>
          <t>Core 1 · Future 1 · Functional 1 · Leadership not scored</t>
        </is>
      </c>
      <c r="Y152" s="52" t="n">
        <v>431</v>
      </c>
      <c r="Z152" s="53" t="inlineStr">
        <is>
          <t>INTN0287</t>
        </is>
      </c>
      <c r="AA152" s="53" t="inlineStr">
        <is>
          <t>Intern</t>
        </is>
      </c>
      <c r="AB152" s="53" t="inlineStr">
        <is>
          <t>Active</t>
        </is>
      </c>
      <c r="AC152" s="53" t="inlineStr">
        <is>
          <t>Anika Mariam</t>
        </is>
      </c>
      <c r="AD152" s="54" t="n">
        <v>46027</v>
      </c>
      <c r="AE152" s="53" t="inlineStr">
        <is>
          <t>Intern</t>
        </is>
      </c>
      <c r="AF152" s="53" t="inlineStr">
        <is>
          <t>B.Tech</t>
        </is>
      </c>
      <c r="AG152" s="53" t="inlineStr">
        <is>
          <t>Priyadarshini Dey</t>
        </is>
      </c>
      <c r="AH152" s="53" t="inlineStr">
        <is>
          <t>N-5</t>
        </is>
      </c>
      <c r="AI152" s="53" t="inlineStr">
        <is>
          <t>Individual Contributor</t>
        </is>
      </c>
      <c r="AJ152" s="53" t="inlineStr">
        <is>
          <t>0 years, 1 months, 0 days</t>
        </is>
      </c>
      <c r="AK152" s="53" t="inlineStr">
        <is>
          <t>0 years, 7 months, 20 days</t>
        </is>
      </c>
      <c r="AL152" s="53" t="inlineStr">
        <is>
          <t>Regtech</t>
        </is>
      </c>
      <c r="AM152" s="53" t="inlineStr">
        <is>
          <t>CARBON</t>
        </is>
      </c>
      <c r="AN152" s="53" t="inlineStr">
        <is>
          <t>Marketing</t>
        </is>
      </c>
      <c r="AO152" s="53" t="inlineStr">
        <is>
          <t>Marketing - SDR</t>
        </is>
      </c>
      <c r="AP152" s="53" t="inlineStr">
        <is>
          <t>No</t>
        </is>
      </c>
      <c r="AQ152" s="53" t="inlineStr">
        <is>
          <t>Sales, Marketing &amp; Support</t>
        </is>
      </c>
      <c r="AR152" s="53" t="inlineStr">
        <is>
          <t>Marketing</t>
        </is>
      </c>
      <c r="AS152" s="53" t="inlineStr">
        <is>
          <t>Non-technical</t>
        </is>
      </c>
      <c r="AT152" s="53" t="n">
        <v>20</v>
      </c>
      <c r="AU152" s="53" t="inlineStr">
        <is>
          <t>Covered</t>
        </is>
      </c>
      <c r="AV152" s="53" t="inlineStr">
        <is>
          <t>INTN0287</t>
        </is>
      </c>
      <c r="AW152" s="53" t="inlineStr">
        <is>
          <t>Anika Mariam</t>
        </is>
      </c>
      <c r="AX152" s="53" t="inlineStr">
        <is>
          <t>Marketing</t>
        </is>
      </c>
      <c r="AY152" s="53" t="inlineStr">
        <is>
          <t>Sales &amp; Business Development</t>
        </is>
      </c>
      <c r="AZ152" s="53" t="inlineStr">
        <is>
          <t>Sales Development · SDR</t>
        </is>
      </c>
      <c r="BA152" s="53" t="n"/>
      <c r="BB152" s="53" t="n"/>
      <c r="BC152" s="53" t="inlineStr">
        <is>
          <t>Intern</t>
        </is>
      </c>
      <c r="BD152" s="53" t="inlineStr">
        <is>
          <t>Priyadarshini Dey</t>
        </is>
      </c>
      <c r="BE152" s="53" t="inlineStr">
        <is>
          <t>Priyadarshini Dey</t>
        </is>
      </c>
      <c r="BF152" s="53" t="inlineStr">
        <is>
          <t>No</t>
        </is>
      </c>
      <c r="BG152" s="53" t="inlineStr">
        <is>
          <t>Intern</t>
        </is>
      </c>
      <c r="BH152" s="53" t="inlineStr">
        <is>
          <t>Intern</t>
        </is>
      </c>
      <c r="BI152" s="53" t="inlineStr">
        <is>
          <t>No</t>
        </is>
      </c>
      <c r="BJ152" s="53" t="inlineStr">
        <is>
          <t>—</t>
        </is>
      </c>
      <c r="BK152" s="53" t="inlineStr">
        <is>
          <t>—</t>
        </is>
      </c>
      <c r="BL152" s="53" t="inlineStr">
        <is>
          <t>—</t>
        </is>
      </c>
      <c r="BM152" s="53" t="inlineStr">
        <is>
          <t>Not a manager</t>
        </is>
      </c>
      <c r="BN152" s="53" t="inlineStr">
        <is>
          <t>—</t>
        </is>
      </c>
      <c r="BO152" s="53" t="inlineStr">
        <is>
          <t>—</t>
        </is>
      </c>
      <c r="BP152" s="53" t="inlineStr">
        <is>
          <t>—</t>
        </is>
      </c>
      <c r="BQ152" s="53" t="inlineStr">
        <is>
          <t>Not a manager</t>
        </is>
      </c>
      <c r="BR152" s="53" t="inlineStr">
        <is>
          <t>—</t>
        </is>
      </c>
      <c r="BS152" s="53" t="inlineStr">
        <is>
          <t>L1 – Intern</t>
        </is>
      </c>
      <c r="BT152" s="53" t="inlineStr">
        <is>
          <t>L1 – Intern</t>
        </is>
      </c>
      <c r="BU152" s="53" t="inlineStr">
        <is>
          <t>No designation change — current record value carried forward</t>
        </is>
      </c>
      <c r="BV152"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2" s="53" t="n"/>
      <c r="BX152" s="53" t="inlineStr">
        <is>
          <t>No input received.</t>
        </is>
      </c>
      <c r="BY152" s="53" t="n"/>
      <c r="BZ152" s="53" t="inlineStr">
        <is>
          <t>INTN0287</t>
        </is>
      </c>
      <c r="CA152" s="53" t="inlineStr">
        <is>
          <t>Intern</t>
        </is>
      </c>
      <c r="CB152" s="53" t="inlineStr">
        <is>
          <t>Active</t>
        </is>
      </c>
      <c r="CC152" s="53" t="inlineStr">
        <is>
          <t>Anika Mariam</t>
        </is>
      </c>
      <c r="CD152" s="54" t="n">
        <v>46027</v>
      </c>
      <c r="CE152" s="53" t="inlineStr">
        <is>
          <t>Intern</t>
        </is>
      </c>
      <c r="CF152" s="53" t="inlineStr">
        <is>
          <t>Cold calling+Emailing, Scheduling Demo, Before Demo, they huddle with Functional * Sales team to provide detailed portfolio about the company. Tools used - Linkedin Sales navigator · To fetch number of customers shared by Database Team:</t>
        </is>
      </c>
      <c r="CG152" s="53" t="inlineStr">
        <is>
          <t>Sales &amp; Business Development</t>
        </is>
      </c>
      <c r="CH152" s="53" t="inlineStr">
        <is>
          <t>Sales Development · SDR</t>
        </is>
      </c>
      <c r="CI152" s="53" t="inlineStr">
        <is>
          <t>Intern</t>
        </is>
      </c>
      <c r="CJ152" s="53" t="inlineStr">
        <is>
          <t>L1 – Intern</t>
        </is>
      </c>
      <c r="CK152" s="53" t="inlineStr">
        <is>
          <t>Priyadarshini Dey</t>
        </is>
      </c>
      <c r="CL152" s="53" t="inlineStr">
        <is>
          <t>N-5</t>
        </is>
      </c>
      <c r="CM152" s="53" t="inlineStr">
        <is>
          <t>Individual Contributor</t>
        </is>
      </c>
      <c r="CN152" s="53" t="inlineStr">
        <is>
          <t>Regtech</t>
        </is>
      </c>
      <c r="CO152" s="53" t="inlineStr">
        <is>
          <t>Marketing</t>
        </is>
      </c>
      <c r="CP152" s="53" t="inlineStr">
        <is>
          <t>0 years, 6 months, 15 days</t>
        </is>
      </c>
      <c r="CQ152" s="53" t="n"/>
      <c r="CR152" s="53" t="inlineStr">
        <is>
          <t>NO</t>
        </is>
      </c>
      <c r="CS152" s="53" t="n">
        <v>2</v>
      </c>
      <c r="CT152" s="53" t="inlineStr">
        <is>
          <t>Medium</t>
        </is>
      </c>
      <c r="CU152" s="53" t="inlineStr">
        <is>
          <t>Core Contributor</t>
        </is>
      </c>
      <c r="CV152" s="53" t="inlineStr">
        <is>
          <t>No</t>
        </is>
      </c>
      <c r="CW152" s="53" t="inlineStr">
        <is>
          <t>No</t>
        </is>
      </c>
      <c r="CX152" s="53" t="inlineStr">
        <is>
          <t>No</t>
        </is>
      </c>
      <c r="CY152" s="53" t="n"/>
      <c r="CZ152" s="53" t="inlineStr">
        <is>
          <t>1. Strengthen domain knowledge through revised training to confidently communicate the value proposition, understand product updates, and articulate our competitive advantage over other players</t>
        </is>
      </c>
      <c r="DA152" s="53" t="n"/>
      <c r="DB152" s="53" t="n"/>
      <c r="DC152" s="53" t="n"/>
      <c r="DD152" s="53" t="n"/>
      <c r="DE152" s="53" t="n"/>
      <c r="DF152" s="53" t="n"/>
      <c r="DG152" s="53" t="n"/>
      <c r="DH152" s="53" t="n"/>
      <c r="DI152" s="53" t="n"/>
      <c r="DJ152" s="53" t="n"/>
      <c r="DK152" s="53" t="n"/>
      <c r="DL152" s="53" t="n"/>
      <c r="DM152" s="53" t="n"/>
      <c r="DN152" s="53" t="n"/>
      <c r="DO152" s="53" t="n"/>
      <c r="DP152" s="53" t="n"/>
      <c r="DQ152" s="53" t="n"/>
      <c r="DR152" s="53" t="n"/>
      <c r="DS152" s="53" t="n"/>
      <c r="DT152" s="53" t="n"/>
      <c r="DU152" s="53" t="n"/>
      <c r="DV152" s="53" t="n"/>
      <c r="DW152" s="53" t="n"/>
      <c r="DX152" s="53" t="n"/>
      <c r="DY152" s="53" t="n"/>
      <c r="DZ152" s="53" t="n"/>
      <c r="EA152" s="53" t="n"/>
      <c r="EB152" s="53" t="n"/>
      <c r="EC152" s="53" t="n"/>
      <c r="ED152" s="53" t="n"/>
      <c r="EE152" s="53" t="n"/>
      <c r="EF152" s="53" t="n"/>
      <c r="EG152" s="53" t="n"/>
      <c r="EH152" s="53" t="n"/>
      <c r="EI152" s="53" t="n"/>
      <c r="EJ152" s="53" t="n"/>
      <c r="EK152" s="53" t="n"/>
      <c r="EL152" s="53" t="n"/>
      <c r="EM152" s="53" t="n"/>
      <c r="EN152" s="53" t="n"/>
      <c r="EO152" s="53" t="n"/>
      <c r="EP152" s="53" t="n"/>
      <c r="EQ152" s="53" t="n"/>
      <c r="ER152" s="53" t="n"/>
      <c r="ES152" s="53" t="n"/>
      <c r="ET152" s="53" t="n"/>
      <c r="EU152" s="53" t="n"/>
      <c r="EV152" s="53" t="n"/>
      <c r="EW152" s="52" t="n"/>
      <c r="EX152" s="53" t="inlineStr">
        <is>
          <t>• This role builds pipeline through meaningful prospect conversations and explains how the solution addresses prospect problems.</t>
        </is>
      </c>
      <c r="EY152" s="53"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EZ152" s="53" t="inlineStr">
        <is>
          <t>• Current capabilities: Prospect and account research using AI; Open-ended discovery conversations; Lead nurturing for lower-intent prospects.</t>
        </is>
      </c>
      <c r="FA152" s="53"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B152" s="53" t="inlineStr">
        <is>
          <t>• Key challenges: Call-recording review needs; Limited or unreliable prospect data and invalid contact details.
• Support required: No input received.</t>
        </is>
      </c>
      <c r="FC152" s="53" t="n"/>
      <c r="FD152" s="53" t="n"/>
      <c r="FE152"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2" s="56" t="n"/>
      <c r="FG152" s="56" t="n"/>
      <c r="FH152" s="56" t="n"/>
      <c r="FI152" s="56" t="inlineStr">
        <is>
          <t>Cold calling+Emailing, Scheduling Demo, Before Demo, they huddle with Functional * Sales team to provide detailed portfolio about the company. Tools used - Linkedin Sales navigator · To fetch number of customers shared by Database Team:</t>
        </is>
      </c>
      <c r="FJ152" s="56" t="inlineStr">
        <is>
          <t>Received · manager annual</t>
        </is>
      </c>
      <c r="FK152" s="56" t="inlineStr">
        <is>
          <t>CARBON Mapping Master · CARBON Talent Mapping · Raw</t>
        </is>
      </c>
      <c r="FL152" s="56" t="n">
        <v>19</v>
      </c>
      <c r="FM152" s="56" t="inlineStr">
        <is>
          <t>• This role builds pipeline through meaningful prospect conversations and explains how the solution addresses prospect problems.</t>
        </is>
      </c>
      <c r="FN152" s="56"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FO152" s="56" t="inlineStr">
        <is>
          <t>• Current capabilities: Prospect and account research using AI; Open-ended discovery conversations; Lead nurturing for lower-intent prospects.</t>
        </is>
      </c>
      <c r="FP152" s="56"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Q152" s="56" t="inlineStr">
        <is>
          <t>• Key challenges: Call-recording review needs; Limited or unreliable prospect data and invalid contact details.
• Support required: No input received.</t>
        </is>
      </c>
      <c r="FR152" s="56" t="n"/>
      <c r="FS152"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2" s="56" t="inlineStr">
        <is>
          <t>Self-identified: Communication &amp; presentation
For the next role: Communication &amp; presentation</t>
        </is>
      </c>
      <c r="FU152" s="56" t="inlineStr">
        <is>
          <t>Per-person summary · CARBON Mapping Master</t>
        </is>
      </c>
    </row>
    <row r="153" ht="90" customHeight="1">
      <c r="A153" s="51" t="inlineStr">
        <is>
          <t>◂ Back</t>
        </is>
      </c>
      <c r="B153" s="29" t="inlineStr">
        <is>
          <t>Mapped</t>
        </is>
      </c>
      <c r="C153" s="28" t="inlineStr">
        <is>
          <t>CARBON</t>
        </is>
      </c>
      <c r="D153" s="29" t="inlineStr">
        <is>
          <t>INTN0285</t>
        </is>
      </c>
      <c r="E153" s="29" t="inlineStr">
        <is>
          <t>Deblina Chatterjee</t>
        </is>
      </c>
      <c r="F153" s="29" t="inlineStr">
        <is>
          <t>Marketing</t>
        </is>
      </c>
      <c r="G153" s="29" t="inlineStr">
        <is>
          <t>Intern</t>
        </is>
      </c>
      <c r="H153" s="29" t="inlineStr">
        <is>
          <t>Intern – Sales Development &amp; Prospecting</t>
        </is>
      </c>
      <c r="I153" s="29" t="inlineStr">
        <is>
          <t>L1 – Intern</t>
        </is>
      </c>
      <c r="J153" s="29" t="inlineStr">
        <is>
          <t>A1</t>
        </is>
      </c>
      <c r="K153" s="29" t="inlineStr">
        <is>
          <t>• Same level</t>
        </is>
      </c>
      <c r="L153" s="29" t="inlineStr">
        <is>
          <t>Sales &amp; Business Development</t>
        </is>
      </c>
      <c r="M153" s="29" t="inlineStr">
        <is>
          <t>Sales Development &amp; Prospecting</t>
        </is>
      </c>
      <c r="N153" s="29" t="n"/>
      <c r="O153" s="29" t="n">
        <v>19</v>
      </c>
      <c r="P153" s="28" t="inlineStr">
        <is>
          <t>Entry / P1 · intern</t>
        </is>
      </c>
      <c r="Q153" s="29" t="inlineStr">
        <is>
          <t>Entry</t>
        </is>
      </c>
      <c r="R153" s="29" t="inlineStr">
        <is>
          <t>1 Follow</t>
        </is>
      </c>
      <c r="S153" s="29" t="inlineStr">
        <is>
          <t>0 yrs · fresher / intern</t>
        </is>
      </c>
      <c r="T153" s="29" t="inlineStr">
        <is>
          <t>—</t>
        </is>
      </c>
      <c r="U153" s="29" t="inlineStr">
        <is>
          <t>SDR · entry</t>
        </is>
      </c>
      <c r="V153" s="29" t="inlineStr">
        <is>
          <t>—</t>
        </is>
      </c>
      <c r="W153" s="29" t="inlineStr">
        <is>
          <t>SaaS sales ladder · SDR → AE → Enterprise AE → VP / CRO; MEDDICC-style qualification</t>
        </is>
      </c>
      <c r="X153" s="29" t="inlineStr">
        <is>
          <t>Core 1 · Future 1 · Functional 1 · Leadership not scored</t>
        </is>
      </c>
      <c r="Y153" s="52" t="n">
        <v>429</v>
      </c>
      <c r="Z153" s="53" t="inlineStr">
        <is>
          <t>INTN0285</t>
        </is>
      </c>
      <c r="AA153" s="53" t="inlineStr">
        <is>
          <t>Intern</t>
        </is>
      </c>
      <c r="AB153" s="53" t="inlineStr">
        <is>
          <t>Active</t>
        </is>
      </c>
      <c r="AC153" s="53" t="inlineStr">
        <is>
          <t>Deblina Chatterjee</t>
        </is>
      </c>
      <c r="AD153" s="54" t="n">
        <v>46027</v>
      </c>
      <c r="AE153" s="53" t="inlineStr">
        <is>
          <t>Intern</t>
        </is>
      </c>
      <c r="AF153" s="53" t="inlineStr">
        <is>
          <t>B.Tech</t>
        </is>
      </c>
      <c r="AG153" s="53" t="inlineStr">
        <is>
          <t>Priyadarshini Dey</t>
        </is>
      </c>
      <c r="AH153" s="53" t="inlineStr">
        <is>
          <t>N-5</t>
        </is>
      </c>
      <c r="AI153" s="53" t="inlineStr">
        <is>
          <t>Individual Contributor</t>
        </is>
      </c>
      <c r="AJ153" s="53" t="inlineStr">
        <is>
          <t>0 years, 6 months, 0 days</t>
        </is>
      </c>
      <c r="AK153" s="53" t="inlineStr">
        <is>
          <t>0 years, 7 months, 20 days</t>
        </is>
      </c>
      <c r="AL153" s="53" t="inlineStr">
        <is>
          <t>Regtech</t>
        </is>
      </c>
      <c r="AM153" s="53" t="inlineStr">
        <is>
          <t>CARBON</t>
        </is>
      </c>
      <c r="AN153" s="53" t="inlineStr">
        <is>
          <t>Marketing</t>
        </is>
      </c>
      <c r="AO153" s="53" t="inlineStr">
        <is>
          <t>Marketing - SDR</t>
        </is>
      </c>
      <c r="AP153" s="53" t="inlineStr">
        <is>
          <t>No</t>
        </is>
      </c>
      <c r="AQ153" s="53" t="inlineStr">
        <is>
          <t>Sales, Marketing &amp; Support</t>
        </is>
      </c>
      <c r="AR153" s="53" t="inlineStr">
        <is>
          <t>Marketing</t>
        </is>
      </c>
      <c r="AS153" s="53" t="inlineStr">
        <is>
          <t>Non-technical</t>
        </is>
      </c>
      <c r="AT153" s="53" t="n">
        <v>20</v>
      </c>
      <c r="AU153" s="53" t="inlineStr">
        <is>
          <t>Covered</t>
        </is>
      </c>
      <c r="AV153" s="53" t="inlineStr">
        <is>
          <t>INTN0285</t>
        </is>
      </c>
      <c r="AW153" s="53" t="inlineStr">
        <is>
          <t>Deblina Chatterjee</t>
        </is>
      </c>
      <c r="AX153" s="53" t="inlineStr">
        <is>
          <t>Marketing</t>
        </is>
      </c>
      <c r="AY153" s="53" t="inlineStr">
        <is>
          <t>Sales &amp; Business Development</t>
        </is>
      </c>
      <c r="AZ153" s="53" t="inlineStr">
        <is>
          <t>Sales Development · SDR</t>
        </is>
      </c>
      <c r="BA153" s="53" t="n"/>
      <c r="BB153" s="53" t="n"/>
      <c r="BC153" s="53" t="inlineStr">
        <is>
          <t>Intern</t>
        </is>
      </c>
      <c r="BD153" s="53" t="inlineStr">
        <is>
          <t>Priyadarshini Dey</t>
        </is>
      </c>
      <c r="BE153" s="53" t="inlineStr">
        <is>
          <t>Priyadarshini Dey</t>
        </is>
      </c>
      <c r="BF153" s="53" t="inlineStr">
        <is>
          <t>No</t>
        </is>
      </c>
      <c r="BG153" s="53" t="inlineStr">
        <is>
          <t>Intern</t>
        </is>
      </c>
      <c r="BH153" s="53" t="inlineStr">
        <is>
          <t>Intern</t>
        </is>
      </c>
      <c r="BI153" s="53" t="inlineStr">
        <is>
          <t>No</t>
        </is>
      </c>
      <c r="BJ153" s="53" t="inlineStr">
        <is>
          <t>—</t>
        </is>
      </c>
      <c r="BK153" s="53" t="inlineStr">
        <is>
          <t>—</t>
        </is>
      </c>
      <c r="BL153" s="53" t="inlineStr">
        <is>
          <t>—</t>
        </is>
      </c>
      <c r="BM153" s="53" t="inlineStr">
        <is>
          <t>Not a manager</t>
        </is>
      </c>
      <c r="BN153" s="53" t="inlineStr">
        <is>
          <t>—</t>
        </is>
      </c>
      <c r="BO153" s="53" t="inlineStr">
        <is>
          <t>—</t>
        </is>
      </c>
      <c r="BP153" s="53" t="inlineStr">
        <is>
          <t>—</t>
        </is>
      </c>
      <c r="BQ153" s="53" t="inlineStr">
        <is>
          <t>Not a manager</t>
        </is>
      </c>
      <c r="BR153" s="53" t="inlineStr">
        <is>
          <t>—</t>
        </is>
      </c>
      <c r="BS153" s="53" t="inlineStr">
        <is>
          <t>L1 – Intern</t>
        </is>
      </c>
      <c r="BT153" s="53" t="inlineStr">
        <is>
          <t>L1 – Intern</t>
        </is>
      </c>
      <c r="BU153" s="53" t="inlineStr">
        <is>
          <t>No designation change — current record value carried forward</t>
        </is>
      </c>
      <c r="BV153"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3" s="53" t="n"/>
      <c r="BX153" s="53" t="inlineStr">
        <is>
          <t>No input received.</t>
        </is>
      </c>
      <c r="BY153" s="53" t="n"/>
      <c r="BZ153" s="53" t="inlineStr">
        <is>
          <t>INTN0285</t>
        </is>
      </c>
      <c r="CA153" s="53" t="inlineStr">
        <is>
          <t>Intern</t>
        </is>
      </c>
      <c r="CB153" s="53" t="inlineStr">
        <is>
          <t>Active</t>
        </is>
      </c>
      <c r="CC153" s="53" t="inlineStr">
        <is>
          <t>Deblina Chatterjee</t>
        </is>
      </c>
      <c r="CD153" s="54" t="n">
        <v>46027</v>
      </c>
      <c r="CE153" s="53" t="inlineStr">
        <is>
          <t>Intern</t>
        </is>
      </c>
      <c r="CF153" s="53" t="inlineStr">
        <is>
          <t>Cold calling+Emailing, Scheduling Demo, Before Demo, they huddle with Functional * Sales team to provide detailed portfolio about the company. Tools used - Linkedin Sales navigator · To fetch number of customers shared by Database Team:</t>
        </is>
      </c>
      <c r="CG153" s="53" t="inlineStr">
        <is>
          <t>Sales &amp; Business Development</t>
        </is>
      </c>
      <c r="CH153" s="53" t="inlineStr">
        <is>
          <t>Sales Development · SDR</t>
        </is>
      </c>
      <c r="CI153" s="53" t="inlineStr">
        <is>
          <t>Intern</t>
        </is>
      </c>
      <c r="CJ153" s="53" t="inlineStr">
        <is>
          <t>L1 – Intern</t>
        </is>
      </c>
      <c r="CK153" s="53" t="inlineStr">
        <is>
          <t>Priyadarshini Dey</t>
        </is>
      </c>
      <c r="CL153" s="53" t="inlineStr">
        <is>
          <t>N-5</t>
        </is>
      </c>
      <c r="CM153" s="53" t="inlineStr">
        <is>
          <t>Individual Contributor</t>
        </is>
      </c>
      <c r="CN153" s="53" t="inlineStr">
        <is>
          <t>Regtech</t>
        </is>
      </c>
      <c r="CO153" s="53" t="inlineStr">
        <is>
          <t>Marketing</t>
        </is>
      </c>
      <c r="CP153" s="53" t="inlineStr">
        <is>
          <t>0 years, 11 months, 15 days</t>
        </is>
      </c>
      <c r="CQ153" s="53" t="n"/>
      <c r="CR153" s="53" t="inlineStr">
        <is>
          <t>NO</t>
        </is>
      </c>
      <c r="CS153" s="53" t="n">
        <v>3</v>
      </c>
      <c r="CT153" s="53" t="inlineStr">
        <is>
          <t>High</t>
        </is>
      </c>
      <c r="CU153" s="53" t="inlineStr">
        <is>
          <t>Emerging Talent</t>
        </is>
      </c>
      <c r="CV153" s="53" t="inlineStr">
        <is>
          <t>No</t>
        </is>
      </c>
      <c r="CW153" s="53" t="inlineStr">
        <is>
          <t>No</t>
        </is>
      </c>
      <c r="CX153" s="53" t="inlineStr">
        <is>
          <t>No</t>
        </is>
      </c>
      <c r="CY153" s="53" t="n"/>
      <c r="CZ153" s="53" t="inlineStr">
        <is>
          <t>1. Strengthen domain knowledge through revised training to confidently communicate the value proposition, understand product updates, and articulate our competitive advantage over other players</t>
        </is>
      </c>
      <c r="DA153" s="53" t="n"/>
      <c r="DB153" s="53" t="n"/>
      <c r="DC153" s="53" t="n"/>
      <c r="DD153" s="53" t="n"/>
      <c r="DE153" s="53" t="n"/>
      <c r="DF153" s="53" t="n"/>
      <c r="DG153" s="53" t="n"/>
      <c r="DH153" s="53" t="n"/>
      <c r="DI153" s="53" t="n"/>
      <c r="DJ153" s="53" t="n"/>
      <c r="DK153" s="53" t="n"/>
      <c r="DL153" s="53" t="n"/>
      <c r="DM153" s="53" t="n"/>
      <c r="DN153" s="53" t="n"/>
      <c r="DO153" s="53" t="n"/>
      <c r="DP153" s="53" t="n"/>
      <c r="DQ153" s="53" t="n"/>
      <c r="DR153" s="53" t="n"/>
      <c r="DS153" s="53" t="n"/>
      <c r="DT153" s="53" t="n"/>
      <c r="DU153" s="53" t="n"/>
      <c r="DV153" s="53" t="n"/>
      <c r="DW153" s="53" t="n"/>
      <c r="DX153" s="53" t="n"/>
      <c r="DY153" s="53" t="n"/>
      <c r="DZ153" s="53" t="n"/>
      <c r="EA153" s="53" t="n"/>
      <c r="EB153" s="53" t="n"/>
      <c r="EC153" s="53" t="n"/>
      <c r="ED153" s="53" t="n"/>
      <c r="EE153" s="53" t="n"/>
      <c r="EF153" s="53" t="n"/>
      <c r="EG153" s="53" t="n"/>
      <c r="EH153" s="53" t="n"/>
      <c r="EI153" s="53" t="n"/>
      <c r="EJ153" s="53" t="n"/>
      <c r="EK153" s="53" t="n"/>
      <c r="EL153" s="53" t="n"/>
      <c r="EM153" s="53" t="n"/>
      <c r="EN153" s="53" t="n"/>
      <c r="EO153" s="53" t="n"/>
      <c r="EP153" s="53" t="n"/>
      <c r="EQ153" s="53" t="n"/>
      <c r="ER153" s="53" t="n"/>
      <c r="ES153" s="53" t="n"/>
      <c r="ET153" s="53" t="n"/>
      <c r="EU153" s="53" t="n"/>
      <c r="EV153" s="53" t="n"/>
      <c r="EW153" s="52" t="n"/>
      <c r="EX153" s="53" t="inlineStr">
        <is>
          <t>• This role develops new business opportunities by connecting the company with relevant customers and partners, while supporting outreach and relationship building.</t>
        </is>
      </c>
      <c r="EY153" s="53"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EZ153" s="53" t="inlineStr">
        <is>
          <t>• Current capabilities: Prospect messaging and relationship building; Lead nurturing, meeting coordination and follow-up management.</t>
        </is>
      </c>
      <c r="FA153" s="53"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B153" s="53" t="inlineStr">
        <is>
          <t>• Key challenges: Needs more outreach experience and team-lead mentoring; Limited access to practical sales support.
• Support required: Structured mentoring and team-management development.</t>
        </is>
      </c>
      <c r="FC153" s="53" t="n"/>
      <c r="FD153" s="53" t="n"/>
      <c r="FE153"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3" s="56" t="n"/>
      <c r="FG153" s="56" t="n"/>
      <c r="FH153" s="56" t="n"/>
      <c r="FI153" s="56" t="inlineStr">
        <is>
          <t>Cold calling+Emailing, Scheduling Demo, Before Demo, they huddle with Functional * Sales team to provide detailed portfolio about the company. Tools used - Linkedin Sales navigator · To fetch number of customers shared by Database Team:</t>
        </is>
      </c>
      <c r="FJ153" s="56" t="inlineStr">
        <is>
          <t>Received · manager annual</t>
        </is>
      </c>
      <c r="FK153" s="56" t="inlineStr">
        <is>
          <t>CARBON Mapping Master · CARBON Talent Mapping · Raw</t>
        </is>
      </c>
      <c r="FL153" s="56" t="n">
        <v>19</v>
      </c>
      <c r="FM153" s="56" t="inlineStr">
        <is>
          <t>• This role develops new business opportunities by connecting the company with relevant customers and partners, while supporting outreach and relationship building.</t>
        </is>
      </c>
      <c r="FN153" s="56"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FO153" s="56" t="inlineStr">
        <is>
          <t>• Current capabilities: Prospect messaging and relationship building; Lead nurturing, meeting coordination and follow-up management.</t>
        </is>
      </c>
      <c r="FP153" s="56"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Q153" s="56" t="inlineStr">
        <is>
          <t>• Key challenges: Needs more outreach experience and team-lead mentoring; Limited access to practical sales support.
• Support required: Structured mentoring and team-management development.</t>
        </is>
      </c>
      <c r="FR153" s="56" t="n"/>
      <c r="FS153"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3" s="56" t="inlineStr">
        <is>
          <t>Self-identified: Leadership &amp; people management · Client, sales &amp; stakeholders
For the next role: Leadership &amp; people management · Client, sales &amp; stakeholders</t>
        </is>
      </c>
      <c r="FU153" s="56" t="inlineStr">
        <is>
          <t>Per-person summary · CARBON Mapping Master</t>
        </is>
      </c>
    </row>
    <row r="154" ht="90" customHeight="1">
      <c r="A154" s="51" t="inlineStr">
        <is>
          <t>◂ Back</t>
        </is>
      </c>
      <c r="B154" s="29" t="inlineStr">
        <is>
          <t>Mapped</t>
        </is>
      </c>
      <c r="C154" s="28" t="inlineStr">
        <is>
          <t>CARBON</t>
        </is>
      </c>
      <c r="D154" s="29" t="inlineStr">
        <is>
          <t>IRIS2345</t>
        </is>
      </c>
      <c r="E154" s="29" t="inlineStr">
        <is>
          <t>Vijay Krishna Chintha</t>
        </is>
      </c>
      <c r="F154" s="29" t="inlineStr">
        <is>
          <t>Marketing</t>
        </is>
      </c>
      <c r="G154" s="29" t="inlineStr">
        <is>
          <t>Team Lead SDR</t>
        </is>
      </c>
      <c r="H154" s="29" t="inlineStr">
        <is>
          <t>Team Lead – Sales Development</t>
        </is>
      </c>
      <c r="I154" s="29" t="inlineStr">
        <is>
          <t>L4 – Senior</t>
        </is>
      </c>
      <c r="J154" s="29" t="inlineStr">
        <is>
          <t>B1</t>
        </is>
      </c>
      <c r="K154" s="29" t="inlineStr">
        <is>
          <t>▲ Up</t>
        </is>
      </c>
      <c r="L154" s="29" t="inlineStr">
        <is>
          <t>Sales &amp; Business Development</t>
        </is>
      </c>
      <c r="M154" s="29" t="inlineStr">
        <is>
          <t>Sales Development &amp; Prospecting</t>
        </is>
      </c>
      <c r="N154" s="29" t="n"/>
      <c r="O154" s="29" t="n">
        <v>20</v>
      </c>
      <c r="P154" s="28" t="inlineStr">
        <is>
          <t>P3 / M2</t>
        </is>
      </c>
      <c r="Q154" s="29" t="inlineStr">
        <is>
          <t>Career / · Team Lead</t>
        </is>
      </c>
      <c r="R154" s="29" t="inlineStr">
        <is>
          <t>4 Enable</t>
        </is>
      </c>
      <c r="S154" s="29" t="inlineStr">
        <is>
          <t>4–7 yrs</t>
        </is>
      </c>
      <c r="T154" s="29" t="inlineStr">
        <is>
          <t>5–8 · 4–8</t>
        </is>
      </c>
      <c r="U154" s="29" t="inlineStr">
        <is>
          <t>Team Lead / Assistant Manager</t>
        </is>
      </c>
      <c r="V154" s="29" t="inlineStr">
        <is>
          <t>IRIS Vs Competitor Benchmark — SaaS sales ladder — IC: Account Executive · SMB · IRIS Vs Competitor Benchmark — SaaS sales ladder — management: SDR Team Lead</t>
        </is>
      </c>
      <c r="W154" s="29" t="inlineStr">
        <is>
          <t>SaaS sales ladder · SDR → AE → Enterprise AE → VP / CRO; MEDDICC-style qualification</t>
        </is>
      </c>
      <c r="X154" s="29" t="inlineStr">
        <is>
          <t>Core 3 · Future 3 · Functional 3 · Leadership 2</t>
        </is>
      </c>
      <c r="Y154" s="52" t="n">
        <v>358</v>
      </c>
      <c r="Z154" s="53" t="inlineStr">
        <is>
          <t>IRIS2345</t>
        </is>
      </c>
      <c r="AA154" s="53" t="inlineStr">
        <is>
          <t>Employee</t>
        </is>
      </c>
      <c r="AB154" s="53" t="inlineStr">
        <is>
          <t>Active</t>
        </is>
      </c>
      <c r="AC154" s="53" t="inlineStr">
        <is>
          <t>Vijay Krishna Chintha</t>
        </is>
      </c>
      <c r="AD154" s="54" t="n">
        <v>45705</v>
      </c>
      <c r="AE154" s="53" t="inlineStr">
        <is>
          <t>Team Lead SDR</t>
        </is>
      </c>
      <c r="AF154" s="53" t="inlineStr">
        <is>
          <t>PGDM</t>
        </is>
      </c>
      <c r="AG154" s="53" t="inlineStr">
        <is>
          <t>Saahit Togaru</t>
        </is>
      </c>
      <c r="AH154" s="53" t="inlineStr">
        <is>
          <t>N-4</t>
        </is>
      </c>
      <c r="AI154" s="53" t="inlineStr">
        <is>
          <t>Manager</t>
        </is>
      </c>
      <c r="AJ154" s="53" t="inlineStr">
        <is>
          <t>5 years, 2 months, 0 days</t>
        </is>
      </c>
      <c r="AK154" s="53" t="inlineStr">
        <is>
          <t>1 years, 6 months, 8 days</t>
        </is>
      </c>
      <c r="AL154" s="53" t="inlineStr">
        <is>
          <t>Regtech</t>
        </is>
      </c>
      <c r="AM154" s="53" t="inlineStr">
        <is>
          <t>CARBON</t>
        </is>
      </c>
      <c r="AN154" s="53" t="inlineStr">
        <is>
          <t>Marketing</t>
        </is>
      </c>
      <c r="AO154" s="53" t="inlineStr">
        <is>
          <t>Marketing - SDR</t>
        </is>
      </c>
      <c r="AP154" s="53" t="inlineStr">
        <is>
          <t>No</t>
        </is>
      </c>
      <c r="AQ154" s="53" t="inlineStr">
        <is>
          <t>Sales, Marketing &amp; Support</t>
        </is>
      </c>
      <c r="AR154" s="53" t="inlineStr">
        <is>
          <t>Marketing</t>
        </is>
      </c>
      <c r="AS154" s="53" t="inlineStr">
        <is>
          <t>Non-technical</t>
        </is>
      </c>
      <c r="AT154" s="53" t="n">
        <v>20</v>
      </c>
      <c r="AU154" s="53" t="inlineStr">
        <is>
          <t>Covered</t>
        </is>
      </c>
      <c r="AV154" s="53" t="inlineStr">
        <is>
          <t>IRIS2345</t>
        </is>
      </c>
      <c r="AW154" s="53" t="inlineStr">
        <is>
          <t>Vijay Krishna Chintha</t>
        </is>
      </c>
      <c r="AX154" s="53" t="inlineStr">
        <is>
          <t>Marketing</t>
        </is>
      </c>
      <c r="AY154" s="53" t="inlineStr">
        <is>
          <t>Sales &amp; Business Development</t>
        </is>
      </c>
      <c r="AZ154" s="53" t="inlineStr">
        <is>
          <t>Sales Development · SDR</t>
        </is>
      </c>
      <c r="BA154" s="53" t="n"/>
      <c r="BB154" s="53" t="n"/>
      <c r="BC154" s="53" t="inlineStr">
        <is>
          <t>Employee</t>
        </is>
      </c>
      <c r="BD154" s="53" t="inlineStr">
        <is>
          <t>Saahit Togaru</t>
        </is>
      </c>
      <c r="BE154" s="53" t="inlineStr">
        <is>
          <t>Saahit Togaru</t>
        </is>
      </c>
      <c r="BF154" s="53" t="inlineStr">
        <is>
          <t>No</t>
        </is>
      </c>
      <c r="BG154" s="53" t="inlineStr">
        <is>
          <t>Senior Sales Development Representative</t>
        </is>
      </c>
      <c r="BH154" s="53" t="inlineStr">
        <is>
          <t>Team Lead - Sales Development</t>
        </is>
      </c>
      <c r="BI154" s="53" t="inlineStr">
        <is>
          <t>Yes</t>
        </is>
      </c>
      <c r="BJ154" s="53" t="n">
        <v>2</v>
      </c>
      <c r="BK154" s="53" t="n">
        <v>1</v>
      </c>
      <c r="BL154" s="53" t="n">
        <v>1</v>
      </c>
      <c r="BM154" s="53" t="inlineStr">
        <is>
          <t>Consolidate / flatten</t>
        </is>
      </c>
      <c r="BN154" s="53" t="n">
        <v>2</v>
      </c>
      <c r="BO154" s="53" t="n">
        <v>1</v>
      </c>
      <c r="BP154" s="53" t="n">
        <v>1</v>
      </c>
      <c r="BQ154" s="53" t="inlineStr">
        <is>
          <t>Consolidate / flatten</t>
        </is>
      </c>
      <c r="BR154" s="53" t="inlineStr">
        <is>
          <t>No</t>
        </is>
      </c>
      <c r="BS154" s="53" t="inlineStr">
        <is>
          <t>L4 – Senior</t>
        </is>
      </c>
      <c r="BT154" s="53" t="inlineStr">
        <is>
          <t>L4</t>
        </is>
      </c>
      <c r="BU154" s="53" t="inlineStr">
        <is>
          <t>Matched from Title Hierarchy · new designation</t>
        </is>
      </c>
      <c r="BV154"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W154" s="53" t="n"/>
      <c r="BX154" s="53" t="inlineStr">
        <is>
          <t>EU; USA; Global.</t>
        </is>
      </c>
      <c r="BY154" s="53" t="n"/>
      <c r="BZ154" s="53" t="inlineStr">
        <is>
          <t>IRIS2345</t>
        </is>
      </c>
      <c r="CA154" s="53" t="inlineStr">
        <is>
          <t>Employee</t>
        </is>
      </c>
      <c r="CB154" s="53" t="inlineStr">
        <is>
          <t>Active</t>
        </is>
      </c>
      <c r="CC154" s="53" t="inlineStr">
        <is>
          <t>Vijay Krishna Chintha</t>
        </is>
      </c>
      <c r="CD154" s="54" t="n">
        <v>45705</v>
      </c>
      <c r="CE154" s="53" t="inlineStr">
        <is>
          <t>Senior Sales Development Representative</t>
        </is>
      </c>
      <c r="CF154" s="53" t="inlineStr">
        <is>
          <t>Cold calling+Emailing, Scheduling Demo, Before Demo, they huddle with Functional * Sales team to provide detailed portfolio about the company. Tools used - Linkedin Sales navigator · To fetch number of customers shared by Database Team:</t>
        </is>
      </c>
      <c r="CG154" s="53" t="inlineStr">
        <is>
          <t>Sales &amp; Business Development</t>
        </is>
      </c>
      <c r="CH154" s="53" t="inlineStr">
        <is>
          <t>Sales Development · SDR</t>
        </is>
      </c>
      <c r="CI154" s="53" t="inlineStr">
        <is>
          <t>SDR Team Lead</t>
        </is>
      </c>
      <c r="CJ154" s="53" t="inlineStr">
        <is>
          <t>L4 – Senior</t>
        </is>
      </c>
      <c r="CK154" s="53" t="inlineStr">
        <is>
          <t>Saahit Togaru</t>
        </is>
      </c>
      <c r="CL154" s="53" t="inlineStr">
        <is>
          <t>N-4</t>
        </is>
      </c>
      <c r="CM154" s="53" t="inlineStr">
        <is>
          <t>Player Cum Coach</t>
        </is>
      </c>
      <c r="CN154" s="53" t="inlineStr">
        <is>
          <t>Regtech</t>
        </is>
      </c>
      <c r="CO154" s="53" t="inlineStr">
        <is>
          <t>Marketing</t>
        </is>
      </c>
      <c r="CP154" s="53" t="inlineStr">
        <is>
          <t>6 years, 6 months, 3 days</t>
        </is>
      </c>
      <c r="CQ154" s="53" t="inlineStr">
        <is>
          <t>Team Lead - Sales Development</t>
        </is>
      </c>
      <c r="CR154" s="53" t="inlineStr">
        <is>
          <t>No</t>
        </is>
      </c>
      <c r="CS154" s="53" t="n">
        <v>2</v>
      </c>
      <c r="CT154" s="53" t="inlineStr">
        <is>
          <t>Low</t>
        </is>
      </c>
      <c r="CU154" s="53" t="n"/>
      <c r="CV154" s="53" t="n"/>
      <c r="CW154" s="53" t="inlineStr">
        <is>
          <t>No</t>
        </is>
      </c>
      <c r="CX154" s="53" t="inlineStr">
        <is>
          <t>No</t>
        </is>
      </c>
      <c r="CY154" s="53" t="n"/>
      <c r="CZ154" s="53" t="inlineStr">
        <is>
          <t>- Understand the definition of Culture</t>
        </is>
      </c>
      <c r="DA154" s="53" t="n"/>
      <c r="DB154" s="53" t="inlineStr">
        <is>
          <t>Title to be standardized to Team Lead - Sales Development, To be mapped to SDR Mgr Europe - TBH</t>
        </is>
      </c>
      <c r="DC154" s="53" t="n"/>
      <c r="DD154" s="53" t="n"/>
      <c r="DE154" s="53" t="n"/>
      <c r="DF154" s="53" t="n"/>
      <c r="DG154" s="53" t="n"/>
      <c r="DH154" s="53" t="n"/>
      <c r="DI154" s="53" t="n"/>
      <c r="DJ154" s="53" t="n"/>
      <c r="DK154" s="53" t="n"/>
      <c r="DL154" s="53" t="n"/>
      <c r="DM154" s="53" t="n"/>
      <c r="DN154" s="53" t="n"/>
      <c r="DO154" s="53" t="n"/>
      <c r="DP154" s="53" t="n"/>
      <c r="DQ154" s="53" t="n"/>
      <c r="DR154" s="53" t="n"/>
      <c r="DS154" s="53" t="n"/>
      <c r="DT154" s="53" t="n"/>
      <c r="DU154" s="53" t="n"/>
      <c r="DV154" s="53" t="n"/>
      <c r="DW154" s="53" t="n"/>
      <c r="DX154" s="53" t="n"/>
      <c r="DY154" s="53" t="n"/>
      <c r="DZ154" s="53" t="n"/>
      <c r="EA154" s="53" t="n"/>
      <c r="EB154" s="53" t="n"/>
      <c r="EC154" s="53" t="n"/>
      <c r="ED154" s="53" t="n"/>
      <c r="EE154" s="53" t="n"/>
      <c r="EF154" s="53" t="n"/>
      <c r="EG154" s="53" t="n"/>
      <c r="EH154" s="53" t="n"/>
      <c r="EI154" s="53" t="n"/>
      <c r="EJ154" s="53" t="n"/>
      <c r="EK154" s="53" t="n"/>
      <c r="EL154" s="53" t="n"/>
      <c r="EM154" s="53" t="n"/>
      <c r="EN154" s="53" t="n"/>
      <c r="EO154" s="53" t="n"/>
      <c r="EP154" s="53" t="n"/>
      <c r="EQ154" s="53" t="n"/>
      <c r="ER154" s="53" t="n"/>
      <c r="ES154" s="53" t="n"/>
      <c r="ET154" s="53" t="n"/>
      <c r="EU154" s="53" t="n"/>
      <c r="EV154" s="53" t="n"/>
      <c r="EW154" s="52" t="n"/>
      <c r="EX154" s="53"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EY154" s="53"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EZ154" s="53" t="inlineStr">
        <is>
          <t>• Current capabilities: Communication; Emailing; HubSpot.
• Tools / software used: HubSpot.
• Workload: Rated a manageable load · 2/5 in a typical week.
• Judgment/way of working: Managing the pipeline.</t>
        </is>
      </c>
      <c r="FA154" s="53" t="inlineStr">
        <is>
          <t>• Development priorities: Courses and certifications.
• Learning and Development Need: Manager's empathy. Product and role training could have been better.
• Role evolving toward: Yes, there are lot of new tools for database, efficient dialers.</t>
        </is>
      </c>
      <c r="FB154" s="53" t="inlineStr">
        <is>
          <t>• Key challenges: Laptop configuration; High quality database too.
• Support required: Clear ownership.</t>
        </is>
      </c>
      <c r="FC154" s="53" t="n"/>
      <c r="FD154" s="53" t="n"/>
      <c r="FE154"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FF154" s="56" t="n"/>
      <c r="FG154" s="56" t="n"/>
      <c r="FH154" s="56" t="n"/>
      <c r="FI154" s="56" t="inlineStr">
        <is>
          <t>Cold calling+Emailing, Scheduling Demo, Before Demo, they huddle with Functional * Sales team to provide detailed portfolio about the company. Tools used - Linkedin Sales navigator · To fetch number of customers shared by Database Team:</t>
        </is>
      </c>
      <c r="FJ154" s="56" t="inlineStr">
        <is>
          <t>Received · manager annual</t>
        </is>
      </c>
      <c r="FK154" s="56" t="inlineStr">
        <is>
          <t>CARBON Mapping Master · CARBON Talent Mapping · Raw</t>
        </is>
      </c>
      <c r="FL154" s="56" t="n">
        <v>20</v>
      </c>
      <c r="FM154" s="56"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FN154" s="56"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FO154" s="56" t="inlineStr">
        <is>
          <t>• Current capabilities: Communication; Emailing; HubSpot.
• Tools / software used: HubSpot.
• Workload: Rated a manageable load · 2/5 in a typical week.
• Judgment/way of working: Managing the pipeline.</t>
        </is>
      </c>
      <c r="FP154" s="56" t="inlineStr">
        <is>
          <t>• Development priorities: Courses and certifications.
• Learning and Development Need: Manager's empathy. Product and role training could have been better.
• Role evolving toward: Yes, there are lot of new tools for database, efficient dialers.</t>
        </is>
      </c>
      <c r="FQ154" s="56" t="inlineStr">
        <is>
          <t>• Key challenges: Laptop configuration; High quality database too.
• Support required: Clear ownership.</t>
        </is>
      </c>
      <c r="FR154" s="56" t="inlineStr">
        <is>
          <t>Complexity: Evidence reads like A2: Cold calling, email and LinkedIn outreach to generate sales-accepted leads, plus team management → moved down 0.5
Autonomy: Evidence reads like A2: Only stated independent decision is channels of outreach → moved down 0.5
Accountability: Evidence reads like A3: own survey / KRA answers · summarised by the rater; not quoted → moved down 0.5
Leadership: Evidence reads like B1: Lists team management; four direct reports → matches the start
Business Impact: No survey or manager-mapping signal on criticality: kept at the start point.</t>
        </is>
      </c>
      <c r="FS154"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54" s="56" t="inlineStr">
        <is>
          <t>Self-identified: Certification / formal course
For the next role: Certification / formal course</t>
        </is>
      </c>
      <c r="FU154" s="56" t="inlineStr">
        <is>
          <t>Per-person summary · CARBON Mapping Master</t>
        </is>
      </c>
    </row>
    <row r="155" ht="90" customHeight="1">
      <c r="A155" s="51" t="inlineStr">
        <is>
          <t>◂ Back</t>
        </is>
      </c>
      <c r="B155" s="29" t="inlineStr">
        <is>
          <t>Mapped</t>
        </is>
      </c>
      <c r="C155" s="28" t="inlineStr">
        <is>
          <t>CARBON</t>
        </is>
      </c>
      <c r="D155" s="29" t="inlineStr">
        <is>
          <t>IRIS2531</t>
        </is>
      </c>
      <c r="E155" s="29" t="inlineStr">
        <is>
          <t>Fatima Bhaiji</t>
        </is>
      </c>
      <c r="F155" s="29" t="inlineStr">
        <is>
          <t>Marketing</t>
        </is>
      </c>
      <c r="G155" s="29" t="inlineStr">
        <is>
          <t>Sales Development Representative</t>
        </is>
      </c>
      <c r="H155" s="29" t="inlineStr">
        <is>
          <t>Senior Sales Development Representative</t>
        </is>
      </c>
      <c r="I155" s="29" t="inlineStr">
        <is>
          <t>L3 – Professional / Associate</t>
        </is>
      </c>
      <c r="J155" s="29" t="inlineStr">
        <is>
          <t>A3</t>
        </is>
      </c>
      <c r="K155" s="29" t="inlineStr">
        <is>
          <t>▲ Up</t>
        </is>
      </c>
      <c r="L155" s="29" t="inlineStr">
        <is>
          <t>Sales &amp; Business Development</t>
        </is>
      </c>
      <c r="M155" s="29" t="inlineStr">
        <is>
          <t>Sales Development &amp; Prospecting</t>
        </is>
      </c>
      <c r="N155" s="29" t="n"/>
      <c r="O155" s="29" t="n">
        <v>20</v>
      </c>
      <c r="P155" s="28" t="inlineStr">
        <is>
          <t>P2</t>
        </is>
      </c>
      <c r="Q155" s="29" t="inlineStr">
        <is>
          <t>Developing</t>
        </is>
      </c>
      <c r="R155" s="29" t="inlineStr">
        <is>
          <t>3 Apply</t>
        </is>
      </c>
      <c r="S155" s="29" t="inlineStr">
        <is>
          <t>2–4 yrs</t>
        </is>
      </c>
      <c r="T155" s="29" t="inlineStr">
        <is>
          <t>3–5 · 2–5</t>
        </is>
      </c>
      <c r="U155" s="29" t="inlineStr">
        <is>
          <t>SDR / Inside Sales</t>
        </is>
      </c>
      <c r="V155" s="29" t="inlineStr">
        <is>
          <t>IRIS Vs Competitor Benchmark — SaaS sales ladder — IC: Senior SDR</t>
        </is>
      </c>
      <c r="W155" s="29" t="inlineStr">
        <is>
          <t>SaaS sales ladder · SDR → AE → Enterprise AE → VP / CRO; MEDDICC-style qualification</t>
        </is>
      </c>
      <c r="X155" s="29" t="inlineStr">
        <is>
          <t>Core 2 · Future 2 · Functional 3 · Leadership not scored</t>
        </is>
      </c>
      <c r="Y155" s="52" t="n">
        <v>503</v>
      </c>
      <c r="Z155" s="53" t="inlineStr">
        <is>
          <t>IRIS2531</t>
        </is>
      </c>
      <c r="AA155" s="53" t="inlineStr">
        <is>
          <t>Employee</t>
        </is>
      </c>
      <c r="AB155" s="53" t="inlineStr">
        <is>
          <t>Active</t>
        </is>
      </c>
      <c r="AC155" s="53" t="inlineStr">
        <is>
          <t>Fatima Bhaiji</t>
        </is>
      </c>
      <c r="AD155" s="54" t="n">
        <v>46167</v>
      </c>
      <c r="AE155" s="53" t="inlineStr">
        <is>
          <t>Sales Development Representative</t>
        </is>
      </c>
      <c r="AF155" s="53" t="inlineStr">
        <is>
          <t>BFM</t>
        </is>
      </c>
      <c r="AG155" s="53" t="inlineStr">
        <is>
          <t>Vijay Krishna Chintha</t>
        </is>
      </c>
      <c r="AH155" s="53" t="inlineStr">
        <is>
          <t>N-5</t>
        </is>
      </c>
      <c r="AI155" s="53" t="inlineStr">
        <is>
          <t>Individual Contributor</t>
        </is>
      </c>
      <c r="AJ155" s="53" t="inlineStr">
        <is>
          <t>6 years, 9 months, 0 days</t>
        </is>
      </c>
      <c r="AK155" s="53" t="inlineStr">
        <is>
          <t>0 years, 3 months, 0 days</t>
        </is>
      </c>
      <c r="AL155" s="53" t="inlineStr">
        <is>
          <t>Regtech</t>
        </is>
      </c>
      <c r="AM155" s="53" t="inlineStr">
        <is>
          <t>CARBON</t>
        </is>
      </c>
      <c r="AN155" s="53" t="inlineStr">
        <is>
          <t>Marketing</t>
        </is>
      </c>
      <c r="AO155" s="53" t="inlineStr">
        <is>
          <t>Marketing - SDR</t>
        </is>
      </c>
      <c r="AP155" s="53" t="inlineStr">
        <is>
          <t>No</t>
        </is>
      </c>
      <c r="AQ155" s="53" t="inlineStr">
        <is>
          <t>Sales, Marketing &amp; Support</t>
        </is>
      </c>
      <c r="AR155" s="53" t="inlineStr">
        <is>
          <t>Marketing</t>
        </is>
      </c>
      <c r="AS155" s="53" t="inlineStr">
        <is>
          <t>Non-technical</t>
        </is>
      </c>
      <c r="AT155" s="53" t="n">
        <v>20</v>
      </c>
      <c r="AU155" s="53" t="inlineStr">
        <is>
          <t>Covered</t>
        </is>
      </c>
      <c r="AV155" s="53" t="inlineStr">
        <is>
          <t>IRIS2531</t>
        </is>
      </c>
      <c r="AW155" s="53" t="inlineStr">
        <is>
          <t>Fatima Bhaiji</t>
        </is>
      </c>
      <c r="AX155" s="53" t="inlineStr">
        <is>
          <t>Marketing</t>
        </is>
      </c>
      <c r="AY155" s="53" t="inlineStr">
        <is>
          <t>Sales &amp; Business Development</t>
        </is>
      </c>
      <c r="AZ155" s="53" t="inlineStr">
        <is>
          <t>Sales Development · SDR</t>
        </is>
      </c>
      <c r="BA155" s="53" t="n"/>
      <c r="BB155" s="53" t="n"/>
      <c r="BC155" s="53" t="inlineStr">
        <is>
          <t>Employee</t>
        </is>
      </c>
      <c r="BD155" s="53" t="inlineStr">
        <is>
          <t>Vijay Krishna Chintha</t>
        </is>
      </c>
      <c r="BE155" s="53" t="inlineStr">
        <is>
          <t>Vijay Krishna Chintha</t>
        </is>
      </c>
      <c r="BF155" s="53" t="inlineStr">
        <is>
          <t>No</t>
        </is>
      </c>
      <c r="BG155" s="53" t="inlineStr">
        <is>
          <t>Sales Development Representative</t>
        </is>
      </c>
      <c r="BH155" s="53" t="inlineStr">
        <is>
          <t>Sales Development Representative</t>
        </is>
      </c>
      <c r="BI155" s="53" t="inlineStr">
        <is>
          <t>No</t>
        </is>
      </c>
      <c r="BJ155" s="53" t="inlineStr">
        <is>
          <t>—</t>
        </is>
      </c>
      <c r="BK155" s="53" t="inlineStr">
        <is>
          <t>—</t>
        </is>
      </c>
      <c r="BL155" s="53" t="inlineStr">
        <is>
          <t>—</t>
        </is>
      </c>
      <c r="BM155" s="53" t="inlineStr">
        <is>
          <t>Not a manager</t>
        </is>
      </c>
      <c r="BN155" s="53" t="inlineStr">
        <is>
          <t>—</t>
        </is>
      </c>
      <c r="BO155" s="53" t="inlineStr">
        <is>
          <t>—</t>
        </is>
      </c>
      <c r="BP155" s="53" t="inlineStr">
        <is>
          <t>—</t>
        </is>
      </c>
      <c r="BQ155" s="53" t="inlineStr">
        <is>
          <t>Not a manager</t>
        </is>
      </c>
      <c r="BR155" s="53" t="inlineStr">
        <is>
          <t>—</t>
        </is>
      </c>
      <c r="BS155" s="53" t="inlineStr">
        <is>
          <t>L3 – Professional / Associate</t>
        </is>
      </c>
      <c r="BT155" s="53" t="inlineStr">
        <is>
          <t>L3 – Professional / Associate</t>
        </is>
      </c>
      <c r="BU155" s="53" t="inlineStr">
        <is>
          <t>No designation change — current record value carried forward</t>
        </is>
      </c>
      <c r="BV155" s="53"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W155" s="53" t="n"/>
      <c r="BX155" s="53" t="inlineStr">
        <is>
          <t>Global.</t>
        </is>
      </c>
      <c r="BY155" s="53" t="n"/>
      <c r="BZ155" s="53" t="inlineStr">
        <is>
          <t>IRIS2531</t>
        </is>
      </c>
      <c r="CA155" s="53" t="inlineStr">
        <is>
          <t>Employee</t>
        </is>
      </c>
      <c r="CB155" s="53" t="inlineStr">
        <is>
          <t>Active</t>
        </is>
      </c>
      <c r="CC155" s="53" t="inlineStr">
        <is>
          <t>Fatima Bhaiji</t>
        </is>
      </c>
      <c r="CD155" s="54" t="n">
        <v>46167</v>
      </c>
      <c r="CE155" s="53" t="inlineStr">
        <is>
          <t>Sales Development Representative</t>
        </is>
      </c>
      <c r="CF155" s="53" t="inlineStr">
        <is>
          <t>Reports to Vijay: Cold calling, Scheduling Demo,, Before Demo, they huddle with Functional * Sales team to provide detailed portfolio about the company.Tools used - Linkedin Sales navigator · To fetch number of customers shared by Database Team:</t>
        </is>
      </c>
      <c r="CG155" s="53" t="inlineStr">
        <is>
          <t>Sales &amp; Business Development</t>
        </is>
      </c>
      <c r="CH155" s="53" t="inlineStr">
        <is>
          <t>Sales Development · SDR</t>
        </is>
      </c>
      <c r="CI155" s="53" t="inlineStr">
        <is>
          <t>Sales Development Representative</t>
        </is>
      </c>
      <c r="CJ155" s="53" t="inlineStr">
        <is>
          <t>L3 – Professional / Associate</t>
        </is>
      </c>
      <c r="CK155" s="53" t="inlineStr">
        <is>
          <t>Vijay Krishna Chintha</t>
        </is>
      </c>
      <c r="CL155" s="53" t="inlineStr">
        <is>
          <t>N-5</t>
        </is>
      </c>
      <c r="CM155" s="53" t="inlineStr">
        <is>
          <t>Individual Contributor</t>
        </is>
      </c>
      <c r="CN155" s="53" t="inlineStr">
        <is>
          <t>Regtech</t>
        </is>
      </c>
      <c r="CO155" s="53" t="inlineStr">
        <is>
          <t>Marketing</t>
        </is>
      </c>
      <c r="CP155" s="53" t="inlineStr">
        <is>
          <t>6 years, 9 months, 26 days</t>
        </is>
      </c>
      <c r="CQ155" s="53" t="n"/>
      <c r="CR155" s="53" t="n"/>
      <c r="CS155" s="53" t="n">
        <v>3</v>
      </c>
      <c r="CT155" s="53" t="inlineStr">
        <is>
          <t>High</t>
        </is>
      </c>
      <c r="CU155" s="53" t="inlineStr">
        <is>
          <t>Emerging Talent</t>
        </is>
      </c>
      <c r="CV155" s="53" t="inlineStr">
        <is>
          <t>No</t>
        </is>
      </c>
      <c r="CW155" s="53" t="inlineStr">
        <is>
          <t>No</t>
        </is>
      </c>
      <c r="CX155" s="53" t="inlineStr">
        <is>
          <t>No</t>
        </is>
      </c>
      <c r="CY155" s="53" t="n"/>
      <c r="CZ155" s="53" t="inlineStr">
        <is>
          <t>Additional training sessions focused on objection handling, call openings, and advanced sales conversations could further enhance her effectiveness and help her achieve even better results</t>
        </is>
      </c>
      <c r="DA155" s="53" t="n"/>
      <c r="DB155" s="53" t="n"/>
      <c r="DC155" s="53" t="n"/>
      <c r="DD155" s="53" t="n"/>
      <c r="DE155" s="53" t="n"/>
      <c r="DF155" s="53" t="n"/>
      <c r="DG155" s="53" t="n"/>
      <c r="DH155" s="53" t="n"/>
      <c r="DI155" s="53" t="n"/>
      <c r="DJ155" s="53" t="n"/>
      <c r="DK155" s="53" t="n"/>
      <c r="DL155" s="53" t="n"/>
      <c r="DM155" s="53" t="n"/>
      <c r="DN155" s="53" t="n"/>
      <c r="DO155" s="53" t="n"/>
      <c r="DP155" s="53" t="n"/>
      <c r="DQ155" s="53" t="n"/>
      <c r="DR155" s="53" t="n"/>
      <c r="DS155" s="53" t="n"/>
      <c r="DT155" s="53" t="n"/>
      <c r="DU155" s="53" t="n"/>
      <c r="DV155" s="53" t="n"/>
      <c r="DW155" s="53" t="n"/>
      <c r="DX155" s="53" t="n"/>
      <c r="DY155" s="53" t="n"/>
      <c r="DZ155" s="53" t="n"/>
      <c r="EA155" s="53" t="n"/>
      <c r="EB155" s="53" t="n"/>
      <c r="EC155" s="53" t="n"/>
      <c r="ED155" s="53" t="n"/>
      <c r="EE155" s="53" t="n"/>
      <c r="EF155" s="53" t="n"/>
      <c r="EG155" s="53" t="n"/>
      <c r="EH155" s="53" t="n"/>
      <c r="EI155" s="53" t="n"/>
      <c r="EJ155" s="53" t="n"/>
      <c r="EK155" s="53" t="n"/>
      <c r="EL155" s="53" t="n"/>
      <c r="EM155" s="53" t="n"/>
      <c r="EN155" s="53" t="n"/>
      <c r="EO155" s="53" t="n"/>
      <c r="EP155" s="53" t="n"/>
      <c r="EQ155" s="53" t="n"/>
      <c r="ER155" s="53" t="n"/>
      <c r="ES155" s="53" t="n"/>
      <c r="ET155" s="53" t="n"/>
      <c r="EU155" s="53" t="n"/>
      <c r="EV155" s="53" t="n"/>
      <c r="EW155" s="52" t="n"/>
      <c r="EX155" s="53"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EY155" s="53"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EZ155" s="53" t="inlineStr">
        <is>
          <t>• Current capabilities: Communication; Research h.
• Tools / software used: HubSpot; Sales navigator; Apollo.
• Workload: Rated a heavy load · 4/5 in a typical week.
• Judgment/way of working: Writin good emails.</t>
        </is>
      </c>
      <c r="FA155" s="53" t="inlineStr">
        <is>
          <t>• Development priorities: Learn the product.
• Learning and Development Need: SDR sales training. Product knowledge.
• Role evolving toward: Vijay helps a lot; Vijay is amazing when it comes to helping; Vijay’s support.</t>
        </is>
      </c>
      <c r="FB155" s="53" t="inlineStr">
        <is>
          <t>• Key challenges: Sleep schedule.
• Support required: Coming to office 5 days a week instead make it completely hybrids.</t>
        </is>
      </c>
      <c r="FC155" s="53" t="n"/>
      <c r="FD155" s="53" t="n"/>
      <c r="FE155" s="57"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FF155" s="56" t="n"/>
      <c r="FG155" s="56" t="n"/>
      <c r="FH155" s="56" t="n"/>
      <c r="FI155" s="56" t="inlineStr">
        <is>
          <t>Reports to Vijay : Cold calling, Scheduling Demo, , Before Demo, they huddle with Functional * Sales team to provide detailed portfolio about the company.Tools used - Linkedin Sales navigator · To fetch number of customers shared by Database Team:</t>
        </is>
      </c>
      <c r="FJ155" s="56" t="inlineStr">
        <is>
          <t>Received · manager annual</t>
        </is>
      </c>
      <c r="FK155" s="56" t="inlineStr">
        <is>
          <t>CARBON Mapping Master · CARBON Talent Mapping · Raw</t>
        </is>
      </c>
      <c r="FL155" s="56" t="n">
        <v>20</v>
      </c>
      <c r="FM155" s="56"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FN155" s="56"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FO155" s="56" t="inlineStr">
        <is>
          <t>• Current capabilities: Communication; Research h.
• Tools / software used: HubSpot; Sales navigator; Apollo.
• Workload: Rated a heavy load · 4/5 in a typical week.
• Judgment/way of working: Writin good emails.</t>
        </is>
      </c>
      <c r="FP155" s="56" t="inlineStr">
        <is>
          <t>• Development priorities: Learn the product.
• Learning and Development Need: SDR sales training. Product knowledge.
• Role evolving toward: Vijay helps a lot; Vijay is amazing when it comes to helping; Vijay’s support.</t>
        </is>
      </c>
      <c r="FQ155" s="56" t="inlineStr">
        <is>
          <t>• Key challenges: Sleep schedule.
• Support required: Coming to office 5 days a week instead make it completely hybrids.</t>
        </is>
      </c>
      <c r="FR155" s="56" t="inlineStr">
        <is>
          <t>Complexity: Evidence reads like A2: Calls · about 150 daily, emailing and LinkedIn outreach to create and qualify opportunities → matches the start
Autonomy: Evidence reads like A2: Decides which contacts to approach → matches the start
Accountability: Evidence reads like A2: Accountable for quality and consistency of own pipeline and outreach → matches the start
Leadership: Evidence reads like A1: 'Team management' listed with no detail; zero direct reports → matches the start
Business Impact: No survey or manager-mapping signal on criticality: kept at the start point.</t>
        </is>
      </c>
      <c r="FS155"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55" s="56" t="inlineStr">
        <is>
          <t>Self-identified: Product &amp; tool knowledge
For the next role: Product &amp; tool knowledge</t>
        </is>
      </c>
      <c r="FU155" s="56" t="inlineStr">
        <is>
          <t>Per-person summary · CARBON Mapping Master</t>
        </is>
      </c>
    </row>
    <row r="156" ht="90" customHeight="1">
      <c r="A156" s="51" t="inlineStr">
        <is>
          <t>◂ Back</t>
        </is>
      </c>
      <c r="B156" s="29" t="inlineStr">
        <is>
          <t>Mapped</t>
        </is>
      </c>
      <c r="C156" s="28" t="inlineStr">
        <is>
          <t>CARBON</t>
        </is>
      </c>
      <c r="D156" s="29" t="inlineStr">
        <is>
          <t>IRIS2543</t>
        </is>
      </c>
      <c r="E156" s="29" t="inlineStr">
        <is>
          <t>Rahul Nishikant Pawar</t>
        </is>
      </c>
      <c r="F156" s="29" t="inlineStr">
        <is>
          <t>Marketing</t>
        </is>
      </c>
      <c r="G156" s="29" t="inlineStr">
        <is>
          <t>Senior Sales Development Representative</t>
        </is>
      </c>
      <c r="H156" s="29" t="inlineStr">
        <is>
          <t>Senior Sales Development Representative</t>
        </is>
      </c>
      <c r="I156" s="29" t="inlineStr">
        <is>
          <t>Not in current mapping files</t>
        </is>
      </c>
      <c r="J156" s="29" t="inlineStr">
        <is>
          <t>A3</t>
        </is>
      </c>
      <c r="K156" s="29" t="inlineStr">
        <is>
          <t>● Newly mapped</t>
        </is>
      </c>
      <c r="L156" s="29" t="inlineStr">
        <is>
          <t>Sales &amp; Business Development</t>
        </is>
      </c>
      <c r="M156" s="29" t="inlineStr">
        <is>
          <t>Sales Development &amp; Prospecting</t>
        </is>
      </c>
      <c r="N156" s="29" t="n"/>
      <c r="O156" s="29" t="n">
        <v>20</v>
      </c>
      <c r="P156" s="28" t="inlineStr">
        <is>
          <t>P2</t>
        </is>
      </c>
      <c r="Q156" s="29" t="inlineStr">
        <is>
          <t>Developing</t>
        </is>
      </c>
      <c r="R156" s="29" t="inlineStr">
        <is>
          <t>3 Apply</t>
        </is>
      </c>
      <c r="S156" s="29" t="inlineStr">
        <is>
          <t>2–4 yrs</t>
        </is>
      </c>
      <c r="T156" s="29" t="inlineStr">
        <is>
          <t>3–5 · 2–5</t>
        </is>
      </c>
      <c r="U156" s="29" t="inlineStr">
        <is>
          <t>SDR / Inside Sales</t>
        </is>
      </c>
      <c r="V156" s="29" t="inlineStr">
        <is>
          <t>IRIS Vs Competitor Benchmark — SaaS sales ladder — IC: Senior SDR</t>
        </is>
      </c>
      <c r="W156" s="29" t="inlineStr">
        <is>
          <t>SaaS sales ladder · SDR → AE → Enterprise AE → VP / CRO; MEDDICC-style qualification</t>
        </is>
      </c>
      <c r="X156" s="29" t="inlineStr">
        <is>
          <t>Core 2 · Future 2 · Functional 3 · Leadership not scored</t>
        </is>
      </c>
      <c r="Y156" s="52" t="n">
        <v>516</v>
      </c>
      <c r="Z156" s="53" t="inlineStr">
        <is>
          <t>IRIS2543</t>
        </is>
      </c>
      <c r="AA156" s="53" t="inlineStr">
        <is>
          <t>Employee</t>
        </is>
      </c>
      <c r="AB156" s="53" t="inlineStr">
        <is>
          <t>Active</t>
        </is>
      </c>
      <c r="AC156" s="53" t="inlineStr">
        <is>
          <t>Rahul Nishikant Pawar</t>
        </is>
      </c>
      <c r="AD156" s="54" t="n">
        <v>46216</v>
      </c>
      <c r="AE156" s="53" t="inlineStr">
        <is>
          <t>Senior Sales Development Representative</t>
        </is>
      </c>
      <c r="AF156" s="53" t="inlineStr">
        <is>
          <t>HSC</t>
        </is>
      </c>
      <c r="AG156" s="53" t="inlineStr">
        <is>
          <t>Vijay Krishna Chintha</t>
        </is>
      </c>
      <c r="AH156" s="53" t="inlineStr">
        <is>
          <t>N-5</t>
        </is>
      </c>
      <c r="AI156" s="53" t="inlineStr">
        <is>
          <t>Individual Contributor</t>
        </is>
      </c>
      <c r="AJ156" s="53" t="inlineStr">
        <is>
          <t>5 years, 1 months, 0 days</t>
        </is>
      </c>
      <c r="AK156" s="53" t="inlineStr">
        <is>
          <t>0 years, 1 months, 12 days</t>
        </is>
      </c>
      <c r="AL156" s="53" t="inlineStr">
        <is>
          <t>Regtech</t>
        </is>
      </c>
      <c r="AM156" s="53" t="inlineStr">
        <is>
          <t>CARBON</t>
        </is>
      </c>
      <c r="AN156" s="53" t="inlineStr">
        <is>
          <t>Marketing</t>
        </is>
      </c>
      <c r="AO156" s="53" t="inlineStr">
        <is>
          <t>Marketing - SDR</t>
        </is>
      </c>
      <c r="AP156" s="53" t="inlineStr">
        <is>
          <t>No</t>
        </is>
      </c>
      <c r="AQ156" s="53" t="inlineStr">
        <is>
          <t>Sales, Marketing &amp; Support</t>
        </is>
      </c>
      <c r="AR156" s="53" t="inlineStr">
        <is>
          <t>Marketing</t>
        </is>
      </c>
      <c r="AS156" s="53" t="inlineStr">
        <is>
          <t>Non-technical</t>
        </is>
      </c>
      <c r="AT156" s="53" t="n">
        <v>20</v>
      </c>
      <c r="AU156" s="53" t="inlineStr">
        <is>
          <t>Covered</t>
        </is>
      </c>
      <c r="AV156" s="53" t="inlineStr">
        <is>
          <t>IRIS2543</t>
        </is>
      </c>
      <c r="AW156" s="53" t="inlineStr">
        <is>
          <t>Rahul Nishikant Powar</t>
        </is>
      </c>
      <c r="AX156" s="53" t="inlineStr">
        <is>
          <t>Marketing</t>
        </is>
      </c>
      <c r="AY156" s="53" t="inlineStr">
        <is>
          <t>Sales &amp; Business Development</t>
        </is>
      </c>
      <c r="AZ156" s="53" t="inlineStr">
        <is>
          <t>Sales Development · SDR</t>
        </is>
      </c>
      <c r="BA156" s="53" t="n"/>
      <c r="BB156" s="53" t="n"/>
      <c r="BC156" s="53" t="inlineStr">
        <is>
          <t>Employee</t>
        </is>
      </c>
      <c r="BD156" s="53" t="inlineStr">
        <is>
          <t>Saahit Togaru</t>
        </is>
      </c>
      <c r="BE156" s="53" t="inlineStr">
        <is>
          <t>Saahit Togaru</t>
        </is>
      </c>
      <c r="BF156" s="53" t="inlineStr">
        <is>
          <t>No</t>
        </is>
      </c>
      <c r="BG156" s="53" t="inlineStr">
        <is>
          <t>Sr. SDR</t>
        </is>
      </c>
      <c r="BH156" s="53" t="inlineStr">
        <is>
          <t>Sr. SDR</t>
        </is>
      </c>
      <c r="BI156" s="53" t="inlineStr">
        <is>
          <t>N/A · new entry</t>
        </is>
      </c>
      <c r="BJ156" s="53" t="inlineStr">
        <is>
          <t>—</t>
        </is>
      </c>
      <c r="BK156" s="53" t="inlineStr">
        <is>
          <t>—</t>
        </is>
      </c>
      <c r="BL156" s="53" t="inlineStr">
        <is>
          <t>—</t>
        </is>
      </c>
      <c r="BM156" s="53" t="inlineStr">
        <is>
          <t>Not a manager</t>
        </is>
      </c>
      <c r="BN156" s="53" t="inlineStr">
        <is>
          <t>—</t>
        </is>
      </c>
      <c r="BO156" s="53" t="inlineStr">
        <is>
          <t>—</t>
        </is>
      </c>
      <c r="BP156" s="53" t="inlineStr">
        <is>
          <t>—</t>
        </is>
      </c>
      <c r="BQ156" s="53" t="inlineStr">
        <is>
          <t>Not a manager</t>
        </is>
      </c>
      <c r="BR156" s="53" t="inlineStr">
        <is>
          <t>—</t>
        </is>
      </c>
      <c r="BS156" s="53" t="n"/>
      <c r="BT156" s="53" t="n"/>
      <c r="BU156" s="53" t="inlineStr">
        <is>
          <t>No designation change — current record value carried forward</t>
        </is>
      </c>
      <c r="BV156" s="53" t="n"/>
      <c r="BW156" s="53" t="n"/>
      <c r="BX156" s="53" t="inlineStr">
        <is>
          <t>Nordics Europe</t>
        </is>
      </c>
      <c r="BY156" s="53" t="n"/>
      <c r="BZ156" s="53" t="n"/>
      <c r="CA156" s="53" t="n"/>
      <c r="CB156" s="53" t="inlineStr">
        <is>
          <t>Active</t>
        </is>
      </c>
      <c r="CC156" s="53" t="inlineStr">
        <is>
          <t>Rahul Nishikant Powar</t>
        </is>
      </c>
      <c r="CD156" s="53" t="n"/>
      <c r="CE156" s="53" t="inlineStr">
        <is>
          <t>Sr. SDR</t>
        </is>
      </c>
      <c r="CF156" s="53" t="inlineStr">
        <is>
          <t>"Reports to Saahit : Cold calling, Scheduling Demo, Tools used - Linkedin Sales navigator · To fetch number of customers shared by Database Team:</t>
        </is>
      </c>
      <c r="CG156" s="53" t="inlineStr">
        <is>
          <t>Sales &amp; Business Development</t>
        </is>
      </c>
      <c r="CH156" s="53" t="inlineStr">
        <is>
          <t>Sales Development · SDR</t>
        </is>
      </c>
      <c r="CI156" s="53" t="n"/>
      <c r="CJ156" s="53" t="n"/>
      <c r="CK156" s="53" t="n"/>
      <c r="CL156" s="53" t="n"/>
      <c r="CM156" s="53" t="n"/>
      <c r="CN156" s="53" t="n"/>
      <c r="CO156" s="53" t="n"/>
      <c r="CP156" s="53" t="n"/>
      <c r="CQ156" s="53" t="n"/>
      <c r="CR156" s="53" t="n"/>
      <c r="CS156" s="53" t="n"/>
      <c r="CT156" s="53" t="n"/>
      <c r="CU156" s="53" t="n"/>
      <c r="CV156" s="53" t="n"/>
      <c r="CW156" s="53" t="n"/>
      <c r="CX156" s="53" t="n"/>
      <c r="CY156" s="53" t="n"/>
      <c r="CZ156" s="53" t="n"/>
      <c r="DA156" s="53" t="n"/>
      <c r="DB156" s="53" t="n"/>
      <c r="DC156" s="53" t="n"/>
      <c r="DD156" s="53" t="n"/>
      <c r="DE156" s="53" t="n"/>
      <c r="DF156" s="53" t="n"/>
      <c r="DG156" s="53" t="n"/>
      <c r="DH156" s="53" t="n"/>
      <c r="DI156" s="53" t="n"/>
      <c r="DJ156" s="53" t="n"/>
      <c r="DK156" s="53" t="n"/>
      <c r="DL156" s="53" t="n"/>
      <c r="DM156" s="53" t="n"/>
      <c r="DN156" s="53" t="n"/>
      <c r="DO156" s="53" t="n"/>
      <c r="DP156" s="53" t="n"/>
      <c r="DQ156" s="53" t="n"/>
      <c r="DR156" s="53" t="n"/>
      <c r="DS156" s="53" t="n"/>
      <c r="DT156" s="53" t="n"/>
      <c r="DU156" s="53" t="n"/>
      <c r="DV156" s="53" t="n"/>
      <c r="DW156" s="53" t="n"/>
      <c r="DX156" s="53" t="n"/>
      <c r="DY156" s="53" t="n"/>
      <c r="DZ156" s="53" t="n"/>
      <c r="EA156" s="53" t="n"/>
      <c r="EB156" s="53" t="n"/>
      <c r="EC156" s="53" t="n"/>
      <c r="ED156" s="53" t="n"/>
      <c r="EE156" s="53" t="n"/>
      <c r="EF156" s="53" t="n"/>
      <c r="EG156" s="53" t="n"/>
      <c r="EH156" s="53" t="n"/>
      <c r="EI156" s="53" t="n"/>
      <c r="EJ156" s="53" t="n"/>
      <c r="EK156" s="53" t="n"/>
      <c r="EL156" s="53" t="n"/>
      <c r="EM156" s="53" t="n"/>
      <c r="EN156" s="53" t="n"/>
      <c r="EO156" s="53" t="n"/>
      <c r="EP156" s="53" t="n"/>
      <c r="EQ156" s="53" t="n"/>
      <c r="ER156" s="53" t="n"/>
      <c r="ES156" s="53" t="n"/>
      <c r="ET156" s="53" t="n"/>
      <c r="EU156" s="53" t="n"/>
      <c r="EV156" s="53" t="n"/>
      <c r="EW156" s="52" t="n"/>
      <c r="EX156" s="53" t="inlineStr">
        <is>
          <t>Schedule qualified meetings; Finding alternatives New strategies</t>
        </is>
      </c>
      <c r="EY156" s="53"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EZ156" s="53" t="inlineStr">
        <is>
          <t>CRM hygiene; CRM Dialler Linkedin Microsoft 365; Managing my cold-calling time effectively by focusing on peak hours when I receive the highest response rates.</t>
        </is>
      </c>
      <c r="FA156" s="53"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B156" s="53" t="inlineStr">
        <is>
          <t>Multitasking; Providing more support and training, along with enough time for new team members to understand the product and improve their skills. It would also help to have someone who can identify our mistakes, p</t>
        </is>
      </c>
      <c r="FC156" s="53" t="inlineStr">
        <is>
          <t>Employee Status; Employee Name; Designation; Actual JD; Role Family; Sub-Family</t>
        </is>
      </c>
      <c r="FD156" s="53" t="n"/>
      <c r="FE156" s="55" t="inlineStr">
        <is>
          <t>KRAs not received · manager to supply</t>
        </is>
      </c>
      <c r="FF156" s="56" t="n"/>
      <c r="FG156" s="56" t="n"/>
      <c r="FH156" s="56" t="n"/>
      <c r="FI156" s="56" t="inlineStr">
        <is>
          <t>"Reports to Saahit : Cold calling, Scheduling Demo, Tools used - Linkedin Sales navigator · To fetch number of customers shared by Database Team:</t>
        </is>
      </c>
      <c r="FJ156" s="32" t="inlineStr">
        <is>
          <t>KRAs not received · manager to supply</t>
        </is>
      </c>
      <c r="FK156" s="56" t="inlineStr">
        <is>
          <t>CARBON Talent Mapping · Raw</t>
        </is>
      </c>
      <c r="FL156" s="56" t="n">
        <v>20</v>
      </c>
      <c r="FM156" s="56" t="inlineStr">
        <is>
          <t>Schedule qualified meetings; Finding alternatives New strategies</t>
        </is>
      </c>
      <c r="FN156" s="56"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FO156" s="56" t="inlineStr">
        <is>
          <t>CRM hygiene; CRM Dialler Linkedin Microsoft 365; Managing my cold-calling time effectively by focusing on peak hours when I receive the highest response rates.</t>
        </is>
      </c>
      <c r="FP156" s="56"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Q156" s="56" t="inlineStr">
        <is>
          <t>Multitasking; Providing more support and training, along with enough time for new team members to understand the product and improve their skills. It would also help to have someone who can identify our mistakes, p</t>
        </is>
      </c>
      <c r="FR156" s="56" t="inlineStr">
        <is>
          <t>Complexity: Evidence reads like A2: Cold calls, cold emails and LinkedIn outreach with account research to schedule qualified meetings → moved down 0.5
Autonomy: Evidence reads like A2: Decides on alternatives and new outreach approaches; times own calling → moved down 0.5
Accountability: Evidence reads like A2: Accountable for own sales-qualified meetings and pipeline targets → moved down 0.5
Leadership: Evidence reads like A1: No guidance or leadership of others described → moved down 0.5
Business Impact: No survey or manager-mapping signal on criticality: kept at the start point.</t>
        </is>
      </c>
      <c r="FS156"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56" s="56" t="inlineStr">
        <is>
          <t>Self-identified: Client, sales &amp; stakeholders
For the next role: Client, sales &amp; stakeholders</t>
        </is>
      </c>
      <c r="FU156" s="56" t="inlineStr">
        <is>
          <t>Per-person summary · CARBON Mapping Master</t>
        </is>
      </c>
    </row>
    <row r="157" ht="90" customHeight="1">
      <c r="A157" s="51" t="inlineStr">
        <is>
          <t>◂ Back</t>
        </is>
      </c>
      <c r="B157" s="29" t="inlineStr">
        <is>
          <t>Mapped</t>
        </is>
      </c>
      <c r="C157" s="28" t="inlineStr">
        <is>
          <t>CARBON</t>
        </is>
      </c>
      <c r="D157" s="29" t="inlineStr">
        <is>
          <t>IRIS2518</t>
        </is>
      </c>
      <c r="E157" s="29" t="inlineStr">
        <is>
          <t>Diksha Gunjyal</t>
        </is>
      </c>
      <c r="F157" s="29" t="inlineStr">
        <is>
          <t>Marketing</t>
        </is>
      </c>
      <c r="G157" s="29" t="inlineStr">
        <is>
          <t>Marketing Associate</t>
        </is>
      </c>
      <c r="H157" s="29" t="inlineStr">
        <is>
          <t>Sales Development Representative</t>
        </is>
      </c>
      <c r="I157" s="29" t="inlineStr">
        <is>
          <t>L3 – Professional / Associate</t>
        </is>
      </c>
      <c r="J157" s="29" t="inlineStr">
        <is>
          <t>A2</t>
        </is>
      </c>
      <c r="K157" s="29" t="inlineStr">
        <is>
          <t>• Same level</t>
        </is>
      </c>
      <c r="L157" s="29" t="inlineStr">
        <is>
          <t>Sales &amp; Business Development</t>
        </is>
      </c>
      <c r="M157" s="29" t="inlineStr">
        <is>
          <t>Sales Development &amp; Prospecting</t>
        </is>
      </c>
      <c r="N157" s="29" t="n"/>
      <c r="O157" s="29" t="n">
        <v>20</v>
      </c>
      <c r="P157" s="28" t="inlineStr">
        <is>
          <t>P1–P2</t>
        </is>
      </c>
      <c r="Q157" s="29" t="inlineStr">
        <is>
          <t>Entry / Developing</t>
        </is>
      </c>
      <c r="R157" s="29" t="inlineStr">
        <is>
          <t>2 Assist</t>
        </is>
      </c>
      <c r="S157" s="29" t="inlineStr">
        <is>
          <t>0–2 yrs</t>
        </is>
      </c>
      <c r="T157" s="29" t="inlineStr">
        <is>
          <t>1–3 · 0–3</t>
        </is>
      </c>
      <c r="U157" s="29" t="inlineStr">
        <is>
          <t>SDR · entry / SDR / Inside Sales</t>
        </is>
      </c>
      <c r="V157" s="29" t="inlineStr">
        <is>
          <t>IRIS Vs Competitor Benchmark — SaaS sales ladder — IC: SDR / BDR</t>
        </is>
      </c>
      <c r="W157" s="29" t="inlineStr">
        <is>
          <t>SaaS sales ladder · SDR → AE → Enterprise AE → VP / CRO; MEDDICC-style qualification</t>
        </is>
      </c>
      <c r="X157" s="29" t="inlineStr">
        <is>
          <t>Core 2 · Future 2 · Functional 2 · Leadership not scored</t>
        </is>
      </c>
      <c r="Y157" s="52" t="n">
        <v>489</v>
      </c>
      <c r="Z157" s="53" t="inlineStr">
        <is>
          <t>IRIS2518</t>
        </is>
      </c>
      <c r="AA157" s="53" t="inlineStr">
        <is>
          <t>Employee</t>
        </is>
      </c>
      <c r="AB157" s="53" t="inlineStr">
        <is>
          <t>Active</t>
        </is>
      </c>
      <c r="AC157" s="53" t="inlineStr">
        <is>
          <t>Diksha Gunjyal</t>
        </is>
      </c>
      <c r="AD157" s="54" t="n">
        <v>46125</v>
      </c>
      <c r="AE157" s="53" t="inlineStr">
        <is>
          <t>Marketing Associate</t>
        </is>
      </c>
      <c r="AF157" s="53" t="inlineStr">
        <is>
          <t>B.Sc</t>
        </is>
      </c>
      <c r="AG157" s="53" t="inlineStr">
        <is>
          <t>Vijay Krishna Chintha</t>
        </is>
      </c>
      <c r="AH157" s="53" t="inlineStr">
        <is>
          <t>N-5</t>
        </is>
      </c>
      <c r="AI157" s="53" t="inlineStr">
        <is>
          <t>Individual Contributor</t>
        </is>
      </c>
      <c r="AJ157" s="53" t="inlineStr">
        <is>
          <t>0 years, 0 months, 0 days</t>
        </is>
      </c>
      <c r="AK157" s="53" t="inlineStr">
        <is>
          <t>0 years, 4 months, 12 days</t>
        </is>
      </c>
      <c r="AL157" s="53" t="inlineStr">
        <is>
          <t>Regtech</t>
        </is>
      </c>
      <c r="AM157" s="53" t="inlineStr">
        <is>
          <t>CARBON</t>
        </is>
      </c>
      <c r="AN157" s="53" t="inlineStr">
        <is>
          <t>Marketing</t>
        </is>
      </c>
      <c r="AO157" s="53" t="inlineStr">
        <is>
          <t>Marketing</t>
        </is>
      </c>
      <c r="AP157" s="53" t="inlineStr">
        <is>
          <t>No</t>
        </is>
      </c>
      <c r="AQ157" s="53" t="inlineStr">
        <is>
          <t>Sales, Marketing &amp; Support</t>
        </is>
      </c>
      <c r="AR157" s="53" t="inlineStr">
        <is>
          <t>Marketing</t>
        </is>
      </c>
      <c r="AS157" s="53" t="inlineStr">
        <is>
          <t>Non-technical</t>
        </is>
      </c>
      <c r="AT157" s="53" t="n">
        <v>20</v>
      </c>
      <c r="AU157" s="53" t="inlineStr">
        <is>
          <t>Covered</t>
        </is>
      </c>
      <c r="AV157" s="53" t="inlineStr">
        <is>
          <t>IRIS2518</t>
        </is>
      </c>
      <c r="AW157" s="53" t="inlineStr">
        <is>
          <t>Diksha Gunjyal</t>
        </is>
      </c>
      <c r="AX157" s="53" t="inlineStr">
        <is>
          <t>Marketing</t>
        </is>
      </c>
      <c r="AY157" s="53" t="inlineStr">
        <is>
          <t>Sales &amp; Business Development</t>
        </is>
      </c>
      <c r="AZ157" s="53" t="inlineStr">
        <is>
          <t>Sales Development · SDR</t>
        </is>
      </c>
      <c r="BA157" s="53" t="n"/>
      <c r="BB157" s="53" t="n"/>
      <c r="BC157" s="53" t="inlineStr">
        <is>
          <t>Employee</t>
        </is>
      </c>
      <c r="BD157" s="53" t="inlineStr">
        <is>
          <t>Saahit Togaru</t>
        </is>
      </c>
      <c r="BE157" s="53" t="inlineStr">
        <is>
          <t>Saahit Togaru</t>
        </is>
      </c>
      <c r="BF157" s="53" t="inlineStr">
        <is>
          <t>No</t>
        </is>
      </c>
      <c r="BG157" s="53" t="inlineStr">
        <is>
          <t>Marketing Associate</t>
        </is>
      </c>
      <c r="BH157" s="53" t="inlineStr">
        <is>
          <t>Sales Development Associate</t>
        </is>
      </c>
      <c r="BI157" s="53" t="inlineStr">
        <is>
          <t>Yes</t>
        </is>
      </c>
      <c r="BJ157" s="53" t="inlineStr">
        <is>
          <t>—</t>
        </is>
      </c>
      <c r="BK157" s="53" t="inlineStr">
        <is>
          <t>—</t>
        </is>
      </c>
      <c r="BL157" s="53" t="inlineStr">
        <is>
          <t>—</t>
        </is>
      </c>
      <c r="BM157" s="53" t="inlineStr">
        <is>
          <t>Not a manager</t>
        </is>
      </c>
      <c r="BN157" s="53" t="inlineStr">
        <is>
          <t>—</t>
        </is>
      </c>
      <c r="BO157" s="53" t="inlineStr">
        <is>
          <t>—</t>
        </is>
      </c>
      <c r="BP157" s="53" t="inlineStr">
        <is>
          <t>—</t>
        </is>
      </c>
      <c r="BQ157" s="53" t="inlineStr">
        <is>
          <t>Not a manager</t>
        </is>
      </c>
      <c r="BR157" s="53" t="inlineStr">
        <is>
          <t>—</t>
        </is>
      </c>
      <c r="BS157" s="53" t="inlineStr">
        <is>
          <t>L3 – Professional / Associate</t>
        </is>
      </c>
      <c r="BT157" s="53" t="inlineStr">
        <is>
          <t>L3 – Professional / Associate</t>
        </is>
      </c>
      <c r="BU157" s="53" t="inlineStr">
        <is>
          <t>No designation change — current record value carried forward</t>
        </is>
      </c>
      <c r="BV157" s="53" t="inlineStr">
        <is>
          <t>1.Recently joined the organization · around 3 months ago and is currently ramping up while building a strong understanding
2. Started actively prospecting through multi-channel outreach across target accounts to build pipeline</t>
        </is>
      </c>
      <c r="BW157" s="53" t="n"/>
      <c r="BX157" s="53" t="inlineStr">
        <is>
          <t>No input received.</t>
        </is>
      </c>
      <c r="BY157" s="53" t="n"/>
      <c r="BZ157" s="53" t="inlineStr">
        <is>
          <t>IRIS2518</t>
        </is>
      </c>
      <c r="CA157" s="53" t="inlineStr">
        <is>
          <t>Employee</t>
        </is>
      </c>
      <c r="CB157" s="53" t="inlineStr">
        <is>
          <t>Active</t>
        </is>
      </c>
      <c r="CC157" s="53" t="inlineStr">
        <is>
          <t>Diksha Gunjyal</t>
        </is>
      </c>
      <c r="CD157" s="54" t="n">
        <v>46125</v>
      </c>
      <c r="CE157" s="53" t="inlineStr">
        <is>
          <t>Marketing Associate</t>
        </is>
      </c>
      <c r="CF157" s="53" t="inlineStr">
        <is>
          <t>Moved to SDR - EURegions - reports to Saahit</t>
        </is>
      </c>
      <c r="CG157" s="53" t="inlineStr">
        <is>
          <t>Sales &amp; Business Development</t>
        </is>
      </c>
      <c r="CH157" s="53" t="inlineStr">
        <is>
          <t>Sales Development · SDR</t>
        </is>
      </c>
      <c r="CI157" s="53" t="inlineStr">
        <is>
          <t>Marketing Associate</t>
        </is>
      </c>
      <c r="CJ157" s="53" t="inlineStr">
        <is>
          <t>L3 – Professional / Associate</t>
        </is>
      </c>
      <c r="CK157" s="53" t="inlineStr">
        <is>
          <t>Saahit Togaru</t>
        </is>
      </c>
      <c r="CL157" s="53" t="inlineStr">
        <is>
          <t>N-4</t>
        </is>
      </c>
      <c r="CM157" s="53" t="inlineStr">
        <is>
          <t>Individual Contributor</t>
        </is>
      </c>
      <c r="CN157" s="53" t="inlineStr">
        <is>
          <t>Regtech</t>
        </is>
      </c>
      <c r="CO157" s="53" t="inlineStr">
        <is>
          <t>Marketing</t>
        </is>
      </c>
      <c r="CP157" s="53" t="inlineStr">
        <is>
          <t>0 years, 2 months, 7 days</t>
        </is>
      </c>
      <c r="CQ157" s="53" t="n"/>
      <c r="CR157" s="53" t="inlineStr">
        <is>
          <t>No</t>
        </is>
      </c>
      <c r="CS157" s="53" t="n">
        <v>1</v>
      </c>
      <c r="CT157" s="53" t="inlineStr">
        <is>
          <t>Low</t>
        </is>
      </c>
      <c r="CU157" s="53" t="inlineStr">
        <is>
          <t>Performance Risk</t>
        </is>
      </c>
      <c r="CV157" s="53" t="inlineStr">
        <is>
          <t>Too soon to comment</t>
        </is>
      </c>
      <c r="CW157" s="53" t="inlineStr">
        <is>
          <t>No</t>
        </is>
      </c>
      <c r="CX157" s="53" t="inlineStr">
        <is>
          <t>No</t>
        </is>
      </c>
      <c r="CY157" s="53" t="n"/>
      <c r="CZ157" s="53" t="inlineStr">
        <is>
          <t>Would benefit from improving ownership, proactiveness · from her own end, and confidence in conversations while strengthening prospecting and pipeline generation skills</t>
        </is>
      </c>
      <c r="DA157" s="53" t="n"/>
      <c r="DB157" s="53" t="inlineStr">
        <is>
          <t>To be mapped to SDR Mgr Europe - TBH</t>
        </is>
      </c>
      <c r="DC157" s="53" t="n"/>
      <c r="DD157" s="53" t="n"/>
      <c r="DE157" s="53" t="n"/>
      <c r="DF157" s="53" t="n"/>
      <c r="DG157" s="53" t="n"/>
      <c r="DH157" s="53" t="n"/>
      <c r="DI157" s="53" t="n"/>
      <c r="DJ157" s="53" t="n"/>
      <c r="DK157" s="53" t="n"/>
      <c r="DL157" s="53" t="n"/>
      <c r="DM157" s="53" t="n"/>
      <c r="DN157" s="53" t="n"/>
      <c r="DO157" s="53" t="n"/>
      <c r="DP157" s="53" t="n"/>
      <c r="DQ157" s="53" t="n"/>
      <c r="DR157" s="53" t="n"/>
      <c r="DS157" s="53" t="n"/>
      <c r="DT157" s="53" t="n"/>
      <c r="DU157" s="53" t="n"/>
      <c r="DV157" s="53" t="n"/>
      <c r="DW157" s="53" t="n"/>
      <c r="DX157" s="53" t="n"/>
      <c r="DY157" s="53" t="n"/>
      <c r="DZ157" s="53" t="n"/>
      <c r="EA157" s="53" t="n"/>
      <c r="EB157" s="53" t="n"/>
      <c r="EC157" s="53" t="n"/>
      <c r="ED157" s="53" t="n"/>
      <c r="EE157" s="53" t="n"/>
      <c r="EF157" s="53" t="n"/>
      <c r="EG157" s="53" t="n"/>
      <c r="EH157" s="53" t="n"/>
      <c r="EI157" s="53" t="n"/>
      <c r="EJ157" s="53" t="n"/>
      <c r="EK157" s="53" t="n"/>
      <c r="EL157" s="53" t="n"/>
      <c r="EM157" s="53" t="n"/>
      <c r="EN157" s="53" t="n"/>
      <c r="EO157" s="53" t="n"/>
      <c r="EP157" s="53" t="n"/>
      <c r="EQ157" s="53" t="n"/>
      <c r="ER157" s="53" t="n"/>
      <c r="ES157" s="53" t="n"/>
      <c r="ET157" s="53" t="n"/>
      <c r="EU157" s="53" t="n"/>
      <c r="EV157" s="53" t="n"/>
      <c r="EW157" s="52" t="n"/>
      <c r="EX157" s="53" t="inlineStr">
        <is>
          <t>• This role reaches out to relevant ICPs to support sales and build the IRIS brand.</t>
        </is>
      </c>
      <c r="EY157" s="53"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EZ157" s="53" t="inlineStr">
        <is>
          <t>• Current capabilities: Company and ICP research; LinkedIn Navigator and email-sequence creation.</t>
        </is>
      </c>
      <c r="FA157" s="53"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B157" s="53" t="inlineStr">
        <is>
          <t>• Key challenges: Outdated prospect database; Low confidence during outreach.
• Support required: No input received.</t>
        </is>
      </c>
      <c r="FC157" s="53" t="n"/>
      <c r="FD157" s="53" t="n"/>
      <c r="FE157" s="57" t="inlineStr">
        <is>
          <t>1.Recently joined the organization · around 3 months ago and is currently ramping up while building a strong understanding
2. Started actively prospecting through multi-channel outreach across target accounts to build pipeline</t>
        </is>
      </c>
      <c r="FF157" s="56" t="n"/>
      <c r="FG157" s="56" t="n"/>
      <c r="FH157" s="56" t="n"/>
      <c r="FI157" s="56" t="inlineStr">
        <is>
          <t>Moved to SDR - EURegions - reports to Saahit</t>
        </is>
      </c>
      <c r="FJ157" s="56" t="inlineStr">
        <is>
          <t>Received · manager annual</t>
        </is>
      </c>
      <c r="FK157" s="56" t="inlineStr">
        <is>
          <t>CARBON Mapping Master · CARBON Talent Mapping · Raw</t>
        </is>
      </c>
      <c r="FL157" s="56" t="n">
        <v>20</v>
      </c>
      <c r="FM157" s="56" t="inlineStr">
        <is>
          <t>• This role reaches out to relevant ICPs to support sales and build the IRIS brand.</t>
        </is>
      </c>
      <c r="FN157" s="56"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FO157" s="56" t="inlineStr">
        <is>
          <t>• Current capabilities: Company and ICP research; LinkedIn Navigator and email-sequence creation.</t>
        </is>
      </c>
      <c r="FP157" s="56"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Q157" s="56" t="inlineStr">
        <is>
          <t>• Key challenges: Outdated prospect database; Low confidence during outreach.
• Support required: No input received.</t>
        </is>
      </c>
      <c r="FR157" s="56" t="inlineStr">
        <is>
          <t>Complexity: Evidence reads like A2: Researches companies, finds ICPs, cold calls, email sequences and LinkedIn outreach to book discovery meetings → matches the start
Autonomy: Evidence reads like A2: Only stated independent decision is setting meetings; outreach follows a set process → matches the start
Accountability: Evidence reads like A2: Answerable for booked discovery meetings and lead attendance; risk is setting wrong expectations → matches the start
Leadership: Evidence reads like A1: No guidance or leadership of others described → matches the start
Business Impact: No move: the survey / manager mapping does not mark it business-critical or unique.</t>
        </is>
      </c>
      <c r="FS157"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7" s="56" t="inlineStr">
        <is>
          <t>Self-identified: Communication &amp; presentation
For the next role: Communication &amp; presentation</t>
        </is>
      </c>
      <c r="FU157" s="56" t="inlineStr">
        <is>
          <t>Per-person summary · CARBON Mapping Master</t>
        </is>
      </c>
    </row>
    <row r="158" ht="90" customHeight="1">
      <c r="A158" s="51" t="inlineStr">
        <is>
          <t>◂ Back</t>
        </is>
      </c>
      <c r="B158" s="29" t="inlineStr">
        <is>
          <t>Mapped</t>
        </is>
      </c>
      <c r="C158" s="28" t="inlineStr">
        <is>
          <t>CARBON</t>
        </is>
      </c>
      <c r="D158" s="29" t="inlineStr">
        <is>
          <t>INTN0286</t>
        </is>
      </c>
      <c r="E158" s="29" t="inlineStr">
        <is>
          <t>Samriddhi Kundu</t>
        </is>
      </c>
      <c r="F158" s="29" t="inlineStr">
        <is>
          <t>Marketing</t>
        </is>
      </c>
      <c r="G158" s="29" t="inlineStr">
        <is>
          <t>Intern</t>
        </is>
      </c>
      <c r="H158" s="29" t="inlineStr">
        <is>
          <t>Intern – Sales Development &amp; Prospecting</t>
        </is>
      </c>
      <c r="I158" s="29" t="inlineStr">
        <is>
          <t>L1 – Intern</t>
        </is>
      </c>
      <c r="J158" s="29" t="inlineStr">
        <is>
          <t>A1</t>
        </is>
      </c>
      <c r="K158" s="29" t="inlineStr">
        <is>
          <t>• Same level</t>
        </is>
      </c>
      <c r="L158" s="29" t="inlineStr">
        <is>
          <t>Sales &amp; Business Development</t>
        </is>
      </c>
      <c r="M158" s="29" t="inlineStr">
        <is>
          <t>Sales Development &amp; Prospecting</t>
        </is>
      </c>
      <c r="N158" s="29" t="n"/>
      <c r="O158" s="29" t="n">
        <v>20</v>
      </c>
      <c r="P158" s="28" t="inlineStr">
        <is>
          <t>Entry / P1 · intern</t>
        </is>
      </c>
      <c r="Q158" s="29" t="inlineStr">
        <is>
          <t>Entry</t>
        </is>
      </c>
      <c r="R158" s="29" t="inlineStr">
        <is>
          <t>1 Follow</t>
        </is>
      </c>
      <c r="S158" s="29" t="inlineStr">
        <is>
          <t>0 yrs · fresher / intern</t>
        </is>
      </c>
      <c r="T158" s="29" t="inlineStr">
        <is>
          <t>—</t>
        </is>
      </c>
      <c r="U158" s="29" t="inlineStr">
        <is>
          <t>SDR · entry</t>
        </is>
      </c>
      <c r="V158" s="29" t="inlineStr">
        <is>
          <t>—</t>
        </is>
      </c>
      <c r="W158" s="29" t="inlineStr">
        <is>
          <t>SaaS sales ladder · SDR → AE → Enterprise AE → VP / CRO; MEDDICC-style qualification</t>
        </is>
      </c>
      <c r="X158" s="29" t="inlineStr">
        <is>
          <t>Core 1 · Future 1 · Functional 1 · Leadership not scored</t>
        </is>
      </c>
      <c r="Y158" s="52" t="n">
        <v>430</v>
      </c>
      <c r="Z158" s="53" t="inlineStr">
        <is>
          <t>INTN0286</t>
        </is>
      </c>
      <c r="AA158" s="53" t="inlineStr">
        <is>
          <t>Intern</t>
        </is>
      </c>
      <c r="AB158" s="53" t="inlineStr">
        <is>
          <t>Active</t>
        </is>
      </c>
      <c r="AC158" s="53" t="inlineStr">
        <is>
          <t>Samriddhi Kundu</t>
        </is>
      </c>
      <c r="AD158" s="54" t="n">
        <v>46027</v>
      </c>
      <c r="AE158" s="53" t="inlineStr">
        <is>
          <t>Intern</t>
        </is>
      </c>
      <c r="AF158" s="53" t="inlineStr">
        <is>
          <t>B.Tech</t>
        </is>
      </c>
      <c r="AG158" s="53" t="inlineStr">
        <is>
          <t>Vijay Krishna Chintha</t>
        </is>
      </c>
      <c r="AH158" s="53" t="inlineStr">
        <is>
          <t>N-5</t>
        </is>
      </c>
      <c r="AI158" s="53" t="inlineStr">
        <is>
          <t>Individual Contributor</t>
        </is>
      </c>
      <c r="AJ158" s="53" t="inlineStr">
        <is>
          <t>0 years, 3 months, 0 days</t>
        </is>
      </c>
      <c r="AK158" s="53" t="inlineStr">
        <is>
          <t>0 years, 7 months, 20 days</t>
        </is>
      </c>
      <c r="AL158" s="53" t="inlineStr">
        <is>
          <t>Regtech</t>
        </is>
      </c>
      <c r="AM158" s="53" t="inlineStr">
        <is>
          <t>CARBON</t>
        </is>
      </c>
      <c r="AN158" s="53" t="inlineStr">
        <is>
          <t>Marketing</t>
        </is>
      </c>
      <c r="AO158" s="53" t="inlineStr">
        <is>
          <t>Marketing - SDR</t>
        </is>
      </c>
      <c r="AP158" s="53" t="inlineStr">
        <is>
          <t>No</t>
        </is>
      </c>
      <c r="AQ158" s="53" t="inlineStr">
        <is>
          <t>Sales, Marketing &amp; Support</t>
        </is>
      </c>
      <c r="AR158" s="53" t="inlineStr">
        <is>
          <t>Marketing</t>
        </is>
      </c>
      <c r="AS158" s="53" t="inlineStr">
        <is>
          <t>Non-technical</t>
        </is>
      </c>
      <c r="AT158" s="53" t="n">
        <v>20</v>
      </c>
      <c r="AU158" s="53" t="inlineStr">
        <is>
          <t>Covered</t>
        </is>
      </c>
      <c r="AV158" s="53" t="inlineStr">
        <is>
          <t>INTN0286</t>
        </is>
      </c>
      <c r="AW158" s="53" t="inlineStr">
        <is>
          <t>Samriddhi Kundu</t>
        </is>
      </c>
      <c r="AX158" s="53" t="inlineStr">
        <is>
          <t>Marketing</t>
        </is>
      </c>
      <c r="AY158" s="53" t="inlineStr">
        <is>
          <t>Sales &amp; Business Development</t>
        </is>
      </c>
      <c r="AZ158" s="53" t="inlineStr">
        <is>
          <t>Sales Development · SDR</t>
        </is>
      </c>
      <c r="BA158" s="53" t="n"/>
      <c r="BB158" s="53" t="n"/>
      <c r="BC158" s="53" t="inlineStr">
        <is>
          <t>Intern</t>
        </is>
      </c>
      <c r="BD158" s="53" t="inlineStr">
        <is>
          <t>Vijay Krishna Chintha</t>
        </is>
      </c>
      <c r="BE158" s="53" t="inlineStr">
        <is>
          <t>Vijay Krishna Chintha</t>
        </is>
      </c>
      <c r="BF158" s="53" t="inlineStr">
        <is>
          <t>No</t>
        </is>
      </c>
      <c r="BG158" s="53" t="inlineStr">
        <is>
          <t>Intern</t>
        </is>
      </c>
      <c r="BH158" s="53" t="inlineStr">
        <is>
          <t>Intern</t>
        </is>
      </c>
      <c r="BI158" s="53" t="inlineStr">
        <is>
          <t>No</t>
        </is>
      </c>
      <c r="BJ158" s="53" t="inlineStr">
        <is>
          <t>—</t>
        </is>
      </c>
      <c r="BK158" s="53" t="inlineStr">
        <is>
          <t>—</t>
        </is>
      </c>
      <c r="BL158" s="53" t="inlineStr">
        <is>
          <t>—</t>
        </is>
      </c>
      <c r="BM158" s="53" t="inlineStr">
        <is>
          <t>Not a manager</t>
        </is>
      </c>
      <c r="BN158" s="53" t="inlineStr">
        <is>
          <t>—</t>
        </is>
      </c>
      <c r="BO158" s="53" t="inlineStr">
        <is>
          <t>—</t>
        </is>
      </c>
      <c r="BP158" s="53" t="inlineStr">
        <is>
          <t>—</t>
        </is>
      </c>
      <c r="BQ158" s="53" t="inlineStr">
        <is>
          <t>Not a manager</t>
        </is>
      </c>
      <c r="BR158" s="53" t="inlineStr">
        <is>
          <t>—</t>
        </is>
      </c>
      <c r="BS158" s="53" t="inlineStr">
        <is>
          <t>L1 – Intern</t>
        </is>
      </c>
      <c r="BT158" s="53" t="inlineStr">
        <is>
          <t>L1 – Intern</t>
        </is>
      </c>
      <c r="BU158" s="53" t="inlineStr">
        <is>
          <t>No designation change — current record value carried forward</t>
        </is>
      </c>
      <c r="BV158"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8" s="53" t="n"/>
      <c r="BX158" s="53" t="inlineStr">
        <is>
          <t>No input received.</t>
        </is>
      </c>
      <c r="BY158" s="53" t="n"/>
      <c r="BZ158" s="53" t="inlineStr">
        <is>
          <t>INTN0286</t>
        </is>
      </c>
      <c r="CA158" s="53" t="inlineStr">
        <is>
          <t>Intern</t>
        </is>
      </c>
      <c r="CB158" s="53" t="inlineStr">
        <is>
          <t>Active</t>
        </is>
      </c>
      <c r="CC158" s="53" t="inlineStr">
        <is>
          <t>Samriddhi Kundu</t>
        </is>
      </c>
      <c r="CD158" s="54" t="n">
        <v>46027</v>
      </c>
      <c r="CE158" s="53" t="inlineStr">
        <is>
          <t>Intern</t>
        </is>
      </c>
      <c r="CF158" s="53" t="inlineStr">
        <is>
          <t>Cold calling+Emailing, Scheduling Demo, Before Demo, they huddle with Functional * Sales team to provide detailed portfolio about the company. Tools used - Linkedin Sales navigator · To fetch number of customers shared by Database Team:</t>
        </is>
      </c>
      <c r="CG158" s="53" t="inlineStr">
        <is>
          <t>Sales &amp; Business Development</t>
        </is>
      </c>
      <c r="CH158" s="53" t="inlineStr">
        <is>
          <t>Sales Development · SDR</t>
        </is>
      </c>
      <c r="CI158" s="53" t="inlineStr">
        <is>
          <t>Intern</t>
        </is>
      </c>
      <c r="CJ158" s="53" t="inlineStr">
        <is>
          <t>L1 – Intern</t>
        </is>
      </c>
      <c r="CK158" s="53" t="inlineStr">
        <is>
          <t>Vijay Krishna Chintha</t>
        </is>
      </c>
      <c r="CL158" s="53" t="inlineStr">
        <is>
          <t>N-5</t>
        </is>
      </c>
      <c r="CM158" s="53" t="inlineStr">
        <is>
          <t>Individual Contributor</t>
        </is>
      </c>
      <c r="CN158" s="53" t="inlineStr">
        <is>
          <t>Regtech</t>
        </is>
      </c>
      <c r="CO158" s="53" t="inlineStr">
        <is>
          <t>Marketing</t>
        </is>
      </c>
      <c r="CP158" s="53" t="inlineStr">
        <is>
          <t>0 years, 8 months, 15 days</t>
        </is>
      </c>
      <c r="CQ158" s="53" t="n"/>
      <c r="CR158" s="53" t="inlineStr">
        <is>
          <t>No</t>
        </is>
      </c>
      <c r="CS158" s="53" t="n">
        <v>3</v>
      </c>
      <c r="CT158" s="53" t="inlineStr">
        <is>
          <t>High</t>
        </is>
      </c>
      <c r="CU158" s="53" t="inlineStr">
        <is>
          <t>Emerging Talent</t>
        </is>
      </c>
      <c r="CV158" s="53" t="inlineStr">
        <is>
          <t>No</t>
        </is>
      </c>
      <c r="CW158" s="53" t="inlineStr">
        <is>
          <t>No</t>
        </is>
      </c>
      <c r="CX158" s="53" t="inlineStr">
        <is>
          <t>No</t>
        </is>
      </c>
      <c r="CY158" s="53" t="n"/>
      <c r="CZ158" s="53"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DA158" s="53" t="n"/>
      <c r="DB158" s="53" t="n"/>
      <c r="DC158" s="53" t="n"/>
      <c r="DD158" s="53" t="n"/>
      <c r="DE158" s="53" t="n"/>
      <c r="DF158" s="53" t="n"/>
      <c r="DG158" s="53" t="n"/>
      <c r="DH158" s="53" t="n"/>
      <c r="DI158" s="53" t="n"/>
      <c r="DJ158" s="53" t="n"/>
      <c r="DK158" s="53" t="n"/>
      <c r="DL158" s="53" t="n"/>
      <c r="DM158" s="53" t="n"/>
      <c r="DN158" s="53" t="n"/>
      <c r="DO158" s="53" t="n"/>
      <c r="DP158" s="53" t="n"/>
      <c r="DQ158" s="53" t="n"/>
      <c r="DR158" s="53" t="n"/>
      <c r="DS158" s="53" t="n"/>
      <c r="DT158" s="53" t="n"/>
      <c r="DU158" s="53" t="n"/>
      <c r="DV158" s="53" t="n"/>
      <c r="DW158" s="53" t="n"/>
      <c r="DX158" s="53" t="n"/>
      <c r="DY158" s="53" t="n"/>
      <c r="DZ158" s="53" t="n"/>
      <c r="EA158" s="53" t="n"/>
      <c r="EB158" s="53" t="n"/>
      <c r="EC158" s="53" t="n"/>
      <c r="ED158" s="53" t="n"/>
      <c r="EE158" s="53" t="n"/>
      <c r="EF158" s="53" t="n"/>
      <c r="EG158" s="53" t="n"/>
      <c r="EH158" s="53" t="n"/>
      <c r="EI158" s="53" t="n"/>
      <c r="EJ158" s="53" t="n"/>
      <c r="EK158" s="53" t="n"/>
      <c r="EL158" s="53" t="n"/>
      <c r="EM158" s="53" t="n"/>
      <c r="EN158" s="53" t="n"/>
      <c r="EO158" s="53" t="n"/>
      <c r="EP158" s="53" t="n"/>
      <c r="EQ158" s="53" t="n"/>
      <c r="ER158" s="53" t="n"/>
      <c r="ES158" s="53" t="n"/>
      <c r="ET158" s="53" t="n"/>
      <c r="EU158" s="53" t="n"/>
      <c r="EV158" s="53" t="n"/>
      <c r="EW158" s="52" t="n"/>
      <c r="EX158" s="53" t="inlineStr">
        <is>
          <t>• This role engages qualified leads, holds meaningful prospect conversations and generates interest in IRIS Carbon.</t>
        </is>
      </c>
      <c r="EY158" s="53"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EZ158" s="53" t="inlineStr">
        <is>
          <t>• Current capabilities: Prospect engagement and discovery conversations; AI-assisted outreach and multichannel prospecting; Lead follow-up and pipeline development.</t>
        </is>
      </c>
      <c r="FA158" s="53"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B158" s="53" t="inlineStr">
        <is>
          <t>• Key challenges: Team coordination and overlapping prospect data; Limited feedback from call recordings; Confidence in difficult prospect interactions.
• Support required: Peer coaching and timely clarification from the team.</t>
        </is>
      </c>
      <c r="FC158" s="53" t="n"/>
      <c r="FD158" s="53" t="n"/>
      <c r="FE158"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8" s="56" t="n"/>
      <c r="FG158" s="56" t="n"/>
      <c r="FH158" s="56" t="n"/>
      <c r="FI158" s="56" t="inlineStr">
        <is>
          <t>Cold calling+Emailing, Scheduling Demo, Before Demo, they huddle with Functional * Sales team to provide detailed portfolio about the company. Tools used - Linkedin Sales navigator · To fetch number of customers shared by Database Team:</t>
        </is>
      </c>
      <c r="FJ158" s="56" t="inlineStr">
        <is>
          <t>Received · manager annual</t>
        </is>
      </c>
      <c r="FK158" s="56" t="inlineStr">
        <is>
          <t>CARBON Mapping Master · CARBON Talent Mapping · Raw</t>
        </is>
      </c>
      <c r="FL158" s="56" t="n">
        <v>20</v>
      </c>
      <c r="FM158" s="56" t="inlineStr">
        <is>
          <t>• This role engages qualified leads, holds meaningful prospect conversations and generates interest in IRIS Carbon.</t>
        </is>
      </c>
      <c r="FN158" s="56"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FO158" s="56" t="inlineStr">
        <is>
          <t>• Current capabilities: Prospect engagement and discovery conversations; AI-assisted outreach and multichannel prospecting; Lead follow-up and pipeline development.</t>
        </is>
      </c>
      <c r="FP158" s="56"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Q158" s="56" t="inlineStr">
        <is>
          <t>• Key challenges: Team coordination and overlapping prospect data; Limited feedback from call recordings; Confidence in difficult prospect interactions.
• Support required: Peer coaching and timely clarification from the team.</t>
        </is>
      </c>
      <c r="FR158" s="56" t="n"/>
      <c r="FS158"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8" s="56" t="inlineStr">
        <is>
          <t>Self-identified: Leadership &amp; people management
For the next role: Leadership &amp; people management</t>
        </is>
      </c>
      <c r="FU158" s="56" t="inlineStr">
        <is>
          <t>Per-person summary · CARBON Mapping Master</t>
        </is>
      </c>
    </row>
    <row r="159" ht="90" customHeight="1">
      <c r="A159" s="51" t="inlineStr">
        <is>
          <t>◂ Back</t>
        </is>
      </c>
      <c r="B159" s="29" t="inlineStr">
        <is>
          <t>Mapped</t>
        </is>
      </c>
      <c r="C159" s="28" t="inlineStr">
        <is>
          <t>CARBON</t>
        </is>
      </c>
      <c r="D159" s="29" t="inlineStr">
        <is>
          <t>IRIS2392</t>
        </is>
      </c>
      <c r="E159" s="29" t="inlineStr">
        <is>
          <t>Sanjana Thapa</t>
        </is>
      </c>
      <c r="F159" s="29" t="inlineStr">
        <is>
          <t>Marketing</t>
        </is>
      </c>
      <c r="G159" s="29" t="inlineStr">
        <is>
          <t>Marketing Associate - ABM</t>
        </is>
      </c>
      <c r="H159" s="29" t="inlineStr">
        <is>
          <t>Sales Development Representative</t>
        </is>
      </c>
      <c r="I159" s="29" t="inlineStr">
        <is>
          <t>L3 – Professional / Associate</t>
        </is>
      </c>
      <c r="J159" s="29" t="inlineStr">
        <is>
          <t>A2</t>
        </is>
      </c>
      <c r="K159" s="29" t="inlineStr">
        <is>
          <t>• Same level</t>
        </is>
      </c>
      <c r="L159" s="29" t="inlineStr">
        <is>
          <t>Sales &amp; Business Development</t>
        </is>
      </c>
      <c r="M159" s="29" t="inlineStr">
        <is>
          <t>Sales Development &amp; Prospecting</t>
        </is>
      </c>
      <c r="N159" s="29" t="n"/>
      <c r="O159" s="29" t="n">
        <v>19</v>
      </c>
      <c r="P159" s="28" t="inlineStr">
        <is>
          <t>P1–P2</t>
        </is>
      </c>
      <c r="Q159" s="29" t="inlineStr">
        <is>
          <t>Entry / Developing</t>
        </is>
      </c>
      <c r="R159" s="29" t="inlineStr">
        <is>
          <t>2 Assist</t>
        </is>
      </c>
      <c r="S159" s="29" t="inlineStr">
        <is>
          <t>0–2 yrs</t>
        </is>
      </c>
      <c r="T159" s="29" t="inlineStr">
        <is>
          <t>1–3 · 0–3</t>
        </is>
      </c>
      <c r="U159" s="29" t="inlineStr">
        <is>
          <t>SDR · entry / SDR / Inside Sales</t>
        </is>
      </c>
      <c r="V159" s="29" t="inlineStr">
        <is>
          <t>IRIS Vs Competitor Benchmark — SaaS sales ladder — IC: SDR / BDR</t>
        </is>
      </c>
      <c r="W159" s="29" t="inlineStr">
        <is>
          <t>SaaS sales ladder · SDR → AE → Enterprise AE → VP / CRO; MEDDICC-style qualification</t>
        </is>
      </c>
      <c r="X159" s="29" t="inlineStr">
        <is>
          <t>Core 2 · Future 2 · Functional 2 · Leadership not scored</t>
        </is>
      </c>
      <c r="Y159" s="52" t="n">
        <v>379</v>
      </c>
      <c r="Z159" s="53" t="inlineStr">
        <is>
          <t>IRIS2392</t>
        </is>
      </c>
      <c r="AA159" s="53" t="inlineStr">
        <is>
          <t>Employee</t>
        </is>
      </c>
      <c r="AB159" s="53" t="inlineStr">
        <is>
          <t>Active</t>
        </is>
      </c>
      <c r="AC159" s="53" t="inlineStr">
        <is>
          <t>Sanjana Thapa</t>
        </is>
      </c>
      <c r="AD159" s="54" t="n">
        <v>45839</v>
      </c>
      <c r="AE159" s="53" t="inlineStr">
        <is>
          <t>Marketing Associate - ABM</t>
        </is>
      </c>
      <c r="AF159" s="53" t="inlineStr">
        <is>
          <t>B.E</t>
        </is>
      </c>
      <c r="AG159" s="53" t="inlineStr">
        <is>
          <t>Saahit Togaru</t>
        </is>
      </c>
      <c r="AH159" s="53" t="inlineStr">
        <is>
          <t>N-4</t>
        </is>
      </c>
      <c r="AI159" s="53" t="inlineStr">
        <is>
          <t>Individual Contributor</t>
        </is>
      </c>
      <c r="AJ159" s="53" t="inlineStr">
        <is>
          <t>0 years, 0 months, 0 days</t>
        </is>
      </c>
      <c r="AK159" s="53" t="inlineStr">
        <is>
          <t>1 years, 1 months, 24 days</t>
        </is>
      </c>
      <c r="AL159" s="53" t="inlineStr">
        <is>
          <t>Regtech</t>
        </is>
      </c>
      <c r="AM159" s="53" t="inlineStr">
        <is>
          <t>CARBON</t>
        </is>
      </c>
      <c r="AN159" s="53" t="inlineStr">
        <is>
          <t>Marketing</t>
        </is>
      </c>
      <c r="AO159" s="53" t="inlineStr">
        <is>
          <t>Marketing - SDR</t>
        </is>
      </c>
      <c r="AP159" s="53" t="inlineStr">
        <is>
          <t>No</t>
        </is>
      </c>
      <c r="AQ159" s="53" t="inlineStr">
        <is>
          <t>Sales, Marketing &amp; Support</t>
        </is>
      </c>
      <c r="AR159" s="53" t="inlineStr">
        <is>
          <t>Marketing</t>
        </is>
      </c>
      <c r="AS159" s="53" t="inlineStr">
        <is>
          <t>Non-technical</t>
        </is>
      </c>
      <c r="AT159" s="53" t="n">
        <v>20</v>
      </c>
      <c r="AU159" s="53" t="inlineStr">
        <is>
          <t>Covered</t>
        </is>
      </c>
      <c r="AV159" s="53" t="inlineStr">
        <is>
          <t>IRIS2392</t>
        </is>
      </c>
      <c r="AW159" s="53" t="inlineStr">
        <is>
          <t>Sanjana Thapa</t>
        </is>
      </c>
      <c r="AX159" s="53" t="inlineStr">
        <is>
          <t>Marketing</t>
        </is>
      </c>
      <c r="AY159" s="53" t="inlineStr">
        <is>
          <t>Sales &amp; Business Development</t>
        </is>
      </c>
      <c r="AZ159" s="53" t="inlineStr">
        <is>
          <t>Sales Development · SDR</t>
        </is>
      </c>
      <c r="BA159" s="53" t="n"/>
      <c r="BB159" s="53" t="n"/>
      <c r="BC159" s="53" t="inlineStr">
        <is>
          <t>Employee</t>
        </is>
      </c>
      <c r="BD159" s="53" t="inlineStr">
        <is>
          <t>Saahit Togaru</t>
        </is>
      </c>
      <c r="BE159" s="53" t="inlineStr">
        <is>
          <t>Saahit Togaru</t>
        </is>
      </c>
      <c r="BF159" s="53" t="inlineStr">
        <is>
          <t>No</t>
        </is>
      </c>
      <c r="BG159" s="53" t="inlineStr">
        <is>
          <t>Sales Development Representative</t>
        </is>
      </c>
      <c r="BH159" s="53" t="inlineStr">
        <is>
          <t>Sales Development Associate</t>
        </is>
      </c>
      <c r="BI159" s="53" t="inlineStr">
        <is>
          <t>Yes</t>
        </is>
      </c>
      <c r="BJ159" s="53" t="inlineStr">
        <is>
          <t>—</t>
        </is>
      </c>
      <c r="BK159" s="53" t="inlineStr">
        <is>
          <t>—</t>
        </is>
      </c>
      <c r="BL159" s="53" t="inlineStr">
        <is>
          <t>—</t>
        </is>
      </c>
      <c r="BM159" s="53" t="inlineStr">
        <is>
          <t>Not a manager</t>
        </is>
      </c>
      <c r="BN159" s="53" t="inlineStr">
        <is>
          <t>—</t>
        </is>
      </c>
      <c r="BO159" s="53" t="inlineStr">
        <is>
          <t>—</t>
        </is>
      </c>
      <c r="BP159" s="53" t="inlineStr">
        <is>
          <t>—</t>
        </is>
      </c>
      <c r="BQ159" s="53" t="inlineStr">
        <is>
          <t>Not a manager</t>
        </is>
      </c>
      <c r="BR159" s="53" t="inlineStr">
        <is>
          <t>—</t>
        </is>
      </c>
      <c r="BS159" s="53" t="inlineStr">
        <is>
          <t>L3 – Professional / Associate</t>
        </is>
      </c>
      <c r="BT159" s="53" t="inlineStr">
        <is>
          <t>L3 – Professional / Associate</t>
        </is>
      </c>
      <c r="BU159" s="53" t="inlineStr">
        <is>
          <t>No exact Title Hierarchy match — retained current record value</t>
        </is>
      </c>
      <c r="BV159" s="53"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W159" s="53" t="n"/>
      <c r="BX159" s="53" t="inlineStr">
        <is>
          <t>No input received.</t>
        </is>
      </c>
      <c r="BY159" s="53" t="n"/>
      <c r="BZ159" s="53" t="inlineStr">
        <is>
          <t>IRIS2392</t>
        </is>
      </c>
      <c r="CA159" s="53" t="inlineStr">
        <is>
          <t>Employee</t>
        </is>
      </c>
      <c r="CB159" s="53" t="inlineStr">
        <is>
          <t>Active</t>
        </is>
      </c>
      <c r="CC159" s="53" t="inlineStr">
        <is>
          <t>Sanjana Thapa</t>
        </is>
      </c>
      <c r="CD159" s="54" t="n">
        <v>45839</v>
      </c>
      <c r="CE159" s="53" t="inlineStr">
        <is>
          <t>Sales Development Representative</t>
        </is>
      </c>
      <c r="CF159" s="53" t="inlineStr">
        <is>
          <t>Cold calling+Emailing, Scheduling Demo,, Before Demo, they huddle with Functional * Sales team to provide detailed portfolio about the company.Tools used - Linkedin Sales navigator · To fetch number of customers shared by Database Team:</t>
        </is>
      </c>
      <c r="CG159" s="53" t="inlineStr">
        <is>
          <t>Sales &amp; Business Development</t>
        </is>
      </c>
      <c r="CH159" s="53" t="inlineStr">
        <is>
          <t>Sales Development · SDR</t>
        </is>
      </c>
      <c r="CI159" s="53" t="inlineStr">
        <is>
          <t>Sales Development Representative</t>
        </is>
      </c>
      <c r="CJ159" s="53" t="inlineStr">
        <is>
          <t>L3 – Professional / Associate</t>
        </is>
      </c>
      <c r="CK159" s="53" t="inlineStr">
        <is>
          <t>Shweta Mishra</t>
        </is>
      </c>
      <c r="CL159" s="53" t="inlineStr">
        <is>
          <t>N-5</t>
        </is>
      </c>
      <c r="CM159" s="53" t="inlineStr">
        <is>
          <t>Individual Contributor</t>
        </is>
      </c>
      <c r="CN159" s="53" t="inlineStr">
        <is>
          <t>Regtech</t>
        </is>
      </c>
      <c r="CO159" s="53" t="inlineStr">
        <is>
          <t>Marketing</t>
        </is>
      </c>
      <c r="CP159" s="53" t="inlineStr">
        <is>
          <t>0 years, 11 months, 19 days</t>
        </is>
      </c>
      <c r="CQ159" s="53" t="inlineStr">
        <is>
          <t>Sales Development Associate</t>
        </is>
      </c>
      <c r="CR159" s="53" t="inlineStr">
        <is>
          <t>No</t>
        </is>
      </c>
      <c r="CS159" s="53" t="n">
        <v>1</v>
      </c>
      <c r="CT159" s="53" t="inlineStr">
        <is>
          <t>High</t>
        </is>
      </c>
      <c r="CU159" s="53" t="inlineStr">
        <is>
          <t>High Impact / Growth Talent</t>
        </is>
      </c>
      <c r="CV159" s="53"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W159" s="53" t="inlineStr">
        <is>
          <t>No</t>
        </is>
      </c>
      <c r="CX159" s="53" t="inlineStr">
        <is>
          <t>Yes</t>
        </is>
      </c>
      <c r="CY159" s="53" t="n"/>
      <c r="CZ159" s="53" t="inlineStr">
        <is>
          <t>Continue building cross-functional collaboration by proactively engaging with internal teams</t>
        </is>
      </c>
      <c r="DA159" s="53" t="n"/>
      <c r="DB159" s="53" t="inlineStr">
        <is>
          <t>To be mapped to SDR Mgr Europe - TBH and Title to be standardized to Sales Development Associate</t>
        </is>
      </c>
      <c r="DC159" s="53" t="n"/>
      <c r="DD159" s="53" t="n"/>
      <c r="DE159" s="53" t="n"/>
      <c r="DF159" s="53" t="n"/>
      <c r="DG159" s="53" t="n"/>
      <c r="DH159" s="53" t="n"/>
      <c r="DI159" s="53" t="n"/>
      <c r="DJ159" s="53" t="n"/>
      <c r="DK159" s="53" t="n"/>
      <c r="DL159" s="53" t="n"/>
      <c r="DM159" s="53" t="n"/>
      <c r="DN159" s="53" t="n"/>
      <c r="DO159" s="53" t="n"/>
      <c r="DP159" s="53" t="n"/>
      <c r="DQ159" s="53" t="n"/>
      <c r="DR159" s="53" t="n"/>
      <c r="DS159" s="53" t="n"/>
      <c r="DT159" s="53" t="n"/>
      <c r="DU159" s="53" t="n"/>
      <c r="DV159" s="53" t="n"/>
      <c r="DW159" s="53" t="n"/>
      <c r="DX159" s="53" t="n"/>
      <c r="DY159" s="53" t="n"/>
      <c r="DZ159" s="53" t="n"/>
      <c r="EA159" s="53" t="n"/>
      <c r="EB159" s="53" t="n"/>
      <c r="EC159" s="53" t="n"/>
      <c r="ED159" s="53" t="n"/>
      <c r="EE159" s="53" t="n"/>
      <c r="EF159" s="53" t="n"/>
      <c r="EG159" s="53" t="n"/>
      <c r="EH159" s="53" t="n"/>
      <c r="EI159" s="53" t="n"/>
      <c r="EJ159" s="53" t="n"/>
      <c r="EK159" s="53" t="n"/>
      <c r="EL159" s="53" t="n"/>
      <c r="EM159" s="53" t="n"/>
      <c r="EN159" s="53" t="n"/>
      <c r="EO159" s="53" t="n"/>
      <c r="EP159" s="53" t="n"/>
      <c r="EQ159" s="53" t="n"/>
      <c r="ER159" s="53" t="n"/>
      <c r="ES159" s="53" t="n"/>
      <c r="ET159" s="53" t="n"/>
      <c r="EU159" s="53" t="n"/>
      <c r="EV159" s="53" t="n"/>
      <c r="EW159" s="52" t="n"/>
      <c r="EX159" s="53" t="inlineStr">
        <is>
          <t>• This role brings suitable potential leads into the pipeline and creates new revenue opportunities.</t>
        </is>
      </c>
      <c r="EY159" s="53"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EZ159" s="53" t="inlineStr">
        <is>
          <t>• Current capabilities: Discovery conversations, active listening and customer reading; ICP research, pain-point discovery and proactive communication; Relationship-building and strategic thinking.</t>
        </is>
      </c>
      <c r="FA159" s="53"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B159" s="53" t="inlineStr">
        <is>
          <t>• Key challenges: Slow laptop and manual Excel tracking; Needs stronger alignment and clarity from management.
• Support required: Clearer manager guidance and improved tools for tracking work.</t>
        </is>
      </c>
      <c r="FC159" s="53" t="inlineStr">
        <is>
          <t>KRAs Submitted</t>
        </is>
      </c>
      <c r="FD159" s="53" t="n"/>
      <c r="FE159" s="57"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FF159" s="56" t="n"/>
      <c r="FG159" s="56" t="n"/>
      <c r="FH159" s="56" t="n"/>
      <c r="FI159" s="56" t="inlineStr">
        <is>
          <t>Cold calling+Emailing, Scheduling Demo, , Before Demo, they huddle with Functional * Sales team to provide detailed portfolio about the company.Tools used - Linkedin Sales navigator · To fetch number of customers shared by Database Team:</t>
        </is>
      </c>
      <c r="FJ159" s="56" t="inlineStr">
        <is>
          <t>Received · manager annual</t>
        </is>
      </c>
      <c r="FK159" s="56" t="inlineStr">
        <is>
          <t>CARBON Mapping Master · CARBON Talent Mapping · Raw</t>
        </is>
      </c>
      <c r="FL159" s="56" t="n">
        <v>19</v>
      </c>
      <c r="FM159" s="56" t="inlineStr">
        <is>
          <t>• This role brings suitable potential leads into the pipeline and creates new revenue opportunities.</t>
        </is>
      </c>
      <c r="FN159" s="56"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FO159" s="56" t="inlineStr">
        <is>
          <t>• Current capabilities: Discovery conversations, active listening and customer reading; ICP research, pain-point discovery and proactive communication; Relationship-building and strategic thinking.</t>
        </is>
      </c>
      <c r="FP159" s="56"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Q159" s="56" t="inlineStr">
        <is>
          <t>• Key challenges: Slow laptop and manual Excel tracking; Needs stronger alignment and clarity from management.
• Support required: Clearer manager guidance and improved tools for tracking work.</t>
        </is>
      </c>
      <c r="FR159" s="56" t="inlineStr">
        <is>
          <t>Complexity: Evidence reads like A3: Account-based outreach for UK&amp;I and US: account research, target identification, consultative, personalised messaging → moved up 0.5
Autonomy: Evidence reads like A3: Decides messaging approach, prospect prioritisation and engagement strategy for own accounts → moved up 0.5
Accountability: Evidence reads like A2: own survey / KRA answers · summarised by the rater; not quoted → matches the start
Leadership: Evidence reads like A1: Cross-team collaboration only; no guidance of others described → matches the start
Business Impact: Moved +0.5: the survey / manager mapping marks it business-critical.</t>
        </is>
      </c>
      <c r="FS159"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9" s="56" t="inlineStr">
        <is>
          <t>Self-identified: Project / programme management · Marketing &amp; content · Broader exposure &amp; ownership
For the next role: Project / programme management · Marketing &amp; content · Broader exposure &amp; ownership</t>
        </is>
      </c>
      <c r="FU159" s="56" t="inlineStr">
        <is>
          <t>Per-person summary · CARBON Mapping Master</t>
        </is>
      </c>
    </row>
    <row r="160" ht="90" customHeight="1">
      <c r="A160" s="51" t="inlineStr">
        <is>
          <t>◂ Back</t>
        </is>
      </c>
      <c r="B160" s="29" t="inlineStr">
        <is>
          <t>Mapped</t>
        </is>
      </c>
      <c r="C160" s="28" t="inlineStr">
        <is>
          <t>CARBON</t>
        </is>
      </c>
      <c r="D160" s="29" t="inlineStr">
        <is>
          <t>IRIS1783</t>
        </is>
      </c>
      <c r="E160" s="29" t="inlineStr">
        <is>
          <t>Swapnil Trikane</t>
        </is>
      </c>
      <c r="F160" s="29" t="inlineStr">
        <is>
          <t>Sales</t>
        </is>
      </c>
      <c r="G160" s="29" t="inlineStr">
        <is>
          <t>Senior Manager Sales</t>
        </is>
      </c>
      <c r="H160" s="29" t="inlineStr">
        <is>
          <t>Lead Account Executive</t>
        </is>
      </c>
      <c r="I160" s="29" t="inlineStr">
        <is>
          <t>Not in current mapping files</t>
        </is>
      </c>
      <c r="J160" s="29" t="inlineStr">
        <is>
          <t>B3</t>
        </is>
      </c>
      <c r="K160" s="29" t="inlineStr">
        <is>
          <t>● Newly mapped</t>
        </is>
      </c>
      <c r="L160" s="29" t="inlineStr">
        <is>
          <t>Sales &amp; Business Development</t>
        </is>
      </c>
      <c r="M160" s="29" t="inlineStr">
        <is>
          <t>Sales Leadership</t>
        </is>
      </c>
      <c r="N160" s="29" t="n"/>
      <c r="O160" s="29" t="n">
        <v>19</v>
      </c>
      <c r="P160" s="28" t="inlineStr">
        <is>
          <t>P5 / M4</t>
        </is>
      </c>
      <c r="Q160" s="29" t="inlineStr">
        <is>
          <t>Expert / Senior Manager</t>
        </is>
      </c>
      <c r="R160" s="29" t="inlineStr">
        <is>
          <t>5 Ensure, advise</t>
        </is>
      </c>
      <c r="S160" s="29" t="inlineStr">
        <is>
          <t>8–12 yrs</t>
        </is>
      </c>
      <c r="T160" s="29" t="inlineStr">
        <is>
          <t>9–13 · 9–14</t>
        </is>
      </c>
      <c r="U160" s="29" t="inlineStr">
        <is>
          <t>Enterprise / Strategic AE</t>
        </is>
      </c>
      <c r="V160" s="29" t="inlineStr">
        <is>
          <t>IRIS Vs Competitor Benchmark — SaaS sales ladder — IC: Enterprise AE · IRIS Vs Competitor Benchmark — SaaS sales ladder — management: Senior Sales Manager</t>
        </is>
      </c>
      <c r="W160" s="29" t="inlineStr">
        <is>
          <t>SaaS sales ladder · SDR → AE → Enterprise AE → VP / CRO; MEDDICC-style qualification</t>
        </is>
      </c>
      <c r="X160" s="29" t="inlineStr">
        <is>
          <t>Core 4 · Future 3 · Functional 4 · Leadership 3</t>
        </is>
      </c>
      <c r="Y160" s="52" t="n">
        <v>155</v>
      </c>
      <c r="Z160" s="53" t="inlineStr">
        <is>
          <t>IRIS1783</t>
        </is>
      </c>
      <c r="AA160" s="53" t="inlineStr">
        <is>
          <t>Employee</t>
        </is>
      </c>
      <c r="AB160" s="53" t="inlineStr">
        <is>
          <t>Active</t>
        </is>
      </c>
      <c r="AC160" s="53" t="inlineStr">
        <is>
          <t>Swapnil Trikane</t>
        </is>
      </c>
      <c r="AD160" s="54" t="n">
        <v>43591</v>
      </c>
      <c r="AE160" s="53" t="inlineStr">
        <is>
          <t>Senior Manager Sales</t>
        </is>
      </c>
      <c r="AF160" s="53" t="inlineStr">
        <is>
          <t>MBA</t>
        </is>
      </c>
      <c r="AG160" s="53" t="inlineStr">
        <is>
          <t>Anuradha Rk</t>
        </is>
      </c>
      <c r="AH160" s="53" t="inlineStr">
        <is>
          <t>N-3</t>
        </is>
      </c>
      <c r="AI160" s="53" t="inlineStr">
        <is>
          <t>Individual Contributor</t>
        </is>
      </c>
      <c r="AJ160" s="53" t="inlineStr">
        <is>
          <t>8 years, 1 months, 0 days</t>
        </is>
      </c>
      <c r="AK160" s="53" t="inlineStr">
        <is>
          <t>7 years, 3 months, 19 days</t>
        </is>
      </c>
      <c r="AL160" s="53" t="inlineStr">
        <is>
          <t>Regtech</t>
        </is>
      </c>
      <c r="AM160" s="53" t="inlineStr">
        <is>
          <t>CARBON</t>
        </is>
      </c>
      <c r="AN160" s="53" t="inlineStr">
        <is>
          <t>Sales</t>
        </is>
      </c>
      <c r="AO160" s="53" t="inlineStr">
        <is>
          <t>Sales</t>
        </is>
      </c>
      <c r="AP160" s="53" t="inlineStr">
        <is>
          <t>No</t>
        </is>
      </c>
      <c r="AQ160" s="53" t="inlineStr">
        <is>
          <t>Sales, Marketing &amp; Support</t>
        </is>
      </c>
      <c r="AR160" s="53" t="inlineStr">
        <is>
          <t>Sales</t>
        </is>
      </c>
      <c r="AS160" s="53" t="inlineStr">
        <is>
          <t>Non-technical</t>
        </is>
      </c>
      <c r="AT160" s="53" t="n">
        <v>20</v>
      </c>
      <c r="AU160" s="53" t="inlineStr">
        <is>
          <t>Covered</t>
        </is>
      </c>
      <c r="AV160" s="53" t="inlineStr">
        <is>
          <t>IRIS1783</t>
        </is>
      </c>
      <c r="AW160" s="53" t="inlineStr">
        <is>
          <t>Swapnil Trikane</t>
        </is>
      </c>
      <c r="AX160" s="53" t="inlineStr">
        <is>
          <t>Sales</t>
        </is>
      </c>
      <c r="AY160" s="53" t="inlineStr">
        <is>
          <t>Sales &amp; Business Development</t>
        </is>
      </c>
      <c r="AZ160" s="53" t="inlineStr">
        <is>
          <t>Enterprise sales</t>
        </is>
      </c>
      <c r="BA160" s="53" t="n"/>
      <c r="BB160" s="53" t="n"/>
      <c r="BC160" s="53" t="inlineStr">
        <is>
          <t>Employee</t>
        </is>
      </c>
      <c r="BD160" s="53" t="inlineStr">
        <is>
          <t>Anuradha Rk</t>
        </is>
      </c>
      <c r="BE160" s="53" t="inlineStr">
        <is>
          <t>Anuradha RK</t>
        </is>
      </c>
      <c r="BF160" s="53" t="inlineStr">
        <is>
          <t>New entry</t>
        </is>
      </c>
      <c r="BG160" s="53" t="inlineStr">
        <is>
          <t>Senior Manager Sales</t>
        </is>
      </c>
      <c r="BH160" s="53" t="inlineStr">
        <is>
          <t>Senior Manager Sales</t>
        </is>
      </c>
      <c r="BI160" s="53" t="inlineStr">
        <is>
          <t>N/A · new entry</t>
        </is>
      </c>
      <c r="BJ160" s="53" t="inlineStr">
        <is>
          <t>—</t>
        </is>
      </c>
      <c r="BK160" s="53" t="inlineStr">
        <is>
          <t>—</t>
        </is>
      </c>
      <c r="BL160" s="53" t="inlineStr">
        <is>
          <t>—</t>
        </is>
      </c>
      <c r="BM160" s="53" t="inlineStr">
        <is>
          <t>Not a manager</t>
        </is>
      </c>
      <c r="BN160" s="53" t="inlineStr">
        <is>
          <t>—</t>
        </is>
      </c>
      <c r="BO160" s="53" t="inlineStr">
        <is>
          <t>—</t>
        </is>
      </c>
      <c r="BP160" s="53" t="inlineStr">
        <is>
          <t>—</t>
        </is>
      </c>
      <c r="BQ160" s="53" t="inlineStr">
        <is>
          <t>Not a manager</t>
        </is>
      </c>
      <c r="BR160" s="53" t="inlineStr">
        <is>
          <t>—</t>
        </is>
      </c>
      <c r="BS160" s="53" t="n"/>
      <c r="BT160" s="53" t="n"/>
      <c r="BU160" s="53" t="inlineStr">
        <is>
          <t>No designation change — current record value carried forward</t>
        </is>
      </c>
      <c r="BV160" s="53" t="n"/>
      <c r="BW160" s="53" t="n"/>
      <c r="BX160" s="53" t="inlineStr">
        <is>
          <t>UK BeNeLux</t>
        </is>
      </c>
      <c r="BY160" s="53" t="inlineStr">
        <is>
          <t>Anuradha RK</t>
        </is>
      </c>
      <c r="BZ160" s="53" t="inlineStr">
        <is>
          <t>IRIS1783</t>
        </is>
      </c>
      <c r="CA160" s="53" t="inlineStr">
        <is>
          <t>Employee</t>
        </is>
      </c>
      <c r="CB160" s="53" t="inlineStr">
        <is>
          <t>Active</t>
        </is>
      </c>
      <c r="CC160" s="53" t="inlineStr">
        <is>
          <t>Swapnil Trikane</t>
        </is>
      </c>
      <c r="CD160" s="54" t="n">
        <v>30615</v>
      </c>
      <c r="CE160" s="53" t="inlineStr">
        <is>
          <t>Senior Manager Sales</t>
        </is>
      </c>
      <c r="CF160" s="53" t="inlineStr">
        <is>
          <t>EU + Other regions Understand the shortlisted customers details from SDR team, schedule the discovery call, demo call and make the presetation/Demo to the client - Follow up -till the deal closure  along with price negotiations</t>
        </is>
      </c>
      <c r="CG160" s="53" t="inlineStr">
        <is>
          <t>Sales &amp; Business Development</t>
        </is>
      </c>
      <c r="CH160" s="53" t="inlineStr">
        <is>
          <t>Sales / Account Management</t>
        </is>
      </c>
      <c r="CI160" s="53" t="inlineStr">
        <is>
          <t>Senior Manager Sales</t>
        </is>
      </c>
      <c r="CJ160" s="53" t="inlineStr">
        <is>
          <t>L6 – Senior Manager</t>
        </is>
      </c>
      <c r="CK160" s="53" t="inlineStr">
        <is>
          <t>Anuradha Rk</t>
        </is>
      </c>
      <c r="CL160" s="53" t="inlineStr">
        <is>
          <t>N-3</t>
        </is>
      </c>
      <c r="CM160" s="53" t="n"/>
      <c r="CN160" s="53" t="inlineStr">
        <is>
          <t>Individual Contributor</t>
        </is>
      </c>
      <c r="CO160" s="53" t="inlineStr">
        <is>
          <t>Sales</t>
        </is>
      </c>
      <c r="CP160" s="53" t="inlineStr">
        <is>
          <t>8 years, 1 months, 0 days</t>
        </is>
      </c>
      <c r="CQ160" s="53" t="n"/>
      <c r="CR160" s="53" t="inlineStr">
        <is>
          <t>7 years, 1 months, 14 days</t>
        </is>
      </c>
      <c r="CS160" s="53" t="inlineStr">
        <is>
          <t>15 years, 2 months, 14 days</t>
        </is>
      </c>
      <c r="CT160" s="53" t="n"/>
      <c r="CU160" s="53" t="n"/>
      <c r="CV160" s="53" t="n"/>
      <c r="CW160" s="53" t="inlineStr">
        <is>
          <t>Regtech</t>
        </is>
      </c>
      <c r="CX160" s="53" t="inlineStr">
        <is>
          <t>CARBON</t>
        </is>
      </c>
      <c r="CY160" s="53" t="inlineStr">
        <is>
          <t>Sales</t>
        </is>
      </c>
      <c r="CZ160" s="53" t="inlineStr">
        <is>
          <t>Sales</t>
        </is>
      </c>
      <c r="DA160" s="53" t="inlineStr">
        <is>
          <t>No</t>
        </is>
      </c>
      <c r="DB160" s="53" t="inlineStr">
        <is>
          <t>Sales, Marketing &amp; Support</t>
        </is>
      </c>
      <c r="DC160" s="53" t="n"/>
      <c r="DD160" s="53" t="n"/>
      <c r="DE160" s="53" t="n"/>
      <c r="DF160" s="53" t="n"/>
      <c r="DG160" s="53" t="n"/>
      <c r="DH160" s="53" t="n"/>
      <c r="DI160" s="53" t="n"/>
      <c r="DJ160" s="53" t="n"/>
      <c r="DK160" s="53" t="n"/>
      <c r="DL160" s="53" t="n"/>
      <c r="DM160" s="53" t="n"/>
      <c r="DN160" s="53" t="n"/>
      <c r="DO160" s="53" t="n"/>
      <c r="DP160" s="53" t="n"/>
      <c r="DQ160" s="53" t="n"/>
      <c r="DR160" s="53" t="n"/>
      <c r="DS160" s="53" t="n"/>
      <c r="DT160" s="53" t="n"/>
      <c r="DU160" s="53" t="n"/>
      <c r="DV160" s="53" t="n"/>
      <c r="DW160" s="53" t="n"/>
      <c r="DX160" s="53" t="n"/>
      <c r="DY160" s="53" t="n"/>
      <c r="DZ160" s="53" t="n"/>
      <c r="EA160" s="53" t="n"/>
      <c r="EB160" s="53" t="n"/>
      <c r="EC160" s="53" t="n"/>
      <c r="ED160" s="53" t="n"/>
      <c r="EE160" s="53" t="n"/>
      <c r="EF160" s="53" t="n"/>
      <c r="EG160" s="53" t="n"/>
      <c r="EH160" s="53" t="n"/>
      <c r="EI160" s="53" t="n"/>
      <c r="EJ160" s="53" t="n"/>
      <c r="EK160" s="53" t="n"/>
      <c r="EL160" s="53" t="n"/>
      <c r="EM160" s="53" t="n"/>
      <c r="EN160" s="53" t="n"/>
      <c r="EO160" s="53" t="n"/>
      <c r="EP160" s="53" t="n"/>
      <c r="EQ160" s="53" t="n"/>
      <c r="ER160" s="53" t="n"/>
      <c r="ES160" s="53" t="n"/>
      <c r="ET160" s="53" t="n"/>
      <c r="EU160" s="53" t="n"/>
      <c r="EV160" s="53" t="n"/>
      <c r="EW160" s="52" t="n"/>
      <c r="EX160" s="53" t="inlineStr">
        <is>
          <t>To bring in new logos for the org. Overachieve Sales targets. Help company grow 10x; To not make any commitmen</t>
        </is>
      </c>
      <c r="EY160" s="53"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EZ160" s="53"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FA160" s="53"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B160" s="53" t="inlineStr">
        <is>
          <t>Clearer ownership, faster access to the right subject\-matter expertise, and better availability of up\-to\-date product, competitive, and customer\-reference information would help reduce TAT</t>
        </is>
      </c>
      <c r="FC160" s="53" t="n"/>
      <c r="FD160" s="53" t="n"/>
      <c r="FE160" s="55" t="inlineStr">
        <is>
          <t>KRAs not received · manager to supply</t>
        </is>
      </c>
      <c r="FF160" s="56" t="n"/>
      <c r="FG160" s="56" t="n"/>
      <c r="FH160" s="56" t="n"/>
      <c r="FI160" s="56" t="inlineStr">
        <is>
          <t>EU + Other regions Understand the shortlisted customers details from SDR team, schedule the discovery call, demo call and make the presetation/Demo to the client - Follow up -till the deal closure  along with price negotiations</t>
        </is>
      </c>
      <c r="FJ160" s="32" t="inlineStr">
        <is>
          <t>KRAs not received · manager to supply</t>
        </is>
      </c>
      <c r="FK160" s="56" t="inlineStr">
        <is>
          <t>CARBON Talent Mapping · Raw</t>
        </is>
      </c>
      <c r="FL160" s="56" t="n">
        <v>19</v>
      </c>
      <c r="FM160" s="56" t="inlineStr">
        <is>
          <t>To bring in new logos for the org. Overachieve Sales targets. Help company grow 10x; To not make any commitmen</t>
        </is>
      </c>
      <c r="FN160" s="56"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FO160" s="56"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FP160" s="56"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Q160" s="56" t="inlineStr">
        <is>
          <t>Clearer ownership, faster access to the right subject\-matter expertise, and better availability of up\-to\-date product, competitive, and customer\-reference information would help reduce TAT</t>
        </is>
      </c>
      <c r="FR160" s="56" t="inlineStr">
        <is>
          <t>Complexity: Evidence reads like B1: New-logo selling: BANT qualification, deal closures, partnership management, sales forecast and pipeline → moved down 0.5
Autonomy: Evidence reads like A3: Runs own deals; decision answer suggests commitments are not made alone → moved down 0.5
Accountability: Evidence reads like B2: own survey / KRA answers · summarised by the rater; not quoted → moved down 0.5
Leadership: Evidence reads like A1: No guidance or leadership of others described → moved down 0.5
Business Impact: No survey or manager-mapping signal on criticality: kept at the start point.</t>
        </is>
      </c>
      <c r="FS160"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60" s="56" t="inlineStr">
        <is>
          <t>Self-identified: Client, sales &amp; stakeholders · Strategy &amp; business acumen · Broader exposure &amp; ownership
For the next role: Client, sales &amp; stakeholders · Strategy &amp; business acumen · Broader exposure &amp; ownership</t>
        </is>
      </c>
      <c r="FU160" s="56" t="inlineStr">
        <is>
          <t>Per-person summary · CARBON Mapping Master</t>
        </is>
      </c>
    </row>
    <row r="161" ht="90" customHeight="1">
      <c r="A161" s="51" t="inlineStr">
        <is>
          <t>◂ Back</t>
        </is>
      </c>
      <c r="B161" s="29" t="inlineStr">
        <is>
          <t>Mapped</t>
        </is>
      </c>
      <c r="C161" s="28" t="inlineStr">
        <is>
          <t>CARBON</t>
        </is>
      </c>
      <c r="D161" s="29" t="inlineStr">
        <is>
          <t>IRIS2353</t>
        </is>
      </c>
      <c r="E161" s="29" t="inlineStr">
        <is>
          <t>Farzad Wadia</t>
        </is>
      </c>
      <c r="F161" s="29" t="inlineStr">
        <is>
          <t>Functional</t>
        </is>
      </c>
      <c r="G161" s="29" t="inlineStr">
        <is>
          <t>ESG Manager</t>
        </is>
      </c>
      <c r="H161" s="29" t="inlineStr">
        <is>
          <t>Product Manager</t>
        </is>
      </c>
      <c r="I161" s="29" t="inlineStr">
        <is>
          <t>Not in current mapping files</t>
        </is>
      </c>
      <c r="J161" s="29" t="inlineStr">
        <is>
          <t>B2</t>
        </is>
      </c>
      <c r="K161" s="29" t="inlineStr">
        <is>
          <t>● Newly mapped</t>
        </is>
      </c>
      <c r="L161" s="29" t="inlineStr">
        <is>
          <t>Product Management</t>
        </is>
      </c>
      <c r="M161" s="29" t="inlineStr">
        <is>
          <t>Product Management</t>
        </is>
      </c>
      <c r="N161" s="29" t="n"/>
      <c r="O161" s="29" t="n">
        <v>20</v>
      </c>
      <c r="P161" s="28" t="inlineStr">
        <is>
          <t>P4 / M3</t>
        </is>
      </c>
      <c r="Q161" s="29" t="inlineStr">
        <is>
          <t>Senior / Manager</t>
        </is>
      </c>
      <c r="R161" s="29" t="inlineStr">
        <is>
          <t>4–5</t>
        </is>
      </c>
      <c r="S161" s="29" t="inlineStr">
        <is>
          <t>6–9 yrs</t>
        </is>
      </c>
      <c r="T161" s="29" t="inlineStr">
        <is>
          <t>7–10 · 6–11</t>
        </is>
      </c>
      <c r="U161" s="29" t="inlineStr">
        <is>
          <t>Manager</t>
        </is>
      </c>
      <c r="V161" s="29" t="inlineStr">
        <is>
          <t>IRIS Vs Competitor Benchmark — SaaS product ladder: Senior PM</t>
        </is>
      </c>
      <c r="W161" s="29" t="inlineStr">
        <is>
          <t>Pragmatic Institute Framework · 37 activities, 7 categories; AIPMM</t>
        </is>
      </c>
      <c r="X161" s="29" t="inlineStr">
        <is>
          <t>Core 3 · Future 3 · Functional 4 · Leadership 3</t>
        </is>
      </c>
      <c r="Y161" s="52" t="n">
        <v>362</v>
      </c>
      <c r="Z161" s="53" t="inlineStr">
        <is>
          <t>IRIS2353</t>
        </is>
      </c>
      <c r="AA161" s="53" t="inlineStr">
        <is>
          <t>Employee</t>
        </is>
      </c>
      <c r="AB161" s="53" t="inlineStr">
        <is>
          <t>Active</t>
        </is>
      </c>
      <c r="AC161" s="53" t="inlineStr">
        <is>
          <t>Farzad Wadia</t>
        </is>
      </c>
      <c r="AD161" s="54" t="n">
        <v>45733</v>
      </c>
      <c r="AE161" s="53" t="inlineStr">
        <is>
          <t>ESG Manager</t>
        </is>
      </c>
      <c r="AF161" s="53" t="inlineStr">
        <is>
          <t>CA</t>
        </is>
      </c>
      <c r="AG161" s="53" t="inlineStr">
        <is>
          <t>Anuradha RK</t>
        </is>
      </c>
      <c r="AH161" s="53" t="inlineStr">
        <is>
          <t>N-3</t>
        </is>
      </c>
      <c r="AI161" s="53" t="inlineStr">
        <is>
          <t>Manager</t>
        </is>
      </c>
      <c r="AJ161" s="53" t="inlineStr">
        <is>
          <t>9 years, 2 months, 0 days</t>
        </is>
      </c>
      <c r="AK161" s="53" t="inlineStr">
        <is>
          <t>1 years, 5 months, 8 days</t>
        </is>
      </c>
      <c r="AL161" s="53" t="inlineStr">
        <is>
          <t>Regtech</t>
        </is>
      </c>
      <c r="AM161" s="53" t="inlineStr">
        <is>
          <t>CARBON</t>
        </is>
      </c>
      <c r="AN161" s="53" t="inlineStr">
        <is>
          <t>Functional</t>
        </is>
      </c>
      <c r="AO161" s="53" t="inlineStr">
        <is>
          <t>Client Engagement</t>
        </is>
      </c>
      <c r="AP161" s="53" t="inlineStr">
        <is>
          <t>No</t>
        </is>
      </c>
      <c r="AQ161" s="53" t="inlineStr">
        <is>
          <t>Client Engagement</t>
        </is>
      </c>
      <c r="AR161" s="53" t="inlineStr">
        <is>
          <t>ESG</t>
        </is>
      </c>
      <c r="AS161" s="53" t="inlineStr">
        <is>
          <t>Non-technical</t>
        </is>
      </c>
      <c r="AT161" s="53" t="n">
        <v>20</v>
      </c>
      <c r="AU161" s="53" t="inlineStr">
        <is>
          <t>Covered</t>
        </is>
      </c>
      <c r="AV161" s="53" t="inlineStr">
        <is>
          <t>IRIS2353</t>
        </is>
      </c>
      <c r="AW161" s="53" t="inlineStr">
        <is>
          <t>Farzad Wadia</t>
        </is>
      </c>
      <c r="AX161" s="53" t="inlineStr">
        <is>
          <t>Functional</t>
        </is>
      </c>
      <c r="AY161" s="53" t="inlineStr">
        <is>
          <t>Consulting</t>
        </is>
      </c>
      <c r="AZ161" s="53" t="inlineStr">
        <is>
          <t>Functional Portfolio Leadership/Business Owner – ESG</t>
        </is>
      </c>
      <c r="BA161" s="53" t="inlineStr">
        <is>
          <t>Consulting</t>
        </is>
      </c>
      <c r="BB161" s="53" t="n"/>
      <c r="BC161" s="53" t="inlineStr">
        <is>
          <t>Employee</t>
        </is>
      </c>
      <c r="BD161" s="53" t="inlineStr">
        <is>
          <t>Anuradha RK</t>
        </is>
      </c>
      <c r="BE161" s="53" t="inlineStr">
        <is>
          <t>Anuradha RK</t>
        </is>
      </c>
      <c r="BF161" s="53" t="inlineStr">
        <is>
          <t>New entry</t>
        </is>
      </c>
      <c r="BG161" s="53" t="n"/>
      <c r="BH161" s="53" t="inlineStr">
        <is>
          <t>ESG Manager</t>
        </is>
      </c>
      <c r="BI161" s="53" t="inlineStr">
        <is>
          <t>N/A · new entry</t>
        </is>
      </c>
      <c r="BJ161" s="53" t="n">
        <v>6</v>
      </c>
      <c r="BK161" s="53" t="n">
        <v>6</v>
      </c>
      <c r="BL161" s="53" t="n">
        <v>0</v>
      </c>
      <c r="BM161" s="53" t="inlineStr">
        <is>
          <t>Healthy</t>
        </is>
      </c>
      <c r="BN161" s="53" t="n">
        <v>6</v>
      </c>
      <c r="BO161" s="53" t="n">
        <v>6</v>
      </c>
      <c r="BP161" s="53" t="n">
        <v>0</v>
      </c>
      <c r="BQ161" s="53" t="inlineStr">
        <is>
          <t>Healthy</t>
        </is>
      </c>
      <c r="BR161" s="53" t="inlineStr">
        <is>
          <t>No</t>
        </is>
      </c>
      <c r="BS161" s="53" t="n"/>
      <c r="BT161" s="53" t="n"/>
      <c r="BU161" s="53" t="inlineStr">
        <is>
          <t>No designation change — current record value carried forward</t>
        </is>
      </c>
      <c r="BV161" s="53" t="n"/>
      <c r="BW161" s="53" t="n"/>
      <c r="BX161" s="53" t="inlineStr">
        <is>
          <t>Global.</t>
        </is>
      </c>
      <c r="BY161" s="53" t="n"/>
      <c r="BZ161" s="53" t="inlineStr">
        <is>
          <t>IRIS2353</t>
        </is>
      </c>
      <c r="CA161" s="53" t="inlineStr">
        <is>
          <t>Employee</t>
        </is>
      </c>
      <c r="CB161" s="53" t="inlineStr">
        <is>
          <t>Active</t>
        </is>
      </c>
      <c r="CC161" s="53" t="inlineStr">
        <is>
          <t>Farzad Wadia</t>
        </is>
      </c>
      <c r="CD161" s="54" t="n">
        <v>45733</v>
      </c>
      <c r="CE161" s="53" t="inlineStr">
        <is>
          <t>ESG Manager</t>
        </is>
      </c>
      <c r="CF161" s="53" t="inlineStr">
        <is>
          <t>Leads ESG Product</t>
        </is>
      </c>
      <c r="CG161" s="53" t="inlineStr">
        <is>
          <t>Consulting  Services</t>
        </is>
      </c>
      <c r="CH161" s="53" t="inlineStr">
        <is>
          <t>ESG Advisory</t>
        </is>
      </c>
      <c r="CI161" s="53" t="inlineStr">
        <is>
          <t>ESG Manager</t>
        </is>
      </c>
      <c r="CJ161" s="53" t="inlineStr">
        <is>
          <t>L5 – Manager</t>
        </is>
      </c>
      <c r="CK161" s="53" t="inlineStr">
        <is>
          <t>Anuradha RK</t>
        </is>
      </c>
      <c r="CL161" s="53" t="inlineStr">
        <is>
          <t>N-3</t>
        </is>
      </c>
      <c r="CM161" s="53" t="inlineStr">
        <is>
          <t>Manager</t>
        </is>
      </c>
      <c r="CN161" s="53" t="inlineStr">
        <is>
          <t>Regtech</t>
        </is>
      </c>
      <c r="CO161" s="53" t="inlineStr">
        <is>
          <t>Functional</t>
        </is>
      </c>
      <c r="CP161" s="53" t="inlineStr">
        <is>
          <t>9 years, 2 months, 0 days</t>
        </is>
      </c>
      <c r="CQ161" s="53" t="n"/>
      <c r="CR161" s="53" t="n"/>
      <c r="CS161" s="53" t="n"/>
      <c r="CT161" s="53" t="n"/>
      <c r="CU161" s="53" t="n"/>
      <c r="CV161" s="53" t="n"/>
      <c r="CW161" s="53" t="n"/>
      <c r="CX161" s="53" t="n"/>
      <c r="CY161" s="53" t="n"/>
      <c r="CZ161" s="53" t="n"/>
      <c r="DA161" s="53" t="n"/>
      <c r="DB161" s="53" t="inlineStr">
        <is>
          <t>New entry — profile recovered from Sept 22 zip review · previously miscounted as a non-attendee. Performance rating, potential, 9-box placement, and succession fields not yet assessed — pending review.</t>
        </is>
      </c>
      <c r="DC161" s="53" t="n"/>
      <c r="DD161" s="53" t="n"/>
      <c r="DE161" s="53" t="n"/>
      <c r="DF161" s="53" t="n"/>
      <c r="DG161" s="53" t="n"/>
      <c r="DH161" s="53" t="n"/>
      <c r="DI161" s="53" t="n"/>
      <c r="DJ161" s="53" t="n"/>
      <c r="DK161" s="53" t="n"/>
      <c r="DL161" s="53" t="n"/>
      <c r="DM161" s="53" t="n"/>
      <c r="DN161" s="53" t="n"/>
      <c r="DO161" s="53" t="n"/>
      <c r="DP161" s="53" t="n"/>
      <c r="DQ161" s="53" t="n"/>
      <c r="DR161" s="53" t="n"/>
      <c r="DS161" s="53" t="n"/>
      <c r="DT161" s="53" t="n"/>
      <c r="DU161" s="53" t="n"/>
      <c r="DV161" s="53" t="n"/>
      <c r="DW161" s="53" t="n"/>
      <c r="DX161" s="53" t="n"/>
      <c r="DY161" s="53" t="n"/>
      <c r="DZ161" s="53" t="n"/>
      <c r="EA161" s="53" t="n"/>
      <c r="EB161" s="53" t="n"/>
      <c r="EC161" s="53" t="n"/>
      <c r="ED161" s="53" t="n"/>
      <c r="EE161" s="53" t="n"/>
      <c r="EF161" s="53" t="n"/>
      <c r="EG161" s="53" t="n"/>
      <c r="EH161" s="53" t="n"/>
      <c r="EI161" s="53" t="n"/>
      <c r="EJ161" s="53" t="n"/>
      <c r="EK161" s="53" t="n"/>
      <c r="EL161" s="53" t="n"/>
      <c r="EM161" s="53" t="n"/>
      <c r="EN161" s="53" t="n"/>
      <c r="EO161" s="53" t="n"/>
      <c r="EP161" s="53" t="n"/>
      <c r="EQ161" s="53" t="n"/>
      <c r="ER161" s="53" t="n"/>
      <c r="ES161" s="53" t="n"/>
      <c r="ET161" s="53" t="n"/>
      <c r="EU161" s="53" t="n"/>
      <c r="EV161" s="53" t="n"/>
      <c r="EW161" s="52" t="n"/>
      <c r="EX161" s="53" t="inlineStr">
        <is>
          <t>• Role / sub-team: Functional — ESG Manager.
• Core purpose: Lead product in market.
• Decision-making autonomy: Can independently most things.
• Is this something only they do: Partially.
• What's different about this role: The product; The customer.</t>
        </is>
      </c>
      <c r="EY161" s="53"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EZ161" s="53"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FA161" s="53" t="inlineStr">
        <is>
          <t>• Development priorities: Deal closure.
• Learning and Development Need: None specifically.
• Role evolving toward: Field is changing continuously; AI impact is phenomenal.</t>
        </is>
      </c>
      <c r="FB161" s="53" t="inlineStr">
        <is>
          <t>• Key challenges: Cross-team collaboration.
• Support required: Collaboration overhead is too high · workload distribution is skewed; quality gaps across teams.</t>
        </is>
      </c>
      <c r="FC161" s="53" t="n"/>
      <c r="FD161" s="53" t="n"/>
      <c r="FE161" s="55" t="inlineStr">
        <is>
          <t>KRAs not received · manager to supply</t>
        </is>
      </c>
      <c r="FF161" s="56" t="n"/>
      <c r="FG161" s="56" t="n"/>
      <c r="FH161" s="56" t="n"/>
      <c r="FI161" s="56" t="inlineStr">
        <is>
          <t>Leads ESG Product</t>
        </is>
      </c>
      <c r="FJ161" s="32" t="inlineStr">
        <is>
          <t>KRAs not received · manager to supply</t>
        </is>
      </c>
      <c r="FK161" s="56" t="inlineStr">
        <is>
          <t>CARBON Talent Mapping · Raw</t>
        </is>
      </c>
      <c r="FL161" s="56" t="n">
        <v>20</v>
      </c>
      <c r="FM161" s="56" t="inlineStr">
        <is>
          <t>• Role / sub-team: Functional — ESG Manager.
• Core purpose: Lead product in market.
• Decision-making autonomy: Can independently most things.
• Is this something only they do: Partially.
• What's different about this role: The product; The customer.</t>
        </is>
      </c>
      <c r="FN161" s="56"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FO161" s="56"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FP161" s="56" t="inlineStr">
        <is>
          <t>• Development priorities: Deal closure.
• Learning and Development Need: None specifically.
• Role evolving toward: Field is changing continuously; AI impact is phenomenal.</t>
        </is>
      </c>
      <c r="FQ161" s="56" t="inlineStr">
        <is>
          <t>• Key challenges: Cross-team collaboration.
• Support required: Collaboration overhead is too high · workload distribution is skewed; quality gaps across teams.</t>
        </is>
      </c>
      <c r="FR161" s="56" t="inlineStr">
        <is>
          <t>Complexity: Evidence reads like B2: own survey / KRA answers · summarised by the rater; not quoted → matches the start
Autonomy: Evidence reads like B2: Decides 'most things' per self and manager note; no specific decisions named → matches the start
Accountability: Evidence reads like B2: States 'everything' for the ESG product in market; team of 5 → moved up 0.5
Leadership: Evidence reads like B1: Runs weekly reviews and updates; 5 direct reports → matches the start
Business Impact: No survey or manager-mapping signal on criticality: kept at the start point.</t>
        </is>
      </c>
      <c r="FS161"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161" s="56" t="inlineStr">
        <is>
          <t>Self-identified: Answered · no common topic
For the next role: Answered · no common topic</t>
        </is>
      </c>
      <c r="FU161" s="56" t="inlineStr">
        <is>
          <t>Per-person summary · CARBON Mapping Master</t>
        </is>
      </c>
    </row>
    <row r="162" ht="90" customHeight="1">
      <c r="A162" s="51" t="inlineStr">
        <is>
          <t>◂ Back</t>
        </is>
      </c>
      <c r="B162" s="29" t="inlineStr">
        <is>
          <t>Mapped</t>
        </is>
      </c>
      <c r="C162" s="28" t="inlineStr">
        <is>
          <t>CARBON</t>
        </is>
      </c>
      <c r="D162" s="29" t="inlineStr">
        <is>
          <t>IRIS2143</t>
        </is>
      </c>
      <c r="E162" s="29" t="inlineStr">
        <is>
          <t>Shambo Mitra</t>
        </is>
      </c>
      <c r="F162" s="29" t="inlineStr">
        <is>
          <t>Functional</t>
        </is>
      </c>
      <c r="G162" s="29" t="inlineStr">
        <is>
          <t>ESG - Subject Matter Expert</t>
        </is>
      </c>
      <c r="H162" s="29" t="inlineStr">
        <is>
          <t>Senior Functional Specialist</t>
        </is>
      </c>
      <c r="I162" s="29" t="inlineStr">
        <is>
          <t>L3 – Professional / Associate</t>
        </is>
      </c>
      <c r="J162" s="29" t="inlineStr">
        <is>
          <t>B2</t>
        </is>
      </c>
      <c r="K162" s="29" t="inlineStr">
        <is>
          <t>▲ Up</t>
        </is>
      </c>
      <c r="L162" s="29" t="inlineStr">
        <is>
          <t>Solution Consulting &amp; Implementation</t>
        </is>
      </c>
      <c r="M162" s="29" t="inlineStr">
        <is>
          <t>Solution Consulting &amp; Implementation</t>
        </is>
      </c>
      <c r="N162" s="29" t="n"/>
      <c r="O162" s="29" t="n">
        <v>20</v>
      </c>
      <c r="P162" s="28" t="inlineStr">
        <is>
          <t>P4 / M3</t>
        </is>
      </c>
      <c r="Q162" s="29" t="inlineStr">
        <is>
          <t>Senior / Manager</t>
        </is>
      </c>
      <c r="R162" s="29" t="inlineStr">
        <is>
          <t>4–5</t>
        </is>
      </c>
      <c r="S162" s="29" t="inlineStr">
        <is>
          <t>6–9 yrs</t>
        </is>
      </c>
      <c r="T162" s="29" t="inlineStr">
        <is>
          <t>7–10 · 6–11</t>
        </is>
      </c>
      <c r="U162" s="29" t="inlineStr">
        <is>
          <t>Lead Consultant</t>
        </is>
      </c>
      <c r="V162" s="29" t="inlineStr">
        <is>
          <t>Big Four: Manager · Regnology: Senior BA</t>
        </is>
      </c>
      <c r="W162" s="29" t="inlineStr">
        <is>
          <t>TSIA professional services; PMI; BABOK</t>
        </is>
      </c>
      <c r="X162" s="29" t="inlineStr">
        <is>
          <t>Core 3 · Future 3 · Functional 4 · Leadership 2</t>
        </is>
      </c>
      <c r="Y162" s="52" t="n">
        <v>279</v>
      </c>
      <c r="Z162" s="53" t="inlineStr">
        <is>
          <t>IRIS2143</t>
        </is>
      </c>
      <c r="AA162" s="53" t="inlineStr">
        <is>
          <t>Employee</t>
        </is>
      </c>
      <c r="AB162" s="53" t="inlineStr">
        <is>
          <t>Active</t>
        </is>
      </c>
      <c r="AC162" s="53" t="inlineStr">
        <is>
          <t>Shambo Mitra</t>
        </is>
      </c>
      <c r="AD162" s="54" t="n">
        <v>45084</v>
      </c>
      <c r="AE162" s="53" t="inlineStr">
        <is>
          <t>ESG - Subject Matter Expert</t>
        </is>
      </c>
      <c r="AF162" s="53" t="inlineStr">
        <is>
          <t>MBA</t>
        </is>
      </c>
      <c r="AG162" s="53" t="inlineStr">
        <is>
          <t>Farzad Wadia</t>
        </is>
      </c>
      <c r="AH162" s="53" t="inlineStr">
        <is>
          <t>N-4</t>
        </is>
      </c>
      <c r="AI162" s="53" t="inlineStr">
        <is>
          <t>Individual Contributor</t>
        </is>
      </c>
      <c r="AJ162" s="53" t="inlineStr">
        <is>
          <t>4 years, 0 months, 0 days</t>
        </is>
      </c>
      <c r="AK162" s="53" t="inlineStr">
        <is>
          <t>3 years, 2 months, 18 days</t>
        </is>
      </c>
      <c r="AL162" s="53" t="inlineStr">
        <is>
          <t>Regtech</t>
        </is>
      </c>
      <c r="AM162" s="53" t="inlineStr">
        <is>
          <t>CARBON</t>
        </is>
      </c>
      <c r="AN162" s="53" t="inlineStr">
        <is>
          <t>Functional</t>
        </is>
      </c>
      <c r="AO162" s="53" t="inlineStr">
        <is>
          <t>Client Engagement</t>
        </is>
      </c>
      <c r="AP162" s="53" t="inlineStr">
        <is>
          <t>No</t>
        </is>
      </c>
      <c r="AQ162" s="53" t="inlineStr">
        <is>
          <t>Client Engagement</t>
        </is>
      </c>
      <c r="AR162" s="53" t="inlineStr">
        <is>
          <t>ESG</t>
        </is>
      </c>
      <c r="AS162" s="53" t="inlineStr">
        <is>
          <t>Non-technical</t>
        </is>
      </c>
      <c r="AT162" s="53" t="n">
        <v>20</v>
      </c>
      <c r="AU162" s="53" t="inlineStr">
        <is>
          <t>Covered</t>
        </is>
      </c>
      <c r="AV162" s="53" t="inlineStr">
        <is>
          <t>IRIS2143</t>
        </is>
      </c>
      <c r="AW162" s="53" t="inlineStr">
        <is>
          <t>Shambo Mitra</t>
        </is>
      </c>
      <c r="AX162" s="53" t="inlineStr">
        <is>
          <t>Functional</t>
        </is>
      </c>
      <c r="AY162" s="53" t="inlineStr">
        <is>
          <t>Consulting</t>
        </is>
      </c>
      <c r="AZ162" s="53" t="inlineStr">
        <is>
          <t>Implementation &amp; Solutions Consulting</t>
        </is>
      </c>
      <c r="BA162" s="53" t="inlineStr">
        <is>
          <t>Consulting</t>
        </is>
      </c>
      <c r="BB162" s="53" t="n"/>
      <c r="BC162" s="53" t="inlineStr">
        <is>
          <t>Employee</t>
        </is>
      </c>
      <c r="BD162" s="53" t="inlineStr">
        <is>
          <t>Farzad Wadia</t>
        </is>
      </c>
      <c r="BE162" s="53" t="inlineStr">
        <is>
          <t>Farzad Wadia</t>
        </is>
      </c>
      <c r="BF162" s="53" t="inlineStr">
        <is>
          <t>No</t>
        </is>
      </c>
      <c r="BG162" s="53" t="inlineStr">
        <is>
          <t>ESG - Subject Matter Expert</t>
        </is>
      </c>
      <c r="BH162" s="53" t="inlineStr">
        <is>
          <t>ESG Functional Consultant</t>
        </is>
      </c>
      <c r="BI162" s="53" t="inlineStr">
        <is>
          <t>Yes</t>
        </is>
      </c>
      <c r="BJ162" s="53" t="n">
        <v>1</v>
      </c>
      <c r="BK162" s="53" t="n">
        <v>0</v>
      </c>
      <c r="BL162" s="53" t="n">
        <v>1</v>
      </c>
      <c r="BM162" s="53" t="inlineStr">
        <is>
          <t>Consolidate / flatten</t>
        </is>
      </c>
      <c r="BN162" s="53" t="n">
        <v>1</v>
      </c>
      <c r="BO162" s="53" t="n">
        <v>0</v>
      </c>
      <c r="BP162" s="53" t="n">
        <v>1</v>
      </c>
      <c r="BQ162" s="53" t="inlineStr">
        <is>
          <t>Consolidate / flatten</t>
        </is>
      </c>
      <c r="BR162" s="53" t="inlineStr">
        <is>
          <t>No</t>
        </is>
      </c>
      <c r="BS162" s="53" t="inlineStr">
        <is>
          <t>L3 – Professional / Associate</t>
        </is>
      </c>
      <c r="BT162" s="53" t="inlineStr">
        <is>
          <t>L1</t>
        </is>
      </c>
      <c r="BU162" s="53" t="inlineStr">
        <is>
          <t>Designation refined from Raw tab Comments column · this update</t>
        </is>
      </c>
      <c r="BV162" s="53" t="inlineStr">
        <is>
          <t>Refer to a separate sheet</t>
        </is>
      </c>
      <c r="BW162" s="53" t="n"/>
      <c r="BX162" s="53" t="inlineStr">
        <is>
          <t>Europe; Africa; Asia; South America.</t>
        </is>
      </c>
      <c r="BY162" s="53" t="n"/>
      <c r="BZ162" s="53" t="inlineStr">
        <is>
          <t>IRIS2143</t>
        </is>
      </c>
      <c r="CA162" s="53" t="inlineStr">
        <is>
          <t>Employee</t>
        </is>
      </c>
      <c r="CB162" s="53" t="inlineStr">
        <is>
          <t>Active</t>
        </is>
      </c>
      <c r="CC162" s="53" t="inlineStr">
        <is>
          <t>Shambo Mitra</t>
        </is>
      </c>
      <c r="CD162" s="54" t="n">
        <v>45084</v>
      </c>
      <c r="CE162" s="53" t="inlineStr">
        <is>
          <t>ESG - Subject Matter Expert</t>
        </is>
      </c>
      <c r="CF162" s="53"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G162" s="53" t="inlineStr">
        <is>
          <t>Consulting  Services</t>
        </is>
      </c>
      <c r="CH162" s="53" t="inlineStr">
        <is>
          <t>ESG Advisory</t>
        </is>
      </c>
      <c r="CI162" s="53" t="inlineStr">
        <is>
          <t>ESG Functional Consultant</t>
        </is>
      </c>
      <c r="CJ162" s="53" t="inlineStr">
        <is>
          <t>L3 – Professional / Associate</t>
        </is>
      </c>
      <c r="CK162" s="53" t="inlineStr">
        <is>
          <t>Farzad Wadia</t>
        </is>
      </c>
      <c r="CL162" s="53" t="inlineStr">
        <is>
          <t>N-4</t>
        </is>
      </c>
      <c r="CM162" s="53" t="inlineStr">
        <is>
          <t>Player cum Coach</t>
        </is>
      </c>
      <c r="CN162" s="53" t="inlineStr">
        <is>
          <t>Regtech</t>
        </is>
      </c>
      <c r="CO162" s="53" t="inlineStr">
        <is>
          <t>Functional</t>
        </is>
      </c>
      <c r="CP162" s="53" t="inlineStr">
        <is>
          <t>7 years, 0 months, 13 days</t>
        </is>
      </c>
      <c r="CQ162" s="53" t="inlineStr">
        <is>
          <t>Functional Specialist - ESG</t>
        </is>
      </c>
      <c r="CR162" s="53" t="inlineStr">
        <is>
          <t>No</t>
        </is>
      </c>
      <c r="CS162" s="53" t="n">
        <v>3</v>
      </c>
      <c r="CT162" s="53" t="inlineStr">
        <is>
          <t>Medium</t>
        </is>
      </c>
      <c r="CU162" s="53" t="inlineStr">
        <is>
          <t>Reliable Specialist</t>
        </is>
      </c>
      <c r="CV162" s="53" t="inlineStr">
        <is>
          <t>No</t>
        </is>
      </c>
      <c r="CW162" s="53" t="inlineStr">
        <is>
          <t>No</t>
        </is>
      </c>
      <c r="CX162" s="53" t="inlineStr">
        <is>
          <t>Yes</t>
        </is>
      </c>
      <c r="CY162" s="53" t="n"/>
      <c r="CZ162" s="53" t="inlineStr">
        <is>
          <t>-Leadership, Agile</t>
        </is>
      </c>
      <c r="DA162" s="53" t="n"/>
      <c r="DB162" s="53" t="inlineStr">
        <is>
          <t>Title: Standardized to ESG Functional Consultant</t>
        </is>
      </c>
      <c r="DC162" s="53" t="n"/>
      <c r="DD162" s="53" t="n"/>
      <c r="DE162" s="53" t="n"/>
      <c r="DF162" s="53" t="n"/>
      <c r="DG162" s="53" t="n"/>
      <c r="DH162" s="53" t="n"/>
      <c r="DI162" s="53" t="n"/>
      <c r="DJ162" s="53" t="n"/>
      <c r="DK162" s="53" t="n"/>
      <c r="DL162" s="53" t="n"/>
      <c r="DM162" s="53" t="n"/>
      <c r="DN162" s="53" t="n"/>
      <c r="DO162" s="53" t="n"/>
      <c r="DP162" s="53" t="n"/>
      <c r="DQ162" s="53" t="n"/>
      <c r="DR162" s="53" t="n"/>
      <c r="DS162" s="53" t="n"/>
      <c r="DT162" s="53" t="n"/>
      <c r="DU162" s="53" t="n"/>
      <c r="DV162" s="53" t="n"/>
      <c r="DW162" s="53" t="n"/>
      <c r="DX162" s="53" t="n"/>
      <c r="DY162" s="53" t="n"/>
      <c r="DZ162" s="53" t="n"/>
      <c r="EA162" s="53" t="n"/>
      <c r="EB162" s="53" t="n"/>
      <c r="EC162" s="53" t="n"/>
      <c r="ED162" s="53" t="n"/>
      <c r="EE162" s="53" t="n"/>
      <c r="EF162" s="53" t="n"/>
      <c r="EG162" s="53" t="n"/>
      <c r="EH162" s="53" t="n"/>
      <c r="EI162" s="53" t="n"/>
      <c r="EJ162" s="53" t="n"/>
      <c r="EK162" s="53" t="n"/>
      <c r="EL162" s="53" t="n"/>
      <c r="EM162" s="53" t="n"/>
      <c r="EN162" s="53" t="n"/>
      <c r="EO162" s="53" t="n"/>
      <c r="EP162" s="53" t="n"/>
      <c r="EQ162" s="53" t="n"/>
      <c r="ER162" s="53" t="n"/>
      <c r="ES162" s="53" t="n"/>
      <c r="ET162" s="53" t="n"/>
      <c r="EU162" s="53" t="n"/>
      <c r="EV162" s="53" t="n"/>
      <c r="EW162" s="52" t="n"/>
      <c r="EX162" s="53"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EY162" s="53"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EZ162" s="53" t="inlineStr">
        <is>
          <t>• Current capabilities: ESG frameworks.
• Tools / software used: ESG standards.
• Workload: Rated a heavy load · 4/5 in a typical week.
• Judgment/way of working: Knowing the most common pitfalls and sources of errors helps in quickly resolving queries.</t>
        </is>
      </c>
      <c r="FA162" s="53"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B162" s="53" t="inlineStr">
        <is>
          <t>• Key challenges: Unexpected requirements.
• Support required: A separate support or product stream for impromptu client requirements.</t>
        </is>
      </c>
      <c r="FC162" s="53" t="n"/>
      <c r="FD162" s="53" t="n"/>
      <c r="FE162" s="57" t="inlineStr">
        <is>
          <t>Refer to a separate sheet</t>
        </is>
      </c>
      <c r="FF162" s="56" t="n"/>
      <c r="FG162" s="56" t="n"/>
      <c r="FH162" s="56" t="n"/>
      <c r="FI162" s="56"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FJ162" s="56" t="inlineStr">
        <is>
          <t>Received · manager annual</t>
        </is>
      </c>
      <c r="FK162" s="56" t="inlineStr">
        <is>
          <t>CARBON Mapping Master · CARBON Talent Mapping · Raw</t>
        </is>
      </c>
      <c r="FL162" s="56" t="n">
        <v>20</v>
      </c>
      <c r="FM162" s="56"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FN162" s="56"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FO162" s="56" t="inlineStr">
        <is>
          <t>• Current capabilities: ESG frameworks.
• Tools / software used: ESG standards.
• Workload: Rated a heavy load · 4/5 in a typical week.
• Judgment/way of working: Knowing the most common pitfalls and sources of errors helps in quickly resolving queries.</t>
        </is>
      </c>
      <c r="FP162" s="56"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Q162" s="56" t="inlineStr">
        <is>
          <t>• Key challenges: Unexpected requirements.
• Support required: A separate support or product stream for impromptu client requirements.</t>
        </is>
      </c>
      <c r="FR162" s="56" t="inlineStr">
        <is>
          <t>Complexity: Evidence reads like B1: Implements ESG product to client requirements; needs in-depth ESG framework and KPI knowledge → moved down 1
Autonomy: Evidence reads like A3: Prioritises own tasks across implementation work → moved down 1
Accountability: Evidence reads like B1: Implementation and post-go-live support for ESG clients; client escalation if wrong → moved down 1
Leadership: Evidence reads like A2: Relays client requirements to product team; trains clients, not colleagues → moved down 1
Business Impact: Moved +0.5: the survey / manager mapping marks it business-critical.</t>
        </is>
      </c>
      <c r="FS162" s="56"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FT162" s="56" t="inlineStr">
        <is>
          <t>Self-identified: Client, sales &amp; stakeholders
For the next role: Client, sales &amp; stakeholders</t>
        </is>
      </c>
      <c r="FU162" s="56" t="inlineStr">
        <is>
          <t>Per-person summary · CARBON Mapping Master</t>
        </is>
      </c>
    </row>
    <row r="163" ht="90" customHeight="1">
      <c r="A163" s="51" t="inlineStr">
        <is>
          <t>◂ Back</t>
        </is>
      </c>
      <c r="B163" s="29" t="inlineStr">
        <is>
          <t>Mapped</t>
        </is>
      </c>
      <c r="C163" s="28" t="inlineStr">
        <is>
          <t>CARBON</t>
        </is>
      </c>
      <c r="D163" s="29" t="inlineStr">
        <is>
          <t>IRIS2419</t>
        </is>
      </c>
      <c r="E163" s="29" t="inlineStr">
        <is>
          <t>Alizah Noorani</t>
        </is>
      </c>
      <c r="F163" s="29" t="inlineStr">
        <is>
          <t>Functional</t>
        </is>
      </c>
      <c r="G163" s="29" t="inlineStr">
        <is>
          <t>ESG Implementation Consultant</t>
        </is>
      </c>
      <c r="H163" s="29" t="inlineStr">
        <is>
          <t>Functional Specialist</t>
        </is>
      </c>
      <c r="I163" s="29" t="inlineStr">
        <is>
          <t>L3 – Professional / Associate</t>
        </is>
      </c>
      <c r="J163" s="29" t="inlineStr">
        <is>
          <t>B1</t>
        </is>
      </c>
      <c r="K163" s="29" t="inlineStr">
        <is>
          <t>▲ Up</t>
        </is>
      </c>
      <c r="L163" s="29" t="inlineStr">
        <is>
          <t>Solution Consulting &amp; Implementation</t>
        </is>
      </c>
      <c r="M163" s="29" t="inlineStr">
        <is>
          <t>Solution Consulting &amp; Implementation</t>
        </is>
      </c>
      <c r="N163" s="29" t="n"/>
      <c r="O163" s="29" t="n">
        <v>20</v>
      </c>
      <c r="P163" s="28" t="inlineStr">
        <is>
          <t>P3 / M2</t>
        </is>
      </c>
      <c r="Q163" s="29" t="inlineStr">
        <is>
          <t>Career / · Team Lead</t>
        </is>
      </c>
      <c r="R163" s="29" t="inlineStr">
        <is>
          <t>4 Enable</t>
        </is>
      </c>
      <c r="S163" s="29" t="inlineStr">
        <is>
          <t>4–7 yrs</t>
        </is>
      </c>
      <c r="T163" s="29" t="inlineStr">
        <is>
          <t>5–8 · 4–8</t>
        </is>
      </c>
      <c r="U163" s="29" t="inlineStr">
        <is>
          <t>Senior Consultant</t>
        </is>
      </c>
      <c r="V163" s="29" t="inlineStr">
        <is>
          <t>Big Four: Senior Consultant · Regnology: BA · Reg Reporting</t>
        </is>
      </c>
      <c r="W163" s="29" t="inlineStr">
        <is>
          <t>TSIA professional services; PMI; BABOK</t>
        </is>
      </c>
      <c r="X163" s="29" t="inlineStr">
        <is>
          <t>Core 3 · Future 3 · Functional 3 · Leadership 1</t>
        </is>
      </c>
      <c r="Y163" s="52" t="n">
        <v>391</v>
      </c>
      <c r="Z163" s="53" t="inlineStr">
        <is>
          <t>IRIS2419</t>
        </is>
      </c>
      <c r="AA163" s="53" t="inlineStr">
        <is>
          <t>Employee</t>
        </is>
      </c>
      <c r="AB163" s="53" t="inlineStr">
        <is>
          <t>Active</t>
        </is>
      </c>
      <c r="AC163" s="53" t="inlineStr">
        <is>
          <t>Alizah Noorani</t>
        </is>
      </c>
      <c r="AD163" s="54" t="n">
        <v>45880</v>
      </c>
      <c r="AE163" s="53" t="inlineStr">
        <is>
          <t>ESG Implementation Consultant</t>
        </is>
      </c>
      <c r="AF163" s="53" t="inlineStr">
        <is>
          <t>M.Sc</t>
        </is>
      </c>
      <c r="AG163" s="53" t="inlineStr">
        <is>
          <t>Farzad Wadia</t>
        </is>
      </c>
      <c r="AH163" s="53" t="inlineStr">
        <is>
          <t>N-4</t>
        </is>
      </c>
      <c r="AI163" s="53" t="inlineStr">
        <is>
          <t>Individual Contributor</t>
        </is>
      </c>
      <c r="AJ163" s="53" t="inlineStr">
        <is>
          <t>3 years, 1 months, 0 days</t>
        </is>
      </c>
      <c r="AK163" s="53" t="inlineStr">
        <is>
          <t>1 years, 0 months, 14 days</t>
        </is>
      </c>
      <c r="AL163" s="53" t="inlineStr">
        <is>
          <t>Regtech</t>
        </is>
      </c>
      <c r="AM163" s="53" t="inlineStr">
        <is>
          <t>CARBON</t>
        </is>
      </c>
      <c r="AN163" s="53" t="inlineStr">
        <is>
          <t>Functional</t>
        </is>
      </c>
      <c r="AO163" s="53" t="inlineStr">
        <is>
          <t>Client Engagement</t>
        </is>
      </c>
      <c r="AP163" s="53" t="inlineStr">
        <is>
          <t>No</t>
        </is>
      </c>
      <c r="AQ163" s="53" t="inlineStr">
        <is>
          <t>Client Engagement</t>
        </is>
      </c>
      <c r="AR163" s="53" t="inlineStr">
        <is>
          <t>ESG</t>
        </is>
      </c>
      <c r="AS163" s="53" t="inlineStr">
        <is>
          <t>Non-technical</t>
        </is>
      </c>
      <c r="AT163" s="53" t="n">
        <v>20</v>
      </c>
      <c r="AU163" s="53" t="inlineStr">
        <is>
          <t>Covered</t>
        </is>
      </c>
      <c r="AV163" s="53" t="inlineStr">
        <is>
          <t>IRIS2419</t>
        </is>
      </c>
      <c r="AW163" s="53" t="inlineStr">
        <is>
          <t>Alizah Noorani</t>
        </is>
      </c>
      <c r="AX163" s="53" t="inlineStr">
        <is>
          <t>Functional</t>
        </is>
      </c>
      <c r="AY163" s="53" t="inlineStr">
        <is>
          <t>Consulting</t>
        </is>
      </c>
      <c r="AZ163" s="53" t="inlineStr">
        <is>
          <t>Implementation &amp; Solutions Consulting</t>
        </is>
      </c>
      <c r="BA163" s="53" t="inlineStr">
        <is>
          <t>Consulting</t>
        </is>
      </c>
      <c r="BB163" s="53" t="inlineStr">
        <is>
          <t>ESG Advisory</t>
        </is>
      </c>
      <c r="BC163" s="53" t="inlineStr">
        <is>
          <t>Employee</t>
        </is>
      </c>
      <c r="BD163" s="53" t="inlineStr">
        <is>
          <t>Farzad Wadia</t>
        </is>
      </c>
      <c r="BE163" s="53" t="inlineStr">
        <is>
          <t>Farzad Wadia</t>
        </is>
      </c>
      <c r="BF163" s="53" t="inlineStr">
        <is>
          <t>No</t>
        </is>
      </c>
      <c r="BG163" s="53" t="inlineStr">
        <is>
          <t>ESG Implementation Consultant</t>
        </is>
      </c>
      <c r="BH163" s="53" t="inlineStr">
        <is>
          <t>Functional Specialist - ESG</t>
        </is>
      </c>
      <c r="BI163" s="53" t="inlineStr">
        <is>
          <t>Yes</t>
        </is>
      </c>
      <c r="BJ163" s="53" t="inlineStr">
        <is>
          <t>—</t>
        </is>
      </c>
      <c r="BK163" s="53" t="inlineStr">
        <is>
          <t>—</t>
        </is>
      </c>
      <c r="BL163" s="53" t="inlineStr">
        <is>
          <t>—</t>
        </is>
      </c>
      <c r="BM163" s="53" t="inlineStr">
        <is>
          <t>Not a manager</t>
        </is>
      </c>
      <c r="BN163" s="53" t="inlineStr">
        <is>
          <t>—</t>
        </is>
      </c>
      <c r="BO163" s="53" t="inlineStr">
        <is>
          <t>—</t>
        </is>
      </c>
      <c r="BP163" s="53" t="inlineStr">
        <is>
          <t>—</t>
        </is>
      </c>
      <c r="BQ163" s="53" t="inlineStr">
        <is>
          <t>Not a manager</t>
        </is>
      </c>
      <c r="BR163" s="53" t="inlineStr">
        <is>
          <t>—</t>
        </is>
      </c>
      <c r="BS163" s="53" t="inlineStr">
        <is>
          <t>L3 – Professional / Associate</t>
        </is>
      </c>
      <c r="BT163" s="53" t="inlineStr">
        <is>
          <t>L1</t>
        </is>
      </c>
      <c r="BU163" s="53" t="inlineStr">
        <is>
          <t>Matched from Title Hierarchy · new designation</t>
        </is>
      </c>
      <c r="BV163" s="53" t="inlineStr">
        <is>
          <t>Refer to a separate sheet</t>
        </is>
      </c>
      <c r="BW163" s="53" t="n"/>
      <c r="BX163" s="53" t="inlineStr">
        <is>
          <t>Global - ESG.</t>
        </is>
      </c>
      <c r="BY163" s="53" t="n"/>
      <c r="BZ163" s="53" t="inlineStr">
        <is>
          <t>IRIS2419</t>
        </is>
      </c>
      <c r="CA163" s="53" t="inlineStr">
        <is>
          <t>Employee</t>
        </is>
      </c>
      <c r="CB163" s="53" t="inlineStr">
        <is>
          <t>Active</t>
        </is>
      </c>
      <c r="CC163" s="53" t="inlineStr">
        <is>
          <t>Alizah Noorani</t>
        </is>
      </c>
      <c r="CD163" s="54" t="n">
        <v>45880</v>
      </c>
      <c r="CE163" s="53" t="inlineStr">
        <is>
          <t>ESG Implementation Consultant</t>
        </is>
      </c>
      <c r="CF163" s="53" t="inlineStr">
        <is>
          <t>Gives product Demo &amp; helps in implementation</t>
        </is>
      </c>
      <c r="CG163" s="53" t="inlineStr">
        <is>
          <t>Consulting  Services</t>
        </is>
      </c>
      <c r="CH163" s="53" t="inlineStr">
        <is>
          <t>ESG Advisory</t>
        </is>
      </c>
      <c r="CI163" s="53" t="inlineStr">
        <is>
          <t>ESG Implementation Consultant</t>
        </is>
      </c>
      <c r="CJ163" s="53" t="inlineStr">
        <is>
          <t>L3 – Professional / Associate</t>
        </is>
      </c>
      <c r="CK163" s="53" t="inlineStr">
        <is>
          <t>Farzad Wadia</t>
        </is>
      </c>
      <c r="CL163" s="53" t="inlineStr">
        <is>
          <t>N-4</t>
        </is>
      </c>
      <c r="CM163" s="53" t="inlineStr">
        <is>
          <t>Individual Contributor</t>
        </is>
      </c>
      <c r="CN163" s="53" t="inlineStr">
        <is>
          <t>Regtech</t>
        </is>
      </c>
      <c r="CO163" s="53" t="inlineStr">
        <is>
          <t>Functional</t>
        </is>
      </c>
      <c r="CP163" s="53" t="inlineStr">
        <is>
          <t>3 years, 11 months, 9 days</t>
        </is>
      </c>
      <c r="CQ163" s="53" t="inlineStr">
        <is>
          <t>Functional Specialist - ESG</t>
        </is>
      </c>
      <c r="CR163" s="53" t="inlineStr">
        <is>
          <t>No</t>
        </is>
      </c>
      <c r="CS163" s="53" t="n">
        <v>3</v>
      </c>
      <c r="CT163" s="53" t="inlineStr">
        <is>
          <t>Medium</t>
        </is>
      </c>
      <c r="CU163" s="53" t="inlineStr">
        <is>
          <t>Core Contributor</t>
        </is>
      </c>
      <c r="CV163" s="53" t="inlineStr">
        <is>
          <t>No</t>
        </is>
      </c>
      <c r="CW163" s="53" t="inlineStr">
        <is>
          <t>No</t>
        </is>
      </c>
      <c r="CX163" s="53" t="inlineStr">
        <is>
          <t>Yes</t>
        </is>
      </c>
      <c r="CY163" s="53" t="n"/>
      <c r="CZ163" s="53" t="inlineStr">
        <is>
          <t>-Agile Thinking, Domain, AI</t>
        </is>
      </c>
      <c r="DA163" s="53" t="n"/>
      <c r="DB163" s="53" t="n"/>
      <c r="DC163" s="53" t="n"/>
      <c r="DD163" s="53" t="n"/>
      <c r="DE163" s="53" t="n"/>
      <c r="DF163" s="53" t="n"/>
      <c r="DG163" s="53" t="n"/>
      <c r="DH163" s="53" t="n"/>
      <c r="DI163" s="53" t="n"/>
      <c r="DJ163" s="53" t="n"/>
      <c r="DK163" s="53" t="n"/>
      <c r="DL163" s="53" t="n"/>
      <c r="DM163" s="53" t="n"/>
      <c r="DN163" s="53" t="n"/>
      <c r="DO163" s="53" t="n"/>
      <c r="DP163" s="53" t="n"/>
      <c r="DQ163" s="53" t="n"/>
      <c r="DR163" s="53" t="n"/>
      <c r="DS163" s="53" t="n"/>
      <c r="DT163" s="53" t="n"/>
      <c r="DU163" s="53" t="n"/>
      <c r="DV163" s="53" t="n"/>
      <c r="DW163" s="53" t="n"/>
      <c r="DX163" s="53" t="n"/>
      <c r="DY163" s="53" t="n"/>
      <c r="DZ163" s="53" t="n"/>
      <c r="EA163" s="53" t="n"/>
      <c r="EB163" s="53" t="n"/>
      <c r="EC163" s="53" t="n"/>
      <c r="ED163" s="53" t="n"/>
      <c r="EE163" s="53" t="n"/>
      <c r="EF163" s="53" t="n"/>
      <c r="EG163" s="53" t="n"/>
      <c r="EH163" s="53" t="n"/>
      <c r="EI163" s="53" t="n"/>
      <c r="EJ163" s="53" t="n"/>
      <c r="EK163" s="53" t="n"/>
      <c r="EL163" s="53" t="n"/>
      <c r="EM163" s="53" t="n"/>
      <c r="EN163" s="53" t="n"/>
      <c r="EO163" s="53" t="n"/>
      <c r="EP163" s="53" t="n"/>
      <c r="EQ163" s="53" t="n"/>
      <c r="ER163" s="53" t="n"/>
      <c r="ES163" s="53" t="n"/>
      <c r="ET163" s="53" t="n"/>
      <c r="EU163" s="53" t="n"/>
      <c r="EV163" s="53" t="n"/>
      <c r="EW163" s="52" t="n"/>
      <c r="EX163" s="53"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EY163" s="53"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EZ163" s="53"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FA163" s="53"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B163" s="53"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C163" s="53" t="n"/>
      <c r="FD163" s="53" t="n"/>
      <c r="FE163" s="57" t="inlineStr">
        <is>
          <t>Refer to a separate sheet</t>
        </is>
      </c>
      <c r="FF163" s="56" t="n"/>
      <c r="FG163" s="56" t="n"/>
      <c r="FH163" s="56" t="n"/>
      <c r="FI163" s="56" t="inlineStr">
        <is>
          <t>Gives product Demo &amp; helps in implementation</t>
        </is>
      </c>
      <c r="FJ163" s="56" t="inlineStr">
        <is>
          <t>Received · manager annual</t>
        </is>
      </c>
      <c r="FK163" s="56" t="inlineStr">
        <is>
          <t>CARBON Mapping Master · CARBON Talent Mapping · Raw</t>
        </is>
      </c>
      <c r="FL163" s="56" t="n">
        <v>20</v>
      </c>
      <c r="FM163" s="56"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FN163" s="56"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FO163" s="56"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FP163" s="56"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Q163" s="56"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R163" s="56" t="inlineStr">
        <is>
          <t>Complexity: Evidence reads like B1: Configures platform for clients, translates requirements into features, tests, runs sprints, reviews ESG content → matches the start
Autonomy: Evidence reads like B1: Decides project activities and timelines; reviews and accepts content assets → matches the start
Accountability: Evidence reads like B1: Assigned ESG client implementation projects, client demos, partly marketing assets → matches the start
Leadership: Evidence reads like A3: Trains new team members; reviews the marketing team's ESG content → matches the start
Business Impact: Moved +0.5: the survey / manager mapping marks it business-critical.</t>
        </is>
      </c>
      <c r="FS163"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63" s="56" t="inlineStr">
        <is>
          <t>Self-identified: Domain, regulatory &amp; XBRL · Marketing &amp; content
For the next role: Domain, regulatory &amp; XBRL · Marketing &amp; content</t>
        </is>
      </c>
      <c r="FU163" s="56" t="inlineStr">
        <is>
          <t>Per-person summary · CARBON Mapping Master</t>
        </is>
      </c>
    </row>
    <row r="164" ht="90" customHeight="1">
      <c r="A164" s="51" t="inlineStr">
        <is>
          <t>◂ Back</t>
        </is>
      </c>
      <c r="B164" s="29" t="inlineStr">
        <is>
          <t>Mapped</t>
        </is>
      </c>
      <c r="C164" s="28" t="inlineStr">
        <is>
          <t>CARBON</t>
        </is>
      </c>
      <c r="D164" s="29" t="inlineStr">
        <is>
          <t>IRIS2233</t>
        </is>
      </c>
      <c r="E164" s="29" t="inlineStr">
        <is>
          <t>Biswajit Biswal</t>
        </is>
      </c>
      <c r="F164" s="29" t="inlineStr">
        <is>
          <t>Functional</t>
        </is>
      </c>
      <c r="G164" s="29" t="inlineStr">
        <is>
          <t>ESG Executive</t>
        </is>
      </c>
      <c r="H164" s="29" t="inlineStr">
        <is>
          <t>Associate Product Manager – POD Lead</t>
        </is>
      </c>
      <c r="I164" s="29" t="inlineStr">
        <is>
          <t>L3 – Professional / Associate</t>
        </is>
      </c>
      <c r="J164" s="29" t="inlineStr">
        <is>
          <t>B1</t>
        </is>
      </c>
      <c r="K164" s="29" t="inlineStr">
        <is>
          <t>▲ Up</t>
        </is>
      </c>
      <c r="L164" s="29" t="inlineStr">
        <is>
          <t>Product Management</t>
        </is>
      </c>
      <c r="M164" s="29" t="inlineStr">
        <is>
          <t>Product Management</t>
        </is>
      </c>
      <c r="N164" s="29" t="n"/>
      <c r="O164" s="29" t="n">
        <v>20</v>
      </c>
      <c r="P164" s="28" t="inlineStr">
        <is>
          <t>P3 / M2</t>
        </is>
      </c>
      <c r="Q164" s="29" t="inlineStr">
        <is>
          <t>Career / · Team Lead</t>
        </is>
      </c>
      <c r="R164" s="29" t="inlineStr">
        <is>
          <t>4 Enable</t>
        </is>
      </c>
      <c r="S164" s="29" t="inlineStr">
        <is>
          <t>4–7 yrs</t>
        </is>
      </c>
      <c r="T164" s="29" t="inlineStr">
        <is>
          <t>5–8 · 4–8</t>
        </is>
      </c>
      <c r="U164" s="29" t="inlineStr">
        <is>
          <t>Product Manager</t>
        </is>
      </c>
      <c r="V164" s="29" t="inlineStr">
        <is>
          <t>IRIS Vs Competitor Benchmark — SaaS product ladder: Product Manager</t>
        </is>
      </c>
      <c r="W164" s="29" t="inlineStr">
        <is>
          <t>Pragmatic Institute Framework · 37 activities, 7 categories; AIPMM</t>
        </is>
      </c>
      <c r="X164" s="29" t="inlineStr">
        <is>
          <t>Core 3 · Future 3 · Functional 3 · Leadership 2</t>
        </is>
      </c>
      <c r="Y164" s="52" t="n">
        <v>311</v>
      </c>
      <c r="Z164" s="53" t="inlineStr">
        <is>
          <t>IRIS2233</t>
        </is>
      </c>
      <c r="AA164" s="53" t="inlineStr">
        <is>
          <t>Employee</t>
        </is>
      </c>
      <c r="AB164" s="53" t="inlineStr">
        <is>
          <t>Active</t>
        </is>
      </c>
      <c r="AC164" s="53" t="inlineStr">
        <is>
          <t>Biswajit Biswal</t>
        </is>
      </c>
      <c r="AD164" s="54" t="n">
        <v>45372</v>
      </c>
      <c r="AE164" s="53" t="inlineStr">
        <is>
          <t>ESG Executive</t>
        </is>
      </c>
      <c r="AF164" s="53" t="inlineStr">
        <is>
          <t>B.Tech</t>
        </is>
      </c>
      <c r="AG164" s="53" t="inlineStr">
        <is>
          <t>Farzad Wadia</t>
        </is>
      </c>
      <c r="AH164" s="53" t="inlineStr">
        <is>
          <t>N-4</t>
        </is>
      </c>
      <c r="AI164" s="53" t="inlineStr">
        <is>
          <t>Manager</t>
        </is>
      </c>
      <c r="AJ164" s="53" t="inlineStr">
        <is>
          <t>3 years, 8 months, 0 days</t>
        </is>
      </c>
      <c r="AK164" s="53" t="inlineStr">
        <is>
          <t>2 years, 5 months, 4 days</t>
        </is>
      </c>
      <c r="AL164" s="53" t="inlineStr">
        <is>
          <t>Regtech</t>
        </is>
      </c>
      <c r="AM164" s="53" t="inlineStr">
        <is>
          <t>CARBON</t>
        </is>
      </c>
      <c r="AN164" s="53" t="inlineStr">
        <is>
          <t>Functional</t>
        </is>
      </c>
      <c r="AO164" s="53" t="inlineStr">
        <is>
          <t>Client Engagement</t>
        </is>
      </c>
      <c r="AP164" s="53" t="inlineStr">
        <is>
          <t>No</t>
        </is>
      </c>
      <c r="AQ164" s="53" t="inlineStr">
        <is>
          <t>Client Engagement</t>
        </is>
      </c>
      <c r="AR164" s="53" t="inlineStr">
        <is>
          <t>ESG</t>
        </is>
      </c>
      <c r="AS164" s="53" t="inlineStr">
        <is>
          <t>Non-technical</t>
        </is>
      </c>
      <c r="AT164" s="53" t="n">
        <v>20</v>
      </c>
      <c r="AU164" s="53" t="inlineStr">
        <is>
          <t>Covered</t>
        </is>
      </c>
      <c r="AV164" s="53" t="inlineStr">
        <is>
          <t>IRIS2233</t>
        </is>
      </c>
      <c r="AW164" s="53" t="inlineStr">
        <is>
          <t>Biswajit Biswal</t>
        </is>
      </c>
      <c r="AX164" s="53" t="inlineStr">
        <is>
          <t>Functional</t>
        </is>
      </c>
      <c r="AY164" s="53" t="inlineStr">
        <is>
          <t>Consulting</t>
        </is>
      </c>
      <c r="AZ164" s="53" t="inlineStr">
        <is>
          <t>Product Management</t>
        </is>
      </c>
      <c r="BA164" s="53" t="inlineStr">
        <is>
          <t>Consulting</t>
        </is>
      </c>
      <c r="BB164" s="53" t="inlineStr">
        <is>
          <t>Product Management</t>
        </is>
      </c>
      <c r="BC164" s="53" t="inlineStr">
        <is>
          <t>Employee</t>
        </is>
      </c>
      <c r="BD164" s="53" t="inlineStr">
        <is>
          <t>Farzad Wadia</t>
        </is>
      </c>
      <c r="BE164" s="53" t="inlineStr">
        <is>
          <t>Farzad Wadia</t>
        </is>
      </c>
      <c r="BF164" s="53" t="inlineStr">
        <is>
          <t>No</t>
        </is>
      </c>
      <c r="BG164" s="53" t="inlineStr">
        <is>
          <t>ESG Executive</t>
        </is>
      </c>
      <c r="BH164" s="53" t="inlineStr">
        <is>
          <t>Product Manager - ESG</t>
        </is>
      </c>
      <c r="BI164" s="53" t="inlineStr">
        <is>
          <t>Yes</t>
        </is>
      </c>
      <c r="BJ164" s="53" t="n">
        <v>3</v>
      </c>
      <c r="BK164" s="53" t="n">
        <v>1</v>
      </c>
      <c r="BL164" s="53" t="n">
        <v>2</v>
      </c>
      <c r="BM164" s="53" t="inlineStr">
        <is>
          <t>Review</t>
        </is>
      </c>
      <c r="BN164" s="53" t="n">
        <v>3</v>
      </c>
      <c r="BO164" s="53" t="n">
        <v>1</v>
      </c>
      <c r="BP164" s="53" t="n">
        <v>2</v>
      </c>
      <c r="BQ164" s="53" t="inlineStr">
        <is>
          <t>Review</t>
        </is>
      </c>
      <c r="BR164" s="53" t="inlineStr">
        <is>
          <t>No</t>
        </is>
      </c>
      <c r="BS164" s="53" t="inlineStr">
        <is>
          <t>L3 – Professional / Associate</t>
        </is>
      </c>
      <c r="BT164" s="53" t="inlineStr">
        <is>
          <t>L3 – Professional / Associate</t>
        </is>
      </c>
      <c r="BU164" s="53" t="inlineStr">
        <is>
          <t>Designation refined from Raw tab Comments column · this update</t>
        </is>
      </c>
      <c r="BV164" s="53" t="inlineStr">
        <is>
          <t>Refer to a separate sheet</t>
        </is>
      </c>
      <c r="BW164" s="53" t="n"/>
      <c r="BX164" s="53" t="inlineStr">
        <is>
          <t>No input received — attended/was listed as a respondent but did not provide answers to any of the survey questions.</t>
        </is>
      </c>
      <c r="BY164" s="53" t="n"/>
      <c r="BZ164" s="53" t="inlineStr">
        <is>
          <t>IRIS2233</t>
        </is>
      </c>
      <c r="CA164" s="53" t="inlineStr">
        <is>
          <t>Employee</t>
        </is>
      </c>
      <c r="CB164" s="53" t="inlineStr">
        <is>
          <t>Active</t>
        </is>
      </c>
      <c r="CC164" s="53" t="inlineStr">
        <is>
          <t>Biswajit Biswal</t>
        </is>
      </c>
      <c r="CD164" s="54" t="n">
        <v>45372</v>
      </c>
      <c r="CE164" s="53" t="inlineStr">
        <is>
          <t>ESG Executive</t>
        </is>
      </c>
      <c r="CF164" s="53" t="inlineStr">
        <is>
          <t>Stakeholder Management and Product Roadmap for ESG product.</t>
        </is>
      </c>
      <c r="CG164" s="53" t="inlineStr">
        <is>
          <t>Consulting  Services</t>
        </is>
      </c>
      <c r="CH164" s="53" t="inlineStr">
        <is>
          <t>Product Management</t>
        </is>
      </c>
      <c r="CI164" s="53" t="inlineStr">
        <is>
          <t>ESG Executive</t>
        </is>
      </c>
      <c r="CJ164" s="53" t="inlineStr">
        <is>
          <t>L3 – Professional / Associate</t>
        </is>
      </c>
      <c r="CK164" s="53" t="inlineStr">
        <is>
          <t>Farzad Wadia</t>
        </is>
      </c>
      <c r="CL164" s="53" t="inlineStr">
        <is>
          <t>N-4</t>
        </is>
      </c>
      <c r="CM164" s="53" t="inlineStr">
        <is>
          <t>Player Cum Coach</t>
        </is>
      </c>
      <c r="CN164" s="53" t="inlineStr">
        <is>
          <t>Regtech</t>
        </is>
      </c>
      <c r="CO164" s="53" t="inlineStr">
        <is>
          <t>Functional</t>
        </is>
      </c>
      <c r="CP164" s="53" t="inlineStr">
        <is>
          <t>5 years, 10 months, 30 days</t>
        </is>
      </c>
      <c r="CQ164" s="53" t="inlineStr">
        <is>
          <t>Sr.Product Specialist - ESG</t>
        </is>
      </c>
      <c r="CR164" s="53" t="inlineStr">
        <is>
          <t>No</t>
        </is>
      </c>
      <c r="CS164" s="53" t="n">
        <v>4</v>
      </c>
      <c r="CT164" s="53" t="inlineStr">
        <is>
          <t>High</t>
        </is>
      </c>
      <c r="CU164" s="53" t="inlineStr">
        <is>
          <t>High Impact / Growth Talent</t>
        </is>
      </c>
      <c r="CV164" s="53" t="inlineStr">
        <is>
          <t>No</t>
        </is>
      </c>
      <c r="CW164" s="53" t="inlineStr">
        <is>
          <t>No</t>
        </is>
      </c>
      <c r="CX164" s="53" t="inlineStr">
        <is>
          <t>Yes</t>
        </is>
      </c>
      <c r="CY164" s="53" t="n"/>
      <c r="CZ164" s="53" t="inlineStr">
        <is>
          <t>-Presentation and Communication, Management, System Thinking, AI</t>
        </is>
      </c>
      <c r="DA164" s="53" t="n"/>
      <c r="DB164" s="53" t="inlineStr">
        <is>
          <t>Can see him being promotion ready by end of year. Title to be standardized to: Product Manager - ESG</t>
        </is>
      </c>
      <c r="DC164" s="53" t="n"/>
      <c r="DD164" s="53" t="n"/>
      <c r="DE164" s="53" t="n"/>
      <c r="DF164" s="53" t="n"/>
      <c r="DG164" s="53" t="n"/>
      <c r="DH164" s="53" t="n"/>
      <c r="DI164" s="53" t="n"/>
      <c r="DJ164" s="53" t="n"/>
      <c r="DK164" s="53" t="n"/>
      <c r="DL164" s="53" t="n"/>
      <c r="DM164" s="53" t="n"/>
      <c r="DN164" s="53" t="n"/>
      <c r="DO164" s="53" t="n"/>
      <c r="DP164" s="53" t="n"/>
      <c r="DQ164" s="53" t="n"/>
      <c r="DR164" s="53" t="n"/>
      <c r="DS164" s="53" t="n"/>
      <c r="DT164" s="53" t="n"/>
      <c r="DU164" s="53" t="n"/>
      <c r="DV164" s="53" t="n"/>
      <c r="DW164" s="53" t="n"/>
      <c r="DX164" s="53" t="n"/>
      <c r="DY164" s="53" t="n"/>
      <c r="DZ164" s="53" t="n"/>
      <c r="EA164" s="53" t="n"/>
      <c r="EB164" s="53" t="n"/>
      <c r="EC164" s="53" t="n"/>
      <c r="ED164" s="53" t="n"/>
      <c r="EE164" s="53" t="n"/>
      <c r="EF164" s="53" t="n"/>
      <c r="EG164" s="53" t="n"/>
      <c r="EH164" s="53" t="n"/>
      <c r="EI164" s="53" t="n"/>
      <c r="EJ164" s="53" t="n"/>
      <c r="EK164" s="53" t="n"/>
      <c r="EL164" s="53" t="n"/>
      <c r="EM164" s="53" t="n"/>
      <c r="EN164" s="53" t="n"/>
      <c r="EO164" s="53" t="n"/>
      <c r="EP164" s="53" t="n"/>
      <c r="EQ164" s="53" t="n"/>
      <c r="ER164" s="53" t="n"/>
      <c r="ES164" s="53" t="n"/>
      <c r="ET164" s="53" t="n"/>
      <c r="EU164" s="53" t="n"/>
      <c r="EV164" s="53" t="n"/>
      <c r="EW164" s="52" t="n"/>
      <c r="EX164" s="53" t="inlineStr">
        <is>
          <t>• Role / sub-team: Functional — ESG Executive.
• Core purpose: Input not given by Participant.
• Decision-making autonomy: Input not given by Participant.
• Is this something only they do: Input not given by Participant.</t>
        </is>
      </c>
      <c r="EY164" s="53" t="inlineStr">
        <is>
          <t>• Key responsibilities include: Input not given by Participant.
• Impact if missed or done wrong: Input not given by Participant.
• How measured: Input not given by Participant.</t>
        </is>
      </c>
      <c r="EZ164" s="53" t="inlineStr">
        <is>
          <t>• Current capabilities: Input not given by Participant.
• Tools / software used: Input not given by Participant.</t>
        </is>
      </c>
      <c r="FA164" s="53" t="inlineStr">
        <is>
          <t>• Development priorities: Input not given by Participant.</t>
        </is>
      </c>
      <c r="FB164" s="53" t="inlineStr">
        <is>
          <t>• Key challenges: Input not given by Participant.
• Support required: Input not given by Participant.</t>
        </is>
      </c>
      <c r="FC164" s="53" t="n"/>
      <c r="FD164" s="53" t="n"/>
      <c r="FE164" s="57" t="inlineStr">
        <is>
          <t>Refer to a separate sheet</t>
        </is>
      </c>
      <c r="FF164" s="56" t="n"/>
      <c r="FG164" s="56" t="n"/>
      <c r="FH164" s="56" t="n"/>
      <c r="FI164" s="56" t="inlineStr">
        <is>
          <t>Stakeholder Management and Product Roadmap for ESG product.</t>
        </is>
      </c>
      <c r="FJ164" s="56" t="inlineStr">
        <is>
          <t>Received · manager annual</t>
        </is>
      </c>
      <c r="FK164" s="56" t="inlineStr">
        <is>
          <t>CARBON Mapping Master · CARBON Talent Mapping · Raw</t>
        </is>
      </c>
      <c r="FL164" s="56" t="n">
        <v>20</v>
      </c>
      <c r="FM164" s="56" t="inlineStr">
        <is>
          <t>• Role / sub-team: Functional — ESG Executive.
• Core purpose: Input not given by Participant.
• Decision-making autonomy: Input not given by Participant.
• Is this something only they do: Input not given by Participant.</t>
        </is>
      </c>
      <c r="FN164" s="56" t="inlineStr">
        <is>
          <t>• Key responsibilities include: Input not given by Participant.
• Impact if missed or done wrong: Input not given by Participant.
• How measured: Input not given by Participant.</t>
        </is>
      </c>
      <c r="FO164" s="56" t="inlineStr">
        <is>
          <t>• Current capabilities: Input not given by Participant.
• Tools / software used: Input not given by Participant.</t>
        </is>
      </c>
      <c r="FP164" s="56" t="inlineStr">
        <is>
          <t>• Development priorities: Input not given by Participant.</t>
        </is>
      </c>
      <c r="FQ164" s="56" t="inlineStr">
        <is>
          <t>• Key challenges: Input not given by Participant.
• Support required: Input not given by Participant.</t>
        </is>
      </c>
      <c r="FR164" s="56" t="inlineStr">
        <is>
          <t>Complexity: Evidence reads like B1: Writes PRDs, builds prototypes, market and competitor research, functional testing for ESG product → moved up 1
Autonomy: Evidence reads like B1: Decides product ideas and product roadmap → moved up 0.5
Accountability: Evidence reads like B1: Final product functionality, requirements and handover to engineering → moved up 0.5
Leadership: Evidence reads like A3: Hand-holds developers and manages cross-functional stakeholders; 1 direct report → moved down 0.5
Business Impact: Moved +0.5: the survey / manager mapping marks it business-critical.</t>
        </is>
      </c>
      <c r="FS164"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64" s="56" t="inlineStr">
        <is>
          <t>Self-identified: Product &amp; tool knowledge · Strategy &amp; business acumen · Marketing &amp; content · Broader exposure &amp; ownership
For the next role: Product &amp; tool knowledge · Strategy &amp; business acumen · Marketing &amp; content · Broader exposure &amp; ownership</t>
        </is>
      </c>
      <c r="FU164" s="56" t="inlineStr">
        <is>
          <t>Per-person summary · CARBON Mapping Master</t>
        </is>
      </c>
    </row>
    <row r="165" ht="90" customHeight="1">
      <c r="A165" s="51" t="inlineStr">
        <is>
          <t>◂ Back</t>
        </is>
      </c>
      <c r="B165" s="29" t="inlineStr">
        <is>
          <t>Mapped</t>
        </is>
      </c>
      <c r="C165" s="28" t="inlineStr">
        <is>
          <t>CARBON</t>
        </is>
      </c>
      <c r="D165" s="29" t="inlineStr">
        <is>
          <t>IRIS2493</t>
        </is>
      </c>
      <c r="E165" s="29" t="inlineStr">
        <is>
          <t>Watan Kumar Meena</t>
        </is>
      </c>
      <c r="F165" s="29" t="inlineStr">
        <is>
          <t>Functional</t>
        </is>
      </c>
      <c r="G165" s="29" t="inlineStr">
        <is>
          <t>Product Associate</t>
        </is>
      </c>
      <c r="H165" s="29" t="inlineStr">
        <is>
          <t>Senior Product Associate</t>
        </is>
      </c>
      <c r="I165" s="29" t="inlineStr">
        <is>
          <t>L3 – Professional / Associate</t>
        </is>
      </c>
      <c r="J165" s="29" t="inlineStr">
        <is>
          <t>A3</t>
        </is>
      </c>
      <c r="K165" s="29" t="inlineStr">
        <is>
          <t>▲ Up</t>
        </is>
      </c>
      <c r="L165" s="29" t="inlineStr">
        <is>
          <t>Product Management</t>
        </is>
      </c>
      <c r="M165" s="29" t="inlineStr">
        <is>
          <t>Product Management</t>
        </is>
      </c>
      <c r="N165" s="29" t="n"/>
      <c r="O165" s="29" t="n">
        <v>19</v>
      </c>
      <c r="P165" s="28" t="inlineStr">
        <is>
          <t>P2</t>
        </is>
      </c>
      <c r="Q165" s="29" t="inlineStr">
        <is>
          <t>Developing</t>
        </is>
      </c>
      <c r="R165" s="29" t="inlineStr">
        <is>
          <t>3 Apply</t>
        </is>
      </c>
      <c r="S165" s="29" t="inlineStr">
        <is>
          <t>2–4 yrs</t>
        </is>
      </c>
      <c r="T165" s="29" t="inlineStr">
        <is>
          <t>3–5 · 2–5</t>
        </is>
      </c>
      <c r="U165" s="29" t="inlineStr">
        <is>
          <t>Associate Product Manager</t>
        </is>
      </c>
      <c r="V165" s="29" t="inlineStr">
        <is>
          <t>IRIS Vs Competitor Benchmark — SaaS product ladder: Associate PM</t>
        </is>
      </c>
      <c r="W165" s="29" t="inlineStr">
        <is>
          <t>Pragmatic Institute Framework · 37 activities, 7 categories; AIPMM</t>
        </is>
      </c>
      <c r="X165" s="29" t="inlineStr">
        <is>
          <t>Core 2 · Future 2 · Functional 3 · Leadership not scored</t>
        </is>
      </c>
      <c r="Y165" s="52" t="n">
        <v>466</v>
      </c>
      <c r="Z165" s="53" t="inlineStr">
        <is>
          <t>IRIS2493</t>
        </is>
      </c>
      <c r="AA165" s="53" t="inlineStr">
        <is>
          <t>Employee</t>
        </is>
      </c>
      <c r="AB165" s="53" t="inlineStr">
        <is>
          <t>Active</t>
        </is>
      </c>
      <c r="AC165" s="53" t="inlineStr">
        <is>
          <t>Watan Kumar Meena</t>
        </is>
      </c>
      <c r="AD165" s="54" t="n">
        <v>46097</v>
      </c>
      <c r="AE165" s="53" t="inlineStr">
        <is>
          <t>Product Associate</t>
        </is>
      </c>
      <c r="AF165" s="53" t="inlineStr">
        <is>
          <t>B.Tech</t>
        </is>
      </c>
      <c r="AG165" s="53" t="inlineStr">
        <is>
          <t>Biswajit Biswal</t>
        </is>
      </c>
      <c r="AH165" s="53" t="inlineStr">
        <is>
          <t>N-5</t>
        </is>
      </c>
      <c r="AI165" s="53" t="inlineStr">
        <is>
          <t>Individual Contributor</t>
        </is>
      </c>
      <c r="AJ165" s="53" t="inlineStr">
        <is>
          <t>4 years, 5 months, 0 days</t>
        </is>
      </c>
      <c r="AK165" s="53" t="inlineStr">
        <is>
          <t>0 years, 5 months, 9 days</t>
        </is>
      </c>
      <c r="AL165" s="53" t="inlineStr">
        <is>
          <t>Regtech</t>
        </is>
      </c>
      <c r="AM165" s="53" t="inlineStr">
        <is>
          <t>CARBON</t>
        </is>
      </c>
      <c r="AN165" s="53" t="inlineStr">
        <is>
          <t>Functional</t>
        </is>
      </c>
      <c r="AO165" s="53" t="inlineStr">
        <is>
          <t>Client Engagement</t>
        </is>
      </c>
      <c r="AP165" s="53" t="inlineStr">
        <is>
          <t>No</t>
        </is>
      </c>
      <c r="AQ165" s="53" t="inlineStr">
        <is>
          <t>Client Engagement</t>
        </is>
      </c>
      <c r="AR165" s="53" t="inlineStr">
        <is>
          <t>CE</t>
        </is>
      </c>
      <c r="AS165" s="53" t="inlineStr">
        <is>
          <t>Non-technical</t>
        </is>
      </c>
      <c r="AT165" s="53" t="n">
        <v>20</v>
      </c>
      <c r="AU165" s="53" t="inlineStr">
        <is>
          <t>Covered</t>
        </is>
      </c>
      <c r="AV165" s="53" t="inlineStr">
        <is>
          <t>IRIS2493</t>
        </is>
      </c>
      <c r="AW165" s="53" t="inlineStr">
        <is>
          <t>Watan Kumar Meena</t>
        </is>
      </c>
      <c r="AX165" s="53" t="inlineStr">
        <is>
          <t>Functional</t>
        </is>
      </c>
      <c r="AY165" s="53" t="inlineStr">
        <is>
          <t>Consulting</t>
        </is>
      </c>
      <c r="AZ165" s="53" t="inlineStr">
        <is>
          <t>Product Management</t>
        </is>
      </c>
      <c r="BA165" s="53" t="inlineStr">
        <is>
          <t>Consulting</t>
        </is>
      </c>
      <c r="BB165" s="53" t="n"/>
      <c r="BC165" s="53" t="inlineStr">
        <is>
          <t>Employee</t>
        </is>
      </c>
      <c r="BD165" s="53" t="inlineStr">
        <is>
          <t>Biswajit Biswal</t>
        </is>
      </c>
      <c r="BE165" s="53" t="inlineStr">
        <is>
          <t>Biswajit Biswal</t>
        </is>
      </c>
      <c r="BF165" s="53" t="inlineStr">
        <is>
          <t>No</t>
        </is>
      </c>
      <c r="BG165" s="53" t="inlineStr">
        <is>
          <t>Product Associate</t>
        </is>
      </c>
      <c r="BH165" s="53" t="inlineStr">
        <is>
          <t>Product Specialist - ESG</t>
        </is>
      </c>
      <c r="BI165" s="53" t="inlineStr">
        <is>
          <t>Yes</t>
        </is>
      </c>
      <c r="BJ165" s="53" t="inlineStr">
        <is>
          <t>—</t>
        </is>
      </c>
      <c r="BK165" s="53" t="inlineStr">
        <is>
          <t>—</t>
        </is>
      </c>
      <c r="BL165" s="53" t="inlineStr">
        <is>
          <t>—</t>
        </is>
      </c>
      <c r="BM165" s="53" t="inlineStr">
        <is>
          <t>Not a manager</t>
        </is>
      </c>
      <c r="BN165" s="53" t="inlineStr">
        <is>
          <t>—</t>
        </is>
      </c>
      <c r="BO165" s="53" t="inlineStr">
        <is>
          <t>—</t>
        </is>
      </c>
      <c r="BP165" s="53" t="inlineStr">
        <is>
          <t>—</t>
        </is>
      </c>
      <c r="BQ165" s="53" t="inlineStr">
        <is>
          <t>Not a manager</t>
        </is>
      </c>
      <c r="BR165" s="53" t="inlineStr">
        <is>
          <t>—</t>
        </is>
      </c>
      <c r="BS165" s="53" t="inlineStr">
        <is>
          <t>L3 – Professional / Associate</t>
        </is>
      </c>
      <c r="BT165" s="53" t="inlineStr">
        <is>
          <t>L3 – Professional / Associate</t>
        </is>
      </c>
      <c r="BU165" s="53" t="inlineStr">
        <is>
          <t>No exact Title Hierarchy match — retained current record value</t>
        </is>
      </c>
      <c r="BV165" s="53" t="inlineStr">
        <is>
          <t>`</t>
        </is>
      </c>
      <c r="BW165" s="53" t="n"/>
      <c r="BX165" s="53" t="inlineStr">
        <is>
          <t>Esg.</t>
        </is>
      </c>
      <c r="BY165" s="53" t="inlineStr">
        <is>
          <t>Farzad Wadia</t>
        </is>
      </c>
      <c r="BZ165" s="53" t="inlineStr">
        <is>
          <t>IRIS2493</t>
        </is>
      </c>
      <c r="CA165" s="53" t="inlineStr">
        <is>
          <t>Employee</t>
        </is>
      </c>
      <c r="CB165" s="53" t="inlineStr">
        <is>
          <t>Active</t>
        </is>
      </c>
      <c r="CC165" s="53" t="inlineStr">
        <is>
          <t>Watan Kumar Meena</t>
        </is>
      </c>
      <c r="CD165" s="54" t="n">
        <v>46097</v>
      </c>
      <c r="CE165" s="53" t="inlineStr">
        <is>
          <t>Product Associate</t>
        </is>
      </c>
      <c r="CF165" s="53" t="inlineStr">
        <is>
          <t>Reports to Watan &amp; helps in product implemntation</t>
        </is>
      </c>
      <c r="CG165" s="53" t="inlineStr">
        <is>
          <t>Consulting  Services</t>
        </is>
      </c>
      <c r="CH165" s="53" t="inlineStr">
        <is>
          <t>Product Management</t>
        </is>
      </c>
      <c r="CI165" s="53" t="inlineStr">
        <is>
          <t>Product Associate</t>
        </is>
      </c>
      <c r="CJ165" s="53" t="inlineStr">
        <is>
          <t>L3 – Professional / Associate</t>
        </is>
      </c>
      <c r="CK165" s="53" t="inlineStr">
        <is>
          <t>Biswajit Biswal</t>
        </is>
      </c>
      <c r="CL165" s="53" t="inlineStr">
        <is>
          <t>N-5</t>
        </is>
      </c>
      <c r="CM165" s="53" t="inlineStr">
        <is>
          <t>Individual Contributor</t>
        </is>
      </c>
      <c r="CN165" s="53" t="inlineStr">
        <is>
          <t>Regtech</t>
        </is>
      </c>
      <c r="CO165" s="53" t="inlineStr">
        <is>
          <t>Functional</t>
        </is>
      </c>
      <c r="CP165" s="53" t="inlineStr">
        <is>
          <t>4 years, 8 months, 4 days</t>
        </is>
      </c>
      <c r="CQ165" s="53" t="inlineStr">
        <is>
          <t>Product Specialist - ESG</t>
        </is>
      </c>
      <c r="CR165" s="53" t="inlineStr">
        <is>
          <t>No</t>
        </is>
      </c>
      <c r="CS165" s="53" t="n">
        <v>3</v>
      </c>
      <c r="CT165" s="53" t="inlineStr">
        <is>
          <t>Medium</t>
        </is>
      </c>
      <c r="CU165" s="53" t="inlineStr">
        <is>
          <t>Emerging Talent</t>
        </is>
      </c>
      <c r="CV165" s="53" t="inlineStr">
        <is>
          <t>No</t>
        </is>
      </c>
      <c r="CW165" s="53" t="inlineStr">
        <is>
          <t>No</t>
        </is>
      </c>
      <c r="CX165" s="53" t="inlineStr">
        <is>
          <t>Yes</t>
        </is>
      </c>
      <c r="CY165" s="53" t="n"/>
      <c r="CZ165" s="53" t="inlineStr">
        <is>
          <t>-Communication, Time Management, AI, Domain</t>
        </is>
      </c>
      <c r="DA165" s="53" t="n"/>
      <c r="DB165" s="53" t="n"/>
      <c r="DC165" s="53" t="n"/>
      <c r="DD165" s="53" t="n"/>
      <c r="DE165" s="53" t="n"/>
      <c r="DF165" s="53" t="n"/>
      <c r="DG165" s="53" t="n"/>
      <c r="DH165" s="53" t="n"/>
      <c r="DI165" s="53" t="n"/>
      <c r="DJ165" s="53" t="n"/>
      <c r="DK165" s="53" t="n"/>
      <c r="DL165" s="53" t="n"/>
      <c r="DM165" s="53" t="n"/>
      <c r="DN165" s="53" t="n"/>
      <c r="DO165" s="53" t="n"/>
      <c r="DP165" s="53" t="n"/>
      <c r="DQ165" s="53" t="n"/>
      <c r="DR165" s="53" t="n"/>
      <c r="DS165" s="53" t="n"/>
      <c r="DT165" s="53" t="n"/>
      <c r="DU165" s="53" t="n"/>
      <c r="DV165" s="53" t="n"/>
      <c r="DW165" s="53" t="n"/>
      <c r="DX165" s="53" t="n"/>
      <c r="DY165" s="53" t="n"/>
      <c r="DZ165" s="53" t="n"/>
      <c r="EA165" s="53" t="n"/>
      <c r="EB165" s="53" t="n"/>
      <c r="EC165" s="53" t="n"/>
      <c r="ED165" s="53" t="n"/>
      <c r="EE165" s="53" t="n"/>
      <c r="EF165" s="53" t="n"/>
      <c r="EG165" s="53" t="n"/>
      <c r="EH165" s="53" t="n"/>
      <c r="EI165" s="53" t="n"/>
      <c r="EJ165" s="53" t="n"/>
      <c r="EK165" s="53" t="n"/>
      <c r="EL165" s="53" t="n"/>
      <c r="EM165" s="53" t="n"/>
      <c r="EN165" s="53" t="n"/>
      <c r="EO165" s="53" t="n"/>
      <c r="EP165" s="53" t="n"/>
      <c r="EQ165" s="53" t="n"/>
      <c r="ER165" s="53" t="n"/>
      <c r="ES165" s="53" t="n"/>
      <c r="ET165" s="53" t="n"/>
      <c r="EU165" s="53" t="n"/>
      <c r="EV165" s="53" t="n"/>
      <c r="EW165" s="52" t="n"/>
      <c r="EX165" s="53"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EY165" s="53"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EZ165" s="53" t="inlineStr">
        <is>
          <t>• Current capabilities: Basic level coding; Prototype creation.
• Tools / software used: Claude code; Vscode; Excel; Coffe machine.
• Workload: Rated a moderate load · 3/5 in a typical week.
• Judgment/way of working: Stakeholders engagement; Customer oriented thinking.</t>
        </is>
      </c>
      <c r="FA165" s="53" t="inlineStr">
        <is>
          <t>• Development priorities: Building Gtm strategy.
• Learning and Development Need: Cross team collaboration. Nothing.
• Role evolving toward: Initially it was all PRD , now Prototype creation with claude code.</t>
        </is>
      </c>
      <c r="FB165" s="53" t="inlineStr">
        <is>
          <t>• Key challenges: Travelling to office.
• Support required: Competetor tools demo.</t>
        </is>
      </c>
      <c r="FC165" s="53" t="n"/>
      <c r="FD165" s="53" t="n"/>
      <c r="FE165" s="57" t="inlineStr">
        <is>
          <t>`</t>
        </is>
      </c>
      <c r="FF165" s="56" t="n"/>
      <c r="FG165" s="56" t="n"/>
      <c r="FH165" s="56" t="n"/>
      <c r="FI165" s="56" t="inlineStr">
        <is>
          <t>Reports to Watan &amp; helps in product implemntation</t>
        </is>
      </c>
      <c r="FJ165" s="56" t="inlineStr">
        <is>
          <t>Received · manager annual</t>
        </is>
      </c>
      <c r="FK165" s="56" t="inlineStr">
        <is>
          <t>CARBON Talent Mapping · Raw · HR Super Master v1.12.2 sheet 3</t>
        </is>
      </c>
      <c r="FL165" s="56" t="n">
        <v>19</v>
      </c>
      <c r="FM165" s="56"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FN165" s="56"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FO165" s="56" t="inlineStr">
        <is>
          <t>• Current capabilities: Basic level coding; Prototype creation.
• Tools / software used: Claude code; Vscode; Excel; Coffe machine.
• Workload: Rated a moderate load · 3/5 in a typical week.
• Judgment/way of working: Stakeholders engagement; Customer oriented thinking.</t>
        </is>
      </c>
      <c r="FP165" s="56" t="inlineStr">
        <is>
          <t>• Development priorities: Building Gtm strategy.
• Learning and Development Need: Cross team collaboration. Nothing.
• Role evolving toward: Initially it was all PRD , now Prototype creation with claude code.</t>
        </is>
      </c>
      <c r="FQ165" s="56" t="inlineStr">
        <is>
          <t>• Key challenges: Travelling to office.
• Support required: Competetor tools demo.</t>
        </is>
      </c>
      <c r="FR165" s="56" t="inlineStr">
        <is>
          <t>Complexity: Evidence reads like A3: Creates PRDs and prototypes for ESG client features using basic coding → moved up 0.5
Autonomy: Evidence reads like A2: Only stakeholder engagement named as an independent decision → matches the start
Accountability: Evidence reads like A3: Feature success metrics and client feedback; redesigns feature if results are poor → moved up 0.5
Leadership: Evidence reads like A2: Helps development team build features; no guiding role → moved up 0.5
Business Impact: Moved +0.5: the survey / manager mapping marks it business-critical.</t>
        </is>
      </c>
      <c r="FS165"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165" s="56" t="inlineStr">
        <is>
          <t>Self-identified: Strategy &amp; business acumen
For the next role: Strategy &amp; business acumen</t>
        </is>
      </c>
      <c r="FU165" s="56" t="inlineStr">
        <is>
          <t>Per-person summary · CARBON Mapping Master</t>
        </is>
      </c>
    </row>
    <row r="166" ht="90" customHeight="1">
      <c r="A166" s="51" t="inlineStr">
        <is>
          <t>◂ Back</t>
        </is>
      </c>
      <c r="B166" s="29" t="inlineStr">
        <is>
          <t>Mapped</t>
        </is>
      </c>
      <c r="C166" s="28" t="inlineStr">
        <is>
          <t>CARBON</t>
        </is>
      </c>
      <c r="D166" s="29" t="inlineStr">
        <is>
          <t>IRIS2519</t>
        </is>
      </c>
      <c r="E166" s="29" t="inlineStr">
        <is>
          <t>Karthik Menon</t>
        </is>
      </c>
      <c r="F166" s="29" t="inlineStr">
        <is>
          <t>Functional</t>
        </is>
      </c>
      <c r="G166" s="29" t="inlineStr">
        <is>
          <t>ESG Functional Consultant</t>
        </is>
      </c>
      <c r="H166" s="29" t="inlineStr">
        <is>
          <t>Functional Specialist</t>
        </is>
      </c>
      <c r="I166" s="29" t="inlineStr">
        <is>
          <t>L3 – Professional / Associate</t>
        </is>
      </c>
      <c r="J166" s="29" t="inlineStr">
        <is>
          <t>B1</t>
        </is>
      </c>
      <c r="K166" s="29" t="inlineStr">
        <is>
          <t>▲ Up</t>
        </is>
      </c>
      <c r="L166" s="29" t="inlineStr">
        <is>
          <t>Customer Success &amp; Support</t>
        </is>
      </c>
      <c r="M166" s="29" t="inlineStr">
        <is>
          <t>Application &amp; Product Support</t>
        </is>
      </c>
      <c r="N166" s="29" t="n"/>
      <c r="O166" s="29" t="n">
        <v>19</v>
      </c>
      <c r="P166" s="28" t="inlineStr">
        <is>
          <t>P3 / M2</t>
        </is>
      </c>
      <c r="Q166" s="29" t="inlineStr">
        <is>
          <t>Career / · Team Lead</t>
        </is>
      </c>
      <c r="R166" s="29" t="inlineStr">
        <is>
          <t>4 Enable</t>
        </is>
      </c>
      <c r="S166" s="29" t="inlineStr">
        <is>
          <t>4–7 yrs</t>
        </is>
      </c>
      <c r="T166" s="29" t="inlineStr">
        <is>
          <t>5–8 · 4–8</t>
        </is>
      </c>
      <c r="U166" s="29" t="inlineStr">
        <is>
          <t>Senior Executive / CSM</t>
        </is>
      </c>
      <c r="V166" s="29" t="inlineStr">
        <is>
          <t>Workiva: Customer Success Manager · IRIS Vs Competitor Benchmark — SaaS customer-success ladder: CSM · IRIS Vs Competitor Benchmark — support tiers: L3 / Problem Analyst</t>
        </is>
      </c>
      <c r="W166" s="29" t="inlineStr">
        <is>
          <t>TSIA frameworks and benchmarks; ITIL 4 service desk; Gainsight customer-success practice</t>
        </is>
      </c>
      <c r="X166" s="29" t="inlineStr">
        <is>
          <t>Core 3 · Future 3 · Functional 3 · Leadership 1</t>
        </is>
      </c>
      <c r="Y166" s="52" t="n">
        <v>490</v>
      </c>
      <c r="Z166" s="53" t="inlineStr">
        <is>
          <t>IRIS2519</t>
        </is>
      </c>
      <c r="AA166" s="53" t="inlineStr">
        <is>
          <t>Employee</t>
        </is>
      </c>
      <c r="AB166" s="53" t="inlineStr">
        <is>
          <t>Active</t>
        </is>
      </c>
      <c r="AC166" s="53" t="inlineStr">
        <is>
          <t>Karthik Menon</t>
        </is>
      </c>
      <c r="AD166" s="54" t="n">
        <v>46128</v>
      </c>
      <c r="AE166" s="53" t="inlineStr">
        <is>
          <t>ESG Functional Consultant</t>
        </is>
      </c>
      <c r="AF166" s="53" t="inlineStr">
        <is>
          <t>MBA</t>
        </is>
      </c>
      <c r="AG166" s="53" t="inlineStr">
        <is>
          <t>Farzad Wadia</t>
        </is>
      </c>
      <c r="AH166" s="53" t="inlineStr">
        <is>
          <t>N-4</t>
        </is>
      </c>
      <c r="AI166" s="53" t="inlineStr">
        <is>
          <t>Individual Contributor</t>
        </is>
      </c>
      <c r="AJ166" s="53" t="inlineStr">
        <is>
          <t>5 years, 9 months, 0 days</t>
        </is>
      </c>
      <c r="AK166" s="53" t="inlineStr">
        <is>
          <t>0 years, 4 months, 9 days</t>
        </is>
      </c>
      <c r="AL166" s="53" t="inlineStr">
        <is>
          <t>Regtech</t>
        </is>
      </c>
      <c r="AM166" s="53" t="inlineStr">
        <is>
          <t>CARBON</t>
        </is>
      </c>
      <c r="AN166" s="53" t="inlineStr">
        <is>
          <t>Functional</t>
        </is>
      </c>
      <c r="AO166" s="53" t="inlineStr">
        <is>
          <t>Client Engagement</t>
        </is>
      </c>
      <c r="AP166" s="53" t="inlineStr">
        <is>
          <t>No</t>
        </is>
      </c>
      <c r="AQ166" s="53" t="inlineStr">
        <is>
          <t>Client Engagement</t>
        </is>
      </c>
      <c r="AR166" s="53" t="inlineStr">
        <is>
          <t>CE</t>
        </is>
      </c>
      <c r="AS166" s="53" t="inlineStr">
        <is>
          <t>Non-technical</t>
        </is>
      </c>
      <c r="AT166" s="53" t="n">
        <v>20</v>
      </c>
      <c r="AU166" s="53" t="inlineStr">
        <is>
          <t>Covered</t>
        </is>
      </c>
      <c r="AV166" s="53" t="inlineStr">
        <is>
          <t>IRIS2519</t>
        </is>
      </c>
      <c r="AW166" s="53" t="inlineStr">
        <is>
          <t>Karthik Menon</t>
        </is>
      </c>
      <c r="AX166" s="53" t="inlineStr">
        <is>
          <t>Functional</t>
        </is>
      </c>
      <c r="AY166" s="53" t="inlineStr">
        <is>
          <t>Consulting</t>
        </is>
      </c>
      <c r="AZ166" s="53" t="inlineStr">
        <is>
          <t>Solutions Consulting Pre-sales</t>
        </is>
      </c>
      <c r="BA166" s="53" t="inlineStr">
        <is>
          <t>Consulting</t>
        </is>
      </c>
      <c r="BB166" s="53" t="inlineStr">
        <is>
          <t>ESG Advisory</t>
        </is>
      </c>
      <c r="BC166" s="53" t="inlineStr">
        <is>
          <t>Employee</t>
        </is>
      </c>
      <c r="BD166" s="53" t="inlineStr">
        <is>
          <t>Farzad Wadia</t>
        </is>
      </c>
      <c r="BE166" s="53" t="inlineStr">
        <is>
          <t>Farzad Wadia</t>
        </is>
      </c>
      <c r="BF166" s="53" t="inlineStr">
        <is>
          <t>No</t>
        </is>
      </c>
      <c r="BG166" s="53" t="inlineStr">
        <is>
          <t>ESG Functional Consultant</t>
        </is>
      </c>
      <c r="BH166" s="53" t="inlineStr">
        <is>
          <t>Sr.Functional Specialist - ESG</t>
        </is>
      </c>
      <c r="BI166" s="53" t="inlineStr">
        <is>
          <t>Yes</t>
        </is>
      </c>
      <c r="BJ166" s="53" t="inlineStr">
        <is>
          <t>—</t>
        </is>
      </c>
      <c r="BK166" s="53" t="inlineStr">
        <is>
          <t>—</t>
        </is>
      </c>
      <c r="BL166" s="53" t="inlineStr">
        <is>
          <t>—</t>
        </is>
      </c>
      <c r="BM166" s="53" t="inlineStr">
        <is>
          <t>Not a manager</t>
        </is>
      </c>
      <c r="BN166" s="53" t="inlineStr">
        <is>
          <t>—</t>
        </is>
      </c>
      <c r="BO166" s="53" t="inlineStr">
        <is>
          <t>—</t>
        </is>
      </c>
      <c r="BP166" s="53" t="inlineStr">
        <is>
          <t>—</t>
        </is>
      </c>
      <c r="BQ166" s="53" t="inlineStr">
        <is>
          <t>Not a manager</t>
        </is>
      </c>
      <c r="BR166" s="53" t="inlineStr">
        <is>
          <t>—</t>
        </is>
      </c>
      <c r="BS166" s="53" t="inlineStr">
        <is>
          <t>L3 – Professional / Associate</t>
        </is>
      </c>
      <c r="BT166" s="53" t="inlineStr">
        <is>
          <t>L2</t>
        </is>
      </c>
      <c r="BU166" s="53" t="inlineStr">
        <is>
          <t>Matched from Title Hierarchy · new designation</t>
        </is>
      </c>
      <c r="BV166" s="53" t="inlineStr">
        <is>
          <t>Refer to a separate sheet</t>
        </is>
      </c>
      <c r="BW166" s="53" t="n"/>
      <c r="BX166" s="53" t="inlineStr">
        <is>
          <t>Global.</t>
        </is>
      </c>
      <c r="BY166" s="53" t="n"/>
      <c r="BZ166" s="53" t="inlineStr">
        <is>
          <t>IRIS2519</t>
        </is>
      </c>
      <c r="CA166" s="53" t="inlineStr">
        <is>
          <t>Employee</t>
        </is>
      </c>
      <c r="CB166" s="53" t="inlineStr">
        <is>
          <t>Active</t>
        </is>
      </c>
      <c r="CC166" s="53" t="inlineStr">
        <is>
          <t>Karthik Menon</t>
        </is>
      </c>
      <c r="CD166" s="54" t="n">
        <v>46128</v>
      </c>
      <c r="CE166" s="53" t="inlineStr">
        <is>
          <t>ESG Functional Consultant</t>
        </is>
      </c>
      <c r="CF166" s="53" t="inlineStr">
        <is>
          <t>Gives product Demo &amp; helps in implementation</t>
        </is>
      </c>
      <c r="CG166" s="53" t="inlineStr">
        <is>
          <t>Consulting  Services</t>
        </is>
      </c>
      <c r="CH166" s="53" t="inlineStr">
        <is>
          <t>ESG Advisory</t>
        </is>
      </c>
      <c r="CI166" s="53" t="inlineStr">
        <is>
          <t>ESG Functional Consultant</t>
        </is>
      </c>
      <c r="CJ166" s="53" t="inlineStr">
        <is>
          <t>L3 – Professional / Associate</t>
        </is>
      </c>
      <c r="CK166" s="53" t="inlineStr">
        <is>
          <t>Farzad Wadia</t>
        </is>
      </c>
      <c r="CL166" s="53" t="inlineStr">
        <is>
          <t>N-4</t>
        </is>
      </c>
      <c r="CM166" s="53" t="inlineStr">
        <is>
          <t>Individual Contributor</t>
        </is>
      </c>
      <c r="CN166" s="53" t="inlineStr">
        <is>
          <t>Regtech</t>
        </is>
      </c>
      <c r="CO166" s="53" t="inlineStr">
        <is>
          <t>Functional</t>
        </is>
      </c>
      <c r="CP166" s="53" t="inlineStr">
        <is>
          <t>5 years, 11 months, 4 days</t>
        </is>
      </c>
      <c r="CQ166" s="53" t="inlineStr">
        <is>
          <t>Sr.Functional Specialist - ESG</t>
        </is>
      </c>
      <c r="CR166" s="53" t="inlineStr">
        <is>
          <t>No</t>
        </is>
      </c>
      <c r="CS166" s="53" t="n">
        <v>4</v>
      </c>
      <c r="CT166" s="53" t="inlineStr">
        <is>
          <t>High</t>
        </is>
      </c>
      <c r="CU166" s="53" t="inlineStr">
        <is>
          <t>High Impact / Growth Talent</t>
        </is>
      </c>
      <c r="CV166" s="53" t="inlineStr">
        <is>
          <t>No</t>
        </is>
      </c>
      <c r="CW166" s="53" t="inlineStr">
        <is>
          <t>No</t>
        </is>
      </c>
      <c r="CX166" s="53" t="inlineStr">
        <is>
          <t>Yes</t>
        </is>
      </c>
      <c r="CY166" s="53" t="n"/>
      <c r="CZ166" s="53" t="inlineStr">
        <is>
          <t>-Communication, AI</t>
        </is>
      </c>
      <c r="DA166" s="53" t="n"/>
      <c r="DB166" s="53" t="inlineStr">
        <is>
          <t>Can see him being promotion ready by end of year</t>
        </is>
      </c>
      <c r="DC166" s="53" t="n"/>
      <c r="DD166" s="53" t="n"/>
      <c r="DE166" s="53" t="n"/>
      <c r="DF166" s="53" t="n"/>
      <c r="DG166" s="53" t="n"/>
      <c r="DH166" s="53" t="n"/>
      <c r="DI166" s="53" t="n"/>
      <c r="DJ166" s="53" t="n"/>
      <c r="DK166" s="53" t="n"/>
      <c r="DL166" s="53" t="n"/>
      <c r="DM166" s="53" t="n"/>
      <c r="DN166" s="53" t="n"/>
      <c r="DO166" s="53" t="n"/>
      <c r="DP166" s="53" t="n"/>
      <c r="DQ166" s="53" t="n"/>
      <c r="DR166" s="53" t="n"/>
      <c r="DS166" s="53" t="n"/>
      <c r="DT166" s="53" t="n"/>
      <c r="DU166" s="53" t="n"/>
      <c r="DV166" s="53" t="n"/>
      <c r="DW166" s="53" t="n"/>
      <c r="DX166" s="53" t="n"/>
      <c r="DY166" s="53" t="n"/>
      <c r="DZ166" s="53" t="n"/>
      <c r="EA166" s="53" t="n"/>
      <c r="EB166" s="53" t="n"/>
      <c r="EC166" s="53" t="n"/>
      <c r="ED166" s="53" t="n"/>
      <c r="EE166" s="53" t="n"/>
      <c r="EF166" s="53" t="n"/>
      <c r="EG166" s="53" t="n"/>
      <c r="EH166" s="53" t="n"/>
      <c r="EI166" s="53" t="n"/>
      <c r="EJ166" s="53" t="n"/>
      <c r="EK166" s="53" t="n"/>
      <c r="EL166" s="53" t="n"/>
      <c r="EM166" s="53" t="n"/>
      <c r="EN166" s="53" t="n"/>
      <c r="EO166" s="53" t="n"/>
      <c r="EP166" s="53" t="n"/>
      <c r="EQ166" s="53" t="n"/>
      <c r="ER166" s="53" t="n"/>
      <c r="ES166" s="53" t="n"/>
      <c r="ET166" s="53" t="n"/>
      <c r="EU166" s="53" t="n"/>
      <c r="EV166" s="53" t="n"/>
      <c r="EW166" s="52" t="n"/>
      <c r="EX166" s="53"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EY166" s="53"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EZ166" s="53"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FA166" s="53"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B166" s="53" t="inlineStr">
        <is>
          <t>• Key challenges: Nothing.
• Support required: None for now.</t>
        </is>
      </c>
      <c r="FC166" s="53" t="n"/>
      <c r="FD166" s="53" t="n"/>
      <c r="FE166" s="57" t="inlineStr">
        <is>
          <t>Refer to a separate sheet</t>
        </is>
      </c>
      <c r="FF166" s="56" t="n"/>
      <c r="FG166" s="56" t="n"/>
      <c r="FH166" s="56" t="n"/>
      <c r="FI166" s="56" t="inlineStr">
        <is>
          <t>Gives product Demo &amp; helps in implementation</t>
        </is>
      </c>
      <c r="FJ166" s="56" t="inlineStr">
        <is>
          <t>Received · manager annual</t>
        </is>
      </c>
      <c r="FK166" s="56" t="inlineStr">
        <is>
          <t>CARBON Mapping Master · CARBON Talent Mapping · Raw</t>
        </is>
      </c>
      <c r="FL166" s="56" t="n">
        <v>19</v>
      </c>
      <c r="FM166" s="56"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FN166" s="56"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FO166" s="56"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FP166" s="56"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Q166" s="56" t="inlineStr">
        <is>
          <t>• Key challenges: Nothing.
• Support required: None for now.</t>
        </is>
      </c>
      <c r="FR166" s="56" t="inlineStr">
        <is>
          <t>Complexity: Evidence reads like A3: Builds sales material, tracks deals in CRM, ESG market research, reviews product releases → moved down 0.5
Autonomy: Evidence reads like A2: Raises product requirements, reviews releases, follows up prospects; works closely with manager → moved down 1
Accountability: Evidence reads like A3: Deal tracking, CRM hygiene and prospect follow-ups affecting conversion → moved down 0.5
Leadership: Evidence reads like A1: No guidance of others described; being 'number 2' is an aspiration → moved down 1
Business Impact: Moved +0.5: the survey / manager mapping marks it business-critical.</t>
        </is>
      </c>
      <c r="FS166"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166" s="56" t="inlineStr">
        <is>
          <t>Self-identified: AI / automation · Client, sales &amp; stakeholders · Broader exposure &amp; ownership
For the next role: AI / automation · Client, sales &amp; stakeholders · Broader exposure &amp; ownership</t>
        </is>
      </c>
      <c r="FU166" s="56" t="inlineStr">
        <is>
          <t>Per-person summary · CARBON Mapping Master</t>
        </is>
      </c>
    </row>
    <row r="167" ht="90" customHeight="1">
      <c r="A167" s="51" t="inlineStr">
        <is>
          <t>◂ Back</t>
        </is>
      </c>
      <c r="B167" s="29" t="inlineStr">
        <is>
          <t>Mapped</t>
        </is>
      </c>
      <c r="C167" s="28" t="inlineStr">
        <is>
          <t>CARBON</t>
        </is>
      </c>
      <c r="D167" s="29" t="inlineStr">
        <is>
          <t>IRIS2491</t>
        </is>
      </c>
      <c r="E167" s="29" t="inlineStr">
        <is>
          <t>Ritik Wadje</t>
        </is>
      </c>
      <c r="F167" s="29" t="inlineStr">
        <is>
          <t>Technology</t>
        </is>
      </c>
      <c r="G167" s="29" t="inlineStr">
        <is>
          <t>Product Designer</t>
        </is>
      </c>
      <c r="H167" s="29" t="inlineStr">
        <is>
          <t>Senior Product Designer</t>
        </is>
      </c>
      <c r="I167" s="29" t="inlineStr">
        <is>
          <t>L3 – Professional / Associate</t>
        </is>
      </c>
      <c r="J167" s="29" t="inlineStr">
        <is>
          <t>A3</t>
        </is>
      </c>
      <c r="K167" s="29" t="inlineStr">
        <is>
          <t>▲ Up</t>
        </is>
      </c>
      <c r="L167" s="29" t="inlineStr">
        <is>
          <t>Design &amp; Creative</t>
        </is>
      </c>
      <c r="M167" s="29" t="inlineStr">
        <is>
          <t>UX / UI Design</t>
        </is>
      </c>
      <c r="N167" s="29" t="n"/>
      <c r="O167" s="29" t="n">
        <v>20</v>
      </c>
      <c r="P167" s="28" t="inlineStr">
        <is>
          <t>P2</t>
        </is>
      </c>
      <c r="Q167" s="29" t="inlineStr">
        <is>
          <t>Developing</t>
        </is>
      </c>
      <c r="R167" s="29" t="inlineStr">
        <is>
          <t>3 Apply</t>
        </is>
      </c>
      <c r="S167" s="29" t="inlineStr">
        <is>
          <t>2–4 yrs</t>
        </is>
      </c>
      <c r="T167" s="29" t="inlineStr">
        <is>
          <t>3–5 · 2–5</t>
        </is>
      </c>
      <c r="U167" s="29" t="inlineStr">
        <is>
          <t>Designer</t>
        </is>
      </c>
      <c r="V167" s="29" t="inlineStr">
        <is>
          <t>IRIS Vs Competitor Benchmark — UX / design ladder: Designer</t>
        </is>
      </c>
      <c r="W167" s="29" t="inlineStr">
        <is>
          <t>UX career ladder Junior → Designer → Senior → Lead → Principal; WCAG accessibility</t>
        </is>
      </c>
      <c r="X167" s="29" t="inlineStr">
        <is>
          <t>Core 2 · Future 2 · Functional 3 · Leadership not scored</t>
        </is>
      </c>
      <c r="Y167" s="52" t="n">
        <v>464</v>
      </c>
      <c r="Z167" s="53" t="inlineStr">
        <is>
          <t>IRIS2491</t>
        </is>
      </c>
      <c r="AA167" s="53" t="inlineStr">
        <is>
          <t>Employee</t>
        </is>
      </c>
      <c r="AB167" s="53" t="inlineStr">
        <is>
          <t>Active</t>
        </is>
      </c>
      <c r="AC167" s="53" t="inlineStr">
        <is>
          <t>Ritik Wadje</t>
        </is>
      </c>
      <c r="AD167" s="54" t="n">
        <v>46090</v>
      </c>
      <c r="AE167" s="53" t="inlineStr">
        <is>
          <t>Product Designer</t>
        </is>
      </c>
      <c r="AF167" s="53" t="inlineStr">
        <is>
          <t>B.E</t>
        </is>
      </c>
      <c r="AG167" s="53" t="inlineStr">
        <is>
          <t>Farzad Wadia</t>
        </is>
      </c>
      <c r="AH167" s="53" t="inlineStr">
        <is>
          <t>N-4</t>
        </is>
      </c>
      <c r="AI167" s="53" t="inlineStr">
        <is>
          <t>Individual Contributor</t>
        </is>
      </c>
      <c r="AJ167" s="53" t="inlineStr">
        <is>
          <t>3 years, 5 months, 0 days</t>
        </is>
      </c>
      <c r="AK167" s="53" t="inlineStr">
        <is>
          <t>0 years, 5 months, 16 days</t>
        </is>
      </c>
      <c r="AL167" s="53" t="inlineStr">
        <is>
          <t>Regtech</t>
        </is>
      </c>
      <c r="AM167" s="53" t="inlineStr">
        <is>
          <t>CARBON</t>
        </is>
      </c>
      <c r="AN167" s="53" t="inlineStr">
        <is>
          <t>Technology</t>
        </is>
      </c>
      <c r="AO167" s="53" t="inlineStr">
        <is>
          <t>Development</t>
        </is>
      </c>
      <c r="AP167" s="53" t="inlineStr">
        <is>
          <t>Yes</t>
        </is>
      </c>
      <c r="AQ167" s="53" t="inlineStr">
        <is>
          <t>Product/Project</t>
        </is>
      </c>
      <c r="AR167" s="53" t="inlineStr">
        <is>
          <t>UI/UX Designer</t>
        </is>
      </c>
      <c r="AS167" s="53" t="inlineStr">
        <is>
          <t>Technical - Developer</t>
        </is>
      </c>
      <c r="AT167" s="53" t="n">
        <v>20</v>
      </c>
      <c r="AU167" s="53" t="inlineStr">
        <is>
          <t>Covered</t>
        </is>
      </c>
      <c r="AV167" s="53" t="inlineStr">
        <is>
          <t>IRIS2491</t>
        </is>
      </c>
      <c r="AW167" s="53" t="inlineStr">
        <is>
          <t>Ritik Wadje</t>
        </is>
      </c>
      <c r="AX167" s="53" t="inlineStr">
        <is>
          <t>Functional</t>
        </is>
      </c>
      <c r="AY167" s="53" t="inlineStr">
        <is>
          <t>Product &amp; Design</t>
        </is>
      </c>
      <c r="AZ167" s="53" t="inlineStr">
        <is>
          <t>Product Design / UI-UX</t>
        </is>
      </c>
      <c r="BA167" s="53" t="inlineStr">
        <is>
          <t>Consulting</t>
        </is>
      </c>
      <c r="BB167" s="53" t="n"/>
      <c r="BC167" s="53" t="inlineStr">
        <is>
          <t>Employee</t>
        </is>
      </c>
      <c r="BD167" s="53" t="inlineStr">
        <is>
          <t>Farzad Wadia</t>
        </is>
      </c>
      <c r="BE167" s="53" t="inlineStr">
        <is>
          <t>Farzad Wadia</t>
        </is>
      </c>
      <c r="BF167" s="53" t="inlineStr">
        <is>
          <t>No</t>
        </is>
      </c>
      <c r="BG167" s="53" t="inlineStr">
        <is>
          <t>Product Designer</t>
        </is>
      </c>
      <c r="BH167" s="53" t="inlineStr">
        <is>
          <t>Product Specialist - UI &amp; UX</t>
        </is>
      </c>
      <c r="BI167" s="53" t="inlineStr">
        <is>
          <t>Yes</t>
        </is>
      </c>
      <c r="BJ167" s="53" t="inlineStr">
        <is>
          <t>—</t>
        </is>
      </c>
      <c r="BK167" s="53" t="inlineStr">
        <is>
          <t>—</t>
        </is>
      </c>
      <c r="BL167" s="53" t="inlineStr">
        <is>
          <t>—</t>
        </is>
      </c>
      <c r="BM167" s="53" t="inlineStr">
        <is>
          <t>Not a manager</t>
        </is>
      </c>
      <c r="BN167" s="53" t="inlineStr">
        <is>
          <t>—</t>
        </is>
      </c>
      <c r="BO167" s="53" t="inlineStr">
        <is>
          <t>—</t>
        </is>
      </c>
      <c r="BP167" s="53" t="inlineStr">
        <is>
          <t>—</t>
        </is>
      </c>
      <c r="BQ167" s="53" t="inlineStr">
        <is>
          <t>Not a manager</t>
        </is>
      </c>
      <c r="BR167" s="53" t="inlineStr">
        <is>
          <t>—</t>
        </is>
      </c>
      <c r="BS167" s="53" t="inlineStr">
        <is>
          <t>L3 – Professional / Associate</t>
        </is>
      </c>
      <c r="BT167" s="53" t="inlineStr">
        <is>
          <t>L3 – Professional / Associate</t>
        </is>
      </c>
      <c r="BU167" s="53" t="inlineStr">
        <is>
          <t>No exact Title Hierarchy match — retained current record value</t>
        </is>
      </c>
      <c r="BV167" s="53" t="inlineStr">
        <is>
          <t>Refer to a separate sheet</t>
        </is>
      </c>
      <c r="BW167" s="53" t="n"/>
      <c r="BX167" s="53" t="inlineStr">
        <is>
          <t>All; Global.</t>
        </is>
      </c>
      <c r="BY167" s="53" t="n"/>
      <c r="BZ167" s="53" t="inlineStr">
        <is>
          <t>IRIS2491</t>
        </is>
      </c>
      <c r="CA167" s="53" t="inlineStr">
        <is>
          <t>Employee</t>
        </is>
      </c>
      <c r="CB167" s="53" t="inlineStr">
        <is>
          <t>Active</t>
        </is>
      </c>
      <c r="CC167" s="53" t="inlineStr">
        <is>
          <t>Ritik Wadje</t>
        </is>
      </c>
      <c r="CD167" s="54" t="n">
        <v>46090</v>
      </c>
      <c r="CE167" s="53" t="inlineStr">
        <is>
          <t>Product Designer</t>
        </is>
      </c>
      <c r="CF167" s="53" t="inlineStr">
        <is>
          <t>UI/UX produc designing</t>
        </is>
      </c>
      <c r="CG167" s="53" t="inlineStr">
        <is>
          <t>Consulting  Services</t>
        </is>
      </c>
      <c r="CH167" s="53" t="inlineStr">
        <is>
          <t>ESG Advisory</t>
        </is>
      </c>
      <c r="CI167" s="53" t="inlineStr">
        <is>
          <t>Product Designer</t>
        </is>
      </c>
      <c r="CJ167" s="53" t="inlineStr">
        <is>
          <t>L3 – Professional / Associate</t>
        </is>
      </c>
      <c r="CK167" s="53" t="inlineStr">
        <is>
          <t>Farzad Wadia</t>
        </is>
      </c>
      <c r="CL167" s="53" t="inlineStr">
        <is>
          <t>N-4</t>
        </is>
      </c>
      <c r="CM167" s="53" t="inlineStr">
        <is>
          <t>Individual Contributor</t>
        </is>
      </c>
      <c r="CN167" s="53" t="inlineStr">
        <is>
          <t>Regtech</t>
        </is>
      </c>
      <c r="CO167" s="53" t="inlineStr">
        <is>
          <t>Functional</t>
        </is>
      </c>
      <c r="CP167" s="53" t="inlineStr">
        <is>
          <t>3 years, 8 months, 11 days</t>
        </is>
      </c>
      <c r="CQ167" s="53" t="inlineStr">
        <is>
          <t>Product Specialist - UI &amp; UX</t>
        </is>
      </c>
      <c r="CR167" s="53" t="inlineStr">
        <is>
          <t>Yes - in the long term.</t>
        </is>
      </c>
      <c r="CS167" s="53" t="n">
        <v>4</v>
      </c>
      <c r="CT167" s="53" t="inlineStr">
        <is>
          <t>High</t>
        </is>
      </c>
      <c r="CU167" s="53" t="inlineStr">
        <is>
          <t>High Impact / Growth Talent</t>
        </is>
      </c>
      <c r="CV167" s="53" t="inlineStr">
        <is>
          <t>No</t>
        </is>
      </c>
      <c r="CW167" s="53" t="inlineStr">
        <is>
          <t>No</t>
        </is>
      </c>
      <c r="CX167" s="53" t="inlineStr">
        <is>
          <t>Yes</t>
        </is>
      </c>
      <c r="CY167" s="53" t="n"/>
      <c r="CZ167" s="53" t="inlineStr">
        <is>
          <t>-None at this time</t>
        </is>
      </c>
      <c r="DA167" s="53" t="n"/>
      <c r="DB167" s="53" t="n"/>
      <c r="DC167" s="53" t="n"/>
      <c r="DD167" s="53" t="n"/>
      <c r="DE167" s="53" t="n"/>
      <c r="DF167" s="53" t="n"/>
      <c r="DG167" s="53" t="n"/>
      <c r="DH167" s="53" t="n"/>
      <c r="DI167" s="53" t="n"/>
      <c r="DJ167" s="53" t="n"/>
      <c r="DK167" s="53" t="n"/>
      <c r="DL167" s="53" t="n"/>
      <c r="DM167" s="53" t="n"/>
      <c r="DN167" s="53" t="n"/>
      <c r="DO167" s="53" t="n"/>
      <c r="DP167" s="53" t="n"/>
      <c r="DQ167" s="53" t="n"/>
      <c r="DR167" s="53" t="n"/>
      <c r="DS167" s="53" t="n"/>
      <c r="DT167" s="53" t="n"/>
      <c r="DU167" s="53" t="n"/>
      <c r="DV167" s="53" t="n"/>
      <c r="DW167" s="53" t="n"/>
      <c r="DX167" s="53" t="n"/>
      <c r="DY167" s="53" t="n"/>
      <c r="DZ167" s="53" t="n"/>
      <c r="EA167" s="53" t="n"/>
      <c r="EB167" s="53" t="n"/>
      <c r="EC167" s="53" t="n"/>
      <c r="ED167" s="53" t="n"/>
      <c r="EE167" s="53" t="n"/>
      <c r="EF167" s="53" t="n"/>
      <c r="EG167" s="53" t="n"/>
      <c r="EH167" s="53" t="n"/>
      <c r="EI167" s="53" t="n"/>
      <c r="EJ167" s="53" t="n"/>
      <c r="EK167" s="53" t="n"/>
      <c r="EL167" s="53" t="n"/>
      <c r="EM167" s="53" t="n"/>
      <c r="EN167" s="53" t="n"/>
      <c r="EO167" s="53" t="n"/>
      <c r="EP167" s="53" t="n"/>
      <c r="EQ167" s="53" t="n"/>
      <c r="ER167" s="53" t="n"/>
      <c r="ES167" s="53" t="n"/>
      <c r="ET167" s="53" t="n"/>
      <c r="EU167" s="53" t="n"/>
      <c r="EV167" s="53" t="n"/>
      <c r="EW167" s="52" t="n"/>
      <c r="EX167" s="53"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EY167" s="53"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EZ167" s="53"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FA167" s="53"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B167" s="53"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C167" s="53" t="n"/>
      <c r="FD167" s="53" t="n"/>
      <c r="FE167" s="57" t="inlineStr">
        <is>
          <t>Refer to a separate sheet</t>
        </is>
      </c>
      <c r="FF167" s="56" t="n"/>
      <c r="FG167" s="56" t="n"/>
      <c r="FH167" s="56" t="n"/>
      <c r="FI167" s="56" t="inlineStr">
        <is>
          <t>UI/UX produc designing</t>
        </is>
      </c>
      <c r="FJ167" s="56" t="inlineStr">
        <is>
          <t>Received · manager annual</t>
        </is>
      </c>
      <c r="FK167" s="56" t="inlineStr">
        <is>
          <t>CARBON Mapping Master · CARBON Talent Mapping · Raw</t>
        </is>
      </c>
      <c r="FL167" s="56" t="n">
        <v>20</v>
      </c>
      <c r="FM167" s="56"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FN167" s="56"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FO167" s="56"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FP167" s="56"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Q167" s="56"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R167" s="56" t="inlineStr">
        <is>
          <t>Complexity: Evidence reads like B1: Sole designer: end-to-end product and UX design, research, brand assets, setting up design processes → moved up 0.5
Autonomy: Evidence reads like A3: Plans design sprints, research and competitor analysis independently → matches the start
Accountability: Evidence reads like A3: Whole design process alone; reviews whether builds match Figma designs → matches the start
Leadership: Evidence reads like A2: No reports; collaborates with developers and reviews their implementation → matches the start
Business Impact: Moved +0.5: the survey / manager mapping marks it business-critical.</t>
        </is>
      </c>
      <c r="FS167" s="56" t="n"/>
      <c r="FT167" s="56" t="inlineStr">
        <is>
          <t>Self-identified: Answered · no common topic
For the next role: Answered · no common topic</t>
        </is>
      </c>
      <c r="FU167" s="56" t="inlineStr">
        <is>
          <t>Per-person summary · CARBON Mapping Master</t>
        </is>
      </c>
    </row>
    <row r="168" ht="90" customHeight="1">
      <c r="A168" s="51" t="inlineStr">
        <is>
          <t>◂ Back</t>
        </is>
      </c>
      <c r="B168" s="29" t="inlineStr">
        <is>
          <t>Mapped</t>
        </is>
      </c>
      <c r="C168" s="28" t="inlineStr">
        <is>
          <t>CARBON</t>
        </is>
      </c>
      <c r="D168" s="29" t="inlineStr">
        <is>
          <t>IRIS2553</t>
        </is>
      </c>
      <c r="E168" s="29" t="inlineStr">
        <is>
          <t>Prashant Sharad Jadhav</t>
        </is>
      </c>
      <c r="F168" s="29" t="inlineStr">
        <is>
          <t>Marketing</t>
        </is>
      </c>
      <c r="G168" s="29" t="inlineStr">
        <is>
          <t>SDR Manager</t>
        </is>
      </c>
      <c r="H168" s="29" t="inlineStr">
        <is>
          <t>Senior Account Executive – POD Lead</t>
        </is>
      </c>
      <c r="I168" s="29" t="inlineStr">
        <is>
          <t>Not in current mapping files</t>
        </is>
      </c>
      <c r="J168" s="29" t="inlineStr">
        <is>
          <t>B2</t>
        </is>
      </c>
      <c r="K168" s="29" t="inlineStr">
        <is>
          <t>● Newly mapped</t>
        </is>
      </c>
      <c r="L168" s="29" t="inlineStr">
        <is>
          <t>Sales &amp; Business Development</t>
        </is>
      </c>
      <c r="M168" s="29" t="inlineStr">
        <is>
          <t>Sales Development &amp; Prospecting</t>
        </is>
      </c>
      <c r="N168" s="29" t="n"/>
      <c r="O168" s="29" t="n">
        <v>20</v>
      </c>
      <c r="P168" s="28" t="inlineStr">
        <is>
          <t>P4 / M3</t>
        </is>
      </c>
      <c r="Q168" s="29" t="inlineStr">
        <is>
          <t>Senior / Manager</t>
        </is>
      </c>
      <c r="R168" s="29" t="inlineStr">
        <is>
          <t>4–5</t>
        </is>
      </c>
      <c r="S168" s="29" t="inlineStr">
        <is>
          <t>6–9 yrs</t>
        </is>
      </c>
      <c r="T168" s="29" t="inlineStr">
        <is>
          <t>7–10 · 6–11</t>
        </is>
      </c>
      <c r="U168" s="29" t="inlineStr">
        <is>
          <t>Senior Account Executive</t>
        </is>
      </c>
      <c r="V168" s="29" t="inlineStr">
        <is>
          <t>IRIS Vs Competitor Benchmark — SaaS sales ladder — IC: Mid-Market AE · IRIS Vs Competitor Benchmark — SaaS sales ladder — management: Sales Manager</t>
        </is>
      </c>
      <c r="W168" s="29" t="inlineStr">
        <is>
          <t>SaaS sales ladder · SDR → AE → Enterprise AE → VP / CRO; MEDDICC-style qualification</t>
        </is>
      </c>
      <c r="X168" s="29" t="inlineStr">
        <is>
          <t>Core 3 · Future 3 · Functional 4 · Leadership 3</t>
        </is>
      </c>
      <c r="Y168" s="52" t="n">
        <v>526</v>
      </c>
      <c r="Z168" s="53" t="inlineStr">
        <is>
          <t>IRIS2553</t>
        </is>
      </c>
      <c r="AA168" s="53" t="inlineStr">
        <is>
          <t>Employee</t>
        </is>
      </c>
      <c r="AB168" s="53" t="inlineStr">
        <is>
          <t>Active</t>
        </is>
      </c>
      <c r="AC168" s="53" t="inlineStr">
        <is>
          <t>Prashant Sharad Jadhav</t>
        </is>
      </c>
      <c r="AD168" s="54" t="n">
        <v>46244</v>
      </c>
      <c r="AE168" s="53" t="inlineStr">
        <is>
          <t>SDR Manager</t>
        </is>
      </c>
      <c r="AF168" s="53" t="inlineStr">
        <is>
          <t>MBA</t>
        </is>
      </c>
      <c r="AG168" s="53" t="inlineStr">
        <is>
          <t>Anuradha RK</t>
        </is>
      </c>
      <c r="AH168" s="53" t="inlineStr">
        <is>
          <t>N-3</t>
        </is>
      </c>
      <c r="AI168" s="53" t="inlineStr">
        <is>
          <t>Manager</t>
        </is>
      </c>
      <c r="AJ168" s="53" t="inlineStr">
        <is>
          <t>15 years, 11 months, 0 days</t>
        </is>
      </c>
      <c r="AK168" s="53" t="inlineStr">
        <is>
          <t>0 years, 0 months, 15 days</t>
        </is>
      </c>
      <c r="AL168" s="53" t="inlineStr">
        <is>
          <t>Regtech</t>
        </is>
      </c>
      <c r="AM168" s="53" t="inlineStr">
        <is>
          <t>CARBON</t>
        </is>
      </c>
      <c r="AN168" s="53" t="inlineStr">
        <is>
          <t>Marketing</t>
        </is>
      </c>
      <c r="AO168" s="53" t="inlineStr">
        <is>
          <t>Marketing</t>
        </is>
      </c>
      <c r="AP168" s="53" t="inlineStr">
        <is>
          <t>No</t>
        </is>
      </c>
      <c r="AQ168" s="53" t="inlineStr">
        <is>
          <t>Sales, Marketing &amp; Support</t>
        </is>
      </c>
      <c r="AR168" s="53" t="inlineStr">
        <is>
          <t>Marketing</t>
        </is>
      </c>
      <c r="AS168" s="53" t="inlineStr">
        <is>
          <t>Non-technical</t>
        </is>
      </c>
      <c r="AT168" s="53" t="n">
        <v>20</v>
      </c>
      <c r="AU168" s="53" t="inlineStr">
        <is>
          <t>Covered</t>
        </is>
      </c>
      <c r="AV168" s="53" t="inlineStr">
        <is>
          <t>IRIS2553</t>
        </is>
      </c>
      <c r="AW168" s="53" t="inlineStr">
        <is>
          <t>Prashant Sharad Jadhav</t>
        </is>
      </c>
      <c r="AX168" s="53" t="inlineStr">
        <is>
          <t>Marketing</t>
        </is>
      </c>
      <c r="AY168" s="53" t="inlineStr">
        <is>
          <t>Sales &amp; Business Development</t>
        </is>
      </c>
      <c r="AZ168" s="53" t="inlineStr">
        <is>
          <t>Sales Development · SDR</t>
        </is>
      </c>
      <c r="BA168" s="53" t="inlineStr">
        <is>
          <t>Sales &amp; Business Development</t>
        </is>
      </c>
      <c r="BB168" s="53" t="inlineStr">
        <is>
          <t>Sales Development · SDR</t>
        </is>
      </c>
      <c r="BC168" s="53" t="inlineStr">
        <is>
          <t>Employee</t>
        </is>
      </c>
      <c r="BD168" s="53" t="inlineStr">
        <is>
          <t>Anuradha RK</t>
        </is>
      </c>
      <c r="BE168" s="53" t="inlineStr">
        <is>
          <t>Anuradha RK</t>
        </is>
      </c>
      <c r="BF168" s="53" t="inlineStr">
        <is>
          <t>No</t>
        </is>
      </c>
      <c r="BG168" s="53" t="inlineStr">
        <is>
          <t>SDR Manager</t>
        </is>
      </c>
      <c r="BH168" s="53" t="inlineStr">
        <is>
          <t>SDR Manager</t>
        </is>
      </c>
      <c r="BI168" s="53" t="inlineStr">
        <is>
          <t>N/A · new entry</t>
        </is>
      </c>
      <c r="BJ168" s="53" t="inlineStr">
        <is>
          <t>—</t>
        </is>
      </c>
      <c r="BK168" s="53" t="inlineStr">
        <is>
          <t>—</t>
        </is>
      </c>
      <c r="BL168" s="53" t="inlineStr">
        <is>
          <t>—</t>
        </is>
      </c>
      <c r="BM168" s="53" t="inlineStr">
        <is>
          <t>Not a manager</t>
        </is>
      </c>
      <c r="BN168" s="53" t="inlineStr">
        <is>
          <t>—</t>
        </is>
      </c>
      <c r="BO168" s="53" t="inlineStr">
        <is>
          <t>—</t>
        </is>
      </c>
      <c r="BP168" s="53" t="inlineStr">
        <is>
          <t>—</t>
        </is>
      </c>
      <c r="BQ168" s="53" t="inlineStr">
        <is>
          <t>Not a manager</t>
        </is>
      </c>
      <c r="BR168" s="53" t="inlineStr">
        <is>
          <t>—</t>
        </is>
      </c>
      <c r="BS168" s="53" t="n"/>
      <c r="BT168" s="53" t="n"/>
      <c r="BU168" s="53" t="inlineStr">
        <is>
          <t>No designation change — current record value carried forward</t>
        </is>
      </c>
      <c r="BV168" s="53" t="n"/>
      <c r="BW168" s="53" t="n"/>
      <c r="BX168" s="53" t="n"/>
      <c r="BY168" s="53" t="n"/>
      <c r="BZ168" s="53" t="n"/>
      <c r="CA168" s="53" t="n"/>
      <c r="CB168" s="53" t="n"/>
      <c r="CC168" s="53" t="n"/>
      <c r="CD168" s="53" t="n"/>
      <c r="CE168" s="53" t="n"/>
      <c r="CF168" s="53" t="n"/>
      <c r="CG168" s="53" t="n"/>
      <c r="CH168" s="53" t="n"/>
      <c r="CI168" s="53" t="n"/>
      <c r="CJ168" s="53" t="n"/>
      <c r="CK168" s="53" t="n"/>
      <c r="CL168" s="53" t="n"/>
      <c r="CM168" s="53" t="n"/>
      <c r="CN168" s="53" t="n"/>
      <c r="CO168" s="53" t="n"/>
      <c r="CP168" s="53" t="n"/>
      <c r="CQ168" s="53" t="n"/>
      <c r="CR168" s="53" t="n"/>
      <c r="CS168" s="53" t="n"/>
      <c r="CT168" s="53" t="n"/>
      <c r="CU168" s="53" t="n"/>
      <c r="CV168" s="53" t="n"/>
      <c r="CW168" s="53" t="n"/>
      <c r="CX168" s="53" t="n"/>
      <c r="CY168" s="53" t="n"/>
      <c r="CZ168" s="53" t="n"/>
      <c r="DA168" s="53" t="n"/>
      <c r="DB168" s="53" t="n"/>
      <c r="DC168" s="53" t="n"/>
      <c r="DD168" s="53" t="n"/>
      <c r="DE168" s="53" t="n"/>
      <c r="DF168" s="53" t="n"/>
      <c r="DG168" s="53" t="n"/>
      <c r="DH168" s="53" t="n"/>
      <c r="DI168" s="53" t="n"/>
      <c r="DJ168" s="53" t="n"/>
      <c r="DK168" s="53" t="n"/>
      <c r="DL168" s="53" t="n"/>
      <c r="DM168" s="53" t="n"/>
      <c r="DN168" s="53" t="n"/>
      <c r="DO168" s="53" t="n"/>
      <c r="DP168" s="53" t="n"/>
      <c r="DQ168" s="53" t="n"/>
      <c r="DR168" s="53" t="n"/>
      <c r="DS168" s="53" t="n"/>
      <c r="DT168" s="53" t="n"/>
      <c r="DU168" s="53" t="n"/>
      <c r="DV168" s="53" t="n"/>
      <c r="DW168" s="53" t="n"/>
      <c r="DX168" s="53" t="n"/>
      <c r="DY168" s="53" t="n"/>
      <c r="DZ168" s="53" t="n"/>
      <c r="EA168" s="53" t="n"/>
      <c r="EB168" s="53" t="n"/>
      <c r="EC168" s="53" t="n"/>
      <c r="ED168" s="53" t="n"/>
      <c r="EE168" s="53" t="n"/>
      <c r="EF168" s="53" t="n"/>
      <c r="EG168" s="53" t="n"/>
      <c r="EH168" s="53" t="n"/>
      <c r="EI168" s="53" t="n"/>
      <c r="EJ168" s="53" t="n"/>
      <c r="EK168" s="53" t="n"/>
      <c r="EL168" s="53" t="n"/>
      <c r="EM168" s="53" t="n"/>
      <c r="EN168" s="53" t="n"/>
      <c r="EO168" s="53" t="n"/>
      <c r="EP168" s="53" t="n"/>
      <c r="EQ168" s="53" t="n"/>
      <c r="ER168" s="53" t="n"/>
      <c r="ES168" s="53" t="n"/>
      <c r="ET168" s="53" t="n"/>
      <c r="EU168" s="53" t="n"/>
      <c r="EV168" s="53" t="n"/>
      <c r="EW168" s="52" t="n"/>
      <c r="EX168" s="53" t="n"/>
      <c r="EY168" s="53" t="n"/>
      <c r="EZ168" s="53" t="n"/>
      <c r="FA168" s="53" t="n"/>
      <c r="FB168" s="53" t="n"/>
      <c r="FC168" s="53" t="n"/>
      <c r="FD168" s="53" t="n"/>
      <c r="FE168" s="55" t="inlineStr">
        <is>
          <t>KRAs not received · manager to supply</t>
        </is>
      </c>
      <c r="FF168" s="56" t="n"/>
      <c r="FG168" s="56" t="n"/>
      <c r="FH168" s="56" t="n"/>
      <c r="FI168" s="56" t="n"/>
      <c r="FJ168" s="32" t="inlineStr">
        <is>
          <t>KRAs not received · manager to supply</t>
        </is>
      </c>
      <c r="FK168" s="56" t="n"/>
      <c r="FL168" s="56" t="n">
        <v>20</v>
      </c>
      <c r="FM168" s="32" t="inlineStr">
        <is>
          <t>Full survey answers not in the files received · How We Grow export needed · HR</t>
        </is>
      </c>
      <c r="FN168" s="56" t="inlineStr">
        <is>
          <t>—</t>
        </is>
      </c>
      <c r="FO168" s="56" t="inlineStr">
        <is>
          <t>—</t>
        </is>
      </c>
      <c r="FP168" s="56" t="inlineStr">
        <is>
          <t>—</t>
        </is>
      </c>
      <c r="FQ168" s="56" t="inlineStr">
        <is>
          <t>—</t>
        </is>
      </c>
      <c r="FR168" s="56"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like B1: Accountable for the SDR team's qualified meetings, targeting quality and pipeline reporting; three reports → moved down 0.5
Leadership: Evidence reads like B1: Coaches each SDR from call evidence and addresses performance gaps; three direct reports → matches the start
Business Impact: No survey or manager-mapping signal on criticality: kept at the start point.</t>
        </is>
      </c>
      <c r="FS168"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68" s="56" t="inlineStr">
        <is>
          <t>Self-identified: Client, sales &amp; stakeholders · Broader exposure &amp; ownership
For the next role: Client, sales &amp; stakeholders · Strategy &amp; business acumen · Broader exposure &amp; ownership</t>
        </is>
      </c>
      <c r="FU168" s="32" t="inlineStr">
        <is>
          <t>Full survey answers not in the files received · How We Grow export needed · HR</t>
        </is>
      </c>
    </row>
    <row r="169" ht="90" customHeight="1">
      <c r="A169" s="51" t="inlineStr">
        <is>
          <t>◂ Back</t>
        </is>
      </c>
      <c r="B169" s="29" t="inlineStr">
        <is>
          <t>Mapped</t>
        </is>
      </c>
      <c r="C169" s="28" t="inlineStr">
        <is>
          <t>CARBON</t>
        </is>
      </c>
      <c r="D169" s="29" t="inlineStr">
        <is>
          <t>IRIS2412</t>
        </is>
      </c>
      <c r="E169" s="29" t="inlineStr">
        <is>
          <t>Anand Chiluka</t>
        </is>
      </c>
      <c r="F169" s="29" t="inlineStr">
        <is>
          <t>Marketing</t>
        </is>
      </c>
      <c r="G169" s="29" t="inlineStr">
        <is>
          <t>Team Lead SDR</t>
        </is>
      </c>
      <c r="H169" s="29" t="inlineStr">
        <is>
          <t>Account Executive</t>
        </is>
      </c>
      <c r="I169" s="29" t="inlineStr">
        <is>
          <t>L5 – Lead · IC</t>
        </is>
      </c>
      <c r="J169" s="29" t="inlineStr">
        <is>
          <t>B1</t>
        </is>
      </c>
      <c r="K169" s="29" t="inlineStr">
        <is>
          <t>▼ Down · protected</t>
        </is>
      </c>
      <c r="L169" s="29" t="inlineStr">
        <is>
          <t>Sales &amp; Business Development</t>
        </is>
      </c>
      <c r="M169" s="29" t="inlineStr">
        <is>
          <t>Sales Development &amp; Prospecting</t>
        </is>
      </c>
      <c r="N169" s="29" t="n"/>
      <c r="O169" s="29" t="n">
        <v>20</v>
      </c>
      <c r="P169" s="28" t="inlineStr">
        <is>
          <t>P3 / M2</t>
        </is>
      </c>
      <c r="Q169" s="29" t="inlineStr">
        <is>
          <t>Career / · Team Lead</t>
        </is>
      </c>
      <c r="R169" s="29" t="inlineStr">
        <is>
          <t>4 Enable</t>
        </is>
      </c>
      <c r="S169" s="29" t="inlineStr">
        <is>
          <t>4–7 yrs</t>
        </is>
      </c>
      <c r="T169" s="29" t="inlineStr">
        <is>
          <t>5–8 · 4–8</t>
        </is>
      </c>
      <c r="U169" s="29" t="inlineStr">
        <is>
          <t>Account Executive</t>
        </is>
      </c>
      <c r="V169" s="29" t="inlineStr">
        <is>
          <t>IRIS Vs Competitor Benchmark — SaaS sales ladder — IC: Account Executive · SMB · IRIS Vs Competitor Benchmark — SaaS sales ladder — management: SDR Team Lead</t>
        </is>
      </c>
      <c r="W169" s="29" t="inlineStr">
        <is>
          <t>SaaS sales ladder · SDR → AE → Enterprise AE → VP / CRO; MEDDICC-style qualification</t>
        </is>
      </c>
      <c r="X169" s="29" t="inlineStr">
        <is>
          <t>Core 3 · Future 3 · Functional 3 · Leadership 1</t>
        </is>
      </c>
      <c r="Y169" s="52" t="n">
        <v>389</v>
      </c>
      <c r="Z169" s="53" t="inlineStr">
        <is>
          <t>IRIS2412</t>
        </is>
      </c>
      <c r="AA169" s="53" t="inlineStr">
        <is>
          <t>Employee</t>
        </is>
      </c>
      <c r="AB169" s="53" t="inlineStr">
        <is>
          <t>Active</t>
        </is>
      </c>
      <c r="AC169" s="53" t="inlineStr">
        <is>
          <t>Anand Chiluka</t>
        </is>
      </c>
      <c r="AD169" s="54" t="n">
        <v>45873</v>
      </c>
      <c r="AE169" s="53" t="inlineStr">
        <is>
          <t>Team Lead SDR</t>
        </is>
      </c>
      <c r="AF169" s="53" t="inlineStr">
        <is>
          <t>B.E</t>
        </is>
      </c>
      <c r="AG169" s="53" t="inlineStr">
        <is>
          <t>Prashant Sharad Jadhav</t>
        </is>
      </c>
      <c r="AH169" s="53" t="inlineStr">
        <is>
          <t>N-4</t>
        </is>
      </c>
      <c r="AI169" s="53" t="inlineStr">
        <is>
          <t>Individual Contributor</t>
        </is>
      </c>
      <c r="AJ169" s="53" t="inlineStr">
        <is>
          <t>10 years, 0 months, 0 days</t>
        </is>
      </c>
      <c r="AK169" s="53" t="inlineStr">
        <is>
          <t>1 years, 0 months, 21 days</t>
        </is>
      </c>
      <c r="AL169" s="53" t="inlineStr">
        <is>
          <t>Regtech</t>
        </is>
      </c>
      <c r="AM169" s="53" t="inlineStr">
        <is>
          <t>CARBON</t>
        </is>
      </c>
      <c r="AN169" s="53" t="inlineStr">
        <is>
          <t>Marketing</t>
        </is>
      </c>
      <c r="AO169" s="53" t="inlineStr">
        <is>
          <t>Marketing - SDR</t>
        </is>
      </c>
      <c r="AP169" s="53" t="inlineStr">
        <is>
          <t>No</t>
        </is>
      </c>
      <c r="AQ169" s="53" t="inlineStr">
        <is>
          <t>Sales, Marketing &amp; Support</t>
        </is>
      </c>
      <c r="AR169" s="53" t="inlineStr">
        <is>
          <t>Marketing</t>
        </is>
      </c>
      <c r="AS169" s="53" t="inlineStr">
        <is>
          <t>Non-technical</t>
        </is>
      </c>
      <c r="AT169" s="53" t="n">
        <v>20</v>
      </c>
      <c r="AU169" s="53" t="inlineStr">
        <is>
          <t>Covered</t>
        </is>
      </c>
      <c r="AV169" s="53" t="inlineStr">
        <is>
          <t>IRIS2412</t>
        </is>
      </c>
      <c r="AW169" s="53" t="inlineStr">
        <is>
          <t>Anand Chiluka</t>
        </is>
      </c>
      <c r="AX169" s="53" t="inlineStr">
        <is>
          <t>Marketing</t>
        </is>
      </c>
      <c r="AY169" s="53" t="inlineStr">
        <is>
          <t>Sales &amp; Business Development</t>
        </is>
      </c>
      <c r="AZ169" s="53" t="inlineStr">
        <is>
          <t>Sales Development · SDR</t>
        </is>
      </c>
      <c r="BA169" s="53" t="n"/>
      <c r="BB169" s="53" t="n"/>
      <c r="BC169" s="53" t="inlineStr">
        <is>
          <t>Employee</t>
        </is>
      </c>
      <c r="BD169" s="53" t="inlineStr">
        <is>
          <t>Saahit Togaru</t>
        </is>
      </c>
      <c r="BE169" s="53" t="inlineStr">
        <is>
          <t>Saahit Togaru</t>
        </is>
      </c>
      <c r="BF169" s="53" t="inlineStr">
        <is>
          <t>No</t>
        </is>
      </c>
      <c r="BG169" s="53" t="inlineStr">
        <is>
          <t>Team Lead- SDR</t>
        </is>
      </c>
      <c r="BH169" s="53" t="inlineStr">
        <is>
          <t>Sr.Sales Development Rep.</t>
        </is>
      </c>
      <c r="BI169" s="53" t="inlineStr">
        <is>
          <t>Yes</t>
        </is>
      </c>
      <c r="BJ169" s="53" t="inlineStr">
        <is>
          <t>—</t>
        </is>
      </c>
      <c r="BK169" s="53" t="inlineStr">
        <is>
          <t>—</t>
        </is>
      </c>
      <c r="BL169" s="53" t="inlineStr">
        <is>
          <t>—</t>
        </is>
      </c>
      <c r="BM169" s="53" t="inlineStr">
        <is>
          <t>Not a manager</t>
        </is>
      </c>
      <c r="BN169" s="53" t="inlineStr">
        <is>
          <t>—</t>
        </is>
      </c>
      <c r="BO169" s="53" t="inlineStr">
        <is>
          <t>—</t>
        </is>
      </c>
      <c r="BP169" s="53" t="inlineStr">
        <is>
          <t>—</t>
        </is>
      </c>
      <c r="BQ169" s="53" t="inlineStr">
        <is>
          <t>Not a manager</t>
        </is>
      </c>
      <c r="BR169" s="53" t="inlineStr">
        <is>
          <t>—</t>
        </is>
      </c>
      <c r="BS169" s="53" t="inlineStr">
        <is>
          <t>L5 – Lead · IC</t>
        </is>
      </c>
      <c r="BT169" s="53" t="inlineStr">
        <is>
          <t>L5 – Lead · IC</t>
        </is>
      </c>
      <c r="BU169" s="53" t="inlineStr">
        <is>
          <t>No exact Title Hierarchy match — retained current record value</t>
        </is>
      </c>
      <c r="BV169" s="53" t="n"/>
      <c r="BW169" s="53" t="n"/>
      <c r="BX169" s="53" t="inlineStr">
        <is>
          <t>US; CANADA.</t>
        </is>
      </c>
      <c r="BY169" s="53" t="n"/>
      <c r="BZ169" s="53" t="inlineStr">
        <is>
          <t>IRIS2412</t>
        </is>
      </c>
      <c r="CA169" s="53" t="inlineStr">
        <is>
          <t>Employee</t>
        </is>
      </c>
      <c r="CB169" s="53" t="inlineStr">
        <is>
          <t>Active</t>
        </is>
      </c>
      <c r="CC169" s="53" t="inlineStr">
        <is>
          <t>Anand Chiluka</t>
        </is>
      </c>
      <c r="CD169" s="54" t="n">
        <v>45873</v>
      </c>
      <c r="CE169" s="53" t="inlineStr">
        <is>
          <t>Team Lead- SDR</t>
        </is>
      </c>
      <c r="CF169" s="53" t="inlineStr">
        <is>
          <t>Reports to Saahit: Cold calling, Scheduling Demo, Tools used - Linkedin Sales navigator · To fetch number of customers shared by Database Team:</t>
        </is>
      </c>
      <c r="CG169" s="53" t="inlineStr">
        <is>
          <t>Sales &amp; Business Development</t>
        </is>
      </c>
      <c r="CH169" s="53" t="inlineStr">
        <is>
          <t>Sales Development · SDR</t>
        </is>
      </c>
      <c r="CI169" s="53" t="inlineStr">
        <is>
          <t>Team Lead- SDR</t>
        </is>
      </c>
      <c r="CJ169" s="53" t="inlineStr">
        <is>
          <t>L5 – Lead · IC</t>
        </is>
      </c>
      <c r="CK169" s="53" t="inlineStr">
        <is>
          <t>Saahit Togaru</t>
        </is>
      </c>
      <c r="CL169" s="53" t="inlineStr">
        <is>
          <t>N-4</t>
        </is>
      </c>
      <c r="CM169" s="53" t="inlineStr">
        <is>
          <t>Individual Contributor</t>
        </is>
      </c>
      <c r="CN169" s="53" t="inlineStr">
        <is>
          <t>Regtech</t>
        </is>
      </c>
      <c r="CO169" s="53" t="inlineStr">
        <is>
          <t>Marketing</t>
        </is>
      </c>
      <c r="CP169" s="53" t="inlineStr">
        <is>
          <t>10 years, 10 months, 16 days</t>
        </is>
      </c>
      <c r="CQ169" s="53" t="inlineStr">
        <is>
          <t>Sr.Sales Development Rep.</t>
        </is>
      </c>
      <c r="CR169" s="53" t="n"/>
      <c r="CS169" s="53" t="n"/>
      <c r="CT169" s="53" t="n"/>
      <c r="CU169" s="53" t="n"/>
      <c r="CV169" s="53" t="n"/>
      <c r="CW169" s="53" t="inlineStr">
        <is>
          <t>No</t>
        </is>
      </c>
      <c r="CX169" s="53" t="inlineStr">
        <is>
          <t>No</t>
        </is>
      </c>
      <c r="CY169" s="53" t="n"/>
      <c r="CZ169" s="53" t="n"/>
      <c r="DA169" s="53" t="n"/>
      <c r="DB169" s="53" t="inlineStr">
        <is>
          <t>To be mapped to SDR Mgr US - TBH</t>
        </is>
      </c>
      <c r="DC169" s="53" t="n"/>
      <c r="DD169" s="53" t="n"/>
      <c r="DE169" s="53" t="n"/>
      <c r="DF169" s="53" t="n"/>
      <c r="DG169" s="53" t="n"/>
      <c r="DH169" s="53" t="n"/>
      <c r="DI169" s="53" t="n"/>
      <c r="DJ169" s="53" t="n"/>
      <c r="DK169" s="53" t="n"/>
      <c r="DL169" s="53" t="n"/>
      <c r="DM169" s="53" t="n"/>
      <c r="DN169" s="53" t="n"/>
      <c r="DO169" s="53" t="n"/>
      <c r="DP169" s="53" t="n"/>
      <c r="DQ169" s="53" t="n"/>
      <c r="DR169" s="53" t="n"/>
      <c r="DS169" s="53" t="n"/>
      <c r="DT169" s="53" t="n"/>
      <c r="DU169" s="53" t="n"/>
      <c r="DV169" s="53" t="n"/>
      <c r="DW169" s="53" t="n"/>
      <c r="DX169" s="53" t="n"/>
      <c r="DY169" s="53" t="n"/>
      <c r="DZ169" s="53" t="n"/>
      <c r="EA169" s="53" t="n"/>
      <c r="EB169" s="53" t="n"/>
      <c r="EC169" s="53" t="n"/>
      <c r="ED169" s="53" t="n"/>
      <c r="EE169" s="53" t="n"/>
      <c r="EF169" s="53" t="n"/>
      <c r="EG169" s="53" t="n"/>
      <c r="EH169" s="53" t="n"/>
      <c r="EI169" s="53" t="n"/>
      <c r="EJ169" s="53" t="n"/>
      <c r="EK169" s="53" t="n"/>
      <c r="EL169" s="53" t="n"/>
      <c r="EM169" s="53" t="n"/>
      <c r="EN169" s="53" t="n"/>
      <c r="EO169" s="53" t="n"/>
      <c r="EP169" s="53" t="n"/>
      <c r="EQ169" s="53" t="n"/>
      <c r="ER169" s="53" t="n"/>
      <c r="ES169" s="53" t="n"/>
      <c r="ET169" s="53" t="n"/>
      <c r="EU169" s="53" t="n"/>
      <c r="EV169" s="53" t="n"/>
      <c r="EW169" s="52" t="n"/>
      <c r="EX169" s="53"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EY169" s="53"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EZ169" s="53"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FA169" s="53" t="inlineStr">
        <is>
          <t>• Development priorities: More exposure on the product.
• Learning and Development Need: Hubspot training; Mr vijay help abt process. Better understanding on the tools and the process.</t>
        </is>
      </c>
      <c r="FB169" s="53" t="inlineStr">
        <is>
          <t>• Key challenges: Database could be better; laptop lot of times hangs.
• Support required: Could give us wfh, as the role is independent.</t>
        </is>
      </c>
      <c r="FC169" s="53" t="n"/>
      <c r="FD169" s="53" t="n"/>
      <c r="FE169" s="55" t="inlineStr">
        <is>
          <t>KRAs not received · manager to supply</t>
        </is>
      </c>
      <c r="FF169" s="56" t="n"/>
      <c r="FG169" s="56" t="n"/>
      <c r="FH169" s="56" t="n"/>
      <c r="FI169" s="56" t="inlineStr">
        <is>
          <t>Reports to Saahit : Cold calling, Scheduling Demo, Tools used - Linkedin Sales navigator · To fetch number of customers shared by Database Team:</t>
        </is>
      </c>
      <c r="FJ169" s="32" t="inlineStr">
        <is>
          <t>KRAs not received · manager to supply</t>
        </is>
      </c>
      <c r="FK169" s="56" t="inlineStr">
        <is>
          <t>CARBON Talent Mapping · Raw</t>
        </is>
      </c>
      <c r="FL169" s="56" t="n">
        <v>20</v>
      </c>
      <c r="FM169" s="56"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FN169" s="56"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FO169" s="56"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FP169" s="56" t="inlineStr">
        <is>
          <t>• Development priorities: More exposure on the product.
• Learning and Development Need: Hubspot training; Mr vijay help abt process. Better understanding on the tools and the process.</t>
        </is>
      </c>
      <c r="FQ169" s="56" t="inlineStr">
        <is>
          <t>• Key challenges: Database could be better; laptop lot of times hangs.
• Support required: Could give us wfh, as the role is independent.</t>
        </is>
      </c>
      <c r="FR169" s="56" t="inlineStr">
        <is>
          <t>Complexity: Evidence reads like A2: Outreach, cold calling, LinkedIn outreach and database building to get qualified meetings → moved down 0.5
Autonomy: Evidence reads like A2: Decides own outreach emails, calls and number of dials → moved down 0.5
Accountability: Evidence reads like A2: Accountable for own meetings and numbers, including no-shows and cancellations → moved down 0.5
Leadership: Evidence reads like A1: No team leadership described; zero direct reports despite Team Lead title → moved down 0.5
Business Impact: No survey or manager-mapping signal on criticality: kept at the start point.</t>
        </is>
      </c>
      <c r="FS169"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69" s="56" t="inlineStr">
        <is>
          <t>Self-identified: Product &amp; tool knowledge · Broader exposure &amp; ownership
For the next role: Product &amp; tool knowledge · Broader exposure &amp; ownership</t>
        </is>
      </c>
      <c r="FU169" s="56" t="inlineStr">
        <is>
          <t>Per-person summary · CARBON Mapping Master</t>
        </is>
      </c>
    </row>
    <row r="170" ht="90" customHeight="1">
      <c r="A170" s="51" t="inlineStr">
        <is>
          <t>◂ Back</t>
        </is>
      </c>
      <c r="B170" s="29" t="inlineStr">
        <is>
          <t>Mapped</t>
        </is>
      </c>
      <c r="C170" s="28" t="inlineStr">
        <is>
          <t>CARBON</t>
        </is>
      </c>
      <c r="D170" s="29" t="inlineStr">
        <is>
          <t>IRIS2554</t>
        </is>
      </c>
      <c r="E170" s="29" t="inlineStr">
        <is>
          <t>Mausam Thakkar</t>
        </is>
      </c>
      <c r="F170" s="29" t="inlineStr">
        <is>
          <t>Marketing</t>
        </is>
      </c>
      <c r="G170" s="29" t="inlineStr">
        <is>
          <t>Senior Sales Development Representative</t>
        </is>
      </c>
      <c r="H170" s="29" t="inlineStr">
        <is>
          <t>Senior Sales Development Representative</t>
        </is>
      </c>
      <c r="I170" s="29" t="inlineStr">
        <is>
          <t>Not in current mapping files</t>
        </is>
      </c>
      <c r="J170" s="29" t="inlineStr">
        <is>
          <t>A3</t>
        </is>
      </c>
      <c r="K170" s="29" t="inlineStr">
        <is>
          <t>● Newly mapped</t>
        </is>
      </c>
      <c r="L170" s="29" t="inlineStr">
        <is>
          <t>Sales &amp; Business Development</t>
        </is>
      </c>
      <c r="M170" s="29" t="inlineStr">
        <is>
          <t>Sales Development &amp; Prospecting</t>
        </is>
      </c>
      <c r="N170" s="29" t="n"/>
      <c r="O170" s="29" t="n">
        <v>20</v>
      </c>
      <c r="P170" s="28" t="inlineStr">
        <is>
          <t>P2</t>
        </is>
      </c>
      <c r="Q170" s="29" t="inlineStr">
        <is>
          <t>Developing</t>
        </is>
      </c>
      <c r="R170" s="29" t="inlineStr">
        <is>
          <t>3 Apply</t>
        </is>
      </c>
      <c r="S170" s="29" t="inlineStr">
        <is>
          <t>2–4 yrs</t>
        </is>
      </c>
      <c r="T170" s="29" t="inlineStr">
        <is>
          <t>3–5 · 2–5</t>
        </is>
      </c>
      <c r="U170" s="29" t="inlineStr">
        <is>
          <t>SDR / Inside Sales</t>
        </is>
      </c>
      <c r="V170" s="29" t="inlineStr">
        <is>
          <t>IRIS Vs Competitor Benchmark — SaaS sales ladder — IC: Senior SDR</t>
        </is>
      </c>
      <c r="W170" s="29" t="inlineStr">
        <is>
          <t>SaaS sales ladder · SDR → AE → Enterprise AE → VP / CRO; MEDDICC-style qualification</t>
        </is>
      </c>
      <c r="X170" s="29" t="inlineStr">
        <is>
          <t>Core 2 · Future 2 · Functional 3 · Leadership not scored</t>
        </is>
      </c>
      <c r="Y170" s="52" t="n">
        <v>527</v>
      </c>
      <c r="Z170" s="53" t="inlineStr">
        <is>
          <t>IRIS2554</t>
        </is>
      </c>
      <c r="AA170" s="53" t="inlineStr">
        <is>
          <t>Employee</t>
        </is>
      </c>
      <c r="AB170" s="53" t="inlineStr">
        <is>
          <t>Active</t>
        </is>
      </c>
      <c r="AC170" s="53" t="inlineStr">
        <is>
          <t>Mausam Thakkar</t>
        </is>
      </c>
      <c r="AD170" s="54" t="n">
        <v>46244</v>
      </c>
      <c r="AE170" s="53" t="inlineStr">
        <is>
          <t>Senior Sales Development Representative</t>
        </is>
      </c>
      <c r="AF170" s="53" t="inlineStr">
        <is>
          <t>MBA</t>
        </is>
      </c>
      <c r="AG170" s="53" t="inlineStr">
        <is>
          <t>Prashant Sharad Jadhav</t>
        </is>
      </c>
      <c r="AH170" s="53" t="inlineStr">
        <is>
          <t>N-4</t>
        </is>
      </c>
      <c r="AI170" s="53" t="inlineStr">
        <is>
          <t>Individual Contributor</t>
        </is>
      </c>
      <c r="AJ170" s="53" t="inlineStr">
        <is>
          <t>4 years, 10 months, 0 days</t>
        </is>
      </c>
      <c r="AK170" s="53" t="inlineStr">
        <is>
          <t>0 years, 0 months, 15 days</t>
        </is>
      </c>
      <c r="AL170" s="53" t="inlineStr">
        <is>
          <t>Regtech</t>
        </is>
      </c>
      <c r="AM170" s="53" t="inlineStr">
        <is>
          <t>CARBON</t>
        </is>
      </c>
      <c r="AN170" s="53" t="inlineStr">
        <is>
          <t>Marketing</t>
        </is>
      </c>
      <c r="AO170" s="53" t="inlineStr">
        <is>
          <t>Marketing - SDR</t>
        </is>
      </c>
      <c r="AP170" s="53" t="inlineStr">
        <is>
          <t>No</t>
        </is>
      </c>
      <c r="AQ170" s="53" t="inlineStr">
        <is>
          <t>Sales, Marketing &amp; Support</t>
        </is>
      </c>
      <c r="AR170" s="53" t="inlineStr">
        <is>
          <t>Marketing</t>
        </is>
      </c>
      <c r="AS170" s="53" t="inlineStr">
        <is>
          <t>Non-technical</t>
        </is>
      </c>
      <c r="AT170" s="53" t="n">
        <v>20</v>
      </c>
      <c r="AU170" s="53" t="inlineStr">
        <is>
          <t>Covered</t>
        </is>
      </c>
      <c r="AV170" s="53" t="inlineStr">
        <is>
          <t>IRIS2554</t>
        </is>
      </c>
      <c r="AW170" s="53" t="inlineStr">
        <is>
          <t>Mausam Thakkar</t>
        </is>
      </c>
      <c r="AX170" s="53" t="inlineStr">
        <is>
          <t>Marketing</t>
        </is>
      </c>
      <c r="AY170" s="53" t="inlineStr">
        <is>
          <t>Sales &amp; Business Development</t>
        </is>
      </c>
      <c r="AZ170" s="53" t="inlineStr">
        <is>
          <t>Sales Development · SDR</t>
        </is>
      </c>
      <c r="BA170" s="53" t="inlineStr">
        <is>
          <t>Sales &amp; Business Development</t>
        </is>
      </c>
      <c r="BB170" s="53" t="inlineStr">
        <is>
          <t>Sales Development · SDR</t>
        </is>
      </c>
      <c r="BC170" s="53" t="inlineStr">
        <is>
          <t>Employee</t>
        </is>
      </c>
      <c r="BD170" s="53" t="inlineStr">
        <is>
          <t>Anuradha RK</t>
        </is>
      </c>
      <c r="BE170" s="53" t="inlineStr">
        <is>
          <t>Anuradha RK</t>
        </is>
      </c>
      <c r="BF170" s="53" t="inlineStr">
        <is>
          <t>No</t>
        </is>
      </c>
      <c r="BG170" s="53" t="inlineStr">
        <is>
          <t>Senior Sales Development Representative</t>
        </is>
      </c>
      <c r="BH170" s="53" t="inlineStr">
        <is>
          <t>Senior Sales Development Representative</t>
        </is>
      </c>
      <c r="BI170" s="53" t="inlineStr">
        <is>
          <t>N/A · new entry</t>
        </is>
      </c>
      <c r="BJ170" s="53" t="inlineStr">
        <is>
          <t>—</t>
        </is>
      </c>
      <c r="BK170" s="53" t="inlineStr">
        <is>
          <t>—</t>
        </is>
      </c>
      <c r="BL170" s="53" t="inlineStr">
        <is>
          <t>—</t>
        </is>
      </c>
      <c r="BM170" s="53" t="inlineStr">
        <is>
          <t>Not a manager</t>
        </is>
      </c>
      <c r="BN170" s="53" t="inlineStr">
        <is>
          <t>—</t>
        </is>
      </c>
      <c r="BO170" s="53" t="inlineStr">
        <is>
          <t>—</t>
        </is>
      </c>
      <c r="BP170" s="53" t="inlineStr">
        <is>
          <t>—</t>
        </is>
      </c>
      <c r="BQ170" s="53" t="inlineStr">
        <is>
          <t>Not a manager</t>
        </is>
      </c>
      <c r="BR170" s="53" t="inlineStr">
        <is>
          <t>—</t>
        </is>
      </c>
      <c r="BS170" s="53" t="n"/>
      <c r="BT170" s="53" t="n"/>
      <c r="BU170" s="53" t="inlineStr">
        <is>
          <t>No designation change — current record value carried forward</t>
        </is>
      </c>
      <c r="BV170" s="53" t="n"/>
      <c r="BW170" s="53" t="n"/>
      <c r="BX170" s="53" t="inlineStr">
        <is>
          <t>US.</t>
        </is>
      </c>
      <c r="BY170" s="53" t="n"/>
      <c r="BZ170" s="53" t="n"/>
      <c r="CA170" s="53" t="n"/>
      <c r="CB170" s="53" t="n"/>
      <c r="CC170" s="53" t="n"/>
      <c r="CD170" s="53" t="n"/>
      <c r="CE170" s="53" t="n"/>
      <c r="CF170" s="53" t="n"/>
      <c r="CG170" s="53" t="n"/>
      <c r="CH170" s="53" t="n"/>
      <c r="CI170" s="53" t="n"/>
      <c r="CJ170" s="53" t="n"/>
      <c r="CK170" s="53" t="n"/>
      <c r="CL170" s="53" t="n"/>
      <c r="CM170" s="53" t="n"/>
      <c r="CN170" s="53" t="n"/>
      <c r="CO170" s="53" t="n"/>
      <c r="CP170" s="53" t="n"/>
      <c r="CQ170" s="53" t="n"/>
      <c r="CR170" s="53" t="n"/>
      <c r="CS170" s="53" t="n"/>
      <c r="CT170" s="53" t="n"/>
      <c r="CU170" s="53" t="n"/>
      <c r="CV170" s="53" t="n"/>
      <c r="CW170" s="53" t="n"/>
      <c r="CX170" s="53" t="n"/>
      <c r="CY170" s="53" t="n"/>
      <c r="CZ170" s="53" t="n"/>
      <c r="DA170" s="53" t="n"/>
      <c r="DB170" s="53" t="n"/>
      <c r="DC170" s="53" t="n"/>
      <c r="DD170" s="53" t="n"/>
      <c r="DE170" s="53" t="n"/>
      <c r="DF170" s="53" t="n"/>
      <c r="DG170" s="53" t="n"/>
      <c r="DH170" s="53" t="n"/>
      <c r="DI170" s="53" t="n"/>
      <c r="DJ170" s="53" t="n"/>
      <c r="DK170" s="53" t="n"/>
      <c r="DL170" s="53" t="n"/>
      <c r="DM170" s="53" t="n"/>
      <c r="DN170" s="53" t="n"/>
      <c r="DO170" s="53" t="n"/>
      <c r="DP170" s="53" t="n"/>
      <c r="DQ170" s="53" t="n"/>
      <c r="DR170" s="53" t="n"/>
      <c r="DS170" s="53" t="n"/>
      <c r="DT170" s="53" t="n"/>
      <c r="DU170" s="53" t="n"/>
      <c r="DV170" s="53" t="n"/>
      <c r="DW170" s="53" t="n"/>
      <c r="DX170" s="53" t="n"/>
      <c r="DY170" s="53" t="n"/>
      <c r="DZ170" s="53" t="n"/>
      <c r="EA170" s="53" t="n"/>
      <c r="EB170" s="53" t="n"/>
      <c r="EC170" s="53" t="n"/>
      <c r="ED170" s="53" t="n"/>
      <c r="EE170" s="53" t="n"/>
      <c r="EF170" s="53" t="n"/>
      <c r="EG170" s="53" t="n"/>
      <c r="EH170" s="53" t="n"/>
      <c r="EI170" s="53" t="n"/>
      <c r="EJ170" s="53" t="n"/>
      <c r="EK170" s="53" t="n"/>
      <c r="EL170" s="53" t="n"/>
      <c r="EM170" s="53" t="n"/>
      <c r="EN170" s="53" t="n"/>
      <c r="EO170" s="53" t="n"/>
      <c r="EP170" s="53" t="n"/>
      <c r="EQ170" s="53" t="n"/>
      <c r="ER170" s="53" t="n"/>
      <c r="ES170" s="53" t="n"/>
      <c r="ET170" s="53" t="n"/>
      <c r="EU170" s="53" t="n"/>
      <c r="EV170" s="53" t="n"/>
      <c r="EW170" s="52" t="n"/>
      <c r="EX170" s="53"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EY170" s="53"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EZ170" s="53" t="inlineStr">
        <is>
          <t>• Current capabilities: Customise outreach.
• Tools / software used: Zoominfo.
• Workload: Rated a moderate load · 3/5 in a typical week.
• Judgment/way of working: Knowing when to adapt messaging based on prospect cues instead of following a script.</t>
        </is>
      </c>
      <c r="FA170" s="53"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B170" s="53" t="inlineStr">
        <is>
          <t>• Key challenges: Outdated outreach data.
• Support required: Better tools for prospect data enrichment and real-time intent signals to boost outreach conversion.</t>
        </is>
      </c>
      <c r="FC170" s="53" t="n"/>
      <c r="FD170" s="53" t="n"/>
      <c r="FE170" s="55" t="inlineStr">
        <is>
          <t>KRAs not received · manager to supply</t>
        </is>
      </c>
      <c r="FF170" s="56" t="n"/>
      <c r="FG170" s="56" t="n"/>
      <c r="FH170" s="56" t="n"/>
      <c r="FI170" s="56" t="n"/>
      <c r="FJ170" s="32" t="inlineStr">
        <is>
          <t>KRAs not received · manager to supply</t>
        </is>
      </c>
      <c r="FK170" s="56" t="n"/>
      <c r="FL170" s="56" t="n">
        <v>20</v>
      </c>
      <c r="FM170" s="56"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FN170" s="56"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FO170" s="56" t="inlineStr">
        <is>
          <t>• Current capabilities: Customise outreach.
• Tools / software used: Zoominfo.
• Workload: Rated a moderate load · 3/5 in a typical week.
• Judgment/way of working: Knowing when to adapt messaging based on prospect cues instead of following a script.</t>
        </is>
      </c>
      <c r="FP170" s="56"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Q170" s="56" t="inlineStr">
        <is>
          <t>• Key challenges: Outdated outreach data.
• Support required: Better tools for prospect data enrichment and real-time intent signals to boost outreach conversion.</t>
        </is>
      </c>
      <c r="FR170" s="56" t="inlineStr">
        <is>
          <t>Complexity: Evidence reads like A3: ABM outreach to multi-stakeholder enterprise buying committees with tailored messaging, intent tools, 150+ calls → matches the start
Autonomy: Evidence reads like A2: Decides outreach execution only → moved down 0.5
Accountability: Evidence reads like A2: Accountable for own quota of qualified meetings and pipeline opportunities → moved down 0.5
Leadership: Evidence reads like A1: No guidance or leadership of others described → moved down 0.5
Business Impact: No survey or manager-mapping signal on criticality: kept at the start point.</t>
        </is>
      </c>
      <c r="FS170"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70" s="56" t="inlineStr">
        <is>
          <t>Self-identified: Client, sales &amp; stakeholders · Strategy &amp; business acumen · Broader exposure &amp; ownership
For the next role: Client, sales &amp; stakeholders · Strategy &amp; business acumen · Broader exposure &amp; ownership</t>
        </is>
      </c>
      <c r="FU170" s="56" t="inlineStr">
        <is>
          <t>Per-person summary · CARBON Mapping Master</t>
        </is>
      </c>
    </row>
    <row r="171" ht="90" customHeight="1">
      <c r="A171" s="51" t="inlineStr">
        <is>
          <t>◂ Back</t>
        </is>
      </c>
      <c r="B171" s="29" t="inlineStr">
        <is>
          <t>Mapped</t>
        </is>
      </c>
      <c r="C171" s="28" t="inlineStr">
        <is>
          <t>CARBON</t>
        </is>
      </c>
      <c r="D171" s="29" t="inlineStr">
        <is>
          <t>IRIS2546</t>
        </is>
      </c>
      <c r="E171" s="29" t="inlineStr">
        <is>
          <t>Adithya Nair</t>
        </is>
      </c>
      <c r="F171" s="29" t="inlineStr">
        <is>
          <t>Marketing</t>
        </is>
      </c>
      <c r="G171" s="29" t="inlineStr">
        <is>
          <t>Sales Development Representative</t>
        </is>
      </c>
      <c r="H171" s="29" t="inlineStr">
        <is>
          <t>Sales Development Representative</t>
        </is>
      </c>
      <c r="I171" s="29" t="inlineStr">
        <is>
          <t>Not in current mapping files</t>
        </is>
      </c>
      <c r="J171" s="29" t="inlineStr">
        <is>
          <t>A2</t>
        </is>
      </c>
      <c r="K171" s="29" t="inlineStr">
        <is>
          <t>● Newly mapped</t>
        </is>
      </c>
      <c r="L171" s="29" t="inlineStr">
        <is>
          <t>Sales &amp; Business Development</t>
        </is>
      </c>
      <c r="M171" s="29" t="inlineStr">
        <is>
          <t>Sales Development &amp; Prospecting</t>
        </is>
      </c>
      <c r="N171" s="29" t="n"/>
      <c r="O171" s="29" t="n">
        <v>20</v>
      </c>
      <c r="P171" s="28" t="inlineStr">
        <is>
          <t>P1–P2</t>
        </is>
      </c>
      <c r="Q171" s="29" t="inlineStr">
        <is>
          <t>Entry / Developing</t>
        </is>
      </c>
      <c r="R171" s="29" t="inlineStr">
        <is>
          <t>2 Assist</t>
        </is>
      </c>
      <c r="S171" s="29" t="inlineStr">
        <is>
          <t>0–2 yrs</t>
        </is>
      </c>
      <c r="T171" s="29" t="inlineStr">
        <is>
          <t>1–3 · 0–3</t>
        </is>
      </c>
      <c r="U171" s="29" t="inlineStr">
        <is>
          <t>SDR · entry / SDR / Inside Sales</t>
        </is>
      </c>
      <c r="V171" s="29" t="inlineStr">
        <is>
          <t>IRIS Vs Competitor Benchmark — SaaS sales ladder — IC: SDR / BDR</t>
        </is>
      </c>
      <c r="W171" s="29" t="inlineStr">
        <is>
          <t>SaaS sales ladder · SDR → AE → Enterprise AE → VP / CRO; MEDDICC-style qualification</t>
        </is>
      </c>
      <c r="X171" s="29" t="inlineStr">
        <is>
          <t>Core 2 · Future 2 · Functional 2 · Leadership not scored</t>
        </is>
      </c>
      <c r="Y171" s="52" t="n">
        <v>520</v>
      </c>
      <c r="Z171" s="53" t="inlineStr">
        <is>
          <t>IRIS2546</t>
        </is>
      </c>
      <c r="AA171" s="53" t="inlineStr">
        <is>
          <t>Employee</t>
        </is>
      </c>
      <c r="AB171" s="53" t="inlineStr">
        <is>
          <t>Active</t>
        </is>
      </c>
      <c r="AC171" s="53" t="inlineStr">
        <is>
          <t>Adithya Nair</t>
        </is>
      </c>
      <c r="AD171" s="54" t="n">
        <v>46223</v>
      </c>
      <c r="AE171" s="53" t="inlineStr">
        <is>
          <t>Sales Development Representative</t>
        </is>
      </c>
      <c r="AF171" s="53" t="inlineStr">
        <is>
          <t>B.Tech</t>
        </is>
      </c>
      <c r="AG171" s="53" t="inlineStr">
        <is>
          <t>Prashant Sharad Jadhav</t>
        </is>
      </c>
      <c r="AH171" s="53" t="inlineStr">
        <is>
          <t>N-4</t>
        </is>
      </c>
      <c r="AI171" s="53" t="inlineStr">
        <is>
          <t>Individual Contributor</t>
        </is>
      </c>
      <c r="AJ171" s="53" t="inlineStr">
        <is>
          <t>1 years, 1 months, 0 days</t>
        </is>
      </c>
      <c r="AK171" s="53" t="inlineStr">
        <is>
          <t>0 years, 1 months, 5 days</t>
        </is>
      </c>
      <c r="AL171" s="53" t="inlineStr">
        <is>
          <t>Regtech</t>
        </is>
      </c>
      <c r="AM171" s="53" t="inlineStr">
        <is>
          <t>CARBON</t>
        </is>
      </c>
      <c r="AN171" s="53" t="inlineStr">
        <is>
          <t>Marketing</t>
        </is>
      </c>
      <c r="AO171" s="53" t="inlineStr">
        <is>
          <t>Marketing - SDR</t>
        </is>
      </c>
      <c r="AP171" s="53" t="inlineStr">
        <is>
          <t>No</t>
        </is>
      </c>
      <c r="AQ171" s="53" t="inlineStr">
        <is>
          <t>Sales, Marketing &amp; Support</t>
        </is>
      </c>
      <c r="AR171" s="53" t="inlineStr">
        <is>
          <t>Marketing</t>
        </is>
      </c>
      <c r="AS171" s="53" t="inlineStr">
        <is>
          <t>Non-technical</t>
        </is>
      </c>
      <c r="AT171" s="53" t="n">
        <v>20</v>
      </c>
      <c r="AU171" s="53" t="inlineStr">
        <is>
          <t>Covered</t>
        </is>
      </c>
      <c r="AV171" s="53" t="inlineStr">
        <is>
          <t>IRIS2546</t>
        </is>
      </c>
      <c r="AW171" s="53" t="inlineStr">
        <is>
          <t>Adithya Nair</t>
        </is>
      </c>
      <c r="AX171" s="53" t="inlineStr">
        <is>
          <t>Sales</t>
        </is>
      </c>
      <c r="AY171" s="53" t="inlineStr">
        <is>
          <t>Sales &amp; Business Development</t>
        </is>
      </c>
      <c r="AZ171" s="53" t="inlineStr">
        <is>
          <t>Sales Development · SDR</t>
        </is>
      </c>
      <c r="BA171" s="53" t="n"/>
      <c r="BB171" s="53" t="n"/>
      <c r="BC171" s="53" t="inlineStr">
        <is>
          <t>Employee</t>
        </is>
      </c>
      <c r="BD171" s="53" t="inlineStr">
        <is>
          <t>Anuradha RK</t>
        </is>
      </c>
      <c r="BE171" s="53" t="n"/>
      <c r="BF171" s="53" t="inlineStr">
        <is>
          <t>New entry</t>
        </is>
      </c>
      <c r="BG171" s="53" t="inlineStr">
        <is>
          <t>SDR</t>
        </is>
      </c>
      <c r="BH171" s="53" t="inlineStr">
        <is>
          <t>SDR</t>
        </is>
      </c>
      <c r="BI171" s="53" t="inlineStr">
        <is>
          <t>N/A · new entry</t>
        </is>
      </c>
      <c r="BJ171" s="53" t="inlineStr">
        <is>
          <t>—</t>
        </is>
      </c>
      <c r="BK171" s="53" t="inlineStr">
        <is>
          <t>—</t>
        </is>
      </c>
      <c r="BL171" s="53" t="inlineStr">
        <is>
          <t>—</t>
        </is>
      </c>
      <c r="BM171" s="53" t="inlineStr">
        <is>
          <t>Not a manager</t>
        </is>
      </c>
      <c r="BN171" s="53" t="inlineStr">
        <is>
          <t>—</t>
        </is>
      </c>
      <c r="BO171" s="53" t="inlineStr">
        <is>
          <t>—</t>
        </is>
      </c>
      <c r="BP171" s="53" t="inlineStr">
        <is>
          <t>—</t>
        </is>
      </c>
      <c r="BQ171" s="53" t="inlineStr">
        <is>
          <t>Not a manager</t>
        </is>
      </c>
      <c r="BR171" s="53" t="inlineStr">
        <is>
          <t>—</t>
        </is>
      </c>
      <c r="BS171" s="53" t="n"/>
      <c r="BT171" s="53" t="n"/>
      <c r="BU171" s="53" t="inlineStr">
        <is>
          <t>No designation change — current record value carried forward</t>
        </is>
      </c>
      <c r="BV171" s="53" t="n"/>
      <c r="BW171" s="53" t="n"/>
      <c r="BX171" s="53" t="inlineStr">
        <is>
          <t>USA.</t>
        </is>
      </c>
      <c r="BY171" s="53" t="n"/>
      <c r="BZ171" s="53" t="n"/>
      <c r="CA171" s="53" t="n"/>
      <c r="CB171" s="53" t="inlineStr">
        <is>
          <t>Active</t>
        </is>
      </c>
      <c r="CC171" s="53" t="inlineStr">
        <is>
          <t>Adithya Nair</t>
        </is>
      </c>
      <c r="CD171" s="53" t="n"/>
      <c r="CE171" s="53" t="inlineStr">
        <is>
          <t>SDR</t>
        </is>
      </c>
      <c r="CF171" s="53" t="inlineStr">
        <is>
          <t>"Reports to Anu: Cold calling, Scheduling Demo, Tools used - Linkedin Sales navigator · To fetch number of customers shared by Database Team:</t>
        </is>
      </c>
      <c r="CG171" s="53" t="inlineStr">
        <is>
          <t>Sales &amp; Business Development</t>
        </is>
      </c>
      <c r="CH171" s="53" t="inlineStr">
        <is>
          <t>Sales Development · SDR</t>
        </is>
      </c>
      <c r="CI171" s="53" t="n"/>
      <c r="CJ171" s="53" t="n"/>
      <c r="CK171" s="53" t="n"/>
      <c r="CL171" s="53" t="n"/>
      <c r="CM171" s="53" t="n"/>
      <c r="CN171" s="53" t="n"/>
      <c r="CO171" s="53" t="n"/>
      <c r="CP171" s="53" t="n"/>
      <c r="CQ171" s="53" t="n"/>
      <c r="CR171" s="53" t="n"/>
      <c r="CS171" s="53" t="n"/>
      <c r="CT171" s="53" t="n"/>
      <c r="CU171" s="53" t="n"/>
      <c r="CV171" s="53" t="n"/>
      <c r="CW171" s="53" t="n"/>
      <c r="CX171" s="53" t="n"/>
      <c r="CY171" s="53" t="n"/>
      <c r="CZ171" s="53" t="n"/>
      <c r="DA171" s="53" t="n"/>
      <c r="DB171" s="53" t="inlineStr">
        <is>
          <t>Reporting to New SDR Manager US</t>
        </is>
      </c>
      <c r="DC171" s="53" t="n"/>
      <c r="DD171" s="53" t="n"/>
      <c r="DE171" s="53" t="n"/>
      <c r="DF171" s="53" t="n"/>
      <c r="DG171" s="53" t="n"/>
      <c r="DH171" s="53" t="n"/>
      <c r="DI171" s="53" t="n"/>
      <c r="DJ171" s="53" t="n"/>
      <c r="DK171" s="53" t="n"/>
      <c r="DL171" s="53" t="n"/>
      <c r="DM171" s="53" t="n"/>
      <c r="DN171" s="53" t="n"/>
      <c r="DO171" s="53" t="n"/>
      <c r="DP171" s="53" t="n"/>
      <c r="DQ171" s="53" t="n"/>
      <c r="DR171" s="53" t="n"/>
      <c r="DS171" s="53" t="n"/>
      <c r="DT171" s="53" t="n"/>
      <c r="DU171" s="53" t="n"/>
      <c r="DV171" s="53" t="n"/>
      <c r="DW171" s="53" t="n"/>
      <c r="DX171" s="53" t="n"/>
      <c r="DY171" s="53" t="n"/>
      <c r="DZ171" s="53" t="n"/>
      <c r="EA171" s="53" t="n"/>
      <c r="EB171" s="53" t="n"/>
      <c r="EC171" s="53" t="n"/>
      <c r="ED171" s="53" t="n"/>
      <c r="EE171" s="53" t="n"/>
      <c r="EF171" s="53" t="n"/>
      <c r="EG171" s="53" t="n"/>
      <c r="EH171" s="53" t="n"/>
      <c r="EI171" s="53" t="n"/>
      <c r="EJ171" s="53" t="n"/>
      <c r="EK171" s="53" t="n"/>
      <c r="EL171" s="53" t="n"/>
      <c r="EM171" s="53" t="n"/>
      <c r="EN171" s="53" t="n"/>
      <c r="EO171" s="53" t="n"/>
      <c r="EP171" s="53" t="n"/>
      <c r="EQ171" s="53" t="n"/>
      <c r="ER171" s="53" t="n"/>
      <c r="ES171" s="53" t="n"/>
      <c r="ET171" s="53" t="n"/>
      <c r="EU171" s="53" t="n"/>
      <c r="EV171" s="53" t="n"/>
      <c r="EW171" s="52" t="n"/>
      <c r="EX171" s="53"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EY171" s="53"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EZ171" s="53"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FA171" s="53"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B171" s="53"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C171" s="53" t="n"/>
      <c r="FD171" s="53" t="n"/>
      <c r="FE171" s="55" t="inlineStr">
        <is>
          <t>KRAs not received · manager to supply</t>
        </is>
      </c>
      <c r="FF171" s="56" t="n"/>
      <c r="FG171" s="56" t="n"/>
      <c r="FH171" s="56" t="n"/>
      <c r="FI171" s="56" t="inlineStr">
        <is>
          <t>"Reports to Anu : Cold calling, Scheduling Demo, Tools used - Linkedin Sales navigator · To fetch number of customers shared by Database Team:</t>
        </is>
      </c>
      <c r="FJ171" s="32" t="inlineStr">
        <is>
          <t>KRAs not received · manager to supply</t>
        </is>
      </c>
      <c r="FK171" s="56" t="inlineStr">
        <is>
          <t>CARBON Talent Mapping · Raw</t>
        </is>
      </c>
      <c r="FL171" s="56" t="n">
        <v>20</v>
      </c>
      <c r="FM171" s="56"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FN171" s="56"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FO171" s="56"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FP171" s="56"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Q171" s="56"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R171" s="56" t="inlineStr">
        <is>
          <t>Complexity: Evidence reads like A2: Prospect shortlisting, personalised emails, LinkedIn and dialler outreach, lead qualification, CRM hygiene → matches the start
Autonomy: Evidence reads like A2: Decides own outreach and emails; chooses the day's accounts → matches the start
Accountability: Evidence reads like A2: Accountable if the booked contact does not show up or is not relevant → matches the start
Leadership: Evidence reads like A1: No guidance or leadership of others described → matches the start
Business Impact: No survey or manager-mapping signal on criticality: kept at the start point.</t>
        </is>
      </c>
      <c r="FS171"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71" s="56" t="inlineStr">
        <is>
          <t>Self-identified: Client, sales &amp; stakeholders
For the next role: Product &amp; tool knowledge · Client, sales &amp; stakeholders</t>
        </is>
      </c>
      <c r="FU171" s="56" t="inlineStr">
        <is>
          <t>Per-person summary · CARBON Mapping Master</t>
        </is>
      </c>
    </row>
    <row r="172" ht="90" customHeight="1">
      <c r="A172" s="51" t="inlineStr">
        <is>
          <t>◂ Back</t>
        </is>
      </c>
      <c r="B172" s="29" t="inlineStr">
        <is>
          <t>Mapped</t>
        </is>
      </c>
      <c r="C172" s="28" t="inlineStr">
        <is>
          <t>CARBON</t>
        </is>
      </c>
      <c r="D172" s="29" t="inlineStr">
        <is>
          <t>IRIS1734</t>
        </is>
      </c>
      <c r="E172" s="29" t="inlineStr">
        <is>
          <t>Rohit Bansal</t>
        </is>
      </c>
      <c r="F172" s="29" t="inlineStr">
        <is>
          <t>Sales</t>
        </is>
      </c>
      <c r="G172" s="29" t="inlineStr">
        <is>
          <t>Senior Manager Sales</t>
        </is>
      </c>
      <c r="H172" s="29" t="inlineStr">
        <is>
          <t>Lead Account Executive</t>
        </is>
      </c>
      <c r="I172" s="29" t="inlineStr">
        <is>
          <t>Not in current mapping files</t>
        </is>
      </c>
      <c r="J172" s="29" t="inlineStr">
        <is>
          <t>B2</t>
        </is>
      </c>
      <c r="K172" s="29" t="inlineStr">
        <is>
          <t>● Newly mapped</t>
        </is>
      </c>
      <c r="L172" s="29" t="inlineStr">
        <is>
          <t>Sales &amp; Business Development</t>
        </is>
      </c>
      <c r="M172" s="29" t="inlineStr">
        <is>
          <t>Sales Leadership</t>
        </is>
      </c>
      <c r="N172" s="29" t="n"/>
      <c r="O172" s="29" t="n">
        <v>20</v>
      </c>
      <c r="P172" s="28" t="inlineStr">
        <is>
          <t>P4 / M3</t>
        </is>
      </c>
      <c r="Q172" s="29" t="inlineStr">
        <is>
          <t>Senior / Manager</t>
        </is>
      </c>
      <c r="R172" s="29" t="inlineStr">
        <is>
          <t>4–5</t>
        </is>
      </c>
      <c r="S172" s="29" t="inlineStr">
        <is>
          <t>6–9 yrs</t>
        </is>
      </c>
      <c r="T172" s="29" t="inlineStr">
        <is>
          <t>7–10 · 6–11</t>
        </is>
      </c>
      <c r="U172" s="29" t="inlineStr">
        <is>
          <t>Enterprise / Strategic AE</t>
        </is>
      </c>
      <c r="V172" s="29" t="inlineStr">
        <is>
          <t>IRIS Vs Competitor Benchmark — SaaS sales ladder — IC: Mid-Market AE · IRIS Vs Competitor Benchmark — SaaS sales ladder — management: Sales Manager</t>
        </is>
      </c>
      <c r="W172" s="29" t="inlineStr">
        <is>
          <t>SaaS sales ladder · SDR → AE → Enterprise AE → VP / CRO; MEDDICC-style qualification</t>
        </is>
      </c>
      <c r="X172" s="29" t="inlineStr">
        <is>
          <t>Core 3 · Future 3 · Functional 4 · Leadership 2</t>
        </is>
      </c>
      <c r="Y172" s="52" t="n">
        <v>150</v>
      </c>
      <c r="Z172" s="53" t="inlineStr">
        <is>
          <t>IRIS1734</t>
        </is>
      </c>
      <c r="AA172" s="53" t="inlineStr">
        <is>
          <t>Employee</t>
        </is>
      </c>
      <c r="AB172" s="53" t="inlineStr">
        <is>
          <t>Active</t>
        </is>
      </c>
      <c r="AC172" s="53" t="inlineStr">
        <is>
          <t>Rohit Bansal</t>
        </is>
      </c>
      <c r="AD172" s="54" t="n">
        <v>43311</v>
      </c>
      <c r="AE172" s="53" t="inlineStr">
        <is>
          <t>Senior Manager Sales</t>
        </is>
      </c>
      <c r="AF172" s="53" t="inlineStr">
        <is>
          <t>MBA</t>
        </is>
      </c>
      <c r="AG172" s="53" t="inlineStr">
        <is>
          <t>Anuradha Rk</t>
        </is>
      </c>
      <c r="AH172" s="53" t="inlineStr">
        <is>
          <t>N-3</t>
        </is>
      </c>
      <c r="AI172" s="53" t="inlineStr">
        <is>
          <t>Individual Contributor</t>
        </is>
      </c>
      <c r="AJ172" s="53" t="inlineStr">
        <is>
          <t>8 years, 4 months, 0 days</t>
        </is>
      </c>
      <c r="AK172" s="53" t="inlineStr">
        <is>
          <t>8 years, 0 months, 26 days</t>
        </is>
      </c>
      <c r="AL172" s="53" t="inlineStr">
        <is>
          <t>Regtech</t>
        </is>
      </c>
      <c r="AM172" s="53" t="inlineStr">
        <is>
          <t>CARBON</t>
        </is>
      </c>
      <c r="AN172" s="53" t="inlineStr">
        <is>
          <t>Sales</t>
        </is>
      </c>
      <c r="AO172" s="53" t="inlineStr">
        <is>
          <t>Sales</t>
        </is>
      </c>
      <c r="AP172" s="53" t="inlineStr">
        <is>
          <t>No</t>
        </is>
      </c>
      <c r="AQ172" s="53" t="inlineStr">
        <is>
          <t>Sales, Marketing &amp; Support</t>
        </is>
      </c>
      <c r="AR172" s="53" t="inlineStr">
        <is>
          <t>Sales</t>
        </is>
      </c>
      <c r="AS172" s="53" t="inlineStr">
        <is>
          <t>Non-technical</t>
        </is>
      </c>
      <c r="AT172" s="53" t="n">
        <v>20</v>
      </c>
      <c r="AU172" s="53" t="inlineStr">
        <is>
          <t>Covered</t>
        </is>
      </c>
      <c r="AV172" s="53" t="inlineStr">
        <is>
          <t>IRIS1734</t>
        </is>
      </c>
      <c r="AW172" s="53" t="inlineStr">
        <is>
          <t>Rohit Bansal</t>
        </is>
      </c>
      <c r="AX172" s="53" t="inlineStr">
        <is>
          <t>Sales</t>
        </is>
      </c>
      <c r="AY172" s="53" t="inlineStr">
        <is>
          <t>Sales &amp; Business Development</t>
        </is>
      </c>
      <c r="AZ172" s="53" t="inlineStr">
        <is>
          <t>Enterprise sales</t>
        </is>
      </c>
      <c r="BA172" s="53" t="n"/>
      <c r="BB172" s="53" t="n"/>
      <c r="BC172" s="53" t="inlineStr">
        <is>
          <t>Employee</t>
        </is>
      </c>
      <c r="BD172" s="53" t="inlineStr">
        <is>
          <t>Anuradha Rk</t>
        </is>
      </c>
      <c r="BE172" s="53" t="inlineStr">
        <is>
          <t>Anuradha RK</t>
        </is>
      </c>
      <c r="BF172" s="53" t="inlineStr">
        <is>
          <t>New entry</t>
        </is>
      </c>
      <c r="BG172" s="53" t="inlineStr">
        <is>
          <t>Head Client Solutions</t>
        </is>
      </c>
      <c r="BH172" s="53" t="inlineStr">
        <is>
          <t>Senior Manager - Sales</t>
        </is>
      </c>
      <c r="BI172" s="53" t="inlineStr">
        <is>
          <t>N/A · new entry</t>
        </is>
      </c>
      <c r="BJ172" s="53" t="inlineStr">
        <is>
          <t>—</t>
        </is>
      </c>
      <c r="BK172" s="53" t="inlineStr">
        <is>
          <t>—</t>
        </is>
      </c>
      <c r="BL172" s="53" t="inlineStr">
        <is>
          <t>—</t>
        </is>
      </c>
      <c r="BM172" s="53" t="inlineStr">
        <is>
          <t>Not a manager</t>
        </is>
      </c>
      <c r="BN172" s="53" t="inlineStr">
        <is>
          <t>—</t>
        </is>
      </c>
      <c r="BO172" s="53" t="inlineStr">
        <is>
          <t>—</t>
        </is>
      </c>
      <c r="BP172" s="53" t="inlineStr">
        <is>
          <t>—</t>
        </is>
      </c>
      <c r="BQ172" s="53" t="inlineStr">
        <is>
          <t>Not a manager</t>
        </is>
      </c>
      <c r="BR172" s="53" t="inlineStr">
        <is>
          <t>—</t>
        </is>
      </c>
      <c r="BS172" s="53" t="n"/>
      <c r="BT172" s="53" t="n"/>
      <c r="BU172" s="53" t="inlineStr">
        <is>
          <t>No designation change — current record value carried forward</t>
        </is>
      </c>
      <c r="BV172" s="53" t="n"/>
      <c r="BW172" s="53" t="n"/>
      <c r="BX172" s="53" t="inlineStr">
        <is>
          <t>Not region specific; But focus on EU and US.</t>
        </is>
      </c>
      <c r="BY172" s="53" t="n"/>
      <c r="BZ172" s="53" t="inlineStr">
        <is>
          <t>IRIS1734</t>
        </is>
      </c>
      <c r="CA172" s="53" t="inlineStr">
        <is>
          <t>Employee</t>
        </is>
      </c>
      <c r="CB172" s="53" t="inlineStr">
        <is>
          <t>Active</t>
        </is>
      </c>
      <c r="CC172" s="53" t="inlineStr">
        <is>
          <t>Rohit Bansal</t>
        </is>
      </c>
      <c r="CD172" s="53" t="n">
        <v>40</v>
      </c>
      <c r="CE172" s="53" t="inlineStr">
        <is>
          <t>Head Client Solutions</t>
        </is>
      </c>
      <c r="CF172" s="53" t="inlineStr">
        <is>
          <t>EU Region: Understand the shortlisted customers details from SDR team, schedule the discovery call, demo call and make the presetation/Demo to the client - Follow up -till the deal closure  along with price negotiations</t>
        </is>
      </c>
      <c r="CG172" s="53" t="inlineStr">
        <is>
          <t>Sales &amp; Business Development</t>
        </is>
      </c>
      <c r="CH172" s="53" t="inlineStr">
        <is>
          <t>Sales / Account Management</t>
        </is>
      </c>
      <c r="CI172" s="53" t="inlineStr">
        <is>
          <t>Head Client Solutions</t>
        </is>
      </c>
      <c r="CJ172" s="53" t="inlineStr">
        <is>
          <t>L7 – Head / Sr Director</t>
        </is>
      </c>
      <c r="CK172" s="53" t="inlineStr">
        <is>
          <t>Anuradha Rk</t>
        </is>
      </c>
      <c r="CL172" s="53" t="inlineStr">
        <is>
          <t>N-3</t>
        </is>
      </c>
      <c r="CM172" s="53" t="n"/>
      <c r="CN172" s="53" t="inlineStr">
        <is>
          <t>Individual Contributor</t>
        </is>
      </c>
      <c r="CO172" s="53" t="inlineStr">
        <is>
          <t>Sales</t>
        </is>
      </c>
      <c r="CP172" s="53" t="inlineStr">
        <is>
          <t>8 years, 4 months, 0 days</t>
        </is>
      </c>
      <c r="CQ172" s="53" t="n"/>
      <c r="CR172" s="53" t="inlineStr">
        <is>
          <t>7 years, 10 months, 21 days</t>
        </is>
      </c>
      <c r="CS172" s="53" t="inlineStr">
        <is>
          <t>16 years, 2 months, 21 days</t>
        </is>
      </c>
      <c r="CT172" s="53" t="n"/>
      <c r="CU172" s="53" t="n"/>
      <c r="CV172" s="53" t="n"/>
      <c r="CW172" s="53" t="inlineStr">
        <is>
          <t>Regtech</t>
        </is>
      </c>
      <c r="CX172" s="53" t="inlineStr">
        <is>
          <t>CARBON</t>
        </is>
      </c>
      <c r="CY172" s="53" t="inlineStr">
        <is>
          <t>Sales</t>
        </is>
      </c>
      <c r="CZ172" s="53" t="inlineStr">
        <is>
          <t>Sales</t>
        </is>
      </c>
      <c r="DA172" s="53" t="inlineStr">
        <is>
          <t>No</t>
        </is>
      </c>
      <c r="DB172" s="53" t="inlineStr">
        <is>
          <t>Sales, Marketing &amp; Support</t>
        </is>
      </c>
      <c r="DC172" s="53" t="n"/>
      <c r="DD172" s="53" t="n"/>
      <c r="DE172" s="53" t="n"/>
      <c r="DF172" s="53" t="n"/>
      <c r="DG172" s="53" t="n"/>
      <c r="DH172" s="53" t="n"/>
      <c r="DI172" s="53" t="n"/>
      <c r="DJ172" s="53" t="n"/>
      <c r="DK172" s="53" t="n"/>
      <c r="DL172" s="53" t="n"/>
      <c r="DM172" s="53" t="n"/>
      <c r="DN172" s="53" t="n"/>
      <c r="DO172" s="53" t="n"/>
      <c r="DP172" s="53" t="n"/>
      <c r="DQ172" s="53" t="n"/>
      <c r="DR172" s="53" t="n"/>
      <c r="DS172" s="53" t="n"/>
      <c r="DT172" s="53" t="n"/>
      <c r="DU172" s="53" t="n"/>
      <c r="DV172" s="53" t="n"/>
      <c r="DW172" s="53" t="n"/>
      <c r="DX172" s="53" t="n"/>
      <c r="DY172" s="53" t="n"/>
      <c r="DZ172" s="53" t="n"/>
      <c r="EA172" s="53" t="n"/>
      <c r="EB172" s="53" t="n"/>
      <c r="EC172" s="53" t="n"/>
      <c r="ED172" s="53" t="n"/>
      <c r="EE172" s="53" t="n"/>
      <c r="EF172" s="53" t="n"/>
      <c r="EG172" s="53" t="n"/>
      <c r="EH172" s="53" t="n"/>
      <c r="EI172" s="53" t="n"/>
      <c r="EJ172" s="53" t="n"/>
      <c r="EK172" s="53" t="n"/>
      <c r="EL172" s="53" t="n"/>
      <c r="EM172" s="53" t="n"/>
      <c r="EN172" s="53" t="n"/>
      <c r="EO172" s="53" t="n"/>
      <c r="EP172" s="53" t="n"/>
      <c r="EQ172" s="53" t="n"/>
      <c r="ER172" s="53" t="n"/>
      <c r="ES172" s="53" t="n"/>
      <c r="ET172" s="53" t="n"/>
      <c r="EU172" s="53" t="n"/>
      <c r="EV172" s="53" t="n"/>
      <c r="EW172" s="52" t="n"/>
      <c r="EX172" s="53"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EY172" s="53"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EZ172" s="53"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FA172" s="53"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B172" s="53" t="inlineStr">
        <is>
          <t>• Key challenges: Long business cycles; Building Pipeline; Client education.
• Support required: Cross-function dependencies.</t>
        </is>
      </c>
      <c r="FC172" s="53" t="n"/>
      <c r="FD172" s="53" t="n"/>
      <c r="FE172" s="55" t="inlineStr">
        <is>
          <t>KRAs not received · manager to supply</t>
        </is>
      </c>
      <c r="FF172" s="56" t="n"/>
      <c r="FG172" s="56" t="n"/>
      <c r="FH172" s="56" t="n"/>
      <c r="FI172" s="56" t="inlineStr">
        <is>
          <t>EU Region: Understand the shortlisted customers details from SDR team, schedule the discovery call, demo call and make the presetation/Demo to the client - Follow up -till the deal closure  along with price negotiations</t>
        </is>
      </c>
      <c r="FJ172" s="32" t="inlineStr">
        <is>
          <t>KRAs not received · manager to supply</t>
        </is>
      </c>
      <c r="FK172" s="56" t="inlineStr">
        <is>
          <t>CARBON Talent Mapping · Raw</t>
        </is>
      </c>
      <c r="FL172" s="56" t="n">
        <v>20</v>
      </c>
      <c r="FM172" s="56"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FN172" s="56"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FO172" s="56"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FP172" s="56"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Q172" s="56" t="inlineStr">
        <is>
          <t>• Key challenges: Long business cycles; Building Pipeline; Client education.
• Support required: Cross-function dependencies.</t>
        </is>
      </c>
      <c r="FR172" s="56" t="inlineStr">
        <is>
          <t>Complexity: Evidence reads like B1: Consultative selling: requirements gathering, architecting deals, proposals and negotiation in financial reporting domain → moved down 1
Autonomy: Evidence reads like B1: Independently drives deals, pursues opportunities and builds proposals on own key accounts → moved down 1
Accountability: Evidence reads like B2: Revenue generation and customer acquisition; owns key accounts and revenue targets → moved down 0.5
Leadership: Evidence reads like A1: Works with cross-functional teams; no people guidance described → moved down 1
Business Impact: No survey or manager-mapping signal on criticality: kept at the start point.</t>
        </is>
      </c>
      <c r="FS172"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72" s="56" t="inlineStr">
        <is>
          <t>Self-identified: Client, sales &amp; stakeholders · Broader exposure &amp; ownership
For the next role: Client, sales &amp; stakeholders · Broader exposure &amp; ownership</t>
        </is>
      </c>
      <c r="FU172" s="56" t="inlineStr">
        <is>
          <t>Per-person summary · CARBON Mapping Master</t>
        </is>
      </c>
    </row>
    <row r="173" ht="90" customHeight="1">
      <c r="A173" s="51" t="inlineStr">
        <is>
          <t>◂ Back</t>
        </is>
      </c>
      <c r="B173" s="29" t="inlineStr">
        <is>
          <t>Mapped</t>
        </is>
      </c>
      <c r="C173" s="28" t="inlineStr">
        <is>
          <t>CARBON</t>
        </is>
      </c>
      <c r="D173" s="29" t="inlineStr">
        <is>
          <t>IRIS2351</t>
        </is>
      </c>
      <c r="E173" s="29" t="inlineStr">
        <is>
          <t>Aniket Das</t>
        </is>
      </c>
      <c r="F173" s="29" t="inlineStr">
        <is>
          <t>Sales</t>
        </is>
      </c>
      <c r="G173" s="29" t="inlineStr">
        <is>
          <t>Senior Analyst, Strategy and Operations</t>
        </is>
      </c>
      <c r="H173" s="29" t="inlineStr">
        <is>
          <t>Sales Operations Specialist – POD Lead</t>
        </is>
      </c>
      <c r="I173" s="29" t="inlineStr">
        <is>
          <t>Not in current mapping files</t>
        </is>
      </c>
      <c r="J173" s="29" t="inlineStr">
        <is>
          <t>B1</t>
        </is>
      </c>
      <c r="K173" s="29" t="inlineStr">
        <is>
          <t>● Newly mapped</t>
        </is>
      </c>
      <c r="L173" s="29" t="inlineStr">
        <is>
          <t>Sales &amp; Business Development</t>
        </is>
      </c>
      <c r="M173" s="29" t="inlineStr">
        <is>
          <t>Bids, RFP &amp; Sales Operations</t>
        </is>
      </c>
      <c r="N173" s="29" t="n"/>
      <c r="O173" s="29" t="n">
        <v>20</v>
      </c>
      <c r="P173" s="28" t="inlineStr">
        <is>
          <t>P3 / M2</t>
        </is>
      </c>
      <c r="Q173" s="29" t="inlineStr">
        <is>
          <t>Career / · Team Lead</t>
        </is>
      </c>
      <c r="R173" s="29" t="inlineStr">
        <is>
          <t>4 Enable</t>
        </is>
      </c>
      <c r="S173" s="29" t="inlineStr">
        <is>
          <t>4–7 yrs</t>
        </is>
      </c>
      <c r="T173" s="29" t="inlineStr">
        <is>
          <t>5–8 · 4–8</t>
        </is>
      </c>
      <c r="U173" s="29" t="inlineStr">
        <is>
          <t>Account Executive</t>
        </is>
      </c>
      <c r="V173" s="29" t="inlineStr">
        <is>
          <t>IRIS Vs Competitor Benchmark — SaaS sales ladder — IC: Account Executive · SMB · IRIS Vs Competitor Benchmark — SaaS sales ladder — management: SDR Team Lead</t>
        </is>
      </c>
      <c r="W173" s="29" t="inlineStr">
        <is>
          <t>SaaS sales ladder · SDR → AE → Enterprise AE → VP / CRO; MEDDICC-style qualification</t>
        </is>
      </c>
      <c r="X173" s="29" t="inlineStr">
        <is>
          <t>Core 3 · Future 3 · Functional 3 · Leadership 2</t>
        </is>
      </c>
      <c r="Y173" s="52" t="n">
        <v>361</v>
      </c>
      <c r="Z173" s="53" t="inlineStr">
        <is>
          <t>IRIS2351</t>
        </is>
      </c>
      <c r="AA173" s="53" t="inlineStr">
        <is>
          <t>Employee</t>
        </is>
      </c>
      <c r="AB173" s="53" t="inlineStr">
        <is>
          <t>Active</t>
        </is>
      </c>
      <c r="AC173" s="53" t="inlineStr">
        <is>
          <t>Aniket Das</t>
        </is>
      </c>
      <c r="AD173" s="54" t="n">
        <v>45726</v>
      </c>
      <c r="AE173" s="53" t="inlineStr">
        <is>
          <t>Senior Analyst, Strategy and Operations</t>
        </is>
      </c>
      <c r="AF173" s="53" t="inlineStr">
        <is>
          <t>MBA</t>
        </is>
      </c>
      <c r="AG173" s="53" t="inlineStr">
        <is>
          <t>Anuradha Rk</t>
        </is>
      </c>
      <c r="AH173" s="53" t="inlineStr">
        <is>
          <t>N-3</t>
        </is>
      </c>
      <c r="AI173" s="53" t="inlineStr">
        <is>
          <t>Manager</t>
        </is>
      </c>
      <c r="AJ173" s="53" t="inlineStr">
        <is>
          <t>3 years, 8 months, 0 days</t>
        </is>
      </c>
      <c r="AK173" s="53" t="inlineStr">
        <is>
          <t>1 years, 5 months, 15 days</t>
        </is>
      </c>
      <c r="AL173" s="53" t="inlineStr">
        <is>
          <t>Regtech</t>
        </is>
      </c>
      <c r="AM173" s="53" t="inlineStr">
        <is>
          <t>CARBON</t>
        </is>
      </c>
      <c r="AN173" s="53" t="inlineStr">
        <is>
          <t>Sales</t>
        </is>
      </c>
      <c r="AO173" s="53" t="inlineStr">
        <is>
          <t>Sales</t>
        </is>
      </c>
      <c r="AP173" s="53" t="inlineStr">
        <is>
          <t>No</t>
        </is>
      </c>
      <c r="AQ173" s="53" t="inlineStr">
        <is>
          <t>Sales, Marketing &amp; Support</t>
        </is>
      </c>
      <c r="AR173" s="53" t="inlineStr">
        <is>
          <t>Sales</t>
        </is>
      </c>
      <c r="AS173" s="53" t="inlineStr">
        <is>
          <t>Non-technical</t>
        </is>
      </c>
      <c r="AT173" s="53" t="n">
        <v>20</v>
      </c>
      <c r="AU173" s="53" t="inlineStr">
        <is>
          <t>Covered</t>
        </is>
      </c>
      <c r="AV173" s="53" t="inlineStr">
        <is>
          <t>IRIS2351</t>
        </is>
      </c>
      <c r="AW173" s="53" t="inlineStr">
        <is>
          <t>Aniket Das</t>
        </is>
      </c>
      <c r="AX173" s="53" t="inlineStr">
        <is>
          <t>Sales</t>
        </is>
      </c>
      <c r="AY173" s="53" t="inlineStr">
        <is>
          <t>Sales &amp; Business Development</t>
        </is>
      </c>
      <c r="AZ173" s="53" t="inlineStr">
        <is>
          <t>Sales Operations - MIS Analytics</t>
        </is>
      </c>
      <c r="BA173" s="53" t="n"/>
      <c r="BB173" s="53" t="n"/>
      <c r="BC173" s="53" t="inlineStr">
        <is>
          <t>Employee</t>
        </is>
      </c>
      <c r="BD173" s="53" t="inlineStr">
        <is>
          <t>Anuradha Rk</t>
        </is>
      </c>
      <c r="BE173" s="53" t="inlineStr">
        <is>
          <t>Anuradha RK</t>
        </is>
      </c>
      <c r="BF173" s="53" t="inlineStr">
        <is>
          <t>New entry</t>
        </is>
      </c>
      <c r="BG173" s="53" t="inlineStr">
        <is>
          <t>Senior Analyst, Strategy and Operations</t>
        </is>
      </c>
      <c r="BH173" s="53" t="inlineStr">
        <is>
          <t>Senior Analyst, Strategy and Operations</t>
        </is>
      </c>
      <c r="BI173" s="53" t="inlineStr">
        <is>
          <t>N/A · new entry</t>
        </is>
      </c>
      <c r="BJ173" s="53" t="inlineStr">
        <is>
          <t>—</t>
        </is>
      </c>
      <c r="BK173" s="53" t="inlineStr">
        <is>
          <t>—</t>
        </is>
      </c>
      <c r="BL173" s="53" t="inlineStr">
        <is>
          <t>—</t>
        </is>
      </c>
      <c r="BM173" s="53" t="inlineStr">
        <is>
          <t>Not a manager</t>
        </is>
      </c>
      <c r="BN173" s="53" t="inlineStr">
        <is>
          <t>—</t>
        </is>
      </c>
      <c r="BO173" s="53" t="inlineStr">
        <is>
          <t>—</t>
        </is>
      </c>
      <c r="BP173" s="53" t="inlineStr">
        <is>
          <t>—</t>
        </is>
      </c>
      <c r="BQ173" s="53" t="inlineStr">
        <is>
          <t>Not a manager</t>
        </is>
      </c>
      <c r="BR173" s="53" t="inlineStr">
        <is>
          <t>—</t>
        </is>
      </c>
      <c r="BS173" s="53" t="n"/>
      <c r="BT173" s="53" t="n"/>
      <c r="BU173" s="53" t="inlineStr">
        <is>
          <t>No designation change — current record value carried forward</t>
        </is>
      </c>
      <c r="BV173" s="53" t="n"/>
      <c r="BW173" s="53" t="n"/>
      <c r="BX173" s="53" t="inlineStr">
        <is>
          <t>Entire Geo</t>
        </is>
      </c>
      <c r="BY173" s="53" t="n"/>
      <c r="BZ173" s="53" t="inlineStr">
        <is>
          <t>IRIS2351</t>
        </is>
      </c>
      <c r="CA173" s="53" t="inlineStr">
        <is>
          <t>Employee</t>
        </is>
      </c>
      <c r="CB173" s="53" t="inlineStr">
        <is>
          <t>Active</t>
        </is>
      </c>
      <c r="CC173" s="53" t="inlineStr">
        <is>
          <t>Aniket Das</t>
        </is>
      </c>
      <c r="CD173" s="54" t="n">
        <v>36167</v>
      </c>
      <c r="CE173" s="53" t="inlineStr">
        <is>
          <t>Senior Analyst, Strategy and Operations</t>
        </is>
      </c>
      <c r="CF173" s="53" t="inlineStr">
        <is>
          <t>Takes care of Sales data reporting, inbound database distribution, performance Dashboard maintenance for WBRX and Review meeting</t>
        </is>
      </c>
      <c r="CG173" s="53" t="inlineStr">
        <is>
          <t>Sales &amp; Business Development</t>
        </is>
      </c>
      <c r="CH173" s="53" t="inlineStr">
        <is>
          <t>Sales / Account Management</t>
        </is>
      </c>
      <c r="CI173" s="53" t="inlineStr">
        <is>
          <t>Senior Analyst, Strategy and Operations</t>
        </is>
      </c>
      <c r="CJ173" s="53" t="inlineStr">
        <is>
          <t>L4 – Senior</t>
        </is>
      </c>
      <c r="CK173" s="53" t="inlineStr">
        <is>
          <t>Anuradha Rk</t>
        </is>
      </c>
      <c r="CL173" s="53" t="inlineStr">
        <is>
          <t>N-3</t>
        </is>
      </c>
      <c r="CM173" s="53" t="n"/>
      <c r="CN173" s="53" t="inlineStr">
        <is>
          <t>Individual Contributor</t>
        </is>
      </c>
      <c r="CO173" s="53" t="inlineStr">
        <is>
          <t>Sales</t>
        </is>
      </c>
      <c r="CP173" s="53" t="inlineStr">
        <is>
          <t>3 years, 8 months, 0 days</t>
        </is>
      </c>
      <c r="CQ173" s="53" t="n"/>
      <c r="CR173" s="53" t="inlineStr">
        <is>
          <t>1 years, 3 months, 10 days</t>
        </is>
      </c>
      <c r="CS173" s="53" t="inlineStr">
        <is>
          <t>4 years, 11 months, 10 days</t>
        </is>
      </c>
      <c r="CT173" s="53" t="n"/>
      <c r="CU173" s="53" t="n"/>
      <c r="CV173" s="53" t="n"/>
      <c r="CW173" s="53" t="inlineStr">
        <is>
          <t>Regtech</t>
        </is>
      </c>
      <c r="CX173" s="53" t="inlineStr">
        <is>
          <t>CARBON</t>
        </is>
      </c>
      <c r="CY173" s="53" t="inlineStr">
        <is>
          <t>Sales</t>
        </is>
      </c>
      <c r="CZ173" s="53" t="inlineStr">
        <is>
          <t>Sales</t>
        </is>
      </c>
      <c r="DA173" s="53" t="inlineStr">
        <is>
          <t>No</t>
        </is>
      </c>
      <c r="DB173" s="53" t="inlineStr">
        <is>
          <t>Sales, Marketing &amp; Support</t>
        </is>
      </c>
      <c r="DC173" s="53" t="n"/>
      <c r="DD173" s="53" t="n"/>
      <c r="DE173" s="53" t="n"/>
      <c r="DF173" s="53" t="n"/>
      <c r="DG173" s="53" t="n"/>
      <c r="DH173" s="53" t="n"/>
      <c r="DI173" s="53" t="n"/>
      <c r="DJ173" s="53" t="n"/>
      <c r="DK173" s="53" t="n"/>
      <c r="DL173" s="53" t="n"/>
      <c r="DM173" s="53" t="n"/>
      <c r="DN173" s="53" t="n"/>
      <c r="DO173" s="53" t="n"/>
      <c r="DP173" s="53" t="n"/>
      <c r="DQ173" s="53" t="n"/>
      <c r="DR173" s="53" t="n"/>
      <c r="DS173" s="53" t="n"/>
      <c r="DT173" s="53" t="n"/>
      <c r="DU173" s="53" t="n"/>
      <c r="DV173" s="53" t="n"/>
      <c r="DW173" s="53" t="n"/>
      <c r="DX173" s="53" t="n"/>
      <c r="DY173" s="53" t="n"/>
      <c r="DZ173" s="53" t="n"/>
      <c r="EA173" s="53" t="n"/>
      <c r="EB173" s="53" t="n"/>
      <c r="EC173" s="53" t="n"/>
      <c r="ED173" s="53" t="n"/>
      <c r="EE173" s="53" t="n"/>
      <c r="EF173" s="53" t="n"/>
      <c r="EG173" s="53" t="n"/>
      <c r="EH173" s="53" t="n"/>
      <c r="EI173" s="53" t="n"/>
      <c r="EJ173" s="53" t="n"/>
      <c r="EK173" s="53" t="n"/>
      <c r="EL173" s="53" t="n"/>
      <c r="EM173" s="53" t="n"/>
      <c r="EN173" s="53" t="n"/>
      <c r="EO173" s="53" t="n"/>
      <c r="EP173" s="53" t="n"/>
      <c r="EQ173" s="53" t="n"/>
      <c r="ER173" s="53" t="n"/>
      <c r="ES173" s="53" t="n"/>
      <c r="ET173" s="53" t="n"/>
      <c r="EU173" s="53" t="n"/>
      <c r="EV173" s="53" t="n"/>
      <c r="EW173" s="52" t="n"/>
      <c r="EX173" s="53" t="inlineStr">
        <is>
          <t>Managing Business Revenue Metrics and Analysing Pipeline Funnel; Business CRM and Data Hub</t>
        </is>
      </c>
      <c r="EY173" s="53"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EZ173" s="53" t="inlineStr">
        <is>
          <t>Advanced Excel HubSpot CRM Sales Funnel; HubSpot CRM MS Office Suite Power BI; Soft Skill, Communication, Business Acumen, Data Governance, Presentation</t>
        </is>
      </c>
      <c r="FA173" s="53" t="inlineStr">
        <is>
          <t>Learn more about the business including the roadmap it is heading to.; On the job; Managing People/Stakeholders, Strategic and critical thinking.</t>
        </is>
      </c>
      <c r="FB173" s="53" t="inlineStr">
        <is>
          <t>Missing on Follow-Ups Active Participation Staleness; Swift support from teams including adaptability of new process.</t>
        </is>
      </c>
      <c r="FC173" s="53" t="n"/>
      <c r="FD173" s="53" t="n"/>
      <c r="FE173" s="55" t="inlineStr">
        <is>
          <t>KRAs not received · manager to supply</t>
        </is>
      </c>
      <c r="FF173" s="56" t="n"/>
      <c r="FG173" s="56" t="n"/>
      <c r="FH173" s="56" t="n"/>
      <c r="FI173" s="56" t="inlineStr">
        <is>
          <t>Takes care of Sales data reporting, inbound database distribution, performance Dashboard maintenance for WBRX and Review meeting</t>
        </is>
      </c>
      <c r="FJ173" s="32" t="inlineStr">
        <is>
          <t>KRAs not received · manager to supply</t>
        </is>
      </c>
      <c r="FK173" s="56" t="inlineStr">
        <is>
          <t>CARBON Talent Mapping · Raw</t>
        </is>
      </c>
      <c r="FL173" s="56" t="n">
        <v>20</v>
      </c>
      <c r="FM173" s="56" t="inlineStr">
        <is>
          <t>Managing Business Revenue Metrics and Analysing Pipeline Funnel; Business CRM and Data Hub</t>
        </is>
      </c>
      <c r="FN173" s="56"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FO173" s="56" t="inlineStr">
        <is>
          <t>Advanced Excel HubSpot CRM Sales Funnel; HubSpot CRM MS Office Suite Power BI; Soft Skill, Communication, Business Acumen, Data Governance, Presentation</t>
        </is>
      </c>
      <c r="FP173" s="56" t="inlineStr">
        <is>
          <t>Learn more about the business including the roadmap it is heading to.; On the job; Managing People/Stakeholders, Strategic and critical thinking.</t>
        </is>
      </c>
      <c r="FQ173" s="56" t="inlineStr">
        <is>
          <t>Missing on Follow-Ups Active Participation Staleness; Swift support from teams including adaptability of new process.</t>
        </is>
      </c>
      <c r="FR173" s="56" t="inlineStr">
        <is>
          <t>Complexity: Evidence reads like B1: Analyses pipeline funnel and all CARBON revenue metrics · new logos, expansion, churn for board reporting → moved up 0.5
Autonomy: Evidence reads like A3: Decides on the business CRM and data hub; no wider decisions stated → matches the start
Accountability: Evidence reads like B1: Owns CARBON revenue metrics and HubSpot CRM; wrong numbers reach the board → moved up 0.5
Leadership: Evidence reads like A2: One direct report in HR data, but no guiding or reviewing described → moved down 0.5
Business Impact: No survey or manager-mapping signal on criticality: kept at the start point.</t>
        </is>
      </c>
      <c r="FS173" s="56" t="n"/>
      <c r="FT173" s="56" t="inlineStr">
        <is>
          <t>Self-identified: Client, sales &amp; stakeholders · Strategy &amp; business acumen
For the next role: Client, sales &amp; stakeholders · Strategy &amp; business acumen</t>
        </is>
      </c>
      <c r="FU173" s="56" t="inlineStr">
        <is>
          <t>Per-person summary · CARBON Mapping Master</t>
        </is>
      </c>
    </row>
    <row r="174" ht="90" customHeight="1">
      <c r="A174" s="51" t="inlineStr">
        <is>
          <t>◂ Back</t>
        </is>
      </c>
      <c r="B174" s="29" t="inlineStr">
        <is>
          <t>Mapped</t>
        </is>
      </c>
      <c r="C174" s="28" t="inlineStr">
        <is>
          <t>CARBON</t>
        </is>
      </c>
      <c r="D174" s="29" t="inlineStr">
        <is>
          <t>IRIS0118</t>
        </is>
      </c>
      <c r="E174" s="29" t="inlineStr">
        <is>
          <t>Mayur Narvekar</t>
        </is>
      </c>
      <c r="F174" s="29" t="inlineStr">
        <is>
          <t>Support</t>
        </is>
      </c>
      <c r="G174" s="29" t="inlineStr">
        <is>
          <t>Image Processing Specialist</t>
        </is>
      </c>
      <c r="H174" s="29" t="inlineStr">
        <is>
          <t>MIS Specialist</t>
        </is>
      </c>
      <c r="I174" s="29" t="inlineStr">
        <is>
          <t>L3 – Professional / Associate</t>
        </is>
      </c>
      <c r="J174" s="29" t="inlineStr">
        <is>
          <t>A3</t>
        </is>
      </c>
      <c r="K174" s="29" t="inlineStr">
        <is>
          <t>▲ Up</t>
        </is>
      </c>
      <c r="L174" s="29" t="inlineStr">
        <is>
          <t>Data &amp; Analytics</t>
        </is>
      </c>
      <c r="M174" s="29" t="inlineStr">
        <is>
          <t>MIS &amp; Business Reporting</t>
        </is>
      </c>
      <c r="N174" s="29" t="n"/>
      <c r="O174" s="29" t="n">
        <v>18</v>
      </c>
      <c r="P174" s="28" t="inlineStr">
        <is>
          <t>P2</t>
        </is>
      </c>
      <c r="Q174" s="29" t="inlineStr">
        <is>
          <t>Developing</t>
        </is>
      </c>
      <c r="R174" s="29" t="inlineStr">
        <is>
          <t>3 Apply</t>
        </is>
      </c>
      <c r="S174" s="29" t="inlineStr">
        <is>
          <t>2–4 yrs</t>
        </is>
      </c>
      <c r="T174" s="29" t="inlineStr">
        <is>
          <t>3–5 · 2–5</t>
        </is>
      </c>
      <c r="U174" s="29" t="inlineStr">
        <is>
          <t>Senior Data Analyst</t>
        </is>
      </c>
      <c r="V174" s="29" t="inlineStr">
        <is>
          <t>Atlassian company-wide P-levels: P40 Analyst · IRIS Vs Competitor Benchmark — data analyst ladder: Data Analyst II</t>
        </is>
      </c>
      <c r="W174" s="29" t="inlineStr">
        <is>
          <t>DAMA-DMBOK · 11 knowledge areas around data governance</t>
        </is>
      </c>
      <c r="X174" s="29" t="inlineStr">
        <is>
          <t>Core 2 · Future 2 · Functional 3 · Leadership not scored</t>
        </is>
      </c>
      <c r="Y174" s="52" t="n">
        <v>27</v>
      </c>
      <c r="Z174" s="53" t="inlineStr">
        <is>
          <t>IRIS0118</t>
        </is>
      </c>
      <c r="AA174" s="53" t="inlineStr">
        <is>
          <t>Employee</t>
        </is>
      </c>
      <c r="AB174" s="53" t="inlineStr">
        <is>
          <t>Active</t>
        </is>
      </c>
      <c r="AC174" s="53" t="inlineStr">
        <is>
          <t>Mayur Narvekar</t>
        </is>
      </c>
      <c r="AD174" s="54" t="n">
        <v>39326</v>
      </c>
      <c r="AE174" s="53" t="inlineStr">
        <is>
          <t>Image Processing Specialist</t>
        </is>
      </c>
      <c r="AF174" s="53" t="inlineStr">
        <is>
          <t>B.Com</t>
        </is>
      </c>
      <c r="AG174" s="53" t="inlineStr">
        <is>
          <t>Aniket Das</t>
        </is>
      </c>
      <c r="AH174" s="53" t="inlineStr">
        <is>
          <t>N-4</t>
        </is>
      </c>
      <c r="AI174" s="53" t="inlineStr">
        <is>
          <t>Individual Contributor</t>
        </is>
      </c>
      <c r="AJ174" s="53" t="inlineStr">
        <is>
          <t>0 years, 0 months, 0 days</t>
        </is>
      </c>
      <c r="AK174" s="53" t="inlineStr">
        <is>
          <t>18 years, 11 months, 24 days</t>
        </is>
      </c>
      <c r="AL174" s="53" t="inlineStr">
        <is>
          <t>Regtech</t>
        </is>
      </c>
      <c r="AM174" s="53" t="inlineStr">
        <is>
          <t>CARBON</t>
        </is>
      </c>
      <c r="AN174" s="53" t="inlineStr">
        <is>
          <t>Support</t>
        </is>
      </c>
      <c r="AO174" s="53" t="inlineStr">
        <is>
          <t>Sales Support</t>
        </is>
      </c>
      <c r="AP174" s="53" t="inlineStr">
        <is>
          <t>No</t>
        </is>
      </c>
      <c r="AQ174" s="53" t="inlineStr">
        <is>
          <t>Sales, Marketing &amp; Support</t>
        </is>
      </c>
      <c r="AR174" s="53" t="inlineStr">
        <is>
          <t>OCR/Image procesing</t>
        </is>
      </c>
      <c r="AS174" s="53" t="inlineStr">
        <is>
          <t>Non-technical</t>
        </is>
      </c>
      <c r="AT174" s="53" t="n">
        <v>20</v>
      </c>
      <c r="AU174" s="53" t="inlineStr">
        <is>
          <t>Covered</t>
        </is>
      </c>
      <c r="AV174" s="53" t="inlineStr">
        <is>
          <t>IRIS0118</t>
        </is>
      </c>
      <c r="AW174" s="53" t="inlineStr">
        <is>
          <t>Mayur Narvekar</t>
        </is>
      </c>
      <c r="AX174" s="53" t="inlineStr">
        <is>
          <t>Sales</t>
        </is>
      </c>
      <c r="AY174" s="53" t="inlineStr">
        <is>
          <t>Sales &amp; Business Development</t>
        </is>
      </c>
      <c r="AZ174" s="53" t="inlineStr">
        <is>
          <t>Sales Operations - MIS Analytics</t>
        </is>
      </c>
      <c r="BA174" s="53" t="n"/>
      <c r="BB174" s="53" t="n"/>
      <c r="BC174" s="53" t="inlineStr">
        <is>
          <t>Employee</t>
        </is>
      </c>
      <c r="BD174" s="53" t="inlineStr">
        <is>
          <t>K Ashok Kumar</t>
        </is>
      </c>
      <c r="BE174" s="53" t="inlineStr">
        <is>
          <t>Aniket Das</t>
        </is>
      </c>
      <c r="BF174" s="53" t="inlineStr">
        <is>
          <t>Yes</t>
        </is>
      </c>
      <c r="BG174" s="53" t="inlineStr">
        <is>
          <t>Image Processing Specialist</t>
        </is>
      </c>
      <c r="BH174" s="53" t="inlineStr">
        <is>
          <t>MIS Analyst</t>
        </is>
      </c>
      <c r="BI174" s="53" t="inlineStr">
        <is>
          <t>Yes</t>
        </is>
      </c>
      <c r="BJ174" s="53" t="inlineStr">
        <is>
          <t>—</t>
        </is>
      </c>
      <c r="BK174" s="53" t="inlineStr">
        <is>
          <t>—</t>
        </is>
      </c>
      <c r="BL174" s="53" t="inlineStr">
        <is>
          <t>—</t>
        </is>
      </c>
      <c r="BM174" s="53" t="inlineStr">
        <is>
          <t>Not a manager</t>
        </is>
      </c>
      <c r="BN174" s="53" t="inlineStr">
        <is>
          <t>—</t>
        </is>
      </c>
      <c r="BO174" s="53" t="inlineStr">
        <is>
          <t>—</t>
        </is>
      </c>
      <c r="BP174" s="53" t="inlineStr">
        <is>
          <t>—</t>
        </is>
      </c>
      <c r="BQ174" s="53" t="inlineStr">
        <is>
          <t>Not a manager</t>
        </is>
      </c>
      <c r="BR174" s="53" t="inlineStr">
        <is>
          <t>—</t>
        </is>
      </c>
      <c r="BS174" s="53" t="inlineStr">
        <is>
          <t>L3 – Professional / Associate</t>
        </is>
      </c>
      <c r="BT174" s="53" t="inlineStr">
        <is>
          <t>L2</t>
        </is>
      </c>
      <c r="BU174" s="53" t="inlineStr">
        <is>
          <t>Matched from Title Hierarchy · new designation</t>
        </is>
      </c>
      <c r="BV174" s="53" t="n"/>
      <c r="BW174" s="53" t="n"/>
      <c r="BX174" s="53" t="inlineStr">
        <is>
          <t>Global.</t>
        </is>
      </c>
      <c r="BY174" s="53" t="n"/>
      <c r="BZ174" s="53" t="inlineStr">
        <is>
          <t>IRIS0118</t>
        </is>
      </c>
      <c r="CA174" s="53" t="inlineStr">
        <is>
          <t>Employee</t>
        </is>
      </c>
      <c r="CB174" s="53" t="inlineStr">
        <is>
          <t>Active</t>
        </is>
      </c>
      <c r="CC174" s="53" t="inlineStr">
        <is>
          <t>Mayur Narvekar</t>
        </is>
      </c>
      <c r="CD174" s="54" t="n">
        <v>39326</v>
      </c>
      <c r="CE174" s="53" t="inlineStr">
        <is>
          <t>Image Processing Specialist</t>
        </is>
      </c>
      <c r="CF174" s="53" t="n"/>
      <c r="CG174" s="53" t="inlineStr">
        <is>
          <t>Professional Services</t>
        </is>
      </c>
      <c r="CH174" s="53" t="inlineStr">
        <is>
          <t>Digitization &amp; Image Processing</t>
        </is>
      </c>
      <c r="CI174" s="53" t="inlineStr">
        <is>
          <t>Image Processing Specialist</t>
        </is>
      </c>
      <c r="CJ174" s="53" t="inlineStr">
        <is>
          <t>L3 – Professional / Associate</t>
        </is>
      </c>
      <c r="CK174" s="53" t="inlineStr">
        <is>
          <t>K Ashok Kumar</t>
        </is>
      </c>
      <c r="CL174" s="53" t="inlineStr">
        <is>
          <t>N-5</t>
        </is>
      </c>
      <c r="CM174" s="53" t="inlineStr">
        <is>
          <t>Individual Contributor</t>
        </is>
      </c>
      <c r="CN174" s="53" t="inlineStr">
        <is>
          <t>Regtech</t>
        </is>
      </c>
      <c r="CO174" s="53" t="inlineStr">
        <is>
          <t>Support</t>
        </is>
      </c>
      <c r="CP174" s="53" t="inlineStr">
        <is>
          <t>18 years, 9 months, 19 days</t>
        </is>
      </c>
      <c r="CQ174" s="53" t="inlineStr">
        <is>
          <t>Sr.Services Specialist</t>
        </is>
      </c>
      <c r="CR174" s="53" t="n"/>
      <c r="CS174" s="53" t="n"/>
      <c r="CT174" s="53" t="n"/>
      <c r="CU174" s="53" t="n"/>
      <c r="CV174" s="53" t="n"/>
      <c r="CW174" s="53" t="n"/>
      <c r="CX174" s="53" t="n"/>
      <c r="CY174" s="53" t="n"/>
      <c r="CZ174" s="53" t="n"/>
      <c r="DA174" s="53" t="n"/>
      <c r="DB174" s="53" t="inlineStr">
        <is>
          <t>He is not part of Assisted services team and currently working with Suman and Anu. Title to be Standardized to: Sr.Services Specialist</t>
        </is>
      </c>
      <c r="DC174" s="53" t="n"/>
      <c r="DD174" s="53" t="n"/>
      <c r="DE174" s="53" t="n"/>
      <c r="DF174" s="53" t="n"/>
      <c r="DG174" s="53" t="n"/>
      <c r="DH174" s="53" t="n"/>
      <c r="DI174" s="53" t="n"/>
      <c r="DJ174" s="53" t="n"/>
      <c r="DK174" s="53" t="n"/>
      <c r="DL174" s="53" t="n"/>
      <c r="DM174" s="53" t="n"/>
      <c r="DN174" s="53" t="n"/>
      <c r="DO174" s="53" t="n"/>
      <c r="DP174" s="53" t="n"/>
      <c r="DQ174" s="53" t="n"/>
      <c r="DR174" s="53" t="n"/>
      <c r="DS174" s="53" t="n"/>
      <c r="DT174" s="53" t="n"/>
      <c r="DU174" s="53" t="n"/>
      <c r="DV174" s="53" t="n"/>
      <c r="DW174" s="53" t="n"/>
      <c r="DX174" s="53" t="n"/>
      <c r="DY174" s="53" t="n"/>
      <c r="DZ174" s="53" t="n"/>
      <c r="EA174" s="53" t="n"/>
      <c r="EB174" s="53" t="n"/>
      <c r="EC174" s="53" t="n"/>
      <c r="ED174" s="53" t="n"/>
      <c r="EE174" s="53" t="n"/>
      <c r="EF174" s="53" t="n"/>
      <c r="EG174" s="53" t="n"/>
      <c r="EH174" s="53" t="n"/>
      <c r="EI174" s="53" t="n"/>
      <c r="EJ174" s="53" t="n"/>
      <c r="EK174" s="53" t="n"/>
      <c r="EL174" s="53" t="n"/>
      <c r="EM174" s="53" t="n"/>
      <c r="EN174" s="53" t="n"/>
      <c r="EO174" s="53" t="n"/>
      <c r="EP174" s="53" t="n"/>
      <c r="EQ174" s="53" t="n"/>
      <c r="ER174" s="53" t="n"/>
      <c r="ES174" s="53" t="n"/>
      <c r="ET174" s="53" t="n"/>
      <c r="EU174" s="53" t="n"/>
      <c r="EV174" s="53" t="n"/>
      <c r="EW174" s="52" t="n"/>
      <c r="EX174" s="53"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EY174" s="53"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EZ174" s="53" t="inlineStr">
        <is>
          <t>• Current capabilities: Data collection; adaptability.
• Tools / software used: MS Office; PDF Professional.
• Workload: Rated a moderate load · 3/5 in a typical week.
• Judgment/way of working: Budget creation.</t>
        </is>
      </c>
      <c r="FA174" s="53" t="inlineStr">
        <is>
          <t>• Learning and Development Need: Training on other tasks cited as making a difference.</t>
        </is>
      </c>
      <c r="FB174" s="53" t="inlineStr">
        <is>
          <t>• Key challenges: New tasks added over the last 3 months.
• Support required: Better scheduling and time-framing of work.</t>
        </is>
      </c>
      <c r="FC174" s="53" t="n"/>
      <c r="FD174" s="53" t="n"/>
      <c r="FE174" s="55" t="inlineStr">
        <is>
          <t>KRAs not received · manager to supply</t>
        </is>
      </c>
      <c r="FF174" s="56" t="n"/>
      <c r="FG174" s="56" t="n"/>
      <c r="FH174" s="56" t="n"/>
      <c r="FI174" s="56" t="n"/>
      <c r="FJ174" s="32" t="inlineStr">
        <is>
          <t>KRAs not received · manager to supply</t>
        </is>
      </c>
      <c r="FK174" s="56" t="n"/>
      <c r="FL174" s="56" t="n">
        <v>18</v>
      </c>
      <c r="FM174" s="56"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FN174" s="56"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FO174" s="56" t="inlineStr">
        <is>
          <t>• Current capabilities: Data collection; adaptability.
• Tools / software used: MS Office; PDF Professional.
• Workload: Rated a moderate load · 3/5 in a typical week.
• Judgment/way of working: Budget creation.</t>
        </is>
      </c>
      <c r="FP174" s="56" t="inlineStr">
        <is>
          <t>• Learning and Development Need: Training on other tasks cited as making a difference.</t>
        </is>
      </c>
      <c r="FQ174" s="56" t="inlineStr">
        <is>
          <t>• Key challenges: New tasks added over the last 3 months.
• Support required: Better scheduling and time-framing of work.</t>
        </is>
      </c>
      <c r="FR174" s="56" t="inlineStr">
        <is>
          <t>Complexity: Evidence reads like A3: Prepares revenue and ARR forecasts on assumptions, IR data and invoices; needs accounting knowledge → matches the start
Autonomy: Evidence reads like A2: No decisions stated; answerable for wrong forecast assumptions → moved down 0.5
Accountability: Evidence reads like A3: Revenue and ARR forecast, invoicing and IR data involving confidential numbers → matches the start
Leadership: Evidence reads like A1: No guidance of others described → moved down 0.5
Business Impact: No survey or manager-mapping signal on criticality: kept at the start point.</t>
        </is>
      </c>
      <c r="FS174" s="56" t="n"/>
      <c r="FT174" s="56" t="inlineStr">
        <is>
          <t>Self-identified: Answered · no common topic
For the next role: Answered · no common topic</t>
        </is>
      </c>
      <c r="FU174" s="56" t="inlineStr">
        <is>
          <t>Per-person summary · CARBON Mapping Master</t>
        </is>
      </c>
    </row>
    <row r="175" ht="90" customHeight="1">
      <c r="A175" s="51" t="inlineStr">
        <is>
          <t>◂ Back</t>
        </is>
      </c>
      <c r="B175" s="29" t="inlineStr">
        <is>
          <t>Mapped</t>
        </is>
      </c>
      <c r="C175" s="28" t="inlineStr">
        <is>
          <t>CARBON</t>
        </is>
      </c>
      <c r="D175" s="29" t="inlineStr">
        <is>
          <t>IRISC345</t>
        </is>
      </c>
      <c r="E175" s="29" t="inlineStr">
        <is>
          <t>Andrea Messiga</t>
        </is>
      </c>
      <c r="F175" s="29" t="inlineStr">
        <is>
          <t>Sales</t>
        </is>
      </c>
      <c r="G175" s="29" t="inlineStr">
        <is>
          <t>Regional Manager- Business Development</t>
        </is>
      </c>
      <c r="H175" s="29" t="inlineStr">
        <is>
          <t>Senior Consultant – Enterprise Sales &amp; Account Management</t>
        </is>
      </c>
      <c r="I175" s="29" t="inlineStr">
        <is>
          <t>—</t>
        </is>
      </c>
      <c r="J175" s="29" t="inlineStr">
        <is>
          <t>X3</t>
        </is>
      </c>
      <c r="K175" s="29" t="inlineStr">
        <is>
          <t>• Same level</t>
        </is>
      </c>
      <c r="L175" s="29" t="inlineStr">
        <is>
          <t>Sales &amp; Business Development</t>
        </is>
      </c>
      <c r="M175" s="29" t="inlineStr">
        <is>
          <t>Enterprise Sales &amp; Account Management</t>
        </is>
      </c>
      <c r="N175" s="29" t="n"/>
      <c r="O175" s="29" t="n">
        <v>0</v>
      </c>
      <c r="P175" s="28" t="inlineStr">
        <is>
          <t>Contractor</t>
        </is>
      </c>
      <c r="Q175" s="29" t="inlineStr">
        <is>
          <t>—</t>
        </is>
      </c>
      <c r="R175" s="29" t="inlineStr">
        <is>
          <t>—</t>
        </is>
      </c>
      <c r="S175" s="29" t="inlineStr">
        <is>
          <t>10+ yrs</t>
        </is>
      </c>
      <c r="T175" s="29" t="inlineStr">
        <is>
          <t>—</t>
        </is>
      </c>
      <c r="U175" s="29" t="inlineStr">
        <is>
          <t>Contractor · rate card</t>
        </is>
      </c>
      <c r="V175" s="29" t="inlineStr">
        <is>
          <t>—</t>
        </is>
      </c>
      <c r="W175" s="29" t="inlineStr">
        <is>
          <t>SaaS sales ladder · SDR → AE → Enterprise AE → VP / CRO; MEDDICC-style qualification</t>
        </is>
      </c>
      <c r="X175" s="29" t="inlineStr">
        <is>
          <t>Per statement of work</t>
        </is>
      </c>
      <c r="Y175" s="52" t="n">
        <v>479</v>
      </c>
      <c r="Z175" s="53" t="inlineStr">
        <is>
          <t>IRISC345</t>
        </is>
      </c>
      <c r="AA175" s="53" t="inlineStr">
        <is>
          <t>Full Time Consultant · Italy</t>
        </is>
      </c>
      <c r="AB175" s="53" t="inlineStr">
        <is>
          <t>Active</t>
        </is>
      </c>
      <c r="AC175" s="53" t="inlineStr">
        <is>
          <t>Andrea Messiga</t>
        </is>
      </c>
      <c r="AD175" s="54" t="n">
        <v>46120</v>
      </c>
      <c r="AE175" s="53" t="inlineStr">
        <is>
          <t>Regional Manager- Business Development</t>
        </is>
      </c>
      <c r="AF175" s="53" t="inlineStr">
        <is>
          <t>-</t>
        </is>
      </c>
      <c r="AG175" s="53" t="inlineStr">
        <is>
          <t>Anuradha RK</t>
        </is>
      </c>
      <c r="AH175" s="53" t="inlineStr">
        <is>
          <t>N-3</t>
        </is>
      </c>
      <c r="AI175" s="53" t="inlineStr">
        <is>
          <t>Individual Contributor</t>
        </is>
      </c>
      <c r="AJ175" s="53" t="n"/>
      <c r="AK175" s="53" t="n"/>
      <c r="AL175" s="53" t="inlineStr">
        <is>
          <t>Regtech</t>
        </is>
      </c>
      <c r="AM175" s="53" t="inlineStr">
        <is>
          <t>CARBON</t>
        </is>
      </c>
      <c r="AN175" s="53" t="inlineStr">
        <is>
          <t>Sales</t>
        </is>
      </c>
      <c r="AO175" s="53" t="inlineStr">
        <is>
          <t>Sales</t>
        </is>
      </c>
      <c r="AP175" s="53" t="inlineStr">
        <is>
          <t>No</t>
        </is>
      </c>
      <c r="AQ175" s="53" t="inlineStr">
        <is>
          <t>Sales, Marketing &amp; Support</t>
        </is>
      </c>
      <c r="AR175" s="53" t="inlineStr">
        <is>
          <t>Sales</t>
        </is>
      </c>
      <c r="AS175" s="53" t="inlineStr">
        <is>
          <t>Non-technical</t>
        </is>
      </c>
      <c r="AT175" s="53" t="n">
        <v>0</v>
      </c>
      <c r="AU175" s="53" t="inlineStr">
        <is>
          <t>Excluded</t>
        </is>
      </c>
      <c r="AV175" s="53" t="inlineStr">
        <is>
          <t>IRISC345</t>
        </is>
      </c>
      <c r="AW175" s="53" t="inlineStr">
        <is>
          <t>Andrea Messiga</t>
        </is>
      </c>
      <c r="AX175" s="53" t="inlineStr">
        <is>
          <t>Sales</t>
        </is>
      </c>
      <c r="AY175" s="53" t="inlineStr">
        <is>
          <t>Sales &amp; Business Development</t>
        </is>
      </c>
      <c r="AZ175" s="53" t="inlineStr">
        <is>
          <t>Enterprise sales</t>
        </is>
      </c>
      <c r="BA175" s="53" t="inlineStr">
        <is>
          <t>Consulting</t>
        </is>
      </c>
      <c r="BB175" s="53" t="n"/>
      <c r="BC175" s="53" t="inlineStr">
        <is>
          <t>Full Time Consultant · Italy</t>
        </is>
      </c>
      <c r="BD175" s="53" t="inlineStr">
        <is>
          <t>Anuradha RK</t>
        </is>
      </c>
      <c r="BE175" s="53" t="inlineStr">
        <is>
          <t>Anuradha RK</t>
        </is>
      </c>
      <c r="BF175" s="53" t="inlineStr">
        <is>
          <t>New entry</t>
        </is>
      </c>
      <c r="BG175" s="53" t="inlineStr">
        <is>
          <t>Consultant</t>
        </is>
      </c>
      <c r="BH175" s="53" t="inlineStr">
        <is>
          <t>Regional Manager Sales</t>
        </is>
      </c>
      <c r="BI175" s="53" t="inlineStr">
        <is>
          <t>N/A · new entry</t>
        </is>
      </c>
      <c r="BJ175" s="53" t="inlineStr">
        <is>
          <t>—</t>
        </is>
      </c>
      <c r="BK175" s="53" t="inlineStr">
        <is>
          <t>—</t>
        </is>
      </c>
      <c r="BL175" s="53" t="inlineStr">
        <is>
          <t>—</t>
        </is>
      </c>
      <c r="BM175" s="53" t="inlineStr">
        <is>
          <t>Not a manager</t>
        </is>
      </c>
      <c r="BN175" s="53" t="inlineStr">
        <is>
          <t>—</t>
        </is>
      </c>
      <c r="BO175" s="53" t="inlineStr">
        <is>
          <t>—</t>
        </is>
      </c>
      <c r="BP175" s="53" t="inlineStr">
        <is>
          <t>—</t>
        </is>
      </c>
      <c r="BQ175" s="53" t="inlineStr">
        <is>
          <t>Not a manager</t>
        </is>
      </c>
      <c r="BR175" s="53" t="inlineStr">
        <is>
          <t>—</t>
        </is>
      </c>
      <c r="BS175" s="53" t="n"/>
      <c r="BT175" s="53" t="n"/>
      <c r="BU175" s="53" t="inlineStr">
        <is>
          <t>No designation change — current record value carried forward</t>
        </is>
      </c>
      <c r="BV175" s="53" t="n"/>
      <c r="BW175" s="53" t="n"/>
      <c r="BX175" s="53" t="n"/>
      <c r="BY175" s="53" t="n"/>
      <c r="BZ175" s="53" t="inlineStr">
        <is>
          <t>IRISC345</t>
        </is>
      </c>
      <c r="CA175" s="53" t="inlineStr">
        <is>
          <t>Full Time Consultant · Italy</t>
        </is>
      </c>
      <c r="CB175" s="53" t="inlineStr">
        <is>
          <t>Active</t>
        </is>
      </c>
      <c r="CC175" s="53" t="inlineStr">
        <is>
          <t>Andrea Messiga</t>
        </is>
      </c>
      <c r="CD175" s="54" t="n">
        <v>27407</v>
      </c>
      <c r="CE175" s="53" t="inlineStr">
        <is>
          <t>Consultant</t>
        </is>
      </c>
      <c r="CF175" s="53" t="inlineStr">
        <is>
          <t>Works based out of Milan, client management, engagement, lead generation -e2e sales</t>
        </is>
      </c>
      <c r="CG175" s="53" t="inlineStr">
        <is>
          <t>Consulting  Services</t>
        </is>
      </c>
      <c r="CH175" s="53" t="inlineStr">
        <is>
          <t>XBRL / Regulatory Reporting</t>
        </is>
      </c>
      <c r="CI175" s="53" t="inlineStr">
        <is>
          <t>Consultant</t>
        </is>
      </c>
      <c r="CJ175" s="53" t="inlineStr">
        <is>
          <t>L3 – Professional / Associate</t>
        </is>
      </c>
      <c r="CK175" s="53" t="inlineStr">
        <is>
          <t>Anuradha RK</t>
        </is>
      </c>
      <c r="CL175" s="53" t="inlineStr">
        <is>
          <t>N-3</t>
        </is>
      </c>
      <c r="CM175" s="53" t="n"/>
      <c r="CN175" s="53" t="inlineStr">
        <is>
          <t>Individual Contributor</t>
        </is>
      </c>
      <c r="CO175" s="53" t="inlineStr">
        <is>
          <t>Sales</t>
        </is>
      </c>
      <c r="CP175" s="53" t="inlineStr">
        <is>
          <t>-</t>
        </is>
      </c>
      <c r="CQ175" s="53" t="n"/>
      <c r="CR175" s="53" t="inlineStr">
        <is>
          <t>0 years, 2 months, 12 days</t>
        </is>
      </c>
      <c r="CS175" s="53" t="n"/>
      <c r="CT175" s="53" t="n"/>
      <c r="CU175" s="53" t="n"/>
      <c r="CV175" s="53" t="n"/>
      <c r="CW175" s="53" t="inlineStr">
        <is>
          <t>Regtech</t>
        </is>
      </c>
      <c r="CX175" s="53" t="inlineStr">
        <is>
          <t>CARBON</t>
        </is>
      </c>
      <c r="CY175" s="53" t="inlineStr">
        <is>
          <t>Sales</t>
        </is>
      </c>
      <c r="CZ175" s="53" t="inlineStr">
        <is>
          <t>Sales</t>
        </is>
      </c>
      <c r="DA175" s="53" t="inlineStr">
        <is>
          <t>No</t>
        </is>
      </c>
      <c r="DB175" s="53" t="inlineStr">
        <is>
          <t>Sales, Marketing &amp; Support</t>
        </is>
      </c>
      <c r="DC175" s="53" t="n"/>
      <c r="DD175" s="53" t="n"/>
      <c r="DE175" s="53" t="n"/>
      <c r="DF175" s="53" t="n"/>
      <c r="DG175" s="53" t="n"/>
      <c r="DH175" s="53" t="n"/>
      <c r="DI175" s="53" t="n"/>
      <c r="DJ175" s="53" t="n"/>
      <c r="DK175" s="53" t="n"/>
      <c r="DL175" s="53" t="n"/>
      <c r="DM175" s="53" t="n"/>
      <c r="DN175" s="53" t="n"/>
      <c r="DO175" s="53" t="n"/>
      <c r="DP175" s="53" t="n"/>
      <c r="DQ175" s="53" t="n"/>
      <c r="DR175" s="53" t="n"/>
      <c r="DS175" s="53" t="n"/>
      <c r="DT175" s="53" t="n"/>
      <c r="DU175" s="53" t="n"/>
      <c r="DV175" s="53" t="n"/>
      <c r="DW175" s="53" t="n"/>
      <c r="DX175" s="53" t="n"/>
      <c r="DY175" s="53" t="n"/>
      <c r="DZ175" s="53" t="n"/>
      <c r="EA175" s="53" t="n"/>
      <c r="EB175" s="53" t="n"/>
      <c r="EC175" s="53" t="n"/>
      <c r="ED175" s="53" t="n"/>
      <c r="EE175" s="53" t="n"/>
      <c r="EF175" s="53" t="n"/>
      <c r="EG175" s="53" t="n"/>
      <c r="EH175" s="53" t="n"/>
      <c r="EI175" s="53" t="n"/>
      <c r="EJ175" s="53" t="n"/>
      <c r="EK175" s="53" t="n"/>
      <c r="EL175" s="53" t="n"/>
      <c r="EM175" s="53" t="n"/>
      <c r="EN175" s="53" t="n"/>
      <c r="EO175" s="53" t="n"/>
      <c r="EP175" s="53" t="n"/>
      <c r="EQ175" s="53" t="n"/>
      <c r="ER175" s="53" t="n"/>
      <c r="ES175" s="53" t="n"/>
      <c r="ET175" s="53" t="n"/>
      <c r="EU175" s="53" t="n"/>
      <c r="EV175" s="53" t="n"/>
      <c r="EW175" s="52" t="n"/>
      <c r="EX175" s="53" t="n"/>
      <c r="EY175" s="53" t="n"/>
      <c r="EZ175" s="53" t="n"/>
      <c r="FA175" s="53" t="n"/>
      <c r="FB175" s="53" t="n"/>
      <c r="FC175" s="53" t="n"/>
      <c r="FD175" s="53" t="n"/>
      <c r="FE175" s="55" t="inlineStr">
        <is>
          <t>KRAs not received · manager to supply</t>
        </is>
      </c>
      <c r="FF175" s="56" t="n"/>
      <c r="FG175" s="56" t="n"/>
      <c r="FH175" s="56" t="n"/>
      <c r="FI175" s="56" t="inlineStr">
        <is>
          <t>Works based out of Milan, client management, engagement, lead generation -e2e sales</t>
        </is>
      </c>
      <c r="FJ175" s="32" t="inlineStr">
        <is>
          <t>KRAs not received · manager to supply</t>
        </is>
      </c>
      <c r="FK175" s="56" t="inlineStr">
        <is>
          <t>CARBON Talent Mapping · Raw</t>
        </is>
      </c>
      <c r="FL175" s="56" t="n">
        <v>0</v>
      </c>
      <c r="FM175" s="32" t="inlineStr">
        <is>
          <t>No survey response on file</t>
        </is>
      </c>
      <c r="FN175" s="56" t="inlineStr">
        <is>
          <t>—</t>
        </is>
      </c>
      <c r="FO175" s="56" t="inlineStr">
        <is>
          <t>—</t>
        </is>
      </c>
      <c r="FP175" s="56" t="inlineStr">
        <is>
          <t>—</t>
        </is>
      </c>
      <c r="FQ175" s="56" t="inlineStr">
        <is>
          <t>—</t>
        </is>
      </c>
      <c r="FR175" s="56" t="n"/>
      <c r="FS175"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175" s="56" t="n"/>
      <c r="FU175" s="32" t="inlineStr">
        <is>
          <t>No survey response on file</t>
        </is>
      </c>
    </row>
    <row r="176" ht="90" customHeight="1">
      <c r="A176" s="51" t="inlineStr">
        <is>
          <t>◂ Back</t>
        </is>
      </c>
      <c r="B176" s="29" t="inlineStr">
        <is>
          <t>Mapped</t>
        </is>
      </c>
      <c r="C176" s="28" t="inlineStr">
        <is>
          <t>Corporate</t>
        </is>
      </c>
      <c r="D176" s="29" t="inlineStr">
        <is>
          <t>IRIS0919</t>
        </is>
      </c>
      <c r="E176" s="29" t="inlineStr">
        <is>
          <t>Vineet Kandoi</t>
        </is>
      </c>
      <c r="F176" s="29" t="inlineStr">
        <is>
          <t>Finance</t>
        </is>
      </c>
      <c r="G176" s="29" t="inlineStr">
        <is>
          <t>Chief Financial Officer</t>
        </is>
      </c>
      <c r="H176" s="29" t="inlineStr">
        <is>
          <t>Chief Financial Officer</t>
        </is>
      </c>
      <c r="I176" s="29" t="inlineStr">
        <is>
          <t>Not in current mapping files</t>
        </is>
      </c>
      <c r="J176" s="29" t="inlineStr">
        <is>
          <t>E1</t>
        </is>
      </c>
      <c r="K176" s="29" t="inlineStr">
        <is>
          <t>● Newly mapped</t>
        </is>
      </c>
      <c r="L176" s="29" t="inlineStr">
        <is>
          <t>Executive Leadership</t>
        </is>
      </c>
      <c r="M176" s="29" t="inlineStr">
        <is>
          <t>Business Head</t>
        </is>
      </c>
      <c r="N176" s="29" t="inlineStr">
        <is>
          <t>• Survey response or KRAs describing the work · nothing on file — Employee + manager</t>
        </is>
      </c>
      <c r="O176" s="29" t="n">
        <v>0</v>
      </c>
      <c r="P176" s="28" t="inlineStr">
        <is>
          <t>E5</t>
        </is>
      </c>
      <c r="Q176" s="29" t="inlineStr">
        <is>
          <t>C-Level</t>
        </is>
      </c>
      <c r="R176" s="29" t="inlineStr">
        <is>
          <t>7</t>
        </is>
      </c>
      <c r="S176" s="29" t="inlineStr">
        <is>
          <t>20+ yrs</t>
        </is>
      </c>
      <c r="T176" s="29" t="inlineStr">
        <is>
          <t>—</t>
        </is>
      </c>
      <c r="U176" s="29" t="inlineStr">
        <is>
          <t>CXO · functional chief</t>
        </is>
      </c>
      <c r="V176" s="29" t="inlineStr">
        <is>
          <t>IRIS Vs Market Benchmark — Aon Radford / Mercer executive codes: E5 C-level · functional · IRIS Vs Competitor Benchmark — regtech / SaaS executive titles: CTO · CFO · CRO · CCO · COO</t>
        </is>
      </c>
      <c r="W176" s="29" t="inlineStr">
        <is>
          <t>Aon Radford executive levels E1–E6; Mercer ET1–ET3; Korn Ferry Leadership Architect</t>
        </is>
      </c>
      <c r="X176" s="29" t="inlineStr">
        <is>
          <t>Core 5 · Future 5 · Functional 4 · Leadership 5</t>
        </is>
      </c>
      <c r="Y176" s="52" t="n">
        <v>99</v>
      </c>
      <c r="Z176" s="53" t="inlineStr">
        <is>
          <t>IRIS0919</t>
        </is>
      </c>
      <c r="AA176" s="53" t="inlineStr">
        <is>
          <t>Employee</t>
        </is>
      </c>
      <c r="AB176" s="53" t="inlineStr">
        <is>
          <t>Active</t>
        </is>
      </c>
      <c r="AC176" s="53" t="inlineStr">
        <is>
          <t>Vineet Kandoi</t>
        </is>
      </c>
      <c r="AD176" s="54" t="n">
        <v>40806</v>
      </c>
      <c r="AE176" s="53" t="inlineStr">
        <is>
          <t>Chief Financial Officer</t>
        </is>
      </c>
      <c r="AF176" s="53" t="inlineStr">
        <is>
          <t>CA + Senior Management Program</t>
        </is>
      </c>
      <c r="AG176" s="53" t="inlineStr">
        <is>
          <t>Balachandran K</t>
        </is>
      </c>
      <c r="AH176" s="53" t="inlineStr">
        <is>
          <t>N-1</t>
        </is>
      </c>
      <c r="AI176" s="53" t="inlineStr">
        <is>
          <t>Manager</t>
        </is>
      </c>
      <c r="AJ176" s="53" t="inlineStr">
        <is>
          <t>0 years, 0 months, 0 days</t>
        </is>
      </c>
      <c r="AK176" s="53" t="inlineStr">
        <is>
          <t>14 years, 11 months, 5 days</t>
        </is>
      </c>
      <c r="AL176" s="53" t="inlineStr">
        <is>
          <t>Corporate</t>
        </is>
      </c>
      <c r="AM176" s="53" t="inlineStr">
        <is>
          <t>Corporate</t>
        </is>
      </c>
      <c r="AN176" s="53" t="inlineStr">
        <is>
          <t>Finance</t>
        </is>
      </c>
      <c r="AO176" s="53" t="inlineStr">
        <is>
          <t>Accounting</t>
        </is>
      </c>
      <c r="AP176" s="53" t="inlineStr">
        <is>
          <t>No</t>
        </is>
      </c>
      <c r="AQ176" s="53" t="inlineStr">
        <is>
          <t>General &amp; Admin</t>
        </is>
      </c>
      <c r="AR176" s="53" t="inlineStr">
        <is>
          <t>Accounting</t>
        </is>
      </c>
      <c r="AS176" s="53" t="inlineStr">
        <is>
          <t>Non-technical</t>
        </is>
      </c>
      <c r="AT176" s="53" t="n">
        <v>0</v>
      </c>
      <c r="AU176" s="53" t="inlineStr">
        <is>
          <t>E-Top management</t>
        </is>
      </c>
      <c r="AV176" s="53" t="n"/>
      <c r="AW176" s="53" t="n"/>
      <c r="AX176" s="53" t="n"/>
      <c r="AY176" s="53" t="n"/>
      <c r="AZ176" s="53" t="n"/>
      <c r="BA176" s="53" t="n"/>
      <c r="BB176" s="53" t="n"/>
      <c r="BC176" s="53" t="n"/>
      <c r="BD176" s="53" t="n"/>
      <c r="BE176" s="53" t="n"/>
      <c r="BF176" s="53" t="n"/>
      <c r="BG176" s="53" t="n"/>
      <c r="BH176" s="53" t="n"/>
      <c r="BI176" s="53" t="n"/>
      <c r="BJ176" s="53" t="n"/>
      <c r="BK176" s="53" t="n"/>
      <c r="BL176" s="53" t="n"/>
      <c r="BM176" s="53" t="n"/>
      <c r="BN176" s="53" t="n"/>
      <c r="BO176" s="53" t="n"/>
      <c r="BP176" s="53" t="n"/>
      <c r="BQ176" s="53" t="n"/>
      <c r="BR176" s="53" t="n"/>
      <c r="BS176" s="53" t="n"/>
      <c r="BT176" s="53" t="n"/>
      <c r="BU176" s="53" t="n"/>
      <c r="BV176" s="53" t="n"/>
      <c r="BW176" s="53" t="n"/>
      <c r="BX176" s="53" t="n"/>
      <c r="BY176" s="53" t="n"/>
      <c r="BZ176" s="53" t="n"/>
      <c r="CA176" s="53" t="n"/>
      <c r="CB176" s="53" t="n"/>
      <c r="CC176" s="53" t="n"/>
      <c r="CD176" s="53" t="n"/>
      <c r="CE176" s="53" t="n"/>
      <c r="CF176" s="53" t="n"/>
      <c r="CG176" s="53" t="n"/>
      <c r="CH176" s="53" t="n"/>
      <c r="CI176" s="53" t="n"/>
      <c r="CJ176" s="53" t="n"/>
      <c r="CK176" s="53" t="n"/>
      <c r="CL176" s="53" t="n"/>
      <c r="CM176" s="53" t="n"/>
      <c r="CN176" s="53" t="n"/>
      <c r="CO176" s="53" t="n"/>
      <c r="CP176" s="53" t="n"/>
      <c r="CQ176" s="53" t="n"/>
      <c r="CR176" s="53" t="n"/>
      <c r="CS176" s="53" t="n"/>
      <c r="CT176" s="53" t="n"/>
      <c r="CU176" s="53" t="n"/>
      <c r="CV176" s="53" t="n"/>
      <c r="CW176" s="53" t="n"/>
      <c r="CX176" s="53" t="n"/>
      <c r="CY176" s="53" t="n"/>
      <c r="CZ176" s="53" t="n"/>
      <c r="DA176" s="53" t="n"/>
      <c r="DB176" s="53" t="n"/>
      <c r="DC176" s="53" t="n"/>
      <c r="DD176" s="53" t="n"/>
      <c r="DE176" s="53" t="n"/>
      <c r="DF176" s="53" t="n"/>
      <c r="DG176" s="53" t="n"/>
      <c r="DH176" s="53" t="n"/>
      <c r="DI176" s="53" t="n"/>
      <c r="DJ176" s="53" t="n"/>
      <c r="DK176" s="53" t="n"/>
      <c r="DL176" s="53" t="n"/>
      <c r="DM176" s="53" t="n"/>
      <c r="DN176" s="53" t="n"/>
      <c r="DO176" s="53" t="n"/>
      <c r="DP176" s="53" t="n"/>
      <c r="DQ176" s="53" t="n"/>
      <c r="DR176" s="53" t="n"/>
      <c r="DS176" s="53" t="n"/>
      <c r="DT176" s="53" t="n"/>
      <c r="DU176" s="53" t="n"/>
      <c r="DV176" s="53" t="n"/>
      <c r="DW176" s="53" t="n"/>
      <c r="DX176" s="53" t="n"/>
      <c r="DY176" s="53" t="n"/>
      <c r="DZ176" s="53" t="n"/>
      <c r="EA176" s="53" t="n"/>
      <c r="EB176" s="53" t="n"/>
      <c r="EC176" s="53" t="n"/>
      <c r="ED176" s="53" t="n"/>
      <c r="EE176" s="53" t="n"/>
      <c r="EF176" s="53" t="n"/>
      <c r="EG176" s="53" t="n"/>
      <c r="EH176" s="53" t="n"/>
      <c r="EI176" s="53" t="n"/>
      <c r="EJ176" s="53" t="n"/>
      <c r="EK176" s="53" t="n"/>
      <c r="EL176" s="53" t="n"/>
      <c r="EM176" s="53" t="n"/>
      <c r="EN176" s="53" t="n"/>
      <c r="EO176" s="53" t="n"/>
      <c r="EP176" s="53" t="n"/>
      <c r="EQ176" s="53" t="n"/>
      <c r="ER176" s="53" t="n"/>
      <c r="ES176" s="53" t="n"/>
      <c r="ET176" s="53" t="n"/>
      <c r="EU176" s="53" t="n"/>
      <c r="EV176" s="53" t="n"/>
      <c r="EW176" s="52" t="n"/>
      <c r="EX176" s="53" t="n"/>
      <c r="EY176" s="53" t="n"/>
      <c r="EZ176" s="53" t="n"/>
      <c r="FA176" s="53" t="n"/>
      <c r="FB176" s="53" t="n"/>
      <c r="FC176" s="53" t="n"/>
      <c r="FD176" s="53" t="n"/>
      <c r="FE176" s="55" t="inlineStr">
        <is>
          <t>KRAs not received · manager to supply</t>
        </is>
      </c>
      <c r="FF176" s="56" t="n"/>
      <c r="FG176" s="56" t="n"/>
      <c r="FH176" s="56" t="n"/>
      <c r="FI176" s="56" t="n"/>
      <c r="FJ176" s="32" t="inlineStr">
        <is>
          <t>KRAs not received · manager to supply</t>
        </is>
      </c>
      <c r="FK176" s="56" t="n"/>
      <c r="FL176" s="56" t="n">
        <v>0</v>
      </c>
      <c r="FM176" s="32" t="inlineStr">
        <is>
          <t>No survey response on file</t>
        </is>
      </c>
      <c r="FN176" s="56" t="inlineStr">
        <is>
          <t>—</t>
        </is>
      </c>
      <c r="FO176" s="56" t="inlineStr">
        <is>
          <t>—</t>
        </is>
      </c>
      <c r="FP176" s="56" t="inlineStr">
        <is>
          <t>—</t>
        </is>
      </c>
      <c r="FQ176" s="56" t="inlineStr">
        <is>
          <t>—</t>
        </is>
      </c>
      <c r="FR17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76" s="56" t="n"/>
      <c r="FT176" s="56" t="n"/>
      <c r="FU176" s="32" t="inlineStr">
        <is>
          <t>No survey response on file</t>
        </is>
      </c>
    </row>
    <row r="177" ht="90" customHeight="1">
      <c r="A177" s="51" t="inlineStr">
        <is>
          <t>◂ Back</t>
        </is>
      </c>
      <c r="B177" s="29" t="inlineStr">
        <is>
          <t>Mapped</t>
        </is>
      </c>
      <c r="C177" s="28" t="inlineStr">
        <is>
          <t>Corporate</t>
        </is>
      </c>
      <c r="D177" s="29" t="inlineStr">
        <is>
          <t>IRIS1918</t>
        </is>
      </c>
      <c r="E177" s="29" t="inlineStr">
        <is>
          <t>Nishant Gupta</t>
        </is>
      </c>
      <c r="F177" s="29" t="inlineStr">
        <is>
          <t>Finance</t>
        </is>
      </c>
      <c r="G177" s="29" t="inlineStr">
        <is>
          <t>Head Finance &amp; Accounts</t>
        </is>
      </c>
      <c r="H177" s="29" t="inlineStr">
        <is>
          <t>Associate Head – Finance &amp; Accounts</t>
        </is>
      </c>
      <c r="I177" s="29" t="inlineStr">
        <is>
          <t>Not in current mapping files</t>
        </is>
      </c>
      <c r="J177" s="29" t="inlineStr">
        <is>
          <t>C1</t>
        </is>
      </c>
      <c r="K177" s="29" t="inlineStr">
        <is>
          <t>● Newly mapped</t>
        </is>
      </c>
      <c r="L177" s="29" t="inlineStr">
        <is>
          <t>Finance &amp; Accounts</t>
        </is>
      </c>
      <c r="M177" s="29" t="inlineStr">
        <is>
          <t>Finance Leadership</t>
        </is>
      </c>
      <c r="N177" s="29" t="inlineStr">
        <is>
          <t>• Survey response or KRAs describing the work · nothing on file — Employee + manager</t>
        </is>
      </c>
      <c r="O177" s="29" t="n">
        <v>0</v>
      </c>
      <c r="P177" s="28" t="inlineStr">
        <is>
          <t>P6 / M5</t>
        </is>
      </c>
      <c r="Q177" s="29" t="inlineStr">
        <is>
          <t>Principal / Director</t>
        </is>
      </c>
      <c r="R177" s="29" t="inlineStr">
        <is>
          <t>5–6</t>
        </is>
      </c>
      <c r="S177" s="29" t="inlineStr">
        <is>
          <t>10–14 yrs</t>
        </is>
      </c>
      <c r="T177" s="29" t="inlineStr">
        <is>
          <t>12–16 · 12–18</t>
        </is>
      </c>
      <c r="U177" s="29" t="inlineStr">
        <is>
          <t>Head of Function / AGM</t>
        </is>
      </c>
      <c r="V177" s="29" t="inlineStr">
        <is>
          <t>Atlassian company-wide P-levels: P60 Accountant · Principal · IRIS Vs Competitor Benchmark — finance ladder: Associate Director Finance</t>
        </is>
      </c>
      <c r="W177" s="29" t="inlineStr">
        <is>
          <t>IMA Management Accounting Competency Framework; ICAI / CA; Ind AS</t>
        </is>
      </c>
      <c r="X177" s="29" t="inlineStr">
        <is>
          <t>Core 4 · Future 4 · Functional 4 · Leadership 4</t>
        </is>
      </c>
      <c r="Y177" s="52" t="n">
        <v>182</v>
      </c>
      <c r="Z177" s="53" t="inlineStr">
        <is>
          <t>IRIS1918</t>
        </is>
      </c>
      <c r="AA177" s="53" t="inlineStr">
        <is>
          <t>Employee</t>
        </is>
      </c>
      <c r="AB177" s="53" t="inlineStr">
        <is>
          <t>Active</t>
        </is>
      </c>
      <c r="AC177" s="53" t="inlineStr">
        <is>
          <t>Nishant Gupta</t>
        </is>
      </c>
      <c r="AD177" s="54" t="n">
        <v>44357</v>
      </c>
      <c r="AE177" s="53" t="inlineStr">
        <is>
          <t>Head Finance &amp; Accounts</t>
        </is>
      </c>
      <c r="AF177" s="53" t="inlineStr">
        <is>
          <t>CA</t>
        </is>
      </c>
      <c r="AG177" s="53" t="inlineStr">
        <is>
          <t>Vineet Kandoi</t>
        </is>
      </c>
      <c r="AH177" s="53" t="inlineStr">
        <is>
          <t>N-2</t>
        </is>
      </c>
      <c r="AI177" s="53" t="inlineStr">
        <is>
          <t>Manager</t>
        </is>
      </c>
      <c r="AJ177" s="53" t="inlineStr">
        <is>
          <t>2 years, 0 months, 0 days</t>
        </is>
      </c>
      <c r="AK177" s="53" t="inlineStr">
        <is>
          <t>5 years, 2 months, 15 days</t>
        </is>
      </c>
      <c r="AL177" s="53" t="inlineStr">
        <is>
          <t>Corporate</t>
        </is>
      </c>
      <c r="AM177" s="53" t="inlineStr">
        <is>
          <t>Corporate</t>
        </is>
      </c>
      <c r="AN177" s="53" t="inlineStr">
        <is>
          <t>Finance</t>
        </is>
      </c>
      <c r="AO177" s="53" t="inlineStr">
        <is>
          <t>Accounting</t>
        </is>
      </c>
      <c r="AP177" s="53" t="inlineStr">
        <is>
          <t>No</t>
        </is>
      </c>
      <c r="AQ177" s="53" t="inlineStr">
        <is>
          <t>General &amp; Admin</t>
        </is>
      </c>
      <c r="AR177" s="53" t="inlineStr">
        <is>
          <t>Accounting</t>
        </is>
      </c>
      <c r="AS177" s="53" t="inlineStr">
        <is>
          <t>Non-technical</t>
        </is>
      </c>
      <c r="AT177" s="53" t="n">
        <v>0</v>
      </c>
      <c r="AU177" s="53" t="inlineStr">
        <is>
          <t>E-Top management</t>
        </is>
      </c>
      <c r="AV177" s="53" t="n"/>
      <c r="AW177" s="53" t="n"/>
      <c r="AX177" s="53" t="n"/>
      <c r="AY177" s="53" t="n"/>
      <c r="AZ177" s="53" t="n"/>
      <c r="BA177" s="53" t="n"/>
      <c r="BB177" s="53" t="n"/>
      <c r="BC177" s="53" t="n"/>
      <c r="BD177" s="53" t="n"/>
      <c r="BE177" s="53" t="n"/>
      <c r="BF177" s="53" t="n"/>
      <c r="BG177" s="53" t="n"/>
      <c r="BH177" s="53" t="n"/>
      <c r="BI177" s="53" t="n"/>
      <c r="BJ177" s="53" t="n"/>
      <c r="BK177" s="53" t="n"/>
      <c r="BL177" s="53" t="n"/>
      <c r="BM177" s="53" t="n"/>
      <c r="BN177" s="53" t="n"/>
      <c r="BO177" s="53" t="n"/>
      <c r="BP177" s="53" t="n"/>
      <c r="BQ177" s="53" t="n"/>
      <c r="BR177" s="53" t="n"/>
      <c r="BS177" s="53" t="n"/>
      <c r="BT177" s="53" t="n"/>
      <c r="BU177" s="53" t="n"/>
      <c r="BV177" s="53" t="n"/>
      <c r="BW177" s="53" t="n"/>
      <c r="BX177" s="53" t="n"/>
      <c r="BY177" s="53" t="n"/>
      <c r="BZ177" s="53" t="n"/>
      <c r="CA177" s="53" t="n"/>
      <c r="CB177" s="53" t="n"/>
      <c r="CC177" s="53" t="n"/>
      <c r="CD177" s="53" t="n"/>
      <c r="CE177" s="53" t="n"/>
      <c r="CF177" s="53" t="n"/>
      <c r="CG177" s="53" t="n"/>
      <c r="CH177" s="53" t="n"/>
      <c r="CI177" s="53" t="n"/>
      <c r="CJ177" s="53" t="n"/>
      <c r="CK177" s="53" t="n"/>
      <c r="CL177" s="53" t="n"/>
      <c r="CM177" s="53" t="n"/>
      <c r="CN177" s="53" t="n"/>
      <c r="CO177" s="53" t="n"/>
      <c r="CP177" s="53" t="n"/>
      <c r="CQ177" s="53" t="n"/>
      <c r="CR177" s="53" t="n"/>
      <c r="CS177" s="53" t="n"/>
      <c r="CT177" s="53" t="n"/>
      <c r="CU177" s="53" t="n"/>
      <c r="CV177" s="53" t="n"/>
      <c r="CW177" s="53" t="n"/>
      <c r="CX177" s="53" t="n"/>
      <c r="CY177" s="53" t="n"/>
      <c r="CZ177" s="53" t="n"/>
      <c r="DA177" s="53" t="n"/>
      <c r="DB177" s="53" t="n"/>
      <c r="DC177" s="53" t="n"/>
      <c r="DD177" s="53" t="n"/>
      <c r="DE177" s="53" t="n"/>
      <c r="DF177" s="53" t="n"/>
      <c r="DG177" s="53" t="n"/>
      <c r="DH177" s="53" t="n"/>
      <c r="DI177" s="53" t="n"/>
      <c r="DJ177" s="53" t="n"/>
      <c r="DK177" s="53" t="n"/>
      <c r="DL177" s="53" t="n"/>
      <c r="DM177" s="53" t="n"/>
      <c r="DN177" s="53" t="n"/>
      <c r="DO177" s="53" t="n"/>
      <c r="DP177" s="53" t="n"/>
      <c r="DQ177" s="53" t="n"/>
      <c r="DR177" s="53" t="n"/>
      <c r="DS177" s="53" t="n"/>
      <c r="DT177" s="53" t="n"/>
      <c r="DU177" s="53" t="n"/>
      <c r="DV177" s="53" t="n"/>
      <c r="DW177" s="53" t="n"/>
      <c r="DX177" s="53" t="n"/>
      <c r="DY177" s="53" t="n"/>
      <c r="DZ177" s="53" t="n"/>
      <c r="EA177" s="53" t="n"/>
      <c r="EB177" s="53" t="n"/>
      <c r="EC177" s="53" t="n"/>
      <c r="ED177" s="53" t="n"/>
      <c r="EE177" s="53" t="n"/>
      <c r="EF177" s="53" t="n"/>
      <c r="EG177" s="53" t="n"/>
      <c r="EH177" s="53" t="n"/>
      <c r="EI177" s="53" t="n"/>
      <c r="EJ177" s="53" t="n"/>
      <c r="EK177" s="53" t="n"/>
      <c r="EL177" s="53" t="n"/>
      <c r="EM177" s="53" t="n"/>
      <c r="EN177" s="53" t="n"/>
      <c r="EO177" s="53" t="n"/>
      <c r="EP177" s="53" t="n"/>
      <c r="EQ177" s="53" t="n"/>
      <c r="ER177" s="53" t="n"/>
      <c r="ES177" s="53" t="n"/>
      <c r="ET177" s="53" t="n"/>
      <c r="EU177" s="53" t="n"/>
      <c r="EV177" s="53" t="n"/>
      <c r="EW177" s="52" t="n"/>
      <c r="EX177" s="53" t="n"/>
      <c r="EY177" s="53" t="n"/>
      <c r="EZ177" s="53" t="n"/>
      <c r="FA177" s="53" t="n"/>
      <c r="FB177" s="53" t="n"/>
      <c r="FC177" s="53" t="n"/>
      <c r="FD177" s="53" t="n"/>
      <c r="FE177" s="55" t="inlineStr">
        <is>
          <t>KRAs not received · manager to supply</t>
        </is>
      </c>
      <c r="FF177" s="56" t="n"/>
      <c r="FG177" s="56" t="n"/>
      <c r="FH177" s="56" t="n"/>
      <c r="FI177" s="56" t="n"/>
      <c r="FJ177" s="32" t="inlineStr">
        <is>
          <t>KRAs not received · manager to supply</t>
        </is>
      </c>
      <c r="FK177" s="56" t="n"/>
      <c r="FL177" s="56" t="n">
        <v>0</v>
      </c>
      <c r="FM177" s="32" t="inlineStr">
        <is>
          <t>No survey response on file</t>
        </is>
      </c>
      <c r="FN177" s="56" t="inlineStr">
        <is>
          <t>—</t>
        </is>
      </c>
      <c r="FO177" s="56" t="inlineStr">
        <is>
          <t>—</t>
        </is>
      </c>
      <c r="FP177" s="56" t="inlineStr">
        <is>
          <t>—</t>
        </is>
      </c>
      <c r="FQ177" s="56" t="inlineStr">
        <is>
          <t>—</t>
        </is>
      </c>
      <c r="FR17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77" s="56" t="n"/>
      <c r="FT177" s="56" t="n"/>
      <c r="FU177" s="32" t="inlineStr">
        <is>
          <t>No survey response on file</t>
        </is>
      </c>
    </row>
    <row r="178" ht="90" customHeight="1">
      <c r="A178" s="51" t="inlineStr">
        <is>
          <t>◂ Back</t>
        </is>
      </c>
      <c r="B178" s="29" t="inlineStr">
        <is>
          <t>Mapped</t>
        </is>
      </c>
      <c r="C178" s="28" t="inlineStr">
        <is>
          <t>Corporate</t>
        </is>
      </c>
      <c r="D178" s="29" t="inlineStr">
        <is>
          <t>IRIS1508</t>
        </is>
      </c>
      <c r="E178" s="29" t="inlineStr">
        <is>
          <t>Winny Nair</t>
        </is>
      </c>
      <c r="F178" s="29" t="inlineStr">
        <is>
          <t>Finance</t>
        </is>
      </c>
      <c r="G178" s="29" t="inlineStr">
        <is>
          <t>Manager - Finance and Accounts</t>
        </is>
      </c>
      <c r="H178" s="29" t="inlineStr">
        <is>
          <t>Senior Finance Specialist – POD Lead</t>
        </is>
      </c>
      <c r="I178" s="29" t="inlineStr">
        <is>
          <t>Not in current mapping files</t>
        </is>
      </c>
      <c r="J178" s="29" t="inlineStr">
        <is>
          <t>B2</t>
        </is>
      </c>
      <c r="K178" s="29" t="inlineStr">
        <is>
          <t>● Newly mapped</t>
        </is>
      </c>
      <c r="L178" s="29" t="inlineStr">
        <is>
          <t>Finance &amp; Accounts</t>
        </is>
      </c>
      <c r="M178" s="29" t="inlineStr">
        <is>
          <t>Financial Reporting, Compliance &amp; Audit</t>
        </is>
      </c>
      <c r="N178" s="29" t="n"/>
      <c r="O178" s="29" t="n">
        <v>19</v>
      </c>
      <c r="P178" s="28" t="inlineStr">
        <is>
          <t>P4 / M3</t>
        </is>
      </c>
      <c r="Q178" s="29" t="inlineStr">
        <is>
          <t>Senior / Manager</t>
        </is>
      </c>
      <c r="R178" s="29" t="inlineStr">
        <is>
          <t>4–5</t>
        </is>
      </c>
      <c r="S178" s="29" t="inlineStr">
        <is>
          <t>6–9 yrs</t>
        </is>
      </c>
      <c r="T178" s="29" t="inlineStr">
        <is>
          <t>7–10 · 6–11</t>
        </is>
      </c>
      <c r="U178" s="29" t="inlineStr">
        <is>
          <t>Finance Specialist / Asst. Manager</t>
        </is>
      </c>
      <c r="V178" s="29" t="inlineStr">
        <is>
          <t>Atlassian company-wide P-levels: P50 Senior · Toppan Merrill: Senior Financial Analyst · IRIS Vs Competitor Benchmark — finance ladder: Finance Manager</t>
        </is>
      </c>
      <c r="W178" s="29" t="inlineStr">
        <is>
          <t>IMA Management Accounting Competency Framework; ICAI / CA; Ind AS</t>
        </is>
      </c>
      <c r="X178" s="29" t="inlineStr">
        <is>
          <t>Core 3 · Future 3 · Functional 4 · Leadership 3</t>
        </is>
      </c>
      <c r="Y178" s="52" t="n">
        <v>124</v>
      </c>
      <c r="Z178" s="53" t="inlineStr">
        <is>
          <t>IRIS1508</t>
        </is>
      </c>
      <c r="AA178" s="53" t="inlineStr">
        <is>
          <t>Employee</t>
        </is>
      </c>
      <c r="AB178" s="53" t="inlineStr">
        <is>
          <t>Active</t>
        </is>
      </c>
      <c r="AC178" s="53" t="inlineStr">
        <is>
          <t>Winny Nair</t>
        </is>
      </c>
      <c r="AD178" s="54" t="n">
        <v>42019</v>
      </c>
      <c r="AE178" s="53" t="inlineStr">
        <is>
          <t>Manager - Finance and Accounts</t>
        </is>
      </c>
      <c r="AF178" s="53" t="inlineStr">
        <is>
          <t>PGDM</t>
        </is>
      </c>
      <c r="AG178" s="53" t="inlineStr">
        <is>
          <t>Nishant Gupta</t>
        </is>
      </c>
      <c r="AH178" s="53" t="inlineStr">
        <is>
          <t>N-3</t>
        </is>
      </c>
      <c r="AI178" s="53" t="inlineStr">
        <is>
          <t>Manager</t>
        </is>
      </c>
      <c r="AJ178" s="53" t="inlineStr">
        <is>
          <t>8 years, 2 months, 0 days</t>
        </is>
      </c>
      <c r="AK178" s="53" t="inlineStr">
        <is>
          <t>11 years, 7 months, 10 days</t>
        </is>
      </c>
      <c r="AL178" s="53" t="inlineStr">
        <is>
          <t>Corporate</t>
        </is>
      </c>
      <c r="AM178" s="53" t="inlineStr">
        <is>
          <t>Corporate</t>
        </is>
      </c>
      <c r="AN178" s="53" t="inlineStr">
        <is>
          <t>Finance</t>
        </is>
      </c>
      <c r="AO178" s="53" t="inlineStr">
        <is>
          <t>Accounting</t>
        </is>
      </c>
      <c r="AP178" s="53" t="inlineStr">
        <is>
          <t>No</t>
        </is>
      </c>
      <c r="AQ178" s="53" t="inlineStr">
        <is>
          <t>General &amp; Admin</t>
        </is>
      </c>
      <c r="AR178" s="53" t="inlineStr">
        <is>
          <t>Accounting</t>
        </is>
      </c>
      <c r="AS178" s="53" t="inlineStr">
        <is>
          <t>Non-technical</t>
        </is>
      </c>
      <c r="AT178" s="53" t="n">
        <v>20</v>
      </c>
      <c r="AU178" s="53" t="inlineStr">
        <is>
          <t>Covered</t>
        </is>
      </c>
      <c r="AV178" s="53" t="n"/>
      <c r="AW178" s="53" t="n"/>
      <c r="AX178" s="53" t="n"/>
      <c r="AY178" s="53" t="n"/>
      <c r="AZ178" s="53" t="n"/>
      <c r="BA178" s="53" t="n"/>
      <c r="BB178" s="53" t="n"/>
      <c r="BC178" s="53" t="n"/>
      <c r="BD178" s="53" t="n"/>
      <c r="BE178" s="53" t="n"/>
      <c r="BF178" s="53" t="n"/>
      <c r="BG178" s="53" t="n"/>
      <c r="BH178" s="53" t="n"/>
      <c r="BI178" s="53" t="n"/>
      <c r="BJ178" s="53" t="n"/>
      <c r="BK178" s="53" t="n"/>
      <c r="BL178" s="53" t="n"/>
      <c r="BM178" s="53" t="n"/>
      <c r="BN178" s="53" t="n"/>
      <c r="BO178" s="53" t="n"/>
      <c r="BP178" s="53" t="n"/>
      <c r="BQ178" s="53" t="n"/>
      <c r="BR178" s="53" t="n"/>
      <c r="BS178" s="53" t="n"/>
      <c r="BT178" s="53" t="n"/>
      <c r="BU178" s="53" t="n"/>
      <c r="BV178" s="53" t="n"/>
      <c r="BW178" s="53" t="n"/>
      <c r="BX178" s="53" t="n"/>
      <c r="BY178" s="53" t="n"/>
      <c r="BZ178" s="53" t="n"/>
      <c r="CA178" s="53" t="n"/>
      <c r="CB178" s="53" t="n"/>
      <c r="CC178" s="53" t="n"/>
      <c r="CD178" s="53" t="n"/>
      <c r="CE178" s="53" t="n"/>
      <c r="CF178" s="53" t="n"/>
      <c r="CG178" s="53" t="n"/>
      <c r="CH178" s="53" t="n"/>
      <c r="CI178" s="53" t="n"/>
      <c r="CJ178" s="53" t="n"/>
      <c r="CK178" s="53" t="n"/>
      <c r="CL178" s="53" t="n"/>
      <c r="CM178" s="53" t="n"/>
      <c r="CN178" s="53" t="n"/>
      <c r="CO178" s="53" t="n"/>
      <c r="CP178" s="53" t="n"/>
      <c r="CQ178" s="53" t="n"/>
      <c r="CR178" s="53" t="n"/>
      <c r="CS178" s="53" t="n"/>
      <c r="CT178" s="53" t="n"/>
      <c r="CU178" s="53" t="n"/>
      <c r="CV178" s="53" t="n"/>
      <c r="CW178" s="53" t="n"/>
      <c r="CX178" s="53" t="n"/>
      <c r="CY178" s="53" t="n"/>
      <c r="CZ178" s="53" t="n"/>
      <c r="DA178" s="53" t="n"/>
      <c r="DB178" s="53" t="n"/>
      <c r="DC178" s="53" t="n"/>
      <c r="DD178" s="53" t="n"/>
      <c r="DE178" s="53" t="n"/>
      <c r="DF178" s="53" t="n"/>
      <c r="DG178" s="53" t="n"/>
      <c r="DH178" s="53" t="n"/>
      <c r="DI178" s="53" t="n"/>
      <c r="DJ178" s="53" t="n"/>
      <c r="DK178" s="53" t="n"/>
      <c r="DL178" s="53" t="n"/>
      <c r="DM178" s="53" t="n"/>
      <c r="DN178" s="53" t="n"/>
      <c r="DO178" s="53" t="n"/>
      <c r="DP178" s="53" t="n"/>
      <c r="DQ178" s="53" t="n"/>
      <c r="DR178" s="53" t="n"/>
      <c r="DS178" s="53" t="n"/>
      <c r="DT178" s="53" t="n"/>
      <c r="DU178" s="53" t="n"/>
      <c r="DV178" s="53" t="n"/>
      <c r="DW178" s="53" t="n"/>
      <c r="DX178" s="53" t="n"/>
      <c r="DY178" s="53" t="n"/>
      <c r="DZ178" s="53" t="n"/>
      <c r="EA178" s="53" t="n"/>
      <c r="EB178" s="53" t="n"/>
      <c r="EC178" s="53" t="n"/>
      <c r="ED178" s="53" t="n"/>
      <c r="EE178" s="53" t="n"/>
      <c r="EF178" s="53" t="n"/>
      <c r="EG178" s="53" t="n"/>
      <c r="EH178" s="53" t="n"/>
      <c r="EI178" s="53" t="n"/>
      <c r="EJ178" s="53" t="n"/>
      <c r="EK178" s="53" t="n"/>
      <c r="EL178" s="53" t="n"/>
      <c r="EM178" s="53" t="n"/>
      <c r="EN178" s="53" t="n"/>
      <c r="EO178" s="53" t="n"/>
      <c r="EP178" s="53" t="n"/>
      <c r="EQ178" s="53" t="n"/>
      <c r="ER178" s="53" t="n"/>
      <c r="ES178" s="53" t="n"/>
      <c r="ET178" s="53" t="n"/>
      <c r="EU178" s="53" t="n"/>
      <c r="EV178" s="53" t="n"/>
      <c r="EW178" s="52" t="n"/>
      <c r="EX178" s="53" t="n"/>
      <c r="EY178" s="53" t="n"/>
      <c r="EZ178" s="53" t="n"/>
      <c r="FA178" s="53" t="n"/>
      <c r="FB178" s="53" t="n"/>
      <c r="FC178" s="53" t="n"/>
      <c r="FD178" s="53" t="n"/>
      <c r="FE178" s="55" t="inlineStr">
        <is>
          <t>KRAs not received · manager to supply</t>
        </is>
      </c>
      <c r="FF178" s="56" t="n"/>
      <c r="FG178" s="56" t="n"/>
      <c r="FH178" s="56" t="n"/>
      <c r="FI178" s="56" t="n"/>
      <c r="FJ178" s="32" t="inlineStr">
        <is>
          <t>KRAs not received · manager to supply</t>
        </is>
      </c>
      <c r="FK178" s="56" t="n"/>
      <c r="FL178" s="56" t="n">
        <v>19</v>
      </c>
      <c r="FM178" s="32" t="inlineStr">
        <is>
          <t>Full survey answers not in the files received · How We Grow export needed · HR</t>
        </is>
      </c>
      <c r="FN178" s="56" t="inlineStr">
        <is>
          <t>—</t>
        </is>
      </c>
      <c r="FO178" s="56" t="inlineStr">
        <is>
          <t>—</t>
        </is>
      </c>
      <c r="FP178" s="56" t="inlineStr">
        <is>
          <t>—</t>
        </is>
      </c>
      <c r="FQ178" s="56" t="inlineStr">
        <is>
          <t>—</t>
        </is>
      </c>
      <c r="FR178" s="56"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answers · summarised by the rater; not quoted → moved up 0.2
Leadership: Evidence reads like A3: Approves entries and gets work done through others; 1 direct report → moved down 0.5
Business Impact: No survey or manager-mapping signal on criticality: kept at the start point.</t>
        </is>
      </c>
      <c r="FS178" s="56" t="inlineStr">
        <is>
          <t>Common themes in sub-family holders, all levels' answers: financial · company · business · reason · management
Common themes in sub-family holders, all levels' answers: order · approval · business · sales · invoice
Common themes in sub-family holders, all levels' answers: financial statements
Common themes in sub-family holders, all levels' answers: book · subsidiary · report · order</t>
        </is>
      </c>
      <c r="FT178" s="56" t="inlineStr">
        <is>
          <t>Self-identified: Leadership &amp; people management
For the next role: Leadership &amp; people management</t>
        </is>
      </c>
      <c r="FU178" s="32" t="inlineStr">
        <is>
          <t>Full survey answers not in the files received · How We Grow export needed · HR</t>
        </is>
      </c>
    </row>
    <row r="179" ht="90" customHeight="1">
      <c r="A179" s="51" t="inlineStr">
        <is>
          <t>◂ Back</t>
        </is>
      </c>
      <c r="B179" s="29" t="inlineStr">
        <is>
          <t>Mapped</t>
        </is>
      </c>
      <c r="C179" s="28" t="inlineStr">
        <is>
          <t>Corporate</t>
        </is>
      </c>
      <c r="D179" s="29" t="inlineStr">
        <is>
          <t>IRIS2214</t>
        </is>
      </c>
      <c r="E179" s="29" t="inlineStr">
        <is>
          <t>Shreya Singh</t>
        </is>
      </c>
      <c r="F179" s="29" t="inlineStr">
        <is>
          <t>Finance</t>
        </is>
      </c>
      <c r="G179" s="29" t="inlineStr">
        <is>
          <t>Assistant Manager - Finance and Accounts</t>
        </is>
      </c>
      <c r="H179" s="29" t="inlineStr">
        <is>
          <t>Finance Specialist – POD Lead</t>
        </is>
      </c>
      <c r="I179" s="29" t="inlineStr">
        <is>
          <t>Not in current mapping files</t>
        </is>
      </c>
      <c r="J179" s="29" t="inlineStr">
        <is>
          <t>B1</t>
        </is>
      </c>
      <c r="K179" s="29" t="inlineStr">
        <is>
          <t>● Newly mapped</t>
        </is>
      </c>
      <c r="L179" s="29" t="inlineStr">
        <is>
          <t>Finance &amp; Accounts</t>
        </is>
      </c>
      <c r="M179" s="29" t="inlineStr">
        <is>
          <t>Financial Reporting, Compliance &amp; Audit</t>
        </is>
      </c>
      <c r="N179" s="29" t="n"/>
      <c r="O179" s="29" t="n">
        <v>20</v>
      </c>
      <c r="P179" s="28" t="inlineStr">
        <is>
          <t>P3 / M2</t>
        </is>
      </c>
      <c r="Q179" s="29" t="inlineStr">
        <is>
          <t>Career / · Team Lead</t>
        </is>
      </c>
      <c r="R179" s="29" t="inlineStr">
        <is>
          <t>4 Enable</t>
        </is>
      </c>
      <c r="S179" s="29" t="inlineStr">
        <is>
          <t>4–7 yrs</t>
        </is>
      </c>
      <c r="T179" s="29" t="inlineStr">
        <is>
          <t>5–8 · 4–8</t>
        </is>
      </c>
      <c r="U179" s="29" t="inlineStr">
        <is>
          <t>Senior Accountant</t>
        </is>
      </c>
      <c r="V179" s="29" t="inlineStr">
        <is>
          <t>Toppan Merrill: Senior Accountant · IRIS Vs Competitor Benchmark — finance ladder: Finance Specialist / Asst. Manager</t>
        </is>
      </c>
      <c r="W179" s="29" t="inlineStr">
        <is>
          <t>IMA Management Accounting Competency Framework; ICAI / CA; Ind AS</t>
        </is>
      </c>
      <c r="X179" s="29" t="inlineStr">
        <is>
          <t>Core 3 · Future 3 · Functional 3 · Leadership 2</t>
        </is>
      </c>
      <c r="Y179" s="52" t="n">
        <v>301</v>
      </c>
      <c r="Z179" s="53" t="inlineStr">
        <is>
          <t>IRIS2214</t>
        </is>
      </c>
      <c r="AA179" s="53" t="inlineStr">
        <is>
          <t>Employee</t>
        </is>
      </c>
      <c r="AB179" s="53" t="inlineStr">
        <is>
          <t>Active</t>
        </is>
      </c>
      <c r="AC179" s="53" t="inlineStr">
        <is>
          <t>Shreya Singh</t>
        </is>
      </c>
      <c r="AD179" s="54" t="n">
        <v>45278</v>
      </c>
      <c r="AE179" s="53" t="inlineStr">
        <is>
          <t>Assistant Manager - Finance and Accounts</t>
        </is>
      </c>
      <c r="AF179" s="53" t="inlineStr">
        <is>
          <t>B.Com</t>
        </is>
      </c>
      <c r="AG179" s="53" t="inlineStr">
        <is>
          <t>Winny Nair</t>
        </is>
      </c>
      <c r="AH179" s="53" t="inlineStr">
        <is>
          <t>N-4</t>
        </is>
      </c>
      <c r="AI179" s="53" t="inlineStr">
        <is>
          <t>Manager</t>
        </is>
      </c>
      <c r="AJ179" s="53" t="inlineStr">
        <is>
          <t>3 years, 4 months, 0 days</t>
        </is>
      </c>
      <c r="AK179" s="53" t="inlineStr">
        <is>
          <t>2 years, 8 months, 7 days</t>
        </is>
      </c>
      <c r="AL179" s="53" t="inlineStr">
        <is>
          <t>Corporate</t>
        </is>
      </c>
      <c r="AM179" s="53" t="inlineStr">
        <is>
          <t>Corporate</t>
        </is>
      </c>
      <c r="AN179" s="53" t="inlineStr">
        <is>
          <t>Finance</t>
        </is>
      </c>
      <c r="AO179" s="53" t="inlineStr">
        <is>
          <t>Accounting</t>
        </is>
      </c>
      <c r="AP179" s="53" t="inlineStr">
        <is>
          <t>No</t>
        </is>
      </c>
      <c r="AQ179" s="53" t="inlineStr">
        <is>
          <t>General &amp; Admin</t>
        </is>
      </c>
      <c r="AR179" s="53" t="inlineStr">
        <is>
          <t>Accounting</t>
        </is>
      </c>
      <c r="AS179" s="53" t="inlineStr">
        <is>
          <t>Non-technical</t>
        </is>
      </c>
      <c r="AT179" s="53" t="n">
        <v>20</v>
      </c>
      <c r="AU179" s="53" t="inlineStr">
        <is>
          <t>Covered</t>
        </is>
      </c>
      <c r="AV179" s="53" t="n"/>
      <c r="AW179" s="53" t="n"/>
      <c r="AX179" s="53" t="n"/>
      <c r="AY179" s="53" t="n"/>
      <c r="AZ179" s="53" t="n"/>
      <c r="BA179" s="53" t="n"/>
      <c r="BB179" s="53" t="n"/>
      <c r="BC179" s="53" t="n"/>
      <c r="BD179" s="53" t="n"/>
      <c r="BE179" s="53" t="n"/>
      <c r="BF179" s="53" t="n"/>
      <c r="BG179" s="53" t="n"/>
      <c r="BH179" s="53" t="n"/>
      <c r="BI179" s="53" t="n"/>
      <c r="BJ179" s="53" t="n"/>
      <c r="BK179" s="53" t="n"/>
      <c r="BL179" s="53" t="n"/>
      <c r="BM179" s="53" t="n"/>
      <c r="BN179" s="53" t="n"/>
      <c r="BO179" s="53" t="n"/>
      <c r="BP179" s="53" t="n"/>
      <c r="BQ179" s="53" t="n"/>
      <c r="BR179" s="53" t="n"/>
      <c r="BS179" s="53" t="n"/>
      <c r="BT179" s="53" t="n"/>
      <c r="BU179" s="53" t="n"/>
      <c r="BV179" s="53" t="n"/>
      <c r="BW179" s="53" t="n"/>
      <c r="BX179" s="53" t="n"/>
      <c r="BY179" s="53" t="n"/>
      <c r="BZ179" s="53" t="n"/>
      <c r="CA179" s="53" t="n"/>
      <c r="CB179" s="53" t="n"/>
      <c r="CC179" s="53" t="n"/>
      <c r="CD179" s="53" t="n"/>
      <c r="CE179" s="53" t="n"/>
      <c r="CF179" s="53" t="n"/>
      <c r="CG179" s="53" t="n"/>
      <c r="CH179" s="53" t="n"/>
      <c r="CI179" s="53" t="n"/>
      <c r="CJ179" s="53" t="n"/>
      <c r="CK179" s="53" t="n"/>
      <c r="CL179" s="53" t="n"/>
      <c r="CM179" s="53" t="n"/>
      <c r="CN179" s="53" t="n"/>
      <c r="CO179" s="53" t="n"/>
      <c r="CP179" s="53" t="n"/>
      <c r="CQ179" s="53" t="n"/>
      <c r="CR179" s="53" t="n"/>
      <c r="CS179" s="53" t="n"/>
      <c r="CT179" s="53" t="n"/>
      <c r="CU179" s="53" t="n"/>
      <c r="CV179" s="53" t="n"/>
      <c r="CW179" s="53" t="n"/>
      <c r="CX179" s="53" t="n"/>
      <c r="CY179" s="53" t="n"/>
      <c r="CZ179" s="53" t="n"/>
      <c r="DA179" s="53" t="n"/>
      <c r="DB179" s="53" t="n"/>
      <c r="DC179" s="53" t="n"/>
      <c r="DD179" s="53" t="n"/>
      <c r="DE179" s="53" t="n"/>
      <c r="DF179" s="53" t="n"/>
      <c r="DG179" s="53" t="n"/>
      <c r="DH179" s="53" t="n"/>
      <c r="DI179" s="53" t="n"/>
      <c r="DJ179" s="53" t="n"/>
      <c r="DK179" s="53" t="n"/>
      <c r="DL179" s="53" t="n"/>
      <c r="DM179" s="53" t="n"/>
      <c r="DN179" s="53" t="n"/>
      <c r="DO179" s="53" t="n"/>
      <c r="DP179" s="53" t="n"/>
      <c r="DQ179" s="53" t="n"/>
      <c r="DR179" s="53" t="n"/>
      <c r="DS179" s="53" t="n"/>
      <c r="DT179" s="53" t="n"/>
      <c r="DU179" s="53" t="n"/>
      <c r="DV179" s="53" t="n"/>
      <c r="DW179" s="53" t="n"/>
      <c r="DX179" s="53" t="n"/>
      <c r="DY179" s="53" t="n"/>
      <c r="DZ179" s="53" t="n"/>
      <c r="EA179" s="53" t="n"/>
      <c r="EB179" s="53" t="n"/>
      <c r="EC179" s="53" t="n"/>
      <c r="ED179" s="53" t="n"/>
      <c r="EE179" s="53" t="n"/>
      <c r="EF179" s="53" t="n"/>
      <c r="EG179" s="53" t="n"/>
      <c r="EH179" s="53" t="n"/>
      <c r="EI179" s="53" t="n"/>
      <c r="EJ179" s="53" t="n"/>
      <c r="EK179" s="53" t="n"/>
      <c r="EL179" s="53" t="n"/>
      <c r="EM179" s="53" t="n"/>
      <c r="EN179" s="53" t="n"/>
      <c r="EO179" s="53" t="n"/>
      <c r="EP179" s="53" t="n"/>
      <c r="EQ179" s="53" t="n"/>
      <c r="ER179" s="53" t="n"/>
      <c r="ES179" s="53" t="n"/>
      <c r="ET179" s="53" t="n"/>
      <c r="EU179" s="53" t="n"/>
      <c r="EV179" s="53" t="n"/>
      <c r="EW179" s="52" t="n"/>
      <c r="EX179" s="53" t="n"/>
      <c r="EY179" s="53" t="n"/>
      <c r="EZ179" s="53" t="n"/>
      <c r="FA179" s="53" t="n"/>
      <c r="FB179" s="53" t="n"/>
      <c r="FC179" s="53" t="n"/>
      <c r="FD179" s="53" t="n"/>
      <c r="FE179" s="55" t="inlineStr">
        <is>
          <t>KRAs not received · manager to supply</t>
        </is>
      </c>
      <c r="FF179" s="56" t="n"/>
      <c r="FG179" s="56" t="n"/>
      <c r="FH179" s="56" t="n"/>
      <c r="FI179" s="56" t="n"/>
      <c r="FJ179" s="32" t="inlineStr">
        <is>
          <t>KRAs not received · manager to supply</t>
        </is>
      </c>
      <c r="FK179" s="56" t="n"/>
      <c r="FL179" s="56" t="n">
        <v>20</v>
      </c>
      <c r="FM179" s="32" t="inlineStr">
        <is>
          <t>Full survey answers not in the files received · How We Grow export needed · HR</t>
        </is>
      </c>
      <c r="FN179" s="56" t="inlineStr">
        <is>
          <t>—</t>
        </is>
      </c>
      <c r="FO179" s="56" t="inlineStr">
        <is>
          <t>—</t>
        </is>
      </c>
      <c r="FP179" s="56" t="inlineStr">
        <is>
          <t>—</t>
        </is>
      </c>
      <c r="FQ179" s="56" t="inlineStr">
        <is>
          <t>—</t>
        </is>
      </c>
      <c r="FR179" s="56"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by the rater; not quoted → matches the start
Leadership: Evidence reads like A3: Approves entries made by others; 2 direct reports → moved down 0.5
Business Impact: No survey or manager-mapping signal on criticality: kept at the start point.</t>
        </is>
      </c>
      <c r="FS179" s="56" t="inlineStr">
        <is>
          <t>Common themes in role-holders' answers: business · financial · reason · management
Common themes in role-holders' answers: order · business · sales · invoice
Common themes in role-holders' answers: financial statements
Common themes in role-holders' answers: order</t>
        </is>
      </c>
      <c r="FT179" s="56" t="inlineStr">
        <is>
          <t>Self-identified: Strategy &amp; business acumen · Certification / formal course · Broader exposure &amp; ownership
For the next role: Strategy &amp; business acumen · Certification / formal course · Broader exposure &amp; ownership</t>
        </is>
      </c>
      <c r="FU179" s="32" t="inlineStr">
        <is>
          <t>Full survey answers not in the files received · How We Grow export needed · HR</t>
        </is>
      </c>
    </row>
    <row r="180" ht="90" customHeight="1">
      <c r="A180" s="51" t="inlineStr">
        <is>
          <t>◂ Back</t>
        </is>
      </c>
      <c r="B180" s="29" t="inlineStr">
        <is>
          <t>Mapped</t>
        </is>
      </c>
      <c r="C180" s="28" t="inlineStr">
        <is>
          <t>Corporate</t>
        </is>
      </c>
      <c r="D180" s="29" t="inlineStr">
        <is>
          <t>IRIS1724</t>
        </is>
      </c>
      <c r="E180" s="29" t="inlineStr">
        <is>
          <t>Anita Chavan</t>
        </is>
      </c>
      <c r="F180" s="29" t="inlineStr">
        <is>
          <t>Finance</t>
        </is>
      </c>
      <c r="G180" s="29" t="inlineStr">
        <is>
          <t>Senior Executive Accounts</t>
        </is>
      </c>
      <c r="H180" s="29" t="inlineStr">
        <is>
          <t>Accounts Specialist – POD Lead</t>
        </is>
      </c>
      <c r="I180" s="29" t="inlineStr">
        <is>
          <t>Not in current mapping files</t>
        </is>
      </c>
      <c r="J180" s="29" t="inlineStr">
        <is>
          <t>B1</t>
        </is>
      </c>
      <c r="K180" s="29" t="inlineStr">
        <is>
          <t>● Newly mapped</t>
        </is>
      </c>
      <c r="L180" s="29" t="inlineStr">
        <is>
          <t>Finance &amp; Accounts</t>
        </is>
      </c>
      <c r="M180" s="29" t="inlineStr">
        <is>
          <t>Accounting &amp; Transaction Processing</t>
        </is>
      </c>
      <c r="N180" s="29" t="n"/>
      <c r="O180" s="29" t="n">
        <v>20</v>
      </c>
      <c r="P180" s="28" t="inlineStr">
        <is>
          <t>P3 / M2</t>
        </is>
      </c>
      <c r="Q180" s="29" t="inlineStr">
        <is>
          <t>Career / · Team Lead</t>
        </is>
      </c>
      <c r="R180" s="29" t="inlineStr">
        <is>
          <t>4 Enable</t>
        </is>
      </c>
      <c r="S180" s="29" t="inlineStr">
        <is>
          <t>4–7 yrs</t>
        </is>
      </c>
      <c r="T180" s="29" t="inlineStr">
        <is>
          <t>5–8 · 4–8</t>
        </is>
      </c>
      <c r="U180" s="29" t="inlineStr">
        <is>
          <t>Senior Accountant</t>
        </is>
      </c>
      <c r="V180" s="29" t="inlineStr">
        <is>
          <t>Toppan Merrill: Senior Accountant · IRIS Vs Competitor Benchmark — finance ladder: Finance Specialist / Asst. Manager</t>
        </is>
      </c>
      <c r="W180" s="29" t="inlineStr">
        <is>
          <t>IMA Management Accounting Competency Framework; ICAI / CA; Ind AS</t>
        </is>
      </c>
      <c r="X180" s="29" t="inlineStr">
        <is>
          <t>Core 3 · Future 3 · Functional 3 · Leadership 2</t>
        </is>
      </c>
      <c r="Y180" s="52" t="n">
        <v>148</v>
      </c>
      <c r="Z180" s="53" t="inlineStr">
        <is>
          <t>IRIS1724</t>
        </is>
      </c>
      <c r="AA180" s="53" t="inlineStr">
        <is>
          <t>Employee</t>
        </is>
      </c>
      <c r="AB180" s="53" t="inlineStr">
        <is>
          <t>Active</t>
        </is>
      </c>
      <c r="AC180" s="53" t="inlineStr">
        <is>
          <t>Anita Chavan</t>
        </is>
      </c>
      <c r="AD180" s="54" t="n">
        <v>43262</v>
      </c>
      <c r="AE180" s="53" t="inlineStr">
        <is>
          <t>Senior Executive Accounts</t>
        </is>
      </c>
      <c r="AF180" s="53" t="inlineStr">
        <is>
          <t>B.Com</t>
        </is>
      </c>
      <c r="AG180" s="53" t="inlineStr">
        <is>
          <t>Shreya Singh</t>
        </is>
      </c>
      <c r="AH180" s="53" t="inlineStr">
        <is>
          <t>N-5</t>
        </is>
      </c>
      <c r="AI180" s="53" t="inlineStr">
        <is>
          <t>Manager</t>
        </is>
      </c>
      <c r="AJ180" s="53" t="inlineStr">
        <is>
          <t>12 years, 4 months, 0 days</t>
        </is>
      </c>
      <c r="AK180" s="53" t="inlineStr">
        <is>
          <t>8 years, 2 months, 14 days</t>
        </is>
      </c>
      <c r="AL180" s="53" t="inlineStr">
        <is>
          <t>Corporate</t>
        </is>
      </c>
      <c r="AM180" s="53" t="inlineStr">
        <is>
          <t>Corporate</t>
        </is>
      </c>
      <c r="AN180" s="53" t="inlineStr">
        <is>
          <t>Finance</t>
        </is>
      </c>
      <c r="AO180" s="53" t="inlineStr">
        <is>
          <t>Accounting</t>
        </is>
      </c>
      <c r="AP180" s="53" t="inlineStr">
        <is>
          <t>No</t>
        </is>
      </c>
      <c r="AQ180" s="53" t="inlineStr">
        <is>
          <t>General &amp; Admin</t>
        </is>
      </c>
      <c r="AR180" s="53" t="inlineStr">
        <is>
          <t>Accounting</t>
        </is>
      </c>
      <c r="AS180" s="53" t="inlineStr">
        <is>
          <t>Non-technical</t>
        </is>
      </c>
      <c r="AT180" s="53" t="n">
        <v>20</v>
      </c>
      <c r="AU180" s="53" t="inlineStr">
        <is>
          <t>Covered</t>
        </is>
      </c>
      <c r="AV180" s="53" t="n"/>
      <c r="AW180" s="53" t="n"/>
      <c r="AX180" s="53" t="n"/>
      <c r="AY180" s="53" t="n"/>
      <c r="AZ180" s="53" t="n"/>
      <c r="BA180" s="53" t="n"/>
      <c r="BB180" s="53" t="n"/>
      <c r="BC180" s="53" t="n"/>
      <c r="BD180" s="53" t="n"/>
      <c r="BE180" s="53" t="n"/>
      <c r="BF180" s="53" t="n"/>
      <c r="BG180" s="53" t="n"/>
      <c r="BH180" s="53" t="n"/>
      <c r="BI180" s="53" t="n"/>
      <c r="BJ180" s="53" t="n"/>
      <c r="BK180" s="53" t="n"/>
      <c r="BL180" s="53" t="n"/>
      <c r="BM180" s="53" t="n"/>
      <c r="BN180" s="53" t="n"/>
      <c r="BO180" s="53" t="n"/>
      <c r="BP180" s="53" t="n"/>
      <c r="BQ180" s="53" t="n"/>
      <c r="BR180" s="53" t="n"/>
      <c r="BS180" s="53" t="n"/>
      <c r="BT180" s="53" t="n"/>
      <c r="BU180" s="53" t="n"/>
      <c r="BV180" s="53" t="n"/>
      <c r="BW180" s="53" t="n"/>
      <c r="BX180" s="53" t="n"/>
      <c r="BY180" s="53" t="n"/>
      <c r="BZ180" s="53" t="n"/>
      <c r="CA180" s="53" t="n"/>
      <c r="CB180" s="53" t="n"/>
      <c r="CC180" s="53" t="n"/>
      <c r="CD180" s="53" t="n"/>
      <c r="CE180" s="53" t="n"/>
      <c r="CF180" s="53" t="n"/>
      <c r="CG180" s="53" t="n"/>
      <c r="CH180" s="53" t="n"/>
      <c r="CI180" s="53" t="n"/>
      <c r="CJ180" s="53" t="n"/>
      <c r="CK180" s="53" t="n"/>
      <c r="CL180" s="53" t="n"/>
      <c r="CM180" s="53" t="n"/>
      <c r="CN180" s="53" t="n"/>
      <c r="CO180" s="53" t="n"/>
      <c r="CP180" s="53" t="n"/>
      <c r="CQ180" s="53" t="n"/>
      <c r="CR180" s="53" t="n"/>
      <c r="CS180" s="53" t="n"/>
      <c r="CT180" s="53" t="n"/>
      <c r="CU180" s="53" t="n"/>
      <c r="CV180" s="53" t="n"/>
      <c r="CW180" s="53" t="n"/>
      <c r="CX180" s="53" t="n"/>
      <c r="CY180" s="53" t="n"/>
      <c r="CZ180" s="53" t="n"/>
      <c r="DA180" s="53" t="n"/>
      <c r="DB180" s="53" t="n"/>
      <c r="DC180" s="53" t="n"/>
      <c r="DD180" s="53" t="n"/>
      <c r="DE180" s="53" t="n"/>
      <c r="DF180" s="53" t="n"/>
      <c r="DG180" s="53" t="n"/>
      <c r="DH180" s="53" t="n"/>
      <c r="DI180" s="53" t="n"/>
      <c r="DJ180" s="53" t="n"/>
      <c r="DK180" s="53" t="n"/>
      <c r="DL180" s="53" t="n"/>
      <c r="DM180" s="53" t="n"/>
      <c r="DN180" s="53" t="n"/>
      <c r="DO180" s="53" t="n"/>
      <c r="DP180" s="53" t="n"/>
      <c r="DQ180" s="53" t="n"/>
      <c r="DR180" s="53" t="n"/>
      <c r="DS180" s="53" t="n"/>
      <c r="DT180" s="53" t="n"/>
      <c r="DU180" s="53" t="n"/>
      <c r="DV180" s="53" t="n"/>
      <c r="DW180" s="53" t="n"/>
      <c r="DX180" s="53" t="n"/>
      <c r="DY180" s="53" t="n"/>
      <c r="DZ180" s="53" t="n"/>
      <c r="EA180" s="53" t="n"/>
      <c r="EB180" s="53" t="n"/>
      <c r="EC180" s="53" t="n"/>
      <c r="ED180" s="53" t="n"/>
      <c r="EE180" s="53" t="n"/>
      <c r="EF180" s="53" t="n"/>
      <c r="EG180" s="53" t="n"/>
      <c r="EH180" s="53" t="n"/>
      <c r="EI180" s="53" t="n"/>
      <c r="EJ180" s="53" t="n"/>
      <c r="EK180" s="53" t="n"/>
      <c r="EL180" s="53" t="n"/>
      <c r="EM180" s="53" t="n"/>
      <c r="EN180" s="53" t="n"/>
      <c r="EO180" s="53" t="n"/>
      <c r="EP180" s="53" t="n"/>
      <c r="EQ180" s="53" t="n"/>
      <c r="ER180" s="53" t="n"/>
      <c r="ES180" s="53" t="n"/>
      <c r="ET180" s="53" t="n"/>
      <c r="EU180" s="53" t="n"/>
      <c r="EV180" s="53" t="n"/>
      <c r="EW180" s="52" t="n"/>
      <c r="EX180" s="53" t="n"/>
      <c r="EY180" s="53" t="n"/>
      <c r="EZ180" s="53" t="n"/>
      <c r="FA180" s="53" t="n"/>
      <c r="FB180" s="53" t="n"/>
      <c r="FC180" s="53" t="n"/>
      <c r="FD180" s="53" t="n"/>
      <c r="FE180" s="55" t="inlineStr">
        <is>
          <t>KRAs not received · manager to supply</t>
        </is>
      </c>
      <c r="FF180" s="56" t="n"/>
      <c r="FG180" s="56" t="n"/>
      <c r="FH180" s="56" t="n"/>
      <c r="FI180" s="56" t="n"/>
      <c r="FJ180" s="32" t="inlineStr">
        <is>
          <t>KRAs not received · manager to supply</t>
        </is>
      </c>
      <c r="FK180" s="56" t="n"/>
      <c r="FL180" s="56" t="n">
        <v>20</v>
      </c>
      <c r="FM180" s="32" t="inlineStr">
        <is>
          <t>Full survey answers not in the files received · How We Grow export needed · HR</t>
        </is>
      </c>
      <c r="FN180" s="56" t="inlineStr">
        <is>
          <t>—</t>
        </is>
      </c>
      <c r="FO180" s="56" t="inlineStr">
        <is>
          <t>—</t>
        </is>
      </c>
      <c r="FP180" s="56" t="inlineStr">
        <is>
          <t>—</t>
        </is>
      </c>
      <c r="FQ180" s="56" t="inlineStr">
        <is>
          <t>—</t>
        </is>
      </c>
      <c r="FR180" s="56"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interest → moved down 0.5
Leadership: Evidence reads like A1: No guidance of others described despite 1 direct report → moved down 1
Business Impact: No survey or manager-mapping signal on criticality: kept at the start point.</t>
        </is>
      </c>
      <c r="FS180"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0" s="56" t="inlineStr">
        <is>
          <t>Self-identified: Answered · no common topic
For the next role: Answered · no common topic</t>
        </is>
      </c>
      <c r="FU180" s="32" t="inlineStr">
        <is>
          <t>Full survey answers not in the files received · How We Grow export needed · HR</t>
        </is>
      </c>
    </row>
    <row r="181" ht="90" customHeight="1">
      <c r="A181" s="51" t="inlineStr">
        <is>
          <t>◂ Back</t>
        </is>
      </c>
      <c r="B181" s="29" t="inlineStr">
        <is>
          <t>Mapped</t>
        </is>
      </c>
      <c r="C181" s="28" t="inlineStr">
        <is>
          <t>Corporate</t>
        </is>
      </c>
      <c r="D181" s="29" t="inlineStr">
        <is>
          <t>IRIS2217</t>
        </is>
      </c>
      <c r="E181" s="29" t="inlineStr">
        <is>
          <t>Bhushan Kashid</t>
        </is>
      </c>
      <c r="F181" s="29" t="inlineStr">
        <is>
          <t>Finance</t>
        </is>
      </c>
      <c r="G181" s="29" t="inlineStr">
        <is>
          <t>Executive Accounts</t>
        </is>
      </c>
      <c r="H181" s="29" t="inlineStr">
        <is>
          <t>Senior Accounts Executive</t>
        </is>
      </c>
      <c r="I181" s="29" t="inlineStr">
        <is>
          <t>Not in current mapping files</t>
        </is>
      </c>
      <c r="J181" s="29" t="inlineStr">
        <is>
          <t>A3</t>
        </is>
      </c>
      <c r="K181" s="29" t="inlineStr">
        <is>
          <t>● Newly mapped</t>
        </is>
      </c>
      <c r="L181" s="29" t="inlineStr">
        <is>
          <t>Finance &amp; Accounts</t>
        </is>
      </c>
      <c r="M181" s="29" t="inlineStr">
        <is>
          <t>Accounting &amp; Transaction Processing</t>
        </is>
      </c>
      <c r="N181" s="29" t="n"/>
      <c r="O181" s="29" t="n">
        <v>19</v>
      </c>
      <c r="P181" s="28" t="inlineStr">
        <is>
          <t>P2</t>
        </is>
      </c>
      <c r="Q181" s="29" t="inlineStr">
        <is>
          <t>Developing</t>
        </is>
      </c>
      <c r="R181" s="29" t="inlineStr">
        <is>
          <t>3 Apply</t>
        </is>
      </c>
      <c r="S181" s="29" t="inlineStr">
        <is>
          <t>2–4 yrs</t>
        </is>
      </c>
      <c r="T181" s="29" t="inlineStr">
        <is>
          <t>3–5 · 2–5</t>
        </is>
      </c>
      <c r="U181" s="29" t="inlineStr">
        <is>
          <t>Accounts Executive</t>
        </is>
      </c>
      <c r="V181" s="29" t="inlineStr">
        <is>
          <t>Atlassian company-wide P-levels: P40 · IRIS Vs Competitor Benchmark — finance ladder: Senior Accountant</t>
        </is>
      </c>
      <c r="W181" s="29" t="inlineStr">
        <is>
          <t>IMA Management Accounting Competency Framework; ICAI / CA; Ind AS</t>
        </is>
      </c>
      <c r="X181" s="29" t="inlineStr">
        <is>
          <t>Core 2 · Future 2 · Functional 3 · Leadership not scored</t>
        </is>
      </c>
      <c r="Y181" s="52" t="n">
        <v>303</v>
      </c>
      <c r="Z181" s="53" t="inlineStr">
        <is>
          <t>IRIS2217</t>
        </is>
      </c>
      <c r="AA181" s="53" t="inlineStr">
        <is>
          <t>Employee</t>
        </is>
      </c>
      <c r="AB181" s="53" t="inlineStr">
        <is>
          <t>Active</t>
        </is>
      </c>
      <c r="AC181" s="53" t="inlineStr">
        <is>
          <t>Bhushan Kashid</t>
        </is>
      </c>
      <c r="AD181" s="54" t="n">
        <v>45299</v>
      </c>
      <c r="AE181" s="53" t="inlineStr">
        <is>
          <t>Executive Accounts</t>
        </is>
      </c>
      <c r="AF181" s="53" t="inlineStr">
        <is>
          <t>B.Com</t>
        </is>
      </c>
      <c r="AG181" s="53" t="inlineStr">
        <is>
          <t>Anita Chavan</t>
        </is>
      </c>
      <c r="AH181" s="53" t="inlineStr">
        <is>
          <t>N-6</t>
        </is>
      </c>
      <c r="AI181" s="53" t="inlineStr">
        <is>
          <t>Individual Contributor</t>
        </is>
      </c>
      <c r="AJ181" s="53" t="inlineStr">
        <is>
          <t>6 years, 0 months, 0 days</t>
        </is>
      </c>
      <c r="AK181" s="53" t="inlineStr">
        <is>
          <t>2 years, 7 months, 17 days</t>
        </is>
      </c>
      <c r="AL181" s="53" t="inlineStr">
        <is>
          <t>Corporate</t>
        </is>
      </c>
      <c r="AM181" s="53" t="inlineStr">
        <is>
          <t>Corporate</t>
        </is>
      </c>
      <c r="AN181" s="53" t="inlineStr">
        <is>
          <t>Finance</t>
        </is>
      </c>
      <c r="AO181" s="53" t="inlineStr">
        <is>
          <t>Accounting</t>
        </is>
      </c>
      <c r="AP181" s="53" t="inlineStr">
        <is>
          <t>No</t>
        </is>
      </c>
      <c r="AQ181" s="53" t="inlineStr">
        <is>
          <t>General &amp; Admin</t>
        </is>
      </c>
      <c r="AR181" s="53" t="inlineStr">
        <is>
          <t>Accounting</t>
        </is>
      </c>
      <c r="AS181" s="53" t="inlineStr">
        <is>
          <t>Non-technical</t>
        </is>
      </c>
      <c r="AT181" s="53" t="n">
        <v>20</v>
      </c>
      <c r="AU181" s="53" t="inlineStr">
        <is>
          <t>Covered</t>
        </is>
      </c>
      <c r="AV181" s="53" t="n"/>
      <c r="AW181" s="53" t="n"/>
      <c r="AX181" s="53" t="n"/>
      <c r="AY181" s="53" t="n"/>
      <c r="AZ181" s="53" t="n"/>
      <c r="BA181" s="53" t="n"/>
      <c r="BB181" s="53" t="n"/>
      <c r="BC181" s="53" t="n"/>
      <c r="BD181" s="53" t="n"/>
      <c r="BE181" s="53" t="n"/>
      <c r="BF181" s="53" t="n"/>
      <c r="BG181" s="53" t="n"/>
      <c r="BH181" s="53" t="n"/>
      <c r="BI181" s="53" t="n"/>
      <c r="BJ181" s="53" t="n"/>
      <c r="BK181" s="53" t="n"/>
      <c r="BL181" s="53" t="n"/>
      <c r="BM181" s="53" t="n"/>
      <c r="BN181" s="53" t="n"/>
      <c r="BO181" s="53" t="n"/>
      <c r="BP181" s="53" t="n"/>
      <c r="BQ181" s="53" t="n"/>
      <c r="BR181" s="53" t="n"/>
      <c r="BS181" s="53" t="n"/>
      <c r="BT181" s="53" t="n"/>
      <c r="BU181" s="53" t="n"/>
      <c r="BV181" s="53" t="n"/>
      <c r="BW181" s="53" t="n"/>
      <c r="BX181" s="53" t="n"/>
      <c r="BY181" s="53" t="n"/>
      <c r="BZ181" s="53" t="n"/>
      <c r="CA181" s="53" t="n"/>
      <c r="CB181" s="53" t="n"/>
      <c r="CC181" s="53" t="n"/>
      <c r="CD181" s="53" t="n"/>
      <c r="CE181" s="53" t="n"/>
      <c r="CF181" s="53" t="n"/>
      <c r="CG181" s="53" t="n"/>
      <c r="CH181" s="53" t="n"/>
      <c r="CI181" s="53" t="n"/>
      <c r="CJ181" s="53" t="n"/>
      <c r="CK181" s="53" t="n"/>
      <c r="CL181" s="53" t="n"/>
      <c r="CM181" s="53" t="n"/>
      <c r="CN181" s="53" t="n"/>
      <c r="CO181" s="53" t="n"/>
      <c r="CP181" s="53" t="n"/>
      <c r="CQ181" s="53" t="n"/>
      <c r="CR181" s="53" t="n"/>
      <c r="CS181" s="53" t="n"/>
      <c r="CT181" s="53" t="n"/>
      <c r="CU181" s="53" t="n"/>
      <c r="CV181" s="53" t="n"/>
      <c r="CW181" s="53" t="n"/>
      <c r="CX181" s="53" t="n"/>
      <c r="CY181" s="53" t="n"/>
      <c r="CZ181" s="53" t="n"/>
      <c r="DA181" s="53" t="n"/>
      <c r="DB181" s="53" t="n"/>
      <c r="DC181" s="53" t="n"/>
      <c r="DD181" s="53" t="n"/>
      <c r="DE181" s="53" t="n"/>
      <c r="DF181" s="53" t="n"/>
      <c r="DG181" s="53" t="n"/>
      <c r="DH181" s="53" t="n"/>
      <c r="DI181" s="53" t="n"/>
      <c r="DJ181" s="53" t="n"/>
      <c r="DK181" s="53" t="n"/>
      <c r="DL181" s="53" t="n"/>
      <c r="DM181" s="53" t="n"/>
      <c r="DN181" s="53" t="n"/>
      <c r="DO181" s="53" t="n"/>
      <c r="DP181" s="53" t="n"/>
      <c r="DQ181" s="53" t="n"/>
      <c r="DR181" s="53" t="n"/>
      <c r="DS181" s="53" t="n"/>
      <c r="DT181" s="53" t="n"/>
      <c r="DU181" s="53" t="n"/>
      <c r="DV181" s="53" t="n"/>
      <c r="DW181" s="53" t="n"/>
      <c r="DX181" s="53" t="n"/>
      <c r="DY181" s="53" t="n"/>
      <c r="DZ181" s="53" t="n"/>
      <c r="EA181" s="53" t="n"/>
      <c r="EB181" s="53" t="n"/>
      <c r="EC181" s="53" t="n"/>
      <c r="ED181" s="53" t="n"/>
      <c r="EE181" s="53" t="n"/>
      <c r="EF181" s="53" t="n"/>
      <c r="EG181" s="53" t="n"/>
      <c r="EH181" s="53" t="n"/>
      <c r="EI181" s="53" t="n"/>
      <c r="EJ181" s="53" t="n"/>
      <c r="EK181" s="53" t="n"/>
      <c r="EL181" s="53" t="n"/>
      <c r="EM181" s="53" t="n"/>
      <c r="EN181" s="53" t="n"/>
      <c r="EO181" s="53" t="n"/>
      <c r="EP181" s="53" t="n"/>
      <c r="EQ181" s="53" t="n"/>
      <c r="ER181" s="53" t="n"/>
      <c r="ES181" s="53" t="n"/>
      <c r="ET181" s="53" t="n"/>
      <c r="EU181" s="53" t="n"/>
      <c r="EV181" s="53" t="n"/>
      <c r="EW181" s="52" t="n"/>
      <c r="EX181" s="53" t="n"/>
      <c r="EY181" s="53" t="n"/>
      <c r="EZ181" s="53" t="n"/>
      <c r="FA181" s="53" t="n"/>
      <c r="FB181" s="53" t="n"/>
      <c r="FC181" s="53" t="n"/>
      <c r="FD181" s="53" t="n"/>
      <c r="FE181" s="55" t="inlineStr">
        <is>
          <t>KRAs not received · manager to supply</t>
        </is>
      </c>
      <c r="FF181" s="56" t="n"/>
      <c r="FG181" s="56" t="n"/>
      <c r="FH181" s="56" t="n"/>
      <c r="FI181" s="56" t="n"/>
      <c r="FJ181" s="32" t="inlineStr">
        <is>
          <t>KRAs not received · manager to supply</t>
        </is>
      </c>
      <c r="FK181" s="56" t="n"/>
      <c r="FL181" s="56" t="n">
        <v>19</v>
      </c>
      <c r="FM181" s="32" t="inlineStr">
        <is>
          <t>Full survey answers not in the files received · How We Grow export needed · HR</t>
        </is>
      </c>
      <c r="FN181" s="56" t="inlineStr">
        <is>
          <t>—</t>
        </is>
      </c>
      <c r="FO181" s="56" t="inlineStr">
        <is>
          <t>—</t>
        </is>
      </c>
      <c r="FP181" s="56" t="inlineStr">
        <is>
          <t>—</t>
        </is>
      </c>
      <c r="FQ181" s="56" t="inlineStr">
        <is>
          <t>—</t>
        </is>
      </c>
      <c r="FR181" s="56"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entries and reconciliations → matches the start
Leadership: Evidence reads like A1: No guidance or leadership of others described → matches the start
Business Impact: No survey or manager-mapping signal on criticality: kept at the start point.</t>
        </is>
      </c>
      <c r="FS181"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1" s="56" t="inlineStr">
        <is>
          <t>Self-identified: Domain, regulatory &amp; XBRL
For the next role: Domain, regulatory &amp; XBRL</t>
        </is>
      </c>
      <c r="FU181" s="32" t="inlineStr">
        <is>
          <t>Full survey answers not in the files received · How We Grow export needed · HR</t>
        </is>
      </c>
    </row>
    <row r="182" ht="90" customHeight="1">
      <c r="A182" s="51" t="inlineStr">
        <is>
          <t>◂ Back</t>
        </is>
      </c>
      <c r="B182" s="29" t="inlineStr">
        <is>
          <t>Mapped</t>
        </is>
      </c>
      <c r="C182" s="28" t="inlineStr">
        <is>
          <t>Corporate</t>
        </is>
      </c>
      <c r="D182" s="29" t="inlineStr">
        <is>
          <t>IRIS1557</t>
        </is>
      </c>
      <c r="E182" s="29" t="inlineStr">
        <is>
          <t>Gaurangee Gaurav Tawde</t>
        </is>
      </c>
      <c r="F182" s="29" t="inlineStr">
        <is>
          <t>Finance</t>
        </is>
      </c>
      <c r="G182" s="29" t="inlineStr">
        <is>
          <t>Senior Executive Accounts</t>
        </is>
      </c>
      <c r="H182" s="29" t="inlineStr">
        <is>
          <t>Accounts Specialist – POD Lead</t>
        </is>
      </c>
      <c r="I182" s="29" t="inlineStr">
        <is>
          <t>Not in current mapping files</t>
        </is>
      </c>
      <c r="J182" s="29" t="inlineStr">
        <is>
          <t>B1</t>
        </is>
      </c>
      <c r="K182" s="29" t="inlineStr">
        <is>
          <t>● Newly mapped</t>
        </is>
      </c>
      <c r="L182" s="29" t="inlineStr">
        <is>
          <t>Finance &amp; Accounts</t>
        </is>
      </c>
      <c r="M182" s="29" t="inlineStr">
        <is>
          <t>Accounting &amp; Transaction Processing</t>
        </is>
      </c>
      <c r="N182" s="29" t="n"/>
      <c r="O182" s="29" t="n">
        <v>20</v>
      </c>
      <c r="P182" s="28" t="inlineStr">
        <is>
          <t>P3 / M2</t>
        </is>
      </c>
      <c r="Q182" s="29" t="inlineStr">
        <is>
          <t>Career / · Team Lead</t>
        </is>
      </c>
      <c r="R182" s="29" t="inlineStr">
        <is>
          <t>4 Enable</t>
        </is>
      </c>
      <c r="S182" s="29" t="inlineStr">
        <is>
          <t>4–7 yrs</t>
        </is>
      </c>
      <c r="T182" s="29" t="inlineStr">
        <is>
          <t>5–8 · 4–8</t>
        </is>
      </c>
      <c r="U182" s="29" t="inlineStr">
        <is>
          <t>Senior Accountant</t>
        </is>
      </c>
      <c r="V182" s="29" t="inlineStr">
        <is>
          <t>Toppan Merrill: Senior Accountant · IRIS Vs Competitor Benchmark — finance ladder: Finance Specialist / Asst. Manager</t>
        </is>
      </c>
      <c r="W182" s="29" t="inlineStr">
        <is>
          <t>IMA Management Accounting Competency Framework; ICAI / CA; Ind AS</t>
        </is>
      </c>
      <c r="X182" s="29" t="inlineStr">
        <is>
          <t>Core 3 · Future 3 · Functional 3 · Leadership 2</t>
        </is>
      </c>
      <c r="Y182" s="52" t="n">
        <v>127</v>
      </c>
      <c r="Z182" s="53" t="inlineStr">
        <is>
          <t>IRIS1557</t>
        </is>
      </c>
      <c r="AA182" s="53" t="inlineStr">
        <is>
          <t>Employee</t>
        </is>
      </c>
      <c r="AB182" s="53" t="inlineStr">
        <is>
          <t>Active</t>
        </is>
      </c>
      <c r="AC182" s="53" t="inlineStr">
        <is>
          <t>Gaurangee Gaurav Tawde</t>
        </is>
      </c>
      <c r="AD182" s="54" t="n">
        <v>42219</v>
      </c>
      <c r="AE182" s="53" t="inlineStr">
        <is>
          <t>Senior Executive Accounts</t>
        </is>
      </c>
      <c r="AF182" s="53" t="inlineStr">
        <is>
          <t>PGDM</t>
        </is>
      </c>
      <c r="AG182" s="53" t="inlineStr">
        <is>
          <t>Shreya Singh</t>
        </is>
      </c>
      <c r="AH182" s="53" t="inlineStr">
        <is>
          <t>N-5</t>
        </is>
      </c>
      <c r="AI182" s="53" t="inlineStr">
        <is>
          <t>Manager</t>
        </is>
      </c>
      <c r="AJ182" s="53" t="inlineStr">
        <is>
          <t>9 years, 0 months, 0 days</t>
        </is>
      </c>
      <c r="AK182" s="53" t="inlineStr">
        <is>
          <t>11 years, 0 months, 22 days</t>
        </is>
      </c>
      <c r="AL182" s="53" t="inlineStr">
        <is>
          <t>Corporate</t>
        </is>
      </c>
      <c r="AM182" s="53" t="inlineStr">
        <is>
          <t>Corporate</t>
        </is>
      </c>
      <c r="AN182" s="53" t="inlineStr">
        <is>
          <t>Finance</t>
        </is>
      </c>
      <c r="AO182" s="53" t="inlineStr">
        <is>
          <t>Accounting</t>
        </is>
      </c>
      <c r="AP182" s="53" t="inlineStr">
        <is>
          <t>No</t>
        </is>
      </c>
      <c r="AQ182" s="53" t="inlineStr">
        <is>
          <t>General &amp; Admin</t>
        </is>
      </c>
      <c r="AR182" s="53" t="inlineStr">
        <is>
          <t>Accounting</t>
        </is>
      </c>
      <c r="AS182" s="53" t="inlineStr">
        <is>
          <t>Non-technical</t>
        </is>
      </c>
      <c r="AT182" s="53" t="n">
        <v>20</v>
      </c>
      <c r="AU182" s="53" t="inlineStr">
        <is>
          <t>Covered</t>
        </is>
      </c>
      <c r="AV182" s="53" t="n"/>
      <c r="AW182" s="53" t="n"/>
      <c r="AX182" s="53" t="n"/>
      <c r="AY182" s="53" t="n"/>
      <c r="AZ182" s="53" t="n"/>
      <c r="BA182" s="53" t="n"/>
      <c r="BB182" s="53" t="n"/>
      <c r="BC182" s="53" t="n"/>
      <c r="BD182" s="53" t="n"/>
      <c r="BE182" s="53" t="n"/>
      <c r="BF182" s="53" t="n"/>
      <c r="BG182" s="53" t="n"/>
      <c r="BH182" s="53" t="n"/>
      <c r="BI182" s="53" t="n"/>
      <c r="BJ182" s="53" t="n"/>
      <c r="BK182" s="53" t="n"/>
      <c r="BL182" s="53" t="n"/>
      <c r="BM182" s="53" t="n"/>
      <c r="BN182" s="53" t="n"/>
      <c r="BO182" s="53" t="n"/>
      <c r="BP182" s="53" t="n"/>
      <c r="BQ182" s="53" t="n"/>
      <c r="BR182" s="53" t="n"/>
      <c r="BS182" s="53" t="n"/>
      <c r="BT182" s="53" t="n"/>
      <c r="BU182" s="53" t="n"/>
      <c r="BV182" s="53" t="n"/>
      <c r="BW182" s="53" t="n"/>
      <c r="BX182" s="53" t="n"/>
      <c r="BY182" s="53" t="n"/>
      <c r="BZ182" s="53" t="n"/>
      <c r="CA182" s="53" t="n"/>
      <c r="CB182" s="53" t="n"/>
      <c r="CC182" s="53" t="n"/>
      <c r="CD182" s="53" t="n"/>
      <c r="CE182" s="53" t="n"/>
      <c r="CF182" s="53" t="n"/>
      <c r="CG182" s="53" t="n"/>
      <c r="CH182" s="53" t="n"/>
      <c r="CI182" s="53" t="n"/>
      <c r="CJ182" s="53" t="n"/>
      <c r="CK182" s="53" t="n"/>
      <c r="CL182" s="53" t="n"/>
      <c r="CM182" s="53" t="n"/>
      <c r="CN182" s="53" t="n"/>
      <c r="CO182" s="53" t="n"/>
      <c r="CP182" s="53" t="n"/>
      <c r="CQ182" s="53" t="n"/>
      <c r="CR182" s="53" t="n"/>
      <c r="CS182" s="53" t="n"/>
      <c r="CT182" s="53" t="n"/>
      <c r="CU182" s="53" t="n"/>
      <c r="CV182" s="53" t="n"/>
      <c r="CW182" s="53" t="n"/>
      <c r="CX182" s="53" t="n"/>
      <c r="CY182" s="53" t="n"/>
      <c r="CZ182" s="53" t="n"/>
      <c r="DA182" s="53" t="n"/>
      <c r="DB182" s="53" t="n"/>
      <c r="DC182" s="53" t="n"/>
      <c r="DD182" s="53" t="n"/>
      <c r="DE182" s="53" t="n"/>
      <c r="DF182" s="53" t="n"/>
      <c r="DG182" s="53" t="n"/>
      <c r="DH182" s="53" t="n"/>
      <c r="DI182" s="53" t="n"/>
      <c r="DJ182" s="53" t="n"/>
      <c r="DK182" s="53" t="n"/>
      <c r="DL182" s="53" t="n"/>
      <c r="DM182" s="53" t="n"/>
      <c r="DN182" s="53" t="n"/>
      <c r="DO182" s="53" t="n"/>
      <c r="DP182" s="53" t="n"/>
      <c r="DQ182" s="53" t="n"/>
      <c r="DR182" s="53" t="n"/>
      <c r="DS182" s="53" t="n"/>
      <c r="DT182" s="53" t="n"/>
      <c r="DU182" s="53" t="n"/>
      <c r="DV182" s="53" t="n"/>
      <c r="DW182" s="53" t="n"/>
      <c r="DX182" s="53" t="n"/>
      <c r="DY182" s="53" t="n"/>
      <c r="DZ182" s="53" t="n"/>
      <c r="EA182" s="53" t="n"/>
      <c r="EB182" s="53" t="n"/>
      <c r="EC182" s="53" t="n"/>
      <c r="ED182" s="53" t="n"/>
      <c r="EE182" s="53" t="n"/>
      <c r="EF182" s="53" t="n"/>
      <c r="EG182" s="53" t="n"/>
      <c r="EH182" s="53" t="n"/>
      <c r="EI182" s="53" t="n"/>
      <c r="EJ182" s="53" t="n"/>
      <c r="EK182" s="53" t="n"/>
      <c r="EL182" s="53" t="n"/>
      <c r="EM182" s="53" t="n"/>
      <c r="EN182" s="53" t="n"/>
      <c r="EO182" s="53" t="n"/>
      <c r="EP182" s="53" t="n"/>
      <c r="EQ182" s="53" t="n"/>
      <c r="ER182" s="53" t="n"/>
      <c r="ES182" s="53" t="n"/>
      <c r="ET182" s="53" t="n"/>
      <c r="EU182" s="53" t="n"/>
      <c r="EV182" s="53" t="n"/>
      <c r="EW182" s="52" t="n"/>
      <c r="EX182" s="53" t="n"/>
      <c r="EY182" s="53" t="n"/>
      <c r="EZ182" s="53" t="n"/>
      <c r="FA182" s="53" t="n"/>
      <c r="FB182" s="53" t="n"/>
      <c r="FC182" s="53" t="n"/>
      <c r="FD182" s="53" t="n"/>
      <c r="FE182" s="55" t="inlineStr">
        <is>
          <t>KRAs not received · manager to supply</t>
        </is>
      </c>
      <c r="FF182" s="56" t="n"/>
      <c r="FG182" s="56" t="n"/>
      <c r="FH182" s="56" t="n"/>
      <c r="FI182" s="56" t="n"/>
      <c r="FJ182" s="32" t="inlineStr">
        <is>
          <t>KRAs not received · manager to supply</t>
        </is>
      </c>
      <c r="FK182" s="56" t="n"/>
      <c r="FL182" s="56" t="n">
        <v>20</v>
      </c>
      <c r="FM182" s="32" t="inlineStr">
        <is>
          <t>Full survey answers not in the files received · How We Grow export needed · HR</t>
        </is>
      </c>
      <c r="FN182" s="56" t="inlineStr">
        <is>
          <t>—</t>
        </is>
      </c>
      <c r="FO182" s="56" t="inlineStr">
        <is>
          <t>—</t>
        </is>
      </c>
      <c r="FP182" s="56" t="inlineStr">
        <is>
          <t>—</t>
        </is>
      </c>
      <c r="FQ182" s="56" t="inlineStr">
        <is>
          <t>—</t>
        </is>
      </c>
      <c r="FR182" s="56"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fees if missed → moved down 0.5
Leadership: Evidence reads like A1: No guidance of others described despite 1 direct report → moved down 1
Business Impact: No survey or manager-mapping signal on criticality: kept at the start point.</t>
        </is>
      </c>
      <c r="FS182"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2" s="56" t="inlineStr">
        <is>
          <t>Self-identified: Leadership &amp; people management
For the next role: Leadership &amp; people management</t>
        </is>
      </c>
      <c r="FU182" s="32" t="inlineStr">
        <is>
          <t>Full survey answers not in the files received · How We Grow export needed · HR</t>
        </is>
      </c>
    </row>
    <row r="183" ht="90" customHeight="1">
      <c r="A183" s="51" t="inlineStr">
        <is>
          <t>◂ Back</t>
        </is>
      </c>
      <c r="B183" s="29" t="inlineStr">
        <is>
          <t>Mapped</t>
        </is>
      </c>
      <c r="C183" s="28" t="inlineStr">
        <is>
          <t>Corporate</t>
        </is>
      </c>
      <c r="D183" s="29" t="inlineStr">
        <is>
          <t>IRIS2062</t>
        </is>
      </c>
      <c r="E183" s="29" t="inlineStr">
        <is>
          <t>Riddhi Narkar</t>
        </is>
      </c>
      <c r="F183" s="29" t="inlineStr">
        <is>
          <t>Finance</t>
        </is>
      </c>
      <c r="G183" s="29" t="inlineStr">
        <is>
          <t>Executive Accounts</t>
        </is>
      </c>
      <c r="H183" s="29" t="inlineStr">
        <is>
          <t>Senior Accounts Executive</t>
        </is>
      </c>
      <c r="I183" s="29" t="inlineStr">
        <is>
          <t>Not in current mapping files</t>
        </is>
      </c>
      <c r="J183" s="29" t="inlineStr">
        <is>
          <t>A3</t>
        </is>
      </c>
      <c r="K183" s="29" t="inlineStr">
        <is>
          <t>● Newly mapped</t>
        </is>
      </c>
      <c r="L183" s="29" t="inlineStr">
        <is>
          <t>Finance &amp; Accounts</t>
        </is>
      </c>
      <c r="M183" s="29" t="inlineStr">
        <is>
          <t>Accounting &amp; Transaction Processing</t>
        </is>
      </c>
      <c r="N183" s="29" t="n"/>
      <c r="O183" s="29" t="n">
        <v>19</v>
      </c>
      <c r="P183" s="28" t="inlineStr">
        <is>
          <t>P2</t>
        </is>
      </c>
      <c r="Q183" s="29" t="inlineStr">
        <is>
          <t>Developing</t>
        </is>
      </c>
      <c r="R183" s="29" t="inlineStr">
        <is>
          <t>3 Apply</t>
        </is>
      </c>
      <c r="S183" s="29" t="inlineStr">
        <is>
          <t>2–4 yrs</t>
        </is>
      </c>
      <c r="T183" s="29" t="inlineStr">
        <is>
          <t>3–5 · 2–5</t>
        </is>
      </c>
      <c r="U183" s="29" t="inlineStr">
        <is>
          <t>Accounts Executive</t>
        </is>
      </c>
      <c r="V183" s="29" t="inlineStr">
        <is>
          <t>Atlassian company-wide P-levels: P40 · IRIS Vs Competitor Benchmark — finance ladder: Senior Accountant</t>
        </is>
      </c>
      <c r="W183" s="29" t="inlineStr">
        <is>
          <t>IMA Management Accounting Competency Framework; ICAI / CA; Ind AS</t>
        </is>
      </c>
      <c r="X183" s="29" t="inlineStr">
        <is>
          <t>Core 2 · Future 2 · Functional 3 · Leadership not scored</t>
        </is>
      </c>
      <c r="Y183" s="52" t="n">
        <v>241</v>
      </c>
      <c r="Z183" s="53" t="inlineStr">
        <is>
          <t>IRIS2062</t>
        </is>
      </c>
      <c r="AA183" s="53" t="inlineStr">
        <is>
          <t>Employee</t>
        </is>
      </c>
      <c r="AB183" s="53" t="inlineStr">
        <is>
          <t>Active</t>
        </is>
      </c>
      <c r="AC183" s="53" t="inlineStr">
        <is>
          <t>Riddhi Narkar</t>
        </is>
      </c>
      <c r="AD183" s="54" t="n">
        <v>44811</v>
      </c>
      <c r="AE183" s="53" t="inlineStr">
        <is>
          <t>Executive Accounts</t>
        </is>
      </c>
      <c r="AF183" s="53" t="inlineStr">
        <is>
          <t>B.Com</t>
        </is>
      </c>
      <c r="AG183" s="53" t="inlineStr">
        <is>
          <t>Gaurangee Gaurav Tawde</t>
        </is>
      </c>
      <c r="AH183" s="53" t="inlineStr">
        <is>
          <t>N-6</t>
        </is>
      </c>
      <c r="AI183" s="53" t="inlineStr">
        <is>
          <t>Individual Contributor</t>
        </is>
      </c>
      <c r="AJ183" s="53" t="inlineStr">
        <is>
          <t>5 years, 10 months, 0 days</t>
        </is>
      </c>
      <c r="AK183" s="53" t="inlineStr">
        <is>
          <t>3 years, 11 months, 18 days</t>
        </is>
      </c>
      <c r="AL183" s="53" t="inlineStr">
        <is>
          <t>Corporate</t>
        </is>
      </c>
      <c r="AM183" s="53" t="inlineStr">
        <is>
          <t>Corporate</t>
        </is>
      </c>
      <c r="AN183" s="53" t="inlineStr">
        <is>
          <t>Finance</t>
        </is>
      </c>
      <c r="AO183" s="53" t="inlineStr">
        <is>
          <t>Accounting</t>
        </is>
      </c>
      <c r="AP183" s="53" t="inlineStr">
        <is>
          <t>No</t>
        </is>
      </c>
      <c r="AQ183" s="53" t="inlineStr">
        <is>
          <t>General &amp; Admin</t>
        </is>
      </c>
      <c r="AR183" s="53" t="inlineStr">
        <is>
          <t>Accounting</t>
        </is>
      </c>
      <c r="AS183" s="53" t="inlineStr">
        <is>
          <t>Non-technical</t>
        </is>
      </c>
      <c r="AT183" s="53" t="n">
        <v>20</v>
      </c>
      <c r="AU183" s="53" t="inlineStr">
        <is>
          <t>Covered</t>
        </is>
      </c>
      <c r="AV183" s="53" t="n"/>
      <c r="AW183" s="53" t="n"/>
      <c r="AX183" s="53" t="n"/>
      <c r="AY183" s="53" t="n"/>
      <c r="AZ183" s="53" t="n"/>
      <c r="BA183" s="53" t="n"/>
      <c r="BB183" s="53" t="n"/>
      <c r="BC183" s="53" t="n"/>
      <c r="BD183" s="53" t="n"/>
      <c r="BE183" s="53" t="n"/>
      <c r="BF183" s="53" t="n"/>
      <c r="BG183" s="53" t="n"/>
      <c r="BH183" s="53" t="n"/>
      <c r="BI183" s="53" t="n"/>
      <c r="BJ183" s="53" t="n"/>
      <c r="BK183" s="53" t="n"/>
      <c r="BL183" s="53" t="n"/>
      <c r="BM183" s="53" t="n"/>
      <c r="BN183" s="53" t="n"/>
      <c r="BO183" s="53" t="n"/>
      <c r="BP183" s="53" t="n"/>
      <c r="BQ183" s="53" t="n"/>
      <c r="BR183" s="53" t="n"/>
      <c r="BS183" s="53" t="n"/>
      <c r="BT183" s="53" t="n"/>
      <c r="BU183" s="53" t="n"/>
      <c r="BV183" s="53" t="n"/>
      <c r="BW183" s="53" t="n"/>
      <c r="BX183" s="53" t="n"/>
      <c r="BY183" s="53" t="n"/>
      <c r="BZ183" s="53" t="n"/>
      <c r="CA183" s="53" t="n"/>
      <c r="CB183" s="53" t="n"/>
      <c r="CC183" s="53" t="n"/>
      <c r="CD183" s="53" t="n"/>
      <c r="CE183" s="53" t="n"/>
      <c r="CF183" s="53" t="n"/>
      <c r="CG183" s="53" t="n"/>
      <c r="CH183" s="53" t="n"/>
      <c r="CI183" s="53" t="n"/>
      <c r="CJ183" s="53" t="n"/>
      <c r="CK183" s="53" t="n"/>
      <c r="CL183" s="53" t="n"/>
      <c r="CM183" s="53" t="n"/>
      <c r="CN183" s="53" t="n"/>
      <c r="CO183" s="53" t="n"/>
      <c r="CP183" s="53" t="n"/>
      <c r="CQ183" s="53" t="n"/>
      <c r="CR183" s="53" t="n"/>
      <c r="CS183" s="53" t="n"/>
      <c r="CT183" s="53" t="n"/>
      <c r="CU183" s="53" t="n"/>
      <c r="CV183" s="53" t="n"/>
      <c r="CW183" s="53" t="n"/>
      <c r="CX183" s="53" t="n"/>
      <c r="CY183" s="53" t="n"/>
      <c r="CZ183" s="53" t="n"/>
      <c r="DA183" s="53" t="n"/>
      <c r="DB183" s="53" t="n"/>
      <c r="DC183" s="53" t="n"/>
      <c r="DD183" s="53" t="n"/>
      <c r="DE183" s="53" t="n"/>
      <c r="DF183" s="53" t="n"/>
      <c r="DG183" s="53" t="n"/>
      <c r="DH183" s="53" t="n"/>
      <c r="DI183" s="53" t="n"/>
      <c r="DJ183" s="53" t="n"/>
      <c r="DK183" s="53" t="n"/>
      <c r="DL183" s="53" t="n"/>
      <c r="DM183" s="53" t="n"/>
      <c r="DN183" s="53" t="n"/>
      <c r="DO183" s="53" t="n"/>
      <c r="DP183" s="53" t="n"/>
      <c r="DQ183" s="53" t="n"/>
      <c r="DR183" s="53" t="n"/>
      <c r="DS183" s="53" t="n"/>
      <c r="DT183" s="53" t="n"/>
      <c r="DU183" s="53" t="n"/>
      <c r="DV183" s="53" t="n"/>
      <c r="DW183" s="53" t="n"/>
      <c r="DX183" s="53" t="n"/>
      <c r="DY183" s="53" t="n"/>
      <c r="DZ183" s="53" t="n"/>
      <c r="EA183" s="53" t="n"/>
      <c r="EB183" s="53" t="n"/>
      <c r="EC183" s="53" t="n"/>
      <c r="ED183" s="53" t="n"/>
      <c r="EE183" s="53" t="n"/>
      <c r="EF183" s="53" t="n"/>
      <c r="EG183" s="53" t="n"/>
      <c r="EH183" s="53" t="n"/>
      <c r="EI183" s="53" t="n"/>
      <c r="EJ183" s="53" t="n"/>
      <c r="EK183" s="53" t="n"/>
      <c r="EL183" s="53" t="n"/>
      <c r="EM183" s="53" t="n"/>
      <c r="EN183" s="53" t="n"/>
      <c r="EO183" s="53" t="n"/>
      <c r="EP183" s="53" t="n"/>
      <c r="EQ183" s="53" t="n"/>
      <c r="ER183" s="53" t="n"/>
      <c r="ES183" s="53" t="n"/>
      <c r="ET183" s="53" t="n"/>
      <c r="EU183" s="53" t="n"/>
      <c r="EV183" s="53" t="n"/>
      <c r="EW183" s="52" t="n"/>
      <c r="EX183" s="53" t="n"/>
      <c r="EY183" s="53" t="n"/>
      <c r="EZ183" s="53" t="n"/>
      <c r="FA183" s="53" t="n"/>
      <c r="FB183" s="53" t="n"/>
      <c r="FC183" s="53" t="n"/>
      <c r="FD183" s="53" t="n"/>
      <c r="FE183" s="55" t="inlineStr">
        <is>
          <t>KRAs not received · manager to supply</t>
        </is>
      </c>
      <c r="FF183" s="56" t="n"/>
      <c r="FG183" s="56" t="n"/>
      <c r="FH183" s="56" t="n"/>
      <c r="FI183" s="56" t="n"/>
      <c r="FJ183" s="32" t="inlineStr">
        <is>
          <t>KRAs not received · manager to supply</t>
        </is>
      </c>
      <c r="FK183" s="56" t="n"/>
      <c r="FL183" s="56" t="n">
        <v>19</v>
      </c>
      <c r="FM183" s="32" t="inlineStr">
        <is>
          <t>Full survey answers not in the files received · How We Grow export needed · HR</t>
        </is>
      </c>
      <c r="FN183" s="56" t="inlineStr">
        <is>
          <t>—</t>
        </is>
      </c>
      <c r="FO183" s="56" t="inlineStr">
        <is>
          <t>—</t>
        </is>
      </c>
      <c r="FP183" s="56" t="inlineStr">
        <is>
          <t>—</t>
        </is>
      </c>
      <c r="FQ183" s="56" t="inlineStr">
        <is>
          <t>—</t>
        </is>
      </c>
      <c r="FR183" s="56"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start
Leadership: Evidence reads like A1: No guidance or leadership of others described → matches the start
Business Impact: No survey or manager-mapping signal on criticality: kept at the start point.</t>
        </is>
      </c>
      <c r="FS183"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3" s="56" t="inlineStr">
        <is>
          <t>Self-identified: Broader exposure &amp; ownership
For the next role: Broader exposure &amp; ownership</t>
        </is>
      </c>
      <c r="FU183" s="32" t="inlineStr">
        <is>
          <t>Full survey answers not in the files received · How We Grow export needed · HR</t>
        </is>
      </c>
    </row>
    <row r="184" ht="90" customHeight="1">
      <c r="A184" s="51" t="inlineStr">
        <is>
          <t>◂ Back</t>
        </is>
      </c>
      <c r="B184" s="29" t="inlineStr">
        <is>
          <t>Mapped</t>
        </is>
      </c>
      <c r="C184" s="28" t="inlineStr">
        <is>
          <t>Corporate</t>
        </is>
      </c>
      <c r="D184" s="29" t="inlineStr">
        <is>
          <t>IRIS2547</t>
        </is>
      </c>
      <c r="E184" s="29" t="inlineStr">
        <is>
          <t>Lalit Choudhary</t>
        </is>
      </c>
      <c r="F184" s="29" t="inlineStr">
        <is>
          <t>Finance</t>
        </is>
      </c>
      <c r="G184" s="29" t="inlineStr">
        <is>
          <t>Assistant Manager - Finance and Accounts</t>
        </is>
      </c>
      <c r="H184" s="29" t="inlineStr">
        <is>
          <t>Finance Specialist</t>
        </is>
      </c>
      <c r="I184" s="29" t="inlineStr">
        <is>
          <t>Not in current mapping files</t>
        </is>
      </c>
      <c r="J184" s="29" t="inlineStr">
        <is>
          <t>B1</t>
        </is>
      </c>
      <c r="K184" s="29" t="inlineStr">
        <is>
          <t>● Newly mapped</t>
        </is>
      </c>
      <c r="L184" s="29" t="inlineStr">
        <is>
          <t>Finance &amp; Accounts</t>
        </is>
      </c>
      <c r="M184" s="29" t="inlineStr">
        <is>
          <t>Financial Reporting, Compliance &amp; Audit</t>
        </is>
      </c>
      <c r="N184" s="29" t="n"/>
      <c r="O184" s="29" t="n">
        <v>19</v>
      </c>
      <c r="P184" s="28" t="inlineStr">
        <is>
          <t>P3 / M2</t>
        </is>
      </c>
      <c r="Q184" s="29" t="inlineStr">
        <is>
          <t>Career / · Team Lead</t>
        </is>
      </c>
      <c r="R184" s="29" t="inlineStr">
        <is>
          <t>4 Enable</t>
        </is>
      </c>
      <c r="S184" s="29" t="inlineStr">
        <is>
          <t>4–7 yrs</t>
        </is>
      </c>
      <c r="T184" s="29" t="inlineStr">
        <is>
          <t>5–8 · 4–8</t>
        </is>
      </c>
      <c r="U184" s="29" t="inlineStr">
        <is>
          <t>Senior Accountant</t>
        </is>
      </c>
      <c r="V184" s="29" t="inlineStr">
        <is>
          <t>Toppan Merrill: Senior Accountant · IRIS Vs Competitor Benchmark — finance ladder: Finance Specialist / Asst. Manager</t>
        </is>
      </c>
      <c r="W184" s="29" t="inlineStr">
        <is>
          <t>IMA Management Accounting Competency Framework; ICAI / CA; Ind AS</t>
        </is>
      </c>
      <c r="X184" s="29" t="inlineStr">
        <is>
          <t>Core 3 · Future 3 · Functional 3 · Leadership 1</t>
        </is>
      </c>
      <c r="Y184" s="52" t="n">
        <v>521</v>
      </c>
      <c r="Z184" s="53" t="inlineStr">
        <is>
          <t>IRIS2547</t>
        </is>
      </c>
      <c r="AA184" s="53" t="inlineStr">
        <is>
          <t>Employee</t>
        </is>
      </c>
      <c r="AB184" s="53" t="inlineStr">
        <is>
          <t>Active</t>
        </is>
      </c>
      <c r="AC184" s="53" t="inlineStr">
        <is>
          <t>Lalit Choudhary</t>
        </is>
      </c>
      <c r="AD184" s="54" t="n">
        <v>46223</v>
      </c>
      <c r="AE184" s="53" t="inlineStr">
        <is>
          <t>Assistant Manager - Finance and Accounts</t>
        </is>
      </c>
      <c r="AF184" s="53" t="inlineStr">
        <is>
          <t>CA</t>
        </is>
      </c>
      <c r="AG184" s="53" t="inlineStr">
        <is>
          <t>Nishant Gupta</t>
        </is>
      </c>
      <c r="AH184" s="53" t="inlineStr">
        <is>
          <t>N-3</t>
        </is>
      </c>
      <c r="AI184" s="53" t="inlineStr">
        <is>
          <t>Individual Contributor</t>
        </is>
      </c>
      <c r="AJ184" s="53" t="inlineStr">
        <is>
          <t>4 years, 7 months, 0 days</t>
        </is>
      </c>
      <c r="AK184" s="53" t="inlineStr">
        <is>
          <t>0 years, 1 months, 5 days</t>
        </is>
      </c>
      <c r="AL184" s="53" t="inlineStr">
        <is>
          <t>Corporate</t>
        </is>
      </c>
      <c r="AM184" s="53" t="inlineStr">
        <is>
          <t>Corporate</t>
        </is>
      </c>
      <c r="AN184" s="53" t="inlineStr">
        <is>
          <t>Finance</t>
        </is>
      </c>
      <c r="AO184" s="53" t="inlineStr">
        <is>
          <t>Accounting</t>
        </is>
      </c>
      <c r="AP184" s="53" t="inlineStr">
        <is>
          <t>No</t>
        </is>
      </c>
      <c r="AQ184" s="53" t="inlineStr">
        <is>
          <t>General &amp; Admin</t>
        </is>
      </c>
      <c r="AR184" s="53" t="inlineStr">
        <is>
          <t>Accounting</t>
        </is>
      </c>
      <c r="AS184" s="53" t="inlineStr">
        <is>
          <t>Non-technical</t>
        </is>
      </c>
      <c r="AT184" s="53" t="n">
        <v>20</v>
      </c>
      <c r="AU184" s="53" t="inlineStr">
        <is>
          <t>Covered</t>
        </is>
      </c>
      <c r="AV184" s="53" t="n"/>
      <c r="AW184" s="53" t="n"/>
      <c r="AX184" s="53" t="n"/>
      <c r="AY184" s="53" t="n"/>
      <c r="AZ184" s="53" t="n"/>
      <c r="BA184" s="53" t="n"/>
      <c r="BB184" s="53" t="n"/>
      <c r="BC184" s="53" t="n"/>
      <c r="BD184" s="53" t="n"/>
      <c r="BE184" s="53" t="n"/>
      <c r="BF184" s="53" t="n"/>
      <c r="BG184" s="53" t="n"/>
      <c r="BH184" s="53" t="n"/>
      <c r="BI184" s="53" t="n"/>
      <c r="BJ184" s="53" t="n"/>
      <c r="BK184" s="53" t="n"/>
      <c r="BL184" s="53" t="n"/>
      <c r="BM184" s="53" t="n"/>
      <c r="BN184" s="53" t="n"/>
      <c r="BO184" s="53" t="n"/>
      <c r="BP184" s="53" t="n"/>
      <c r="BQ184" s="53" t="n"/>
      <c r="BR184" s="53" t="n"/>
      <c r="BS184" s="53" t="n"/>
      <c r="BT184" s="53" t="n"/>
      <c r="BU184" s="53" t="n"/>
      <c r="BV184" s="53" t="n"/>
      <c r="BW184" s="53" t="n"/>
      <c r="BX184" s="53" t="n"/>
      <c r="BY184" s="53" t="n"/>
      <c r="BZ184" s="53" t="n"/>
      <c r="CA184" s="53" t="n"/>
      <c r="CB184" s="53" t="n"/>
      <c r="CC184" s="53" t="n"/>
      <c r="CD184" s="53" t="n"/>
      <c r="CE184" s="53" t="n"/>
      <c r="CF184" s="53" t="n"/>
      <c r="CG184" s="53" t="n"/>
      <c r="CH184" s="53" t="n"/>
      <c r="CI184" s="53" t="n"/>
      <c r="CJ184" s="53" t="n"/>
      <c r="CK184" s="53" t="n"/>
      <c r="CL184" s="53" t="n"/>
      <c r="CM184" s="53" t="n"/>
      <c r="CN184" s="53" t="n"/>
      <c r="CO184" s="53" t="n"/>
      <c r="CP184" s="53" t="n"/>
      <c r="CQ184" s="53" t="n"/>
      <c r="CR184" s="53" t="n"/>
      <c r="CS184" s="53" t="n"/>
      <c r="CT184" s="53" t="n"/>
      <c r="CU184" s="53" t="n"/>
      <c r="CV184" s="53" t="n"/>
      <c r="CW184" s="53" t="n"/>
      <c r="CX184" s="53" t="n"/>
      <c r="CY184" s="53" t="n"/>
      <c r="CZ184" s="53" t="n"/>
      <c r="DA184" s="53" t="n"/>
      <c r="DB184" s="53" t="n"/>
      <c r="DC184" s="53" t="n"/>
      <c r="DD184" s="53" t="n"/>
      <c r="DE184" s="53" t="n"/>
      <c r="DF184" s="53" t="n"/>
      <c r="DG184" s="53" t="n"/>
      <c r="DH184" s="53" t="n"/>
      <c r="DI184" s="53" t="n"/>
      <c r="DJ184" s="53" t="n"/>
      <c r="DK184" s="53" t="n"/>
      <c r="DL184" s="53" t="n"/>
      <c r="DM184" s="53" t="n"/>
      <c r="DN184" s="53" t="n"/>
      <c r="DO184" s="53" t="n"/>
      <c r="DP184" s="53" t="n"/>
      <c r="DQ184" s="53" t="n"/>
      <c r="DR184" s="53" t="n"/>
      <c r="DS184" s="53" t="n"/>
      <c r="DT184" s="53" t="n"/>
      <c r="DU184" s="53" t="n"/>
      <c r="DV184" s="53" t="n"/>
      <c r="DW184" s="53" t="n"/>
      <c r="DX184" s="53" t="n"/>
      <c r="DY184" s="53" t="n"/>
      <c r="DZ184" s="53" t="n"/>
      <c r="EA184" s="53" t="n"/>
      <c r="EB184" s="53" t="n"/>
      <c r="EC184" s="53" t="n"/>
      <c r="ED184" s="53" t="n"/>
      <c r="EE184" s="53" t="n"/>
      <c r="EF184" s="53" t="n"/>
      <c r="EG184" s="53" t="n"/>
      <c r="EH184" s="53" t="n"/>
      <c r="EI184" s="53" t="n"/>
      <c r="EJ184" s="53" t="n"/>
      <c r="EK184" s="53" t="n"/>
      <c r="EL184" s="53" t="n"/>
      <c r="EM184" s="53" t="n"/>
      <c r="EN184" s="53" t="n"/>
      <c r="EO184" s="53" t="n"/>
      <c r="EP184" s="53" t="n"/>
      <c r="EQ184" s="53" t="n"/>
      <c r="ER184" s="53" t="n"/>
      <c r="ES184" s="53" t="n"/>
      <c r="ET184" s="53" t="n"/>
      <c r="EU184" s="53" t="n"/>
      <c r="EV184" s="53" t="n"/>
      <c r="EW184" s="52" t="n"/>
      <c r="EX184" s="53" t="n"/>
      <c r="EY184" s="53" t="n"/>
      <c r="EZ184" s="53" t="n"/>
      <c r="FA184" s="53" t="n"/>
      <c r="FB184" s="53" t="n"/>
      <c r="FC184" s="53" t="n"/>
      <c r="FD184" s="53" t="n"/>
      <c r="FE184" s="55" t="inlineStr">
        <is>
          <t>KRAs not received · manager to supply</t>
        </is>
      </c>
      <c r="FF184" s="56" t="n"/>
      <c r="FG184" s="56" t="n"/>
      <c r="FH184" s="56" t="n"/>
      <c r="FI184" s="56" t="n"/>
      <c r="FJ184" s="32" t="inlineStr">
        <is>
          <t>KRAs not received · manager to supply</t>
        </is>
      </c>
      <c r="FK184" s="56" t="n"/>
      <c r="FL184" s="56" t="n">
        <v>19</v>
      </c>
      <c r="FM184" s="32" t="inlineStr">
        <is>
          <t>Full survey answers not in the files received · How We Grow export needed · HR</t>
        </is>
      </c>
      <c r="FN184" s="56" t="inlineStr">
        <is>
          <t>—</t>
        </is>
      </c>
      <c r="FO184" s="56" t="inlineStr">
        <is>
          <t>—</t>
        </is>
      </c>
      <c r="FP184" s="56" t="inlineStr">
        <is>
          <t>—</t>
        </is>
      </c>
      <c r="FQ184" s="56" t="inlineStr">
        <is>
          <t>—</t>
        </is>
      </c>
      <c r="FR184" s="56"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Business order book feeding financials → moved down 0.5
Leadership: Evidence reads like A1: No guidance or leadership of others described → moved down 1
Business Impact: No survey or manager-mapping signal on criticality: kept at the start point.</t>
        </is>
      </c>
      <c r="FS184" s="56" t="inlineStr">
        <is>
          <t>Common themes in role-holders' answers: business · financial · reason · management
Common themes in role-holders' answers: order · business · sales · invoice
Common themes in role-holders' answers: financial statements
Common themes in role-holders' answers: order</t>
        </is>
      </c>
      <c r="FT184" s="56" t="inlineStr">
        <is>
          <t>Self-identified: Answered · no common topic
For the next role: Answered · no common topic</t>
        </is>
      </c>
      <c r="FU184" s="32" t="inlineStr">
        <is>
          <t>Full survey answers not in the files received · How We Grow export needed · HR</t>
        </is>
      </c>
    </row>
    <row r="185" ht="90" customHeight="1">
      <c r="A185" s="51" t="inlineStr">
        <is>
          <t>◂ Back</t>
        </is>
      </c>
      <c r="B185" s="29" t="inlineStr">
        <is>
          <t>Mapped</t>
        </is>
      </c>
      <c r="C185" s="28" t="inlineStr">
        <is>
          <t>Corporate</t>
        </is>
      </c>
      <c r="D185" s="29" t="inlineStr">
        <is>
          <t>IRIS2561</t>
        </is>
      </c>
      <c r="E185" s="29" t="inlineStr">
        <is>
          <t>Radhika Karnani</t>
        </is>
      </c>
      <c r="F185" s="29" t="inlineStr">
        <is>
          <t>Finance</t>
        </is>
      </c>
      <c r="G185" s="29" t="inlineStr">
        <is>
          <t>Assistant Manager - Finance and Accounts</t>
        </is>
      </c>
      <c r="H185" s="29" t="inlineStr">
        <is>
          <t>Finance Specialist</t>
        </is>
      </c>
      <c r="I185" s="29" t="inlineStr">
        <is>
          <t>Not in current mapping files</t>
        </is>
      </c>
      <c r="J185" s="29" t="inlineStr">
        <is>
          <t>B1</t>
        </is>
      </c>
      <c r="K185" s="29" t="inlineStr">
        <is>
          <t>● Newly mapped</t>
        </is>
      </c>
      <c r="L185" s="29" t="inlineStr">
        <is>
          <t>Finance &amp; Accounts</t>
        </is>
      </c>
      <c r="M185" s="29" t="inlineStr">
        <is>
          <t>Financial Reporting, Compliance &amp; Audit</t>
        </is>
      </c>
      <c r="N185" s="29" t="inlineStr">
        <is>
          <t>• Total experience · outside + at IRIS — HR — HRIS
• Confirm prior experience · provisional placement — HR</t>
        </is>
      </c>
      <c r="O185" s="29" t="n">
        <v>19</v>
      </c>
      <c r="P185" s="28" t="inlineStr">
        <is>
          <t>P3 / M2</t>
        </is>
      </c>
      <c r="Q185" s="29" t="inlineStr">
        <is>
          <t>Career / · Team Lead</t>
        </is>
      </c>
      <c r="R185" s="29" t="inlineStr">
        <is>
          <t>4 Enable</t>
        </is>
      </c>
      <c r="S185" s="29" t="inlineStr">
        <is>
          <t>4–7 yrs</t>
        </is>
      </c>
      <c r="T185" s="29" t="inlineStr">
        <is>
          <t>5–8 · 4–8</t>
        </is>
      </c>
      <c r="U185" s="29" t="inlineStr">
        <is>
          <t>Senior Accountant</t>
        </is>
      </c>
      <c r="V185" s="29" t="inlineStr">
        <is>
          <t>Toppan Merrill: Senior Accountant · IRIS Vs Competitor Benchmark — finance ladder: Finance Specialist / Asst. Manager</t>
        </is>
      </c>
      <c r="W185" s="29" t="inlineStr">
        <is>
          <t>IMA Management Accounting Competency Framework; ICAI / CA; Ind AS</t>
        </is>
      </c>
      <c r="X185" s="29" t="inlineStr">
        <is>
          <t>Core 3 · Future 3 · Functional 3 · Leadership 1</t>
        </is>
      </c>
      <c r="Y185" s="52" t="n">
        <v>534</v>
      </c>
      <c r="Z185" s="53" t="inlineStr">
        <is>
          <t>IRIS2561</t>
        </is>
      </c>
      <c r="AA185" s="53" t="inlineStr">
        <is>
          <t>Employee</t>
        </is>
      </c>
      <c r="AB185" s="53" t="inlineStr">
        <is>
          <t>Active</t>
        </is>
      </c>
      <c r="AC185" s="53" t="inlineStr">
        <is>
          <t>Radhika Karnani</t>
        </is>
      </c>
      <c r="AD185" s="54" t="n">
        <v>46268</v>
      </c>
      <c r="AE185" s="53" t="inlineStr">
        <is>
          <t>Assistant Manager - Finance and Accounts</t>
        </is>
      </c>
      <c r="AF185" s="53" t="inlineStr">
        <is>
          <t>CA</t>
        </is>
      </c>
      <c r="AG185" s="53" t="inlineStr">
        <is>
          <t>Nishant Gupta</t>
        </is>
      </c>
      <c r="AH185" s="53" t="inlineStr">
        <is>
          <t>N-3</t>
        </is>
      </c>
      <c r="AI185" s="53" t="inlineStr">
        <is>
          <t>Individual Contributor</t>
        </is>
      </c>
      <c r="AJ185" s="53" t="n"/>
      <c r="AK185" s="53" t="n"/>
      <c r="AL185" s="53" t="inlineStr">
        <is>
          <t>Corporate</t>
        </is>
      </c>
      <c r="AM185" s="53" t="inlineStr">
        <is>
          <t>Corporate</t>
        </is>
      </c>
      <c r="AN185" s="53" t="inlineStr">
        <is>
          <t>Finance</t>
        </is>
      </c>
      <c r="AO185" s="53" t="inlineStr">
        <is>
          <t>Accounting</t>
        </is>
      </c>
      <c r="AP185" s="53" t="inlineStr">
        <is>
          <t>No</t>
        </is>
      </c>
      <c r="AQ185" s="53" t="inlineStr">
        <is>
          <t>General &amp; Admin</t>
        </is>
      </c>
      <c r="AR185" s="53" t="inlineStr">
        <is>
          <t>Accounting</t>
        </is>
      </c>
      <c r="AS185" s="53" t="inlineStr">
        <is>
          <t>Non-technical</t>
        </is>
      </c>
      <c r="AT185" s="53" t="n">
        <v>20</v>
      </c>
      <c r="AU185" s="53" t="inlineStr">
        <is>
          <t>Covered</t>
        </is>
      </c>
      <c r="AV185" s="53" t="n"/>
      <c r="AW185" s="53" t="n"/>
      <c r="AX185" s="53" t="n"/>
      <c r="AY185" s="53" t="n"/>
      <c r="AZ185" s="53" t="n"/>
      <c r="BA185" s="53" t="n"/>
      <c r="BB185" s="53" t="n"/>
      <c r="BC185" s="53" t="n"/>
      <c r="BD185" s="53" t="n"/>
      <c r="BE185" s="53" t="n"/>
      <c r="BF185" s="53" t="n"/>
      <c r="BG185" s="53" t="n"/>
      <c r="BH185" s="53" t="n"/>
      <c r="BI185" s="53" t="n"/>
      <c r="BJ185" s="53" t="n"/>
      <c r="BK185" s="53" t="n"/>
      <c r="BL185" s="53" t="n"/>
      <c r="BM185" s="53" t="n"/>
      <c r="BN185" s="53" t="n"/>
      <c r="BO185" s="53" t="n"/>
      <c r="BP185" s="53" t="n"/>
      <c r="BQ185" s="53" t="n"/>
      <c r="BR185" s="53" t="n"/>
      <c r="BS185" s="53" t="n"/>
      <c r="BT185" s="53" t="n"/>
      <c r="BU185" s="53" t="n"/>
      <c r="BV185" s="53" t="n"/>
      <c r="BW185" s="53" t="n"/>
      <c r="BX185" s="53" t="n"/>
      <c r="BY185" s="53" t="n"/>
      <c r="BZ185" s="53" t="n"/>
      <c r="CA185" s="53" t="n"/>
      <c r="CB185" s="53" t="n"/>
      <c r="CC185" s="53" t="n"/>
      <c r="CD185" s="53" t="n"/>
      <c r="CE185" s="53" t="n"/>
      <c r="CF185" s="53" t="n"/>
      <c r="CG185" s="53" t="n"/>
      <c r="CH185" s="53" t="n"/>
      <c r="CI185" s="53" t="n"/>
      <c r="CJ185" s="53" t="n"/>
      <c r="CK185" s="53" t="n"/>
      <c r="CL185" s="53" t="n"/>
      <c r="CM185" s="53" t="n"/>
      <c r="CN185" s="53" t="n"/>
      <c r="CO185" s="53" t="n"/>
      <c r="CP185" s="53" t="n"/>
      <c r="CQ185" s="53" t="n"/>
      <c r="CR185" s="53" t="n"/>
      <c r="CS185" s="53" t="n"/>
      <c r="CT185" s="53" t="n"/>
      <c r="CU185" s="53" t="n"/>
      <c r="CV185" s="53" t="n"/>
      <c r="CW185" s="53" t="n"/>
      <c r="CX185" s="53" t="n"/>
      <c r="CY185" s="53" t="n"/>
      <c r="CZ185" s="53" t="n"/>
      <c r="DA185" s="53" t="n"/>
      <c r="DB185" s="53" t="n"/>
      <c r="DC185" s="53" t="n"/>
      <c r="DD185" s="53" t="n"/>
      <c r="DE185" s="53" t="n"/>
      <c r="DF185" s="53" t="n"/>
      <c r="DG185" s="53" t="n"/>
      <c r="DH185" s="53" t="n"/>
      <c r="DI185" s="53" t="n"/>
      <c r="DJ185" s="53" t="n"/>
      <c r="DK185" s="53" t="n"/>
      <c r="DL185" s="53" t="n"/>
      <c r="DM185" s="53" t="n"/>
      <c r="DN185" s="53" t="n"/>
      <c r="DO185" s="53" t="n"/>
      <c r="DP185" s="53" t="n"/>
      <c r="DQ185" s="53" t="n"/>
      <c r="DR185" s="53" t="n"/>
      <c r="DS185" s="53" t="n"/>
      <c r="DT185" s="53" t="n"/>
      <c r="DU185" s="53" t="n"/>
      <c r="DV185" s="53" t="n"/>
      <c r="DW185" s="53" t="n"/>
      <c r="DX185" s="53" t="n"/>
      <c r="DY185" s="53" t="n"/>
      <c r="DZ185" s="53" t="n"/>
      <c r="EA185" s="53" t="n"/>
      <c r="EB185" s="53" t="n"/>
      <c r="EC185" s="53" t="n"/>
      <c r="ED185" s="53" t="n"/>
      <c r="EE185" s="53" t="n"/>
      <c r="EF185" s="53" t="n"/>
      <c r="EG185" s="53" t="n"/>
      <c r="EH185" s="53" t="n"/>
      <c r="EI185" s="53" t="n"/>
      <c r="EJ185" s="53" t="n"/>
      <c r="EK185" s="53" t="n"/>
      <c r="EL185" s="53" t="n"/>
      <c r="EM185" s="53" t="n"/>
      <c r="EN185" s="53" t="n"/>
      <c r="EO185" s="53" t="n"/>
      <c r="EP185" s="53" t="n"/>
      <c r="EQ185" s="53" t="n"/>
      <c r="ER185" s="53" t="n"/>
      <c r="ES185" s="53" t="n"/>
      <c r="ET185" s="53" t="n"/>
      <c r="EU185" s="53" t="n"/>
      <c r="EV185" s="53" t="n"/>
      <c r="EW185" s="52" t="n"/>
      <c r="EX185" s="53" t="n"/>
      <c r="EY185" s="53" t="n"/>
      <c r="EZ185" s="53" t="n"/>
      <c r="FA185" s="53" t="n"/>
      <c r="FB185" s="53" t="n"/>
      <c r="FC185" s="53" t="n"/>
      <c r="FD185" s="53" t="n"/>
      <c r="FE185" s="55" t="inlineStr">
        <is>
          <t>KRAs not received · manager to supply</t>
        </is>
      </c>
      <c r="FF185" s="56" t="n"/>
      <c r="FG185" s="56" t="n"/>
      <c r="FH185" s="56" t="n"/>
      <c r="FI185" s="56" t="n"/>
      <c r="FJ185" s="32" t="inlineStr">
        <is>
          <t>KRAs not received · manager to supply</t>
        </is>
      </c>
      <c r="FK185" s="56" t="n"/>
      <c r="FL185" s="56" t="n">
        <v>19</v>
      </c>
      <c r="FM185" s="32" t="inlineStr">
        <is>
          <t>Full survey answers not in the files received · How We Grow export needed · HR</t>
        </is>
      </c>
      <c r="FN185" s="56" t="inlineStr">
        <is>
          <t>—</t>
        </is>
      </c>
      <c r="FO185" s="56" t="inlineStr">
        <is>
          <t>—</t>
        </is>
      </c>
      <c r="FP185" s="56" t="inlineStr">
        <is>
          <t>—</t>
        </is>
      </c>
      <c r="FQ185" s="56" t="inlineStr">
        <is>
          <t>—</t>
        </is>
      </c>
      <c r="FR185" s="56"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Evidence reads like A2: Reviews sales orders and invoices prepared by others; no guiding role stated → moved down 0.5
Business Impact: No survey or manager-mapping signal on criticality: kept at the start point.</t>
        </is>
      </c>
      <c r="FS185" s="56" t="inlineStr">
        <is>
          <t>Common themes in role-holders' answers: business · financial · reason · management
Common themes in role-holders' answers: order · business · sales · invoice
Common themes in role-holders' answers: financial statements
Common themes in role-holders' answers: order</t>
        </is>
      </c>
      <c r="FT185" s="56" t="inlineStr">
        <is>
          <t>Self-identified: Answered · no common topic
For the next role: Answered · no common topic</t>
        </is>
      </c>
      <c r="FU185" s="32" t="inlineStr">
        <is>
          <t>Full survey answers not in the files received · How We Grow export needed · HR</t>
        </is>
      </c>
    </row>
    <row r="186" ht="90" customHeight="1">
      <c r="A186" s="51" t="inlineStr">
        <is>
          <t>◂ Back</t>
        </is>
      </c>
      <c r="B186" s="29" t="inlineStr">
        <is>
          <t>Mapped</t>
        </is>
      </c>
      <c r="C186" s="28" t="inlineStr">
        <is>
          <t>Corporate</t>
        </is>
      </c>
      <c r="D186" s="29" t="inlineStr">
        <is>
          <t>IRIS0006</t>
        </is>
      </c>
      <c r="E186" s="29" t="inlineStr">
        <is>
          <t>Sudhakar Sawant</t>
        </is>
      </c>
      <c r="F186" s="29" t="inlineStr">
        <is>
          <t>Finance</t>
        </is>
      </c>
      <c r="G186" s="29" t="inlineStr">
        <is>
          <t>Head – Admin &amp; Internal Audit</t>
        </is>
      </c>
      <c r="H186" s="29" t="inlineStr">
        <is>
          <t>Associate Head – Admin &amp; Internal Audit</t>
        </is>
      </c>
      <c r="I186" s="29" t="inlineStr">
        <is>
          <t>Not in current mapping files</t>
        </is>
      </c>
      <c r="J186" s="29" t="inlineStr">
        <is>
          <t>C1</t>
        </is>
      </c>
      <c r="K186" s="29" t="inlineStr">
        <is>
          <t>● Newly mapped</t>
        </is>
      </c>
      <c r="L186" s="29" t="inlineStr">
        <is>
          <t>Finance &amp; Accounts</t>
        </is>
      </c>
      <c r="M186" s="29" t="inlineStr">
        <is>
          <t>Finance Leadership</t>
        </is>
      </c>
      <c r="N186" s="29" t="inlineStr">
        <is>
          <t>• Survey response or KRAs describing the work · nothing on file — Employee + manager
• Confirm structure behind the senior title · org chart — Business head</t>
        </is>
      </c>
      <c r="O186" s="29" t="n">
        <v>0</v>
      </c>
      <c r="P186" s="28" t="inlineStr">
        <is>
          <t>P6 / M5</t>
        </is>
      </c>
      <c r="Q186" s="29" t="inlineStr">
        <is>
          <t>Principal / Director</t>
        </is>
      </c>
      <c r="R186" s="29" t="inlineStr">
        <is>
          <t>5–6</t>
        </is>
      </c>
      <c r="S186" s="29" t="inlineStr">
        <is>
          <t>10–14 yrs</t>
        </is>
      </c>
      <c r="T186" s="29" t="inlineStr">
        <is>
          <t>12–16 · 12–18</t>
        </is>
      </c>
      <c r="U186" s="29" t="inlineStr">
        <is>
          <t>Head of Function / AGM</t>
        </is>
      </c>
      <c r="V186" s="29" t="inlineStr">
        <is>
          <t>Atlassian company-wide P-levels: P60 Accountant · Principal · IRIS Vs Competitor Benchmark — finance ladder: Associate Director Finance</t>
        </is>
      </c>
      <c r="W186" s="29" t="inlineStr">
        <is>
          <t>IMA Management Accounting Competency Framework; ICAI / CA; Ind AS</t>
        </is>
      </c>
      <c r="X186" s="29" t="inlineStr">
        <is>
          <t>Core 4 · Future 4 · Functional 4 · Leadership 4</t>
        </is>
      </c>
      <c r="Y186" s="52" t="n">
        <v>3</v>
      </c>
      <c r="Z186" s="53" t="inlineStr">
        <is>
          <t>IRIS0006</t>
        </is>
      </c>
      <c r="AA186" s="53" t="inlineStr">
        <is>
          <t>Employee</t>
        </is>
      </c>
      <c r="AB186" s="53" t="inlineStr">
        <is>
          <t>Active</t>
        </is>
      </c>
      <c r="AC186" s="53" t="inlineStr">
        <is>
          <t>Sudhakar Sawant</t>
        </is>
      </c>
      <c r="AD186" s="54" t="n">
        <v>38200</v>
      </c>
      <c r="AE186" s="53" t="inlineStr">
        <is>
          <t>Head – Admin &amp; Internal Audit</t>
        </is>
      </c>
      <c r="AF186" s="53" t="inlineStr">
        <is>
          <t>B.Com</t>
        </is>
      </c>
      <c r="AG186" s="53" t="inlineStr">
        <is>
          <t>Vineet Kandoi</t>
        </is>
      </c>
      <c r="AH186" s="53" t="inlineStr">
        <is>
          <t>N-2</t>
        </is>
      </c>
      <c r="AI186" s="53" t="inlineStr">
        <is>
          <t>Manager</t>
        </is>
      </c>
      <c r="AJ186" s="53" t="inlineStr">
        <is>
          <t>6 years, 3 months, 0 days</t>
        </is>
      </c>
      <c r="AK186" s="53" t="inlineStr">
        <is>
          <t>22 years, 0 months, 24 days</t>
        </is>
      </c>
      <c r="AL186" s="53" t="inlineStr">
        <is>
          <t>Corporate</t>
        </is>
      </c>
      <c r="AM186" s="53" t="inlineStr">
        <is>
          <t>Corporate</t>
        </is>
      </c>
      <c r="AN186" s="53" t="inlineStr">
        <is>
          <t>Finance</t>
        </is>
      </c>
      <c r="AO186" s="53" t="inlineStr">
        <is>
          <t>Accounting</t>
        </is>
      </c>
      <c r="AP186" s="53" t="inlineStr">
        <is>
          <t>No</t>
        </is>
      </c>
      <c r="AQ186" s="53" t="inlineStr">
        <is>
          <t>General &amp; Admin</t>
        </is>
      </c>
      <c r="AR186" s="53" t="inlineStr">
        <is>
          <t>Accounting</t>
        </is>
      </c>
      <c r="AS186" s="53" t="inlineStr">
        <is>
          <t>Non-technical</t>
        </is>
      </c>
      <c r="AT186" s="53" t="n">
        <v>0</v>
      </c>
      <c r="AU186" s="53" t="inlineStr">
        <is>
          <t>E-Top management</t>
        </is>
      </c>
      <c r="AV186" s="53" t="n"/>
      <c r="AW186" s="53" t="n"/>
      <c r="AX186" s="53" t="n"/>
      <c r="AY186" s="53" t="n"/>
      <c r="AZ186" s="53" t="n"/>
      <c r="BA186" s="53" t="n"/>
      <c r="BB186" s="53" t="n"/>
      <c r="BC186" s="53" t="n"/>
      <c r="BD186" s="53" t="n"/>
      <c r="BE186" s="53" t="n"/>
      <c r="BF186" s="53" t="n"/>
      <c r="BG186" s="53" t="n"/>
      <c r="BH186" s="53" t="n"/>
      <c r="BI186" s="53" t="n"/>
      <c r="BJ186" s="53" t="n"/>
      <c r="BK186" s="53" t="n"/>
      <c r="BL186" s="53" t="n"/>
      <c r="BM186" s="53" t="n"/>
      <c r="BN186" s="53" t="n"/>
      <c r="BO186" s="53" t="n"/>
      <c r="BP186" s="53" t="n"/>
      <c r="BQ186" s="53" t="n"/>
      <c r="BR186" s="53" t="n"/>
      <c r="BS186" s="53" t="n"/>
      <c r="BT186" s="53" t="n"/>
      <c r="BU186" s="53" t="n"/>
      <c r="BV186" s="53" t="n"/>
      <c r="BW186" s="53" t="n"/>
      <c r="BX186" s="53" t="n"/>
      <c r="BY186" s="53" t="n"/>
      <c r="BZ186" s="53" t="n"/>
      <c r="CA186" s="53" t="n"/>
      <c r="CB186" s="53" t="n"/>
      <c r="CC186" s="53" t="n"/>
      <c r="CD186" s="53" t="n"/>
      <c r="CE186" s="53" t="n"/>
      <c r="CF186" s="53" t="n"/>
      <c r="CG186" s="53" t="n"/>
      <c r="CH186" s="53" t="n"/>
      <c r="CI186" s="53" t="n"/>
      <c r="CJ186" s="53" t="n"/>
      <c r="CK186" s="53" t="n"/>
      <c r="CL186" s="53" t="n"/>
      <c r="CM186" s="53" t="n"/>
      <c r="CN186" s="53" t="n"/>
      <c r="CO186" s="53" t="n"/>
      <c r="CP186" s="53" t="n"/>
      <c r="CQ186" s="53" t="n"/>
      <c r="CR186" s="53" t="n"/>
      <c r="CS186" s="53" t="n"/>
      <c r="CT186" s="53" t="n"/>
      <c r="CU186" s="53" t="n"/>
      <c r="CV186" s="53" t="n"/>
      <c r="CW186" s="53" t="n"/>
      <c r="CX186" s="53" t="n"/>
      <c r="CY186" s="53" t="n"/>
      <c r="CZ186" s="53" t="n"/>
      <c r="DA186" s="53" t="n"/>
      <c r="DB186" s="53" t="n"/>
      <c r="DC186" s="53" t="n"/>
      <c r="DD186" s="53" t="n"/>
      <c r="DE186" s="53" t="n"/>
      <c r="DF186" s="53" t="n"/>
      <c r="DG186" s="53" t="n"/>
      <c r="DH186" s="53" t="n"/>
      <c r="DI186" s="53" t="n"/>
      <c r="DJ186" s="53" t="n"/>
      <c r="DK186" s="53" t="n"/>
      <c r="DL186" s="53" t="n"/>
      <c r="DM186" s="53" t="n"/>
      <c r="DN186" s="53" t="n"/>
      <c r="DO186" s="53" t="n"/>
      <c r="DP186" s="53" t="n"/>
      <c r="DQ186" s="53" t="n"/>
      <c r="DR186" s="53" t="n"/>
      <c r="DS186" s="53" t="n"/>
      <c r="DT186" s="53" t="n"/>
      <c r="DU186" s="53" t="n"/>
      <c r="DV186" s="53" t="n"/>
      <c r="DW186" s="53" t="n"/>
      <c r="DX186" s="53" t="n"/>
      <c r="DY186" s="53" t="n"/>
      <c r="DZ186" s="53" t="n"/>
      <c r="EA186" s="53" t="n"/>
      <c r="EB186" s="53" t="n"/>
      <c r="EC186" s="53" t="n"/>
      <c r="ED186" s="53" t="n"/>
      <c r="EE186" s="53" t="n"/>
      <c r="EF186" s="53" t="n"/>
      <c r="EG186" s="53" t="n"/>
      <c r="EH186" s="53" t="n"/>
      <c r="EI186" s="53" t="n"/>
      <c r="EJ186" s="53" t="n"/>
      <c r="EK186" s="53" t="n"/>
      <c r="EL186" s="53" t="n"/>
      <c r="EM186" s="53" t="n"/>
      <c r="EN186" s="53" t="n"/>
      <c r="EO186" s="53" t="n"/>
      <c r="EP186" s="53" t="n"/>
      <c r="EQ186" s="53" t="n"/>
      <c r="ER186" s="53" t="n"/>
      <c r="ES186" s="53" t="n"/>
      <c r="ET186" s="53" t="n"/>
      <c r="EU186" s="53" t="n"/>
      <c r="EV186" s="53" t="n"/>
      <c r="EW186" s="52" t="n"/>
      <c r="EX186" s="53" t="n"/>
      <c r="EY186" s="53" t="n"/>
      <c r="EZ186" s="53" t="n"/>
      <c r="FA186" s="53" t="n"/>
      <c r="FB186" s="53" t="n"/>
      <c r="FC186" s="53" t="n"/>
      <c r="FD186" s="53" t="n"/>
      <c r="FE186" s="55" t="inlineStr">
        <is>
          <t>KRAs not received · manager to supply</t>
        </is>
      </c>
      <c r="FF186" s="56" t="n"/>
      <c r="FG186" s="56" t="n"/>
      <c r="FH186" s="56" t="n"/>
      <c r="FI186" s="56" t="n"/>
      <c r="FJ186" s="32" t="inlineStr">
        <is>
          <t>KRAs not received · manager to supply</t>
        </is>
      </c>
      <c r="FK186" s="56" t="n"/>
      <c r="FL186" s="56" t="n">
        <v>0</v>
      </c>
      <c r="FM186" s="32" t="inlineStr">
        <is>
          <t>No survey response on file</t>
        </is>
      </c>
      <c r="FN186" s="56" t="inlineStr">
        <is>
          <t>—</t>
        </is>
      </c>
      <c r="FO186" s="56" t="inlineStr">
        <is>
          <t>—</t>
        </is>
      </c>
      <c r="FP186" s="56" t="inlineStr">
        <is>
          <t>—</t>
        </is>
      </c>
      <c r="FQ186" s="56" t="inlineStr">
        <is>
          <t>—</t>
        </is>
      </c>
      <c r="FR18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86" s="56" t="n"/>
      <c r="FT186" s="56" t="n"/>
      <c r="FU186" s="32" t="inlineStr">
        <is>
          <t>No survey response on file</t>
        </is>
      </c>
    </row>
    <row r="187" ht="90" customHeight="1">
      <c r="A187" s="51" t="inlineStr">
        <is>
          <t>◂ Back</t>
        </is>
      </c>
      <c r="B187" s="29" t="inlineStr">
        <is>
          <t>Mapped</t>
        </is>
      </c>
      <c r="C187" s="28" t="inlineStr">
        <is>
          <t>Corporate</t>
        </is>
      </c>
      <c r="D187" s="29" t="inlineStr">
        <is>
          <t>IRIS1326</t>
        </is>
      </c>
      <c r="E187" s="29" t="inlineStr">
        <is>
          <t>Sujit Acharya</t>
        </is>
      </c>
      <c r="F187" s="29" t="inlineStr">
        <is>
          <t>Administration</t>
        </is>
      </c>
      <c r="G187" s="29" t="inlineStr">
        <is>
          <t>Manager Administration</t>
        </is>
      </c>
      <c r="H187" s="29" t="inlineStr">
        <is>
          <t>Manager – Administration</t>
        </is>
      </c>
      <c r="I187" s="29" t="inlineStr">
        <is>
          <t>Not in current mapping files</t>
        </is>
      </c>
      <c r="J187" s="29" t="inlineStr">
        <is>
          <t>B2</t>
        </is>
      </c>
      <c r="K187" s="29" t="inlineStr">
        <is>
          <t>● Newly mapped</t>
        </is>
      </c>
      <c r="L187" s="29" t="inlineStr">
        <is>
          <t>Administration, Legal &amp; Secretarial</t>
        </is>
      </c>
      <c r="M187" s="29" t="inlineStr">
        <is>
          <t>Administration &amp; Facilities</t>
        </is>
      </c>
      <c r="N187" s="29" t="n"/>
      <c r="O187" s="29" t="n">
        <v>20</v>
      </c>
      <c r="P187" s="28" t="inlineStr">
        <is>
          <t>P4 / M3</t>
        </is>
      </c>
      <c r="Q187" s="29" t="inlineStr">
        <is>
          <t>Senior / Manager</t>
        </is>
      </c>
      <c r="R187" s="29" t="inlineStr">
        <is>
          <t>4–5</t>
        </is>
      </c>
      <c r="S187" s="29" t="inlineStr">
        <is>
          <t>6–9 yrs</t>
        </is>
      </c>
      <c r="T187" s="29" t="inlineStr">
        <is>
          <t>7–10 · 6–11</t>
        </is>
      </c>
      <c r="U187" s="29" t="inlineStr">
        <is>
          <t>Manager</t>
        </is>
      </c>
      <c r="V187" s="29" t="inlineStr">
        <is>
          <t>IRIS Vs Competitor Benchmark — corporate services ladder: Manager</t>
        </is>
      </c>
      <c r="W187" s="29" t="inlineStr">
        <is>
          <t>ICSI · Company Secretary; Companies Act 2013; IFMA · facilities; CIPS · procurement</t>
        </is>
      </c>
      <c r="X187" s="29" t="inlineStr">
        <is>
          <t>Core 3 · Future 3 · Functional 4 · Leadership 3</t>
        </is>
      </c>
      <c r="Y187" s="52" t="n">
        <v>116</v>
      </c>
      <c r="Z187" s="53" t="inlineStr">
        <is>
          <t>IRIS1326</t>
        </is>
      </c>
      <c r="AA187" s="53" t="inlineStr">
        <is>
          <t>Employee</t>
        </is>
      </c>
      <c r="AB187" s="53" t="inlineStr">
        <is>
          <t>Active</t>
        </is>
      </c>
      <c r="AC187" s="53" t="inlineStr">
        <is>
          <t>Sujit Acharya</t>
        </is>
      </c>
      <c r="AD187" s="54" t="n">
        <v>41353</v>
      </c>
      <c r="AE187" s="53" t="inlineStr">
        <is>
          <t>Manager Administration</t>
        </is>
      </c>
      <c r="AF187" s="53" t="inlineStr">
        <is>
          <t>B.Com</t>
        </is>
      </c>
      <c r="AG187" s="53" t="inlineStr">
        <is>
          <t>Sudhakar Sawant</t>
        </is>
      </c>
      <c r="AH187" s="53" t="inlineStr">
        <is>
          <t>N-3</t>
        </is>
      </c>
      <c r="AI187" s="53" t="inlineStr">
        <is>
          <t>Manager</t>
        </is>
      </c>
      <c r="AJ187" s="53" t="inlineStr">
        <is>
          <t>8 years, 3 months, 0 days</t>
        </is>
      </c>
      <c r="AK187" s="53" t="inlineStr">
        <is>
          <t>13 years, 5 months, 5 days</t>
        </is>
      </c>
      <c r="AL187" s="53" t="inlineStr">
        <is>
          <t>Corporate</t>
        </is>
      </c>
      <c r="AM187" s="53" t="inlineStr">
        <is>
          <t>Corporate</t>
        </is>
      </c>
      <c r="AN187" s="53" t="inlineStr">
        <is>
          <t>Administration</t>
        </is>
      </c>
      <c r="AO187" s="53" t="inlineStr">
        <is>
          <t>Administration</t>
        </is>
      </c>
      <c r="AP187" s="53" t="inlineStr">
        <is>
          <t>No</t>
        </is>
      </c>
      <c r="AQ187" s="53" t="inlineStr">
        <is>
          <t>General &amp; Admin</t>
        </is>
      </c>
      <c r="AR187" s="53" t="inlineStr">
        <is>
          <t>Administration</t>
        </is>
      </c>
      <c r="AS187" s="53" t="inlineStr">
        <is>
          <t>Non-technical</t>
        </is>
      </c>
      <c r="AT187" s="53" t="n">
        <v>20</v>
      </c>
      <c r="AU187" s="53" t="inlineStr">
        <is>
          <t>Covered</t>
        </is>
      </c>
      <c r="AV187" s="53" t="n"/>
      <c r="AW187" s="53" t="n"/>
      <c r="AX187" s="53" t="n"/>
      <c r="AY187" s="53" t="n"/>
      <c r="AZ187" s="53" t="n"/>
      <c r="BA187" s="53" t="n"/>
      <c r="BB187" s="53" t="n"/>
      <c r="BC187" s="53" t="n"/>
      <c r="BD187" s="53" t="n"/>
      <c r="BE187" s="53" t="n"/>
      <c r="BF187" s="53" t="n"/>
      <c r="BG187" s="53" t="n"/>
      <c r="BH187" s="53" t="n"/>
      <c r="BI187" s="53" t="n"/>
      <c r="BJ187" s="53" t="n"/>
      <c r="BK187" s="53" t="n"/>
      <c r="BL187" s="53" t="n"/>
      <c r="BM187" s="53" t="n"/>
      <c r="BN187" s="53" t="n"/>
      <c r="BO187" s="53" t="n"/>
      <c r="BP187" s="53" t="n"/>
      <c r="BQ187" s="53" t="n"/>
      <c r="BR187" s="53" t="n"/>
      <c r="BS187" s="53" t="n"/>
      <c r="BT187" s="53" t="n"/>
      <c r="BU187" s="53" t="n"/>
      <c r="BV187" s="53" t="n"/>
      <c r="BW187" s="53" t="n"/>
      <c r="BX187" s="53" t="n"/>
      <c r="BY187" s="53" t="n"/>
      <c r="BZ187" s="53" t="n"/>
      <c r="CA187" s="53" t="n"/>
      <c r="CB187" s="53" t="n"/>
      <c r="CC187" s="53" t="n"/>
      <c r="CD187" s="53" t="n"/>
      <c r="CE187" s="53" t="n"/>
      <c r="CF187" s="53" t="n"/>
      <c r="CG187" s="53" t="n"/>
      <c r="CH187" s="53" t="n"/>
      <c r="CI187" s="53" t="n"/>
      <c r="CJ187" s="53" t="n"/>
      <c r="CK187" s="53" t="n"/>
      <c r="CL187" s="53" t="n"/>
      <c r="CM187" s="53" t="n"/>
      <c r="CN187" s="53" t="n"/>
      <c r="CO187" s="53" t="n"/>
      <c r="CP187" s="53" t="n"/>
      <c r="CQ187" s="53" t="n"/>
      <c r="CR187" s="53" t="n"/>
      <c r="CS187" s="53" t="n"/>
      <c r="CT187" s="53" t="n"/>
      <c r="CU187" s="53" t="n"/>
      <c r="CV187" s="53" t="n"/>
      <c r="CW187" s="53" t="n"/>
      <c r="CX187" s="53" t="n"/>
      <c r="CY187" s="53" t="n"/>
      <c r="CZ187" s="53" t="n"/>
      <c r="DA187" s="53" t="n"/>
      <c r="DB187" s="53" t="n"/>
      <c r="DC187" s="53" t="n"/>
      <c r="DD187" s="53" t="n"/>
      <c r="DE187" s="53" t="n"/>
      <c r="DF187" s="53" t="n"/>
      <c r="DG187" s="53" t="n"/>
      <c r="DH187" s="53" t="n"/>
      <c r="DI187" s="53" t="n"/>
      <c r="DJ187" s="53" t="n"/>
      <c r="DK187" s="53" t="n"/>
      <c r="DL187" s="53" t="n"/>
      <c r="DM187" s="53" t="n"/>
      <c r="DN187" s="53" t="n"/>
      <c r="DO187" s="53" t="n"/>
      <c r="DP187" s="53" t="n"/>
      <c r="DQ187" s="53" t="n"/>
      <c r="DR187" s="53" t="n"/>
      <c r="DS187" s="53" t="n"/>
      <c r="DT187" s="53" t="n"/>
      <c r="DU187" s="53" t="n"/>
      <c r="DV187" s="53" t="n"/>
      <c r="DW187" s="53" t="n"/>
      <c r="DX187" s="53" t="n"/>
      <c r="DY187" s="53" t="n"/>
      <c r="DZ187" s="53" t="n"/>
      <c r="EA187" s="53" t="n"/>
      <c r="EB187" s="53" t="n"/>
      <c r="EC187" s="53" t="n"/>
      <c r="ED187" s="53" t="n"/>
      <c r="EE187" s="53" t="n"/>
      <c r="EF187" s="53" t="n"/>
      <c r="EG187" s="53" t="n"/>
      <c r="EH187" s="53" t="n"/>
      <c r="EI187" s="53" t="n"/>
      <c r="EJ187" s="53" t="n"/>
      <c r="EK187" s="53" t="n"/>
      <c r="EL187" s="53" t="n"/>
      <c r="EM187" s="53" t="n"/>
      <c r="EN187" s="53" t="n"/>
      <c r="EO187" s="53" t="n"/>
      <c r="EP187" s="53" t="n"/>
      <c r="EQ187" s="53" t="n"/>
      <c r="ER187" s="53" t="n"/>
      <c r="ES187" s="53" t="n"/>
      <c r="ET187" s="53" t="n"/>
      <c r="EU187" s="53" t="n"/>
      <c r="EV187" s="53" t="n"/>
      <c r="EW187" s="52" t="n"/>
      <c r="EX187" s="53" t="n"/>
      <c r="EY187" s="53" t="n"/>
      <c r="EZ187" s="53" t="n"/>
      <c r="FA187" s="53" t="n"/>
      <c r="FB187" s="53" t="n"/>
      <c r="FC187" s="53" t="n"/>
      <c r="FD187" s="53" t="n"/>
      <c r="FE187" s="55" t="inlineStr">
        <is>
          <t>KRAs not received · manager to supply</t>
        </is>
      </c>
      <c r="FF187" s="56" t="n"/>
      <c r="FG187" s="56" t="n"/>
      <c r="FH187" s="56" t="n"/>
      <c r="FI187" s="56" t="n"/>
      <c r="FJ187" s="32" t="inlineStr">
        <is>
          <t>KRAs not received · manager to supply</t>
        </is>
      </c>
      <c r="FK187" s="56" t="n"/>
      <c r="FL187" s="56" t="n">
        <v>20</v>
      </c>
      <c r="FM187" s="32" t="inlineStr">
        <is>
          <t>Full survey answers not in the files received · How We Grow export needed · HR</t>
        </is>
      </c>
      <c r="FN187" s="56" t="inlineStr">
        <is>
          <t>—</t>
        </is>
      </c>
      <c r="FO187" s="56" t="inlineStr">
        <is>
          <t>—</t>
        </is>
      </c>
      <c r="FP187" s="56" t="inlineStr">
        <is>
          <t>—</t>
        </is>
      </c>
      <c r="FQ187" s="56" t="inlineStr">
        <is>
          <t>—</t>
        </is>
      </c>
      <c r="FR187" s="56"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admin area: cost, quality, timeliness of travel, vendor services, maintenance, procurement → moved down 0.5
Leadership: Evidence reads like A3: HR shows 5 reports, but text describes no allocation, review or coaching → moved down 0.5
Business Impact: No survey or manager-mapping signal on criticality: kept at the start point.</t>
        </is>
      </c>
      <c r="FS187" s="56" t="n"/>
      <c r="FT187" s="56" t="inlineStr">
        <is>
          <t>Self-identified: Strategy &amp; business acumen · Broader exposure &amp; ownership
For the next role: AI / automation · Leadership &amp; people management · Project / programme management · Strategy &amp; business acumen · Broader exposure &amp; ownership</t>
        </is>
      </c>
      <c r="FU187" s="32" t="inlineStr">
        <is>
          <t>Full survey answers not in the files received · How We Grow export needed · HR</t>
        </is>
      </c>
    </row>
    <row r="188" ht="90" customHeight="1">
      <c r="A188" s="51" t="inlineStr">
        <is>
          <t>◂ Back</t>
        </is>
      </c>
      <c r="B188" s="29" t="inlineStr">
        <is>
          <t>Mapped</t>
        </is>
      </c>
      <c r="C188" s="28" t="inlineStr">
        <is>
          <t>Corporate</t>
        </is>
      </c>
      <c r="D188" s="29" t="inlineStr">
        <is>
          <t>IRIS2431</t>
        </is>
      </c>
      <c r="E188" s="29" t="inlineStr">
        <is>
          <t>Ashish Pawar</t>
        </is>
      </c>
      <c r="F188" s="29" t="inlineStr">
        <is>
          <t>Administration</t>
        </is>
      </c>
      <c r="G188" s="29" t="inlineStr">
        <is>
          <t>Executive Administration</t>
        </is>
      </c>
      <c r="H188" s="29" t="inlineStr">
        <is>
          <t>Senior Administration Executive</t>
        </is>
      </c>
      <c r="I188" s="29" t="inlineStr">
        <is>
          <t>Not in current mapping files</t>
        </is>
      </c>
      <c r="J188" s="29" t="inlineStr">
        <is>
          <t>A3</t>
        </is>
      </c>
      <c r="K188" s="29" t="inlineStr">
        <is>
          <t>● Newly mapped</t>
        </is>
      </c>
      <c r="L188" s="29" t="inlineStr">
        <is>
          <t>Administration, Legal &amp; Secretarial</t>
        </is>
      </c>
      <c r="M188" s="29" t="inlineStr">
        <is>
          <t>Administration &amp; Facilities</t>
        </is>
      </c>
      <c r="N188" s="29" t="n"/>
      <c r="O188" s="29" t="n">
        <v>19</v>
      </c>
      <c r="P188" s="28" t="inlineStr">
        <is>
          <t>P2</t>
        </is>
      </c>
      <c r="Q188" s="29" t="inlineStr">
        <is>
          <t>Developing</t>
        </is>
      </c>
      <c r="R188" s="29" t="inlineStr">
        <is>
          <t>3 Apply</t>
        </is>
      </c>
      <c r="S188" s="29" t="inlineStr">
        <is>
          <t>2–4 yrs</t>
        </is>
      </c>
      <c r="T188" s="29" t="inlineStr">
        <is>
          <t>3–5 · 2–5</t>
        </is>
      </c>
      <c r="U188" s="29" t="inlineStr">
        <is>
          <t>Admin / Secretarial Executive</t>
        </is>
      </c>
      <c r="V188" s="29" t="inlineStr">
        <is>
          <t>IRIS Vs Competitor Benchmark — corporate services ladder: Senior Executive</t>
        </is>
      </c>
      <c r="W188" s="29" t="inlineStr">
        <is>
          <t>ICSI · Company Secretary; Companies Act 2013; IFMA · facilities; CIPS · procurement</t>
        </is>
      </c>
      <c r="X188" s="29" t="inlineStr">
        <is>
          <t>Core 2 · Future 2 · Functional 3 · Leadership not scored</t>
        </is>
      </c>
      <c r="Y188" s="52" t="n">
        <v>400</v>
      </c>
      <c r="Z188" s="53" t="inlineStr">
        <is>
          <t>IRIS2431</t>
        </is>
      </c>
      <c r="AA188" s="53" t="inlineStr">
        <is>
          <t>Employee</t>
        </is>
      </c>
      <c r="AB188" s="53" t="inlineStr">
        <is>
          <t>Active</t>
        </is>
      </c>
      <c r="AC188" s="53" t="inlineStr">
        <is>
          <t>Ashish Pawar</t>
        </is>
      </c>
      <c r="AD188" s="54" t="n">
        <v>45918</v>
      </c>
      <c r="AE188" s="53" t="inlineStr">
        <is>
          <t>Executive Administration</t>
        </is>
      </c>
      <c r="AF188" s="53" t="inlineStr">
        <is>
          <t>BA</t>
        </is>
      </c>
      <c r="AG188" s="53" t="inlineStr">
        <is>
          <t>Sujit Acharya</t>
        </is>
      </c>
      <c r="AH188" s="53" t="inlineStr">
        <is>
          <t>N-4</t>
        </is>
      </c>
      <c r="AI188" s="53" t="inlineStr">
        <is>
          <t>Individual Contributor</t>
        </is>
      </c>
      <c r="AJ188" s="53" t="inlineStr">
        <is>
          <t>12 years, 2 months, 0 days</t>
        </is>
      </c>
      <c r="AK188" s="53" t="inlineStr">
        <is>
          <t>0 years, 11 months, 7 days</t>
        </is>
      </c>
      <c r="AL188" s="53" t="inlineStr">
        <is>
          <t>Corporate</t>
        </is>
      </c>
      <c r="AM188" s="53" t="inlineStr">
        <is>
          <t>Corporate</t>
        </is>
      </c>
      <c r="AN188" s="53" t="inlineStr">
        <is>
          <t>Administration</t>
        </is>
      </c>
      <c r="AO188" s="53" t="inlineStr">
        <is>
          <t>Administration</t>
        </is>
      </c>
      <c r="AP188" s="53" t="inlineStr">
        <is>
          <t>No</t>
        </is>
      </c>
      <c r="AQ188" s="53" t="inlineStr">
        <is>
          <t>General &amp; Admin</t>
        </is>
      </c>
      <c r="AR188" s="53" t="inlineStr">
        <is>
          <t>Administration</t>
        </is>
      </c>
      <c r="AS188" s="53" t="inlineStr">
        <is>
          <t>Non-technical</t>
        </is>
      </c>
      <c r="AT188" s="53" t="n">
        <v>20</v>
      </c>
      <c r="AU188" s="53" t="inlineStr">
        <is>
          <t>Covered</t>
        </is>
      </c>
      <c r="AV188" s="53" t="n"/>
      <c r="AW188" s="53" t="n"/>
      <c r="AX188" s="53" t="n"/>
      <c r="AY188" s="53" t="n"/>
      <c r="AZ188" s="53" t="n"/>
      <c r="BA188" s="53" t="n"/>
      <c r="BB188" s="53" t="n"/>
      <c r="BC188" s="53" t="n"/>
      <c r="BD188" s="53" t="n"/>
      <c r="BE188" s="53" t="n"/>
      <c r="BF188" s="53" t="n"/>
      <c r="BG188" s="53" t="n"/>
      <c r="BH188" s="53" t="n"/>
      <c r="BI188" s="53" t="n"/>
      <c r="BJ188" s="53" t="n"/>
      <c r="BK188" s="53" t="n"/>
      <c r="BL188" s="53" t="n"/>
      <c r="BM188" s="53" t="n"/>
      <c r="BN188" s="53" t="n"/>
      <c r="BO188" s="53" t="n"/>
      <c r="BP188" s="53" t="n"/>
      <c r="BQ188" s="53" t="n"/>
      <c r="BR188" s="53" t="n"/>
      <c r="BS188" s="53" t="n"/>
      <c r="BT188" s="53" t="n"/>
      <c r="BU188" s="53" t="n"/>
      <c r="BV188" s="53" t="n"/>
      <c r="BW188" s="53" t="n"/>
      <c r="BX188" s="53" t="n"/>
      <c r="BY188" s="53" t="n"/>
      <c r="BZ188" s="53" t="n"/>
      <c r="CA188" s="53" t="n"/>
      <c r="CB188" s="53" t="n"/>
      <c r="CC188" s="53" t="n"/>
      <c r="CD188" s="53" t="n"/>
      <c r="CE188" s="53" t="n"/>
      <c r="CF188" s="53" t="n"/>
      <c r="CG188" s="53" t="n"/>
      <c r="CH188" s="53" t="n"/>
      <c r="CI188" s="53" t="n"/>
      <c r="CJ188" s="53" t="n"/>
      <c r="CK188" s="53" t="n"/>
      <c r="CL188" s="53" t="n"/>
      <c r="CM188" s="53" t="n"/>
      <c r="CN188" s="53" t="n"/>
      <c r="CO188" s="53" t="n"/>
      <c r="CP188" s="53" t="n"/>
      <c r="CQ188" s="53" t="n"/>
      <c r="CR188" s="53" t="n"/>
      <c r="CS188" s="53" t="n"/>
      <c r="CT188" s="53" t="n"/>
      <c r="CU188" s="53" t="n"/>
      <c r="CV188" s="53" t="n"/>
      <c r="CW188" s="53" t="n"/>
      <c r="CX188" s="53" t="n"/>
      <c r="CY188" s="53" t="n"/>
      <c r="CZ188" s="53" t="n"/>
      <c r="DA188" s="53" t="n"/>
      <c r="DB188" s="53" t="n"/>
      <c r="DC188" s="53" t="n"/>
      <c r="DD188" s="53" t="n"/>
      <c r="DE188" s="53" t="n"/>
      <c r="DF188" s="53" t="n"/>
      <c r="DG188" s="53" t="n"/>
      <c r="DH188" s="53" t="n"/>
      <c r="DI188" s="53" t="n"/>
      <c r="DJ188" s="53" t="n"/>
      <c r="DK188" s="53" t="n"/>
      <c r="DL188" s="53" t="n"/>
      <c r="DM188" s="53" t="n"/>
      <c r="DN188" s="53" t="n"/>
      <c r="DO188" s="53" t="n"/>
      <c r="DP188" s="53" t="n"/>
      <c r="DQ188" s="53" t="n"/>
      <c r="DR188" s="53" t="n"/>
      <c r="DS188" s="53" t="n"/>
      <c r="DT188" s="53" t="n"/>
      <c r="DU188" s="53" t="n"/>
      <c r="DV188" s="53" t="n"/>
      <c r="DW188" s="53" t="n"/>
      <c r="DX188" s="53" t="n"/>
      <c r="DY188" s="53" t="n"/>
      <c r="DZ188" s="53" t="n"/>
      <c r="EA188" s="53" t="n"/>
      <c r="EB188" s="53" t="n"/>
      <c r="EC188" s="53" t="n"/>
      <c r="ED188" s="53" t="n"/>
      <c r="EE188" s="53" t="n"/>
      <c r="EF188" s="53" t="n"/>
      <c r="EG188" s="53" t="n"/>
      <c r="EH188" s="53" t="n"/>
      <c r="EI188" s="53" t="n"/>
      <c r="EJ188" s="53" t="n"/>
      <c r="EK188" s="53" t="n"/>
      <c r="EL188" s="53" t="n"/>
      <c r="EM188" s="53" t="n"/>
      <c r="EN188" s="53" t="n"/>
      <c r="EO188" s="53" t="n"/>
      <c r="EP188" s="53" t="n"/>
      <c r="EQ188" s="53" t="n"/>
      <c r="ER188" s="53" t="n"/>
      <c r="ES188" s="53" t="n"/>
      <c r="ET188" s="53" t="n"/>
      <c r="EU188" s="53" t="n"/>
      <c r="EV188" s="53" t="n"/>
      <c r="EW188" s="52" t="n"/>
      <c r="EX188" s="53" t="n"/>
      <c r="EY188" s="53" t="n"/>
      <c r="EZ188" s="53" t="n"/>
      <c r="FA188" s="53" t="n"/>
      <c r="FB188" s="53" t="n"/>
      <c r="FC188" s="53" t="n"/>
      <c r="FD188" s="53" t="n"/>
      <c r="FE188" s="55" t="inlineStr">
        <is>
          <t>KRAs not received · manager to supply</t>
        </is>
      </c>
      <c r="FF188" s="56" t="n"/>
      <c r="FG188" s="56" t="n"/>
      <c r="FH188" s="56" t="n"/>
      <c r="FI188" s="56" t="n"/>
      <c r="FJ188" s="32" t="inlineStr">
        <is>
          <t>KRAs not received · manager to supply</t>
        </is>
      </c>
      <c r="FK188" s="56" t="n"/>
      <c r="FL188" s="56" t="n">
        <v>19</v>
      </c>
      <c r="FM188" s="32" t="inlineStr">
        <is>
          <t>Full survey answers not in the files received · How We Grow export needed · HR</t>
        </is>
      </c>
      <c r="FN188" s="56" t="inlineStr">
        <is>
          <t>—</t>
        </is>
      </c>
      <c r="FO188" s="56" t="inlineStr">
        <is>
          <t>—</t>
        </is>
      </c>
      <c r="FP188" s="56" t="inlineStr">
        <is>
          <t>—</t>
        </is>
      </c>
      <c r="FQ188" s="56" t="inlineStr">
        <is>
          <t>—</t>
        </is>
      </c>
      <c r="FR188" s="56"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Evidence reads like A1: No guidance or leadership of others described → matches the start
Business Impact: No survey or manager-mapping signal on criticality: kept at the start point.</t>
        </is>
      </c>
      <c r="FS188" s="56" t="n"/>
      <c r="FT188" s="56" t="inlineStr">
        <is>
          <t>Self-identified: Data, SQL &amp; analytics
For the next role: Data, SQL &amp; analytics</t>
        </is>
      </c>
      <c r="FU188" s="32" t="inlineStr">
        <is>
          <t>Full survey answers not in the files received · How We Grow export needed · HR</t>
        </is>
      </c>
    </row>
    <row r="189" ht="90" customHeight="1">
      <c r="A189" s="51" t="inlineStr">
        <is>
          <t>◂ Back</t>
        </is>
      </c>
      <c r="B189" s="29" t="inlineStr">
        <is>
          <t>Mapped</t>
        </is>
      </c>
      <c r="C189" s="28" t="inlineStr">
        <is>
          <t>Corporate</t>
        </is>
      </c>
      <c r="D189" s="29" t="inlineStr">
        <is>
          <t>IRIS0020</t>
        </is>
      </c>
      <c r="E189" s="29" t="inlineStr">
        <is>
          <t>Mangesh Kosty</t>
        </is>
      </c>
      <c r="F189" s="29" t="inlineStr">
        <is>
          <t>Administration</t>
        </is>
      </c>
      <c r="G189" s="29" t="inlineStr">
        <is>
          <t>Executive Administration</t>
        </is>
      </c>
      <c r="H189" s="29" t="inlineStr">
        <is>
          <t>Senior Administration Executive</t>
        </is>
      </c>
      <c r="I189" s="29" t="inlineStr">
        <is>
          <t>Not in current mapping files</t>
        </is>
      </c>
      <c r="J189" s="29" t="inlineStr">
        <is>
          <t>A3</t>
        </is>
      </c>
      <c r="K189" s="29" t="inlineStr">
        <is>
          <t>● Newly mapped</t>
        </is>
      </c>
      <c r="L189" s="29" t="inlineStr">
        <is>
          <t>Administration, Legal &amp; Secretarial</t>
        </is>
      </c>
      <c r="M189" s="29" t="inlineStr">
        <is>
          <t>Administration &amp; Facilities</t>
        </is>
      </c>
      <c r="N189" s="29" t="inlineStr">
        <is>
          <t>• Survey response or KRAs describing the work · nothing on file — Employee + manager
• Correct the experience record — HR</t>
        </is>
      </c>
      <c r="O189" s="29" t="n">
        <v>0</v>
      </c>
      <c r="P189" s="28" t="inlineStr">
        <is>
          <t>P2</t>
        </is>
      </c>
      <c r="Q189" s="29" t="inlineStr">
        <is>
          <t>Developing</t>
        </is>
      </c>
      <c r="R189" s="29" t="inlineStr">
        <is>
          <t>3 Apply</t>
        </is>
      </c>
      <c r="S189" s="29" t="inlineStr">
        <is>
          <t>2–4 yrs</t>
        </is>
      </c>
      <c r="T189" s="29" t="inlineStr">
        <is>
          <t>3–5 · 2–5</t>
        </is>
      </c>
      <c r="U189" s="29" t="inlineStr">
        <is>
          <t>Admin / Secretarial Executive</t>
        </is>
      </c>
      <c r="V189" s="29" t="inlineStr">
        <is>
          <t>IRIS Vs Competitor Benchmark — corporate services ladder: Senior Executive</t>
        </is>
      </c>
      <c r="W189" s="29" t="inlineStr">
        <is>
          <t>ICSI · Company Secretary; Companies Act 2013; IFMA · facilities; CIPS · procurement</t>
        </is>
      </c>
      <c r="X189" s="29" t="inlineStr">
        <is>
          <t>Core 2 · Future 2 · Functional 3 · Leadership not scored</t>
        </is>
      </c>
      <c r="Y189" s="52" t="n">
        <v>10</v>
      </c>
      <c r="Z189" s="53" t="inlineStr">
        <is>
          <t>IRIS0020</t>
        </is>
      </c>
      <c r="AA189" s="53" t="inlineStr">
        <is>
          <t>Employee</t>
        </is>
      </c>
      <c r="AB189" s="53" t="inlineStr">
        <is>
          <t>Active</t>
        </is>
      </c>
      <c r="AC189" s="53" t="inlineStr">
        <is>
          <t>Mangesh Kosty</t>
        </is>
      </c>
      <c r="AD189" s="54" t="n">
        <v>38353</v>
      </c>
      <c r="AE189" s="53" t="inlineStr">
        <is>
          <t>Executive Administration</t>
        </is>
      </c>
      <c r="AF189" s="53" t="inlineStr">
        <is>
          <t>Undergraduate</t>
        </is>
      </c>
      <c r="AG189" s="53" t="inlineStr">
        <is>
          <t>Sujit Acharya</t>
        </is>
      </c>
      <c r="AH189" s="53" t="inlineStr">
        <is>
          <t>N-4</t>
        </is>
      </c>
      <c r="AI189" s="53" t="inlineStr">
        <is>
          <t>Individual Contributor</t>
        </is>
      </c>
      <c r="AJ189" s="53" t="inlineStr">
        <is>
          <t>0 years, 0 months, 0 days</t>
        </is>
      </c>
      <c r="AK189" s="53" t="inlineStr">
        <is>
          <t>21 years, 7 months, 24 days</t>
        </is>
      </c>
      <c r="AL189" s="53" t="inlineStr">
        <is>
          <t>Corporate</t>
        </is>
      </c>
      <c r="AM189" s="53" t="inlineStr">
        <is>
          <t>Corporate</t>
        </is>
      </c>
      <c r="AN189" s="53" t="inlineStr">
        <is>
          <t>Administration</t>
        </is>
      </c>
      <c r="AO189" s="53" t="inlineStr">
        <is>
          <t>Administration</t>
        </is>
      </c>
      <c r="AP189" s="53" t="inlineStr">
        <is>
          <t>No</t>
        </is>
      </c>
      <c r="AQ189" s="53" t="inlineStr">
        <is>
          <t>General &amp; Admin</t>
        </is>
      </c>
      <c r="AR189" s="53" t="inlineStr">
        <is>
          <t>Administration</t>
        </is>
      </c>
      <c r="AS189" s="53" t="inlineStr">
        <is>
          <t>Non-technical</t>
        </is>
      </c>
      <c r="AT189" s="53" t="n">
        <v>0</v>
      </c>
      <c r="AU189" s="53" t="inlineStr">
        <is>
          <t>E-Office Boy</t>
        </is>
      </c>
      <c r="AV189" s="53" t="n"/>
      <c r="AW189" s="53" t="n"/>
      <c r="AX189" s="53" t="n"/>
      <c r="AY189" s="53" t="n"/>
      <c r="AZ189" s="53" t="n"/>
      <c r="BA189" s="53" t="n"/>
      <c r="BB189" s="53" t="n"/>
      <c r="BC189" s="53" t="n"/>
      <c r="BD189" s="53" t="n"/>
      <c r="BE189" s="53" t="n"/>
      <c r="BF189" s="53" t="n"/>
      <c r="BG189" s="53" t="n"/>
      <c r="BH189" s="53" t="n"/>
      <c r="BI189" s="53" t="n"/>
      <c r="BJ189" s="53" t="n"/>
      <c r="BK189" s="53" t="n"/>
      <c r="BL189" s="53" t="n"/>
      <c r="BM189" s="53" t="n"/>
      <c r="BN189" s="53" t="n"/>
      <c r="BO189" s="53" t="n"/>
      <c r="BP189" s="53" t="n"/>
      <c r="BQ189" s="53" t="n"/>
      <c r="BR189" s="53" t="n"/>
      <c r="BS189" s="53" t="n"/>
      <c r="BT189" s="53" t="n"/>
      <c r="BU189" s="53" t="n"/>
      <c r="BV189" s="53" t="n"/>
      <c r="BW189" s="53" t="n"/>
      <c r="BX189" s="53" t="n"/>
      <c r="BY189" s="53" t="n"/>
      <c r="BZ189" s="53" t="n"/>
      <c r="CA189" s="53" t="n"/>
      <c r="CB189" s="53" t="n"/>
      <c r="CC189" s="53" t="n"/>
      <c r="CD189" s="53" t="n"/>
      <c r="CE189" s="53" t="n"/>
      <c r="CF189" s="53" t="n"/>
      <c r="CG189" s="53" t="n"/>
      <c r="CH189" s="53" t="n"/>
      <c r="CI189" s="53" t="n"/>
      <c r="CJ189" s="53" t="n"/>
      <c r="CK189" s="53" t="n"/>
      <c r="CL189" s="53" t="n"/>
      <c r="CM189" s="53" t="n"/>
      <c r="CN189" s="53" t="n"/>
      <c r="CO189" s="53" t="n"/>
      <c r="CP189" s="53" t="n"/>
      <c r="CQ189" s="53" t="n"/>
      <c r="CR189" s="53" t="n"/>
      <c r="CS189" s="53" t="n"/>
      <c r="CT189" s="53" t="n"/>
      <c r="CU189" s="53" t="n"/>
      <c r="CV189" s="53" t="n"/>
      <c r="CW189" s="53" t="n"/>
      <c r="CX189" s="53" t="n"/>
      <c r="CY189" s="53" t="n"/>
      <c r="CZ189" s="53" t="n"/>
      <c r="DA189" s="53" t="n"/>
      <c r="DB189" s="53" t="n"/>
      <c r="DC189" s="53" t="n"/>
      <c r="DD189" s="53" t="n"/>
      <c r="DE189" s="53" t="n"/>
      <c r="DF189" s="53" t="n"/>
      <c r="DG189" s="53" t="n"/>
      <c r="DH189" s="53" t="n"/>
      <c r="DI189" s="53" t="n"/>
      <c r="DJ189" s="53" t="n"/>
      <c r="DK189" s="53" t="n"/>
      <c r="DL189" s="53" t="n"/>
      <c r="DM189" s="53" t="n"/>
      <c r="DN189" s="53" t="n"/>
      <c r="DO189" s="53" t="n"/>
      <c r="DP189" s="53" t="n"/>
      <c r="DQ189" s="53" t="n"/>
      <c r="DR189" s="53" t="n"/>
      <c r="DS189" s="53" t="n"/>
      <c r="DT189" s="53" t="n"/>
      <c r="DU189" s="53" t="n"/>
      <c r="DV189" s="53" t="n"/>
      <c r="DW189" s="53" t="n"/>
      <c r="DX189" s="53" t="n"/>
      <c r="DY189" s="53" t="n"/>
      <c r="DZ189" s="53" t="n"/>
      <c r="EA189" s="53" t="n"/>
      <c r="EB189" s="53" t="n"/>
      <c r="EC189" s="53" t="n"/>
      <c r="ED189" s="53" t="n"/>
      <c r="EE189" s="53" t="n"/>
      <c r="EF189" s="53" t="n"/>
      <c r="EG189" s="53" t="n"/>
      <c r="EH189" s="53" t="n"/>
      <c r="EI189" s="53" t="n"/>
      <c r="EJ189" s="53" t="n"/>
      <c r="EK189" s="53" t="n"/>
      <c r="EL189" s="53" t="n"/>
      <c r="EM189" s="53" t="n"/>
      <c r="EN189" s="53" t="n"/>
      <c r="EO189" s="53" t="n"/>
      <c r="EP189" s="53" t="n"/>
      <c r="EQ189" s="53" t="n"/>
      <c r="ER189" s="53" t="n"/>
      <c r="ES189" s="53" t="n"/>
      <c r="ET189" s="53" t="n"/>
      <c r="EU189" s="53" t="n"/>
      <c r="EV189" s="53" t="n"/>
      <c r="EW189" s="52" t="n"/>
      <c r="EX189" s="53" t="n"/>
      <c r="EY189" s="53" t="n"/>
      <c r="EZ189" s="53" t="n"/>
      <c r="FA189" s="53" t="n"/>
      <c r="FB189" s="53" t="n"/>
      <c r="FC189" s="53" t="n"/>
      <c r="FD189" s="53" t="n"/>
      <c r="FE189" s="55" t="inlineStr">
        <is>
          <t>KRAs not received · manager to supply</t>
        </is>
      </c>
      <c r="FF189" s="56" t="n"/>
      <c r="FG189" s="56" t="n"/>
      <c r="FH189" s="56" t="n"/>
      <c r="FI189" s="56" t="n"/>
      <c r="FJ189" s="32" t="inlineStr">
        <is>
          <t>KRAs not received · manager to supply</t>
        </is>
      </c>
      <c r="FK189" s="56" t="n"/>
      <c r="FL189" s="56" t="n">
        <v>0</v>
      </c>
      <c r="FM189" s="32" t="inlineStr">
        <is>
          <t>No survey response on file</t>
        </is>
      </c>
      <c r="FN189" s="56" t="inlineStr">
        <is>
          <t>—</t>
        </is>
      </c>
      <c r="FO189" s="56" t="inlineStr">
        <is>
          <t>—</t>
        </is>
      </c>
      <c r="FP189" s="56" t="inlineStr">
        <is>
          <t>—</t>
        </is>
      </c>
      <c r="FQ189" s="56" t="inlineStr">
        <is>
          <t>—</t>
        </is>
      </c>
      <c r="FR18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89" s="56" t="n"/>
      <c r="FT189" s="56" t="n"/>
      <c r="FU189" s="32" t="inlineStr">
        <is>
          <t>No survey response on file</t>
        </is>
      </c>
    </row>
    <row r="190" ht="90" customHeight="1">
      <c r="A190" s="51" t="inlineStr">
        <is>
          <t>◂ Back</t>
        </is>
      </c>
      <c r="B190" s="29" t="inlineStr">
        <is>
          <t>Mapped</t>
        </is>
      </c>
      <c r="C190" s="28" t="inlineStr">
        <is>
          <t>Corporate</t>
        </is>
      </c>
      <c r="D190" s="29" t="inlineStr">
        <is>
          <t>IRIS0021</t>
        </is>
      </c>
      <c r="E190" s="29" t="inlineStr">
        <is>
          <t>Rajesh Khurambe</t>
        </is>
      </c>
      <c r="F190" s="29" t="inlineStr">
        <is>
          <t>Administration</t>
        </is>
      </c>
      <c r="G190" s="29" t="inlineStr">
        <is>
          <t>Executive Administration</t>
        </is>
      </c>
      <c r="H190" s="29" t="inlineStr">
        <is>
          <t>Senior Administration Executive</t>
        </is>
      </c>
      <c r="I190" s="29" t="inlineStr">
        <is>
          <t>Not in current mapping files</t>
        </is>
      </c>
      <c r="J190" s="29" t="inlineStr">
        <is>
          <t>A3</t>
        </is>
      </c>
      <c r="K190" s="29" t="inlineStr">
        <is>
          <t>● Newly mapped</t>
        </is>
      </c>
      <c r="L190" s="29" t="inlineStr">
        <is>
          <t>Administration, Legal &amp; Secretarial</t>
        </is>
      </c>
      <c r="M190" s="29" t="inlineStr">
        <is>
          <t>Administration &amp; Facilities</t>
        </is>
      </c>
      <c r="N190" s="29" t="inlineStr">
        <is>
          <t>• Survey response or KRAs describing the work · nothing on file — Employee + manager
• Correct the experience record — HR</t>
        </is>
      </c>
      <c r="O190" s="29" t="n">
        <v>0</v>
      </c>
      <c r="P190" s="28" t="inlineStr">
        <is>
          <t>P2</t>
        </is>
      </c>
      <c r="Q190" s="29" t="inlineStr">
        <is>
          <t>Developing</t>
        </is>
      </c>
      <c r="R190" s="29" t="inlineStr">
        <is>
          <t>3 Apply</t>
        </is>
      </c>
      <c r="S190" s="29" t="inlineStr">
        <is>
          <t>2–4 yrs</t>
        </is>
      </c>
      <c r="T190" s="29" t="inlineStr">
        <is>
          <t>3–5 · 2–5</t>
        </is>
      </c>
      <c r="U190" s="29" t="inlineStr">
        <is>
          <t>Admin / Secretarial Executive</t>
        </is>
      </c>
      <c r="V190" s="29" t="inlineStr">
        <is>
          <t>IRIS Vs Competitor Benchmark — corporate services ladder: Senior Executive</t>
        </is>
      </c>
      <c r="W190" s="29" t="inlineStr">
        <is>
          <t>ICSI · Company Secretary; Companies Act 2013; IFMA · facilities; CIPS · procurement</t>
        </is>
      </c>
      <c r="X190" s="29" t="inlineStr">
        <is>
          <t>Core 2 · Future 2 · Functional 3 · Leadership not scored</t>
        </is>
      </c>
      <c r="Y190" s="52" t="n">
        <v>11</v>
      </c>
      <c r="Z190" s="53" t="inlineStr">
        <is>
          <t>IRIS0021</t>
        </is>
      </c>
      <c r="AA190" s="53" t="inlineStr">
        <is>
          <t>Employee</t>
        </is>
      </c>
      <c r="AB190" s="53" t="inlineStr">
        <is>
          <t>Active</t>
        </is>
      </c>
      <c r="AC190" s="53" t="inlineStr">
        <is>
          <t>Rajesh Khurambe</t>
        </is>
      </c>
      <c r="AD190" s="54" t="n">
        <v>38353</v>
      </c>
      <c r="AE190" s="53" t="inlineStr">
        <is>
          <t>Executive Administration</t>
        </is>
      </c>
      <c r="AF190" s="53" t="inlineStr">
        <is>
          <t>Undergraduate</t>
        </is>
      </c>
      <c r="AG190" s="53" t="inlineStr">
        <is>
          <t>Sujit Acharya</t>
        </is>
      </c>
      <c r="AH190" s="53" t="inlineStr">
        <is>
          <t>N-4</t>
        </is>
      </c>
      <c r="AI190" s="53" t="inlineStr">
        <is>
          <t>Individual Contributor</t>
        </is>
      </c>
      <c r="AJ190" s="53" t="inlineStr">
        <is>
          <t>0 years, 0 months, 0 days</t>
        </is>
      </c>
      <c r="AK190" s="53" t="inlineStr">
        <is>
          <t>21 years, 7 months, 24 days</t>
        </is>
      </c>
      <c r="AL190" s="53" t="inlineStr">
        <is>
          <t>Corporate</t>
        </is>
      </c>
      <c r="AM190" s="53" t="inlineStr">
        <is>
          <t>Corporate</t>
        </is>
      </c>
      <c r="AN190" s="53" t="inlineStr">
        <is>
          <t>Administration</t>
        </is>
      </c>
      <c r="AO190" s="53" t="inlineStr">
        <is>
          <t>Administration</t>
        </is>
      </c>
      <c r="AP190" s="53" t="inlineStr">
        <is>
          <t>No</t>
        </is>
      </c>
      <c r="AQ190" s="53" t="inlineStr">
        <is>
          <t>General &amp; Admin</t>
        </is>
      </c>
      <c r="AR190" s="53" t="inlineStr">
        <is>
          <t>Administration</t>
        </is>
      </c>
      <c r="AS190" s="53" t="inlineStr">
        <is>
          <t>Non-technical</t>
        </is>
      </c>
      <c r="AT190" s="53" t="n">
        <v>0</v>
      </c>
      <c r="AU190" s="53" t="inlineStr">
        <is>
          <t>E-Office Boy</t>
        </is>
      </c>
      <c r="AV190" s="53" t="n"/>
      <c r="AW190" s="53" t="n"/>
      <c r="AX190" s="53" t="n"/>
      <c r="AY190" s="53" t="n"/>
      <c r="AZ190" s="53" t="n"/>
      <c r="BA190" s="53" t="n"/>
      <c r="BB190" s="53" t="n"/>
      <c r="BC190" s="53" t="n"/>
      <c r="BD190" s="53" t="n"/>
      <c r="BE190" s="53" t="n"/>
      <c r="BF190" s="53" t="n"/>
      <c r="BG190" s="53" t="n"/>
      <c r="BH190" s="53" t="n"/>
      <c r="BI190" s="53" t="n"/>
      <c r="BJ190" s="53" t="n"/>
      <c r="BK190" s="53" t="n"/>
      <c r="BL190" s="53" t="n"/>
      <c r="BM190" s="53" t="n"/>
      <c r="BN190" s="53" t="n"/>
      <c r="BO190" s="53" t="n"/>
      <c r="BP190" s="53" t="n"/>
      <c r="BQ190" s="53" t="n"/>
      <c r="BR190" s="53" t="n"/>
      <c r="BS190" s="53" t="n"/>
      <c r="BT190" s="53" t="n"/>
      <c r="BU190" s="53" t="n"/>
      <c r="BV190" s="53" t="n"/>
      <c r="BW190" s="53" t="n"/>
      <c r="BX190" s="53" t="n"/>
      <c r="BY190" s="53" t="n"/>
      <c r="BZ190" s="53" t="n"/>
      <c r="CA190" s="53" t="n"/>
      <c r="CB190" s="53" t="n"/>
      <c r="CC190" s="53" t="n"/>
      <c r="CD190" s="53" t="n"/>
      <c r="CE190" s="53" t="n"/>
      <c r="CF190" s="53" t="n"/>
      <c r="CG190" s="53" t="n"/>
      <c r="CH190" s="53" t="n"/>
      <c r="CI190" s="53" t="n"/>
      <c r="CJ190" s="53" t="n"/>
      <c r="CK190" s="53" t="n"/>
      <c r="CL190" s="53" t="n"/>
      <c r="CM190" s="53" t="n"/>
      <c r="CN190" s="53" t="n"/>
      <c r="CO190" s="53" t="n"/>
      <c r="CP190" s="53" t="n"/>
      <c r="CQ190" s="53" t="n"/>
      <c r="CR190" s="53" t="n"/>
      <c r="CS190" s="53" t="n"/>
      <c r="CT190" s="53" t="n"/>
      <c r="CU190" s="53" t="n"/>
      <c r="CV190" s="53" t="n"/>
      <c r="CW190" s="53" t="n"/>
      <c r="CX190" s="53" t="n"/>
      <c r="CY190" s="53" t="n"/>
      <c r="CZ190" s="53" t="n"/>
      <c r="DA190" s="53" t="n"/>
      <c r="DB190" s="53" t="n"/>
      <c r="DC190" s="53" t="n"/>
      <c r="DD190" s="53" t="n"/>
      <c r="DE190" s="53" t="n"/>
      <c r="DF190" s="53" t="n"/>
      <c r="DG190" s="53" t="n"/>
      <c r="DH190" s="53" t="n"/>
      <c r="DI190" s="53" t="n"/>
      <c r="DJ190" s="53" t="n"/>
      <c r="DK190" s="53" t="n"/>
      <c r="DL190" s="53" t="n"/>
      <c r="DM190" s="53" t="n"/>
      <c r="DN190" s="53" t="n"/>
      <c r="DO190" s="53" t="n"/>
      <c r="DP190" s="53" t="n"/>
      <c r="DQ190" s="53" t="n"/>
      <c r="DR190" s="53" t="n"/>
      <c r="DS190" s="53" t="n"/>
      <c r="DT190" s="53" t="n"/>
      <c r="DU190" s="53" t="n"/>
      <c r="DV190" s="53" t="n"/>
      <c r="DW190" s="53" t="n"/>
      <c r="DX190" s="53" t="n"/>
      <c r="DY190" s="53" t="n"/>
      <c r="DZ190" s="53" t="n"/>
      <c r="EA190" s="53" t="n"/>
      <c r="EB190" s="53" t="n"/>
      <c r="EC190" s="53" t="n"/>
      <c r="ED190" s="53" t="n"/>
      <c r="EE190" s="53" t="n"/>
      <c r="EF190" s="53" t="n"/>
      <c r="EG190" s="53" t="n"/>
      <c r="EH190" s="53" t="n"/>
      <c r="EI190" s="53" t="n"/>
      <c r="EJ190" s="53" t="n"/>
      <c r="EK190" s="53" t="n"/>
      <c r="EL190" s="53" t="n"/>
      <c r="EM190" s="53" t="n"/>
      <c r="EN190" s="53" t="n"/>
      <c r="EO190" s="53" t="n"/>
      <c r="EP190" s="53" t="n"/>
      <c r="EQ190" s="53" t="n"/>
      <c r="ER190" s="53" t="n"/>
      <c r="ES190" s="53" t="n"/>
      <c r="ET190" s="53" t="n"/>
      <c r="EU190" s="53" t="n"/>
      <c r="EV190" s="53" t="n"/>
      <c r="EW190" s="52" t="n"/>
      <c r="EX190" s="53" t="n"/>
      <c r="EY190" s="53" t="n"/>
      <c r="EZ190" s="53" t="n"/>
      <c r="FA190" s="53" t="n"/>
      <c r="FB190" s="53" t="n"/>
      <c r="FC190" s="53" t="n"/>
      <c r="FD190" s="53" t="n"/>
      <c r="FE190" s="55" t="inlineStr">
        <is>
          <t>KRAs not received · manager to supply</t>
        </is>
      </c>
      <c r="FF190" s="56" t="n"/>
      <c r="FG190" s="56" t="n"/>
      <c r="FH190" s="56" t="n"/>
      <c r="FI190" s="56" t="n"/>
      <c r="FJ190" s="32" t="inlineStr">
        <is>
          <t>KRAs not received · manager to supply</t>
        </is>
      </c>
      <c r="FK190" s="56" t="n"/>
      <c r="FL190" s="56" t="n">
        <v>0</v>
      </c>
      <c r="FM190" s="32" t="inlineStr">
        <is>
          <t>No survey response on file</t>
        </is>
      </c>
      <c r="FN190" s="56" t="inlineStr">
        <is>
          <t>—</t>
        </is>
      </c>
      <c r="FO190" s="56" t="inlineStr">
        <is>
          <t>—</t>
        </is>
      </c>
      <c r="FP190" s="56" t="inlineStr">
        <is>
          <t>—</t>
        </is>
      </c>
      <c r="FQ190" s="56" t="inlineStr">
        <is>
          <t>—</t>
        </is>
      </c>
      <c r="FR19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0" s="56" t="n"/>
      <c r="FT190" s="56" t="n"/>
      <c r="FU190" s="32" t="inlineStr">
        <is>
          <t>No survey response on file</t>
        </is>
      </c>
    </row>
    <row r="191" ht="90" customHeight="1">
      <c r="A191" s="51" t="inlineStr">
        <is>
          <t>◂ Back</t>
        </is>
      </c>
      <c r="B191" s="29" t="inlineStr">
        <is>
          <t>Mapped</t>
        </is>
      </c>
      <c r="C191" s="28" t="inlineStr">
        <is>
          <t>Corporate</t>
        </is>
      </c>
      <c r="D191" s="29" t="inlineStr">
        <is>
          <t>IRIS1008</t>
        </is>
      </c>
      <c r="E191" s="29" t="inlineStr">
        <is>
          <t>Sunil Pawar</t>
        </is>
      </c>
      <c r="F191" s="29" t="inlineStr">
        <is>
          <t>Administration</t>
        </is>
      </c>
      <c r="G191" s="29" t="inlineStr">
        <is>
          <t>Executive Administration</t>
        </is>
      </c>
      <c r="H191" s="29" t="inlineStr">
        <is>
          <t>Senior Administration Executive</t>
        </is>
      </c>
      <c r="I191" s="29" t="inlineStr">
        <is>
          <t>Not in current mapping files</t>
        </is>
      </c>
      <c r="J191" s="29" t="inlineStr">
        <is>
          <t>A3</t>
        </is>
      </c>
      <c r="K191" s="29" t="inlineStr">
        <is>
          <t>● Newly mapped</t>
        </is>
      </c>
      <c r="L191" s="29" t="inlineStr">
        <is>
          <t>Administration, Legal &amp; Secretarial</t>
        </is>
      </c>
      <c r="M191" s="29" t="inlineStr">
        <is>
          <t>Administration &amp; Facilities</t>
        </is>
      </c>
      <c r="N191" s="29" t="inlineStr">
        <is>
          <t>• Survey response or KRAs describing the work · nothing on file — Employee + manager
• Correct the experience record — HR</t>
        </is>
      </c>
      <c r="O191" s="29" t="n">
        <v>0</v>
      </c>
      <c r="P191" s="28" t="inlineStr">
        <is>
          <t>P2</t>
        </is>
      </c>
      <c r="Q191" s="29" t="inlineStr">
        <is>
          <t>Developing</t>
        </is>
      </c>
      <c r="R191" s="29" t="inlineStr">
        <is>
          <t>3 Apply</t>
        </is>
      </c>
      <c r="S191" s="29" t="inlineStr">
        <is>
          <t>2–4 yrs</t>
        </is>
      </c>
      <c r="T191" s="29" t="inlineStr">
        <is>
          <t>3–5 · 2–5</t>
        </is>
      </c>
      <c r="U191" s="29" t="inlineStr">
        <is>
          <t>Admin / Secretarial Executive</t>
        </is>
      </c>
      <c r="V191" s="29" t="inlineStr">
        <is>
          <t>IRIS Vs Competitor Benchmark — corporate services ladder: Senior Executive</t>
        </is>
      </c>
      <c r="W191" s="29" t="inlineStr">
        <is>
          <t>ICSI · Company Secretary; Companies Act 2013; IFMA · facilities; CIPS · procurement</t>
        </is>
      </c>
      <c r="X191" s="29" t="inlineStr">
        <is>
          <t>Core 2 · Future 2 · Functional 3 · Leadership not scored</t>
        </is>
      </c>
      <c r="Y191" s="52" t="n">
        <v>104</v>
      </c>
      <c r="Z191" s="53" t="inlineStr">
        <is>
          <t>IRIS1008</t>
        </is>
      </c>
      <c r="AA191" s="53" t="inlineStr">
        <is>
          <t>Employee</t>
        </is>
      </c>
      <c r="AB191" s="53" t="inlineStr">
        <is>
          <t>Active</t>
        </is>
      </c>
      <c r="AC191" s="53" t="inlineStr">
        <is>
          <t>Sunil Pawar</t>
        </is>
      </c>
      <c r="AD191" s="54" t="n">
        <v>40854</v>
      </c>
      <c r="AE191" s="53" t="inlineStr">
        <is>
          <t>Executive Administration</t>
        </is>
      </c>
      <c r="AF191" s="53" t="inlineStr">
        <is>
          <t>Undergraduate</t>
        </is>
      </c>
      <c r="AG191" s="53" t="inlineStr">
        <is>
          <t>Sujit Acharya</t>
        </is>
      </c>
      <c r="AH191" s="53" t="inlineStr">
        <is>
          <t>N-4</t>
        </is>
      </c>
      <c r="AI191" s="53" t="inlineStr">
        <is>
          <t>Individual Contributor</t>
        </is>
      </c>
      <c r="AJ191" s="53" t="inlineStr">
        <is>
          <t>0 years, 0 months, 0 days</t>
        </is>
      </c>
      <c r="AK191" s="53" t="inlineStr">
        <is>
          <t>14 years, 9 months, 18 days</t>
        </is>
      </c>
      <c r="AL191" s="53" t="inlineStr">
        <is>
          <t>Corporate</t>
        </is>
      </c>
      <c r="AM191" s="53" t="inlineStr">
        <is>
          <t>Corporate</t>
        </is>
      </c>
      <c r="AN191" s="53" t="inlineStr">
        <is>
          <t>Administration</t>
        </is>
      </c>
      <c r="AO191" s="53" t="inlineStr">
        <is>
          <t>Administration</t>
        </is>
      </c>
      <c r="AP191" s="53" t="inlineStr">
        <is>
          <t>No</t>
        </is>
      </c>
      <c r="AQ191" s="53" t="inlineStr">
        <is>
          <t>General &amp; Admin</t>
        </is>
      </c>
      <c r="AR191" s="53" t="inlineStr">
        <is>
          <t>Administration</t>
        </is>
      </c>
      <c r="AS191" s="53" t="inlineStr">
        <is>
          <t>Non-technical</t>
        </is>
      </c>
      <c r="AT191" s="53" t="n">
        <v>0</v>
      </c>
      <c r="AU191" s="53" t="inlineStr">
        <is>
          <t>E-Office Boy</t>
        </is>
      </c>
      <c r="AV191" s="53" t="n"/>
      <c r="AW191" s="53" t="n"/>
      <c r="AX191" s="53" t="n"/>
      <c r="AY191" s="53" t="n"/>
      <c r="AZ191" s="53" t="n"/>
      <c r="BA191" s="53" t="n"/>
      <c r="BB191" s="53" t="n"/>
      <c r="BC191" s="53" t="n"/>
      <c r="BD191" s="53" t="n"/>
      <c r="BE191" s="53" t="n"/>
      <c r="BF191" s="53" t="n"/>
      <c r="BG191" s="53" t="n"/>
      <c r="BH191" s="53" t="n"/>
      <c r="BI191" s="53" t="n"/>
      <c r="BJ191" s="53" t="n"/>
      <c r="BK191" s="53" t="n"/>
      <c r="BL191" s="53" t="n"/>
      <c r="BM191" s="53" t="n"/>
      <c r="BN191" s="53" t="n"/>
      <c r="BO191" s="53" t="n"/>
      <c r="BP191" s="53" t="n"/>
      <c r="BQ191" s="53" t="n"/>
      <c r="BR191" s="53" t="n"/>
      <c r="BS191" s="53" t="n"/>
      <c r="BT191" s="53" t="n"/>
      <c r="BU191" s="53" t="n"/>
      <c r="BV191" s="53" t="n"/>
      <c r="BW191" s="53" t="n"/>
      <c r="BX191" s="53" t="n"/>
      <c r="BY191" s="53" t="n"/>
      <c r="BZ191" s="53" t="n"/>
      <c r="CA191" s="53" t="n"/>
      <c r="CB191" s="53" t="n"/>
      <c r="CC191" s="53" t="n"/>
      <c r="CD191" s="53" t="n"/>
      <c r="CE191" s="53" t="n"/>
      <c r="CF191" s="53" t="n"/>
      <c r="CG191" s="53" t="n"/>
      <c r="CH191" s="53" t="n"/>
      <c r="CI191" s="53" t="n"/>
      <c r="CJ191" s="53" t="n"/>
      <c r="CK191" s="53" t="n"/>
      <c r="CL191" s="53" t="n"/>
      <c r="CM191" s="53" t="n"/>
      <c r="CN191" s="53" t="n"/>
      <c r="CO191" s="53" t="n"/>
      <c r="CP191" s="53" t="n"/>
      <c r="CQ191" s="53" t="n"/>
      <c r="CR191" s="53" t="n"/>
      <c r="CS191" s="53" t="n"/>
      <c r="CT191" s="53" t="n"/>
      <c r="CU191" s="53" t="n"/>
      <c r="CV191" s="53" t="n"/>
      <c r="CW191" s="53" t="n"/>
      <c r="CX191" s="53" t="n"/>
      <c r="CY191" s="53" t="n"/>
      <c r="CZ191" s="53" t="n"/>
      <c r="DA191" s="53" t="n"/>
      <c r="DB191" s="53" t="n"/>
      <c r="DC191" s="53" t="n"/>
      <c r="DD191" s="53" t="n"/>
      <c r="DE191" s="53" t="n"/>
      <c r="DF191" s="53" t="n"/>
      <c r="DG191" s="53" t="n"/>
      <c r="DH191" s="53" t="n"/>
      <c r="DI191" s="53" t="n"/>
      <c r="DJ191" s="53" t="n"/>
      <c r="DK191" s="53" t="n"/>
      <c r="DL191" s="53" t="n"/>
      <c r="DM191" s="53" t="n"/>
      <c r="DN191" s="53" t="n"/>
      <c r="DO191" s="53" t="n"/>
      <c r="DP191" s="53" t="n"/>
      <c r="DQ191" s="53" t="n"/>
      <c r="DR191" s="53" t="n"/>
      <c r="DS191" s="53" t="n"/>
      <c r="DT191" s="53" t="n"/>
      <c r="DU191" s="53" t="n"/>
      <c r="DV191" s="53" t="n"/>
      <c r="DW191" s="53" t="n"/>
      <c r="DX191" s="53" t="n"/>
      <c r="DY191" s="53" t="n"/>
      <c r="DZ191" s="53" t="n"/>
      <c r="EA191" s="53" t="n"/>
      <c r="EB191" s="53" t="n"/>
      <c r="EC191" s="53" t="n"/>
      <c r="ED191" s="53" t="n"/>
      <c r="EE191" s="53" t="n"/>
      <c r="EF191" s="53" t="n"/>
      <c r="EG191" s="53" t="n"/>
      <c r="EH191" s="53" t="n"/>
      <c r="EI191" s="53" t="n"/>
      <c r="EJ191" s="53" t="n"/>
      <c r="EK191" s="53" t="n"/>
      <c r="EL191" s="53" t="n"/>
      <c r="EM191" s="53" t="n"/>
      <c r="EN191" s="53" t="n"/>
      <c r="EO191" s="53" t="n"/>
      <c r="EP191" s="53" t="n"/>
      <c r="EQ191" s="53" t="n"/>
      <c r="ER191" s="53" t="n"/>
      <c r="ES191" s="53" t="n"/>
      <c r="ET191" s="53" t="n"/>
      <c r="EU191" s="53" t="n"/>
      <c r="EV191" s="53" t="n"/>
      <c r="EW191" s="52" t="n"/>
      <c r="EX191" s="53" t="n"/>
      <c r="EY191" s="53" t="n"/>
      <c r="EZ191" s="53" t="n"/>
      <c r="FA191" s="53" t="n"/>
      <c r="FB191" s="53" t="n"/>
      <c r="FC191" s="53" t="n"/>
      <c r="FD191" s="53" t="n"/>
      <c r="FE191" s="55" t="inlineStr">
        <is>
          <t>KRAs not received · manager to supply</t>
        </is>
      </c>
      <c r="FF191" s="56" t="n"/>
      <c r="FG191" s="56" t="n"/>
      <c r="FH191" s="56" t="n"/>
      <c r="FI191" s="56" t="n"/>
      <c r="FJ191" s="32" t="inlineStr">
        <is>
          <t>KRAs not received · manager to supply</t>
        </is>
      </c>
      <c r="FK191" s="56" t="n"/>
      <c r="FL191" s="56" t="n">
        <v>0</v>
      </c>
      <c r="FM191" s="32" t="inlineStr">
        <is>
          <t>No survey response on file</t>
        </is>
      </c>
      <c r="FN191" s="56" t="inlineStr">
        <is>
          <t>—</t>
        </is>
      </c>
      <c r="FO191" s="56" t="inlineStr">
        <is>
          <t>—</t>
        </is>
      </c>
      <c r="FP191" s="56" t="inlineStr">
        <is>
          <t>—</t>
        </is>
      </c>
      <c r="FQ191" s="56" t="inlineStr">
        <is>
          <t>—</t>
        </is>
      </c>
      <c r="FR19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1" s="56" t="n"/>
      <c r="FT191" s="56" t="n"/>
      <c r="FU191" s="32" t="inlineStr">
        <is>
          <t>No survey response on file</t>
        </is>
      </c>
    </row>
    <row r="192" ht="90" customHeight="1">
      <c r="A192" s="51" t="inlineStr">
        <is>
          <t>◂ Back</t>
        </is>
      </c>
      <c r="B192" s="29" t="inlineStr">
        <is>
          <t>Mapped</t>
        </is>
      </c>
      <c r="C192" s="28" t="inlineStr">
        <is>
          <t>Corporate</t>
        </is>
      </c>
      <c r="D192" s="29" t="inlineStr">
        <is>
          <t>IRISC291</t>
        </is>
      </c>
      <c r="E192" s="29" t="inlineStr">
        <is>
          <t>Ganesh Prabhakar Amrutsagar</t>
        </is>
      </c>
      <c r="F192" s="29" t="inlineStr">
        <is>
          <t>Administration</t>
        </is>
      </c>
      <c r="G192" s="29" t="inlineStr">
        <is>
          <t>Consultant</t>
        </is>
      </c>
      <c r="H192" s="29" t="inlineStr">
        <is>
          <t>Associate Consultant – Administration &amp; Facilities</t>
        </is>
      </c>
      <c r="I192" s="29" t="inlineStr">
        <is>
          <t>—</t>
        </is>
      </c>
      <c r="J192" s="29" t="inlineStr">
        <is>
          <t>X1</t>
        </is>
      </c>
      <c r="K192" s="29" t="inlineStr">
        <is>
          <t>• Same level</t>
        </is>
      </c>
      <c r="L192" s="29" t="inlineStr">
        <is>
          <t>Administration, Legal &amp; Secretarial</t>
        </is>
      </c>
      <c r="M192" s="29" t="inlineStr">
        <is>
          <t>Administration &amp; Facilities</t>
        </is>
      </c>
      <c r="N192" s="29" t="n"/>
      <c r="O192" s="29" t="n">
        <v>0</v>
      </c>
      <c r="P192" s="28" t="inlineStr">
        <is>
          <t>Contractor</t>
        </is>
      </c>
      <c r="Q192" s="29" t="inlineStr">
        <is>
          <t>—</t>
        </is>
      </c>
      <c r="R192" s="29" t="inlineStr">
        <is>
          <t>—</t>
        </is>
      </c>
      <c r="S192" s="29" t="inlineStr">
        <is>
          <t>0–5 yrs</t>
        </is>
      </c>
      <c r="T192" s="29" t="inlineStr">
        <is>
          <t>—</t>
        </is>
      </c>
      <c r="U192" s="29" t="inlineStr">
        <is>
          <t>Contractor · rate card</t>
        </is>
      </c>
      <c r="V192" s="29" t="inlineStr">
        <is>
          <t>—</t>
        </is>
      </c>
      <c r="W192" s="29" t="inlineStr">
        <is>
          <t>ICSI · Company Secretary; Companies Act 2013; IFMA · facilities; CIPS · procurement</t>
        </is>
      </c>
      <c r="X192" s="29" t="inlineStr">
        <is>
          <t>Per statement of work</t>
        </is>
      </c>
      <c r="Y192" s="52" t="n">
        <v>305</v>
      </c>
      <c r="Z192" s="53" t="inlineStr">
        <is>
          <t>IRISC291</t>
        </is>
      </c>
      <c r="AA192" s="53" t="inlineStr">
        <is>
          <t>Full Time Consultant</t>
        </is>
      </c>
      <c r="AB192" s="53" t="inlineStr">
        <is>
          <t>Active</t>
        </is>
      </c>
      <c r="AC192" s="53" t="inlineStr">
        <is>
          <t>Ganesh Prabhakar Amrutsagar</t>
        </is>
      </c>
      <c r="AD192" s="54" t="n">
        <v>45327</v>
      </c>
      <c r="AE192" s="53" t="inlineStr">
        <is>
          <t>Consultant</t>
        </is>
      </c>
      <c r="AF192" s="53" t="inlineStr">
        <is>
          <t>Undergraduate</t>
        </is>
      </c>
      <c r="AG192" s="53" t="inlineStr">
        <is>
          <t>Sujit Acharya</t>
        </is>
      </c>
      <c r="AH192" s="53" t="inlineStr">
        <is>
          <t>N-4</t>
        </is>
      </c>
      <c r="AI192" s="53" t="inlineStr">
        <is>
          <t>Individual Contributor</t>
        </is>
      </c>
      <c r="AJ192" s="53" t="inlineStr">
        <is>
          <t>0 years, 0 months, 0 days</t>
        </is>
      </c>
      <c r="AK192" s="53" t="inlineStr">
        <is>
          <t>2 years, 6 months, 20 days</t>
        </is>
      </c>
      <c r="AL192" s="53" t="inlineStr">
        <is>
          <t>Corporate</t>
        </is>
      </c>
      <c r="AM192" s="53" t="inlineStr">
        <is>
          <t>Corporate</t>
        </is>
      </c>
      <c r="AN192" s="53" t="inlineStr">
        <is>
          <t>Administration</t>
        </is>
      </c>
      <c r="AO192" s="53" t="inlineStr">
        <is>
          <t>Administration</t>
        </is>
      </c>
      <c r="AP192" s="53" t="inlineStr">
        <is>
          <t>No</t>
        </is>
      </c>
      <c r="AQ192" s="53" t="inlineStr">
        <is>
          <t>General &amp; Admin</t>
        </is>
      </c>
      <c r="AR192" s="53" t="inlineStr">
        <is>
          <t>Administration</t>
        </is>
      </c>
      <c r="AS192" s="53" t="inlineStr">
        <is>
          <t>Non-technical</t>
        </is>
      </c>
      <c r="AT192" s="53" t="n">
        <v>0</v>
      </c>
      <c r="AU192" s="53" t="inlineStr">
        <is>
          <t>E-Office Boy</t>
        </is>
      </c>
      <c r="AV192" s="53" t="n"/>
      <c r="AW192" s="53" t="n"/>
      <c r="AX192" s="53" t="n"/>
      <c r="AY192" s="53" t="n"/>
      <c r="AZ192" s="53" t="n"/>
      <c r="BA192" s="53" t="n"/>
      <c r="BB192" s="53" t="n"/>
      <c r="BC192" s="53" t="n"/>
      <c r="BD192" s="53" t="n"/>
      <c r="BE192" s="53" t="n"/>
      <c r="BF192" s="53" t="n"/>
      <c r="BG192" s="53" t="n"/>
      <c r="BH192" s="53" t="n"/>
      <c r="BI192" s="53" t="n"/>
      <c r="BJ192" s="53" t="n"/>
      <c r="BK192" s="53" t="n"/>
      <c r="BL192" s="53" t="n"/>
      <c r="BM192" s="53" t="n"/>
      <c r="BN192" s="53" t="n"/>
      <c r="BO192" s="53" t="n"/>
      <c r="BP192" s="53" t="n"/>
      <c r="BQ192" s="53" t="n"/>
      <c r="BR192" s="53" t="n"/>
      <c r="BS192" s="53" t="n"/>
      <c r="BT192" s="53" t="n"/>
      <c r="BU192" s="53" t="n"/>
      <c r="BV192" s="53" t="n"/>
      <c r="BW192" s="53" t="n"/>
      <c r="BX192" s="53" t="n"/>
      <c r="BY192" s="53" t="n"/>
      <c r="BZ192" s="53" t="n"/>
      <c r="CA192" s="53" t="n"/>
      <c r="CB192" s="53" t="n"/>
      <c r="CC192" s="53" t="n"/>
      <c r="CD192" s="53" t="n"/>
      <c r="CE192" s="53" t="n"/>
      <c r="CF192" s="53" t="n"/>
      <c r="CG192" s="53" t="n"/>
      <c r="CH192" s="53" t="n"/>
      <c r="CI192" s="53" t="n"/>
      <c r="CJ192" s="53" t="n"/>
      <c r="CK192" s="53" t="n"/>
      <c r="CL192" s="53" t="n"/>
      <c r="CM192" s="53" t="n"/>
      <c r="CN192" s="53" t="n"/>
      <c r="CO192" s="53" t="n"/>
      <c r="CP192" s="53" t="n"/>
      <c r="CQ192" s="53" t="n"/>
      <c r="CR192" s="53" t="n"/>
      <c r="CS192" s="53" t="n"/>
      <c r="CT192" s="53" t="n"/>
      <c r="CU192" s="53" t="n"/>
      <c r="CV192" s="53" t="n"/>
      <c r="CW192" s="53" t="n"/>
      <c r="CX192" s="53" t="n"/>
      <c r="CY192" s="53" t="n"/>
      <c r="CZ192" s="53" t="n"/>
      <c r="DA192" s="53" t="n"/>
      <c r="DB192" s="53" t="n"/>
      <c r="DC192" s="53" t="n"/>
      <c r="DD192" s="53" t="n"/>
      <c r="DE192" s="53" t="n"/>
      <c r="DF192" s="53" t="n"/>
      <c r="DG192" s="53" t="n"/>
      <c r="DH192" s="53" t="n"/>
      <c r="DI192" s="53" t="n"/>
      <c r="DJ192" s="53" t="n"/>
      <c r="DK192" s="53" t="n"/>
      <c r="DL192" s="53" t="n"/>
      <c r="DM192" s="53" t="n"/>
      <c r="DN192" s="53" t="n"/>
      <c r="DO192" s="53" t="n"/>
      <c r="DP192" s="53" t="n"/>
      <c r="DQ192" s="53" t="n"/>
      <c r="DR192" s="53" t="n"/>
      <c r="DS192" s="53" t="n"/>
      <c r="DT192" s="53" t="n"/>
      <c r="DU192" s="53" t="n"/>
      <c r="DV192" s="53" t="n"/>
      <c r="DW192" s="53" t="n"/>
      <c r="DX192" s="53" t="n"/>
      <c r="DY192" s="53" t="n"/>
      <c r="DZ192" s="53" t="n"/>
      <c r="EA192" s="53" t="n"/>
      <c r="EB192" s="53" t="n"/>
      <c r="EC192" s="53" t="n"/>
      <c r="ED192" s="53" t="n"/>
      <c r="EE192" s="53" t="n"/>
      <c r="EF192" s="53" t="n"/>
      <c r="EG192" s="53" t="n"/>
      <c r="EH192" s="53" t="n"/>
      <c r="EI192" s="53" t="n"/>
      <c r="EJ192" s="53" t="n"/>
      <c r="EK192" s="53" t="n"/>
      <c r="EL192" s="53" t="n"/>
      <c r="EM192" s="53" t="n"/>
      <c r="EN192" s="53" t="n"/>
      <c r="EO192" s="53" t="n"/>
      <c r="EP192" s="53" t="n"/>
      <c r="EQ192" s="53" t="n"/>
      <c r="ER192" s="53" t="n"/>
      <c r="ES192" s="53" t="n"/>
      <c r="ET192" s="53" t="n"/>
      <c r="EU192" s="53" t="n"/>
      <c r="EV192" s="53" t="n"/>
      <c r="EW192" s="52" t="n"/>
      <c r="EX192" s="53" t="n"/>
      <c r="EY192" s="53" t="n"/>
      <c r="EZ192" s="53" t="n"/>
      <c r="FA192" s="53" t="n"/>
      <c r="FB192" s="53" t="n"/>
      <c r="FC192" s="53" t="n"/>
      <c r="FD192" s="53" t="n"/>
      <c r="FE192" s="55" t="inlineStr">
        <is>
          <t>KRAs not received · manager to supply</t>
        </is>
      </c>
      <c r="FF192" s="56" t="n"/>
      <c r="FG192" s="56" t="n"/>
      <c r="FH192" s="56" t="n"/>
      <c r="FI192" s="56" t="n"/>
      <c r="FJ192" s="32" t="inlineStr">
        <is>
          <t>KRAs not received · manager to supply</t>
        </is>
      </c>
      <c r="FK192" s="56" t="n"/>
      <c r="FL192" s="56" t="n">
        <v>0</v>
      </c>
      <c r="FM192" s="32" t="inlineStr">
        <is>
          <t>No survey response on file</t>
        </is>
      </c>
      <c r="FN192" s="56" t="inlineStr">
        <is>
          <t>—</t>
        </is>
      </c>
      <c r="FO192" s="56" t="inlineStr">
        <is>
          <t>—</t>
        </is>
      </c>
      <c r="FP192" s="56" t="inlineStr">
        <is>
          <t>—</t>
        </is>
      </c>
      <c r="FQ192" s="56" t="inlineStr">
        <is>
          <t>—</t>
        </is>
      </c>
      <c r="FR192" s="56" t="n"/>
      <c r="FS192" s="56" t="n"/>
      <c r="FT192" s="56" t="n"/>
      <c r="FU192" s="32" t="inlineStr">
        <is>
          <t>No survey response on file</t>
        </is>
      </c>
    </row>
    <row r="193" ht="90" customHeight="1">
      <c r="A193" s="51" t="inlineStr">
        <is>
          <t>◂ Back</t>
        </is>
      </c>
      <c r="B193" s="29" t="inlineStr">
        <is>
          <t>Mapped</t>
        </is>
      </c>
      <c r="C193" s="28" t="inlineStr">
        <is>
          <t>iFile</t>
        </is>
      </c>
      <c r="D193" s="29" t="inlineStr">
        <is>
          <t>IRIS0012</t>
        </is>
      </c>
      <c r="E193" s="29" t="inlineStr">
        <is>
          <t>Shailesh Gupta</t>
        </is>
      </c>
      <c r="F193" s="29" t="inlineStr">
        <is>
          <t>Sales</t>
        </is>
      </c>
      <c r="G193" s="29" t="inlineStr">
        <is>
          <t>Business Head – SupTech &amp; Bank-RegTech</t>
        </is>
      </c>
      <c r="H193" s="29" t="inlineStr">
        <is>
          <t>Business Head – SupTech &amp; Bank-RegTech</t>
        </is>
      </c>
      <c r="I193" s="29" t="inlineStr">
        <is>
          <t>Not in current mapping files</t>
        </is>
      </c>
      <c r="J193" s="29" t="inlineStr">
        <is>
          <t>D2</t>
        </is>
      </c>
      <c r="K193" s="29" t="inlineStr">
        <is>
          <t>● Newly mapped</t>
        </is>
      </c>
      <c r="L193" s="29" t="inlineStr">
        <is>
          <t>Executive Leadership</t>
        </is>
      </c>
      <c r="M193" s="29" t="inlineStr">
        <is>
          <t>Business Head</t>
        </is>
      </c>
      <c r="N193" s="29" t="inlineStr">
        <is>
          <t>• Survey response or KRAs describing the work · nothing on file — Employee + manager</t>
        </is>
      </c>
      <c r="O193" s="29" t="n">
        <v>0</v>
      </c>
      <c r="P193" s="28" t="inlineStr">
        <is>
          <t>E3–E4</t>
        </is>
      </c>
      <c r="Q193" s="29" t="inlineStr">
        <is>
          <t>SVP</t>
        </is>
      </c>
      <c r="R193" s="29" t="inlineStr">
        <is>
          <t>7 Set strategy</t>
        </is>
      </c>
      <c r="S193" s="29" t="inlineStr">
        <is>
          <t>18–24 yrs</t>
        </is>
      </c>
      <c r="T193" s="29" t="inlineStr">
        <is>
          <t>—</t>
        </is>
      </c>
      <c r="U193" s="29" t="inlineStr">
        <is>
          <t>Associate Vice President</t>
        </is>
      </c>
      <c r="V193" s="29" t="inlineStr">
        <is>
          <t>IRIS Vs Market Benchmark — Aon Radford / Mercer executive codes: E3–E4 SVP · IRIS Vs Competitor Benchmark — regtech / SaaS executive titles: SVP</t>
        </is>
      </c>
      <c r="W193" s="29" t="inlineStr">
        <is>
          <t>Aon Radford executive levels E1–E6; Mercer ET1–ET3; Korn Ferry Leadership Architect</t>
        </is>
      </c>
      <c r="X193" s="29" t="inlineStr">
        <is>
          <t>Core 5 · Future 4 · Functional 4 · Leadership 5</t>
        </is>
      </c>
      <c r="Y193" s="52" t="n">
        <v>6</v>
      </c>
      <c r="Z193" s="53" t="inlineStr">
        <is>
          <t>IRIS0012</t>
        </is>
      </c>
      <c r="AA193" s="53" t="inlineStr">
        <is>
          <t>Employee</t>
        </is>
      </c>
      <c r="AB193" s="53" t="inlineStr">
        <is>
          <t>Active</t>
        </is>
      </c>
      <c r="AC193" s="53" t="inlineStr">
        <is>
          <t>Shailesh Gupta</t>
        </is>
      </c>
      <c r="AD193" s="54" t="n">
        <v>38250</v>
      </c>
      <c r="AE193" s="53" t="inlineStr">
        <is>
          <t>Business Head – SupTech &amp; Bank-RegTech</t>
        </is>
      </c>
      <c r="AF193" s="53" t="inlineStr">
        <is>
          <t>MBA</t>
        </is>
      </c>
      <c r="AG193" s="53" t="inlineStr">
        <is>
          <t>Balachandran K</t>
        </is>
      </c>
      <c r="AH193" s="53" t="inlineStr">
        <is>
          <t>N-1</t>
        </is>
      </c>
      <c r="AI193" s="53" t="inlineStr">
        <is>
          <t>Manager</t>
        </is>
      </c>
      <c r="AJ193" s="53" t="inlineStr">
        <is>
          <t>0 years, 0 months, 0 days</t>
        </is>
      </c>
      <c r="AK193" s="53" t="inlineStr">
        <is>
          <t>21 years, 11 months, 5 days</t>
        </is>
      </c>
      <c r="AL193" s="53" t="inlineStr">
        <is>
          <t>Suptech</t>
        </is>
      </c>
      <c r="AM193" s="53" t="inlineStr">
        <is>
          <t>iFile</t>
        </is>
      </c>
      <c r="AN193" s="53" t="inlineStr">
        <is>
          <t>Sales</t>
        </is>
      </c>
      <c r="AO193" s="53" t="inlineStr">
        <is>
          <t>Pre-Sales</t>
        </is>
      </c>
      <c r="AP193" s="53" t="inlineStr">
        <is>
          <t>No</t>
        </is>
      </c>
      <c r="AQ193" s="53" t="inlineStr">
        <is>
          <t>Sales, Marketing &amp; Support</t>
        </is>
      </c>
      <c r="AR193" s="53" t="inlineStr">
        <is>
          <t>Pre-Sales</t>
        </is>
      </c>
      <c r="AS193" s="53" t="inlineStr">
        <is>
          <t>Non-technical</t>
        </is>
      </c>
      <c r="AT193" s="53" t="n">
        <v>0</v>
      </c>
      <c r="AU193" s="53" t="inlineStr">
        <is>
          <t>E-Top management</t>
        </is>
      </c>
      <c r="AV193" s="53" t="n"/>
      <c r="AW193" s="53" t="n"/>
      <c r="AX193" s="53" t="n"/>
      <c r="AY193" s="53" t="n"/>
      <c r="AZ193" s="53" t="n"/>
      <c r="BA193" s="53" t="n"/>
      <c r="BB193" s="53" t="n"/>
      <c r="BC193" s="53" t="n"/>
      <c r="BD193" s="53" t="n"/>
      <c r="BE193" s="53" t="n"/>
      <c r="BF193" s="53" t="n"/>
      <c r="BG193" s="53" t="n"/>
      <c r="BH193" s="53" t="n"/>
      <c r="BI193" s="53" t="n"/>
      <c r="BJ193" s="53" t="n"/>
      <c r="BK193" s="53" t="n"/>
      <c r="BL193" s="53" t="n"/>
      <c r="BM193" s="53" t="n"/>
      <c r="BN193" s="53" t="n"/>
      <c r="BO193" s="53" t="n"/>
      <c r="BP193" s="53" t="n"/>
      <c r="BQ193" s="53" t="n"/>
      <c r="BR193" s="53" t="n"/>
      <c r="BS193" s="53" t="n"/>
      <c r="BT193" s="53" t="n"/>
      <c r="BU193" s="53" t="n"/>
      <c r="BV193" s="53" t="n"/>
      <c r="BW193" s="53" t="n"/>
      <c r="BX193" s="53" t="n"/>
      <c r="BY193" s="53" t="n"/>
      <c r="BZ193" s="53" t="n"/>
      <c r="CA193" s="53" t="n"/>
      <c r="CB193" s="53" t="n"/>
      <c r="CC193" s="53" t="n"/>
      <c r="CD193" s="53" t="n"/>
      <c r="CE193" s="53" t="n"/>
      <c r="CF193" s="53" t="n"/>
      <c r="CG193" s="53" t="n"/>
      <c r="CH193" s="53" t="n"/>
      <c r="CI193" s="53" t="n"/>
      <c r="CJ193" s="53" t="n"/>
      <c r="CK193" s="53" t="n"/>
      <c r="CL193" s="53" t="n"/>
      <c r="CM193" s="53" t="n"/>
      <c r="CN193" s="53" t="n"/>
      <c r="CO193" s="53" t="n"/>
      <c r="CP193" s="53" t="n"/>
      <c r="CQ193" s="53" t="n"/>
      <c r="CR193" s="53" t="n"/>
      <c r="CS193" s="53" t="n"/>
      <c r="CT193" s="53" t="n"/>
      <c r="CU193" s="53" t="n"/>
      <c r="CV193" s="53" t="n"/>
      <c r="CW193" s="53" t="n"/>
      <c r="CX193" s="53" t="n"/>
      <c r="CY193" s="53" t="n"/>
      <c r="CZ193" s="53" t="n"/>
      <c r="DA193" s="53" t="n"/>
      <c r="DB193" s="53" t="n"/>
      <c r="DC193" s="53" t="n"/>
      <c r="DD193" s="53" t="n"/>
      <c r="DE193" s="53" t="n"/>
      <c r="DF193" s="53" t="n"/>
      <c r="DG193" s="53" t="n"/>
      <c r="DH193" s="53" t="n"/>
      <c r="DI193" s="53" t="n"/>
      <c r="DJ193" s="53" t="n"/>
      <c r="DK193" s="53" t="n"/>
      <c r="DL193" s="53" t="n"/>
      <c r="DM193" s="53" t="n"/>
      <c r="DN193" s="53" t="n"/>
      <c r="DO193" s="53" t="n"/>
      <c r="DP193" s="53" t="n"/>
      <c r="DQ193" s="53" t="n"/>
      <c r="DR193" s="53" t="n"/>
      <c r="DS193" s="53" t="n"/>
      <c r="DT193" s="53" t="n"/>
      <c r="DU193" s="53" t="n"/>
      <c r="DV193" s="53" t="n"/>
      <c r="DW193" s="53" t="n"/>
      <c r="DX193" s="53" t="n"/>
      <c r="DY193" s="53" t="n"/>
      <c r="DZ193" s="53" t="n"/>
      <c r="EA193" s="53" t="n"/>
      <c r="EB193" s="53" t="n"/>
      <c r="EC193" s="53" t="n"/>
      <c r="ED193" s="53" t="n"/>
      <c r="EE193" s="53" t="n"/>
      <c r="EF193" s="53" t="n"/>
      <c r="EG193" s="53" t="n"/>
      <c r="EH193" s="53" t="n"/>
      <c r="EI193" s="53" t="n"/>
      <c r="EJ193" s="53" t="n"/>
      <c r="EK193" s="53" t="n"/>
      <c r="EL193" s="53" t="n"/>
      <c r="EM193" s="53" t="n"/>
      <c r="EN193" s="53" t="n"/>
      <c r="EO193" s="53" t="n"/>
      <c r="EP193" s="53" t="n"/>
      <c r="EQ193" s="53" t="n"/>
      <c r="ER193" s="53" t="n"/>
      <c r="ES193" s="53" t="n"/>
      <c r="ET193" s="53" t="n"/>
      <c r="EU193" s="53" t="n"/>
      <c r="EV193" s="53" t="n"/>
      <c r="EW193" s="52" t="n"/>
      <c r="EX193" s="53" t="n"/>
      <c r="EY193" s="53" t="n"/>
      <c r="EZ193" s="53" t="n"/>
      <c r="FA193" s="53" t="n"/>
      <c r="FB193" s="53" t="n"/>
      <c r="FC193" s="53" t="n"/>
      <c r="FD193" s="53" t="n"/>
      <c r="FE193" s="55" t="inlineStr">
        <is>
          <t>KRAs not received · manager to supply</t>
        </is>
      </c>
      <c r="FF193" s="56" t="n"/>
      <c r="FG193" s="56" t="n"/>
      <c r="FH193" s="56" t="n"/>
      <c r="FI193" s="56" t="n"/>
      <c r="FJ193" s="32" t="inlineStr">
        <is>
          <t>KRAs not received · manager to supply</t>
        </is>
      </c>
      <c r="FK193" s="56" t="n"/>
      <c r="FL193" s="56" t="n">
        <v>0</v>
      </c>
      <c r="FM193" s="32" t="inlineStr">
        <is>
          <t>No survey response on file</t>
        </is>
      </c>
      <c r="FN193" s="56" t="inlineStr">
        <is>
          <t>—</t>
        </is>
      </c>
      <c r="FO193" s="56" t="inlineStr">
        <is>
          <t>—</t>
        </is>
      </c>
      <c r="FP193" s="56" t="inlineStr">
        <is>
          <t>—</t>
        </is>
      </c>
      <c r="FQ193" s="56" t="inlineStr">
        <is>
          <t>—</t>
        </is>
      </c>
      <c r="FR19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3" s="56" t="n"/>
      <c r="FT193" s="56" t="n"/>
      <c r="FU193" s="32" t="inlineStr">
        <is>
          <t>No survey response on file</t>
        </is>
      </c>
    </row>
    <row r="194" ht="90" customHeight="1">
      <c r="A194" s="51" t="inlineStr">
        <is>
          <t>◂ Back</t>
        </is>
      </c>
      <c r="B194" s="29" t="inlineStr">
        <is>
          <t>Mapped</t>
        </is>
      </c>
      <c r="C194" s="28" t="inlineStr">
        <is>
          <t>iDEAL</t>
        </is>
      </c>
      <c r="D194" s="29" t="inlineStr">
        <is>
          <t>IRIS1224</t>
        </is>
      </c>
      <c r="E194" s="29" t="inlineStr">
        <is>
          <t>Hemant Karale</t>
        </is>
      </c>
      <c r="F194" s="29" t="inlineStr">
        <is>
          <t>iDEAL Business Head</t>
        </is>
      </c>
      <c r="G194" s="29" t="inlineStr">
        <is>
          <t>Business Head IRIS iDEAL</t>
        </is>
      </c>
      <c r="H194" s="29" t="inlineStr">
        <is>
          <t>Business Head – iDEAL</t>
        </is>
      </c>
      <c r="I194" s="29" t="inlineStr">
        <is>
          <t>L7 – Head / Sr Director</t>
        </is>
      </c>
      <c r="J194" s="29" t="inlineStr">
        <is>
          <t>D1</t>
        </is>
      </c>
      <c r="K194" s="29" t="inlineStr">
        <is>
          <t>▲ Up</t>
        </is>
      </c>
      <c r="L194" s="29" t="inlineStr">
        <is>
          <t>Executive Leadership</t>
        </is>
      </c>
      <c r="M194" s="29" t="inlineStr">
        <is>
          <t>Business Head</t>
        </is>
      </c>
      <c r="N194" s="29" t="n"/>
      <c r="O194" s="29" t="n">
        <v>0</v>
      </c>
      <c r="P194" s="28" t="inlineStr">
        <is>
          <t>E1–E2</t>
        </is>
      </c>
      <c r="Q194" s="29" t="inlineStr">
        <is>
          <t>VP</t>
        </is>
      </c>
      <c r="R194" s="29" t="inlineStr">
        <is>
          <t>6–7</t>
        </is>
      </c>
      <c r="S194" s="29" t="inlineStr">
        <is>
          <t>15–20 yrs</t>
        </is>
      </c>
      <c r="T194" s="29" t="inlineStr">
        <is>
          <t>—</t>
        </is>
      </c>
      <c r="U194" s="29" t="inlineStr">
        <is>
          <t>Associate Vice President</t>
        </is>
      </c>
      <c r="V194" s="29" t="inlineStr">
        <is>
          <t>IRIS Vs Market Benchmark — Aon Radford / Mercer executive codes: E1–E2 VP / Business Head · IRIS Vs Competitor Benchmark — regtech / SaaS executive titles: General Manager / VP</t>
        </is>
      </c>
      <c r="W194" s="29" t="inlineStr">
        <is>
          <t>Aon Radford executive levels E1–E6; Mercer ET1–ET3; Korn Ferry Leadership Architect</t>
        </is>
      </c>
      <c r="X194" s="29" t="inlineStr">
        <is>
          <t>Core 5 · Future 4 · Functional 4 · Leadership 5</t>
        </is>
      </c>
      <c r="Y194" s="52" t="n">
        <v>112</v>
      </c>
      <c r="Z194" s="53" t="inlineStr">
        <is>
          <t>IRIS1224</t>
        </is>
      </c>
      <c r="AA194" s="53" t="inlineStr">
        <is>
          <t>Employee</t>
        </is>
      </c>
      <c r="AB194" s="53" t="inlineStr">
        <is>
          <t>Active</t>
        </is>
      </c>
      <c r="AC194" s="53" t="inlineStr">
        <is>
          <t>Hemant Karale</t>
        </is>
      </c>
      <c r="AD194" s="54" t="n">
        <v>41106</v>
      </c>
      <c r="AE194" s="53" t="inlineStr">
        <is>
          <t>Business Head IRIS iDEAL</t>
        </is>
      </c>
      <c r="AF194" s="53" t="inlineStr">
        <is>
          <t>MBA</t>
        </is>
      </c>
      <c r="AG194" s="53" t="inlineStr">
        <is>
          <t>Shailesh Gupta</t>
        </is>
      </c>
      <c r="AH194" s="53" t="inlineStr">
        <is>
          <t>N-2</t>
        </is>
      </c>
      <c r="AI194" s="53" t="inlineStr">
        <is>
          <t>Manager</t>
        </is>
      </c>
      <c r="AJ194" s="53" t="inlineStr">
        <is>
          <t>3 years, 5 months, 0 days</t>
        </is>
      </c>
      <c r="AK194" s="53" t="inlineStr">
        <is>
          <t>14 years, 1 months, 9 days</t>
        </is>
      </c>
      <c r="AL194" s="53" t="inlineStr">
        <is>
          <t>Regtech</t>
        </is>
      </c>
      <c r="AM194" s="53" t="inlineStr">
        <is>
          <t>iDEAL</t>
        </is>
      </c>
      <c r="AN194" s="53" t="inlineStr">
        <is>
          <t>iDEAL Business Head</t>
        </is>
      </c>
      <c r="AO194" s="53" t="inlineStr">
        <is>
          <t>Client Engagement</t>
        </is>
      </c>
      <c r="AP194" s="53" t="inlineStr">
        <is>
          <t>No</t>
        </is>
      </c>
      <c r="AQ194" s="53" t="inlineStr">
        <is>
          <t>Client Engagement</t>
        </is>
      </c>
      <c r="AR194" s="53" t="inlineStr">
        <is>
          <t>Product Management</t>
        </is>
      </c>
      <c r="AS194" s="53" t="inlineStr">
        <is>
          <t>Technical · BA, PM and QA</t>
        </is>
      </c>
      <c r="AT194" s="53" t="n">
        <v>0</v>
      </c>
      <c r="AU194" s="53" t="inlineStr">
        <is>
          <t>E-Top management</t>
        </is>
      </c>
      <c r="AV194" s="53" t="n"/>
      <c r="AW194" s="53" t="n"/>
      <c r="AX194" s="53" t="n"/>
      <c r="AY194" s="53" t="n"/>
      <c r="AZ194" s="53" t="n"/>
      <c r="BA194" s="53" t="n"/>
      <c r="BB194" s="53" t="n"/>
      <c r="BC194" s="53" t="n"/>
      <c r="BD194" s="53" t="n"/>
      <c r="BE194" s="53" t="n"/>
      <c r="BF194" s="53" t="n"/>
      <c r="BG194" s="53" t="n"/>
      <c r="BH194" s="53" t="n"/>
      <c r="BI194" s="53" t="n"/>
      <c r="BJ194" s="53" t="n"/>
      <c r="BK194" s="53" t="n"/>
      <c r="BL194" s="53" t="n"/>
      <c r="BM194" s="53" t="n"/>
      <c r="BN194" s="53" t="n"/>
      <c r="BO194" s="53" t="n"/>
      <c r="BP194" s="53" t="n"/>
      <c r="BQ194" s="53" t="n"/>
      <c r="BR194" s="53" t="n"/>
      <c r="BS194" s="53" t="n"/>
      <c r="BT194" s="53" t="n"/>
      <c r="BU194" s="53" t="n"/>
      <c r="BV194" s="53" t="n"/>
      <c r="BW194" s="53" t="n"/>
      <c r="BX194" s="53" t="n"/>
      <c r="BY194" s="53" t="n"/>
      <c r="BZ194" s="53" t="n"/>
      <c r="CA194" s="53" t="n"/>
      <c r="CB194" s="53" t="n"/>
      <c r="CC194" s="53" t="n"/>
      <c r="CD194" s="53" t="n"/>
      <c r="CE194" s="53" t="n"/>
      <c r="CF194" s="53" t="n"/>
      <c r="CG194" s="53" t="n"/>
      <c r="CH194" s="53" t="n"/>
      <c r="CI194" s="53" t="n"/>
      <c r="CJ194" s="53" t="n"/>
      <c r="CK194" s="53" t="n"/>
      <c r="CL194" s="53" t="n"/>
      <c r="CM194" s="53" t="n"/>
      <c r="CN194" s="53" t="n"/>
      <c r="CO194" s="53" t="n"/>
      <c r="CP194" s="53" t="n"/>
      <c r="CQ194" s="53" t="n"/>
      <c r="CR194" s="53" t="n"/>
      <c r="CS194" s="53" t="n"/>
      <c r="CT194" s="53" t="n"/>
      <c r="CU194" s="53" t="n"/>
      <c r="CV194" s="53" t="n"/>
      <c r="CW194" s="53" t="n"/>
      <c r="CX194" s="53" t="n"/>
      <c r="CY194" s="53" t="n"/>
      <c r="CZ194" s="53" t="n"/>
      <c r="DA194" s="53" t="n"/>
      <c r="DB194" s="53" t="n"/>
      <c r="DC194" s="53" t="n"/>
      <c r="DD194" s="53" t="inlineStr">
        <is>
          <t>IRIS1224</t>
        </is>
      </c>
      <c r="DE194" s="53" t="inlineStr">
        <is>
          <t>Employee</t>
        </is>
      </c>
      <c r="DF194" s="53" t="inlineStr">
        <is>
          <t>Active</t>
        </is>
      </c>
      <c r="DG194" s="53" t="inlineStr">
        <is>
          <t>Hemant Karale</t>
        </is>
      </c>
      <c r="DH194" s="54" t="n">
        <v>41106</v>
      </c>
      <c r="DI194" s="53" t="inlineStr">
        <is>
          <t>Business Head IRIS iDEAL</t>
        </is>
      </c>
      <c r="DJ194" s="53" t="inlineStr">
        <is>
          <t>Executive Leadership</t>
        </is>
      </c>
      <c r="DK194" s="53" t="inlineStr">
        <is>
          <t>Business / Functional Leadership</t>
        </is>
      </c>
      <c r="DL194" s="53" t="inlineStr">
        <is>
          <t>Business Head IRIS iDEAL</t>
        </is>
      </c>
      <c r="DM194" s="53" t="inlineStr">
        <is>
          <t>L7 – Head / Sr Director</t>
        </is>
      </c>
      <c r="DN194" s="53" t="inlineStr">
        <is>
          <t>MBA</t>
        </is>
      </c>
      <c r="DO194" s="53" t="inlineStr">
        <is>
          <t>Dixit Jasani</t>
        </is>
      </c>
      <c r="DP194" s="53" t="inlineStr">
        <is>
          <t>N-2</t>
        </is>
      </c>
      <c r="DQ194" s="53" t="inlineStr">
        <is>
          <t>Manager</t>
        </is>
      </c>
      <c r="DR194" s="53" t="inlineStr">
        <is>
          <t>3 years, 5 months, 0 days</t>
        </is>
      </c>
      <c r="DS194" s="53" t="inlineStr">
        <is>
          <t>13 years, 11 months, 4 days</t>
        </is>
      </c>
      <c r="DT194" s="53" t="inlineStr">
        <is>
          <t>17 years, 4 months, 4 days</t>
        </is>
      </c>
      <c r="DU194" s="53" t="n">
        <v>13.9276255707763</v>
      </c>
      <c r="DV194" s="53" t="inlineStr">
        <is>
          <t>Regtech</t>
        </is>
      </c>
      <c r="DW194" s="53" t="inlineStr">
        <is>
          <t>iDEAL</t>
        </is>
      </c>
      <c r="DX194" s="53" t="inlineStr">
        <is>
          <t>iDEAL Business Head</t>
        </is>
      </c>
      <c r="DY194" s="53" t="inlineStr">
        <is>
          <t>Client Engagement</t>
        </is>
      </c>
      <c r="DZ194" s="53" t="inlineStr">
        <is>
          <t>No</t>
        </is>
      </c>
      <c r="EA194" s="53" t="inlineStr">
        <is>
          <t>Client Engagement</t>
        </is>
      </c>
      <c r="EB194" s="53" t="inlineStr">
        <is>
          <t>Product Management</t>
        </is>
      </c>
      <c r="EC194" s="53" t="inlineStr">
        <is>
          <t>Technical · BA, PM and QA</t>
        </is>
      </c>
      <c r="ED194" s="53" t="inlineStr">
        <is>
          <t>Remote- Outside Mumbai</t>
        </is>
      </c>
      <c r="EE194" s="53"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EF194" s="53" t="n"/>
      <c r="EG194" s="53" t="n"/>
      <c r="EH194" s="53" t="n"/>
      <c r="EI194" s="53" t="n"/>
      <c r="EJ194" s="53" t="inlineStr">
        <is>
          <t>Same as per records</t>
        </is>
      </c>
      <c r="EK194" s="53" t="n"/>
      <c r="EL194" s="53" t="n"/>
      <c r="EM194" s="53" t="n"/>
      <c r="EN194" s="53" t="n"/>
      <c r="EO194" s="53" t="n"/>
      <c r="EP194" s="53" t="n"/>
      <c r="EQ194" s="53" t="n"/>
      <c r="ER194" s="53" t="n"/>
      <c r="ES194" s="53" t="inlineStr">
        <is>
          <t>Training on the effective utilization of AI tools.</t>
        </is>
      </c>
      <c r="ET194" s="53" t="n"/>
      <c r="EU194" s="53" t="n"/>
      <c r="EV194" s="53" t="n"/>
      <c r="EW194" s="52" t="n"/>
      <c r="EX194" s="53" t="n"/>
      <c r="EY194" s="53" t="n"/>
      <c r="EZ194" s="53" t="n"/>
      <c r="FA194" s="53" t="n"/>
      <c r="FB194" s="53" t="n"/>
      <c r="FC194" s="53" t="inlineStr">
        <is>
          <t>Annual KRAs · objective Measurable Minimum 5 - Self</t>
        </is>
      </c>
      <c r="FD194" s="53" t="n"/>
      <c r="FE194" s="55" t="inlineStr">
        <is>
          <t>KRAs not received · manager to supply</t>
        </is>
      </c>
      <c r="FF194" s="56" t="n"/>
      <c r="FG194" s="56"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FH194" s="56" t="n"/>
      <c r="FI194" s="56" t="n"/>
      <c r="FJ194" s="56" t="inlineStr">
        <is>
          <t>Received · self</t>
        </is>
      </c>
      <c r="FK194" s="56" t="inlineStr">
        <is>
          <t>Talent Mapping · iDEAL</t>
        </is>
      </c>
      <c r="FL194" s="56" t="n">
        <v>0</v>
      </c>
      <c r="FM194" s="32" t="inlineStr">
        <is>
          <t>No survey response on file</t>
        </is>
      </c>
      <c r="FN194" s="56" t="inlineStr">
        <is>
          <t>—</t>
        </is>
      </c>
      <c r="FO194" s="56" t="inlineStr">
        <is>
          <t>—</t>
        </is>
      </c>
      <c r="FP194" s="56" t="inlineStr">
        <is>
          <t>—</t>
        </is>
      </c>
      <c r="FQ194" s="56" t="inlineStr">
        <is>
          <t>—</t>
        </is>
      </c>
      <c r="FR194" s="56"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FY27 revenue of Rs 19Cr, new ARR Rs 4Cr, revenue recognition plan → matches the start
Leadership: Evidence reads like C1: KRA: knowledge sessions with product, sales, delivery leaders; team AI adoption; 8 reports → moved down 0.5
Business Impact: No survey or manager-mapping signal on criticality: kept at the start point.</t>
        </is>
      </c>
      <c r="FS194" s="56" t="n"/>
      <c r="FT194" s="56" t="n"/>
      <c r="FU194" s="32" t="inlineStr">
        <is>
          <t>No survey response on file</t>
        </is>
      </c>
    </row>
    <row r="195" ht="90" customHeight="1">
      <c r="A195" s="51" t="inlineStr">
        <is>
          <t>◂ Back</t>
        </is>
      </c>
      <c r="B195" s="29" t="inlineStr">
        <is>
          <t>Mapped</t>
        </is>
      </c>
      <c r="C195" s="28" t="inlineStr">
        <is>
          <t>iDEAL</t>
        </is>
      </c>
      <c r="D195" s="29" t="inlineStr">
        <is>
          <t>IRIS0810</t>
        </is>
      </c>
      <c r="E195" s="29" t="inlineStr">
        <is>
          <t>Jitendra Kumar</t>
        </is>
      </c>
      <c r="F195" s="29" t="inlineStr">
        <is>
          <t>Technology</t>
        </is>
      </c>
      <c r="G195" s="29" t="inlineStr">
        <is>
          <t>Technical Architect</t>
        </is>
      </c>
      <c r="H195" s="29" t="inlineStr">
        <is>
          <t>Practice Lead – Solution &amp; Technical Architecture · Player-Coach</t>
        </is>
      </c>
      <c r="I195" s="29" t="inlineStr">
        <is>
          <t>L3 – Professional / Associate</t>
        </is>
      </c>
      <c r="J195" s="29" t="inlineStr">
        <is>
          <t>B+</t>
        </is>
      </c>
      <c r="K195" s="29" t="inlineStr">
        <is>
          <t>▲ Up</t>
        </is>
      </c>
      <c r="L195" s="29" t="inlineStr">
        <is>
          <t>Engineering &amp; Architecture</t>
        </is>
      </c>
      <c r="M195" s="29" t="inlineStr">
        <is>
          <t>Solution &amp; Technical Architecture</t>
        </is>
      </c>
      <c r="N195" s="29" t="n"/>
      <c r="O195" s="29" t="n">
        <v>20</v>
      </c>
      <c r="P195" s="28" t="inlineStr">
        <is>
          <t>P5–P6 / M4–M5</t>
        </is>
      </c>
      <c r="Q195" s="29" t="inlineStr">
        <is>
          <t>Expert / Senior Manager · player-coach</t>
        </is>
      </c>
      <c r="R195" s="29" t="inlineStr">
        <is>
          <t>5 Ensure, advise</t>
        </is>
      </c>
      <c r="S195" s="29" t="inlineStr">
        <is>
          <t>9–14 yrs</t>
        </is>
      </c>
      <c r="T195" s="29" t="inlineStr">
        <is>
          <t>9–13 · 9–14</t>
        </is>
      </c>
      <c r="U195" s="29" t="inlineStr">
        <is>
          <t>Tech Lead Manager / Practice Lead · player-coach</t>
        </is>
      </c>
      <c r="V195" s="29" t="inlineStr">
        <is>
          <t>Google: Tech Lead Manager · TLM · McKinsey player/coach · 3–5 reports · SaaS: player-coach team lead carrying own work</t>
        </is>
      </c>
      <c r="W195" s="29" t="inlineStr">
        <is>
          <t>SFIA 9 · solution architecture; TOGAF; AWS / Azure architect certifications</t>
        </is>
      </c>
      <c r="X195" s="29" t="inlineStr">
        <is>
          <t>Core 4 · Future 4 · Functional 4 · Leadership 4</t>
        </is>
      </c>
      <c r="Y195" s="52" t="n">
        <v>91</v>
      </c>
      <c r="Z195" s="53" t="inlineStr">
        <is>
          <t>IRIS0810</t>
        </is>
      </c>
      <c r="AA195" s="53" t="inlineStr">
        <is>
          <t>Employee</t>
        </is>
      </c>
      <c r="AB195" s="53" t="inlineStr">
        <is>
          <t>Active</t>
        </is>
      </c>
      <c r="AC195" s="53" t="inlineStr">
        <is>
          <t>Jitendra Kumar</t>
        </is>
      </c>
      <c r="AD195" s="54" t="n">
        <v>40751</v>
      </c>
      <c r="AE195" s="53" t="inlineStr">
        <is>
          <t>Technical Architect</t>
        </is>
      </c>
      <c r="AF195" s="53" t="inlineStr">
        <is>
          <t>MCA</t>
        </is>
      </c>
      <c r="AG195" s="53" t="inlineStr">
        <is>
          <t>Hemant Karale</t>
        </is>
      </c>
      <c r="AH195" s="53" t="inlineStr">
        <is>
          <t>N-3</t>
        </is>
      </c>
      <c r="AI195" s="53" t="inlineStr">
        <is>
          <t>Manager</t>
        </is>
      </c>
      <c r="AJ195" s="53" t="inlineStr">
        <is>
          <t>1 years, 5 months, 0 days</t>
        </is>
      </c>
      <c r="AK195" s="53" t="inlineStr">
        <is>
          <t>15 years, 0 months, 29 days</t>
        </is>
      </c>
      <c r="AL195" s="53" t="inlineStr">
        <is>
          <t>Regtech</t>
        </is>
      </c>
      <c r="AM195" s="53" t="inlineStr">
        <is>
          <t>iDEAL</t>
        </is>
      </c>
      <c r="AN195" s="53" t="inlineStr">
        <is>
          <t>Technology</t>
        </is>
      </c>
      <c r="AO195" s="53" t="inlineStr">
        <is>
          <t>Development</t>
        </is>
      </c>
      <c r="AP195" s="53" t="inlineStr">
        <is>
          <t>Yes</t>
        </is>
      </c>
      <c r="AQ195" s="53" t="inlineStr">
        <is>
          <t>Product/Project</t>
        </is>
      </c>
      <c r="AR195" s="53" t="inlineStr">
        <is>
          <t>.NET MVC</t>
        </is>
      </c>
      <c r="AS195" s="53" t="inlineStr">
        <is>
          <t>Technical - Developer</t>
        </is>
      </c>
      <c r="AT195" s="53" t="n">
        <v>20</v>
      </c>
      <c r="AU195" s="53" t="inlineStr">
        <is>
          <t>Covered</t>
        </is>
      </c>
      <c r="AV195" s="53" t="n"/>
      <c r="AW195" s="53" t="n"/>
      <c r="AX195" s="53" t="n"/>
      <c r="AY195" s="53" t="n"/>
      <c r="AZ195" s="53" t="n"/>
      <c r="BA195" s="53" t="n"/>
      <c r="BB195" s="53" t="n"/>
      <c r="BC195" s="53" t="n"/>
      <c r="BD195" s="53" t="n"/>
      <c r="BE195" s="53" t="n"/>
      <c r="BF195" s="53" t="n"/>
      <c r="BG195" s="53" t="n"/>
      <c r="BH195" s="53" t="n"/>
      <c r="BI195" s="53" t="n"/>
      <c r="BJ195" s="53" t="n"/>
      <c r="BK195" s="53" t="n"/>
      <c r="BL195" s="53" t="n"/>
      <c r="BM195" s="53" t="n"/>
      <c r="BN195" s="53" t="n"/>
      <c r="BO195" s="53" t="n"/>
      <c r="BP195" s="53" t="n"/>
      <c r="BQ195" s="53" t="n"/>
      <c r="BR195" s="53" t="n"/>
      <c r="BS195" s="53" t="n"/>
      <c r="BT195" s="53" t="n"/>
      <c r="BU195" s="53" t="n"/>
      <c r="BV195" s="53" t="n"/>
      <c r="BW195" s="53" t="n"/>
      <c r="BX195" s="53" t="n"/>
      <c r="BY195" s="53" t="n"/>
      <c r="BZ195" s="53" t="n"/>
      <c r="CA195" s="53" t="n"/>
      <c r="CB195" s="53" t="n"/>
      <c r="CC195" s="53" t="n"/>
      <c r="CD195" s="53" t="n"/>
      <c r="CE195" s="53" t="n"/>
      <c r="CF195" s="53" t="n"/>
      <c r="CG195" s="53" t="n"/>
      <c r="CH195" s="53" t="n"/>
      <c r="CI195" s="53" t="n"/>
      <c r="CJ195" s="53" t="n"/>
      <c r="CK195" s="53" t="n"/>
      <c r="CL195" s="53" t="n"/>
      <c r="CM195" s="53" t="n"/>
      <c r="CN195" s="53" t="n"/>
      <c r="CO195" s="53" t="n"/>
      <c r="CP195" s="53" t="n"/>
      <c r="CQ195" s="53" t="n"/>
      <c r="CR195" s="53" t="n"/>
      <c r="CS195" s="53" t="n"/>
      <c r="CT195" s="53" t="n"/>
      <c r="CU195" s="53" t="n"/>
      <c r="CV195" s="53" t="n"/>
      <c r="CW195" s="53" t="n"/>
      <c r="CX195" s="53" t="n"/>
      <c r="CY195" s="53" t="n"/>
      <c r="CZ195" s="53" t="n"/>
      <c r="DA195" s="53" t="n"/>
      <c r="DB195" s="53" t="n"/>
      <c r="DC195" s="53" t="n"/>
      <c r="DD195" s="53" t="inlineStr">
        <is>
          <t>IRIS0810</t>
        </is>
      </c>
      <c r="DE195" s="53" t="inlineStr">
        <is>
          <t>Employee</t>
        </is>
      </c>
      <c r="DF195" s="53" t="inlineStr">
        <is>
          <t>Active</t>
        </is>
      </c>
      <c r="DG195" s="53" t="inlineStr">
        <is>
          <t>Jitendra Kumar</t>
        </is>
      </c>
      <c r="DH195" s="54" t="n">
        <v>40751</v>
      </c>
      <c r="DI195" s="53" t="inlineStr">
        <is>
          <t>Technical Architect</t>
        </is>
      </c>
      <c r="DJ195" s="53" t="inlineStr">
        <is>
          <t>Engineering &amp; Architecture</t>
        </is>
      </c>
      <c r="DK195" s="53" t="inlineStr">
        <is>
          <t>Solution / Software Architecture</t>
        </is>
      </c>
      <c r="DL195" s="53" t="inlineStr">
        <is>
          <t>Technical Architect</t>
        </is>
      </c>
      <c r="DM195" s="53" t="inlineStr">
        <is>
          <t>L3 – Professional / Associate</t>
        </is>
      </c>
      <c r="DN195" s="53" t="inlineStr">
        <is>
          <t>MCA</t>
        </is>
      </c>
      <c r="DO195" s="53" t="inlineStr">
        <is>
          <t>Hemant Karale</t>
        </is>
      </c>
      <c r="DP195" s="53" t="inlineStr">
        <is>
          <t>N-3</t>
        </is>
      </c>
      <c r="DQ195" s="53" t="inlineStr">
        <is>
          <t>Manager</t>
        </is>
      </c>
      <c r="DR195" s="53" t="inlineStr">
        <is>
          <t>1 years, 5 months, 0 days</t>
        </is>
      </c>
      <c r="DS195" s="53" t="inlineStr">
        <is>
          <t>14 years, 10 months, 24 days</t>
        </is>
      </c>
      <c r="DT195" s="53" t="inlineStr">
        <is>
          <t>16 years, 3 months, 24 days</t>
        </is>
      </c>
      <c r="DU195" s="53" t="n">
        <v>14.8990867579909</v>
      </c>
      <c r="DV195" s="53" t="inlineStr">
        <is>
          <t>Regtech</t>
        </is>
      </c>
      <c r="DW195" s="53" t="inlineStr">
        <is>
          <t>iDEAL</t>
        </is>
      </c>
      <c r="DX195" s="53" t="inlineStr">
        <is>
          <t>Technology</t>
        </is>
      </c>
      <c r="DY195" s="53" t="inlineStr">
        <is>
          <t>Development</t>
        </is>
      </c>
      <c r="DZ195" s="53" t="inlineStr">
        <is>
          <t>Yes</t>
        </is>
      </c>
      <c r="EA195" s="53" t="inlineStr">
        <is>
          <t>Product/Project</t>
        </is>
      </c>
      <c r="EB195" s="53" t="inlineStr">
        <is>
          <t>.NET MVC</t>
        </is>
      </c>
      <c r="EC195" s="53" t="inlineStr">
        <is>
          <t>Technical - Developer</t>
        </is>
      </c>
      <c r="ED195" s="53" t="inlineStr">
        <is>
          <t>Work From Office - Turbhe</t>
        </is>
      </c>
      <c r="EE195" s="53"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EF195" s="53"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G195" s="53"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EH195" s="53" t="n">
        <v>4</v>
      </c>
      <c r="EI195" s="53" t="n"/>
      <c r="EJ195" s="53" t="inlineStr">
        <is>
          <t>Same as per records</t>
        </is>
      </c>
      <c r="EK195" s="53" t="n"/>
      <c r="EL195" s="53" t="n"/>
      <c r="EM195" s="53" t="n"/>
      <c r="EN195" s="53" t="n"/>
      <c r="EO195" s="53" t="n"/>
      <c r="EP195" s="53" t="n"/>
      <c r="EQ195" s="53" t="n"/>
      <c r="ER195" s="53" t="n"/>
      <c r="ES195" s="53" t="inlineStr">
        <is>
          <t>Training on the effective utilization of AI tools.</t>
        </is>
      </c>
      <c r="ET195" s="53" t="n"/>
      <c r="EU195" s="53" t="n"/>
      <c r="EV195" s="53" t="n"/>
      <c r="EW195" s="52" t="n"/>
      <c r="EX195" s="53" t="n"/>
      <c r="EY195" s="53" t="n"/>
      <c r="EZ195" s="53" t="n"/>
      <c r="FA195" s="53" t="n"/>
      <c r="FB195" s="53" t="n"/>
      <c r="FC195" s="53" t="n"/>
      <c r="FD195" s="53" t="n"/>
      <c r="FE195" s="57"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FF195" s="56"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FG195" s="56"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FH195" s="56" t="inlineStr">
        <is>
          <t>4</t>
        </is>
      </c>
      <c r="FI195" s="56" t="n"/>
      <c r="FJ195" s="56" t="inlineStr">
        <is>
          <t>Received · manager annual, quarterly, self</t>
        </is>
      </c>
      <c r="FK195" s="56" t="inlineStr">
        <is>
          <t>Talent Mapping · iDEAL</t>
        </is>
      </c>
      <c r="FL195" s="56" t="n">
        <v>20</v>
      </c>
      <c r="FM195" s="32" t="inlineStr">
        <is>
          <t>Full survey answers not in the files received · How We Grow export needed · HR</t>
        </is>
      </c>
      <c r="FN195" s="56" t="inlineStr">
        <is>
          <t>—</t>
        </is>
      </c>
      <c r="FO195" s="56" t="inlineStr">
        <is>
          <t>—</t>
        </is>
      </c>
      <c r="FP195" s="56" t="inlineStr">
        <is>
          <t>—</t>
        </is>
      </c>
      <c r="FQ195" s="56" t="inlineStr">
        <is>
          <t>—</t>
        </is>
      </c>
      <c r="FR195" s="56"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for any application failure at client side and project deliverables; team of nine → moved down 0.5
Leadership: Evidence reads like B2: Coordinates nine direct reports; KRA: develop and mentor technical leaders → moved down 0.5
Business Impact: No survey or manager-mapping signal on criticality: kept at the start point.</t>
        </is>
      </c>
      <c r="FS195"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195" s="56" t="inlineStr">
        <is>
          <t>Self-identified: Answered · no common topic
For the next role: Answered · no common topic</t>
        </is>
      </c>
      <c r="FU195" s="32" t="inlineStr">
        <is>
          <t>Full survey answers not in the files received · How We Grow export needed · HR</t>
        </is>
      </c>
    </row>
    <row r="196" ht="90" customHeight="1">
      <c r="A196" s="51" t="inlineStr">
        <is>
          <t>◂ Back</t>
        </is>
      </c>
      <c r="B196" s="29" t="inlineStr">
        <is>
          <t>Mapped</t>
        </is>
      </c>
      <c r="C196" s="28" t="inlineStr">
        <is>
          <t>iDEAL</t>
        </is>
      </c>
      <c r="D196" s="29" t="inlineStr">
        <is>
          <t>IRIS1809</t>
        </is>
      </c>
      <c r="E196" s="29" t="inlineStr">
        <is>
          <t>Jignasha Sawla</t>
        </is>
      </c>
      <c r="F196" s="29" t="inlineStr">
        <is>
          <t>Technology</t>
        </is>
      </c>
      <c r="G196" s="29" t="inlineStr">
        <is>
          <t>Database Lead</t>
        </is>
      </c>
      <c r="H196" s="29" t="inlineStr">
        <is>
          <t>Database Specialist – POD Lead</t>
        </is>
      </c>
      <c r="I196" s="29" t="inlineStr">
        <is>
          <t>L5 – Lead · IC</t>
        </is>
      </c>
      <c r="J196" s="29" t="inlineStr">
        <is>
          <t>B1</t>
        </is>
      </c>
      <c r="K196" s="29" t="inlineStr">
        <is>
          <t>▼ Down · protected</t>
        </is>
      </c>
      <c r="L196" s="29" t="inlineStr">
        <is>
          <t>Engineering &amp; Development</t>
        </is>
      </c>
      <c r="M196" s="29" t="inlineStr">
        <is>
          <t>Data Engineering &amp; Database Development</t>
        </is>
      </c>
      <c r="N196" s="29" t="n"/>
      <c r="O196" s="29" t="n">
        <v>20</v>
      </c>
      <c r="P196" s="28" t="inlineStr">
        <is>
          <t>P3 / M2</t>
        </is>
      </c>
      <c r="Q196" s="29" t="inlineStr">
        <is>
          <t>Career / · Team Lead</t>
        </is>
      </c>
      <c r="R196" s="29" t="inlineStr">
        <is>
          <t>4 Enable</t>
        </is>
      </c>
      <c r="S196" s="29" t="inlineStr">
        <is>
          <t>4–7 yrs</t>
        </is>
      </c>
      <c r="T196" s="29" t="inlineStr">
        <is>
          <t>5–8 · 4–8</t>
        </is>
      </c>
      <c r="U196" s="29" t="inlineStr">
        <is>
          <t>Senior Software Engineer</t>
        </is>
      </c>
      <c r="V196" s="29" t="inlineStr">
        <is>
          <t>Workiva: SE / Senior SE · Broadridge India: Senior SE · Nasdaq / AxiomSL: Senior SE · Salesforce: MTS · Atlassian: P40 · Freshworks: Senior SE</t>
        </is>
      </c>
      <c r="W196" s="29" t="inlineStr">
        <is>
          <t>SFIA 9 · software development, programming; OWASP secure coding; cloud vendor certifications</t>
        </is>
      </c>
      <c r="X196" s="29" t="inlineStr">
        <is>
          <t>Core 3 · Future 3 · Functional 3 · Leadership 2</t>
        </is>
      </c>
      <c r="Y196" s="52" t="n">
        <v>160</v>
      </c>
      <c r="Z196" s="53" t="inlineStr">
        <is>
          <t>IRIS1809</t>
        </is>
      </c>
      <c r="AA196" s="53" t="inlineStr">
        <is>
          <t>Employee</t>
        </is>
      </c>
      <c r="AB196" s="53" t="inlineStr">
        <is>
          <t>Active</t>
        </is>
      </c>
      <c r="AC196" s="53" t="inlineStr">
        <is>
          <t>Jignasha Sawla</t>
        </is>
      </c>
      <c r="AD196" s="54" t="n">
        <v>43731</v>
      </c>
      <c r="AE196" s="53" t="inlineStr">
        <is>
          <t>Database Lead</t>
        </is>
      </c>
      <c r="AF196" s="53" t="inlineStr">
        <is>
          <t>B.E</t>
        </is>
      </c>
      <c r="AG196" s="53" t="inlineStr">
        <is>
          <t>Jitendra Kumar</t>
        </is>
      </c>
      <c r="AH196" s="53" t="inlineStr">
        <is>
          <t>N-4</t>
        </is>
      </c>
      <c r="AI196" s="53" t="inlineStr">
        <is>
          <t>Manager</t>
        </is>
      </c>
      <c r="AJ196" s="53" t="inlineStr">
        <is>
          <t>10 years, 0 months, 0 days</t>
        </is>
      </c>
      <c r="AK196" s="53" t="inlineStr">
        <is>
          <t>6 years, 11 months, 2 days</t>
        </is>
      </c>
      <c r="AL196" s="53" t="inlineStr">
        <is>
          <t>Regtech</t>
        </is>
      </c>
      <c r="AM196" s="53" t="inlineStr">
        <is>
          <t>iDEAL</t>
        </is>
      </c>
      <c r="AN196" s="53" t="inlineStr">
        <is>
          <t>Technology</t>
        </is>
      </c>
      <c r="AO196" s="53" t="inlineStr">
        <is>
          <t>Development</t>
        </is>
      </c>
      <c r="AP196" s="53" t="inlineStr">
        <is>
          <t>Yes</t>
        </is>
      </c>
      <c r="AQ196" s="53" t="inlineStr">
        <is>
          <t>Product/Project</t>
        </is>
      </c>
      <c r="AR196" s="53" t="inlineStr">
        <is>
          <t>SQL</t>
        </is>
      </c>
      <c r="AS196" s="53" t="inlineStr">
        <is>
          <t>Technical - Developer</t>
        </is>
      </c>
      <c r="AT196" s="53" t="n">
        <v>20</v>
      </c>
      <c r="AU196" s="53" t="inlineStr">
        <is>
          <t>Covered</t>
        </is>
      </c>
      <c r="AV196" s="53" t="n"/>
      <c r="AW196" s="53" t="n"/>
      <c r="AX196" s="53" t="n"/>
      <c r="AY196" s="53" t="n"/>
      <c r="AZ196" s="53" t="n"/>
      <c r="BA196" s="53" t="n"/>
      <c r="BB196" s="53" t="n"/>
      <c r="BC196" s="53" t="n"/>
      <c r="BD196" s="53" t="n"/>
      <c r="BE196" s="53" t="n"/>
      <c r="BF196" s="53" t="n"/>
      <c r="BG196" s="53" t="n"/>
      <c r="BH196" s="53" t="n"/>
      <c r="BI196" s="53" t="n"/>
      <c r="BJ196" s="53" t="n"/>
      <c r="BK196" s="53" t="n"/>
      <c r="BL196" s="53" t="n"/>
      <c r="BM196" s="53" t="n"/>
      <c r="BN196" s="53" t="n"/>
      <c r="BO196" s="53" t="n"/>
      <c r="BP196" s="53" t="n"/>
      <c r="BQ196" s="53" t="n"/>
      <c r="BR196" s="53" t="n"/>
      <c r="BS196" s="53" t="n"/>
      <c r="BT196" s="53" t="n"/>
      <c r="BU196" s="53" t="n"/>
      <c r="BV196" s="53" t="n"/>
      <c r="BW196" s="53" t="n"/>
      <c r="BX196" s="53" t="n"/>
      <c r="BY196" s="53" t="n"/>
      <c r="BZ196" s="53" t="n"/>
      <c r="CA196" s="53" t="n"/>
      <c r="CB196" s="53" t="n"/>
      <c r="CC196" s="53" t="n"/>
      <c r="CD196" s="53" t="n"/>
      <c r="CE196" s="53" t="n"/>
      <c r="CF196" s="53" t="n"/>
      <c r="CG196" s="53" t="n"/>
      <c r="CH196" s="53" t="n"/>
      <c r="CI196" s="53" t="n"/>
      <c r="CJ196" s="53" t="n"/>
      <c r="CK196" s="53" t="n"/>
      <c r="CL196" s="53" t="n"/>
      <c r="CM196" s="53" t="n"/>
      <c r="CN196" s="53" t="n"/>
      <c r="CO196" s="53" t="n"/>
      <c r="CP196" s="53" t="n"/>
      <c r="CQ196" s="53" t="n"/>
      <c r="CR196" s="53" t="n"/>
      <c r="CS196" s="53" t="n"/>
      <c r="CT196" s="53" t="n"/>
      <c r="CU196" s="53" t="n"/>
      <c r="CV196" s="53" t="n"/>
      <c r="CW196" s="53" t="n"/>
      <c r="CX196" s="53" t="n"/>
      <c r="CY196" s="53" t="n"/>
      <c r="CZ196" s="53" t="n"/>
      <c r="DA196" s="53" t="n"/>
      <c r="DB196" s="53" t="n"/>
      <c r="DC196" s="53" t="n"/>
      <c r="DD196" s="53" t="inlineStr">
        <is>
          <t>IRIS1809</t>
        </is>
      </c>
      <c r="DE196" s="53" t="inlineStr">
        <is>
          <t>Employee</t>
        </is>
      </c>
      <c r="DF196" s="53" t="inlineStr">
        <is>
          <t>Active</t>
        </is>
      </c>
      <c r="DG196" s="53" t="inlineStr">
        <is>
          <t>Jignasha Sawla</t>
        </is>
      </c>
      <c r="DH196" s="54" t="n">
        <v>43731</v>
      </c>
      <c r="DI196" s="53" t="inlineStr">
        <is>
          <t>Database Lead</t>
        </is>
      </c>
      <c r="DJ196" s="53" t="inlineStr">
        <is>
          <t>Engineering &amp; Development</t>
        </is>
      </c>
      <c r="DK196" s="53" t="inlineStr">
        <is>
          <t>Software Engineering</t>
        </is>
      </c>
      <c r="DL196" s="53" t="inlineStr">
        <is>
          <t>Database Lead</t>
        </is>
      </c>
      <c r="DM196" s="53" t="inlineStr">
        <is>
          <t>L5 – Lead · IC</t>
        </is>
      </c>
      <c r="DN196" s="53" t="inlineStr">
        <is>
          <t>B.E</t>
        </is>
      </c>
      <c r="DO196" s="53" t="inlineStr">
        <is>
          <t>Jitendra Kumar</t>
        </is>
      </c>
      <c r="DP196" s="53" t="inlineStr">
        <is>
          <t>N-4</t>
        </is>
      </c>
      <c r="DQ196" s="53" t="inlineStr">
        <is>
          <t>Manager</t>
        </is>
      </c>
      <c r="DR196" s="53" t="inlineStr">
        <is>
          <t>10 years, 0 months, 0 days</t>
        </is>
      </c>
      <c r="DS196" s="53" t="inlineStr">
        <is>
          <t>6 years, 8 months, 28 days</t>
        </is>
      </c>
      <c r="DT196" s="53" t="inlineStr">
        <is>
          <t>16 years, 8 months, 28 days</t>
        </is>
      </c>
      <c r="DU196" s="53" t="n">
        <v>6.74337899543379</v>
      </c>
      <c r="DV196" s="53" t="inlineStr">
        <is>
          <t>Regtech</t>
        </is>
      </c>
      <c r="DW196" s="53" t="inlineStr">
        <is>
          <t>iDEAL</t>
        </is>
      </c>
      <c r="DX196" s="53" t="inlineStr">
        <is>
          <t>Technology</t>
        </is>
      </c>
      <c r="DY196" s="53" t="inlineStr">
        <is>
          <t>Development</t>
        </is>
      </c>
      <c r="DZ196" s="53" t="inlineStr">
        <is>
          <t>Yes</t>
        </is>
      </c>
      <c r="EA196" s="53" t="inlineStr">
        <is>
          <t>Product/Project</t>
        </is>
      </c>
      <c r="EB196" s="53" t="inlineStr">
        <is>
          <t>SQL</t>
        </is>
      </c>
      <c r="EC196" s="53" t="inlineStr">
        <is>
          <t>Technical - Developer</t>
        </is>
      </c>
      <c r="ED196" s="53" t="inlineStr">
        <is>
          <t>Remote - Mumbai</t>
        </is>
      </c>
      <c r="EE196" s="53" t="inlineStr">
        <is>
          <t>Focused on delivering reliable, scalable, and optimized solutions while also aiming to enhance team productivity, adopt AI-driven development practices, and continuously upskill in ETL and BI tools like Apache Hop.</t>
        </is>
      </c>
      <c r="EF196" s="53"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EG196" s="53"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EH196" s="53" t="n">
        <v>2</v>
      </c>
      <c r="EI196" s="53" t="n"/>
      <c r="EJ196" s="53" t="inlineStr">
        <is>
          <t>Same as per records</t>
        </is>
      </c>
      <c r="EK196" s="53" t="n"/>
      <c r="EL196" s="53" t="n">
        <v>2</v>
      </c>
      <c r="EM196" s="53" t="inlineStr">
        <is>
          <t>Low</t>
        </is>
      </c>
      <c r="EN196" s="53" t="inlineStr">
        <is>
          <t>Performance Risk</t>
        </is>
      </c>
      <c r="EO196" s="53" t="inlineStr">
        <is>
          <t>Not Ready</t>
        </is>
      </c>
      <c r="EP196" s="53" t="inlineStr">
        <is>
          <t>No</t>
        </is>
      </c>
      <c r="EQ196" s="53" t="inlineStr">
        <is>
          <t>No</t>
        </is>
      </c>
      <c r="ER196" s="53" t="n"/>
      <c r="ES196" s="53" t="inlineStr">
        <is>
          <t>Training on the effective utilization of AI tools.</t>
        </is>
      </c>
      <c r="ET196" s="53" t="n"/>
      <c r="EU196" s="53" t="n"/>
      <c r="EV196" s="53" t="n"/>
      <c r="EW196" s="52" t="n"/>
      <c r="EX196" s="53" t="n"/>
      <c r="EY196" s="53" t="n"/>
      <c r="EZ196" s="53" t="n"/>
      <c r="FA196" s="53" t="n"/>
      <c r="FB196" s="53" t="n"/>
      <c r="FC196" s="53" t="n"/>
      <c r="FD196" s="53" t="n"/>
      <c r="FE196" s="57"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FF196" s="56"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FG196" s="56" t="inlineStr">
        <is>
          <t>Focused on delivering reliable, scalable, and optimized solutions while also aiming to enhance team productivity, adopt AI-driven development practices, and continuously upskill in ETL and BI tools like Apache Hop.</t>
        </is>
      </c>
      <c r="FH196" s="56" t="inlineStr">
        <is>
          <t>2</t>
        </is>
      </c>
      <c r="FI196" s="56" t="n"/>
      <c r="FJ196" s="56" t="inlineStr">
        <is>
          <t>Received · manager annual, quarterly, self</t>
        </is>
      </c>
      <c r="FK196" s="56" t="inlineStr">
        <is>
          <t>Talent Mapping · iDEAL</t>
        </is>
      </c>
      <c r="FL196" s="56" t="n">
        <v>20</v>
      </c>
      <c r="FM196" s="32" t="inlineStr">
        <is>
          <t>Full survey answers not in the files received · How We Grow export needed · HR</t>
        </is>
      </c>
      <c r="FN196" s="56" t="inlineStr">
        <is>
          <t>—</t>
        </is>
      </c>
      <c r="FO196" s="56" t="inlineStr">
        <is>
          <t>—</t>
        </is>
      </c>
      <c r="FP196" s="56" t="inlineStr">
        <is>
          <t>—</t>
        </is>
      </c>
      <c r="FQ196" s="56" t="inlineStr">
        <is>
          <t>—</t>
        </is>
      </c>
      <c r="FR196" s="56"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production fixes → moved down 0.2
Leadership: Evidence reads like A3: Manages tasks and status of the team; 1 direct report → moved down 0.5</t>
        </is>
      </c>
      <c r="FS196" s="56" t="inlineStr">
        <is>
          <t>Common themes in sub-family holders, all levels' answers: business · support · data · solutions · build · reliable
Common themes in sub-family holders, all levels' answers: issue · support · development · data · resolution · deployment
Common themes in sub-family holders, all levels' answers: deliver · enhancements · solutions · product · data · models
Common themes in sub-family holders, all levels' answers: accountable · am · assigned · quality · solutions · personally
Common themes in sub-family holders, all levels' answers: issues · troubleshoot · independently · client · implement · technical
If the work is missed · role-holders' themes: issues · lead · incorrect.</t>
        </is>
      </c>
      <c r="FT196" s="56" t="inlineStr">
        <is>
          <t>Self-identified: Project / programme management
For the next role: Project / programme management</t>
        </is>
      </c>
      <c r="FU196" s="32" t="inlineStr">
        <is>
          <t>Full survey answers not in the files received · How We Grow export needed · HR</t>
        </is>
      </c>
    </row>
    <row r="197" ht="90" customHeight="1">
      <c r="A197" s="51" t="inlineStr">
        <is>
          <t>◂ Back</t>
        </is>
      </c>
      <c r="B197" s="29" t="inlineStr">
        <is>
          <t>Mapped</t>
        </is>
      </c>
      <c r="C197" s="28" t="inlineStr">
        <is>
          <t>iDEAL</t>
        </is>
      </c>
      <c r="D197" s="29" t="inlineStr">
        <is>
          <t>IRIS1858</t>
        </is>
      </c>
      <c r="E197" s="29" t="inlineStr">
        <is>
          <t>Prasad Bhoite</t>
        </is>
      </c>
      <c r="F197" s="29" t="inlineStr">
        <is>
          <t>Technology</t>
        </is>
      </c>
      <c r="G197" s="29" t="inlineStr">
        <is>
          <t>Software Engineer</t>
        </is>
      </c>
      <c r="H197" s="29" t="inlineStr">
        <is>
          <t>Senior Database Engineer</t>
        </is>
      </c>
      <c r="I197" s="29" t="inlineStr">
        <is>
          <t>L3 – Professional / Associate</t>
        </is>
      </c>
      <c r="J197" s="29" t="inlineStr">
        <is>
          <t>A3</t>
        </is>
      </c>
      <c r="K197" s="29" t="inlineStr">
        <is>
          <t>▲ Up</t>
        </is>
      </c>
      <c r="L197" s="29" t="inlineStr">
        <is>
          <t>Engineering &amp; Development</t>
        </is>
      </c>
      <c r="M197" s="29" t="inlineStr">
        <is>
          <t>Data Engineering &amp; Database Development</t>
        </is>
      </c>
      <c r="N197" s="29" t="n"/>
      <c r="O197" s="29" t="n">
        <v>20</v>
      </c>
      <c r="P197" s="28" t="inlineStr">
        <is>
          <t>P2</t>
        </is>
      </c>
      <c r="Q197" s="29" t="inlineStr">
        <is>
          <t>Developing</t>
        </is>
      </c>
      <c r="R197" s="29" t="inlineStr">
        <is>
          <t>3 Apply</t>
        </is>
      </c>
      <c r="S197" s="29" t="inlineStr">
        <is>
          <t>2–4 yrs</t>
        </is>
      </c>
      <c r="T197" s="29" t="inlineStr">
        <is>
          <t>3–5 · 2–5</t>
        </is>
      </c>
      <c r="U197" s="29" t="inlineStr">
        <is>
          <t>Software Engineer</t>
        </is>
      </c>
      <c r="V197" s="29" t="inlineStr">
        <is>
          <t>Workiva: SE · Broadridge India: SE · Nasdaq / AxiomSL: SE · Salesforce: MTS · Atlassian: P40 · 3–7 yrs · Freshworks: Senior SE</t>
        </is>
      </c>
      <c r="W197" s="29" t="inlineStr">
        <is>
          <t>SFIA 9 · software development, programming; OWASP secure coding; cloud vendor certifications</t>
        </is>
      </c>
      <c r="X197" s="29" t="inlineStr">
        <is>
          <t>Core 2 · Future 2 · Functional 3 · Leadership not scored</t>
        </is>
      </c>
      <c r="Y197" s="52" t="n">
        <v>166</v>
      </c>
      <c r="Z197" s="53" t="inlineStr">
        <is>
          <t>IRIS1858</t>
        </is>
      </c>
      <c r="AA197" s="53" t="inlineStr">
        <is>
          <t>Employee</t>
        </is>
      </c>
      <c r="AB197" s="53" t="inlineStr">
        <is>
          <t>Active</t>
        </is>
      </c>
      <c r="AC197" s="53" t="inlineStr">
        <is>
          <t>Prasad Bhoite</t>
        </is>
      </c>
      <c r="AD197" s="54" t="n">
        <v>43983</v>
      </c>
      <c r="AE197" s="53" t="inlineStr">
        <is>
          <t>Software Engineer</t>
        </is>
      </c>
      <c r="AF197" s="53" t="inlineStr">
        <is>
          <t>BCA</t>
        </is>
      </c>
      <c r="AG197" s="53" t="inlineStr">
        <is>
          <t>Jignasha Sawla</t>
        </is>
      </c>
      <c r="AH197" s="53" t="inlineStr">
        <is>
          <t>N-5</t>
        </is>
      </c>
      <c r="AI197" s="53" t="inlineStr">
        <is>
          <t>Individual Contributor</t>
        </is>
      </c>
      <c r="AJ197" s="53" t="inlineStr">
        <is>
          <t>0 years, 7 months, 4 days</t>
        </is>
      </c>
      <c r="AK197" s="53" t="inlineStr">
        <is>
          <t>6 years, 2 months, 24 days</t>
        </is>
      </c>
      <c r="AL197" s="53" t="inlineStr">
        <is>
          <t>Regtech</t>
        </is>
      </c>
      <c r="AM197" s="53" t="inlineStr">
        <is>
          <t>iDEAL</t>
        </is>
      </c>
      <c r="AN197" s="53" t="inlineStr">
        <is>
          <t>Technology</t>
        </is>
      </c>
      <c r="AO197" s="53" t="inlineStr">
        <is>
          <t>Development</t>
        </is>
      </c>
      <c r="AP197" s="53" t="inlineStr">
        <is>
          <t>Yes</t>
        </is>
      </c>
      <c r="AQ197" s="53" t="inlineStr">
        <is>
          <t>Product/Project</t>
        </is>
      </c>
      <c r="AR197" s="53" t="inlineStr">
        <is>
          <t>Java</t>
        </is>
      </c>
      <c r="AS197" s="53" t="inlineStr">
        <is>
          <t>Technical - Developer</t>
        </is>
      </c>
      <c r="AT197" s="53" t="n">
        <v>20</v>
      </c>
      <c r="AU197" s="53" t="inlineStr">
        <is>
          <t>Covered</t>
        </is>
      </c>
      <c r="AV197" s="53" t="n"/>
      <c r="AW197" s="53" t="n"/>
      <c r="AX197" s="53" t="n"/>
      <c r="AY197" s="53" t="n"/>
      <c r="AZ197" s="53" t="n"/>
      <c r="BA197" s="53" t="n"/>
      <c r="BB197" s="53" t="n"/>
      <c r="BC197" s="53" t="n"/>
      <c r="BD197" s="53" t="n"/>
      <c r="BE197" s="53" t="n"/>
      <c r="BF197" s="53" t="n"/>
      <c r="BG197" s="53" t="n"/>
      <c r="BH197" s="53" t="n"/>
      <c r="BI197" s="53" t="n"/>
      <c r="BJ197" s="53" t="n"/>
      <c r="BK197" s="53" t="n"/>
      <c r="BL197" s="53" t="n"/>
      <c r="BM197" s="53" t="n"/>
      <c r="BN197" s="53" t="n"/>
      <c r="BO197" s="53" t="n"/>
      <c r="BP197" s="53" t="n"/>
      <c r="BQ197" s="53" t="n"/>
      <c r="BR197" s="53" t="n"/>
      <c r="BS197" s="53" t="n"/>
      <c r="BT197" s="53" t="n"/>
      <c r="BU197" s="53" t="n"/>
      <c r="BV197" s="53" t="n"/>
      <c r="BW197" s="53" t="n"/>
      <c r="BX197" s="53" t="n"/>
      <c r="BY197" s="53" t="n"/>
      <c r="BZ197" s="53" t="n"/>
      <c r="CA197" s="53" t="n"/>
      <c r="CB197" s="53" t="n"/>
      <c r="CC197" s="53" t="n"/>
      <c r="CD197" s="53" t="n"/>
      <c r="CE197" s="53" t="n"/>
      <c r="CF197" s="53" t="n"/>
      <c r="CG197" s="53" t="n"/>
      <c r="CH197" s="53" t="n"/>
      <c r="CI197" s="53" t="n"/>
      <c r="CJ197" s="53" t="n"/>
      <c r="CK197" s="53" t="n"/>
      <c r="CL197" s="53" t="n"/>
      <c r="CM197" s="53" t="n"/>
      <c r="CN197" s="53" t="n"/>
      <c r="CO197" s="53" t="n"/>
      <c r="CP197" s="53" t="n"/>
      <c r="CQ197" s="53" t="n"/>
      <c r="CR197" s="53" t="n"/>
      <c r="CS197" s="53" t="n"/>
      <c r="CT197" s="53" t="n"/>
      <c r="CU197" s="53" t="n"/>
      <c r="CV197" s="53" t="n"/>
      <c r="CW197" s="53" t="n"/>
      <c r="CX197" s="53" t="n"/>
      <c r="CY197" s="53" t="n"/>
      <c r="CZ197" s="53" t="n"/>
      <c r="DA197" s="53" t="n"/>
      <c r="DB197" s="53" t="n"/>
      <c r="DC197" s="53" t="n"/>
      <c r="DD197" s="53" t="inlineStr">
        <is>
          <t>IRIS1858</t>
        </is>
      </c>
      <c r="DE197" s="53" t="inlineStr">
        <is>
          <t>Employee</t>
        </is>
      </c>
      <c r="DF197" s="53" t="inlineStr">
        <is>
          <t>Active</t>
        </is>
      </c>
      <c r="DG197" s="53" t="inlineStr">
        <is>
          <t>Prasad Bhoite</t>
        </is>
      </c>
      <c r="DH197" s="54" t="n">
        <v>43983</v>
      </c>
      <c r="DI197" s="53" t="inlineStr">
        <is>
          <t>Software Engineer</t>
        </is>
      </c>
      <c r="DJ197" s="53" t="inlineStr">
        <is>
          <t>Engineering &amp; Development</t>
        </is>
      </c>
      <c r="DK197" s="53" t="inlineStr">
        <is>
          <t>Backend Engineering · Java</t>
        </is>
      </c>
      <c r="DL197" s="53" t="inlineStr">
        <is>
          <t>Software Engineer</t>
        </is>
      </c>
      <c r="DM197" s="53" t="inlineStr">
        <is>
          <t>L3 – Professional / Associate</t>
        </is>
      </c>
      <c r="DN197" s="53" t="inlineStr">
        <is>
          <t>BCA</t>
        </is>
      </c>
      <c r="DO197" s="53" t="inlineStr">
        <is>
          <t>Jignasha Sawla</t>
        </is>
      </c>
      <c r="DP197" s="53" t="inlineStr">
        <is>
          <t>N-5</t>
        </is>
      </c>
      <c r="DQ197" s="53" t="inlineStr">
        <is>
          <t>Individual Contributor</t>
        </is>
      </c>
      <c r="DR197" s="53" t="inlineStr">
        <is>
          <t>0 years, 7 months, 4 days</t>
        </is>
      </c>
      <c r="DS197" s="53" t="inlineStr">
        <is>
          <t>6 years, 0 months, 19 days</t>
        </is>
      </c>
      <c r="DT197" s="53" t="inlineStr">
        <is>
          <t>6 years, 7 months, 23 days</t>
        </is>
      </c>
      <c r="DU197" s="53" t="n"/>
      <c r="DV197" s="53" t="inlineStr">
        <is>
          <t>Regtech</t>
        </is>
      </c>
      <c r="DW197" s="53" t="inlineStr">
        <is>
          <t>iDEAL</t>
        </is>
      </c>
      <c r="DX197" s="53" t="inlineStr">
        <is>
          <t>Technology</t>
        </is>
      </c>
      <c r="DY197" s="53" t="inlineStr">
        <is>
          <t>Development</t>
        </is>
      </c>
      <c r="DZ197" s="53" t="inlineStr">
        <is>
          <t>Yes</t>
        </is>
      </c>
      <c r="EA197" s="53" t="inlineStr">
        <is>
          <t>Product/Project</t>
        </is>
      </c>
      <c r="EB197" s="53" t="inlineStr">
        <is>
          <t>Java</t>
        </is>
      </c>
      <c r="EC197" s="53" t="inlineStr">
        <is>
          <t>Technical - Developer</t>
        </is>
      </c>
      <c r="ED197" s="53" t="inlineStr">
        <is>
          <t>Remote- Outside Mumbai</t>
        </is>
      </c>
      <c r="EE197" s="53"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EF197" s="53"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EG197" s="53"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EH197" s="53" t="n">
        <v>3</v>
      </c>
      <c r="EI197" s="53" t="n"/>
      <c r="EJ197" s="53" t="inlineStr">
        <is>
          <t>Same as per records</t>
        </is>
      </c>
      <c r="EK197" s="53" t="n"/>
      <c r="EL197" s="53" t="n">
        <v>3</v>
      </c>
      <c r="EM197" s="53" t="inlineStr">
        <is>
          <t>Medium</t>
        </is>
      </c>
      <c r="EN197" s="53" t="inlineStr">
        <is>
          <t>Emerging Talent</t>
        </is>
      </c>
      <c r="EO197" s="53" t="inlineStr">
        <is>
          <t>Not Ready</t>
        </is>
      </c>
      <c r="EP197" s="53" t="inlineStr">
        <is>
          <t>No</t>
        </is>
      </c>
      <c r="EQ197" s="53" t="inlineStr">
        <is>
          <t>Yes</t>
        </is>
      </c>
      <c r="ER197" s="53" t="n"/>
      <c r="ES197" s="53" t="inlineStr">
        <is>
          <t>Training on the effective utilization of AI tools.</t>
        </is>
      </c>
      <c r="ET197" s="53" t="n"/>
      <c r="EU197" s="53" t="n"/>
      <c r="EV197" s="53" t="n"/>
      <c r="EW197" s="52" t="n"/>
      <c r="EX197" s="53" t="n"/>
      <c r="EY197" s="53" t="n"/>
      <c r="EZ197" s="53" t="n"/>
      <c r="FA197" s="53" t="n"/>
      <c r="FB197" s="53" t="n"/>
      <c r="FC197" s="53" t="n"/>
      <c r="FD197" s="53" t="n"/>
      <c r="FE197" s="57"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FF197" s="56"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FG197" s="56"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FH197" s="56" t="inlineStr">
        <is>
          <t>3</t>
        </is>
      </c>
      <c r="FI197" s="56" t="n"/>
      <c r="FJ197" s="56" t="inlineStr">
        <is>
          <t>Received · manager annual, quarterly, self</t>
        </is>
      </c>
      <c r="FK197" s="56" t="inlineStr">
        <is>
          <t>Talent Mapping · iDEAL</t>
        </is>
      </c>
      <c r="FL197" s="56" t="n">
        <v>20</v>
      </c>
      <c r="FM197" s="32" t="inlineStr">
        <is>
          <t>Full survey answers not in the files received · How We Grow export needed · HR</t>
        </is>
      </c>
      <c r="FN197" s="56" t="inlineStr">
        <is>
          <t>—</t>
        </is>
      </c>
      <c r="FO197" s="56" t="inlineStr">
        <is>
          <t>—</t>
        </is>
      </c>
      <c r="FP197" s="56" t="inlineStr">
        <is>
          <t>—</t>
        </is>
      </c>
      <c r="FQ197" s="56" t="inlineStr">
        <is>
          <t>—</t>
        </is>
      </c>
      <c r="FR197" s="56"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cause downtime or reporting issues → moved up 0.5
Leadership: Evidence reads like A1: No guidance of others described → matches the start
Business Impact: Moved +0.5: the survey / manager mapping marks it business-critical.</t>
        </is>
      </c>
      <c r="FS197"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197" s="56" t="inlineStr">
        <is>
          <t>Self-identified: AI / automation · Technical depth &amp; architecture · Data, SQL &amp; analytics · Broader exposure &amp; ownership
For the next role: AI / automation · Technical depth &amp; architecture · Data, SQL &amp; analytics · Broader exposure &amp; ownership</t>
        </is>
      </c>
      <c r="FU197" s="32" t="inlineStr">
        <is>
          <t>Full survey answers not in the files received · How We Grow export needed · HR</t>
        </is>
      </c>
    </row>
    <row r="198" ht="90" customHeight="1">
      <c r="A198" s="51" t="inlineStr">
        <is>
          <t>◂ Back</t>
        </is>
      </c>
      <c r="B198" s="29" t="inlineStr">
        <is>
          <t>Mapped</t>
        </is>
      </c>
      <c r="C198" s="28" t="inlineStr">
        <is>
          <t>iDEAL</t>
        </is>
      </c>
      <c r="D198" s="29" t="inlineStr">
        <is>
          <t>IRIS2052</t>
        </is>
      </c>
      <c r="E198" s="29" t="inlineStr">
        <is>
          <t>Akshata Sabale</t>
        </is>
      </c>
      <c r="F198" s="29" t="inlineStr">
        <is>
          <t>Technology</t>
        </is>
      </c>
      <c r="G198" s="29" t="inlineStr">
        <is>
          <t>Software Engineer</t>
        </is>
      </c>
      <c r="H198" s="29" t="inlineStr">
        <is>
          <t>Senior Software Engineer</t>
        </is>
      </c>
      <c r="I198" s="29" t="inlineStr">
        <is>
          <t>L3 – Professional / Associate</t>
        </is>
      </c>
      <c r="J198" s="29" t="inlineStr">
        <is>
          <t>A3</t>
        </is>
      </c>
      <c r="K198" s="29" t="inlineStr">
        <is>
          <t>▲ Up</t>
        </is>
      </c>
      <c r="L198" s="29" t="inlineStr">
        <is>
          <t>Engineering &amp; Development</t>
        </is>
      </c>
      <c r="M198" s="29" t="inlineStr">
        <is>
          <t>Backend Development</t>
        </is>
      </c>
      <c r="N198" s="29" t="n"/>
      <c r="O198" s="29" t="n">
        <v>20</v>
      </c>
      <c r="P198" s="28" t="inlineStr">
        <is>
          <t>P2</t>
        </is>
      </c>
      <c r="Q198" s="29" t="inlineStr">
        <is>
          <t>Developing</t>
        </is>
      </c>
      <c r="R198" s="29" t="inlineStr">
        <is>
          <t>3 Apply</t>
        </is>
      </c>
      <c r="S198" s="29" t="inlineStr">
        <is>
          <t>2–4 yrs</t>
        </is>
      </c>
      <c r="T198" s="29" t="inlineStr">
        <is>
          <t>3–5 · 2–5</t>
        </is>
      </c>
      <c r="U198" s="29" t="inlineStr">
        <is>
          <t>Software Engineer</t>
        </is>
      </c>
      <c r="V198" s="29" t="inlineStr">
        <is>
          <t>Workiva: SE · Broadridge India: SE · Nasdaq / AxiomSL: SE · Salesforce: MTS · Atlassian: P40 · 3–7 yrs · Freshworks: Senior SE</t>
        </is>
      </c>
      <c r="W198" s="29" t="inlineStr">
        <is>
          <t>SFIA 9 · software development, programming; OWASP secure coding; cloud vendor certifications</t>
        </is>
      </c>
      <c r="X198" s="29" t="inlineStr">
        <is>
          <t>Core 2 · Future 2 · Functional 3 · Leadership not scored</t>
        </is>
      </c>
      <c r="Y198" s="52" t="n">
        <v>236</v>
      </c>
      <c r="Z198" s="53" t="inlineStr">
        <is>
          <t>IRIS2052</t>
        </is>
      </c>
      <c r="AA198" s="53" t="inlineStr">
        <is>
          <t>Employee</t>
        </is>
      </c>
      <c r="AB198" s="53" t="inlineStr">
        <is>
          <t>Active</t>
        </is>
      </c>
      <c r="AC198" s="53" t="inlineStr">
        <is>
          <t>Akshata Sabale</t>
        </is>
      </c>
      <c r="AD198" s="54" t="n">
        <v>44774</v>
      </c>
      <c r="AE198" s="53" t="inlineStr">
        <is>
          <t>Software Engineer</t>
        </is>
      </c>
      <c r="AF198" s="53" t="inlineStr">
        <is>
          <t>B.E</t>
        </is>
      </c>
      <c r="AG198" s="53" t="inlineStr">
        <is>
          <t>Jitendra Kumar</t>
        </is>
      </c>
      <c r="AH198" s="53" t="inlineStr">
        <is>
          <t>N-4</t>
        </is>
      </c>
      <c r="AI198" s="53" t="inlineStr">
        <is>
          <t>Individual Contributor</t>
        </is>
      </c>
      <c r="AJ198" s="53" t="inlineStr">
        <is>
          <t>1 years, 0 months, 0 days</t>
        </is>
      </c>
      <c r="AK198" s="53" t="inlineStr">
        <is>
          <t>4 years, 0 months, 24 days</t>
        </is>
      </c>
      <c r="AL198" s="53" t="inlineStr">
        <is>
          <t>Regtech</t>
        </is>
      </c>
      <c r="AM198" s="53" t="inlineStr">
        <is>
          <t>iDEAL</t>
        </is>
      </c>
      <c r="AN198" s="53" t="inlineStr">
        <is>
          <t>Technology</t>
        </is>
      </c>
      <c r="AO198" s="53" t="inlineStr">
        <is>
          <t>Development</t>
        </is>
      </c>
      <c r="AP198" s="53" t="inlineStr">
        <is>
          <t>Yes</t>
        </is>
      </c>
      <c r="AQ198" s="53" t="inlineStr">
        <is>
          <t>Product/Project</t>
        </is>
      </c>
      <c r="AR198" s="53" t="inlineStr">
        <is>
          <t>.NET MVC</t>
        </is>
      </c>
      <c r="AS198" s="53" t="inlineStr">
        <is>
          <t>Technical - Developer</t>
        </is>
      </c>
      <c r="AT198" s="53" t="n">
        <v>20</v>
      </c>
      <c r="AU198" s="53" t="inlineStr">
        <is>
          <t>Covered</t>
        </is>
      </c>
      <c r="AV198" s="53" t="n"/>
      <c r="AW198" s="53" t="n"/>
      <c r="AX198" s="53" t="n"/>
      <c r="AY198" s="53" t="n"/>
      <c r="AZ198" s="53" t="n"/>
      <c r="BA198" s="53" t="n"/>
      <c r="BB198" s="53" t="n"/>
      <c r="BC198" s="53" t="n"/>
      <c r="BD198" s="53" t="n"/>
      <c r="BE198" s="53" t="n"/>
      <c r="BF198" s="53" t="n"/>
      <c r="BG198" s="53" t="n"/>
      <c r="BH198" s="53" t="n"/>
      <c r="BI198" s="53" t="n"/>
      <c r="BJ198" s="53" t="n"/>
      <c r="BK198" s="53" t="n"/>
      <c r="BL198" s="53" t="n"/>
      <c r="BM198" s="53" t="n"/>
      <c r="BN198" s="53" t="n"/>
      <c r="BO198" s="53" t="n"/>
      <c r="BP198" s="53" t="n"/>
      <c r="BQ198" s="53" t="n"/>
      <c r="BR198" s="53" t="n"/>
      <c r="BS198" s="53" t="n"/>
      <c r="BT198" s="53" t="n"/>
      <c r="BU198" s="53" t="n"/>
      <c r="BV198" s="53" t="n"/>
      <c r="BW198" s="53" t="n"/>
      <c r="BX198" s="53" t="n"/>
      <c r="BY198" s="53" t="n"/>
      <c r="BZ198" s="53" t="n"/>
      <c r="CA198" s="53" t="n"/>
      <c r="CB198" s="53" t="n"/>
      <c r="CC198" s="53" t="n"/>
      <c r="CD198" s="53" t="n"/>
      <c r="CE198" s="53" t="n"/>
      <c r="CF198" s="53" t="n"/>
      <c r="CG198" s="53" t="n"/>
      <c r="CH198" s="53" t="n"/>
      <c r="CI198" s="53" t="n"/>
      <c r="CJ198" s="53" t="n"/>
      <c r="CK198" s="53" t="n"/>
      <c r="CL198" s="53" t="n"/>
      <c r="CM198" s="53" t="n"/>
      <c r="CN198" s="53" t="n"/>
      <c r="CO198" s="53" t="n"/>
      <c r="CP198" s="53" t="n"/>
      <c r="CQ198" s="53" t="n"/>
      <c r="CR198" s="53" t="n"/>
      <c r="CS198" s="53" t="n"/>
      <c r="CT198" s="53" t="n"/>
      <c r="CU198" s="53" t="n"/>
      <c r="CV198" s="53" t="n"/>
      <c r="CW198" s="53" t="n"/>
      <c r="CX198" s="53" t="n"/>
      <c r="CY198" s="53" t="n"/>
      <c r="CZ198" s="53" t="n"/>
      <c r="DA198" s="53" t="n"/>
      <c r="DB198" s="53" t="n"/>
      <c r="DC198" s="53" t="n"/>
      <c r="DD198" s="53" t="inlineStr">
        <is>
          <t>IRIS2052</t>
        </is>
      </c>
      <c r="DE198" s="53" t="inlineStr">
        <is>
          <t>Employee</t>
        </is>
      </c>
      <c r="DF198" s="53" t="inlineStr">
        <is>
          <t>Active</t>
        </is>
      </c>
      <c r="DG198" s="53" t="inlineStr">
        <is>
          <t>Akshata Sabale</t>
        </is>
      </c>
      <c r="DH198" s="54" t="n">
        <v>44774</v>
      </c>
      <c r="DI198" s="53" t="inlineStr">
        <is>
          <t>Software Engineer</t>
        </is>
      </c>
      <c r="DJ198" s="53" t="inlineStr">
        <is>
          <t>Engineering &amp; Development</t>
        </is>
      </c>
      <c r="DK198" s="53" t="inlineStr">
        <is>
          <t>Backend Engineering ·.NET</t>
        </is>
      </c>
      <c r="DL198" s="53" t="inlineStr">
        <is>
          <t>Software Engineer</t>
        </is>
      </c>
      <c r="DM198" s="53" t="inlineStr">
        <is>
          <t>L3 – Professional / Associate</t>
        </is>
      </c>
      <c r="DN198" s="53" t="inlineStr">
        <is>
          <t>B.E</t>
        </is>
      </c>
      <c r="DO198" s="53" t="inlineStr">
        <is>
          <t>Jitendra Kumar</t>
        </is>
      </c>
      <c r="DP198" s="53" t="inlineStr">
        <is>
          <t>N-4</t>
        </is>
      </c>
      <c r="DQ198" s="53" t="inlineStr">
        <is>
          <t>Individual Contributor</t>
        </is>
      </c>
      <c r="DR198" s="53" t="inlineStr">
        <is>
          <t>1 years, 0 months, 0 days</t>
        </is>
      </c>
      <c r="DS198" s="53" t="inlineStr">
        <is>
          <t>3 years, 10 months, 19 days</t>
        </is>
      </c>
      <c r="DT198" s="53" t="inlineStr">
        <is>
          <t>4 years, 10 months, 19 days</t>
        </is>
      </c>
      <c r="DU198" s="53" t="n"/>
      <c r="DV198" s="53" t="inlineStr">
        <is>
          <t>Regtech</t>
        </is>
      </c>
      <c r="DW198" s="53" t="inlineStr">
        <is>
          <t>iDEAL</t>
        </is>
      </c>
      <c r="DX198" s="53" t="inlineStr">
        <is>
          <t>Technology</t>
        </is>
      </c>
      <c r="DY198" s="53" t="inlineStr">
        <is>
          <t>Development</t>
        </is>
      </c>
      <c r="DZ198" s="53" t="inlineStr">
        <is>
          <t>Yes</t>
        </is>
      </c>
      <c r="EA198" s="53" t="inlineStr">
        <is>
          <t>Product/Project</t>
        </is>
      </c>
      <c r="EB198" s="53" t="inlineStr">
        <is>
          <t>.NET MVC</t>
        </is>
      </c>
      <c r="EC198" s="53" t="inlineStr">
        <is>
          <t>Technical - Developer</t>
        </is>
      </c>
      <c r="ED198" s="53" t="inlineStr">
        <is>
          <t>Remote- Outside Mumbai</t>
        </is>
      </c>
      <c r="EE198" s="53"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EF198" s="53"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EG198" s="53"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EH198" s="53" t="n">
        <v>3</v>
      </c>
      <c r="EI198" s="53" t="n"/>
      <c r="EJ198" s="53" t="inlineStr">
        <is>
          <t>Same as per records</t>
        </is>
      </c>
      <c r="EK198" s="53" t="n"/>
      <c r="EL198" s="53" t="n">
        <v>3</v>
      </c>
      <c r="EM198" s="53" t="inlineStr">
        <is>
          <t>Medium</t>
        </is>
      </c>
      <c r="EN198" s="53" t="inlineStr">
        <is>
          <t>Core Contributor</t>
        </is>
      </c>
      <c r="EO198" s="53" t="inlineStr">
        <is>
          <t>Not Ready</t>
        </is>
      </c>
      <c r="EP198" s="53" t="inlineStr">
        <is>
          <t>No</t>
        </is>
      </c>
      <c r="EQ198" s="53" t="inlineStr">
        <is>
          <t>No</t>
        </is>
      </c>
      <c r="ER198" s="53" t="n"/>
      <c r="ES198" s="53" t="inlineStr">
        <is>
          <t>XBRL Training, Training on the effective utilization of AI tools.</t>
        </is>
      </c>
      <c r="ET198" s="53" t="n"/>
      <c r="EU198" s="53" t="n"/>
      <c r="EV198" s="53" t="n"/>
      <c r="EW198" s="52" t="n"/>
      <c r="EX198" s="53" t="n"/>
      <c r="EY198" s="53" t="n"/>
      <c r="EZ198" s="53" t="n"/>
      <c r="FA198" s="53" t="n"/>
      <c r="FB198" s="53" t="n"/>
      <c r="FC198" s="53" t="inlineStr">
        <is>
          <t>Annual KRAs · objective Measurable Minimum 5 - set by Manager</t>
        </is>
      </c>
      <c r="FD198" s="53" t="n"/>
      <c r="FE198" s="57"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FF198" s="56"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FG198" s="56"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FH198" s="56" t="inlineStr">
        <is>
          <t>3</t>
        </is>
      </c>
      <c r="FI198" s="56" t="n"/>
      <c r="FJ198" s="56" t="inlineStr">
        <is>
          <t>Received · manager annual, quarterly, self</t>
        </is>
      </c>
      <c r="FK198" s="56" t="inlineStr">
        <is>
          <t>Talent Mapping · iDEAL</t>
        </is>
      </c>
      <c r="FL198" s="56" t="n">
        <v>20</v>
      </c>
      <c r="FM198" s="32" t="inlineStr">
        <is>
          <t>Full survey answers not in the files received · How We Grow export needed · HR</t>
        </is>
      </c>
      <c r="FN198" s="56" t="inlineStr">
        <is>
          <t>—</t>
        </is>
      </c>
      <c r="FO198" s="56" t="inlineStr">
        <is>
          <t>—</t>
        </is>
      </c>
      <c r="FP198" s="56" t="inlineStr">
        <is>
          <t>—</t>
        </is>
      </c>
      <c r="FQ198" s="56" t="inlineStr">
        <is>
          <t>—</t>
        </is>
      </c>
      <c r="FR198" s="56"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urgent fix by him → moved up 0.5
Leadership: Evidence reads like A1: Reviews code but no guidance of others described → matches the start
Business Impact: No survey or manager-mapping signal on criticality: kept at the start point.</t>
        </is>
      </c>
      <c r="FS19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198" s="56" t="inlineStr">
        <is>
          <t>Self-identified: Answered · no common topic
For the next role: Answered · no common topic</t>
        </is>
      </c>
      <c r="FU198" s="32" t="inlineStr">
        <is>
          <t>Full survey answers not in the files received · How We Grow export needed · HR</t>
        </is>
      </c>
    </row>
    <row r="199" ht="90" customHeight="1">
      <c r="A199" s="51" t="inlineStr">
        <is>
          <t>◂ Back</t>
        </is>
      </c>
      <c r="B199" s="29" t="inlineStr">
        <is>
          <t>Mapped</t>
        </is>
      </c>
      <c r="C199" s="28" t="inlineStr">
        <is>
          <t>iDEAL</t>
        </is>
      </c>
      <c r="D199" s="29" t="inlineStr">
        <is>
          <t>IRIS1922</t>
        </is>
      </c>
      <c r="E199" s="29" t="inlineStr">
        <is>
          <t>H Marenna</t>
        </is>
      </c>
      <c r="F199" s="29" t="inlineStr">
        <is>
          <t>Technology</t>
        </is>
      </c>
      <c r="G199" s="29" t="inlineStr">
        <is>
          <t>Senior Software Engineer</t>
        </is>
      </c>
      <c r="H199" s="29" t="inlineStr">
        <is>
          <t>Senior Database Engineer</t>
        </is>
      </c>
      <c r="I199" s="29" t="inlineStr">
        <is>
          <t>L4 – Senior</t>
        </is>
      </c>
      <c r="J199" s="29" t="inlineStr">
        <is>
          <t>A3</t>
        </is>
      </c>
      <c r="K199" s="29" t="inlineStr">
        <is>
          <t>• Same level</t>
        </is>
      </c>
      <c r="L199" s="29" t="inlineStr">
        <is>
          <t>Engineering &amp; Development</t>
        </is>
      </c>
      <c r="M199" s="29" t="inlineStr">
        <is>
          <t>Data Engineering &amp; Database Development</t>
        </is>
      </c>
      <c r="N199" s="29" t="n"/>
      <c r="O199" s="29" t="n">
        <v>20</v>
      </c>
      <c r="P199" s="28" t="inlineStr">
        <is>
          <t>P2</t>
        </is>
      </c>
      <c r="Q199" s="29" t="inlineStr">
        <is>
          <t>Developing</t>
        </is>
      </c>
      <c r="R199" s="29" t="inlineStr">
        <is>
          <t>3 Apply</t>
        </is>
      </c>
      <c r="S199" s="29" t="inlineStr">
        <is>
          <t>2–4 yrs</t>
        </is>
      </c>
      <c r="T199" s="29" t="inlineStr">
        <is>
          <t>3–5 · 2–5</t>
        </is>
      </c>
      <c r="U199" s="29" t="inlineStr">
        <is>
          <t>Software Engineer</t>
        </is>
      </c>
      <c r="V199" s="29" t="inlineStr">
        <is>
          <t>Workiva: SE · Broadridge India: SE · Nasdaq / AxiomSL: SE · Salesforce: MTS · Atlassian: P40 · 3–7 yrs · Freshworks: Senior SE</t>
        </is>
      </c>
      <c r="W199" s="29" t="inlineStr">
        <is>
          <t>SFIA 9 · software development, programming; OWASP secure coding; cloud vendor certifications</t>
        </is>
      </c>
      <c r="X199" s="29" t="inlineStr">
        <is>
          <t>Core 2 · Future 2 · Functional 3 · Leadership not scored</t>
        </is>
      </c>
      <c r="Y199" s="52" t="n">
        <v>185</v>
      </c>
      <c r="Z199" s="53" t="inlineStr">
        <is>
          <t>IRIS1922</t>
        </is>
      </c>
      <c r="AA199" s="53" t="inlineStr">
        <is>
          <t>Employee</t>
        </is>
      </c>
      <c r="AB199" s="53" t="inlineStr">
        <is>
          <t>Active</t>
        </is>
      </c>
      <c r="AC199" s="53" t="inlineStr">
        <is>
          <t>H Marenna</t>
        </is>
      </c>
      <c r="AD199" s="54" t="n">
        <v>44375</v>
      </c>
      <c r="AE199" s="53" t="inlineStr">
        <is>
          <t>Senior Software Engineer</t>
        </is>
      </c>
      <c r="AF199" s="53" t="inlineStr">
        <is>
          <t>B.Tech</t>
        </is>
      </c>
      <c r="AG199" s="53" t="inlineStr">
        <is>
          <t>Jitendra Kumar</t>
        </is>
      </c>
      <c r="AH199" s="53" t="inlineStr">
        <is>
          <t>N-4</t>
        </is>
      </c>
      <c r="AI199" s="53" t="inlineStr">
        <is>
          <t>Individual Contributor</t>
        </is>
      </c>
      <c r="AJ199" s="53" t="inlineStr">
        <is>
          <t>4 years, 0 months, 0 days</t>
        </is>
      </c>
      <c r="AK199" s="53" t="inlineStr">
        <is>
          <t>5 years, 1 months, 28 days</t>
        </is>
      </c>
      <c r="AL199" s="53" t="inlineStr">
        <is>
          <t>Regtech</t>
        </is>
      </c>
      <c r="AM199" s="53" t="inlineStr">
        <is>
          <t>iDEAL</t>
        </is>
      </c>
      <c r="AN199" s="53" t="inlineStr">
        <is>
          <t>Technology</t>
        </is>
      </c>
      <c r="AO199" s="53" t="inlineStr">
        <is>
          <t>Development</t>
        </is>
      </c>
      <c r="AP199" s="53" t="inlineStr">
        <is>
          <t>Yes</t>
        </is>
      </c>
      <c r="AQ199" s="53" t="inlineStr">
        <is>
          <t>Product/Project</t>
        </is>
      </c>
      <c r="AR199" s="53" t="inlineStr">
        <is>
          <t>Talend</t>
        </is>
      </c>
      <c r="AS199" s="53" t="inlineStr">
        <is>
          <t>Technical - Developer</t>
        </is>
      </c>
      <c r="AT199" s="53" t="n">
        <v>20</v>
      </c>
      <c r="AU199" s="53" t="inlineStr">
        <is>
          <t>Covered</t>
        </is>
      </c>
      <c r="AV199" s="53" t="n"/>
      <c r="AW199" s="53" t="n"/>
      <c r="AX199" s="53" t="n"/>
      <c r="AY199" s="53" t="n"/>
      <c r="AZ199" s="53" t="n"/>
      <c r="BA199" s="53" t="n"/>
      <c r="BB199" s="53" t="n"/>
      <c r="BC199" s="53" t="n"/>
      <c r="BD199" s="53" t="n"/>
      <c r="BE199" s="53" t="n"/>
      <c r="BF199" s="53" t="n"/>
      <c r="BG199" s="53" t="n"/>
      <c r="BH199" s="53" t="n"/>
      <c r="BI199" s="53" t="n"/>
      <c r="BJ199" s="53" t="n"/>
      <c r="BK199" s="53" t="n"/>
      <c r="BL199" s="53" t="n"/>
      <c r="BM199" s="53" t="n"/>
      <c r="BN199" s="53" t="n"/>
      <c r="BO199" s="53" t="n"/>
      <c r="BP199" s="53" t="n"/>
      <c r="BQ199" s="53" t="n"/>
      <c r="BR199" s="53" t="n"/>
      <c r="BS199" s="53" t="n"/>
      <c r="BT199" s="53" t="n"/>
      <c r="BU199" s="53" t="n"/>
      <c r="BV199" s="53" t="n"/>
      <c r="BW199" s="53" t="n"/>
      <c r="BX199" s="53" t="n"/>
      <c r="BY199" s="53" t="n"/>
      <c r="BZ199" s="53" t="n"/>
      <c r="CA199" s="53" t="n"/>
      <c r="CB199" s="53" t="n"/>
      <c r="CC199" s="53" t="n"/>
      <c r="CD199" s="53" t="n"/>
      <c r="CE199" s="53" t="n"/>
      <c r="CF199" s="53" t="n"/>
      <c r="CG199" s="53" t="n"/>
      <c r="CH199" s="53" t="n"/>
      <c r="CI199" s="53" t="n"/>
      <c r="CJ199" s="53" t="n"/>
      <c r="CK199" s="53" t="n"/>
      <c r="CL199" s="53" t="n"/>
      <c r="CM199" s="53" t="n"/>
      <c r="CN199" s="53" t="n"/>
      <c r="CO199" s="53" t="n"/>
      <c r="CP199" s="53" t="n"/>
      <c r="CQ199" s="53" t="n"/>
      <c r="CR199" s="53" t="n"/>
      <c r="CS199" s="53" t="n"/>
      <c r="CT199" s="53" t="n"/>
      <c r="CU199" s="53" t="n"/>
      <c r="CV199" s="53" t="n"/>
      <c r="CW199" s="53" t="n"/>
      <c r="CX199" s="53" t="n"/>
      <c r="CY199" s="53" t="n"/>
      <c r="CZ199" s="53" t="n"/>
      <c r="DA199" s="53" t="n"/>
      <c r="DB199" s="53" t="n"/>
      <c r="DC199" s="53" t="n"/>
      <c r="DD199" s="53" t="inlineStr">
        <is>
          <t>IRIS1922</t>
        </is>
      </c>
      <c r="DE199" s="53" t="inlineStr">
        <is>
          <t>Employee</t>
        </is>
      </c>
      <c r="DF199" s="53" t="inlineStr">
        <is>
          <t>Active</t>
        </is>
      </c>
      <c r="DG199" s="53" t="inlineStr">
        <is>
          <t>H Marenna</t>
        </is>
      </c>
      <c r="DH199" s="54" t="n">
        <v>44375</v>
      </c>
      <c r="DI199" s="53" t="inlineStr">
        <is>
          <t>Senior Software Engineer</t>
        </is>
      </c>
      <c r="DJ199" s="53" t="inlineStr">
        <is>
          <t>Engineering &amp; Development</t>
        </is>
      </c>
      <c r="DK199" s="53" t="inlineStr">
        <is>
          <t>Software Engineering</t>
        </is>
      </c>
      <c r="DL199" s="53" t="inlineStr">
        <is>
          <t>Senior Software Engineer</t>
        </is>
      </c>
      <c r="DM199" s="53" t="inlineStr">
        <is>
          <t>L4 – Senior</t>
        </is>
      </c>
      <c r="DN199" s="53" t="inlineStr">
        <is>
          <t>B.Tech</t>
        </is>
      </c>
      <c r="DO199" s="53" t="inlineStr">
        <is>
          <t>Jignasha Sawla</t>
        </is>
      </c>
      <c r="DP199" s="53" t="inlineStr">
        <is>
          <t>N-5</t>
        </is>
      </c>
      <c r="DQ199" s="53" t="inlineStr">
        <is>
          <t>Individual Contributor</t>
        </is>
      </c>
      <c r="DR199" s="53" t="inlineStr">
        <is>
          <t>4 years, 0 months, 0 days</t>
        </is>
      </c>
      <c r="DS199" s="53" t="inlineStr">
        <is>
          <t>4 years, 11 months, 23 days</t>
        </is>
      </c>
      <c r="DT199" s="53" t="inlineStr">
        <is>
          <t>8 years, 11 months, 23 days</t>
        </is>
      </c>
      <c r="DU199" s="53" t="n"/>
      <c r="DV199" s="53" t="inlineStr">
        <is>
          <t>Regtech</t>
        </is>
      </c>
      <c r="DW199" s="53" t="inlineStr">
        <is>
          <t>iDEAL</t>
        </is>
      </c>
      <c r="DX199" s="53" t="inlineStr">
        <is>
          <t>Technology</t>
        </is>
      </c>
      <c r="DY199" s="53" t="inlineStr">
        <is>
          <t>Development</t>
        </is>
      </c>
      <c r="DZ199" s="53" t="inlineStr">
        <is>
          <t>Yes</t>
        </is>
      </c>
      <c r="EA199" s="53" t="inlineStr">
        <is>
          <t>Product/Project</t>
        </is>
      </c>
      <c r="EB199" s="53" t="inlineStr">
        <is>
          <t>Talend</t>
        </is>
      </c>
      <c r="EC199" s="53" t="inlineStr">
        <is>
          <t>Technical - Developer</t>
        </is>
      </c>
      <c r="ED199" s="53" t="inlineStr">
        <is>
          <t>Hybrid</t>
        </is>
      </c>
      <c r="EE199" s="53"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EF199" s="53"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EG199" s="53" t="inlineStr">
        <is>
          <t>1.Translate business requirements into end-to-end database solutions, including schema design and development</t>
        </is>
      </c>
      <c r="EH199" s="53" t="n">
        <v>2</v>
      </c>
      <c r="EI199" s="53" t="n"/>
      <c r="EJ199" s="53" t="inlineStr">
        <is>
          <t>Same as per records</t>
        </is>
      </c>
      <c r="EK199" s="53" t="n"/>
      <c r="EL199" s="53" t="n">
        <v>2</v>
      </c>
      <c r="EM199" s="53" t="inlineStr">
        <is>
          <t>Low</t>
        </is>
      </c>
      <c r="EN199" s="53" t="inlineStr">
        <is>
          <t>Reliable Specialist</t>
        </is>
      </c>
      <c r="EO199" s="53" t="inlineStr">
        <is>
          <t>Not Ready</t>
        </is>
      </c>
      <c r="EP199" s="53" t="inlineStr">
        <is>
          <t>No</t>
        </is>
      </c>
      <c r="EQ199" s="53" t="inlineStr">
        <is>
          <t>No</t>
        </is>
      </c>
      <c r="ER199" s="53" t="n"/>
      <c r="ES199" s="53" t="inlineStr">
        <is>
          <t>Training on the effective utilization of AI tools.</t>
        </is>
      </c>
      <c r="ET199" s="53" t="n"/>
      <c r="EU199" s="53" t="n"/>
      <c r="EV199" s="53" t="n"/>
      <c r="EW199" s="52" t="n"/>
      <c r="EX199" s="53" t="n"/>
      <c r="EY199" s="53" t="n"/>
      <c r="EZ199" s="53" t="n"/>
      <c r="FA199" s="53" t="n"/>
      <c r="FB199" s="53" t="n"/>
      <c r="FC199" s="53" t="n"/>
      <c r="FD199" s="53" t="n"/>
      <c r="FE199" s="57"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FF199" s="56" t="inlineStr">
        <is>
          <t>1.Translate business requirements into end-to-end database solutions, including schema design and development</t>
        </is>
      </c>
      <c r="FG199" s="56"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FH199" s="56" t="inlineStr">
        <is>
          <t>2</t>
        </is>
      </c>
      <c r="FI199" s="56" t="n"/>
      <c r="FJ199" s="56" t="inlineStr">
        <is>
          <t>Received · manager annual, quarterly, self</t>
        </is>
      </c>
      <c r="FK199" s="56" t="inlineStr">
        <is>
          <t>Talent Mapping · iDEAL</t>
        </is>
      </c>
      <c r="FL199" s="56" t="n">
        <v>20</v>
      </c>
      <c r="FM199" s="32" t="inlineStr">
        <is>
          <t>Full survey answers not in the files received · How We Grow export needed · HR</t>
        </is>
      </c>
      <c r="FN199" s="56" t="inlineStr">
        <is>
          <t>—</t>
        </is>
      </c>
      <c r="FO199" s="56" t="inlineStr">
        <is>
          <t>—</t>
        </is>
      </c>
      <c r="FP199" s="56" t="inlineStr">
        <is>
          <t>—</t>
        </is>
      </c>
      <c r="FQ199" s="56" t="inlineStr">
        <is>
          <t>—</t>
        </is>
      </c>
      <c r="FR199" s="56"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0.5
Leadership: Evidence reads like A1: No guiding or reviewing of others described → moved down 0.5
Business Impact: No move: the survey / manager mapping does not mark it business-critical or unique.</t>
        </is>
      </c>
      <c r="FS199"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199" s="56" t="inlineStr">
        <is>
          <t>Self-identified: AI / automation · Product &amp; tool knowledge
For the next role: AI / automation · Product &amp; tool knowledge</t>
        </is>
      </c>
      <c r="FU199" s="32" t="inlineStr">
        <is>
          <t>Full survey answers not in the files received · How We Grow export needed · HR</t>
        </is>
      </c>
    </row>
    <row r="200" ht="90" customHeight="1">
      <c r="A200" s="51" t="inlineStr">
        <is>
          <t>◂ Back</t>
        </is>
      </c>
      <c r="B200" s="29" t="inlineStr">
        <is>
          <t>Mapped</t>
        </is>
      </c>
      <c r="C200" s="28" t="inlineStr">
        <is>
          <t>iDEAL</t>
        </is>
      </c>
      <c r="D200" s="29" t="inlineStr">
        <is>
          <t>IRIS2530</t>
        </is>
      </c>
      <c r="E200" s="29" t="inlineStr">
        <is>
          <t>Jay Gudhka</t>
        </is>
      </c>
      <c r="F200" s="29" t="inlineStr">
        <is>
          <t>Technology</t>
        </is>
      </c>
      <c r="G200" s="29" t="inlineStr">
        <is>
          <t>Senior Software Engineer</t>
        </is>
      </c>
      <c r="H200" s="29" t="inlineStr">
        <is>
          <t>Technical Specialist</t>
        </is>
      </c>
      <c r="I200" s="29" t="inlineStr">
        <is>
          <t>L4 – Senior</t>
        </is>
      </c>
      <c r="J200" s="29" t="inlineStr">
        <is>
          <t>A3</t>
        </is>
      </c>
      <c r="K200" s="29" t="inlineStr">
        <is>
          <t>▲ Up</t>
        </is>
      </c>
      <c r="L200" s="29" t="inlineStr">
        <is>
          <t>Engineering &amp; Development</t>
        </is>
      </c>
      <c r="M200" s="29" t="inlineStr">
        <is>
          <t>Full-Stack Development</t>
        </is>
      </c>
      <c r="N200" s="29" t="n"/>
      <c r="O200" s="29" t="n">
        <v>20</v>
      </c>
      <c r="P200" s="28" t="inlineStr">
        <is>
          <t>P2</t>
        </is>
      </c>
      <c r="Q200" s="29" t="inlineStr">
        <is>
          <t>Developing</t>
        </is>
      </c>
      <c r="R200" s="29" t="inlineStr">
        <is>
          <t>3 Apply</t>
        </is>
      </c>
      <c r="S200" s="29" t="inlineStr">
        <is>
          <t>2–4 yrs</t>
        </is>
      </c>
      <c r="T200" s="29" t="inlineStr">
        <is>
          <t>3–5 · 2–5</t>
        </is>
      </c>
      <c r="U200" s="29" t="inlineStr">
        <is>
          <t>Senior Software Engineer</t>
        </is>
      </c>
      <c r="V200" s="29" t="inlineStr">
        <is>
          <t>Workiva: SE · Broadridge India: SE · Nasdaq / AxiomSL: SE · Salesforce: MTS · Atlassian: P40 · 3–7 yrs · Freshworks: Senior SE</t>
        </is>
      </c>
      <c r="W200" s="29" t="inlineStr">
        <is>
          <t>SFIA 9 · software development, programming; OWASP secure coding; cloud vendor certifications</t>
        </is>
      </c>
      <c r="X200" s="29" t="inlineStr">
        <is>
          <t>Core 2 · Future 2 · Functional 3 · Leadership not scored</t>
        </is>
      </c>
      <c r="Y200" s="52" t="n">
        <v>502</v>
      </c>
      <c r="Z200" s="53" t="inlineStr">
        <is>
          <t>IRIS2530</t>
        </is>
      </c>
      <c r="AA200" s="53" t="inlineStr">
        <is>
          <t>Employee</t>
        </is>
      </c>
      <c r="AB200" s="53" t="inlineStr">
        <is>
          <t>Active</t>
        </is>
      </c>
      <c r="AC200" s="53" t="inlineStr">
        <is>
          <t>Jay Gudhka</t>
        </is>
      </c>
      <c r="AD200" s="54" t="n">
        <v>46153</v>
      </c>
      <c r="AE200" s="53" t="inlineStr">
        <is>
          <t>Senior Software Engineer</t>
        </is>
      </c>
      <c r="AF200" s="53" t="inlineStr">
        <is>
          <t>B.E</t>
        </is>
      </c>
      <c r="AG200" s="53" t="inlineStr">
        <is>
          <t>Jitendra Kumar</t>
        </is>
      </c>
      <c r="AH200" s="53" t="inlineStr">
        <is>
          <t>N-4</t>
        </is>
      </c>
      <c r="AI200" s="53" t="inlineStr">
        <is>
          <t>Individual Contributor</t>
        </is>
      </c>
      <c r="AJ200" s="53" t="inlineStr">
        <is>
          <t>6 years, 9 months, 0 days</t>
        </is>
      </c>
      <c r="AK200" s="53" t="inlineStr">
        <is>
          <t>0 years, 3 months, 14 days</t>
        </is>
      </c>
      <c r="AL200" s="53" t="inlineStr">
        <is>
          <t>Regtech</t>
        </is>
      </c>
      <c r="AM200" s="53" t="inlineStr">
        <is>
          <t>iDEAL</t>
        </is>
      </c>
      <c r="AN200" s="53" t="inlineStr">
        <is>
          <t>Technology</t>
        </is>
      </c>
      <c r="AO200" s="53" t="inlineStr">
        <is>
          <t>Development</t>
        </is>
      </c>
      <c r="AP200" s="53" t="inlineStr">
        <is>
          <t>Yes</t>
        </is>
      </c>
      <c r="AQ200" s="53" t="inlineStr">
        <is>
          <t>Product/Project</t>
        </is>
      </c>
      <c r="AR200" s="53" t="inlineStr">
        <is>
          <t>.NET MVC + Angular</t>
        </is>
      </c>
      <c r="AS200" s="53" t="inlineStr">
        <is>
          <t>Technical - Developer</t>
        </is>
      </c>
      <c r="AT200" s="53" t="n">
        <v>20</v>
      </c>
      <c r="AU200" s="53" t="inlineStr">
        <is>
          <t>Covered</t>
        </is>
      </c>
      <c r="AV200" s="53" t="n"/>
      <c r="AW200" s="53" t="n"/>
      <c r="AX200" s="53" t="n"/>
      <c r="AY200" s="53" t="n"/>
      <c r="AZ200" s="53" t="n"/>
      <c r="BA200" s="53" t="n"/>
      <c r="BB200" s="53" t="n"/>
      <c r="BC200" s="53" t="n"/>
      <c r="BD200" s="53" t="n"/>
      <c r="BE200" s="53" t="n"/>
      <c r="BF200" s="53" t="n"/>
      <c r="BG200" s="53" t="n"/>
      <c r="BH200" s="53" t="n"/>
      <c r="BI200" s="53" t="n"/>
      <c r="BJ200" s="53" t="n"/>
      <c r="BK200" s="53" t="n"/>
      <c r="BL200" s="53" t="n"/>
      <c r="BM200" s="53" t="n"/>
      <c r="BN200" s="53" t="n"/>
      <c r="BO200" s="53" t="n"/>
      <c r="BP200" s="53" t="n"/>
      <c r="BQ200" s="53" t="n"/>
      <c r="BR200" s="53" t="n"/>
      <c r="BS200" s="53" t="n"/>
      <c r="BT200" s="53" t="n"/>
      <c r="BU200" s="53" t="n"/>
      <c r="BV200" s="53" t="n"/>
      <c r="BW200" s="53" t="n"/>
      <c r="BX200" s="53" t="n"/>
      <c r="BY200" s="53" t="n"/>
      <c r="BZ200" s="53" t="n"/>
      <c r="CA200" s="53" t="n"/>
      <c r="CB200" s="53" t="n"/>
      <c r="CC200" s="53" t="n"/>
      <c r="CD200" s="53" t="n"/>
      <c r="CE200" s="53" t="n"/>
      <c r="CF200" s="53" t="n"/>
      <c r="CG200" s="53" t="n"/>
      <c r="CH200" s="53" t="n"/>
      <c r="CI200" s="53" t="n"/>
      <c r="CJ200" s="53" t="n"/>
      <c r="CK200" s="53" t="n"/>
      <c r="CL200" s="53" t="n"/>
      <c r="CM200" s="53" t="n"/>
      <c r="CN200" s="53" t="n"/>
      <c r="CO200" s="53" t="n"/>
      <c r="CP200" s="53" t="n"/>
      <c r="CQ200" s="53" t="n"/>
      <c r="CR200" s="53" t="n"/>
      <c r="CS200" s="53" t="n"/>
      <c r="CT200" s="53" t="n"/>
      <c r="CU200" s="53" t="n"/>
      <c r="CV200" s="53" t="n"/>
      <c r="CW200" s="53" t="n"/>
      <c r="CX200" s="53" t="n"/>
      <c r="CY200" s="53" t="n"/>
      <c r="CZ200" s="53" t="n"/>
      <c r="DA200" s="53" t="n"/>
      <c r="DB200" s="53" t="n"/>
      <c r="DC200" s="53" t="n"/>
      <c r="DD200" s="53" t="inlineStr">
        <is>
          <t>IRIS2530</t>
        </is>
      </c>
      <c r="DE200" s="53" t="inlineStr">
        <is>
          <t>Employee</t>
        </is>
      </c>
      <c r="DF200" s="53" t="inlineStr">
        <is>
          <t>Active</t>
        </is>
      </c>
      <c r="DG200" s="53" t="inlineStr">
        <is>
          <t>Jay Gudhka</t>
        </is>
      </c>
      <c r="DH200" s="54" t="n">
        <v>46153</v>
      </c>
      <c r="DI200" s="53" t="inlineStr">
        <is>
          <t>Senior Software Engineer</t>
        </is>
      </c>
      <c r="DJ200" s="53" t="inlineStr">
        <is>
          <t>Engineering &amp; Development</t>
        </is>
      </c>
      <c r="DK200" s="53" t="inlineStr">
        <is>
          <t>Backend Engineering ·.NET</t>
        </is>
      </c>
      <c r="DL200" s="53" t="inlineStr">
        <is>
          <t>Senior Software Engineer</t>
        </is>
      </c>
      <c r="DM200" s="53" t="inlineStr">
        <is>
          <t>L4 – Senior</t>
        </is>
      </c>
      <c r="DN200" s="53" t="inlineStr">
        <is>
          <t>B.E</t>
        </is>
      </c>
      <c r="DO200" s="53" t="inlineStr">
        <is>
          <t>Jitendra Kumar</t>
        </is>
      </c>
      <c r="DP200" s="53" t="inlineStr">
        <is>
          <t>N-4</t>
        </is>
      </c>
      <c r="DQ200" s="53" t="inlineStr">
        <is>
          <t>Individual Contributor</t>
        </is>
      </c>
      <c r="DR200" s="53" t="inlineStr">
        <is>
          <t>6 years, 9 months, 0 days</t>
        </is>
      </c>
      <c r="DS200" s="53" t="inlineStr">
        <is>
          <t>0 years, 1 months, 9 days</t>
        </is>
      </c>
      <c r="DT200" s="53" t="inlineStr">
        <is>
          <t>6 years, 10 months, 9 days</t>
        </is>
      </c>
      <c r="DU200" s="53" t="n"/>
      <c r="DV200" s="53" t="inlineStr">
        <is>
          <t>Regtech</t>
        </is>
      </c>
      <c r="DW200" s="53" t="inlineStr">
        <is>
          <t>iDEAL</t>
        </is>
      </c>
      <c r="DX200" s="53" t="inlineStr">
        <is>
          <t>Technology</t>
        </is>
      </c>
      <c r="DY200" s="53" t="inlineStr">
        <is>
          <t>Development</t>
        </is>
      </c>
      <c r="DZ200" s="53" t="inlineStr">
        <is>
          <t>Yes</t>
        </is>
      </c>
      <c r="EA200" s="53" t="inlineStr">
        <is>
          <t>Product/Project</t>
        </is>
      </c>
      <c r="EB200" s="53" t="inlineStr">
        <is>
          <t>.Net + Angular</t>
        </is>
      </c>
      <c r="EC200" s="53" t="inlineStr">
        <is>
          <t>Technical - Developer</t>
        </is>
      </c>
      <c r="ED200" s="53" t="inlineStr">
        <is>
          <t>Work From Office - Turbhe</t>
        </is>
      </c>
      <c r="EE200" s="53"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EF200" s="53"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EG200" s="53" t="inlineStr">
        <is>
          <t>Guide and deliver the AI chatbot integration
Lead and deliver the RPT solution
Deliver XBRL TableLink for Europe &amp; Qatar taxonomies</t>
        </is>
      </c>
      <c r="EH200" s="53" t="n">
        <v>3</v>
      </c>
      <c r="EI200" s="53" t="n"/>
      <c r="EJ200" s="53" t="inlineStr">
        <is>
          <t>Same as per records</t>
        </is>
      </c>
      <c r="EK200" s="53" t="n"/>
      <c r="EL200" s="53" t="n">
        <v>3</v>
      </c>
      <c r="EM200" s="53" t="inlineStr">
        <is>
          <t>Medium</t>
        </is>
      </c>
      <c r="EN200" s="53" t="inlineStr">
        <is>
          <t>Emerging Talent</t>
        </is>
      </c>
      <c r="EO200" s="53" t="inlineStr">
        <is>
          <t>Ready in 12 Months</t>
        </is>
      </c>
      <c r="EP200" s="53" t="inlineStr">
        <is>
          <t>No</t>
        </is>
      </c>
      <c r="EQ200" s="53" t="inlineStr">
        <is>
          <t>No</t>
        </is>
      </c>
      <c r="ER200" s="53" t="n"/>
      <c r="ES200" s="53" t="inlineStr">
        <is>
          <t>XBRL Training, Training on the effective utilization of AI tools.</t>
        </is>
      </c>
      <c r="ET200" s="53" t="n"/>
      <c r="EU200" s="53" t="n"/>
      <c r="EV200" s="53" t="n"/>
      <c r="EW200" s="52" t="n"/>
      <c r="EX200" s="53" t="n"/>
      <c r="EY200" s="53" t="n"/>
      <c r="EZ200" s="53" t="n"/>
      <c r="FA200" s="53" t="n"/>
      <c r="FB200" s="53" t="n"/>
      <c r="FC200" s="53" t="inlineStr">
        <is>
          <t>Annual KRAs · objective Measurable Minimum 5 - set by Manager</t>
        </is>
      </c>
      <c r="FD200" s="53" t="n"/>
      <c r="FE200" s="57"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FF200" s="56" t="inlineStr">
        <is>
          <t>Guide and deliver the AI chatbot integration
Lead and deliver the RPT solution
Deliver XBRL TableLink for Europe &amp; Qatar taxonomies</t>
        </is>
      </c>
      <c r="FG200" s="56"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FH200" s="56" t="inlineStr">
        <is>
          <t>3</t>
        </is>
      </c>
      <c r="FI200" s="56" t="n"/>
      <c r="FJ200" s="56" t="inlineStr">
        <is>
          <t>Received · manager annual, quarterly, self</t>
        </is>
      </c>
      <c r="FK200" s="56" t="inlineStr">
        <is>
          <t>Talent Mapping · iDEAL</t>
        </is>
      </c>
      <c r="FL200" s="56" t="n">
        <v>20</v>
      </c>
      <c r="FM200" s="32" t="inlineStr">
        <is>
          <t>Full survey answers not in the files received · How We Grow export needed · HR</t>
        </is>
      </c>
      <c r="FN200" s="56" t="inlineStr">
        <is>
          <t>—</t>
        </is>
      </c>
      <c r="FO200" s="56" t="inlineStr">
        <is>
          <t>—</t>
        </is>
      </c>
      <c r="FP200" s="56" t="inlineStr">
        <is>
          <t>—</t>
        </is>
      </c>
      <c r="FQ200" s="56" t="inlineStr">
        <is>
          <t>—</t>
        </is>
      </c>
      <c r="FR200" s="56"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matches the start
Leadership: Evidence reads like A3: Mentoring is a listed responsibility; KRA includes training the team on AI coding → moved up 0.5
Business Impact: No survey or manager-mapping signal on criticality: kept at the start point.</t>
        </is>
      </c>
      <c r="FS20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00" s="56" t="inlineStr">
        <is>
          <t>Self-identified: AI / automation · Technical depth &amp; architecture · Domain, regulatory &amp; XBRL · Broader exposure &amp; ownership
For the next role: AI / automation · Technical depth &amp; architecture · Domain, regulatory &amp; XBRL · Broader exposure &amp; ownership</t>
        </is>
      </c>
      <c r="FU200" s="32" t="inlineStr">
        <is>
          <t>Full survey answers not in the files received · How We Grow export needed · HR</t>
        </is>
      </c>
    </row>
    <row r="201" ht="90" customHeight="1">
      <c r="A201" s="51" t="inlineStr">
        <is>
          <t>◂ Back</t>
        </is>
      </c>
      <c r="B201" s="29" t="inlineStr">
        <is>
          <t>Mapped</t>
        </is>
      </c>
      <c r="C201" s="28" t="inlineStr">
        <is>
          <t>iDEAL</t>
        </is>
      </c>
      <c r="D201" s="29" t="inlineStr">
        <is>
          <t>IRIS2260</t>
        </is>
      </c>
      <c r="E201" s="29" t="inlineStr">
        <is>
          <t>Pratik Ekhande</t>
        </is>
      </c>
      <c r="F201" s="29" t="inlineStr">
        <is>
          <t>Technology</t>
        </is>
      </c>
      <c r="G201" s="29" t="inlineStr">
        <is>
          <t>Software Engineer</t>
        </is>
      </c>
      <c r="H201" s="29" t="inlineStr">
        <is>
          <t>Senior Software Engineer</t>
        </is>
      </c>
      <c r="I201" s="29" t="inlineStr">
        <is>
          <t>L3 – Professional / Associate</t>
        </is>
      </c>
      <c r="J201" s="29" t="inlineStr">
        <is>
          <t>A3</t>
        </is>
      </c>
      <c r="K201" s="29" t="inlineStr">
        <is>
          <t>▲ Up</t>
        </is>
      </c>
      <c r="L201" s="29" t="inlineStr">
        <is>
          <t>Engineering &amp; Development</t>
        </is>
      </c>
      <c r="M201" s="29" t="inlineStr">
        <is>
          <t>Backend Development</t>
        </is>
      </c>
      <c r="N201" s="29" t="n"/>
      <c r="O201" s="29" t="n">
        <v>20</v>
      </c>
      <c r="P201" s="28" t="inlineStr">
        <is>
          <t>P2</t>
        </is>
      </c>
      <c r="Q201" s="29" t="inlineStr">
        <is>
          <t>Developing</t>
        </is>
      </c>
      <c r="R201" s="29" t="inlineStr">
        <is>
          <t>3 Apply</t>
        </is>
      </c>
      <c r="S201" s="29" t="inlineStr">
        <is>
          <t>2–4 yrs</t>
        </is>
      </c>
      <c r="T201" s="29" t="inlineStr">
        <is>
          <t>3–5 · 2–5</t>
        </is>
      </c>
      <c r="U201" s="29" t="inlineStr">
        <is>
          <t>Software Engineer</t>
        </is>
      </c>
      <c r="V201" s="29" t="inlineStr">
        <is>
          <t>Workiva: SE · Broadridge India: SE · Nasdaq / AxiomSL: SE · Salesforce: MTS · Atlassian: P40 · 3–7 yrs · Freshworks: Senior SE</t>
        </is>
      </c>
      <c r="W201" s="29" t="inlineStr">
        <is>
          <t>SFIA 9 · software development, programming; OWASP secure coding; cloud vendor certifications</t>
        </is>
      </c>
      <c r="X201" s="29" t="inlineStr">
        <is>
          <t>Core 2 · Future 2 · Functional 3 · Leadership not scored</t>
        </is>
      </c>
      <c r="Y201" s="52" t="n">
        <v>323</v>
      </c>
      <c r="Z201" s="53" t="inlineStr">
        <is>
          <t>IRIS2260</t>
        </is>
      </c>
      <c r="AA201" s="53" t="inlineStr">
        <is>
          <t>Employee</t>
        </is>
      </c>
      <c r="AB201" s="53" t="inlineStr">
        <is>
          <t>Active</t>
        </is>
      </c>
      <c r="AC201" s="53" t="inlineStr">
        <is>
          <t>Pratik Ekhande</t>
        </is>
      </c>
      <c r="AD201" s="54" t="n">
        <v>45446</v>
      </c>
      <c r="AE201" s="53" t="inlineStr">
        <is>
          <t>Software Engineer</t>
        </is>
      </c>
      <c r="AF201" s="53" t="inlineStr">
        <is>
          <t>B.E</t>
        </is>
      </c>
      <c r="AG201" s="53" t="inlineStr">
        <is>
          <t>Jitendra Kumar</t>
        </is>
      </c>
      <c r="AH201" s="53" t="inlineStr">
        <is>
          <t>N-4</t>
        </is>
      </c>
      <c r="AI201" s="53" t="inlineStr">
        <is>
          <t>Individual Contributor</t>
        </is>
      </c>
      <c r="AJ201" s="53" t="inlineStr">
        <is>
          <t>0 years, 0 months, 0 days</t>
        </is>
      </c>
      <c r="AK201" s="53" t="inlineStr">
        <is>
          <t>2 years, 2 months, 22 days</t>
        </is>
      </c>
      <c r="AL201" s="53" t="inlineStr">
        <is>
          <t>Regtech</t>
        </is>
      </c>
      <c r="AM201" s="53" t="inlineStr">
        <is>
          <t>iDEAL</t>
        </is>
      </c>
      <c r="AN201" s="53" t="inlineStr">
        <is>
          <t>Technology</t>
        </is>
      </c>
      <c r="AO201" s="53" t="inlineStr">
        <is>
          <t>Development</t>
        </is>
      </c>
      <c r="AP201" s="53" t="inlineStr">
        <is>
          <t>Yes</t>
        </is>
      </c>
      <c r="AQ201" s="53" t="inlineStr">
        <is>
          <t>Product/Project</t>
        </is>
      </c>
      <c r="AR201" s="53" t="inlineStr">
        <is>
          <t>.NET MVC</t>
        </is>
      </c>
      <c r="AS201" s="53" t="inlineStr">
        <is>
          <t>Technical - Developer</t>
        </is>
      </c>
      <c r="AT201" s="53" t="n">
        <v>20</v>
      </c>
      <c r="AU201" s="53" t="inlineStr">
        <is>
          <t>Covered</t>
        </is>
      </c>
      <c r="AV201" s="53" t="n"/>
      <c r="AW201" s="53" t="n"/>
      <c r="AX201" s="53" t="n"/>
      <c r="AY201" s="53" t="n"/>
      <c r="AZ201" s="53" t="n"/>
      <c r="BA201" s="53" t="n"/>
      <c r="BB201" s="53" t="n"/>
      <c r="BC201" s="53" t="n"/>
      <c r="BD201" s="53" t="n"/>
      <c r="BE201" s="53" t="n"/>
      <c r="BF201" s="53" t="n"/>
      <c r="BG201" s="53" t="n"/>
      <c r="BH201" s="53" t="n"/>
      <c r="BI201" s="53" t="n"/>
      <c r="BJ201" s="53" t="n"/>
      <c r="BK201" s="53" t="n"/>
      <c r="BL201" s="53" t="n"/>
      <c r="BM201" s="53" t="n"/>
      <c r="BN201" s="53" t="n"/>
      <c r="BO201" s="53" t="n"/>
      <c r="BP201" s="53" t="n"/>
      <c r="BQ201" s="53" t="n"/>
      <c r="BR201" s="53" t="n"/>
      <c r="BS201" s="53" t="n"/>
      <c r="BT201" s="53" t="n"/>
      <c r="BU201" s="53" t="n"/>
      <c r="BV201" s="53" t="n"/>
      <c r="BW201" s="53" t="n"/>
      <c r="BX201" s="53" t="n"/>
      <c r="BY201" s="53" t="n"/>
      <c r="BZ201" s="53" t="n"/>
      <c r="CA201" s="53" t="n"/>
      <c r="CB201" s="53" t="n"/>
      <c r="CC201" s="53" t="n"/>
      <c r="CD201" s="53" t="n"/>
      <c r="CE201" s="53" t="n"/>
      <c r="CF201" s="53" t="n"/>
      <c r="CG201" s="53" t="n"/>
      <c r="CH201" s="53" t="n"/>
      <c r="CI201" s="53" t="n"/>
      <c r="CJ201" s="53" t="n"/>
      <c r="CK201" s="53" t="n"/>
      <c r="CL201" s="53" t="n"/>
      <c r="CM201" s="53" t="n"/>
      <c r="CN201" s="53" t="n"/>
      <c r="CO201" s="53" t="n"/>
      <c r="CP201" s="53" t="n"/>
      <c r="CQ201" s="53" t="n"/>
      <c r="CR201" s="53" t="n"/>
      <c r="CS201" s="53" t="n"/>
      <c r="CT201" s="53" t="n"/>
      <c r="CU201" s="53" t="n"/>
      <c r="CV201" s="53" t="n"/>
      <c r="CW201" s="53" t="n"/>
      <c r="CX201" s="53" t="n"/>
      <c r="CY201" s="53" t="n"/>
      <c r="CZ201" s="53" t="n"/>
      <c r="DA201" s="53" t="n"/>
      <c r="DB201" s="53" t="n"/>
      <c r="DC201" s="53" t="n"/>
      <c r="DD201" s="53" t="inlineStr">
        <is>
          <t>IRIS2260</t>
        </is>
      </c>
      <c r="DE201" s="53" t="inlineStr">
        <is>
          <t>Employee</t>
        </is>
      </c>
      <c r="DF201" s="53" t="inlineStr">
        <is>
          <t>Active</t>
        </is>
      </c>
      <c r="DG201" s="53" t="inlineStr">
        <is>
          <t>Pratik Ekhande</t>
        </is>
      </c>
      <c r="DH201" s="54" t="n">
        <v>45446</v>
      </c>
      <c r="DI201" s="53" t="inlineStr">
        <is>
          <t>Software Engineer</t>
        </is>
      </c>
      <c r="DJ201" s="53" t="inlineStr">
        <is>
          <t>Engineering &amp; Development</t>
        </is>
      </c>
      <c r="DK201" s="53" t="inlineStr">
        <is>
          <t>Backend Engineering ·.NET</t>
        </is>
      </c>
      <c r="DL201" s="53" t="inlineStr">
        <is>
          <t>Software Engineer</t>
        </is>
      </c>
      <c r="DM201" s="53" t="inlineStr">
        <is>
          <t>L3 – Professional / Associate</t>
        </is>
      </c>
      <c r="DN201" s="53" t="inlineStr">
        <is>
          <t>B.E</t>
        </is>
      </c>
      <c r="DO201" s="53" t="inlineStr">
        <is>
          <t>Jitendra Kumar</t>
        </is>
      </c>
      <c r="DP201" s="53" t="inlineStr">
        <is>
          <t>N-4</t>
        </is>
      </c>
      <c r="DQ201" s="53" t="inlineStr">
        <is>
          <t>Individual Contributor</t>
        </is>
      </c>
      <c r="DR201" s="53" t="inlineStr">
        <is>
          <t>0 years, 0 months, 0 days</t>
        </is>
      </c>
      <c r="DS201" s="53" t="inlineStr">
        <is>
          <t>2 years, 0 months, 17 days</t>
        </is>
      </c>
      <c r="DT201" s="53" t="inlineStr">
        <is>
          <t>2 years, 0 months, 17 days</t>
        </is>
      </c>
      <c r="DU201" s="53" t="n"/>
      <c r="DV201" s="53" t="inlineStr">
        <is>
          <t>Regtech</t>
        </is>
      </c>
      <c r="DW201" s="53" t="inlineStr">
        <is>
          <t>iDEAL</t>
        </is>
      </c>
      <c r="DX201" s="53" t="inlineStr">
        <is>
          <t>Technology</t>
        </is>
      </c>
      <c r="DY201" s="53" t="inlineStr">
        <is>
          <t>Development</t>
        </is>
      </c>
      <c r="DZ201" s="53" t="inlineStr">
        <is>
          <t>Yes</t>
        </is>
      </c>
      <c r="EA201" s="53" t="inlineStr">
        <is>
          <t>Product/Project</t>
        </is>
      </c>
      <c r="EB201" s="53" t="inlineStr">
        <is>
          <t>.NET MVC</t>
        </is>
      </c>
      <c r="EC201" s="53" t="inlineStr">
        <is>
          <t>Technical - Developer</t>
        </is>
      </c>
      <c r="ED201" s="53" t="inlineStr">
        <is>
          <t>Work From Office - Turbhe</t>
        </is>
      </c>
      <c r="EE201" s="53"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EF201"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1" s="53"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EH201" s="53" t="n">
        <v>4</v>
      </c>
      <c r="EI201" s="53" t="n"/>
      <c r="EJ201" s="53" t="inlineStr">
        <is>
          <t>Same as per records</t>
        </is>
      </c>
      <c r="EK201" s="53" t="n"/>
      <c r="EL201" s="53" t="n">
        <v>4</v>
      </c>
      <c r="EM201" s="53" t="inlineStr">
        <is>
          <t>High</t>
        </is>
      </c>
      <c r="EN201" s="53" t="inlineStr">
        <is>
          <t>Emerging Talent</t>
        </is>
      </c>
      <c r="EO201" s="53" t="inlineStr">
        <is>
          <t>Not Ready</t>
        </is>
      </c>
      <c r="EP201" s="53" t="inlineStr">
        <is>
          <t>No</t>
        </is>
      </c>
      <c r="EQ201" s="53" t="inlineStr">
        <is>
          <t>Yes</t>
        </is>
      </c>
      <c r="ER201" s="53" t="n"/>
      <c r="ES201" s="53" t="inlineStr">
        <is>
          <t>XBRL Training, Training on the effective utilization of AI tools.</t>
        </is>
      </c>
      <c r="ET201" s="53" t="n"/>
      <c r="EU201" s="53" t="n"/>
      <c r="EV201" s="53" t="n"/>
      <c r="EW201" s="52" t="n"/>
      <c r="EX201" s="53" t="n"/>
      <c r="EY201" s="53" t="n"/>
      <c r="EZ201" s="53" t="n"/>
      <c r="FA201" s="53" t="n"/>
      <c r="FB201" s="53" t="n"/>
      <c r="FC201" s="53" t="inlineStr">
        <is>
          <t>Annual KRAs · objective Measurable Minimum 5 - set by Manager</t>
        </is>
      </c>
      <c r="FD201" s="53" t="n"/>
      <c r="FE201"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1" s="56"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FG201" s="56" t="inlineStr">
        <is>
          <t>1. To make IRIS IDEAL a stable, robust, scalable, and trusted SDMX reporting solution for all banks by continuously improving application performance, security, reliability, user experience, and regulatory compliance.
2. To enhance my skill set in .NET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 .NET Minimal APIs, Native OpenAPI support, Swagger/OpenAPI, ASP.NET Identity, JWT-based authentication, Role-Based Access Control · RBAC, and modern authorization standards.
6. To adapt to the latest features introduced in .NET 8 and .NET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FH201" s="56" t="inlineStr">
        <is>
          <t>4</t>
        </is>
      </c>
      <c r="FI201" s="56" t="n"/>
      <c r="FJ201" s="56" t="inlineStr">
        <is>
          <t>Received · manager annual, quarterly, self</t>
        </is>
      </c>
      <c r="FK201" s="56" t="inlineStr">
        <is>
          <t>Talent Mapping · iDEAL</t>
        </is>
      </c>
      <c r="FL201" s="56" t="n">
        <v>20</v>
      </c>
      <c r="FM201" s="32" t="inlineStr">
        <is>
          <t>Full survey answers not in the files received · How We Grow export needed · HR</t>
        </is>
      </c>
      <c r="FN201" s="56" t="inlineStr">
        <is>
          <t>—</t>
        </is>
      </c>
      <c r="FO201" s="56" t="inlineStr">
        <is>
          <t>—</t>
        </is>
      </c>
      <c r="FP201" s="56" t="inlineStr">
        <is>
          <t>—</t>
        </is>
      </c>
      <c r="FQ201" s="56" t="inlineStr">
        <is>
          <t>—</t>
        </is>
      </c>
      <c r="FR201" s="56"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moved up 0.5
Leadership: Evidence reads like A1: No guidance of others described → matches the start
Business Impact: Moved +0.5: the survey / manager mapping marks it business-critical.</t>
        </is>
      </c>
      <c r="FS20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1" s="56" t="inlineStr">
        <is>
          <t>Self-identified: AI / automation · Technical depth &amp; architecture · Product &amp; tool knowledge · Certification / formal course
For the next role: AI / automation · Technical depth &amp; architecture · Product &amp; tool knowledge · Certification / formal course</t>
        </is>
      </c>
      <c r="FU201" s="32" t="inlineStr">
        <is>
          <t>Full survey answers not in the files received · How We Grow export needed · HR</t>
        </is>
      </c>
    </row>
    <row r="202" ht="90" customHeight="1">
      <c r="A202" s="51" t="inlineStr">
        <is>
          <t>◂ Back</t>
        </is>
      </c>
      <c r="B202" s="29" t="inlineStr">
        <is>
          <t>Mapped</t>
        </is>
      </c>
      <c r="C202" s="28" t="inlineStr">
        <is>
          <t>iDEAL</t>
        </is>
      </c>
      <c r="D202" s="29" t="inlineStr">
        <is>
          <t>IRIS2038</t>
        </is>
      </c>
      <c r="E202" s="29" t="inlineStr">
        <is>
          <t>Swapnil Shirke</t>
        </is>
      </c>
      <c r="F202" s="29" t="inlineStr">
        <is>
          <t>Technology</t>
        </is>
      </c>
      <c r="G202" s="29" t="inlineStr">
        <is>
          <t>Software Engineer</t>
        </is>
      </c>
      <c r="H202" s="29" t="inlineStr">
        <is>
          <t>Senior Software Engineer</t>
        </is>
      </c>
      <c r="I202" s="29" t="inlineStr">
        <is>
          <t>L3 – Professional / Associate</t>
        </is>
      </c>
      <c r="J202" s="29" t="inlineStr">
        <is>
          <t>A3</t>
        </is>
      </c>
      <c r="K202" s="29" t="inlineStr">
        <is>
          <t>▲ Up</t>
        </is>
      </c>
      <c r="L202" s="29" t="inlineStr">
        <is>
          <t>Engineering &amp; Development</t>
        </is>
      </c>
      <c r="M202" s="29" t="inlineStr">
        <is>
          <t>Backend Development</t>
        </is>
      </c>
      <c r="N202" s="29" t="inlineStr">
        <is>
          <t>• Confirm the reporting line — Manager</t>
        </is>
      </c>
      <c r="O202" s="29" t="n">
        <v>20</v>
      </c>
      <c r="P202" s="28" t="inlineStr">
        <is>
          <t>P2</t>
        </is>
      </c>
      <c r="Q202" s="29" t="inlineStr">
        <is>
          <t>Developing</t>
        </is>
      </c>
      <c r="R202" s="29" t="inlineStr">
        <is>
          <t>3 Apply</t>
        </is>
      </c>
      <c r="S202" s="29" t="inlineStr">
        <is>
          <t>2–4 yrs</t>
        </is>
      </c>
      <c r="T202" s="29" t="inlineStr">
        <is>
          <t>3–5 · 2–5</t>
        </is>
      </c>
      <c r="U202" s="29" t="inlineStr">
        <is>
          <t>Software Engineer</t>
        </is>
      </c>
      <c r="V202" s="29" t="inlineStr">
        <is>
          <t>Workiva: SE · Broadridge India: SE · Nasdaq / AxiomSL: SE · Salesforce: MTS · Atlassian: P40 · 3–7 yrs · Freshworks: Senior SE</t>
        </is>
      </c>
      <c r="W202" s="29" t="inlineStr">
        <is>
          <t>SFIA 9 · software development, programming; OWASP secure coding; cloud vendor certifications</t>
        </is>
      </c>
      <c r="X202" s="29" t="inlineStr">
        <is>
          <t>Core 2 · Future 2 · Functional 3 · Leadership not scored</t>
        </is>
      </c>
      <c r="Y202" s="52" t="n">
        <v>228</v>
      </c>
      <c r="Z202" s="53" t="inlineStr">
        <is>
          <t>IRIS2038</t>
        </is>
      </c>
      <c r="AA202" s="53" t="inlineStr">
        <is>
          <t>Employee</t>
        </is>
      </c>
      <c r="AB202" s="53" t="inlineStr">
        <is>
          <t>Active</t>
        </is>
      </c>
      <c r="AC202" s="53" t="inlineStr">
        <is>
          <t>Swapnil Shirke</t>
        </is>
      </c>
      <c r="AD202" s="54" t="n">
        <v>44754</v>
      </c>
      <c r="AE202" s="53" t="inlineStr">
        <is>
          <t>Software Engineer</t>
        </is>
      </c>
      <c r="AF202" s="53" t="inlineStr">
        <is>
          <t>B.E</t>
        </is>
      </c>
      <c r="AG202" s="53" t="inlineStr">
        <is>
          <t>Jitendra Kumar</t>
        </is>
      </c>
      <c r="AH202" s="53" t="inlineStr">
        <is>
          <t>N-4</t>
        </is>
      </c>
      <c r="AI202" s="53" t="inlineStr">
        <is>
          <t>Manager</t>
        </is>
      </c>
      <c r="AJ202" s="53" t="inlineStr">
        <is>
          <t>0 years, 0 months, 0 days</t>
        </is>
      </c>
      <c r="AK202" s="53" t="inlineStr">
        <is>
          <t>4 years, 1 months, 13 days</t>
        </is>
      </c>
      <c r="AL202" s="53" t="inlineStr">
        <is>
          <t>Regtech</t>
        </is>
      </c>
      <c r="AM202" s="53" t="inlineStr">
        <is>
          <t>iDEAL</t>
        </is>
      </c>
      <c r="AN202" s="53" t="inlineStr">
        <is>
          <t>Technology</t>
        </is>
      </c>
      <c r="AO202" s="53" t="inlineStr">
        <is>
          <t>Development</t>
        </is>
      </c>
      <c r="AP202" s="53" t="inlineStr">
        <is>
          <t>Yes</t>
        </is>
      </c>
      <c r="AQ202" s="53" t="inlineStr">
        <is>
          <t>Product/Project</t>
        </is>
      </c>
      <c r="AR202" s="53" t="inlineStr">
        <is>
          <t>.NET MVC</t>
        </is>
      </c>
      <c r="AS202" s="53" t="inlineStr">
        <is>
          <t>Technical - Developer</t>
        </is>
      </c>
      <c r="AT202" s="53" t="n">
        <v>20</v>
      </c>
      <c r="AU202" s="53" t="inlineStr">
        <is>
          <t>Covered</t>
        </is>
      </c>
      <c r="AV202" s="53" t="n"/>
      <c r="AW202" s="53" t="n"/>
      <c r="AX202" s="53" t="n"/>
      <c r="AY202" s="53" t="n"/>
      <c r="AZ202" s="53" t="n"/>
      <c r="BA202" s="53" t="n"/>
      <c r="BB202" s="53" t="n"/>
      <c r="BC202" s="53" t="n"/>
      <c r="BD202" s="53" t="n"/>
      <c r="BE202" s="53" t="n"/>
      <c r="BF202" s="53" t="n"/>
      <c r="BG202" s="53" t="n"/>
      <c r="BH202" s="53" t="n"/>
      <c r="BI202" s="53" t="n"/>
      <c r="BJ202" s="53" t="n"/>
      <c r="BK202" s="53" t="n"/>
      <c r="BL202" s="53" t="n"/>
      <c r="BM202" s="53" t="n"/>
      <c r="BN202" s="53" t="n"/>
      <c r="BO202" s="53" t="n"/>
      <c r="BP202" s="53" t="n"/>
      <c r="BQ202" s="53" t="n"/>
      <c r="BR202" s="53" t="n"/>
      <c r="BS202" s="53" t="n"/>
      <c r="BT202" s="53" t="n"/>
      <c r="BU202" s="53" t="n"/>
      <c r="BV202" s="53" t="n"/>
      <c r="BW202" s="53" t="n"/>
      <c r="BX202" s="53" t="n"/>
      <c r="BY202" s="53" t="n"/>
      <c r="BZ202" s="53" t="n"/>
      <c r="CA202" s="53" t="n"/>
      <c r="CB202" s="53" t="n"/>
      <c r="CC202" s="53" t="n"/>
      <c r="CD202" s="53" t="n"/>
      <c r="CE202" s="53" t="n"/>
      <c r="CF202" s="53" t="n"/>
      <c r="CG202" s="53" t="n"/>
      <c r="CH202" s="53" t="n"/>
      <c r="CI202" s="53" t="n"/>
      <c r="CJ202" s="53" t="n"/>
      <c r="CK202" s="53" t="n"/>
      <c r="CL202" s="53" t="n"/>
      <c r="CM202" s="53" t="n"/>
      <c r="CN202" s="53" t="n"/>
      <c r="CO202" s="53" t="n"/>
      <c r="CP202" s="53" t="n"/>
      <c r="CQ202" s="53" t="n"/>
      <c r="CR202" s="53" t="n"/>
      <c r="CS202" s="53" t="n"/>
      <c r="CT202" s="53" t="n"/>
      <c r="CU202" s="53" t="n"/>
      <c r="CV202" s="53" t="n"/>
      <c r="CW202" s="53" t="n"/>
      <c r="CX202" s="53" t="n"/>
      <c r="CY202" s="53" t="n"/>
      <c r="CZ202" s="53" t="n"/>
      <c r="DA202" s="53" t="n"/>
      <c r="DB202" s="53" t="n"/>
      <c r="DC202" s="53" t="n"/>
      <c r="DD202" s="53" t="inlineStr">
        <is>
          <t>IRIS2038</t>
        </is>
      </c>
      <c r="DE202" s="53" t="inlineStr">
        <is>
          <t>Employee</t>
        </is>
      </c>
      <c r="DF202" s="53" t="inlineStr">
        <is>
          <t>Active</t>
        </is>
      </c>
      <c r="DG202" s="53" t="inlineStr">
        <is>
          <t>Swapnil Shirke</t>
        </is>
      </c>
      <c r="DH202" s="54" t="n">
        <v>44754</v>
      </c>
      <c r="DI202" s="53" t="inlineStr">
        <is>
          <t>Software Engineer</t>
        </is>
      </c>
      <c r="DJ202" s="53" t="inlineStr">
        <is>
          <t>Engineering &amp; Development</t>
        </is>
      </c>
      <c r="DK202" s="53" t="inlineStr">
        <is>
          <t>Backend Engineering ·.NET</t>
        </is>
      </c>
      <c r="DL202" s="53" t="inlineStr">
        <is>
          <t>Software Engineer</t>
        </is>
      </c>
      <c r="DM202" s="53" t="inlineStr">
        <is>
          <t>L3 – Professional / Associate</t>
        </is>
      </c>
      <c r="DN202" s="53" t="inlineStr">
        <is>
          <t>B.E</t>
        </is>
      </c>
      <c r="DO202" s="53" t="inlineStr">
        <is>
          <t>Jitendra Kumar</t>
        </is>
      </c>
      <c r="DP202" s="53" t="inlineStr">
        <is>
          <t>N-4</t>
        </is>
      </c>
      <c r="DQ202" s="53" t="inlineStr">
        <is>
          <t>Manager</t>
        </is>
      </c>
      <c r="DR202" s="53" t="inlineStr">
        <is>
          <t>0 years, 0 months, 0 days</t>
        </is>
      </c>
      <c r="DS202" s="53" t="inlineStr">
        <is>
          <t>3 years, 11 months, 8 days</t>
        </is>
      </c>
      <c r="DT202" s="53" t="inlineStr">
        <is>
          <t>3 years, 11 months, 8 days</t>
        </is>
      </c>
      <c r="DU202" s="53" t="n">
        <v>3.93858447488585</v>
      </c>
      <c r="DV202" s="53" t="inlineStr">
        <is>
          <t>Regtech</t>
        </is>
      </c>
      <c r="DW202" s="53" t="inlineStr">
        <is>
          <t>iDEAL</t>
        </is>
      </c>
      <c r="DX202" s="53" t="inlineStr">
        <is>
          <t>Technology</t>
        </is>
      </c>
      <c r="DY202" s="53" t="inlineStr">
        <is>
          <t>Development</t>
        </is>
      </c>
      <c r="DZ202" s="53" t="inlineStr">
        <is>
          <t>Yes</t>
        </is>
      </c>
      <c r="EA202" s="53" t="inlineStr">
        <is>
          <t>Product/Project</t>
        </is>
      </c>
      <c r="EB202" s="53" t="inlineStr">
        <is>
          <t>.NET MVC</t>
        </is>
      </c>
      <c r="EC202" s="53" t="inlineStr">
        <is>
          <t>Technical - Developer</t>
        </is>
      </c>
      <c r="ED202" s="53" t="inlineStr">
        <is>
          <t>Remote- Outside Mumbai</t>
        </is>
      </c>
      <c r="EE202" s="53"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EF202" s="53"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EG202" s="53"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EH202" s="53" t="n">
        <v>5</v>
      </c>
      <c r="EI202" s="53" t="n"/>
      <c r="EJ202" s="53" t="inlineStr">
        <is>
          <t>Same as per records</t>
        </is>
      </c>
      <c r="EK202" s="53" t="inlineStr">
        <is>
          <t>Carries manager responsibility on a non-lead title – align title/grade to people-management scope</t>
        </is>
      </c>
      <c r="EL202" s="53" t="n">
        <v>5</v>
      </c>
      <c r="EM202" s="53" t="inlineStr">
        <is>
          <t>High</t>
        </is>
      </c>
      <c r="EN202" s="53" t="inlineStr">
        <is>
          <t>High Impact / Growth Talent</t>
        </is>
      </c>
      <c r="EO202" s="53" t="inlineStr">
        <is>
          <t>Ready Now</t>
        </is>
      </c>
      <c r="EP202" s="53" t="inlineStr">
        <is>
          <t>No</t>
        </is>
      </c>
      <c r="EQ202" s="53" t="inlineStr">
        <is>
          <t>Yes</t>
        </is>
      </c>
      <c r="ER202" s="53" t="n"/>
      <c r="ES202" s="53" t="inlineStr">
        <is>
          <t>XBRL Training, Training on the effective utilization of AI tools.</t>
        </is>
      </c>
      <c r="ET202" s="53" t="inlineStr">
        <is>
          <t>Advanced System Design &amp; Software Architecture:
1 - Microservices Architecture
2 - Design Patterns and SOLID Principles
3 - Scalable Application Design
4 - Distributed Systems Fundamentals</t>
        </is>
      </c>
      <c r="EU202" s="53" t="n"/>
      <c r="EV202" s="53" t="n"/>
      <c r="EW202" s="52" t="n"/>
      <c r="EX202" s="53" t="n"/>
      <c r="EY202" s="53" t="n"/>
      <c r="EZ202" s="53" t="n"/>
      <c r="FA202" s="53" t="n"/>
      <c r="FB202" s="53" t="n"/>
      <c r="FC202" s="53" t="inlineStr">
        <is>
          <t>Annual KRAs · objective Measurable Minimum 5 - set by Manager</t>
        </is>
      </c>
      <c r="FD202" s="53" t="n"/>
      <c r="FE202" s="57"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FF202" s="56"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FG202" s="56"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FH202" s="56" t="inlineStr">
        <is>
          <t>5</t>
        </is>
      </c>
      <c r="FI202" s="56" t="n"/>
      <c r="FJ202" s="56" t="inlineStr">
        <is>
          <t>Received · manager annual, quarterly, self</t>
        </is>
      </c>
      <c r="FK202" s="56" t="inlineStr">
        <is>
          <t>Talent Mapping · iDEAL</t>
        </is>
      </c>
      <c r="FL202" s="56" t="n">
        <v>20</v>
      </c>
      <c r="FM202" s="32" t="inlineStr">
        <is>
          <t>Full survey answers not in the files received · How We Grow export needed · HR</t>
        </is>
      </c>
      <c r="FN202" s="56" t="inlineStr">
        <is>
          <t>—</t>
        </is>
      </c>
      <c r="FO202" s="56" t="inlineStr">
        <is>
          <t>—</t>
        </is>
      </c>
      <c r="FP202" s="56" t="inlineStr">
        <is>
          <t>—</t>
        </is>
      </c>
      <c r="FQ202" s="56" t="inlineStr">
        <is>
          <t>—</t>
        </is>
      </c>
      <c r="FR202" s="56" t="inlineStr">
        <is>
          <t>Business Impact: Moved +0.5: the survey / manager mapping marks it business-critical.</t>
        </is>
      </c>
      <c r="FS20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2" s="56" t="inlineStr">
        <is>
          <t>Self-identified: Leadership &amp; people management · Project / programme management · Broader exposure &amp; ownership
For the next role: Leadership &amp; people management · Project / programme management · Broader exposure &amp; ownership</t>
        </is>
      </c>
      <c r="FU202" s="32" t="inlineStr">
        <is>
          <t>Full survey answers not in the files received · How We Grow export needed · HR</t>
        </is>
      </c>
    </row>
    <row r="203" ht="90" customHeight="1">
      <c r="A203" s="51" t="inlineStr">
        <is>
          <t>◂ Back</t>
        </is>
      </c>
      <c r="B203" s="29" t="inlineStr">
        <is>
          <t>Mapped</t>
        </is>
      </c>
      <c r="C203" s="28" t="inlineStr">
        <is>
          <t>iDEAL</t>
        </is>
      </c>
      <c r="D203" s="29" t="inlineStr">
        <is>
          <t>IRIS2426</t>
        </is>
      </c>
      <c r="E203" s="29" t="inlineStr">
        <is>
          <t>Abhay Pandey</t>
        </is>
      </c>
      <c r="F203" s="29" t="inlineStr">
        <is>
          <t>Technology</t>
        </is>
      </c>
      <c r="G203" s="29" t="inlineStr">
        <is>
          <t>Trainee Software Engineer</t>
        </is>
      </c>
      <c r="H203" s="29" t="inlineStr">
        <is>
          <t>Software Engineer</t>
        </is>
      </c>
      <c r="I203" s="29" t="inlineStr">
        <is>
          <t>L2 – Trainee</t>
        </is>
      </c>
      <c r="J203" s="29" t="inlineStr">
        <is>
          <t>A2</t>
        </is>
      </c>
      <c r="K203" s="29" t="inlineStr">
        <is>
          <t>▲ Up</t>
        </is>
      </c>
      <c r="L203" s="29" t="inlineStr">
        <is>
          <t>Engineering &amp; Development</t>
        </is>
      </c>
      <c r="M203" s="29" t="inlineStr">
        <is>
          <t>Backend Development</t>
        </is>
      </c>
      <c r="N203" s="29" t="n"/>
      <c r="O203" s="29" t="n">
        <v>20</v>
      </c>
      <c r="P203" s="28" t="inlineStr">
        <is>
          <t>P1–P2</t>
        </is>
      </c>
      <c r="Q203" s="29" t="inlineStr">
        <is>
          <t>Entry / Developing</t>
        </is>
      </c>
      <c r="R203" s="29" t="inlineStr">
        <is>
          <t>2 Assist</t>
        </is>
      </c>
      <c r="S203" s="29" t="inlineStr">
        <is>
          <t>0–2 yrs</t>
        </is>
      </c>
      <c r="T203" s="29" t="inlineStr">
        <is>
          <t>1–3 · 0–3</t>
        </is>
      </c>
      <c r="U203" s="29" t="inlineStr">
        <is>
          <t>Associate Software Engineer / Software Engineer</t>
        </is>
      </c>
      <c r="V203" s="29" t="inlineStr">
        <is>
          <t>Workiva: Associate SE · Broadridge India: SE · Nasdaq / AxiomSL: SE · Salesforce: AMTS · Atlassian: P30 Junior · 0–2 yrs · Freshworks: SE</t>
        </is>
      </c>
      <c r="W203" s="29" t="inlineStr">
        <is>
          <t>SFIA 9 · software development, programming; OWASP secure coding; cloud vendor certifications</t>
        </is>
      </c>
      <c r="X203" s="29" t="inlineStr">
        <is>
          <t>Core 2 · Future 2 · Functional 2 · Leadership not scored</t>
        </is>
      </c>
      <c r="Y203" s="52" t="n">
        <v>395</v>
      </c>
      <c r="Z203" s="53" t="inlineStr">
        <is>
          <t>IRIS2426</t>
        </is>
      </c>
      <c r="AA203" s="53" t="inlineStr">
        <is>
          <t>Employee</t>
        </is>
      </c>
      <c r="AB203" s="53" t="inlineStr">
        <is>
          <t>Active</t>
        </is>
      </c>
      <c r="AC203" s="53" t="inlineStr">
        <is>
          <t>Abhay Pandey</t>
        </is>
      </c>
      <c r="AD203" s="54" t="n">
        <v>45894</v>
      </c>
      <c r="AE203" s="53" t="inlineStr">
        <is>
          <t>Trainee Software Engineer</t>
        </is>
      </c>
      <c r="AF203" s="53" t="inlineStr">
        <is>
          <t>B.E</t>
        </is>
      </c>
      <c r="AG203" s="53" t="inlineStr">
        <is>
          <t>Swapnil Shirke</t>
        </is>
      </c>
      <c r="AH203" s="53" t="inlineStr">
        <is>
          <t>N-5</t>
        </is>
      </c>
      <c r="AI203" s="53" t="inlineStr">
        <is>
          <t>Individual Contributor</t>
        </is>
      </c>
      <c r="AJ203" s="53" t="inlineStr">
        <is>
          <t>0 years, 0 months, 0 days</t>
        </is>
      </c>
      <c r="AK203" s="53" t="inlineStr">
        <is>
          <t>1 years, 0 months, 0 days</t>
        </is>
      </c>
      <c r="AL203" s="53" t="inlineStr">
        <is>
          <t>Regtech</t>
        </is>
      </c>
      <c r="AM203" s="53" t="inlineStr">
        <is>
          <t>iDEAL</t>
        </is>
      </c>
      <c r="AN203" s="53" t="inlineStr">
        <is>
          <t>Technology</t>
        </is>
      </c>
      <c r="AO203" s="53" t="inlineStr">
        <is>
          <t>Development</t>
        </is>
      </c>
      <c r="AP203" s="53" t="inlineStr">
        <is>
          <t>Yes</t>
        </is>
      </c>
      <c r="AQ203" s="53" t="inlineStr">
        <is>
          <t>Product/Project</t>
        </is>
      </c>
      <c r="AR203" s="53" t="inlineStr">
        <is>
          <t>.NET MVC</t>
        </is>
      </c>
      <c r="AS203" s="53" t="inlineStr">
        <is>
          <t>Technical - Developer</t>
        </is>
      </c>
      <c r="AT203" s="53" t="n">
        <v>20</v>
      </c>
      <c r="AU203" s="53" t="inlineStr">
        <is>
          <t>Covered</t>
        </is>
      </c>
      <c r="AV203" s="53" t="n"/>
      <c r="AW203" s="53" t="n"/>
      <c r="AX203" s="53" t="n"/>
      <c r="AY203" s="53" t="n"/>
      <c r="AZ203" s="53" t="n"/>
      <c r="BA203" s="53" t="n"/>
      <c r="BB203" s="53" t="n"/>
      <c r="BC203" s="53" t="n"/>
      <c r="BD203" s="53" t="n"/>
      <c r="BE203" s="53" t="n"/>
      <c r="BF203" s="53" t="n"/>
      <c r="BG203" s="53" t="n"/>
      <c r="BH203" s="53" t="n"/>
      <c r="BI203" s="53" t="n"/>
      <c r="BJ203" s="53" t="n"/>
      <c r="BK203" s="53" t="n"/>
      <c r="BL203" s="53" t="n"/>
      <c r="BM203" s="53" t="n"/>
      <c r="BN203" s="53" t="n"/>
      <c r="BO203" s="53" t="n"/>
      <c r="BP203" s="53" t="n"/>
      <c r="BQ203" s="53" t="n"/>
      <c r="BR203" s="53" t="n"/>
      <c r="BS203" s="53" t="n"/>
      <c r="BT203" s="53" t="n"/>
      <c r="BU203" s="53" t="n"/>
      <c r="BV203" s="53" t="n"/>
      <c r="BW203" s="53" t="n"/>
      <c r="BX203" s="53" t="n"/>
      <c r="BY203" s="53" t="n"/>
      <c r="BZ203" s="53" t="n"/>
      <c r="CA203" s="53" t="n"/>
      <c r="CB203" s="53" t="n"/>
      <c r="CC203" s="53" t="n"/>
      <c r="CD203" s="53" t="n"/>
      <c r="CE203" s="53" t="n"/>
      <c r="CF203" s="53" t="n"/>
      <c r="CG203" s="53" t="n"/>
      <c r="CH203" s="53" t="n"/>
      <c r="CI203" s="53" t="n"/>
      <c r="CJ203" s="53" t="n"/>
      <c r="CK203" s="53" t="n"/>
      <c r="CL203" s="53" t="n"/>
      <c r="CM203" s="53" t="n"/>
      <c r="CN203" s="53" t="n"/>
      <c r="CO203" s="53" t="n"/>
      <c r="CP203" s="53" t="n"/>
      <c r="CQ203" s="53" t="n"/>
      <c r="CR203" s="53" t="n"/>
      <c r="CS203" s="53" t="n"/>
      <c r="CT203" s="53" t="n"/>
      <c r="CU203" s="53" t="n"/>
      <c r="CV203" s="53" t="n"/>
      <c r="CW203" s="53" t="n"/>
      <c r="CX203" s="53" t="n"/>
      <c r="CY203" s="53" t="n"/>
      <c r="CZ203" s="53" t="n"/>
      <c r="DA203" s="53" t="n"/>
      <c r="DB203" s="53" t="n"/>
      <c r="DC203" s="53" t="n"/>
      <c r="DD203" s="53" t="inlineStr">
        <is>
          <t>IRIS2426</t>
        </is>
      </c>
      <c r="DE203" s="53" t="inlineStr">
        <is>
          <t>Employee</t>
        </is>
      </c>
      <c r="DF203" s="53" t="inlineStr">
        <is>
          <t>Active</t>
        </is>
      </c>
      <c r="DG203" s="53" t="inlineStr">
        <is>
          <t>Abhay Pandey</t>
        </is>
      </c>
      <c r="DH203" s="54" t="n">
        <v>45894</v>
      </c>
      <c r="DI203" s="53" t="inlineStr">
        <is>
          <t>Trainee Software Engineer</t>
        </is>
      </c>
      <c r="DJ203" s="53" t="inlineStr">
        <is>
          <t>Engineering &amp; Development</t>
        </is>
      </c>
      <c r="DK203" s="53" t="inlineStr">
        <is>
          <t>Backend Engineering ·.NET</t>
        </is>
      </c>
      <c r="DL203" s="53" t="inlineStr">
        <is>
          <t>Trainee Software Engineer</t>
        </is>
      </c>
      <c r="DM203" s="53" t="inlineStr">
        <is>
          <t>L2 – Trainee</t>
        </is>
      </c>
      <c r="DN203" s="53" t="inlineStr">
        <is>
          <t>B.E</t>
        </is>
      </c>
      <c r="DO203" s="53" t="inlineStr">
        <is>
          <t>Swapnil Shirke</t>
        </is>
      </c>
      <c r="DP203" s="53" t="inlineStr">
        <is>
          <t>N-5</t>
        </is>
      </c>
      <c r="DQ203" s="53" t="inlineStr">
        <is>
          <t>Individual Contributor</t>
        </is>
      </c>
      <c r="DR203" s="53" t="inlineStr">
        <is>
          <t>0 years, 0 months, 0 days</t>
        </is>
      </c>
      <c r="DS203" s="53" t="inlineStr">
        <is>
          <t>0 years, 9 months, 26 days</t>
        </is>
      </c>
      <c r="DT203" s="53" t="inlineStr">
        <is>
          <t>0 years, 9 months, 26 days</t>
        </is>
      </c>
      <c r="DU203" s="53" t="n"/>
      <c r="DV203" s="53" t="inlineStr">
        <is>
          <t>Regtech</t>
        </is>
      </c>
      <c r="DW203" s="53" t="inlineStr">
        <is>
          <t>iDEAL</t>
        </is>
      </c>
      <c r="DX203" s="53" t="inlineStr">
        <is>
          <t>Technology</t>
        </is>
      </c>
      <c r="DY203" s="53" t="inlineStr">
        <is>
          <t>Development</t>
        </is>
      </c>
      <c r="DZ203" s="53" t="inlineStr">
        <is>
          <t>Yes</t>
        </is>
      </c>
      <c r="EA203" s="53" t="inlineStr">
        <is>
          <t>Product/Project</t>
        </is>
      </c>
      <c r="EB203" s="53" t="inlineStr">
        <is>
          <t>.NET MVC</t>
        </is>
      </c>
      <c r="EC203" s="53" t="inlineStr">
        <is>
          <t>Technical - Developer</t>
        </is>
      </c>
      <c r="ED203" s="53" t="inlineStr">
        <is>
          <t>Work From Office - Turbhe</t>
        </is>
      </c>
      <c r="EE203" s="53"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EF203" s="53"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EG203" s="53"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EH203" s="53" t="n">
        <v>3</v>
      </c>
      <c r="EI203" s="53" t="n"/>
      <c r="EJ203" s="53" t="inlineStr">
        <is>
          <t>Same as per records</t>
        </is>
      </c>
      <c r="EK203" s="53" t="n"/>
      <c r="EL203" s="53" t="n">
        <v>3</v>
      </c>
      <c r="EM203" s="53" t="inlineStr">
        <is>
          <t>Medium</t>
        </is>
      </c>
      <c r="EN203" s="53" t="inlineStr">
        <is>
          <t>Core Contributor</t>
        </is>
      </c>
      <c r="EO203" s="53" t="inlineStr">
        <is>
          <t>Not Ready</t>
        </is>
      </c>
      <c r="EP203" s="53" t="inlineStr">
        <is>
          <t>No</t>
        </is>
      </c>
      <c r="EQ203" s="53" t="inlineStr">
        <is>
          <t>No</t>
        </is>
      </c>
      <c r="ER203" s="53" t="n"/>
      <c r="ES203" s="53" t="inlineStr">
        <is>
          <t>XBRL Training, Training on the effective utilization of AI tools.</t>
        </is>
      </c>
      <c r="ET203" s="53" t="n"/>
      <c r="EU203" s="53" t="n"/>
      <c r="EV203" s="53" t="n"/>
      <c r="EW203" s="52" t="n"/>
      <c r="EX203" s="53" t="n"/>
      <c r="EY203" s="53" t="n"/>
      <c r="EZ203" s="53" t="n"/>
      <c r="FA203" s="53" t="n"/>
      <c r="FB203" s="53" t="n"/>
      <c r="FC203" s="53" t="n"/>
      <c r="FD203" s="53" t="n"/>
      <c r="FE203" s="57"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FF203" s="56"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FG203" s="56"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FH203" s="56" t="inlineStr">
        <is>
          <t>3</t>
        </is>
      </c>
      <c r="FI203" s="56" t="n"/>
      <c r="FJ203" s="56" t="inlineStr">
        <is>
          <t>Received · manager annual, quarterly, self</t>
        </is>
      </c>
      <c r="FK203" s="56" t="inlineStr">
        <is>
          <t>Talent Mapping · iDEAL</t>
        </is>
      </c>
      <c r="FL203" s="56" t="n">
        <v>20</v>
      </c>
      <c r="FM203" s="32" t="inlineStr">
        <is>
          <t>Full survey answers not in the files received · How We Grow export needed · HR</t>
        </is>
      </c>
      <c r="FN203" s="56" t="inlineStr">
        <is>
          <t>—</t>
        </is>
      </c>
      <c r="FO203" s="56" t="inlineStr">
        <is>
          <t>—</t>
        </is>
      </c>
      <c r="FP203" s="56" t="inlineStr">
        <is>
          <t>—</t>
        </is>
      </c>
      <c r="FQ203" s="56" t="inlineStr">
        <is>
          <t>—</t>
        </is>
      </c>
      <c r="FR203" s="56" t="inlineStr">
        <is>
          <t>Business Impact: No survey or manager-mapping signal on criticality: kept at the start point.</t>
        </is>
      </c>
      <c r="FS203"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03" s="56" t="inlineStr">
        <is>
          <t>Self-identified: Strategy &amp; business acumen · Broader exposure &amp; ownership
For the next role: Strategy &amp; business acumen · Broader exposure &amp; ownership</t>
        </is>
      </c>
      <c r="FU203" s="32" t="inlineStr">
        <is>
          <t>Full survey answers not in the files received · How We Grow export needed · HR</t>
        </is>
      </c>
    </row>
    <row r="204" ht="90" customHeight="1">
      <c r="A204" s="51" t="inlineStr">
        <is>
          <t>◂ Back</t>
        </is>
      </c>
      <c r="B204" s="29" t="inlineStr">
        <is>
          <t>Mapped</t>
        </is>
      </c>
      <c r="C204" s="28" t="inlineStr">
        <is>
          <t>iDEAL</t>
        </is>
      </c>
      <c r="D204" s="29" t="inlineStr">
        <is>
          <t>IRIS2427</t>
        </is>
      </c>
      <c r="E204" s="29" t="inlineStr">
        <is>
          <t>Sumeet Laxman Kurdia</t>
        </is>
      </c>
      <c r="F204" s="29" t="inlineStr">
        <is>
          <t>Technology</t>
        </is>
      </c>
      <c r="G204" s="29" t="inlineStr">
        <is>
          <t>Trainee Software Engineer</t>
        </is>
      </c>
      <c r="H204" s="29" t="inlineStr">
        <is>
          <t>Software Engineer</t>
        </is>
      </c>
      <c r="I204" s="29" t="inlineStr">
        <is>
          <t>L2 – Trainee</t>
        </is>
      </c>
      <c r="J204" s="29" t="inlineStr">
        <is>
          <t>A2</t>
        </is>
      </c>
      <c r="K204" s="29" t="inlineStr">
        <is>
          <t>▲ Up</t>
        </is>
      </c>
      <c r="L204" s="29" t="inlineStr">
        <is>
          <t>Engineering &amp; Development</t>
        </is>
      </c>
      <c r="M204" s="29" t="inlineStr">
        <is>
          <t>Backend Development</t>
        </is>
      </c>
      <c r="N204" s="29" t="n"/>
      <c r="O204" s="29" t="n">
        <v>20</v>
      </c>
      <c r="P204" s="28" t="inlineStr">
        <is>
          <t>P1–P2</t>
        </is>
      </c>
      <c r="Q204" s="29" t="inlineStr">
        <is>
          <t>Entry / Developing</t>
        </is>
      </c>
      <c r="R204" s="29" t="inlineStr">
        <is>
          <t>2 Assist</t>
        </is>
      </c>
      <c r="S204" s="29" t="inlineStr">
        <is>
          <t>0–2 yrs</t>
        </is>
      </c>
      <c r="T204" s="29" t="inlineStr">
        <is>
          <t>1–3 · 0–3</t>
        </is>
      </c>
      <c r="U204" s="29" t="inlineStr">
        <is>
          <t>Associate Software Engineer / Software Engineer</t>
        </is>
      </c>
      <c r="V204" s="29" t="inlineStr">
        <is>
          <t>Workiva: Associate SE · Broadridge India: SE · Nasdaq / AxiomSL: SE · Salesforce: AMTS · Atlassian: P30 Junior · 0–2 yrs · Freshworks: SE</t>
        </is>
      </c>
      <c r="W204" s="29" t="inlineStr">
        <is>
          <t>SFIA 9 · software development, programming; OWASP secure coding; cloud vendor certifications</t>
        </is>
      </c>
      <c r="X204" s="29" t="inlineStr">
        <is>
          <t>Core 2 · Future 2 · Functional 2 · Leadership not scored</t>
        </is>
      </c>
      <c r="Y204" s="52" t="n">
        <v>396</v>
      </c>
      <c r="Z204" s="53" t="inlineStr">
        <is>
          <t>IRIS2427</t>
        </is>
      </c>
      <c r="AA204" s="53" t="inlineStr">
        <is>
          <t>Employee</t>
        </is>
      </c>
      <c r="AB204" s="53" t="inlineStr">
        <is>
          <t>Active</t>
        </is>
      </c>
      <c r="AC204" s="53" t="inlineStr">
        <is>
          <t>Sumeet Laxman Kurdia</t>
        </is>
      </c>
      <c r="AD204" s="54" t="n">
        <v>45894</v>
      </c>
      <c r="AE204" s="53" t="inlineStr">
        <is>
          <t>Trainee Software Engineer</t>
        </is>
      </c>
      <c r="AF204" s="53" t="inlineStr">
        <is>
          <t>B.Sc</t>
        </is>
      </c>
      <c r="AG204" s="53" t="inlineStr">
        <is>
          <t>Swapnil Shirke</t>
        </is>
      </c>
      <c r="AH204" s="53" t="inlineStr">
        <is>
          <t>N-5</t>
        </is>
      </c>
      <c r="AI204" s="53" t="inlineStr">
        <is>
          <t>Individual Contributor</t>
        </is>
      </c>
      <c r="AJ204" s="53" t="inlineStr">
        <is>
          <t>0 years, 9 months, 0 days</t>
        </is>
      </c>
      <c r="AK204" s="53" t="inlineStr">
        <is>
          <t>1 years, 0 months, 0 days</t>
        </is>
      </c>
      <c r="AL204" s="53" t="inlineStr">
        <is>
          <t>Regtech</t>
        </is>
      </c>
      <c r="AM204" s="53" t="inlineStr">
        <is>
          <t>iDEAL</t>
        </is>
      </c>
      <c r="AN204" s="53" t="inlineStr">
        <is>
          <t>Technology</t>
        </is>
      </c>
      <c r="AO204" s="53" t="inlineStr">
        <is>
          <t>Development</t>
        </is>
      </c>
      <c r="AP204" s="53" t="inlineStr">
        <is>
          <t>Yes</t>
        </is>
      </c>
      <c r="AQ204" s="53" t="inlineStr">
        <is>
          <t>Product/Project</t>
        </is>
      </c>
      <c r="AR204" s="53" t="inlineStr">
        <is>
          <t>.NET MVC</t>
        </is>
      </c>
      <c r="AS204" s="53" t="inlineStr">
        <is>
          <t>Technical - Developer</t>
        </is>
      </c>
      <c r="AT204" s="53" t="n">
        <v>20</v>
      </c>
      <c r="AU204" s="53" t="inlineStr">
        <is>
          <t>Covered</t>
        </is>
      </c>
      <c r="AV204" s="53" t="n"/>
      <c r="AW204" s="53" t="n"/>
      <c r="AX204" s="53" t="n"/>
      <c r="AY204" s="53" t="n"/>
      <c r="AZ204" s="53" t="n"/>
      <c r="BA204" s="53" t="n"/>
      <c r="BB204" s="53" t="n"/>
      <c r="BC204" s="53" t="n"/>
      <c r="BD204" s="53" t="n"/>
      <c r="BE204" s="53" t="n"/>
      <c r="BF204" s="53" t="n"/>
      <c r="BG204" s="53" t="n"/>
      <c r="BH204" s="53" t="n"/>
      <c r="BI204" s="53" t="n"/>
      <c r="BJ204" s="53" t="n"/>
      <c r="BK204" s="53" t="n"/>
      <c r="BL204" s="53" t="n"/>
      <c r="BM204" s="53" t="n"/>
      <c r="BN204" s="53" t="n"/>
      <c r="BO204" s="53" t="n"/>
      <c r="BP204" s="53" t="n"/>
      <c r="BQ204" s="53" t="n"/>
      <c r="BR204" s="53" t="n"/>
      <c r="BS204" s="53" t="n"/>
      <c r="BT204" s="53" t="n"/>
      <c r="BU204" s="53" t="n"/>
      <c r="BV204" s="53" t="n"/>
      <c r="BW204" s="53" t="n"/>
      <c r="BX204" s="53" t="n"/>
      <c r="BY204" s="53" t="n"/>
      <c r="BZ204" s="53" t="n"/>
      <c r="CA204" s="53" t="n"/>
      <c r="CB204" s="53" t="n"/>
      <c r="CC204" s="53" t="n"/>
      <c r="CD204" s="53" t="n"/>
      <c r="CE204" s="53" t="n"/>
      <c r="CF204" s="53" t="n"/>
      <c r="CG204" s="53" t="n"/>
      <c r="CH204" s="53" t="n"/>
      <c r="CI204" s="53" t="n"/>
      <c r="CJ204" s="53" t="n"/>
      <c r="CK204" s="53" t="n"/>
      <c r="CL204" s="53" t="n"/>
      <c r="CM204" s="53" t="n"/>
      <c r="CN204" s="53" t="n"/>
      <c r="CO204" s="53" t="n"/>
      <c r="CP204" s="53" t="n"/>
      <c r="CQ204" s="53" t="n"/>
      <c r="CR204" s="53" t="n"/>
      <c r="CS204" s="53" t="n"/>
      <c r="CT204" s="53" t="n"/>
      <c r="CU204" s="53" t="n"/>
      <c r="CV204" s="53" t="n"/>
      <c r="CW204" s="53" t="n"/>
      <c r="CX204" s="53" t="n"/>
      <c r="CY204" s="53" t="n"/>
      <c r="CZ204" s="53" t="n"/>
      <c r="DA204" s="53" t="n"/>
      <c r="DB204" s="53" t="n"/>
      <c r="DC204" s="53" t="n"/>
      <c r="DD204" s="53" t="inlineStr">
        <is>
          <t>IRIS2427</t>
        </is>
      </c>
      <c r="DE204" s="53" t="inlineStr">
        <is>
          <t>Employee</t>
        </is>
      </c>
      <c r="DF204" s="53" t="inlineStr">
        <is>
          <t>Active</t>
        </is>
      </c>
      <c r="DG204" s="53" t="inlineStr">
        <is>
          <t>Sumeet Laxman Kurdia</t>
        </is>
      </c>
      <c r="DH204" s="54" t="n">
        <v>45894</v>
      </c>
      <c r="DI204" s="53" t="inlineStr">
        <is>
          <t>Trainee Software Engineer</t>
        </is>
      </c>
      <c r="DJ204" s="53" t="inlineStr">
        <is>
          <t>Engineering &amp; Development</t>
        </is>
      </c>
      <c r="DK204" s="53" t="inlineStr">
        <is>
          <t>Backend Engineering ·.NET</t>
        </is>
      </c>
      <c r="DL204" s="53" t="inlineStr">
        <is>
          <t>Trainee Software Engineer</t>
        </is>
      </c>
      <c r="DM204" s="53" t="inlineStr">
        <is>
          <t>L2 – Trainee</t>
        </is>
      </c>
      <c r="DN204" s="53" t="inlineStr">
        <is>
          <t>B.Sc</t>
        </is>
      </c>
      <c r="DO204" s="53" t="inlineStr">
        <is>
          <t>Swapnil Shirke</t>
        </is>
      </c>
      <c r="DP204" s="53" t="inlineStr">
        <is>
          <t>N-5</t>
        </is>
      </c>
      <c r="DQ204" s="53" t="inlineStr">
        <is>
          <t>Individual Contributor</t>
        </is>
      </c>
      <c r="DR204" s="53" t="inlineStr">
        <is>
          <t>0 years, 9 months, 0 days</t>
        </is>
      </c>
      <c r="DS204" s="53" t="inlineStr">
        <is>
          <t>0 years, 9 months, 26 days</t>
        </is>
      </c>
      <c r="DT204" s="53" t="inlineStr">
        <is>
          <t>1 years, 6 months, 26 days</t>
        </is>
      </c>
      <c r="DU204" s="53" t="n"/>
      <c r="DV204" s="53" t="inlineStr">
        <is>
          <t>Regtech</t>
        </is>
      </c>
      <c r="DW204" s="53" t="inlineStr">
        <is>
          <t>iDEAL</t>
        </is>
      </c>
      <c r="DX204" s="53" t="inlineStr">
        <is>
          <t>Technology</t>
        </is>
      </c>
      <c r="DY204" s="53" t="inlineStr">
        <is>
          <t>Development</t>
        </is>
      </c>
      <c r="DZ204" s="53" t="inlineStr">
        <is>
          <t>Yes</t>
        </is>
      </c>
      <c r="EA204" s="53" t="inlineStr">
        <is>
          <t>Product/Project</t>
        </is>
      </c>
      <c r="EB204" s="53" t="inlineStr">
        <is>
          <t>.NET MVC</t>
        </is>
      </c>
      <c r="EC204" s="53" t="inlineStr">
        <is>
          <t>Technical - Developer</t>
        </is>
      </c>
      <c r="ED204" s="53" t="inlineStr">
        <is>
          <t>Work From Office - Turbhe</t>
        </is>
      </c>
      <c r="EE204" s="53"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EF204" s="53"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EG204" s="53"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EH204" s="53" t="n">
        <v>3</v>
      </c>
      <c r="EI204" s="53" t="n"/>
      <c r="EJ204" s="53" t="inlineStr">
        <is>
          <t>Same as per records</t>
        </is>
      </c>
      <c r="EK204" s="53" t="n"/>
      <c r="EL204" s="53" t="n">
        <v>3</v>
      </c>
      <c r="EM204" s="53" t="inlineStr">
        <is>
          <t>Medium</t>
        </is>
      </c>
      <c r="EN204" s="53" t="inlineStr">
        <is>
          <t>Core Contributor</t>
        </is>
      </c>
      <c r="EO204" s="53" t="inlineStr">
        <is>
          <t>Not Ready</t>
        </is>
      </c>
      <c r="EP204" s="53" t="inlineStr">
        <is>
          <t>No</t>
        </is>
      </c>
      <c r="EQ204" s="53" t="inlineStr">
        <is>
          <t>No</t>
        </is>
      </c>
      <c r="ER204" s="53" t="n"/>
      <c r="ES204" s="53" t="inlineStr">
        <is>
          <t>XBRL Training, Training on the effective utilization of AI tools.</t>
        </is>
      </c>
      <c r="ET204" s="53" t="n"/>
      <c r="EU204" s="53" t="n"/>
      <c r="EV204" s="53" t="n"/>
      <c r="EW204" s="52" t="n"/>
      <c r="EX204" s="53" t="n"/>
      <c r="EY204" s="53" t="n"/>
      <c r="EZ204" s="53" t="n"/>
      <c r="FA204" s="53" t="n"/>
      <c r="FB204" s="53" t="n"/>
      <c r="FC204" s="53" t="n"/>
      <c r="FD204" s="53" t="n"/>
      <c r="FE204" s="57"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FF204" s="56"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FG204" s="56"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FH204" s="56" t="inlineStr">
        <is>
          <t>3</t>
        </is>
      </c>
      <c r="FI204" s="56" t="n"/>
      <c r="FJ204" s="56" t="inlineStr">
        <is>
          <t>Received · manager annual, quarterly, self</t>
        </is>
      </c>
      <c r="FK204" s="56" t="inlineStr">
        <is>
          <t>Talent Mapping · iDEAL</t>
        </is>
      </c>
      <c r="FL204" s="56" t="n">
        <v>20</v>
      </c>
      <c r="FM204" s="32" t="inlineStr">
        <is>
          <t>Full survey answers not in the files received · How We Grow export needed · HR</t>
        </is>
      </c>
      <c r="FN204" s="56" t="inlineStr">
        <is>
          <t>—</t>
        </is>
      </c>
      <c r="FO204" s="56" t="inlineStr">
        <is>
          <t>—</t>
        </is>
      </c>
      <c r="FP204" s="56" t="inlineStr">
        <is>
          <t>—</t>
        </is>
      </c>
      <c r="FQ204" s="56" t="inlineStr">
        <is>
          <t>—</t>
        </is>
      </c>
      <c r="FR204" s="56"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0.5
Leadership: Evidence reads like A1: None described → matches the start
Business Impact: No survey or manager-mapping signal on criticality: kept at the start point.</t>
        </is>
      </c>
      <c r="FS204"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04" s="56" t="inlineStr">
        <is>
          <t>Self-identified: AI / automation · Technical depth &amp; architecture · Broader exposure &amp; ownership
For the next role: AI / automation · Technical depth &amp; architecture · Broader exposure &amp; ownership</t>
        </is>
      </c>
      <c r="FU204" s="32" t="inlineStr">
        <is>
          <t>Full survey answers not in the files received · How We Grow export needed · HR</t>
        </is>
      </c>
    </row>
    <row r="205" ht="90" customHeight="1">
      <c r="A205" s="51" t="inlineStr">
        <is>
          <t>◂ Back</t>
        </is>
      </c>
      <c r="B205" s="29" t="inlineStr">
        <is>
          <t>Mapped</t>
        </is>
      </c>
      <c r="C205" s="28" t="inlineStr">
        <is>
          <t>iDEAL</t>
        </is>
      </c>
      <c r="D205" s="29" t="inlineStr">
        <is>
          <t>IRIS2538</t>
        </is>
      </c>
      <c r="E205" s="29" t="inlineStr">
        <is>
          <t>Atharv Sameer Shevade</t>
        </is>
      </c>
      <c r="F205" s="29" t="inlineStr">
        <is>
          <t>Technology</t>
        </is>
      </c>
      <c r="G205" s="29" t="inlineStr">
        <is>
          <t>Trainee Software Engineer</t>
        </is>
      </c>
      <c r="H205" s="29" t="inlineStr">
        <is>
          <t>Trainee Software Engineer</t>
        </is>
      </c>
      <c r="I205" s="29" t="inlineStr">
        <is>
          <t>L1 – Intern</t>
        </is>
      </c>
      <c r="J205" s="29" t="inlineStr">
        <is>
          <t>A1</t>
        </is>
      </c>
      <c r="K205" s="29" t="inlineStr">
        <is>
          <t>• Same level</t>
        </is>
      </c>
      <c r="L205" s="29" t="inlineStr">
        <is>
          <t>Engineering &amp; Development</t>
        </is>
      </c>
      <c r="M205" s="29" t="inlineStr">
        <is>
          <t>Full-Stack Development</t>
        </is>
      </c>
      <c r="N205" s="29" t="n"/>
      <c r="O205" s="29" t="n">
        <v>20</v>
      </c>
      <c r="P205" s="28" t="inlineStr">
        <is>
          <t>Entry / P1 · intern</t>
        </is>
      </c>
      <c r="Q205" s="29" t="inlineStr">
        <is>
          <t>Entry</t>
        </is>
      </c>
      <c r="R205" s="29" t="inlineStr">
        <is>
          <t>1 Follow</t>
        </is>
      </c>
      <c r="S205" s="29" t="inlineStr">
        <is>
          <t>0 yrs · fresher / intern</t>
        </is>
      </c>
      <c r="T205" s="29" t="inlineStr">
        <is>
          <t>—</t>
        </is>
      </c>
      <c r="U205" s="29" t="inlineStr">
        <is>
          <t>Associate Software Engineer</t>
        </is>
      </c>
      <c r="V205" s="29" t="inlineStr">
        <is>
          <t>—</t>
        </is>
      </c>
      <c r="W205" s="29" t="inlineStr">
        <is>
          <t>SFIA 9 · software development, programming; OWASP secure coding; cloud vendor certifications</t>
        </is>
      </c>
      <c r="X205" s="29" t="inlineStr">
        <is>
          <t>Core 1 · Future 1 · Functional 1 · Leadership not scored</t>
        </is>
      </c>
      <c r="Y205" s="52" t="n">
        <v>511</v>
      </c>
      <c r="Z205" s="53" t="inlineStr">
        <is>
          <t>IRIS2538</t>
        </is>
      </c>
      <c r="AA205" s="53" t="inlineStr">
        <is>
          <t>Employee</t>
        </is>
      </c>
      <c r="AB205" s="53" t="inlineStr">
        <is>
          <t>Active</t>
        </is>
      </c>
      <c r="AC205" s="53" t="inlineStr">
        <is>
          <t>Atharv Sameer Shevade</t>
        </is>
      </c>
      <c r="AD205" s="54" t="n">
        <v>46189</v>
      </c>
      <c r="AE205" s="53" t="inlineStr">
        <is>
          <t>Trainee Software Engineer</t>
        </is>
      </c>
      <c r="AF205" s="53" t="inlineStr">
        <is>
          <t>B.Tech</t>
        </is>
      </c>
      <c r="AG205" s="53" t="inlineStr">
        <is>
          <t>Swapnil Shirke</t>
        </is>
      </c>
      <c r="AH205" s="53" t="inlineStr">
        <is>
          <t>N-5</t>
        </is>
      </c>
      <c r="AI205" s="53" t="inlineStr">
        <is>
          <t>Individual Contributor</t>
        </is>
      </c>
      <c r="AJ205" s="53" t="inlineStr">
        <is>
          <t>0 years, 0 months, 0 days</t>
        </is>
      </c>
      <c r="AK205" s="53" t="inlineStr">
        <is>
          <t>0 years, 2 months, 9 days</t>
        </is>
      </c>
      <c r="AL205" s="53" t="inlineStr">
        <is>
          <t>Regtech</t>
        </is>
      </c>
      <c r="AM205" s="53" t="inlineStr">
        <is>
          <t>iDEAL</t>
        </is>
      </c>
      <c r="AN205" s="53" t="inlineStr">
        <is>
          <t>Technology</t>
        </is>
      </c>
      <c r="AO205" s="53" t="inlineStr">
        <is>
          <t>Development</t>
        </is>
      </c>
      <c r="AP205" s="53" t="inlineStr">
        <is>
          <t>Yes</t>
        </is>
      </c>
      <c r="AQ205" s="53" t="inlineStr">
        <is>
          <t>Product/Project</t>
        </is>
      </c>
      <c r="AR205" s="53" t="inlineStr">
        <is>
          <t>.NET MVC</t>
        </is>
      </c>
      <c r="AS205" s="53" t="inlineStr">
        <is>
          <t>Technical - Developer</t>
        </is>
      </c>
      <c r="AT205" s="53" t="n">
        <v>20</v>
      </c>
      <c r="AU205" s="53" t="inlineStr">
        <is>
          <t>Covered</t>
        </is>
      </c>
      <c r="AV205" s="53" t="n"/>
      <c r="AW205" s="53" t="n"/>
      <c r="AX205" s="53" t="n"/>
      <c r="AY205" s="53" t="n"/>
      <c r="AZ205" s="53" t="n"/>
      <c r="BA205" s="53" t="n"/>
      <c r="BB205" s="53" t="n"/>
      <c r="BC205" s="53" t="n"/>
      <c r="BD205" s="53" t="n"/>
      <c r="BE205" s="53" t="n"/>
      <c r="BF205" s="53" t="n"/>
      <c r="BG205" s="53" t="n"/>
      <c r="BH205" s="53" t="n"/>
      <c r="BI205" s="53" t="n"/>
      <c r="BJ205" s="53" t="n"/>
      <c r="BK205" s="53" t="n"/>
      <c r="BL205" s="53" t="n"/>
      <c r="BM205" s="53" t="n"/>
      <c r="BN205" s="53" t="n"/>
      <c r="BO205" s="53" t="n"/>
      <c r="BP205" s="53" t="n"/>
      <c r="BQ205" s="53" t="n"/>
      <c r="BR205" s="53" t="n"/>
      <c r="BS205" s="53" t="n"/>
      <c r="BT205" s="53" t="n"/>
      <c r="BU205" s="53" t="n"/>
      <c r="BV205" s="53" t="n"/>
      <c r="BW205" s="53" t="n"/>
      <c r="BX205" s="53" t="n"/>
      <c r="BY205" s="53" t="n"/>
      <c r="BZ205" s="53" t="n"/>
      <c r="CA205" s="53" t="n"/>
      <c r="CB205" s="53" t="n"/>
      <c r="CC205" s="53" t="n"/>
      <c r="CD205" s="53" t="n"/>
      <c r="CE205" s="53" t="n"/>
      <c r="CF205" s="53" t="n"/>
      <c r="CG205" s="53" t="n"/>
      <c r="CH205" s="53" t="n"/>
      <c r="CI205" s="53" t="n"/>
      <c r="CJ205" s="53" t="n"/>
      <c r="CK205" s="53" t="n"/>
      <c r="CL205" s="53" t="n"/>
      <c r="CM205" s="53" t="n"/>
      <c r="CN205" s="53" t="n"/>
      <c r="CO205" s="53" t="n"/>
      <c r="CP205" s="53" t="n"/>
      <c r="CQ205" s="53" t="n"/>
      <c r="CR205" s="53" t="n"/>
      <c r="CS205" s="53" t="n"/>
      <c r="CT205" s="53" t="n"/>
      <c r="CU205" s="53" t="n"/>
      <c r="CV205" s="53" t="n"/>
      <c r="CW205" s="53" t="n"/>
      <c r="CX205" s="53" t="n"/>
      <c r="CY205" s="53" t="n"/>
      <c r="CZ205" s="53" t="n"/>
      <c r="DA205" s="53" t="n"/>
      <c r="DB205" s="53" t="n"/>
      <c r="DC205" s="53" t="n"/>
      <c r="DD205" s="53" t="inlineStr">
        <is>
          <t>INTN0299</t>
        </is>
      </c>
      <c r="DE205" s="53" t="inlineStr">
        <is>
          <t>Intern</t>
        </is>
      </c>
      <c r="DF205" s="53" t="inlineStr">
        <is>
          <t>Active</t>
        </is>
      </c>
      <c r="DG205" s="53" t="inlineStr">
        <is>
          <t>Atharv Sameer Shevade</t>
        </is>
      </c>
      <c r="DH205" s="54" t="n">
        <v>46097</v>
      </c>
      <c r="DI205" s="53" t="inlineStr">
        <is>
          <t>Intern</t>
        </is>
      </c>
      <c r="DJ205" s="53" t="inlineStr">
        <is>
          <t>Engineering &amp; Development</t>
        </is>
      </c>
      <c r="DK205" s="53" t="inlineStr">
        <is>
          <t>Backend Engineering ·.NET</t>
        </is>
      </c>
      <c r="DL205" s="53" t="inlineStr">
        <is>
          <t>Intern</t>
        </is>
      </c>
      <c r="DM205" s="53" t="inlineStr">
        <is>
          <t>L1 – Intern</t>
        </is>
      </c>
      <c r="DN205" s="53" t="inlineStr">
        <is>
          <t>B.Tech</t>
        </is>
      </c>
      <c r="DO205" s="53" t="inlineStr">
        <is>
          <t>Swapnil Shirke</t>
        </is>
      </c>
      <c r="DP205" s="53" t="inlineStr">
        <is>
          <t>N-5</t>
        </is>
      </c>
      <c r="DQ205" s="53" t="inlineStr">
        <is>
          <t>Individual Contributor</t>
        </is>
      </c>
      <c r="DR205" s="53" t="inlineStr">
        <is>
          <t>0 years, 0 months, 0 days</t>
        </is>
      </c>
      <c r="DS205" s="53" t="inlineStr">
        <is>
          <t>0 years, 3 months, 4 days</t>
        </is>
      </c>
      <c r="DT205" s="53" t="inlineStr">
        <is>
          <t>0 years, 3 months, 4 days</t>
        </is>
      </c>
      <c r="DU205" s="53" t="n"/>
      <c r="DV205" s="53" t="inlineStr">
        <is>
          <t>Regtech</t>
        </is>
      </c>
      <c r="DW205" s="53" t="inlineStr">
        <is>
          <t>iDEAL</t>
        </is>
      </c>
      <c r="DX205" s="53" t="inlineStr">
        <is>
          <t>Technology</t>
        </is>
      </c>
      <c r="DY205" s="53" t="inlineStr">
        <is>
          <t>Development</t>
        </is>
      </c>
      <c r="DZ205" s="53" t="inlineStr">
        <is>
          <t>Yes</t>
        </is>
      </c>
      <c r="EA205" s="53" t="inlineStr">
        <is>
          <t>Product/Project</t>
        </is>
      </c>
      <c r="EB205" s="53" t="inlineStr">
        <is>
          <t>.Net</t>
        </is>
      </c>
      <c r="EC205" s="53" t="inlineStr">
        <is>
          <t>Technical - Developer</t>
        </is>
      </c>
      <c r="ED205" s="53" t="inlineStr">
        <is>
          <t>Work From Office - Turbhe</t>
        </is>
      </c>
      <c r="EE205" s="53"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EF205" s="53"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EG205" s="53"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EH205" s="53" t="n">
        <v>3</v>
      </c>
      <c r="EI205" s="53" t="n"/>
      <c r="EJ205" s="53" t="inlineStr">
        <is>
          <t>Same as per records</t>
        </is>
      </c>
      <c r="EK205" s="53" t="n"/>
      <c r="EL205" s="53" t="n">
        <v>3</v>
      </c>
      <c r="EM205" s="53" t="inlineStr">
        <is>
          <t>Medium</t>
        </is>
      </c>
      <c r="EN205" s="53" t="inlineStr">
        <is>
          <t>Core Contributor</t>
        </is>
      </c>
      <c r="EO205" s="53" t="inlineStr">
        <is>
          <t>Not Ready</t>
        </is>
      </c>
      <c r="EP205" s="53" t="inlineStr">
        <is>
          <t>No</t>
        </is>
      </c>
      <c r="EQ205" s="53" t="inlineStr">
        <is>
          <t>No</t>
        </is>
      </c>
      <c r="ER205" s="53" t="n"/>
      <c r="ES205" s="53" t="inlineStr">
        <is>
          <t>XBRL Training, Training on the effective utilization of AI tools.</t>
        </is>
      </c>
      <c r="ET205" s="53" t="n"/>
      <c r="EU205" s="53" t="n"/>
      <c r="EV205" s="53" t="n"/>
      <c r="EW205" s="52" t="n"/>
      <c r="EX205" s="53" t="n"/>
      <c r="EY205" s="53" t="n"/>
      <c r="EZ205" s="53" t="n"/>
      <c r="FA205" s="53" t="n"/>
      <c r="FB205" s="53" t="n"/>
      <c r="FC205" s="53" t="n"/>
      <c r="FD205" s="53" t="inlineStr">
        <is>
          <t>INTN0299</t>
        </is>
      </c>
      <c r="FE205" s="57"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FF205" s="56"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FG205" s="56"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FH205" s="56" t="inlineStr">
        <is>
          <t>3</t>
        </is>
      </c>
      <c r="FI205" s="56" t="n"/>
      <c r="FJ205" s="56" t="inlineStr">
        <is>
          <t>Received · manager annual, quarterly, self</t>
        </is>
      </c>
      <c r="FK205" s="56" t="inlineStr">
        <is>
          <t>Talent Mapping · iDEAL</t>
        </is>
      </c>
      <c r="FL205" s="56" t="n">
        <v>20</v>
      </c>
      <c r="FM205" s="32" t="inlineStr">
        <is>
          <t>Full survey answers not in the files received · How We Grow export needed · HR</t>
        </is>
      </c>
      <c r="FN205" s="56" t="inlineStr">
        <is>
          <t>—</t>
        </is>
      </c>
      <c r="FO205" s="56" t="inlineStr">
        <is>
          <t>—</t>
        </is>
      </c>
      <c r="FP205" s="56" t="inlineStr">
        <is>
          <t>—</t>
        </is>
      </c>
      <c r="FQ205" s="56" t="inlineStr">
        <is>
          <t>—</t>
        </is>
      </c>
      <c r="FR205" s="56" t="n"/>
      <c r="FS205"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205" s="56" t="inlineStr">
        <is>
          <t>Self-identified: Technical depth &amp; architecture · Data, SQL &amp; analytics · Product &amp; tool knowledge · Broader exposure &amp; ownership
For the next role: Technical depth &amp; architecture · Data, SQL &amp; analytics · Product &amp; tool knowledge · Broader exposure &amp; ownership</t>
        </is>
      </c>
      <c r="FU205" s="32" t="inlineStr">
        <is>
          <t>Full survey answers not in the files received · How We Grow export needed · HR</t>
        </is>
      </c>
    </row>
    <row r="206" ht="90" customHeight="1">
      <c r="A206" s="51" t="inlineStr">
        <is>
          <t>◂ Back</t>
        </is>
      </c>
      <c r="B206" s="29" t="inlineStr">
        <is>
          <t>Mapped</t>
        </is>
      </c>
      <c r="C206" s="28" t="inlineStr">
        <is>
          <t>iDEAL</t>
        </is>
      </c>
      <c r="D206" s="29" t="inlineStr">
        <is>
          <t>IRIS2539</t>
        </is>
      </c>
      <c r="E206" s="29" t="inlineStr">
        <is>
          <t>Vinayak Dadasaheb Suryawanshi</t>
        </is>
      </c>
      <c r="F206" s="29" t="inlineStr">
        <is>
          <t>Technology</t>
        </is>
      </c>
      <c r="G206" s="29" t="inlineStr">
        <is>
          <t>Trainee Software Engineer</t>
        </is>
      </c>
      <c r="H206" s="29" t="inlineStr">
        <is>
          <t>Trainee Software Engineer</t>
        </is>
      </c>
      <c r="I206" s="29" t="inlineStr">
        <is>
          <t>L1 – Intern</t>
        </is>
      </c>
      <c r="J206" s="29" t="inlineStr">
        <is>
          <t>A1</t>
        </is>
      </c>
      <c r="K206" s="29" t="inlineStr">
        <is>
          <t>• Same level</t>
        </is>
      </c>
      <c r="L206" s="29" t="inlineStr">
        <is>
          <t>Engineering &amp; Development</t>
        </is>
      </c>
      <c r="M206" s="29" t="inlineStr">
        <is>
          <t>Backend Development</t>
        </is>
      </c>
      <c r="N206" s="29" t="n"/>
      <c r="O206" s="29" t="n">
        <v>20</v>
      </c>
      <c r="P206" s="28" t="inlineStr">
        <is>
          <t>Entry / P1 · intern</t>
        </is>
      </c>
      <c r="Q206" s="29" t="inlineStr">
        <is>
          <t>Entry</t>
        </is>
      </c>
      <c r="R206" s="29" t="inlineStr">
        <is>
          <t>1 Follow</t>
        </is>
      </c>
      <c r="S206" s="29" t="inlineStr">
        <is>
          <t>0 yrs · fresher / intern</t>
        </is>
      </c>
      <c r="T206" s="29" t="inlineStr">
        <is>
          <t>—</t>
        </is>
      </c>
      <c r="U206" s="29" t="inlineStr">
        <is>
          <t>Associate Software Engineer</t>
        </is>
      </c>
      <c r="V206" s="29" t="inlineStr">
        <is>
          <t>—</t>
        </is>
      </c>
      <c r="W206" s="29" t="inlineStr">
        <is>
          <t>SFIA 9 · software development, programming; OWASP secure coding; cloud vendor certifications</t>
        </is>
      </c>
      <c r="X206" s="29" t="inlineStr">
        <is>
          <t>Core 1 · Future 1 · Functional 1 · Leadership not scored</t>
        </is>
      </c>
      <c r="Y206" s="52" t="n">
        <v>512</v>
      </c>
      <c r="Z206" s="53" t="inlineStr">
        <is>
          <t>IRIS2539</t>
        </is>
      </c>
      <c r="AA206" s="53" t="inlineStr">
        <is>
          <t>Employee</t>
        </is>
      </c>
      <c r="AB206" s="53" t="inlineStr">
        <is>
          <t>Active</t>
        </is>
      </c>
      <c r="AC206" s="53" t="inlineStr">
        <is>
          <t>Vinayak Dadasaheb Suryawanshi</t>
        </is>
      </c>
      <c r="AD206" s="54" t="n">
        <v>46189</v>
      </c>
      <c r="AE206" s="53" t="inlineStr">
        <is>
          <t>Trainee Software Engineer</t>
        </is>
      </c>
      <c r="AF206" s="53" t="inlineStr">
        <is>
          <t>B.Tech</t>
        </is>
      </c>
      <c r="AG206" s="53" t="inlineStr">
        <is>
          <t>Swapnil Shirke</t>
        </is>
      </c>
      <c r="AH206" s="53" t="inlineStr">
        <is>
          <t>N-5</t>
        </is>
      </c>
      <c r="AI206" s="53" t="inlineStr">
        <is>
          <t>Individual Contributor</t>
        </is>
      </c>
      <c r="AJ206" s="53" t="inlineStr">
        <is>
          <t>0 years, 0 months, 0 days</t>
        </is>
      </c>
      <c r="AK206" s="53" t="inlineStr">
        <is>
          <t>0 years, 2 months, 9 days</t>
        </is>
      </c>
      <c r="AL206" s="53" t="inlineStr">
        <is>
          <t>Regtech</t>
        </is>
      </c>
      <c r="AM206" s="53" t="inlineStr">
        <is>
          <t>iDEAL</t>
        </is>
      </c>
      <c r="AN206" s="53" t="inlineStr">
        <is>
          <t>Technology</t>
        </is>
      </c>
      <c r="AO206" s="53" t="inlineStr">
        <is>
          <t>Development</t>
        </is>
      </c>
      <c r="AP206" s="53" t="inlineStr">
        <is>
          <t>Yes</t>
        </is>
      </c>
      <c r="AQ206" s="53" t="inlineStr">
        <is>
          <t>Product/Project</t>
        </is>
      </c>
      <c r="AR206" s="53" t="inlineStr">
        <is>
          <t>.NET MVC</t>
        </is>
      </c>
      <c r="AS206" s="53" t="inlineStr">
        <is>
          <t>Technical - Developer</t>
        </is>
      </c>
      <c r="AT206" s="53" t="n">
        <v>20</v>
      </c>
      <c r="AU206" s="53" t="inlineStr">
        <is>
          <t>Covered</t>
        </is>
      </c>
      <c r="AV206" s="53" t="n"/>
      <c r="AW206" s="53" t="n"/>
      <c r="AX206" s="53" t="n"/>
      <c r="AY206" s="53" t="n"/>
      <c r="AZ206" s="53" t="n"/>
      <c r="BA206" s="53" t="n"/>
      <c r="BB206" s="53" t="n"/>
      <c r="BC206" s="53" t="n"/>
      <c r="BD206" s="53" t="n"/>
      <c r="BE206" s="53" t="n"/>
      <c r="BF206" s="53" t="n"/>
      <c r="BG206" s="53" t="n"/>
      <c r="BH206" s="53" t="n"/>
      <c r="BI206" s="53" t="n"/>
      <c r="BJ206" s="53" t="n"/>
      <c r="BK206" s="53" t="n"/>
      <c r="BL206" s="53" t="n"/>
      <c r="BM206" s="53" t="n"/>
      <c r="BN206" s="53" t="n"/>
      <c r="BO206" s="53" t="n"/>
      <c r="BP206" s="53" t="n"/>
      <c r="BQ206" s="53" t="n"/>
      <c r="BR206" s="53" t="n"/>
      <c r="BS206" s="53" t="n"/>
      <c r="BT206" s="53" t="n"/>
      <c r="BU206" s="53" t="n"/>
      <c r="BV206" s="53" t="n"/>
      <c r="BW206" s="53" t="n"/>
      <c r="BX206" s="53" t="n"/>
      <c r="BY206" s="53" t="n"/>
      <c r="BZ206" s="53" t="n"/>
      <c r="CA206" s="53" t="n"/>
      <c r="CB206" s="53" t="n"/>
      <c r="CC206" s="53" t="n"/>
      <c r="CD206" s="53" t="n"/>
      <c r="CE206" s="53" t="n"/>
      <c r="CF206" s="53" t="n"/>
      <c r="CG206" s="53" t="n"/>
      <c r="CH206" s="53" t="n"/>
      <c r="CI206" s="53" t="n"/>
      <c r="CJ206" s="53" t="n"/>
      <c r="CK206" s="53" t="n"/>
      <c r="CL206" s="53" t="n"/>
      <c r="CM206" s="53" t="n"/>
      <c r="CN206" s="53" t="n"/>
      <c r="CO206" s="53" t="n"/>
      <c r="CP206" s="53" t="n"/>
      <c r="CQ206" s="53" t="n"/>
      <c r="CR206" s="53" t="n"/>
      <c r="CS206" s="53" t="n"/>
      <c r="CT206" s="53" t="n"/>
      <c r="CU206" s="53" t="n"/>
      <c r="CV206" s="53" t="n"/>
      <c r="CW206" s="53" t="n"/>
      <c r="CX206" s="53" t="n"/>
      <c r="CY206" s="53" t="n"/>
      <c r="CZ206" s="53" t="n"/>
      <c r="DA206" s="53" t="n"/>
      <c r="DB206" s="53" t="n"/>
      <c r="DC206" s="53" t="n"/>
      <c r="DD206" s="53" t="inlineStr">
        <is>
          <t>INTN0298</t>
        </is>
      </c>
      <c r="DE206" s="53" t="inlineStr">
        <is>
          <t>Intern</t>
        </is>
      </c>
      <c r="DF206" s="53" t="inlineStr">
        <is>
          <t>Active</t>
        </is>
      </c>
      <c r="DG206" s="53" t="inlineStr">
        <is>
          <t>Vinayak Dadasaheb Suryawanshi</t>
        </is>
      </c>
      <c r="DH206" s="54" t="n">
        <v>46097</v>
      </c>
      <c r="DI206" s="53" t="inlineStr">
        <is>
          <t>Intern</t>
        </is>
      </c>
      <c r="DJ206" s="53" t="inlineStr">
        <is>
          <t>Engineering &amp; Development</t>
        </is>
      </c>
      <c r="DK206" s="53" t="inlineStr">
        <is>
          <t>Backend Engineering ·.NET</t>
        </is>
      </c>
      <c r="DL206" s="53" t="inlineStr">
        <is>
          <t>Intern</t>
        </is>
      </c>
      <c r="DM206" s="53" t="inlineStr">
        <is>
          <t>L1 – Intern</t>
        </is>
      </c>
      <c r="DN206" s="53" t="inlineStr">
        <is>
          <t>B.Tech</t>
        </is>
      </c>
      <c r="DO206" s="53" t="inlineStr">
        <is>
          <t>Swapnil Shirke</t>
        </is>
      </c>
      <c r="DP206" s="53" t="inlineStr">
        <is>
          <t>N-5</t>
        </is>
      </c>
      <c r="DQ206" s="53" t="inlineStr">
        <is>
          <t>Individual Contributor</t>
        </is>
      </c>
      <c r="DR206" s="53" t="inlineStr">
        <is>
          <t>0 years, 0 months, 0 days</t>
        </is>
      </c>
      <c r="DS206" s="53" t="inlineStr">
        <is>
          <t>0 years, 3 months, 4 days</t>
        </is>
      </c>
      <c r="DT206" s="53" t="inlineStr">
        <is>
          <t>0 years, 3 months, 4 days</t>
        </is>
      </c>
      <c r="DU206" s="53" t="n"/>
      <c r="DV206" s="53" t="inlineStr">
        <is>
          <t>Regtech</t>
        </is>
      </c>
      <c r="DW206" s="53" t="inlineStr">
        <is>
          <t>iDEAL</t>
        </is>
      </c>
      <c r="DX206" s="53" t="inlineStr">
        <is>
          <t>Technology</t>
        </is>
      </c>
      <c r="DY206" s="53" t="inlineStr">
        <is>
          <t>Development</t>
        </is>
      </c>
      <c r="DZ206" s="53" t="inlineStr">
        <is>
          <t>Yes</t>
        </is>
      </c>
      <c r="EA206" s="53" t="inlineStr">
        <is>
          <t>Product/Project</t>
        </is>
      </c>
      <c r="EB206" s="53" t="inlineStr">
        <is>
          <t>.Net</t>
        </is>
      </c>
      <c r="EC206" s="53" t="inlineStr">
        <is>
          <t>Technical - Developer</t>
        </is>
      </c>
      <c r="ED206" s="53" t="inlineStr">
        <is>
          <t>Work From Office - Turbhe</t>
        </is>
      </c>
      <c r="EE206" s="53"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EF206" s="53"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EG206" s="53"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EH206" s="53" t="n">
        <v>3</v>
      </c>
      <c r="EI206" s="53" t="n"/>
      <c r="EJ206" s="53" t="inlineStr">
        <is>
          <t>Same as per records</t>
        </is>
      </c>
      <c r="EK206" s="53" t="inlineStr">
        <is>
          <t>No</t>
        </is>
      </c>
      <c r="EL206" s="53" t="n">
        <v>3</v>
      </c>
      <c r="EM206" s="53" t="inlineStr">
        <is>
          <t>Medium</t>
        </is>
      </c>
      <c r="EN206" s="53" t="inlineStr">
        <is>
          <t>Emerging Talent</t>
        </is>
      </c>
      <c r="EO206" s="53" t="inlineStr">
        <is>
          <t>Not Ready</t>
        </is>
      </c>
      <c r="EP206" s="53" t="inlineStr">
        <is>
          <t>No</t>
        </is>
      </c>
      <c r="EQ206" s="53" t="inlineStr">
        <is>
          <t>No</t>
        </is>
      </c>
      <c r="ER206" s="53" t="n"/>
      <c r="ES206" s="53" t="inlineStr">
        <is>
          <t>XBRL Training, Training on the effective utilization of AI tools.</t>
        </is>
      </c>
      <c r="ET206" s="53" t="n"/>
      <c r="EU206" s="53" t="n"/>
      <c r="EV206" s="53" t="n"/>
      <c r="EW206" s="52" t="n"/>
      <c r="EX206" s="53" t="n"/>
      <c r="EY206" s="53" t="n"/>
      <c r="EZ206" s="53" t="n"/>
      <c r="FA206" s="53" t="n"/>
      <c r="FB206" s="53" t="n"/>
      <c r="FC206" s="53" t="n"/>
      <c r="FD206" s="53" t="inlineStr">
        <is>
          <t>INTN0298</t>
        </is>
      </c>
      <c r="FE206" s="57"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FF206" s="56"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FG206" s="56"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FH206" s="56" t="inlineStr">
        <is>
          <t>3</t>
        </is>
      </c>
      <c r="FI206" s="56" t="n"/>
      <c r="FJ206" s="56" t="inlineStr">
        <is>
          <t>Received · manager annual, quarterly, self</t>
        </is>
      </c>
      <c r="FK206" s="56" t="inlineStr">
        <is>
          <t>Talent Mapping · iDEAL</t>
        </is>
      </c>
      <c r="FL206" s="56" t="n">
        <v>20</v>
      </c>
      <c r="FM206" s="32" t="inlineStr">
        <is>
          <t>Full survey answers not in the files received · How We Grow export needed · HR</t>
        </is>
      </c>
      <c r="FN206" s="56" t="inlineStr">
        <is>
          <t>—</t>
        </is>
      </c>
      <c r="FO206" s="56" t="inlineStr">
        <is>
          <t>—</t>
        </is>
      </c>
      <c r="FP206" s="56" t="inlineStr">
        <is>
          <t>—</t>
        </is>
      </c>
      <c r="FQ206" s="56" t="inlineStr">
        <is>
          <t>—</t>
        </is>
      </c>
      <c r="FR206" s="56" t="n"/>
      <c r="FS206"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206" s="56" t="inlineStr">
        <is>
          <t>Self-identified: Domain, regulatory &amp; XBRL
For the next role: Domain, regulatory &amp; XBRL</t>
        </is>
      </c>
      <c r="FU206" s="32" t="inlineStr">
        <is>
          <t>Full survey answers not in the files received · How We Grow export needed · HR</t>
        </is>
      </c>
    </row>
    <row r="207" ht="90" customHeight="1">
      <c r="A207" s="51" t="inlineStr">
        <is>
          <t>◂ Back</t>
        </is>
      </c>
      <c r="B207" s="29" t="inlineStr">
        <is>
          <t>Mapped</t>
        </is>
      </c>
      <c r="C207" s="28" t="inlineStr">
        <is>
          <t>iDEAL</t>
        </is>
      </c>
      <c r="D207" s="29" t="inlineStr">
        <is>
          <t>IRIS2259</t>
        </is>
      </c>
      <c r="E207" s="29" t="inlineStr">
        <is>
          <t>Tushar Kadu Nimbolkar</t>
        </is>
      </c>
      <c r="F207" s="29" t="inlineStr">
        <is>
          <t>Technology</t>
        </is>
      </c>
      <c r="G207" s="29" t="inlineStr">
        <is>
          <t>Software Engineer</t>
        </is>
      </c>
      <c r="H207" s="29" t="inlineStr">
        <is>
          <t>Senior Database Engineer</t>
        </is>
      </c>
      <c r="I207" s="29" t="inlineStr">
        <is>
          <t>L3 – Professional / Associate</t>
        </is>
      </c>
      <c r="J207" s="29" t="inlineStr">
        <is>
          <t>A3</t>
        </is>
      </c>
      <c r="K207" s="29" t="inlineStr">
        <is>
          <t>▲ Up</t>
        </is>
      </c>
      <c r="L207" s="29" t="inlineStr">
        <is>
          <t>Engineering &amp; Development</t>
        </is>
      </c>
      <c r="M207" s="29" t="inlineStr">
        <is>
          <t>Data Engineering &amp; Database Development</t>
        </is>
      </c>
      <c r="N207" s="29" t="n"/>
      <c r="O207" s="29" t="n">
        <v>20</v>
      </c>
      <c r="P207" s="28" t="inlineStr">
        <is>
          <t>P2</t>
        </is>
      </c>
      <c r="Q207" s="29" t="inlineStr">
        <is>
          <t>Developing</t>
        </is>
      </c>
      <c r="R207" s="29" t="inlineStr">
        <is>
          <t>3 Apply</t>
        </is>
      </c>
      <c r="S207" s="29" t="inlineStr">
        <is>
          <t>2–4 yrs</t>
        </is>
      </c>
      <c r="T207" s="29" t="inlineStr">
        <is>
          <t>3–5 · 2–5</t>
        </is>
      </c>
      <c r="U207" s="29" t="inlineStr">
        <is>
          <t>Software Engineer</t>
        </is>
      </c>
      <c r="V207" s="29" t="inlineStr">
        <is>
          <t>Workiva: SE · Broadridge India: SE · Nasdaq / AxiomSL: SE · Salesforce: MTS · Atlassian: P40 · 3–7 yrs · Freshworks: Senior SE</t>
        </is>
      </c>
      <c r="W207" s="29" t="inlineStr">
        <is>
          <t>SFIA 9 · software development, programming; OWASP secure coding; cloud vendor certifications</t>
        </is>
      </c>
      <c r="X207" s="29" t="inlineStr">
        <is>
          <t>Core 2 · Future 2 · Functional 3 · Leadership not scored</t>
        </is>
      </c>
      <c r="Y207" s="52" t="n">
        <v>322</v>
      </c>
      <c r="Z207" s="53" t="inlineStr">
        <is>
          <t>IRIS2259</t>
        </is>
      </c>
      <c r="AA207" s="53" t="inlineStr">
        <is>
          <t>Employee</t>
        </is>
      </c>
      <c r="AB207" s="53" t="inlineStr">
        <is>
          <t>Active</t>
        </is>
      </c>
      <c r="AC207" s="53" t="inlineStr">
        <is>
          <t>Tushar Kadu Nimbolkar</t>
        </is>
      </c>
      <c r="AD207" s="54" t="n">
        <v>45446</v>
      </c>
      <c r="AE207" s="53" t="inlineStr">
        <is>
          <t>Software Engineer</t>
        </is>
      </c>
      <c r="AF207" s="53" t="inlineStr">
        <is>
          <t>B.E</t>
        </is>
      </c>
      <c r="AG207" s="53" t="inlineStr">
        <is>
          <t>Jitendra Kumar</t>
        </is>
      </c>
      <c r="AH207" s="53" t="inlineStr">
        <is>
          <t>N-4</t>
        </is>
      </c>
      <c r="AI207" s="53" t="inlineStr">
        <is>
          <t>Individual Contributor</t>
        </is>
      </c>
      <c r="AJ207" s="53" t="inlineStr">
        <is>
          <t>0 years, 0 months, 0 days</t>
        </is>
      </c>
      <c r="AK207" s="53" t="inlineStr">
        <is>
          <t>2 years, 2 months, 22 days</t>
        </is>
      </c>
      <c r="AL207" s="53" t="inlineStr">
        <is>
          <t>Regtech</t>
        </is>
      </c>
      <c r="AM207" s="53" t="inlineStr">
        <is>
          <t>iDEAL</t>
        </is>
      </c>
      <c r="AN207" s="53" t="inlineStr">
        <is>
          <t>Technology</t>
        </is>
      </c>
      <c r="AO207" s="53" t="inlineStr">
        <is>
          <t>Development</t>
        </is>
      </c>
      <c r="AP207" s="53" t="inlineStr">
        <is>
          <t>Yes</t>
        </is>
      </c>
      <c r="AQ207" s="53" t="inlineStr">
        <is>
          <t>Product/Project</t>
        </is>
      </c>
      <c r="AR207" s="53" t="inlineStr">
        <is>
          <t>.NET MVC</t>
        </is>
      </c>
      <c r="AS207" s="53" t="inlineStr">
        <is>
          <t>Technical - Developer</t>
        </is>
      </c>
      <c r="AT207" s="53" t="n">
        <v>20</v>
      </c>
      <c r="AU207" s="53" t="inlineStr">
        <is>
          <t>Covered</t>
        </is>
      </c>
      <c r="AV207" s="53" t="n"/>
      <c r="AW207" s="53" t="n"/>
      <c r="AX207" s="53" t="n"/>
      <c r="AY207" s="53" t="n"/>
      <c r="AZ207" s="53" t="n"/>
      <c r="BA207" s="53" t="n"/>
      <c r="BB207" s="53" t="n"/>
      <c r="BC207" s="53" t="n"/>
      <c r="BD207" s="53" t="n"/>
      <c r="BE207" s="53" t="n"/>
      <c r="BF207" s="53" t="n"/>
      <c r="BG207" s="53" t="n"/>
      <c r="BH207" s="53" t="n"/>
      <c r="BI207" s="53" t="n"/>
      <c r="BJ207" s="53" t="n"/>
      <c r="BK207" s="53" t="n"/>
      <c r="BL207" s="53" t="n"/>
      <c r="BM207" s="53" t="n"/>
      <c r="BN207" s="53" t="n"/>
      <c r="BO207" s="53" t="n"/>
      <c r="BP207" s="53" t="n"/>
      <c r="BQ207" s="53" t="n"/>
      <c r="BR207" s="53" t="n"/>
      <c r="BS207" s="53" t="n"/>
      <c r="BT207" s="53" t="n"/>
      <c r="BU207" s="53" t="n"/>
      <c r="BV207" s="53" t="n"/>
      <c r="BW207" s="53" t="n"/>
      <c r="BX207" s="53" t="n"/>
      <c r="BY207" s="53" t="n"/>
      <c r="BZ207" s="53" t="n"/>
      <c r="CA207" s="53" t="n"/>
      <c r="CB207" s="53" t="n"/>
      <c r="CC207" s="53" t="n"/>
      <c r="CD207" s="53" t="n"/>
      <c r="CE207" s="53" t="n"/>
      <c r="CF207" s="53" t="n"/>
      <c r="CG207" s="53" t="n"/>
      <c r="CH207" s="53" t="n"/>
      <c r="CI207" s="53" t="n"/>
      <c r="CJ207" s="53" t="n"/>
      <c r="CK207" s="53" t="n"/>
      <c r="CL207" s="53" t="n"/>
      <c r="CM207" s="53" t="n"/>
      <c r="CN207" s="53" t="n"/>
      <c r="CO207" s="53" t="n"/>
      <c r="CP207" s="53" t="n"/>
      <c r="CQ207" s="53" t="n"/>
      <c r="CR207" s="53" t="n"/>
      <c r="CS207" s="53" t="n"/>
      <c r="CT207" s="53" t="n"/>
      <c r="CU207" s="53" t="n"/>
      <c r="CV207" s="53" t="n"/>
      <c r="CW207" s="53" t="n"/>
      <c r="CX207" s="53" t="n"/>
      <c r="CY207" s="53" t="n"/>
      <c r="CZ207" s="53" t="n"/>
      <c r="DA207" s="53" t="n"/>
      <c r="DB207" s="53" t="n"/>
      <c r="DC207" s="53" t="n"/>
      <c r="DD207" s="53" t="inlineStr">
        <is>
          <t>IRIS2259</t>
        </is>
      </c>
      <c r="DE207" s="53" t="inlineStr">
        <is>
          <t>Employee</t>
        </is>
      </c>
      <c r="DF207" s="53" t="inlineStr">
        <is>
          <t>Active</t>
        </is>
      </c>
      <c r="DG207" s="53" t="inlineStr">
        <is>
          <t>Tushar Kadu Nimbolkar</t>
        </is>
      </c>
      <c r="DH207" s="54" t="n">
        <v>45446</v>
      </c>
      <c r="DI207" s="53" t="inlineStr">
        <is>
          <t>Software Engineer</t>
        </is>
      </c>
      <c r="DJ207" s="53" t="inlineStr">
        <is>
          <t>Engineering &amp; Development</t>
        </is>
      </c>
      <c r="DK207" s="53" t="inlineStr">
        <is>
          <t>Backend Engineering ·.NET</t>
        </is>
      </c>
      <c r="DL207" s="53" t="inlineStr">
        <is>
          <t>Software Engineer</t>
        </is>
      </c>
      <c r="DM207" s="53" t="inlineStr">
        <is>
          <t>L3 – Professional / Associate</t>
        </is>
      </c>
      <c r="DN207" s="53" t="inlineStr">
        <is>
          <t>B.E</t>
        </is>
      </c>
      <c r="DO207" s="53" t="inlineStr">
        <is>
          <t>Jitendra Kumar</t>
        </is>
      </c>
      <c r="DP207" s="53" t="inlineStr">
        <is>
          <t>N-4</t>
        </is>
      </c>
      <c r="DQ207" s="53" t="inlineStr">
        <is>
          <t>Individual Contributor</t>
        </is>
      </c>
      <c r="DR207" s="53" t="inlineStr">
        <is>
          <t>0 years, 0 months, 0 days</t>
        </is>
      </c>
      <c r="DS207" s="53" t="inlineStr">
        <is>
          <t>2 years, 0 months, 17 days</t>
        </is>
      </c>
      <c r="DT207" s="53" t="inlineStr">
        <is>
          <t>2 years, 0 months, 17 days</t>
        </is>
      </c>
      <c r="DU207" s="53" t="n"/>
      <c r="DV207" s="53" t="inlineStr">
        <is>
          <t>Regtech</t>
        </is>
      </c>
      <c r="DW207" s="53" t="inlineStr">
        <is>
          <t>iDEAL</t>
        </is>
      </c>
      <c r="DX207" s="53" t="inlineStr">
        <is>
          <t>Technology</t>
        </is>
      </c>
      <c r="DY207" s="53" t="inlineStr">
        <is>
          <t>Development</t>
        </is>
      </c>
      <c r="DZ207" s="53" t="inlineStr">
        <is>
          <t>Yes</t>
        </is>
      </c>
      <c r="EA207" s="53" t="inlineStr">
        <is>
          <t>Product/Project</t>
        </is>
      </c>
      <c r="EB207" s="53" t="inlineStr">
        <is>
          <t>.NET MVC</t>
        </is>
      </c>
      <c r="EC207" s="53" t="inlineStr">
        <is>
          <t>Technical - Developer</t>
        </is>
      </c>
      <c r="ED207" s="53" t="inlineStr">
        <is>
          <t>Work From Office - Turbhe</t>
        </is>
      </c>
      <c r="EE207" s="53"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EF207"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7" s="53"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EH207" s="53" t="n">
        <v>3</v>
      </c>
      <c r="EI207" s="53" t="n"/>
      <c r="EJ207" s="53" t="inlineStr">
        <is>
          <t>Same as per records</t>
        </is>
      </c>
      <c r="EK207" s="53" t="inlineStr">
        <is>
          <t>No</t>
        </is>
      </c>
      <c r="EL207" s="53" t="n">
        <v>3</v>
      </c>
      <c r="EM207" s="53" t="inlineStr">
        <is>
          <t>Medium</t>
        </is>
      </c>
      <c r="EN207" s="53" t="inlineStr">
        <is>
          <t>Emerging Talent</t>
        </is>
      </c>
      <c r="EO207" s="53" t="inlineStr">
        <is>
          <t>Not Ready</t>
        </is>
      </c>
      <c r="EP207" s="53" t="inlineStr">
        <is>
          <t>No</t>
        </is>
      </c>
      <c r="EQ207" s="53" t="inlineStr">
        <is>
          <t>Yes</t>
        </is>
      </c>
      <c r="ER207" s="53" t="n"/>
      <c r="ES207" s="53" t="inlineStr">
        <is>
          <t>XBRL Training, Training on the effective utilization of AI tools.</t>
        </is>
      </c>
      <c r="ET207" s="53" t="n"/>
      <c r="EU207" s="53" t="n"/>
      <c r="EV207" s="53" t="n"/>
      <c r="EW207" s="52" t="n"/>
      <c r="EX207" s="53" t="n"/>
      <c r="EY207" s="53" t="n"/>
      <c r="EZ207" s="53" t="n"/>
      <c r="FA207" s="53" t="n"/>
      <c r="FB207" s="53" t="n"/>
      <c r="FC207" s="53" t="inlineStr">
        <is>
          <t>Annual KRAs · objective Measurable Minimum 5 - set by Manager</t>
        </is>
      </c>
      <c r="FD207" s="53" t="n"/>
      <c r="FE207"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7" s="56"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FG207" s="56" t="inlineStr">
        <is>
          <t>Become a Confident Full Stack Developer · React + .NET
Level Up .NET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FH207" s="56" t="inlineStr">
        <is>
          <t>3</t>
        </is>
      </c>
      <c r="FI207" s="56" t="n"/>
      <c r="FJ207" s="56" t="inlineStr">
        <is>
          <t>Received · manager annual, quarterly, self</t>
        </is>
      </c>
      <c r="FK207" s="56" t="inlineStr">
        <is>
          <t>Talent Mapping · iDEAL</t>
        </is>
      </c>
      <c r="FL207" s="56" t="n">
        <v>20</v>
      </c>
      <c r="FM207" s="32" t="inlineStr">
        <is>
          <t>Full survey answers not in the files received · How We Grow export needed · HR</t>
        </is>
      </c>
      <c r="FN207" s="56" t="inlineStr">
        <is>
          <t>—</t>
        </is>
      </c>
      <c r="FO207" s="56" t="inlineStr">
        <is>
          <t>—</t>
        </is>
      </c>
      <c r="FP207" s="56" t="inlineStr">
        <is>
          <t>—</t>
        </is>
      </c>
      <c r="FQ207" s="56" t="inlineStr">
        <is>
          <t>—</t>
        </is>
      </c>
      <c r="FR207" s="56"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escalations if wrong → moved up 0.5
Leadership: Evidence reads like A1: Leadership named only as a quality; no guidance described → matches the start
Business Impact: Moved +1: the survey / manager mapping marks it business-critical and it does work no one else does.</t>
        </is>
      </c>
      <c r="FS207"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207" s="56" t="inlineStr">
        <is>
          <t>Self-identified: Technical depth &amp; architecture · Data, SQL &amp; analytics
For the next role: Technical depth &amp; architecture · Data, SQL &amp; analytics</t>
        </is>
      </c>
      <c r="FU207" s="32" t="inlineStr">
        <is>
          <t>Full survey answers not in the files received · How We Grow export needed · HR</t>
        </is>
      </c>
    </row>
    <row r="208" ht="90" customHeight="1">
      <c r="A208" s="51" t="inlineStr">
        <is>
          <t>◂ Back</t>
        </is>
      </c>
      <c r="B208" s="29" t="inlineStr">
        <is>
          <t>Mapped</t>
        </is>
      </c>
      <c r="C208" s="28" t="inlineStr">
        <is>
          <t>iDEAL</t>
        </is>
      </c>
      <c r="D208" s="29" t="inlineStr">
        <is>
          <t>IRIS2258</t>
        </is>
      </c>
      <c r="E208" s="29" t="inlineStr">
        <is>
          <t>Vaibhav Govind Gahat</t>
        </is>
      </c>
      <c r="F208" s="29" t="inlineStr">
        <is>
          <t>Technology</t>
        </is>
      </c>
      <c r="G208" s="29" t="inlineStr">
        <is>
          <t>Software Engineer</t>
        </is>
      </c>
      <c r="H208" s="29" t="inlineStr">
        <is>
          <t>Senior Software Engineer</t>
        </is>
      </c>
      <c r="I208" s="29" t="inlineStr">
        <is>
          <t>L3 – Professional / Associate</t>
        </is>
      </c>
      <c r="J208" s="29" t="inlineStr">
        <is>
          <t>A3</t>
        </is>
      </c>
      <c r="K208" s="29" t="inlineStr">
        <is>
          <t>▲ Up</t>
        </is>
      </c>
      <c r="L208" s="29" t="inlineStr">
        <is>
          <t>Engineering &amp; Development</t>
        </is>
      </c>
      <c r="M208" s="29" t="inlineStr">
        <is>
          <t>Backend Development</t>
        </is>
      </c>
      <c r="N208" s="29" t="n"/>
      <c r="O208" s="29" t="n">
        <v>20</v>
      </c>
      <c r="P208" s="28" t="inlineStr">
        <is>
          <t>P2</t>
        </is>
      </c>
      <c r="Q208" s="29" t="inlineStr">
        <is>
          <t>Developing</t>
        </is>
      </c>
      <c r="R208" s="29" t="inlineStr">
        <is>
          <t>3 Apply</t>
        </is>
      </c>
      <c r="S208" s="29" t="inlineStr">
        <is>
          <t>2–4 yrs</t>
        </is>
      </c>
      <c r="T208" s="29" t="inlineStr">
        <is>
          <t>3–5 · 2–5</t>
        </is>
      </c>
      <c r="U208" s="29" t="inlineStr">
        <is>
          <t>Software Engineer</t>
        </is>
      </c>
      <c r="V208" s="29" t="inlineStr">
        <is>
          <t>Workiva: SE · Broadridge India: SE · Nasdaq / AxiomSL: SE · Salesforce: MTS · Atlassian: P40 · 3–7 yrs · Freshworks: Senior SE</t>
        </is>
      </c>
      <c r="W208" s="29" t="inlineStr">
        <is>
          <t>SFIA 9 · software development, programming; OWASP secure coding; cloud vendor certifications</t>
        </is>
      </c>
      <c r="X208" s="29" t="inlineStr">
        <is>
          <t>Core 2 · Future 2 · Functional 3 · Leadership not scored</t>
        </is>
      </c>
      <c r="Y208" s="52" t="n">
        <v>321</v>
      </c>
      <c r="Z208" s="53" t="inlineStr">
        <is>
          <t>IRIS2258</t>
        </is>
      </c>
      <c r="AA208" s="53" t="inlineStr">
        <is>
          <t>Employee</t>
        </is>
      </c>
      <c r="AB208" s="53" t="inlineStr">
        <is>
          <t>Active</t>
        </is>
      </c>
      <c r="AC208" s="53" t="inlineStr">
        <is>
          <t>Vaibhav Govind Gahat</t>
        </is>
      </c>
      <c r="AD208" s="54" t="n">
        <v>45446</v>
      </c>
      <c r="AE208" s="53" t="inlineStr">
        <is>
          <t>Software Engineer</t>
        </is>
      </c>
      <c r="AF208" s="53" t="inlineStr">
        <is>
          <t>B.E</t>
        </is>
      </c>
      <c r="AG208" s="53" t="inlineStr">
        <is>
          <t>Jitendra Kumar</t>
        </is>
      </c>
      <c r="AH208" s="53" t="inlineStr">
        <is>
          <t>N-4</t>
        </is>
      </c>
      <c r="AI208" s="53" t="inlineStr">
        <is>
          <t>Individual Contributor</t>
        </is>
      </c>
      <c r="AJ208" s="53" t="inlineStr">
        <is>
          <t>0 years, 0 months, 0 days</t>
        </is>
      </c>
      <c r="AK208" s="53" t="inlineStr">
        <is>
          <t>2 years, 2 months, 22 days</t>
        </is>
      </c>
      <c r="AL208" s="53" t="inlineStr">
        <is>
          <t>Regtech</t>
        </is>
      </c>
      <c r="AM208" s="53" t="inlineStr">
        <is>
          <t>iDEAL</t>
        </is>
      </c>
      <c r="AN208" s="53" t="inlineStr">
        <is>
          <t>Technology</t>
        </is>
      </c>
      <c r="AO208" s="53" t="inlineStr">
        <is>
          <t>Development</t>
        </is>
      </c>
      <c r="AP208" s="53" t="inlineStr">
        <is>
          <t>Yes</t>
        </is>
      </c>
      <c r="AQ208" s="53" t="inlineStr">
        <is>
          <t>Product/Project</t>
        </is>
      </c>
      <c r="AR208" s="53" t="inlineStr">
        <is>
          <t>.NET MVC</t>
        </is>
      </c>
      <c r="AS208" s="53" t="inlineStr">
        <is>
          <t>Technical - Developer</t>
        </is>
      </c>
      <c r="AT208" s="53" t="n">
        <v>20</v>
      </c>
      <c r="AU208" s="53" t="inlineStr">
        <is>
          <t>Covered</t>
        </is>
      </c>
      <c r="AV208" s="53" t="n"/>
      <c r="AW208" s="53" t="n"/>
      <c r="AX208" s="53" t="n"/>
      <c r="AY208" s="53" t="n"/>
      <c r="AZ208" s="53" t="n"/>
      <c r="BA208" s="53" t="n"/>
      <c r="BB208" s="53" t="n"/>
      <c r="BC208" s="53" t="n"/>
      <c r="BD208" s="53" t="n"/>
      <c r="BE208" s="53" t="n"/>
      <c r="BF208" s="53" t="n"/>
      <c r="BG208" s="53" t="n"/>
      <c r="BH208" s="53" t="n"/>
      <c r="BI208" s="53" t="n"/>
      <c r="BJ208" s="53" t="n"/>
      <c r="BK208" s="53" t="n"/>
      <c r="BL208" s="53" t="n"/>
      <c r="BM208" s="53" t="n"/>
      <c r="BN208" s="53" t="n"/>
      <c r="BO208" s="53" t="n"/>
      <c r="BP208" s="53" t="n"/>
      <c r="BQ208" s="53" t="n"/>
      <c r="BR208" s="53" t="n"/>
      <c r="BS208" s="53" t="n"/>
      <c r="BT208" s="53" t="n"/>
      <c r="BU208" s="53" t="n"/>
      <c r="BV208" s="53" t="n"/>
      <c r="BW208" s="53" t="n"/>
      <c r="BX208" s="53" t="n"/>
      <c r="BY208" s="53" t="n"/>
      <c r="BZ208" s="53" t="n"/>
      <c r="CA208" s="53" t="n"/>
      <c r="CB208" s="53" t="n"/>
      <c r="CC208" s="53" t="n"/>
      <c r="CD208" s="53" t="n"/>
      <c r="CE208" s="53" t="n"/>
      <c r="CF208" s="53" t="n"/>
      <c r="CG208" s="53" t="n"/>
      <c r="CH208" s="53" t="n"/>
      <c r="CI208" s="53" t="n"/>
      <c r="CJ208" s="53" t="n"/>
      <c r="CK208" s="53" t="n"/>
      <c r="CL208" s="53" t="n"/>
      <c r="CM208" s="53" t="n"/>
      <c r="CN208" s="53" t="n"/>
      <c r="CO208" s="53" t="n"/>
      <c r="CP208" s="53" t="n"/>
      <c r="CQ208" s="53" t="n"/>
      <c r="CR208" s="53" t="n"/>
      <c r="CS208" s="53" t="n"/>
      <c r="CT208" s="53" t="n"/>
      <c r="CU208" s="53" t="n"/>
      <c r="CV208" s="53" t="n"/>
      <c r="CW208" s="53" t="n"/>
      <c r="CX208" s="53" t="n"/>
      <c r="CY208" s="53" t="n"/>
      <c r="CZ208" s="53" t="n"/>
      <c r="DA208" s="53" t="n"/>
      <c r="DB208" s="53" t="n"/>
      <c r="DC208" s="53" t="n"/>
      <c r="DD208" s="53" t="inlineStr">
        <is>
          <t>IRIS2258</t>
        </is>
      </c>
      <c r="DE208" s="53" t="inlineStr">
        <is>
          <t>Employee</t>
        </is>
      </c>
      <c r="DF208" s="53" t="inlineStr">
        <is>
          <t>Active</t>
        </is>
      </c>
      <c r="DG208" s="53" t="inlineStr">
        <is>
          <t>Vaibhav Govind Gahat</t>
        </is>
      </c>
      <c r="DH208" s="54" t="n">
        <v>45446</v>
      </c>
      <c r="DI208" s="53" t="inlineStr">
        <is>
          <t>Software Engineer</t>
        </is>
      </c>
      <c r="DJ208" s="53" t="inlineStr">
        <is>
          <t>Engineering &amp; Development</t>
        </is>
      </c>
      <c r="DK208" s="53" t="inlineStr">
        <is>
          <t>Backend Engineering ·.NET</t>
        </is>
      </c>
      <c r="DL208" s="53" t="inlineStr">
        <is>
          <t>Software Engineer</t>
        </is>
      </c>
      <c r="DM208" s="53" t="inlineStr">
        <is>
          <t>L3 – Professional / Associate</t>
        </is>
      </c>
      <c r="DN208" s="53" t="inlineStr">
        <is>
          <t>B.E</t>
        </is>
      </c>
      <c r="DO208" s="53" t="inlineStr">
        <is>
          <t>Jitendra Kumar</t>
        </is>
      </c>
      <c r="DP208" s="53" t="inlineStr">
        <is>
          <t>N-4</t>
        </is>
      </c>
      <c r="DQ208" s="53" t="inlineStr">
        <is>
          <t>Individual Contributor</t>
        </is>
      </c>
      <c r="DR208" s="53" t="inlineStr">
        <is>
          <t>0 years, 0 months, 0 days</t>
        </is>
      </c>
      <c r="DS208" s="53" t="inlineStr">
        <is>
          <t>2 years, 0 months, 17 days</t>
        </is>
      </c>
      <c r="DT208" s="53" t="inlineStr">
        <is>
          <t>2 years, 0 months, 17 days</t>
        </is>
      </c>
      <c r="DU208" s="53" t="n"/>
      <c r="DV208" s="53" t="inlineStr">
        <is>
          <t>Regtech</t>
        </is>
      </c>
      <c r="DW208" s="53" t="inlineStr">
        <is>
          <t>iDEAL</t>
        </is>
      </c>
      <c r="DX208" s="53" t="inlineStr">
        <is>
          <t>Technology</t>
        </is>
      </c>
      <c r="DY208" s="53" t="inlineStr">
        <is>
          <t>Development</t>
        </is>
      </c>
      <c r="DZ208" s="53" t="inlineStr">
        <is>
          <t>Yes</t>
        </is>
      </c>
      <c r="EA208" s="53" t="inlineStr">
        <is>
          <t>Product/Project</t>
        </is>
      </c>
      <c r="EB208" s="53" t="inlineStr">
        <is>
          <t>.NET MVC</t>
        </is>
      </c>
      <c r="EC208" s="53" t="inlineStr">
        <is>
          <t>Technical - Developer</t>
        </is>
      </c>
      <c r="ED208" s="53" t="inlineStr">
        <is>
          <t>Work From Office - Turbhe</t>
        </is>
      </c>
      <c r="EE208" s="53"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EF208"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8" s="53"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EH208" s="53" t="n">
        <v>4</v>
      </c>
      <c r="EI208" s="53" t="n"/>
      <c r="EJ208" s="53" t="inlineStr">
        <is>
          <t>Same as per records</t>
        </is>
      </c>
      <c r="EK208" s="53" t="inlineStr">
        <is>
          <t>No</t>
        </is>
      </c>
      <c r="EL208" s="53" t="n">
        <v>4</v>
      </c>
      <c r="EM208" s="53" t="inlineStr">
        <is>
          <t>High</t>
        </is>
      </c>
      <c r="EN208" s="53" t="inlineStr">
        <is>
          <t>Emerging Talent</t>
        </is>
      </c>
      <c r="EO208" s="53" t="inlineStr">
        <is>
          <t>Not Ready</t>
        </is>
      </c>
      <c r="EP208" s="53" t="inlineStr">
        <is>
          <t>No</t>
        </is>
      </c>
      <c r="EQ208" s="53" t="inlineStr">
        <is>
          <t>Yes</t>
        </is>
      </c>
      <c r="ER208" s="53" t="n"/>
      <c r="ES208" s="53" t="inlineStr">
        <is>
          <t>XBRL Training, Training on the effective utilization of AI tools.</t>
        </is>
      </c>
      <c r="ET208" s="53" t="n"/>
      <c r="EU208" s="53" t="n"/>
      <c r="EV208" s="53" t="n"/>
      <c r="EW208" s="52" t="n"/>
      <c r="EX208" s="53" t="n"/>
      <c r="EY208" s="53" t="n"/>
      <c r="EZ208" s="53" t="n"/>
      <c r="FA208" s="53" t="n"/>
      <c r="FB208" s="53" t="n"/>
      <c r="FC208" s="53" t="inlineStr">
        <is>
          <t>Annual KRAs · objective Measurable Minimum 5 - set by Manager</t>
        </is>
      </c>
      <c r="FD208" s="53" t="n"/>
      <c r="FE208"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8" s="56"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FG208" s="56"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FH208" s="56" t="inlineStr">
        <is>
          <t>4</t>
        </is>
      </c>
      <c r="FI208" s="56" t="n"/>
      <c r="FJ208" s="56" t="inlineStr">
        <is>
          <t>Received · manager annual, quarterly, self</t>
        </is>
      </c>
      <c r="FK208" s="56" t="inlineStr">
        <is>
          <t>Talent Mapping · iDEAL</t>
        </is>
      </c>
      <c r="FL208" s="56" t="n">
        <v>20</v>
      </c>
      <c r="FM208" s="32" t="inlineStr">
        <is>
          <t>Full survey answers not in the files received · How We Grow export needed · HR</t>
        </is>
      </c>
      <c r="FN208" s="56" t="inlineStr">
        <is>
          <t>—</t>
        </is>
      </c>
      <c r="FO208" s="56" t="inlineStr">
        <is>
          <t>—</t>
        </is>
      </c>
      <c r="FP208" s="56" t="inlineStr">
        <is>
          <t>—</t>
        </is>
      </c>
      <c r="FQ208" s="56" t="inlineStr">
        <is>
          <t>—</t>
        </is>
      </c>
      <c r="FR208" s="56"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application → moved up 0.5
Leadership: Evidence reads like A1: No guidance of others described → matches the start
Business Impact: Moved +0.5: the survey / manager mapping marks it business-critical.</t>
        </is>
      </c>
      <c r="FS20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8" s="56" t="inlineStr">
        <is>
          <t>Self-identified: Leadership &amp; people management · Broader exposure &amp; ownership
For the next role: Leadership &amp; people management · Broader exposure &amp; ownership</t>
        </is>
      </c>
      <c r="FU208" s="32" t="inlineStr">
        <is>
          <t>Full survey answers not in the files received · How We Grow export needed · HR</t>
        </is>
      </c>
    </row>
    <row r="209" ht="90" customHeight="1">
      <c r="A209" s="51" t="inlineStr">
        <is>
          <t>◂ Back</t>
        </is>
      </c>
      <c r="B209" s="29" t="inlineStr">
        <is>
          <t>Mapped</t>
        </is>
      </c>
      <c r="C209" s="28" t="inlineStr">
        <is>
          <t>iDEAL</t>
        </is>
      </c>
      <c r="D209" s="29" t="inlineStr">
        <is>
          <t>IRIS2018</t>
        </is>
      </c>
      <c r="E209" s="29" t="inlineStr">
        <is>
          <t>Varsha Patil</t>
        </is>
      </c>
      <c r="F209" s="29" t="inlineStr">
        <is>
          <t>Technology</t>
        </is>
      </c>
      <c r="G209" s="29" t="inlineStr">
        <is>
          <t>Software Engineer</t>
        </is>
      </c>
      <c r="H209" s="29" t="inlineStr">
        <is>
          <t>Senior Software Engineer</t>
        </is>
      </c>
      <c r="I209" s="29" t="inlineStr">
        <is>
          <t>L3 – Professional / Associate</t>
        </is>
      </c>
      <c r="J209" s="29" t="inlineStr">
        <is>
          <t>A3</t>
        </is>
      </c>
      <c r="K209" s="29" t="inlineStr">
        <is>
          <t>▲ Up</t>
        </is>
      </c>
      <c r="L209" s="29" t="inlineStr">
        <is>
          <t>Engineering &amp; Development</t>
        </is>
      </c>
      <c r="M209" s="29" t="inlineStr">
        <is>
          <t>Backend Development</t>
        </is>
      </c>
      <c r="N209" s="29" t="n"/>
      <c r="O209" s="29" t="n">
        <v>20</v>
      </c>
      <c r="P209" s="28" t="inlineStr">
        <is>
          <t>P2</t>
        </is>
      </c>
      <c r="Q209" s="29" t="inlineStr">
        <is>
          <t>Developing</t>
        </is>
      </c>
      <c r="R209" s="29" t="inlineStr">
        <is>
          <t>3 Apply</t>
        </is>
      </c>
      <c r="S209" s="29" t="inlineStr">
        <is>
          <t>2–4 yrs</t>
        </is>
      </c>
      <c r="T209" s="29" t="inlineStr">
        <is>
          <t>3–5 · 2–5</t>
        </is>
      </c>
      <c r="U209" s="29" t="inlineStr">
        <is>
          <t>Software Engineer</t>
        </is>
      </c>
      <c r="V209" s="29" t="inlineStr">
        <is>
          <t>Workiva: SE · Broadridge India: SE · Nasdaq / AxiomSL: SE · Salesforce: MTS · Atlassian: P40 · 3–7 yrs · Freshworks: Senior SE</t>
        </is>
      </c>
      <c r="W209" s="29" t="inlineStr">
        <is>
          <t>SFIA 9 · software development, programming; OWASP secure coding; cloud vendor certifications</t>
        </is>
      </c>
      <c r="X209" s="29" t="inlineStr">
        <is>
          <t>Core 2 · Future 2 · Functional 3 · Leadership not scored</t>
        </is>
      </c>
      <c r="Y209" s="52" t="n">
        <v>218</v>
      </c>
      <c r="Z209" s="53" t="inlineStr">
        <is>
          <t>IRIS2018</t>
        </is>
      </c>
      <c r="AA209" s="53" t="inlineStr">
        <is>
          <t>Employee</t>
        </is>
      </c>
      <c r="AB209" s="53" t="inlineStr">
        <is>
          <t>Active</t>
        </is>
      </c>
      <c r="AC209" s="53" t="inlineStr">
        <is>
          <t>Varsha Patil</t>
        </is>
      </c>
      <c r="AD209" s="54" t="n">
        <v>44706</v>
      </c>
      <c r="AE209" s="53" t="inlineStr">
        <is>
          <t>Software Engineer</t>
        </is>
      </c>
      <c r="AF209" s="53" t="inlineStr">
        <is>
          <t>B.E</t>
        </is>
      </c>
      <c r="AG209" s="53" t="inlineStr">
        <is>
          <t>Jitendra Kumar</t>
        </is>
      </c>
      <c r="AH209" s="53" t="inlineStr">
        <is>
          <t>N-4</t>
        </is>
      </c>
      <c r="AI209" s="53" t="inlineStr">
        <is>
          <t>Individual Contributor</t>
        </is>
      </c>
      <c r="AJ209" s="53" t="inlineStr">
        <is>
          <t>1 years, 0 months, 0 days</t>
        </is>
      </c>
      <c r="AK209" s="53" t="inlineStr">
        <is>
          <t>4 years, 3 months, 0 days</t>
        </is>
      </c>
      <c r="AL209" s="53" t="inlineStr">
        <is>
          <t>Regtech</t>
        </is>
      </c>
      <c r="AM209" s="53" t="inlineStr">
        <is>
          <t>iDEAL</t>
        </is>
      </c>
      <c r="AN209" s="53" t="inlineStr">
        <is>
          <t>Technology</t>
        </is>
      </c>
      <c r="AO209" s="53" t="inlineStr">
        <is>
          <t>Development</t>
        </is>
      </c>
      <c r="AP209" s="53" t="inlineStr">
        <is>
          <t>Yes</t>
        </is>
      </c>
      <c r="AQ209" s="53" t="inlineStr">
        <is>
          <t>Product/Project</t>
        </is>
      </c>
      <c r="AR209" s="53" t="inlineStr">
        <is>
          <t>.NET MVC</t>
        </is>
      </c>
      <c r="AS209" s="53" t="inlineStr">
        <is>
          <t>Technical - Developer</t>
        </is>
      </c>
      <c r="AT209" s="53" t="n">
        <v>20</v>
      </c>
      <c r="AU209" s="53" t="inlineStr">
        <is>
          <t>Covered</t>
        </is>
      </c>
      <c r="AV209" s="53" t="n"/>
      <c r="AW209" s="53" t="n"/>
      <c r="AX209" s="53" t="n"/>
      <c r="AY209" s="53" t="n"/>
      <c r="AZ209" s="53" t="n"/>
      <c r="BA209" s="53" t="n"/>
      <c r="BB209" s="53" t="n"/>
      <c r="BC209" s="53" t="n"/>
      <c r="BD209" s="53" t="n"/>
      <c r="BE209" s="53" t="n"/>
      <c r="BF209" s="53" t="n"/>
      <c r="BG209" s="53" t="n"/>
      <c r="BH209" s="53" t="n"/>
      <c r="BI209" s="53" t="n"/>
      <c r="BJ209" s="53" t="n"/>
      <c r="BK209" s="53" t="n"/>
      <c r="BL209" s="53" t="n"/>
      <c r="BM209" s="53" t="n"/>
      <c r="BN209" s="53" t="n"/>
      <c r="BO209" s="53" t="n"/>
      <c r="BP209" s="53" t="n"/>
      <c r="BQ209" s="53" t="n"/>
      <c r="BR209" s="53" t="n"/>
      <c r="BS209" s="53" t="n"/>
      <c r="BT209" s="53" t="n"/>
      <c r="BU209" s="53" t="n"/>
      <c r="BV209" s="53" t="n"/>
      <c r="BW209" s="53" t="n"/>
      <c r="BX209" s="53" t="n"/>
      <c r="BY209" s="53" t="n"/>
      <c r="BZ209" s="53" t="n"/>
      <c r="CA209" s="53" t="n"/>
      <c r="CB209" s="53" t="n"/>
      <c r="CC209" s="53" t="n"/>
      <c r="CD209" s="53" t="n"/>
      <c r="CE209" s="53" t="n"/>
      <c r="CF209" s="53" t="n"/>
      <c r="CG209" s="53" t="n"/>
      <c r="CH209" s="53" t="n"/>
      <c r="CI209" s="53" t="n"/>
      <c r="CJ209" s="53" t="n"/>
      <c r="CK209" s="53" t="n"/>
      <c r="CL209" s="53" t="n"/>
      <c r="CM209" s="53" t="n"/>
      <c r="CN209" s="53" t="n"/>
      <c r="CO209" s="53" t="n"/>
      <c r="CP209" s="53" t="n"/>
      <c r="CQ209" s="53" t="n"/>
      <c r="CR209" s="53" t="n"/>
      <c r="CS209" s="53" t="n"/>
      <c r="CT209" s="53" t="n"/>
      <c r="CU209" s="53" t="n"/>
      <c r="CV209" s="53" t="n"/>
      <c r="CW209" s="53" t="n"/>
      <c r="CX209" s="53" t="n"/>
      <c r="CY209" s="53" t="n"/>
      <c r="CZ209" s="53" t="n"/>
      <c r="DA209" s="53" t="n"/>
      <c r="DB209" s="53" t="n"/>
      <c r="DC209" s="53" t="n"/>
      <c r="DD209" s="53" t="inlineStr">
        <is>
          <t>IRIS2018</t>
        </is>
      </c>
      <c r="DE209" s="53" t="inlineStr">
        <is>
          <t>Employee</t>
        </is>
      </c>
      <c r="DF209" s="53" t="inlineStr">
        <is>
          <t>Active</t>
        </is>
      </c>
      <c r="DG209" s="53" t="inlineStr">
        <is>
          <t>Varsha Patil</t>
        </is>
      </c>
      <c r="DH209" s="54" t="n">
        <v>44706</v>
      </c>
      <c r="DI209" s="53" t="inlineStr">
        <is>
          <t>Software Engineer</t>
        </is>
      </c>
      <c r="DJ209" s="53" t="inlineStr">
        <is>
          <t>Engineering &amp; Development</t>
        </is>
      </c>
      <c r="DK209" s="53" t="inlineStr">
        <is>
          <t>Backend Engineering ·.NET</t>
        </is>
      </c>
      <c r="DL209" s="53" t="inlineStr">
        <is>
          <t>Software Engineer</t>
        </is>
      </c>
      <c r="DM209" s="53" t="inlineStr">
        <is>
          <t>L3 – Professional / Associate</t>
        </is>
      </c>
      <c r="DN209" s="53" t="inlineStr">
        <is>
          <t>B.E</t>
        </is>
      </c>
      <c r="DO209" s="53" t="inlineStr">
        <is>
          <t>Jitendra Kumar</t>
        </is>
      </c>
      <c r="DP209" s="53" t="inlineStr">
        <is>
          <t>N-4</t>
        </is>
      </c>
      <c r="DQ209" s="53" t="inlineStr">
        <is>
          <t>Individual Contributor</t>
        </is>
      </c>
      <c r="DR209" s="53" t="inlineStr">
        <is>
          <t>1 years, 0 months, 0 days</t>
        </is>
      </c>
      <c r="DS209" s="53" t="inlineStr">
        <is>
          <t>4 years, 0 months, 26 days</t>
        </is>
      </c>
      <c r="DT209" s="53" t="inlineStr">
        <is>
          <t>5 years, 0 months, 26 days</t>
        </is>
      </c>
      <c r="DU209" s="53" t="n"/>
      <c r="DV209" s="53" t="inlineStr">
        <is>
          <t>Regtech</t>
        </is>
      </c>
      <c r="DW209" s="53" t="inlineStr">
        <is>
          <t>iDEAL</t>
        </is>
      </c>
      <c r="DX209" s="53" t="inlineStr">
        <is>
          <t>Technology</t>
        </is>
      </c>
      <c r="DY209" s="53" t="inlineStr">
        <is>
          <t>Development</t>
        </is>
      </c>
      <c r="DZ209" s="53" t="inlineStr">
        <is>
          <t>Yes</t>
        </is>
      </c>
      <c r="EA209" s="53" t="inlineStr">
        <is>
          <t>Product/Project</t>
        </is>
      </c>
      <c r="EB209" s="53" t="inlineStr">
        <is>
          <t>.NET MVC</t>
        </is>
      </c>
      <c r="EC209" s="53" t="inlineStr">
        <is>
          <t>Technical - Developer</t>
        </is>
      </c>
      <c r="ED209" s="53" t="inlineStr">
        <is>
          <t>Remote - Mumbai</t>
        </is>
      </c>
      <c r="EE209" s="53"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EF209" s="53"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EG209" s="53"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EH209" s="53" t="n">
        <v>3</v>
      </c>
      <c r="EI209" s="53" t="n"/>
      <c r="EJ209" s="53" t="inlineStr">
        <is>
          <t>Same as per records</t>
        </is>
      </c>
      <c r="EK209" s="53" t="inlineStr">
        <is>
          <t>No</t>
        </is>
      </c>
      <c r="EL209" s="53" t="n">
        <v>3</v>
      </c>
      <c r="EM209" s="53" t="inlineStr">
        <is>
          <t>Medium</t>
        </is>
      </c>
      <c r="EN209" s="53" t="inlineStr">
        <is>
          <t>Core Contributor</t>
        </is>
      </c>
      <c r="EO209" s="53" t="inlineStr">
        <is>
          <t>Ready in 12 Months</t>
        </is>
      </c>
      <c r="EP209" s="53" t="inlineStr">
        <is>
          <t>No</t>
        </is>
      </c>
      <c r="EQ209" s="53" t="inlineStr">
        <is>
          <t>No</t>
        </is>
      </c>
      <c r="ER209" s="53" t="n"/>
      <c r="ES209" s="53" t="inlineStr">
        <is>
          <t>XBRL Training, Training on the effective utilization of AI tools.</t>
        </is>
      </c>
      <c r="ET209" s="53" t="n"/>
      <c r="EU209" s="53" t="n"/>
      <c r="EV209" s="53" t="n"/>
      <c r="EW209" s="52" t="n"/>
      <c r="EX209" s="53" t="n"/>
      <c r="EY209" s="53" t="n"/>
      <c r="EZ209" s="53" t="n"/>
      <c r="FA209" s="53" t="n"/>
      <c r="FB209" s="53" t="n"/>
      <c r="FC209" s="53" t="inlineStr">
        <is>
          <t>Annual KRAs · objective Measurable Minimum 5 - set by Manager</t>
        </is>
      </c>
      <c r="FD209" s="53" t="n"/>
      <c r="FE209" s="57"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FF209" s="56"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FG209" s="56"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FH209" s="56" t="inlineStr">
        <is>
          <t>3</t>
        </is>
      </c>
      <c r="FI209" s="56" t="n"/>
      <c r="FJ209" s="56" t="inlineStr">
        <is>
          <t>Received · manager annual, quarterly, self</t>
        </is>
      </c>
      <c r="FK209" s="56" t="inlineStr">
        <is>
          <t>Talent Mapping · iDEAL</t>
        </is>
      </c>
      <c r="FL209" s="56" t="n">
        <v>20</v>
      </c>
      <c r="FM209" s="32" t="inlineStr">
        <is>
          <t>Full survey answers not in the files received · How We Grow export needed · HR</t>
        </is>
      </c>
      <c r="FN209" s="56" t="inlineStr">
        <is>
          <t>—</t>
        </is>
      </c>
      <c r="FO209" s="56" t="inlineStr">
        <is>
          <t>—</t>
        </is>
      </c>
      <c r="FP209" s="56" t="inlineStr">
        <is>
          <t>—</t>
        </is>
      </c>
      <c r="FQ209" s="56" t="inlineStr">
        <is>
          <t>—</t>
        </is>
      </c>
      <c r="FR209" s="56"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modules and REST API support → moved up 0.5
Leadership: Evidence reads like A1: No guidance of others described → matches the start
Business Impact: No survey or manager-mapping signal on criticality: kept at the start point.</t>
        </is>
      </c>
      <c r="FS20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9" s="56" t="inlineStr">
        <is>
          <t>Self-identified: Broader exposure &amp; ownership
For the next role: Broader exposure &amp; ownership</t>
        </is>
      </c>
      <c r="FU209" s="32" t="inlineStr">
        <is>
          <t>Full survey answers not in the files received · How We Grow export needed · HR</t>
        </is>
      </c>
    </row>
    <row r="210" ht="90" customHeight="1">
      <c r="A210" s="51" t="inlineStr">
        <is>
          <t>◂ Back</t>
        </is>
      </c>
      <c r="B210" s="29" t="inlineStr">
        <is>
          <t>Mapped</t>
        </is>
      </c>
      <c r="C210" s="28" t="inlineStr">
        <is>
          <t>iDEAL</t>
        </is>
      </c>
      <c r="D210" s="29" t="inlineStr">
        <is>
          <t>IRIS2104</t>
        </is>
      </c>
      <c r="E210" s="29" t="inlineStr">
        <is>
          <t>Ravi Ranjan</t>
        </is>
      </c>
      <c r="F210" s="29" t="inlineStr">
        <is>
          <t>Technology</t>
        </is>
      </c>
      <c r="G210" s="29" t="inlineStr">
        <is>
          <t>Lead Software Engineer</t>
        </is>
      </c>
      <c r="H210" s="29" t="inlineStr">
        <is>
          <t>Lead Software Engineer</t>
        </is>
      </c>
      <c r="I210" s="29" t="inlineStr">
        <is>
          <t>L5 – Lead · IC</t>
        </is>
      </c>
      <c r="J210" s="29" t="inlineStr">
        <is>
          <t>B3</t>
        </is>
      </c>
      <c r="K210" s="29" t="inlineStr">
        <is>
          <t>• Same level</t>
        </is>
      </c>
      <c r="L210" s="29" t="inlineStr">
        <is>
          <t>Engineering &amp; Development</t>
        </is>
      </c>
      <c r="M210" s="29" t="inlineStr">
        <is>
          <t>Backend Development</t>
        </is>
      </c>
      <c r="N210" s="29" t="n"/>
      <c r="O210" s="29" t="n">
        <v>20</v>
      </c>
      <c r="P210" s="28" t="inlineStr">
        <is>
          <t>P5 / M4</t>
        </is>
      </c>
      <c r="Q210" s="29" t="inlineStr">
        <is>
          <t>Expert / Senior Manager</t>
        </is>
      </c>
      <c r="R210" s="29" t="inlineStr">
        <is>
          <t>5 Ensure, advise</t>
        </is>
      </c>
      <c r="S210" s="29" t="inlineStr">
        <is>
          <t>8–12 yrs</t>
        </is>
      </c>
      <c r="T210" s="29" t="inlineStr">
        <is>
          <t>9–13 · 9–14</t>
        </is>
      </c>
      <c r="U210" s="29" t="inlineStr">
        <is>
          <t>Principal Engineer</t>
        </is>
      </c>
      <c r="V210" s="29" t="inlineStr">
        <is>
          <t>Workiva: Staff SE · Broadridge India: Senior Lead SE · Nasdaq / AxiomSL: Lead SE · Salesforce: LMTS · Atlassian: P50 Senior · Freshworks: Staff SE</t>
        </is>
      </c>
      <c r="W210" s="29" t="inlineStr">
        <is>
          <t>SFIA 9 · software development, programming; OWASP secure coding; cloud vendor certifications</t>
        </is>
      </c>
      <c r="X210" s="29" t="inlineStr">
        <is>
          <t>Core 4 · Future 3 · Functional 4 · Leadership 3</t>
        </is>
      </c>
      <c r="Y210" s="52" t="n">
        <v>264</v>
      </c>
      <c r="Z210" s="53" t="inlineStr">
        <is>
          <t>IRIS2104</t>
        </is>
      </c>
      <c r="AA210" s="53" t="inlineStr">
        <is>
          <t>Employee</t>
        </is>
      </c>
      <c r="AB210" s="53" t="inlineStr">
        <is>
          <t>Active</t>
        </is>
      </c>
      <c r="AC210" s="53" t="inlineStr">
        <is>
          <t>Ravi Ranjan</t>
        </is>
      </c>
      <c r="AD210" s="54" t="n">
        <v>44986</v>
      </c>
      <c r="AE210" s="53" t="inlineStr">
        <is>
          <t>Lead Software Engineer</t>
        </is>
      </c>
      <c r="AF210" s="53" t="inlineStr">
        <is>
          <t>MCA</t>
        </is>
      </c>
      <c r="AG210" s="53" t="inlineStr">
        <is>
          <t>Hemant Karale</t>
        </is>
      </c>
      <c r="AH210" s="53" t="inlineStr">
        <is>
          <t>N-3</t>
        </is>
      </c>
      <c r="AI210" s="53" t="inlineStr">
        <is>
          <t>Individual Contributor</t>
        </is>
      </c>
      <c r="AJ210" s="53" t="inlineStr">
        <is>
          <t>22 years, 0 months, 0 days</t>
        </is>
      </c>
      <c r="AK210" s="53" t="inlineStr">
        <is>
          <t>3 years, 5 months, 24 days</t>
        </is>
      </c>
      <c r="AL210" s="53" t="inlineStr">
        <is>
          <t>Regtech</t>
        </is>
      </c>
      <c r="AM210" s="53" t="inlineStr">
        <is>
          <t>iDEAL</t>
        </is>
      </c>
      <c r="AN210" s="53" t="inlineStr">
        <is>
          <t>Technology</t>
        </is>
      </c>
      <c r="AO210" s="53" t="inlineStr">
        <is>
          <t>Development</t>
        </is>
      </c>
      <c r="AP210" s="53" t="inlineStr">
        <is>
          <t>Yes</t>
        </is>
      </c>
      <c r="AQ210" s="53" t="inlineStr">
        <is>
          <t>Product/Project</t>
        </is>
      </c>
      <c r="AR210" s="53" t="inlineStr">
        <is>
          <t>.NET MVC</t>
        </is>
      </c>
      <c r="AS210" s="53" t="inlineStr">
        <is>
          <t>Technical - Developer</t>
        </is>
      </c>
      <c r="AT210" s="53" t="n">
        <v>20</v>
      </c>
      <c r="AU210" s="53" t="inlineStr">
        <is>
          <t>Covered</t>
        </is>
      </c>
      <c r="AV210" s="53" t="n"/>
      <c r="AW210" s="53" t="n"/>
      <c r="AX210" s="53" t="n"/>
      <c r="AY210" s="53" t="n"/>
      <c r="AZ210" s="53" t="n"/>
      <c r="BA210" s="53" t="n"/>
      <c r="BB210" s="53" t="n"/>
      <c r="BC210" s="53" t="n"/>
      <c r="BD210" s="53" t="n"/>
      <c r="BE210" s="53" t="n"/>
      <c r="BF210" s="53" t="n"/>
      <c r="BG210" s="53" t="n"/>
      <c r="BH210" s="53" t="n"/>
      <c r="BI210" s="53" t="n"/>
      <c r="BJ210" s="53" t="n"/>
      <c r="BK210" s="53" t="n"/>
      <c r="BL210" s="53" t="n"/>
      <c r="BM210" s="53" t="n"/>
      <c r="BN210" s="53" t="n"/>
      <c r="BO210" s="53" t="n"/>
      <c r="BP210" s="53" t="n"/>
      <c r="BQ210" s="53" t="n"/>
      <c r="BR210" s="53" t="n"/>
      <c r="BS210" s="53" t="n"/>
      <c r="BT210" s="53" t="n"/>
      <c r="BU210" s="53" t="n"/>
      <c r="BV210" s="53" t="n"/>
      <c r="BW210" s="53" t="n"/>
      <c r="BX210" s="53" t="n"/>
      <c r="BY210" s="53" t="n"/>
      <c r="BZ210" s="53" t="n"/>
      <c r="CA210" s="53" t="n"/>
      <c r="CB210" s="53" t="n"/>
      <c r="CC210" s="53" t="n"/>
      <c r="CD210" s="53" t="n"/>
      <c r="CE210" s="53" t="n"/>
      <c r="CF210" s="53" t="n"/>
      <c r="CG210" s="53" t="n"/>
      <c r="CH210" s="53" t="n"/>
      <c r="CI210" s="53" t="n"/>
      <c r="CJ210" s="53" t="n"/>
      <c r="CK210" s="53" t="n"/>
      <c r="CL210" s="53" t="n"/>
      <c r="CM210" s="53" t="n"/>
      <c r="CN210" s="53" t="n"/>
      <c r="CO210" s="53" t="n"/>
      <c r="CP210" s="53" t="n"/>
      <c r="CQ210" s="53" t="n"/>
      <c r="CR210" s="53" t="n"/>
      <c r="CS210" s="53" t="n"/>
      <c r="CT210" s="53" t="n"/>
      <c r="CU210" s="53" t="n"/>
      <c r="CV210" s="53" t="n"/>
      <c r="CW210" s="53" t="n"/>
      <c r="CX210" s="53" t="n"/>
      <c r="CY210" s="53" t="n"/>
      <c r="CZ210" s="53" t="n"/>
      <c r="DA210" s="53" t="n"/>
      <c r="DB210" s="53" t="n"/>
      <c r="DC210" s="53" t="n"/>
      <c r="DD210" s="53" t="inlineStr">
        <is>
          <t>IRIS2104</t>
        </is>
      </c>
      <c r="DE210" s="53" t="inlineStr">
        <is>
          <t>Employee</t>
        </is>
      </c>
      <c r="DF210" s="53" t="inlineStr">
        <is>
          <t>Active</t>
        </is>
      </c>
      <c r="DG210" s="53" t="inlineStr">
        <is>
          <t>Ravi Ranjan</t>
        </is>
      </c>
      <c r="DH210" s="54" t="n">
        <v>44986</v>
      </c>
      <c r="DI210" s="53" t="inlineStr">
        <is>
          <t>Lead Software Engineer</t>
        </is>
      </c>
      <c r="DJ210" s="53" t="inlineStr">
        <is>
          <t>Engineering &amp; Development</t>
        </is>
      </c>
      <c r="DK210" s="53" t="inlineStr">
        <is>
          <t>Backend Engineering ·.NET</t>
        </is>
      </c>
      <c r="DL210" s="53" t="inlineStr">
        <is>
          <t>Lead Software Engineer</t>
        </is>
      </c>
      <c r="DM210" s="53" t="inlineStr">
        <is>
          <t>L5 – Lead · IC</t>
        </is>
      </c>
      <c r="DN210" s="53" t="inlineStr">
        <is>
          <t>MCA</t>
        </is>
      </c>
      <c r="DO210" s="53" t="inlineStr">
        <is>
          <t>Hemant Karale</t>
        </is>
      </c>
      <c r="DP210" s="53" t="inlineStr">
        <is>
          <t>N-3</t>
        </is>
      </c>
      <c r="DQ210" s="53" t="inlineStr">
        <is>
          <t>Individual Contributor</t>
        </is>
      </c>
      <c r="DR210" s="53" t="inlineStr">
        <is>
          <t>22 years, 0 months, 0 days</t>
        </is>
      </c>
      <c r="DS210" s="53" t="inlineStr">
        <is>
          <t>3 years, 3 months, 19 days</t>
        </is>
      </c>
      <c r="DT210" s="53" t="inlineStr">
        <is>
          <t>25 years, 3 months, 19 days</t>
        </is>
      </c>
      <c r="DU210" s="53" t="n"/>
      <c r="DV210" s="53" t="inlineStr">
        <is>
          <t>Regtech</t>
        </is>
      </c>
      <c r="DW210" s="53" t="inlineStr">
        <is>
          <t>iDEAL</t>
        </is>
      </c>
      <c r="DX210" s="53" t="inlineStr">
        <is>
          <t>Technology</t>
        </is>
      </c>
      <c r="DY210" s="53" t="inlineStr">
        <is>
          <t>Development</t>
        </is>
      </c>
      <c r="DZ210" s="53" t="inlineStr">
        <is>
          <t>Yes</t>
        </is>
      </c>
      <c r="EA210" s="53" t="inlineStr">
        <is>
          <t>Product/Project</t>
        </is>
      </c>
      <c r="EB210" s="53" t="inlineStr">
        <is>
          <t>.NET MVC</t>
        </is>
      </c>
      <c r="EC210" s="53" t="inlineStr">
        <is>
          <t>Technical - Developer</t>
        </is>
      </c>
      <c r="ED210" s="53" t="inlineStr">
        <is>
          <t>Remote- Outside Mumbai</t>
        </is>
      </c>
      <c r="EE210" s="53" t="inlineStr">
        <is>
          <t>1. iDEAL 6.0 Architecture Design
2. iDEAL Feature Enhancements 
3. iDEAL Performance Optimisation
4. iDEAL Security Hardening
5. AI Adoption &amp; Team Enablement</t>
        </is>
      </c>
      <c r="EF210" s="53"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G210" s="53" t="inlineStr">
        <is>
          <t>1. AI Feature Planning and Road Map to be completed 
2. AI adoption and training to the team should be initiated 
3. iDEAL Readiness for EU, Qatar and Jordan Markets</t>
        </is>
      </c>
      <c r="EH210" s="53" t="n">
        <v>4</v>
      </c>
      <c r="EI210" s="53" t="n"/>
      <c r="EJ210" s="53" t="inlineStr">
        <is>
          <t>Same as per records</t>
        </is>
      </c>
      <c r="EK210" s="53" t="n"/>
      <c r="EL210" s="53" t="n"/>
      <c r="EM210" s="53" t="n"/>
      <c r="EN210" s="53" t="n"/>
      <c r="EO210" s="53" t="n"/>
      <c r="EP210" s="53" t="n"/>
      <c r="EQ210" s="53" t="inlineStr">
        <is>
          <t>Yes</t>
        </is>
      </c>
      <c r="ER210" s="53" t="n"/>
      <c r="ES210" s="53" t="inlineStr">
        <is>
          <t>XBRL Training, Training on the effective utilization of AI tools.</t>
        </is>
      </c>
      <c r="ET210" s="53" t="n"/>
      <c r="EU210" s="53" t="n"/>
      <c r="EV210" s="53" t="n"/>
      <c r="EW210" s="52" t="n"/>
      <c r="EX210" s="53" t="n"/>
      <c r="EY210" s="53" t="n"/>
      <c r="EZ210" s="53" t="n"/>
      <c r="FA210" s="53" t="n"/>
      <c r="FB210" s="53" t="n"/>
      <c r="FC210" s="53" t="n"/>
      <c r="FD210" s="53" t="n"/>
      <c r="FE210" s="57"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FF210" s="56" t="inlineStr">
        <is>
          <t>1. AI Feature Planning and Road Map to be completed 
2. AI adoption and training to the team should be initiated 
3. iDEAL Readiness for EU, Qatar and Jordan Markets</t>
        </is>
      </c>
      <c r="FG210" s="56" t="inlineStr">
        <is>
          <t>1. iDEAL 6.0 Architecture Design
2. iDEAL Feature Enhancements 
3. iDEAL Performance Optimisation
4. iDEAL Security Hardening
5. AI Adoption &amp; Team Enablement</t>
        </is>
      </c>
      <c r="FH210" s="56" t="inlineStr">
        <is>
          <t>4</t>
        </is>
      </c>
      <c r="FI210" s="56" t="n"/>
      <c r="FJ210" s="56" t="inlineStr">
        <is>
          <t>Received · manager annual, quarterly, self</t>
        </is>
      </c>
      <c r="FK210" s="56" t="inlineStr">
        <is>
          <t>Talent Mapping · iDEAL</t>
        </is>
      </c>
      <c r="FL210" s="56" t="n">
        <v>20</v>
      </c>
      <c r="FM210" s="32" t="inlineStr">
        <is>
          <t>Full survey answers not in the files received · How We Grow export needed · HR</t>
        </is>
      </c>
      <c r="FN210" s="56" t="inlineStr">
        <is>
          <t>—</t>
        </is>
      </c>
      <c r="FO210" s="56" t="inlineStr">
        <is>
          <t>—</t>
        </is>
      </c>
      <c r="FP210" s="56" t="inlineStr">
        <is>
          <t>—</t>
        </is>
      </c>
      <c r="FQ210" s="56" t="inlineStr">
        <is>
          <t>—</t>
        </is>
      </c>
      <c r="FR210" s="56"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and the.NET Core upgrade → moved down 1
Leadership: Evidence reads like A3: Dev team brings issues to him for discussion as a regular part of the role → moved down 1
Business Impact: Moved +0.5: the survey / manager mapping marks it business-critical.</t>
        </is>
      </c>
      <c r="FS210" s="56" t="inlineStr">
        <is>
          <t>Common themes in role-holders' answers: product
Measured on · manager-set KRA themes: technical · defect · quality · agreed · deliver · reviews.</t>
        </is>
      </c>
      <c r="FT210" s="56" t="inlineStr">
        <is>
          <t>Self-identified: AI / automation
For the next role: AI / automation</t>
        </is>
      </c>
      <c r="FU210" s="32" t="inlineStr">
        <is>
          <t>Full survey answers not in the files received · How We Grow export needed · HR</t>
        </is>
      </c>
    </row>
    <row r="211" ht="90" customHeight="1">
      <c r="A211" s="51" t="inlineStr">
        <is>
          <t>◂ Back</t>
        </is>
      </c>
      <c r="B211" s="29" t="inlineStr">
        <is>
          <t>Mapped</t>
        </is>
      </c>
      <c r="C211" s="28" t="inlineStr">
        <is>
          <t>iDEAL</t>
        </is>
      </c>
      <c r="D211" s="29" t="inlineStr">
        <is>
          <t>IRIS0971</t>
        </is>
      </c>
      <c r="E211" s="29" t="inlineStr">
        <is>
          <t>Dnyaneshwar Daund</t>
        </is>
      </c>
      <c r="F211" s="29" t="inlineStr">
        <is>
          <t>Product Management</t>
        </is>
      </c>
      <c r="G211" s="29" t="inlineStr">
        <is>
          <t>Product Manager</t>
        </is>
      </c>
      <c r="H211" s="29" t="inlineStr">
        <is>
          <t>Product Manager</t>
        </is>
      </c>
      <c r="I211" s="29" t="inlineStr">
        <is>
          <t>L5 – Manager</t>
        </is>
      </c>
      <c r="J211" s="29" t="inlineStr">
        <is>
          <t>B2</t>
        </is>
      </c>
      <c r="K211" s="29" t="inlineStr">
        <is>
          <t>• Same level</t>
        </is>
      </c>
      <c r="L211" s="29" t="inlineStr">
        <is>
          <t>Product Management</t>
        </is>
      </c>
      <c r="M211" s="29" t="inlineStr">
        <is>
          <t>Product Management</t>
        </is>
      </c>
      <c r="N211" s="29" t="n"/>
      <c r="O211" s="29" t="n">
        <v>20</v>
      </c>
      <c r="P211" s="28" t="inlineStr">
        <is>
          <t>P4 / M3</t>
        </is>
      </c>
      <c r="Q211" s="29" t="inlineStr">
        <is>
          <t>Senior / Manager</t>
        </is>
      </c>
      <c r="R211" s="29" t="inlineStr">
        <is>
          <t>4–5</t>
        </is>
      </c>
      <c r="S211" s="29" t="inlineStr">
        <is>
          <t>6–9 yrs</t>
        </is>
      </c>
      <c r="T211" s="29" t="inlineStr">
        <is>
          <t>7–10 · 6–11</t>
        </is>
      </c>
      <c r="U211" s="29" t="inlineStr">
        <is>
          <t>Manager</t>
        </is>
      </c>
      <c r="V211" s="29" t="inlineStr">
        <is>
          <t>IRIS Vs Competitor Benchmark — SaaS product ladder: Senior PM</t>
        </is>
      </c>
      <c r="W211" s="29" t="inlineStr">
        <is>
          <t>Pragmatic Institute Framework · 37 activities, 7 categories; AIPMM</t>
        </is>
      </c>
      <c r="X211" s="29" t="inlineStr">
        <is>
          <t>Core 3 · Future 3 · Functional 4 · Leadership 3</t>
        </is>
      </c>
      <c r="Y211" s="52" t="n">
        <v>101</v>
      </c>
      <c r="Z211" s="53" t="inlineStr">
        <is>
          <t>IRIS0971</t>
        </is>
      </c>
      <c r="AA211" s="53" t="inlineStr">
        <is>
          <t>Employee</t>
        </is>
      </c>
      <c r="AB211" s="53" t="inlineStr">
        <is>
          <t>Active</t>
        </is>
      </c>
      <c r="AC211" s="53" t="inlineStr">
        <is>
          <t>Dnyaneshwar Daund</t>
        </is>
      </c>
      <c r="AD211" s="54" t="n">
        <v>40826</v>
      </c>
      <c r="AE211" s="53" t="inlineStr">
        <is>
          <t>Product Manager</t>
        </is>
      </c>
      <c r="AF211" s="53" t="inlineStr">
        <is>
          <t>MMS</t>
        </is>
      </c>
      <c r="AG211" s="53" t="inlineStr">
        <is>
          <t>Hemant Karale</t>
        </is>
      </c>
      <c r="AH211" s="53" t="inlineStr">
        <is>
          <t>N-3</t>
        </is>
      </c>
      <c r="AI211" s="53" t="inlineStr">
        <is>
          <t>Manager</t>
        </is>
      </c>
      <c r="AJ211" s="53" t="inlineStr">
        <is>
          <t>1 years, 2 months, 0 days</t>
        </is>
      </c>
      <c r="AK211" s="53" t="inlineStr">
        <is>
          <t>14 years, 10 months, 15 days</t>
        </is>
      </c>
      <c r="AL211" s="53" t="inlineStr">
        <is>
          <t>Regtech</t>
        </is>
      </c>
      <c r="AM211" s="53" t="inlineStr">
        <is>
          <t>iDEAL</t>
        </is>
      </c>
      <c r="AN211" s="53" t="inlineStr">
        <is>
          <t>Product Management</t>
        </is>
      </c>
      <c r="AO211" s="53" t="inlineStr">
        <is>
          <t>Client Engagement</t>
        </is>
      </c>
      <c r="AP211" s="53" t="inlineStr">
        <is>
          <t>No</t>
        </is>
      </c>
      <c r="AQ211" s="53" t="inlineStr">
        <is>
          <t>Client Engagement</t>
        </is>
      </c>
      <c r="AR211" s="53" t="inlineStr">
        <is>
          <t>Product Management</t>
        </is>
      </c>
      <c r="AS211" s="53" t="inlineStr">
        <is>
          <t>Technical · BA, PM and QA</t>
        </is>
      </c>
      <c r="AT211" s="53" t="n">
        <v>20</v>
      </c>
      <c r="AU211" s="53" t="inlineStr">
        <is>
          <t>Covered</t>
        </is>
      </c>
      <c r="AV211" s="53" t="n"/>
      <c r="AW211" s="53" t="n"/>
      <c r="AX211" s="53" t="n"/>
      <c r="AY211" s="53" t="n"/>
      <c r="AZ211" s="53" t="n"/>
      <c r="BA211" s="53" t="n"/>
      <c r="BB211" s="53" t="n"/>
      <c r="BC211" s="53" t="n"/>
      <c r="BD211" s="53" t="n"/>
      <c r="BE211" s="53" t="n"/>
      <c r="BF211" s="53" t="n"/>
      <c r="BG211" s="53" t="n"/>
      <c r="BH211" s="53" t="n"/>
      <c r="BI211" s="53" t="n"/>
      <c r="BJ211" s="53" t="n"/>
      <c r="BK211" s="53" t="n"/>
      <c r="BL211" s="53" t="n"/>
      <c r="BM211" s="53" t="n"/>
      <c r="BN211" s="53" t="n"/>
      <c r="BO211" s="53" t="n"/>
      <c r="BP211" s="53" t="n"/>
      <c r="BQ211" s="53" t="n"/>
      <c r="BR211" s="53" t="n"/>
      <c r="BS211" s="53" t="n"/>
      <c r="BT211" s="53" t="n"/>
      <c r="BU211" s="53" t="n"/>
      <c r="BV211" s="53" t="n"/>
      <c r="BW211" s="53" t="n"/>
      <c r="BX211" s="53" t="n"/>
      <c r="BY211" s="53" t="n"/>
      <c r="BZ211" s="53" t="n"/>
      <c r="CA211" s="53" t="n"/>
      <c r="CB211" s="53" t="n"/>
      <c r="CC211" s="53" t="n"/>
      <c r="CD211" s="53" t="n"/>
      <c r="CE211" s="53" t="n"/>
      <c r="CF211" s="53" t="n"/>
      <c r="CG211" s="53" t="n"/>
      <c r="CH211" s="53" t="n"/>
      <c r="CI211" s="53" t="n"/>
      <c r="CJ211" s="53" t="n"/>
      <c r="CK211" s="53" t="n"/>
      <c r="CL211" s="53" t="n"/>
      <c r="CM211" s="53" t="n"/>
      <c r="CN211" s="53" t="n"/>
      <c r="CO211" s="53" t="n"/>
      <c r="CP211" s="53" t="n"/>
      <c r="CQ211" s="53" t="n"/>
      <c r="CR211" s="53" t="n"/>
      <c r="CS211" s="53" t="n"/>
      <c r="CT211" s="53" t="n"/>
      <c r="CU211" s="53" t="n"/>
      <c r="CV211" s="53" t="n"/>
      <c r="CW211" s="53" t="n"/>
      <c r="CX211" s="53" t="n"/>
      <c r="CY211" s="53" t="n"/>
      <c r="CZ211" s="53" t="n"/>
      <c r="DA211" s="53" t="n"/>
      <c r="DB211" s="53" t="n"/>
      <c r="DC211" s="53" t="n"/>
      <c r="DD211" s="53" t="inlineStr">
        <is>
          <t>IRIS0971</t>
        </is>
      </c>
      <c r="DE211" s="53" t="inlineStr">
        <is>
          <t>Employee</t>
        </is>
      </c>
      <c r="DF211" s="53" t="inlineStr">
        <is>
          <t>Active</t>
        </is>
      </c>
      <c r="DG211" s="53" t="inlineStr">
        <is>
          <t>Dnyaneshwar Daund</t>
        </is>
      </c>
      <c r="DH211" s="54" t="n">
        <v>40826</v>
      </c>
      <c r="DI211" s="53" t="inlineStr">
        <is>
          <t>Product Manager</t>
        </is>
      </c>
      <c r="DJ211" s="53" t="inlineStr">
        <is>
          <t>Product Management</t>
        </is>
      </c>
      <c r="DK211" s="53" t="inlineStr">
        <is>
          <t>Product Management</t>
        </is>
      </c>
      <c r="DL211" s="53" t="inlineStr">
        <is>
          <t>Product Manager</t>
        </is>
      </c>
      <c r="DM211" s="53" t="inlineStr">
        <is>
          <t>L5 – Manager</t>
        </is>
      </c>
      <c r="DN211" s="53" t="inlineStr">
        <is>
          <t>MMS</t>
        </is>
      </c>
      <c r="DO211" s="53" t="inlineStr">
        <is>
          <t>Hemant Karale</t>
        </is>
      </c>
      <c r="DP211" s="53" t="inlineStr">
        <is>
          <t>N-3</t>
        </is>
      </c>
      <c r="DQ211" s="53" t="inlineStr">
        <is>
          <t>Manager</t>
        </is>
      </c>
      <c r="DR211" s="53" t="inlineStr">
        <is>
          <t>1 years, 2 months, 0 days</t>
        </is>
      </c>
      <c r="DS211" s="53" t="inlineStr">
        <is>
          <t>14 years, 8 months, 10 days</t>
        </is>
      </c>
      <c r="DT211" s="53" t="inlineStr">
        <is>
          <t>15 years, 10 months, 10 days</t>
        </is>
      </c>
      <c r="DU211" s="53" t="n">
        <v>14.6940639269406</v>
      </c>
      <c r="DV211" s="53" t="inlineStr">
        <is>
          <t>Regtech</t>
        </is>
      </c>
      <c r="DW211" s="53" t="inlineStr">
        <is>
          <t>iDEAL</t>
        </is>
      </c>
      <c r="DX211" s="53" t="inlineStr">
        <is>
          <t>Product Management</t>
        </is>
      </c>
      <c r="DY211" s="53" t="inlineStr">
        <is>
          <t>Client Engagement</t>
        </is>
      </c>
      <c r="DZ211" s="53" t="inlineStr">
        <is>
          <t>No</t>
        </is>
      </c>
      <c r="EA211" s="53" t="inlineStr">
        <is>
          <t>Client Engagement</t>
        </is>
      </c>
      <c r="EB211" s="53" t="inlineStr">
        <is>
          <t>Product Management</t>
        </is>
      </c>
      <c r="EC211" s="53" t="inlineStr">
        <is>
          <t>Technical · BA, PM and QA</t>
        </is>
      </c>
      <c r="ED211" s="53" t="inlineStr">
        <is>
          <t>Hybrid</t>
        </is>
      </c>
      <c r="EE211" s="53"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EF211" s="53"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EG211" s="53" t="inlineStr">
        <is>
          <t>1. Manage 15 EBR report development, delivery 
2. Manage complete applicable CIMS report development, delivery
3. Manage project kick-offs for important clients · Warwyck, SARB</t>
        </is>
      </c>
      <c r="EH211" s="53" t="n">
        <v>5</v>
      </c>
      <c r="EI211" s="53" t="n"/>
      <c r="EJ211" s="53" t="inlineStr">
        <is>
          <t>Same as current designation</t>
        </is>
      </c>
      <c r="EK211" s="53" t="inlineStr">
        <is>
          <t>No</t>
        </is>
      </c>
      <c r="EL211" s="53" t="n"/>
      <c r="EM211" s="53" t="n"/>
      <c r="EN211" s="53" t="n"/>
      <c r="EO211" s="53" t="n"/>
      <c r="EP211" s="53" t="n"/>
      <c r="EQ211" s="53" t="n"/>
      <c r="ER211" s="53" t="n"/>
      <c r="ES211" s="53" t="inlineStr">
        <is>
          <t>Training on the effective utilization of AI tools.</t>
        </is>
      </c>
      <c r="ET211" s="53" t="n"/>
      <c r="EU211" s="53" t="n"/>
      <c r="EV211" s="53" t="n"/>
      <c r="EW211" s="52" t="n"/>
      <c r="EX211" s="53" t="n"/>
      <c r="EY211" s="53" t="n"/>
      <c r="EZ211" s="53" t="n"/>
      <c r="FA211" s="53" t="n"/>
      <c r="FB211" s="53" t="n"/>
      <c r="FC211" s="53" t="n"/>
      <c r="FD211" s="53" t="n"/>
      <c r="FE211" s="57"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FF211" s="56" t="inlineStr">
        <is>
          <t>1. Manage 15 EBR report development, delivery 
2. Manage complete applicable CIMS report development, delivery
3. Manage project kick-offs for important clients · Warwyck, SARB</t>
        </is>
      </c>
      <c r="FG211" s="56"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FH211" s="56" t="inlineStr">
        <is>
          <t>5</t>
        </is>
      </c>
      <c r="FI211" s="56" t="n"/>
      <c r="FJ211" s="56" t="inlineStr">
        <is>
          <t>Received · manager annual, quarterly, self</t>
        </is>
      </c>
      <c r="FK211" s="56" t="inlineStr">
        <is>
          <t>Talent Mapping · iDEAL</t>
        </is>
      </c>
      <c r="FL211" s="56" t="n">
        <v>20</v>
      </c>
      <c r="FM211" s="32" t="inlineStr">
        <is>
          <t>Full survey answers not in the files received · How We Grow export needed · HR</t>
        </is>
      </c>
      <c r="FN211" s="56" t="inlineStr">
        <is>
          <t>—</t>
        </is>
      </c>
      <c r="FO211" s="56" t="inlineStr">
        <is>
          <t>—</t>
        </is>
      </c>
      <c r="FP211" s="56" t="inlineStr">
        <is>
          <t>—</t>
        </is>
      </c>
      <c r="FQ211" s="56" t="inlineStr">
        <is>
          <t>—</t>
        </is>
      </c>
      <c r="FR211" s="56"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reads like B2: Accountable for on-time delivery and implementation, report accuracy and the team's support quality → moved up 0.5
Leadership: Evidence reads like B1: Team management and grooming listed; five direct reports → matches the start
Business Impact: No survey or manager-mapping signal on criticality: kept at the start point.</t>
        </is>
      </c>
      <c r="FS211"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211" s="56" t="inlineStr">
        <is>
          <t>Self-identified: Product &amp; tool knowledge · Strategy &amp; business acumen · Broader exposure &amp; ownership
For the next role: Technical depth &amp; architecture · Data, SQL &amp; analytics · Product &amp; tool knowledge · Strategy &amp; business acumen · Broader exposure &amp; ownership</t>
        </is>
      </c>
      <c r="FU211" s="32" t="inlineStr">
        <is>
          <t>Full survey answers not in the files received · How We Grow export needed · HR</t>
        </is>
      </c>
    </row>
    <row r="212" ht="90" customHeight="1">
      <c r="A212" s="51" t="inlineStr">
        <is>
          <t>◂ Back</t>
        </is>
      </c>
      <c r="B212" s="29" t="inlineStr">
        <is>
          <t>Mapped</t>
        </is>
      </c>
      <c r="C212" s="28" t="inlineStr">
        <is>
          <t>iDEAL</t>
        </is>
      </c>
      <c r="D212" s="29" t="inlineStr">
        <is>
          <t>IRIS2125</t>
        </is>
      </c>
      <c r="E212" s="29" t="inlineStr">
        <is>
          <t>Phuzel Siddiqui</t>
        </is>
      </c>
      <c r="F212" s="29" t="inlineStr">
        <is>
          <t>Technology</t>
        </is>
      </c>
      <c r="G212" s="29" t="inlineStr">
        <is>
          <t>Business Analyst</t>
        </is>
      </c>
      <c r="H212" s="29" t="inlineStr">
        <is>
          <t>Business Analysis Specialist – POD Lead</t>
        </is>
      </c>
      <c r="I212" s="29" t="inlineStr">
        <is>
          <t>L3 – Professional / Associate</t>
        </is>
      </c>
      <c r="J212" s="29" t="inlineStr">
        <is>
          <t>B1</t>
        </is>
      </c>
      <c r="K212" s="29" t="inlineStr">
        <is>
          <t>▲ Up</t>
        </is>
      </c>
      <c r="L212" s="29" t="inlineStr">
        <is>
          <t>Business Analysis</t>
        </is>
      </c>
      <c r="M212" s="29" t="inlineStr">
        <is>
          <t>Business Analysis</t>
        </is>
      </c>
      <c r="N212" s="29" t="n"/>
      <c r="O212" s="29" t="n">
        <v>18</v>
      </c>
      <c r="P212" s="28" t="inlineStr">
        <is>
          <t>P3 / M2</t>
        </is>
      </c>
      <c r="Q212" s="29" t="inlineStr">
        <is>
          <t>Career / · Team Lead</t>
        </is>
      </c>
      <c r="R212" s="29" t="inlineStr">
        <is>
          <t>4 Enable</t>
        </is>
      </c>
      <c r="S212" s="29" t="inlineStr">
        <is>
          <t>4–7 yrs</t>
        </is>
      </c>
      <c r="T212" s="29" t="inlineStr">
        <is>
          <t>5–8 · 4–8</t>
        </is>
      </c>
      <c r="U212" s="29" t="inlineStr">
        <is>
          <t>Senior Business Analyst</t>
        </is>
      </c>
      <c r="V212" s="29" t="inlineStr">
        <is>
          <t>Regnology — regulatory reporting: BA · Reg Reporting · Big Four consulting: Senior Consultant · IRIS Vs Market Benchmark — IIBA certification pathway: CCBA · Infosys / Accenture: JL4 · L9 Consultant</t>
        </is>
      </c>
      <c r="W212" s="29" t="inlineStr">
        <is>
          <t>IIBA BABOK v3; certifications ECBA · entry → CCBA → CBAP · senior</t>
        </is>
      </c>
      <c r="X212" s="29" t="inlineStr">
        <is>
          <t>Core 3 · Future 3 · Functional 3 · Leadership 2</t>
        </is>
      </c>
      <c r="Y212" s="52" t="n">
        <v>271</v>
      </c>
      <c r="Z212" s="53" t="inlineStr">
        <is>
          <t>IRIS2125</t>
        </is>
      </c>
      <c r="AA212" s="53" t="inlineStr">
        <is>
          <t>Employee</t>
        </is>
      </c>
      <c r="AB212" s="53" t="inlineStr">
        <is>
          <t>Active</t>
        </is>
      </c>
      <c r="AC212" s="53" t="inlineStr">
        <is>
          <t>Phuzel Siddiqui</t>
        </is>
      </c>
      <c r="AD212" s="54" t="n">
        <v>45048</v>
      </c>
      <c r="AE212" s="53" t="inlineStr">
        <is>
          <t>Business Analyst</t>
        </is>
      </c>
      <c r="AF212" s="53" t="inlineStr">
        <is>
          <t>B.E</t>
        </is>
      </c>
      <c r="AG212" s="53" t="inlineStr">
        <is>
          <t>Dnyaneshwar Daund</t>
        </is>
      </c>
      <c r="AH212" s="53" t="inlineStr">
        <is>
          <t>N-4</t>
        </is>
      </c>
      <c r="AI212" s="53" t="inlineStr">
        <is>
          <t>Manager</t>
        </is>
      </c>
      <c r="AJ212" s="53" t="inlineStr">
        <is>
          <t>6 years, 5 months, 0 days</t>
        </is>
      </c>
      <c r="AK212" s="53" t="inlineStr">
        <is>
          <t>3 years, 3 months, 23 days</t>
        </is>
      </c>
      <c r="AL212" s="53" t="inlineStr">
        <is>
          <t>Regtech</t>
        </is>
      </c>
      <c r="AM212" s="53" t="inlineStr">
        <is>
          <t>iDEAL</t>
        </is>
      </c>
      <c r="AN212" s="53" t="inlineStr">
        <is>
          <t>Technology</t>
        </is>
      </c>
      <c r="AO212" s="53" t="inlineStr">
        <is>
          <t>Business Analysis</t>
        </is>
      </c>
      <c r="AP212" s="53" t="inlineStr">
        <is>
          <t>No</t>
        </is>
      </c>
      <c r="AQ212" s="53" t="inlineStr">
        <is>
          <t>Product/Project</t>
        </is>
      </c>
      <c r="AR212" s="53" t="inlineStr">
        <is>
          <t>Business Analysis</t>
        </is>
      </c>
      <c r="AS212" s="53" t="inlineStr">
        <is>
          <t>Technical · BA, PM and QA</t>
        </is>
      </c>
      <c r="AT212" s="53" t="n">
        <v>20</v>
      </c>
      <c r="AU212" s="53" t="inlineStr">
        <is>
          <t>Covered</t>
        </is>
      </c>
      <c r="AV212" s="53" t="n"/>
      <c r="AW212" s="53" t="n"/>
      <c r="AX212" s="53" t="n"/>
      <c r="AY212" s="53" t="n"/>
      <c r="AZ212" s="53" t="n"/>
      <c r="BA212" s="53" t="n"/>
      <c r="BB212" s="53" t="n"/>
      <c r="BC212" s="53" t="n"/>
      <c r="BD212" s="53" t="n"/>
      <c r="BE212" s="53" t="n"/>
      <c r="BF212" s="53" t="n"/>
      <c r="BG212" s="53" t="n"/>
      <c r="BH212" s="53" t="n"/>
      <c r="BI212" s="53" t="n"/>
      <c r="BJ212" s="53" t="n"/>
      <c r="BK212" s="53" t="n"/>
      <c r="BL212" s="53" t="n"/>
      <c r="BM212" s="53" t="n"/>
      <c r="BN212" s="53" t="n"/>
      <c r="BO212" s="53" t="n"/>
      <c r="BP212" s="53" t="n"/>
      <c r="BQ212" s="53" t="n"/>
      <c r="BR212" s="53" t="n"/>
      <c r="BS212" s="53" t="n"/>
      <c r="BT212" s="53" t="n"/>
      <c r="BU212" s="53" t="n"/>
      <c r="BV212" s="53" t="n"/>
      <c r="BW212" s="53" t="n"/>
      <c r="BX212" s="53" t="n"/>
      <c r="BY212" s="53" t="n"/>
      <c r="BZ212" s="53" t="n"/>
      <c r="CA212" s="53" t="n"/>
      <c r="CB212" s="53" t="n"/>
      <c r="CC212" s="53" t="n"/>
      <c r="CD212" s="53" t="n"/>
      <c r="CE212" s="53" t="n"/>
      <c r="CF212" s="53" t="n"/>
      <c r="CG212" s="53" t="n"/>
      <c r="CH212" s="53" t="n"/>
      <c r="CI212" s="53" t="n"/>
      <c r="CJ212" s="53" t="n"/>
      <c r="CK212" s="53" t="n"/>
      <c r="CL212" s="53" t="n"/>
      <c r="CM212" s="53" t="n"/>
      <c r="CN212" s="53" t="n"/>
      <c r="CO212" s="53" t="n"/>
      <c r="CP212" s="53" t="n"/>
      <c r="CQ212" s="53" t="n"/>
      <c r="CR212" s="53" t="n"/>
      <c r="CS212" s="53" t="n"/>
      <c r="CT212" s="53" t="n"/>
      <c r="CU212" s="53" t="n"/>
      <c r="CV212" s="53" t="n"/>
      <c r="CW212" s="53" t="n"/>
      <c r="CX212" s="53" t="n"/>
      <c r="CY212" s="53" t="n"/>
      <c r="CZ212" s="53" t="n"/>
      <c r="DA212" s="53" t="n"/>
      <c r="DB212" s="53" t="n"/>
      <c r="DC212" s="53" t="n"/>
      <c r="DD212" s="53" t="inlineStr">
        <is>
          <t>IRIS2125</t>
        </is>
      </c>
      <c r="DE212" s="53" t="inlineStr">
        <is>
          <t>Employee</t>
        </is>
      </c>
      <c r="DF212" s="53" t="inlineStr">
        <is>
          <t>Active</t>
        </is>
      </c>
      <c r="DG212" s="53" t="inlineStr">
        <is>
          <t>Phuzel Siddiqui</t>
        </is>
      </c>
      <c r="DH212" s="54" t="n">
        <v>45048</v>
      </c>
      <c r="DI212" s="53" t="inlineStr">
        <is>
          <t>Business Analyst</t>
        </is>
      </c>
      <c r="DJ212" s="53" t="inlineStr">
        <is>
          <t>Business Analysis</t>
        </is>
      </c>
      <c r="DK212" s="53" t="inlineStr">
        <is>
          <t>Business / Functional Analysis</t>
        </is>
      </c>
      <c r="DL212" s="53" t="inlineStr">
        <is>
          <t>Business Analyst</t>
        </is>
      </c>
      <c r="DM212" s="53" t="inlineStr">
        <is>
          <t>L3 – Professional / Associate</t>
        </is>
      </c>
      <c r="DN212" s="53" t="inlineStr">
        <is>
          <t>B.E</t>
        </is>
      </c>
      <c r="DO212" s="53" t="inlineStr">
        <is>
          <t>Dnyaneshwar Daund</t>
        </is>
      </c>
      <c r="DP212" s="53" t="inlineStr">
        <is>
          <t>N-4</t>
        </is>
      </c>
      <c r="DQ212" s="53" t="inlineStr">
        <is>
          <t>Individual Contributor</t>
        </is>
      </c>
      <c r="DR212" s="53" t="inlineStr">
        <is>
          <t>6 years, 5 months, 0 days</t>
        </is>
      </c>
      <c r="DS212" s="53" t="inlineStr">
        <is>
          <t>3 years, 1 months, 18 days</t>
        </is>
      </c>
      <c r="DT212" s="53" t="inlineStr">
        <is>
          <t>9 years, 6 months, 18 days</t>
        </is>
      </c>
      <c r="DU212" s="53" t="n"/>
      <c r="DV212" s="53" t="inlineStr">
        <is>
          <t>Regtech</t>
        </is>
      </c>
      <c r="DW212" s="53" t="inlineStr">
        <is>
          <t>iDEAL</t>
        </is>
      </c>
      <c r="DX212" s="53" t="inlineStr">
        <is>
          <t>Technology</t>
        </is>
      </c>
      <c r="DY212" s="53" t="inlineStr">
        <is>
          <t>Business Analysis</t>
        </is>
      </c>
      <c r="DZ212" s="53" t="inlineStr">
        <is>
          <t>No</t>
        </is>
      </c>
      <c r="EA212" s="53" t="inlineStr">
        <is>
          <t>Product/Project</t>
        </is>
      </c>
      <c r="EB212" s="53" t="inlineStr">
        <is>
          <t>Business Analysis</t>
        </is>
      </c>
      <c r="EC212" s="53" t="inlineStr">
        <is>
          <t>Technical · BA, PM and QA</t>
        </is>
      </c>
      <c r="ED212" s="53" t="inlineStr">
        <is>
          <t>Remote - Mumbai</t>
        </is>
      </c>
      <c r="EE212" s="53"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EF212" s="53"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2" s="53"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EH212" s="53" t="n">
        <v>3</v>
      </c>
      <c r="EI212" s="54" t="n">
        <v>45931</v>
      </c>
      <c r="EJ212" s="53" t="inlineStr">
        <is>
          <t>Same as current designation</t>
        </is>
      </c>
      <c r="EK212" s="53" t="inlineStr">
        <is>
          <t>No</t>
        </is>
      </c>
      <c r="EL212" s="53" t="n">
        <v>3</v>
      </c>
      <c r="EM212" s="53" t="inlineStr">
        <is>
          <t>Medium</t>
        </is>
      </c>
      <c r="EN212" s="53" t="inlineStr">
        <is>
          <t>Emerging Talent</t>
        </is>
      </c>
      <c r="EO212" s="53" t="inlineStr">
        <is>
          <t>Ready in 12 Months</t>
        </is>
      </c>
      <c r="EP212" s="53" t="inlineStr">
        <is>
          <t>No</t>
        </is>
      </c>
      <c r="EQ212" s="53" t="inlineStr">
        <is>
          <t>Yes</t>
        </is>
      </c>
      <c r="ER212" s="53" t="n"/>
      <c r="ES212" s="53" t="inlineStr">
        <is>
          <t>Training on the effective utilization of AI tools.</t>
        </is>
      </c>
      <c r="ET212" s="53" t="n"/>
      <c r="EU212" s="53" t="n"/>
      <c r="EV212" s="53" t="n"/>
      <c r="EW212" s="52" t="n"/>
      <c r="EX212" s="53" t="n"/>
      <c r="EY212" s="53" t="n"/>
      <c r="EZ212" s="53" t="n"/>
      <c r="FA212" s="53" t="n"/>
      <c r="FB212" s="53" t="n"/>
      <c r="FC212" s="53" t="n"/>
      <c r="FD212" s="53" t="n"/>
      <c r="FE212" s="57"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2" s="56"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FG212" s="56"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FH212" s="56" t="inlineStr">
        <is>
          <t>3</t>
        </is>
      </c>
      <c r="FI212" s="56" t="n"/>
      <c r="FJ212" s="56" t="inlineStr">
        <is>
          <t>Received · manager annual, quarterly, self</t>
        </is>
      </c>
      <c r="FK212" s="56" t="inlineStr">
        <is>
          <t>Talent Mapping · iDEAL</t>
        </is>
      </c>
      <c r="FL212" s="56" t="n">
        <v>18</v>
      </c>
      <c r="FM212" s="32" t="inlineStr">
        <is>
          <t>Full survey answers not in the files received · How We Grow export needed · HR</t>
        </is>
      </c>
      <c r="FN212" s="56" t="inlineStr">
        <is>
          <t>—</t>
        </is>
      </c>
      <c r="FO212" s="56" t="inlineStr">
        <is>
          <t>—</t>
        </is>
      </c>
      <c r="FP212" s="56" t="inlineStr">
        <is>
          <t>—</t>
        </is>
      </c>
      <c r="FQ212" s="56" t="inlineStr">
        <is>
          <t>—</t>
        </is>
      </c>
      <c r="FR212" s="56"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reads like B1: Accountable for 'the account assigned to me'; wrong report deployment hits bank's regulatory submission → moved up 0.5
Leadership: Evidence reads like A3: 1 direct report in HR data; coordinates ETL team; no mentoring described in text → moved down 0.5
Business Impact: Moved +0.5: the survey / manager mapping marks it business-critical.</t>
        </is>
      </c>
      <c r="FS212"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12" s="56" t="inlineStr">
        <is>
          <t>Self-identified: Project / programme management
For the next role: Project / programme management</t>
        </is>
      </c>
      <c r="FU212" s="32" t="inlineStr">
        <is>
          <t>Full survey answers not in the files received · How We Grow export needed · HR</t>
        </is>
      </c>
    </row>
    <row r="213" ht="90" customHeight="1">
      <c r="A213" s="51" t="inlineStr">
        <is>
          <t>◂ Back</t>
        </is>
      </c>
      <c r="B213" s="29" t="inlineStr">
        <is>
          <t>Mapped</t>
        </is>
      </c>
      <c r="C213" s="28" t="inlineStr">
        <is>
          <t>iDEAL</t>
        </is>
      </c>
      <c r="D213" s="29" t="inlineStr">
        <is>
          <t>IRIS2552</t>
        </is>
      </c>
      <c r="E213" s="29" t="inlineStr">
        <is>
          <t>Shreekanth Samala</t>
        </is>
      </c>
      <c r="F213" s="29" t="inlineStr">
        <is>
          <t>Technology</t>
        </is>
      </c>
      <c r="G213" s="29" t="inlineStr">
        <is>
          <t>Technical Support Analyst</t>
        </is>
      </c>
      <c r="H213" s="29" t="inlineStr">
        <is>
          <t>Support Specialist</t>
        </is>
      </c>
      <c r="I213" s="29" t="inlineStr">
        <is>
          <t>Not in current mapping files</t>
        </is>
      </c>
      <c r="J213" s="29" t="inlineStr">
        <is>
          <t>A3</t>
        </is>
      </c>
      <c r="K213" s="29" t="inlineStr">
        <is>
          <t>● Newly mapped</t>
        </is>
      </c>
      <c r="L213" s="29" t="inlineStr">
        <is>
          <t>Customer Success &amp; Support</t>
        </is>
      </c>
      <c r="M213" s="29" t="inlineStr">
        <is>
          <t>Application &amp; Product Support</t>
        </is>
      </c>
      <c r="N213" s="29" t="n"/>
      <c r="O213" s="29" t="n">
        <v>20</v>
      </c>
      <c r="P213" s="28" t="inlineStr">
        <is>
          <t>P2</t>
        </is>
      </c>
      <c r="Q213" s="29" t="inlineStr">
        <is>
          <t>Developing</t>
        </is>
      </c>
      <c r="R213" s="29" t="inlineStr">
        <is>
          <t>3 Apply</t>
        </is>
      </c>
      <c r="S213" s="29" t="inlineStr">
        <is>
          <t>2–4 yrs</t>
        </is>
      </c>
      <c r="T213" s="29" t="inlineStr">
        <is>
          <t>3–5 · 2–5</t>
        </is>
      </c>
      <c r="U213" s="29" t="inlineStr">
        <is>
          <t>Senior Executive / CSM</t>
        </is>
      </c>
      <c r="V213" s="29" t="inlineStr">
        <is>
          <t>IRIS Vs Competitor Benchmark — SaaS customer-success ladder: Associate CSM · Regnology: Product Support Specialist · Reg Reporting · IRIS Vs Competitor Benchmark — support tiers: L2 Application Support</t>
        </is>
      </c>
      <c r="W213" s="29" t="inlineStr">
        <is>
          <t>TSIA frameworks and benchmarks; ITIL 4 service desk; Gainsight customer-success practice</t>
        </is>
      </c>
      <c r="X213" s="29" t="inlineStr">
        <is>
          <t>Core 2 · Future 2 · Functional 3 · Leadership not scored</t>
        </is>
      </c>
      <c r="Y213" s="52" t="n">
        <v>525</v>
      </c>
      <c r="Z213" s="53" t="inlineStr">
        <is>
          <t>IRIS2552</t>
        </is>
      </c>
      <c r="AA213" s="53" t="inlineStr">
        <is>
          <t>Employee</t>
        </is>
      </c>
      <c r="AB213" s="53" t="inlineStr">
        <is>
          <t>Active</t>
        </is>
      </c>
      <c r="AC213" s="53" t="inlineStr">
        <is>
          <t>Shreekanth Samala</t>
        </is>
      </c>
      <c r="AD213" s="54" t="n">
        <v>46244</v>
      </c>
      <c r="AE213" s="53" t="inlineStr">
        <is>
          <t>Technical Support Analyst</t>
        </is>
      </c>
      <c r="AF213" s="53" t="inlineStr">
        <is>
          <t>MBA</t>
        </is>
      </c>
      <c r="AG213" s="53" t="inlineStr">
        <is>
          <t>Phuzel Siddiqui</t>
        </is>
      </c>
      <c r="AH213" s="53" t="inlineStr">
        <is>
          <t>N-5</t>
        </is>
      </c>
      <c r="AI213" s="53" t="inlineStr">
        <is>
          <t>Individual Contributor</t>
        </is>
      </c>
      <c r="AJ213" s="53" t="inlineStr">
        <is>
          <t>13 years, 4 months, 0 days</t>
        </is>
      </c>
      <c r="AK213" s="53" t="inlineStr">
        <is>
          <t>0 years, 0 months, 15 days</t>
        </is>
      </c>
      <c r="AL213" s="53" t="inlineStr">
        <is>
          <t>Regtech</t>
        </is>
      </c>
      <c r="AM213" s="53" t="inlineStr">
        <is>
          <t>iDEAL</t>
        </is>
      </c>
      <c r="AN213" s="53" t="inlineStr">
        <is>
          <t>Technology</t>
        </is>
      </c>
      <c r="AO213" s="53" t="inlineStr">
        <is>
          <t>Development</t>
        </is>
      </c>
      <c r="AP213" s="53" t="inlineStr">
        <is>
          <t>Yes</t>
        </is>
      </c>
      <c r="AQ213" s="53" t="inlineStr">
        <is>
          <t>Product/Project</t>
        </is>
      </c>
      <c r="AR213" s="53" t="inlineStr">
        <is>
          <t>Business Analysis</t>
        </is>
      </c>
      <c r="AS213" s="53" t="inlineStr">
        <is>
          <t>Technical · BA, PM and QA</t>
        </is>
      </c>
      <c r="AT213" s="53" t="n">
        <v>20</v>
      </c>
      <c r="AU213" s="53" t="inlineStr">
        <is>
          <t>Covered</t>
        </is>
      </c>
      <c r="AV213" s="53" t="n"/>
      <c r="AW213" s="53" t="n"/>
      <c r="AX213" s="53" t="n"/>
      <c r="AY213" s="53" t="n"/>
      <c r="AZ213" s="53" t="n"/>
      <c r="BA213" s="53" t="n"/>
      <c r="BB213" s="53" t="n"/>
      <c r="BC213" s="53" t="n"/>
      <c r="BD213" s="53" t="n"/>
      <c r="BE213" s="53" t="n"/>
      <c r="BF213" s="53" t="n"/>
      <c r="BG213" s="53" t="n"/>
      <c r="BH213" s="53" t="n"/>
      <c r="BI213" s="53" t="n"/>
      <c r="BJ213" s="53" t="n"/>
      <c r="BK213" s="53" t="n"/>
      <c r="BL213" s="53" t="n"/>
      <c r="BM213" s="53" t="n"/>
      <c r="BN213" s="53" t="n"/>
      <c r="BO213" s="53" t="n"/>
      <c r="BP213" s="53" t="n"/>
      <c r="BQ213" s="53" t="n"/>
      <c r="BR213" s="53" t="n"/>
      <c r="BS213" s="53" t="n"/>
      <c r="BT213" s="53" t="n"/>
      <c r="BU213" s="53" t="n"/>
      <c r="BV213" s="53" t="n"/>
      <c r="BW213" s="53" t="n"/>
      <c r="BX213" s="53" t="n"/>
      <c r="BY213" s="53" t="n"/>
      <c r="BZ213" s="53" t="n"/>
      <c r="CA213" s="53" t="n"/>
      <c r="CB213" s="53" t="n"/>
      <c r="CC213" s="53" t="n"/>
      <c r="CD213" s="53" t="n"/>
      <c r="CE213" s="53" t="n"/>
      <c r="CF213" s="53" t="n"/>
      <c r="CG213" s="53" t="n"/>
      <c r="CH213" s="53" t="n"/>
      <c r="CI213" s="53" t="n"/>
      <c r="CJ213" s="53" t="n"/>
      <c r="CK213" s="53" t="n"/>
      <c r="CL213" s="53" t="n"/>
      <c r="CM213" s="53" t="n"/>
      <c r="CN213" s="53" t="n"/>
      <c r="CO213" s="53" t="n"/>
      <c r="CP213" s="53" t="n"/>
      <c r="CQ213" s="53" t="n"/>
      <c r="CR213" s="53" t="n"/>
      <c r="CS213" s="53" t="n"/>
      <c r="CT213" s="53" t="n"/>
      <c r="CU213" s="53" t="n"/>
      <c r="CV213" s="53" t="n"/>
      <c r="CW213" s="53" t="n"/>
      <c r="CX213" s="53" t="n"/>
      <c r="CY213" s="53" t="n"/>
      <c r="CZ213" s="53" t="n"/>
      <c r="DA213" s="53" t="n"/>
      <c r="DB213" s="53" t="n"/>
      <c r="DC213" s="53" t="n"/>
      <c r="DD213" s="53" t="n"/>
      <c r="DE213" s="53" t="n"/>
      <c r="DF213" s="53" t="n"/>
      <c r="DG213" s="53" t="n"/>
      <c r="DH213" s="53" t="n"/>
      <c r="DI213" s="53" t="n"/>
      <c r="DJ213" s="53" t="n"/>
      <c r="DK213" s="53" t="n"/>
      <c r="DL213" s="53" t="n"/>
      <c r="DM213" s="53" t="n"/>
      <c r="DN213" s="53" t="n"/>
      <c r="DO213" s="53" t="n"/>
      <c r="DP213" s="53" t="n"/>
      <c r="DQ213" s="53" t="n"/>
      <c r="DR213" s="53" t="n"/>
      <c r="DS213" s="53" t="n"/>
      <c r="DT213" s="53" t="n"/>
      <c r="DU213" s="53" t="n"/>
      <c r="DV213" s="53" t="n"/>
      <c r="DW213" s="53" t="n"/>
      <c r="DX213" s="53" t="n"/>
      <c r="DY213" s="53" t="n"/>
      <c r="DZ213" s="53" t="n"/>
      <c r="EA213" s="53" t="n"/>
      <c r="EB213" s="53" t="n"/>
      <c r="EC213" s="53" t="n"/>
      <c r="ED213" s="53" t="n"/>
      <c r="EE213" s="53" t="n"/>
      <c r="EF213" s="53" t="n"/>
      <c r="EG213" s="53" t="n"/>
      <c r="EH213" s="53" t="n"/>
      <c r="EI213" s="53" t="n"/>
      <c r="EJ213" s="53" t="n"/>
      <c r="EK213" s="53" t="n"/>
      <c r="EL213" s="53" t="n"/>
      <c r="EM213" s="53" t="n"/>
      <c r="EN213" s="53" t="n"/>
      <c r="EO213" s="53" t="n"/>
      <c r="EP213" s="53" t="n"/>
      <c r="EQ213" s="53" t="n"/>
      <c r="ER213" s="53" t="n"/>
      <c r="ES213" s="53" t="n"/>
      <c r="ET213" s="53" t="n"/>
      <c r="EU213" s="53" t="n"/>
      <c r="EV213" s="53" t="n"/>
      <c r="EW213" s="52" t="n"/>
      <c r="EX213" s="53" t="n"/>
      <c r="EY213" s="53" t="n"/>
      <c r="EZ213" s="53" t="n"/>
      <c r="FA213" s="53" t="n"/>
      <c r="FB213" s="53" t="n"/>
      <c r="FC213" s="53" t="n"/>
      <c r="FD213" s="53" t="n"/>
      <c r="FE213" s="55" t="inlineStr">
        <is>
          <t>KRAs not received · manager to supply</t>
        </is>
      </c>
      <c r="FF213" s="56" t="n"/>
      <c r="FG213" s="56" t="n"/>
      <c r="FH213" s="56" t="n"/>
      <c r="FI213" s="56" t="n"/>
      <c r="FJ213" s="32" t="inlineStr">
        <is>
          <t>KRAs not received · manager to supply</t>
        </is>
      </c>
      <c r="FK213" s="56" t="n"/>
      <c r="FL213" s="56" t="n">
        <v>20</v>
      </c>
      <c r="FM213" s="32" t="inlineStr">
        <is>
          <t>Full survey answers not in the files received · How We Grow export needed · HR</t>
        </is>
      </c>
      <c r="FN213" s="56" t="inlineStr">
        <is>
          <t>—</t>
        </is>
      </c>
      <c r="FO213" s="56" t="inlineStr">
        <is>
          <t>—</t>
        </is>
      </c>
      <c r="FP213" s="56" t="inlineStr">
        <is>
          <t>—</t>
        </is>
      </c>
      <c r="FQ213" s="56" t="inlineStr">
        <is>
          <t>—</t>
        </is>
      </c>
      <c r="FR21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13"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213" s="56" t="inlineStr">
        <is>
          <t>Self-identified: Product &amp; tool knowledge · Client, sales &amp; stakeholders · Strategy &amp; business acumen · Broader exposure &amp; ownership
For the next role: Product &amp; tool knowledge · Client, sales &amp; stakeholders · Strategy &amp; business acumen · Broader exposure &amp; ownership</t>
        </is>
      </c>
      <c r="FU213" s="32" t="inlineStr">
        <is>
          <t>Full survey answers not in the files received · How We Grow export needed · HR</t>
        </is>
      </c>
    </row>
    <row r="214" ht="90" customHeight="1">
      <c r="A214" s="51" t="inlineStr">
        <is>
          <t>◂ Back</t>
        </is>
      </c>
      <c r="B214" s="29" t="inlineStr">
        <is>
          <t>Mapped</t>
        </is>
      </c>
      <c r="C214" s="28" t="inlineStr">
        <is>
          <t>iDEAL</t>
        </is>
      </c>
      <c r="D214" s="29" t="inlineStr">
        <is>
          <t>IRIS0417</t>
        </is>
      </c>
      <c r="E214" s="29" t="inlineStr">
        <is>
          <t>Vishal Pingle</t>
        </is>
      </c>
      <c r="F214" s="29" t="inlineStr">
        <is>
          <t>Technology</t>
        </is>
      </c>
      <c r="G214" s="29" t="inlineStr">
        <is>
          <t>Senior Business Analyst</t>
        </is>
      </c>
      <c r="H214" s="29" t="inlineStr">
        <is>
          <t>Senior Business Analysis Specialist</t>
        </is>
      </c>
      <c r="I214" s="29" t="inlineStr">
        <is>
          <t>L4 – Senior</t>
        </is>
      </c>
      <c r="J214" s="29" t="inlineStr">
        <is>
          <t>B1</t>
        </is>
      </c>
      <c r="K214" s="29" t="inlineStr">
        <is>
          <t>▲ Up</t>
        </is>
      </c>
      <c r="L214" s="29" t="inlineStr">
        <is>
          <t>Business Analysis</t>
        </is>
      </c>
      <c r="M214" s="29" t="inlineStr">
        <is>
          <t>Business Analysis</t>
        </is>
      </c>
      <c r="N214" s="29" t="n"/>
      <c r="O214" s="29" t="n">
        <v>20</v>
      </c>
      <c r="P214" s="28" t="inlineStr">
        <is>
          <t>P3 / M2</t>
        </is>
      </c>
      <c r="Q214" s="29" t="inlineStr">
        <is>
          <t>Career / · Team Lead</t>
        </is>
      </c>
      <c r="R214" s="29" t="inlineStr">
        <is>
          <t>4 Enable</t>
        </is>
      </c>
      <c r="S214" s="29" t="inlineStr">
        <is>
          <t>4–7 yrs</t>
        </is>
      </c>
      <c r="T214" s="29" t="inlineStr">
        <is>
          <t>5–8 · 4–8</t>
        </is>
      </c>
      <c r="U214" s="29" t="inlineStr">
        <is>
          <t>Lead Business Analyst</t>
        </is>
      </c>
      <c r="V214" s="29" t="inlineStr">
        <is>
          <t>Regnology — regulatory reporting: BA · Reg Reporting · Big Four consulting: Senior Consultant · IRIS Vs Market Benchmark — IIBA certification pathway: CCBA · Infosys / Accenture: JL4 · L9 Consultant</t>
        </is>
      </c>
      <c r="W214" s="29" t="inlineStr">
        <is>
          <t>IIBA BABOK v3; certifications ECBA · entry → CCBA → CBAP · senior</t>
        </is>
      </c>
      <c r="X214" s="29" t="inlineStr">
        <is>
          <t>Core 3 · Future 3 · Functional 3 · Leadership 1</t>
        </is>
      </c>
      <c r="Y214" s="52" t="n">
        <v>61</v>
      </c>
      <c r="Z214" s="53" t="inlineStr">
        <is>
          <t>IRIS0417</t>
        </is>
      </c>
      <c r="AA214" s="53" t="inlineStr">
        <is>
          <t>Employee</t>
        </is>
      </c>
      <c r="AB214" s="53" t="inlineStr">
        <is>
          <t>Active</t>
        </is>
      </c>
      <c r="AC214" s="53" t="inlineStr">
        <is>
          <t>Vishal Pingle</t>
        </is>
      </c>
      <c r="AD214" s="54" t="n">
        <v>40448</v>
      </c>
      <c r="AE214" s="53" t="inlineStr">
        <is>
          <t>Senior Business Analyst</t>
        </is>
      </c>
      <c r="AF214" s="53" t="inlineStr">
        <is>
          <t>B.Com</t>
        </is>
      </c>
      <c r="AG214" s="53" t="inlineStr">
        <is>
          <t>Dnyaneshwar Daund</t>
        </is>
      </c>
      <c r="AH214" s="53" t="inlineStr">
        <is>
          <t>N-4</t>
        </is>
      </c>
      <c r="AI214" s="53" t="inlineStr">
        <is>
          <t>Individual Contributor</t>
        </is>
      </c>
      <c r="AJ214" s="53" t="inlineStr">
        <is>
          <t>0 years, 6 months, 0 days</t>
        </is>
      </c>
      <c r="AK214" s="53" t="inlineStr">
        <is>
          <t>15 years, 10 months, 29 days</t>
        </is>
      </c>
      <c r="AL214" s="53" t="inlineStr">
        <is>
          <t>Regtech</t>
        </is>
      </c>
      <c r="AM214" s="53" t="inlineStr">
        <is>
          <t>iDEAL</t>
        </is>
      </c>
      <c r="AN214" s="53" t="inlineStr">
        <is>
          <t>Technology</t>
        </is>
      </c>
      <c r="AO214" s="53" t="inlineStr">
        <is>
          <t>Business Analysis</t>
        </is>
      </c>
      <c r="AP214" s="53" t="inlineStr">
        <is>
          <t>No</t>
        </is>
      </c>
      <c r="AQ214" s="53" t="inlineStr">
        <is>
          <t>Product/Project</t>
        </is>
      </c>
      <c r="AR214" s="53" t="inlineStr">
        <is>
          <t>Business Analysis</t>
        </is>
      </c>
      <c r="AS214" s="53" t="inlineStr">
        <is>
          <t>Technical · BA, PM and QA</t>
        </is>
      </c>
      <c r="AT214" s="53" t="n">
        <v>20</v>
      </c>
      <c r="AU214" s="53" t="inlineStr">
        <is>
          <t>Covered</t>
        </is>
      </c>
      <c r="AV214" s="53" t="n"/>
      <c r="AW214" s="53" t="n"/>
      <c r="AX214" s="53" t="n"/>
      <c r="AY214" s="53" t="n"/>
      <c r="AZ214" s="53" t="n"/>
      <c r="BA214" s="53" t="n"/>
      <c r="BB214" s="53" t="n"/>
      <c r="BC214" s="53" t="n"/>
      <c r="BD214" s="53" t="n"/>
      <c r="BE214" s="53" t="n"/>
      <c r="BF214" s="53" t="n"/>
      <c r="BG214" s="53" t="n"/>
      <c r="BH214" s="53" t="n"/>
      <c r="BI214" s="53" t="n"/>
      <c r="BJ214" s="53" t="n"/>
      <c r="BK214" s="53" t="n"/>
      <c r="BL214" s="53" t="n"/>
      <c r="BM214" s="53" t="n"/>
      <c r="BN214" s="53" t="n"/>
      <c r="BO214" s="53" t="n"/>
      <c r="BP214" s="53" t="n"/>
      <c r="BQ214" s="53" t="n"/>
      <c r="BR214" s="53" t="n"/>
      <c r="BS214" s="53" t="n"/>
      <c r="BT214" s="53" t="n"/>
      <c r="BU214" s="53" t="n"/>
      <c r="BV214" s="53" t="n"/>
      <c r="BW214" s="53" t="n"/>
      <c r="BX214" s="53" t="n"/>
      <c r="BY214" s="53" t="n"/>
      <c r="BZ214" s="53" t="n"/>
      <c r="CA214" s="53" t="n"/>
      <c r="CB214" s="53" t="n"/>
      <c r="CC214" s="53" t="n"/>
      <c r="CD214" s="53" t="n"/>
      <c r="CE214" s="53" t="n"/>
      <c r="CF214" s="53" t="n"/>
      <c r="CG214" s="53" t="n"/>
      <c r="CH214" s="53" t="n"/>
      <c r="CI214" s="53" t="n"/>
      <c r="CJ214" s="53" t="n"/>
      <c r="CK214" s="53" t="n"/>
      <c r="CL214" s="53" t="n"/>
      <c r="CM214" s="53" t="n"/>
      <c r="CN214" s="53" t="n"/>
      <c r="CO214" s="53" t="n"/>
      <c r="CP214" s="53" t="n"/>
      <c r="CQ214" s="53" t="n"/>
      <c r="CR214" s="53" t="n"/>
      <c r="CS214" s="53" t="n"/>
      <c r="CT214" s="53" t="n"/>
      <c r="CU214" s="53" t="n"/>
      <c r="CV214" s="53" t="n"/>
      <c r="CW214" s="53" t="n"/>
      <c r="CX214" s="53" t="n"/>
      <c r="CY214" s="53" t="n"/>
      <c r="CZ214" s="53" t="n"/>
      <c r="DA214" s="53" t="n"/>
      <c r="DB214" s="53" t="n"/>
      <c r="DC214" s="53" t="n"/>
      <c r="DD214" s="53" t="inlineStr">
        <is>
          <t>IRIS0417</t>
        </is>
      </c>
      <c r="DE214" s="53" t="inlineStr">
        <is>
          <t>Employee</t>
        </is>
      </c>
      <c r="DF214" s="53" t="inlineStr">
        <is>
          <t>Active</t>
        </is>
      </c>
      <c r="DG214" s="53" t="inlineStr">
        <is>
          <t>Vishal Pingle</t>
        </is>
      </c>
      <c r="DH214" s="54" t="n">
        <v>40448</v>
      </c>
      <c r="DI214" s="53" t="inlineStr">
        <is>
          <t>Senior Business Analyst</t>
        </is>
      </c>
      <c r="DJ214" s="53" t="inlineStr">
        <is>
          <t>Business Analysis</t>
        </is>
      </c>
      <c r="DK214" s="53" t="inlineStr">
        <is>
          <t>Business / Functional Analysis</t>
        </is>
      </c>
      <c r="DL214" s="53" t="inlineStr">
        <is>
          <t>Senior Business Analyst</t>
        </is>
      </c>
      <c r="DM214" s="53" t="inlineStr">
        <is>
          <t>L4 – Senior</t>
        </is>
      </c>
      <c r="DN214" s="53" t="inlineStr">
        <is>
          <t>B.Com</t>
        </is>
      </c>
      <c r="DO214" s="53" t="inlineStr">
        <is>
          <t>Dnyaneshwar Daund</t>
        </is>
      </c>
      <c r="DP214" s="53" t="inlineStr">
        <is>
          <t>N-4</t>
        </is>
      </c>
      <c r="DQ214" s="53" t="inlineStr">
        <is>
          <t>Individual Contributor</t>
        </is>
      </c>
      <c r="DR214" s="53" t="inlineStr">
        <is>
          <t>0 years, 6 months, 0 days</t>
        </is>
      </c>
      <c r="DS214" s="53" t="inlineStr">
        <is>
          <t>15 years, 8 months, 24 days</t>
        </is>
      </c>
      <c r="DT214" s="53" t="inlineStr">
        <is>
          <t>16 years, 2 months, 24 days</t>
        </is>
      </c>
      <c r="DU214" s="53" t="n"/>
      <c r="DV214" s="53" t="inlineStr">
        <is>
          <t>Regtech</t>
        </is>
      </c>
      <c r="DW214" s="53" t="inlineStr">
        <is>
          <t>iDEAL</t>
        </is>
      </c>
      <c r="DX214" s="53" t="inlineStr">
        <is>
          <t>Technology</t>
        </is>
      </c>
      <c r="DY214" s="53" t="inlineStr">
        <is>
          <t>Business Analysis</t>
        </is>
      </c>
      <c r="DZ214" s="53" t="inlineStr">
        <is>
          <t>No</t>
        </is>
      </c>
      <c r="EA214" s="53" t="inlineStr">
        <is>
          <t>Product/Project</t>
        </is>
      </c>
      <c r="EB214" s="53" t="inlineStr">
        <is>
          <t>Business Analysis</t>
        </is>
      </c>
      <c r="EC214" s="53" t="inlineStr">
        <is>
          <t>Technical · BA, PM and QA</t>
        </is>
      </c>
      <c r="ED214" s="53" t="inlineStr">
        <is>
          <t>Remote - Mumbai</t>
        </is>
      </c>
      <c r="EE214" s="53"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EF214" s="53"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4" s="53"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EH214" s="53" t="n">
        <v>3</v>
      </c>
      <c r="EI214" s="54" t="n">
        <v>45931</v>
      </c>
      <c r="EJ214" s="53" t="inlineStr">
        <is>
          <t>Same as current designation</t>
        </is>
      </c>
      <c r="EK214" s="53" t="inlineStr">
        <is>
          <t>No</t>
        </is>
      </c>
      <c r="EL214" s="53" t="n">
        <v>3</v>
      </c>
      <c r="EM214" s="53" t="inlineStr">
        <is>
          <t>Medium</t>
        </is>
      </c>
      <c r="EN214" s="53" t="inlineStr">
        <is>
          <t>Trusted Professional</t>
        </is>
      </c>
      <c r="EO214" s="53" t="inlineStr">
        <is>
          <t>Not Ready</t>
        </is>
      </c>
      <c r="EP214" s="53" t="inlineStr">
        <is>
          <t>No</t>
        </is>
      </c>
      <c r="EQ214" s="53" t="inlineStr">
        <is>
          <t>Yes</t>
        </is>
      </c>
      <c r="ER214" s="53" t="n"/>
      <c r="ES214" s="53" t="inlineStr">
        <is>
          <t>Training on the effective utilization of AI tools.</t>
        </is>
      </c>
      <c r="ET214" s="53" t="n"/>
      <c r="EU214" s="53" t="n"/>
      <c r="EV214" s="53" t="n"/>
      <c r="EW214" s="52" t="n"/>
      <c r="EX214" s="53" t="n"/>
      <c r="EY214" s="53" t="n"/>
      <c r="EZ214" s="53" t="n"/>
      <c r="FA214" s="53" t="n"/>
      <c r="FB214" s="53" t="n"/>
      <c r="FC214" s="53" t="inlineStr">
        <is>
          <t>Annual KRAs · objective Measurable Minimum 5 - Self</t>
        </is>
      </c>
      <c r="FD214" s="53" t="n"/>
      <c r="FE214" s="57"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4" s="56"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FG214" s="56"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FH214" s="56" t="inlineStr">
        <is>
          <t>3</t>
        </is>
      </c>
      <c r="FI214" s="56" t="n"/>
      <c r="FJ214" s="56" t="inlineStr">
        <is>
          <t>Received · manager annual, quarterly, self</t>
        </is>
      </c>
      <c r="FK214" s="56" t="inlineStr">
        <is>
          <t>Talent Mapping · iDEAL</t>
        </is>
      </c>
      <c r="FL214" s="56" t="n">
        <v>20</v>
      </c>
      <c r="FM214" s="32" t="inlineStr">
        <is>
          <t>Full survey answers not in the files received · How We Grow export needed · HR</t>
        </is>
      </c>
      <c r="FN214" s="56" t="inlineStr">
        <is>
          <t>—</t>
        </is>
      </c>
      <c r="FO214" s="56" t="inlineStr">
        <is>
          <t>—</t>
        </is>
      </c>
      <c r="FP214" s="56" t="inlineStr">
        <is>
          <t>—</t>
        </is>
      </c>
      <c r="FQ214" s="56" t="inlineStr">
        <is>
          <t>—</t>
        </is>
      </c>
      <c r="FR214" s="56"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end to end; timely, accurate return and taxonomy deliveries → matches the start
Leadership: Evidence reads like A1: None described → moved down 1
Business Impact: Moved +0.5: the survey / manager mapping marks it business-critical.</t>
        </is>
      </c>
      <c r="FS214"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14" s="56" t="inlineStr">
        <is>
          <t>Self-identified: AI / automation · Leadership &amp; people management · Project / programme management · Client, sales &amp; stakeholders · Strategy &amp; business acumen
For the next role: AI / automation · Leadership &amp; people management · Project / programme management · Client, sales &amp; stakeholders · Strategy &amp; business acumen</t>
        </is>
      </c>
      <c r="FU214" s="32" t="inlineStr">
        <is>
          <t>Full survey answers not in the files received · How We Grow export needed · HR</t>
        </is>
      </c>
    </row>
    <row r="215" ht="90" customHeight="1">
      <c r="A215" s="51" t="inlineStr">
        <is>
          <t>◂ Back</t>
        </is>
      </c>
      <c r="B215" s="29" t="inlineStr">
        <is>
          <t>Mapped</t>
        </is>
      </c>
      <c r="C215" s="28" t="inlineStr">
        <is>
          <t>iDEAL</t>
        </is>
      </c>
      <c r="D215" s="29" t="inlineStr">
        <is>
          <t>IRIS2142</t>
        </is>
      </c>
      <c r="E215" s="29" t="inlineStr">
        <is>
          <t>Nilam Anandrao Kadam</t>
        </is>
      </c>
      <c r="F215" s="29" t="inlineStr">
        <is>
          <t>Technology</t>
        </is>
      </c>
      <c r="G215" s="29" t="inlineStr">
        <is>
          <t>Business Analyst</t>
        </is>
      </c>
      <c r="H215" s="29" t="inlineStr">
        <is>
          <t>Senior Business Analyst</t>
        </is>
      </c>
      <c r="I215" s="29" t="inlineStr">
        <is>
          <t>L3 – Professional / Associate</t>
        </is>
      </c>
      <c r="J215" s="29" t="inlineStr">
        <is>
          <t>A3</t>
        </is>
      </c>
      <c r="K215" s="29" t="inlineStr">
        <is>
          <t>▲ Up</t>
        </is>
      </c>
      <c r="L215" s="29" t="inlineStr">
        <is>
          <t>Business Analysis</t>
        </is>
      </c>
      <c r="M215" s="29" t="inlineStr">
        <is>
          <t>Business Analysis</t>
        </is>
      </c>
      <c r="N215" s="29" t="n"/>
      <c r="O215" s="29" t="n">
        <v>0</v>
      </c>
      <c r="P215" s="28" t="inlineStr">
        <is>
          <t>P2</t>
        </is>
      </c>
      <c r="Q215" s="29" t="inlineStr">
        <is>
          <t>Developing</t>
        </is>
      </c>
      <c r="R215" s="29" t="inlineStr">
        <is>
          <t>3 Apply</t>
        </is>
      </c>
      <c r="S215" s="29" t="inlineStr">
        <is>
          <t>2–4 yrs</t>
        </is>
      </c>
      <c r="T215" s="29" t="inlineStr">
        <is>
          <t>3–5 · 2–5</t>
        </is>
      </c>
      <c r="U215" s="29" t="inlineStr">
        <is>
          <t>Business Analyst</t>
        </is>
      </c>
      <c r="V215" s="29" t="inlineStr">
        <is>
          <t>Regnology — regulatory reporting: Junior BA · Reg Reporting · Big Four consulting: Consultant · IRIS Vs Market Benchmark — IIBA certification pathway: ECBA · Infosys / Accenture: JL3A · L10 Senior Analyst</t>
        </is>
      </c>
      <c r="W215" s="29" t="inlineStr">
        <is>
          <t>IIBA BABOK v3; certifications ECBA · entry → CCBA → CBAP · senior</t>
        </is>
      </c>
      <c r="X215" s="29" t="inlineStr">
        <is>
          <t>Core 2 · Future 2 · Functional 3 · Leadership not scored</t>
        </is>
      </c>
      <c r="Y215" s="52" t="n">
        <v>278</v>
      </c>
      <c r="Z215" s="53" t="inlineStr">
        <is>
          <t>IRIS2142</t>
        </is>
      </c>
      <c r="AA215" s="53" t="inlineStr">
        <is>
          <t>Employee</t>
        </is>
      </c>
      <c r="AB215" s="53" t="inlineStr">
        <is>
          <t>Active</t>
        </is>
      </c>
      <c r="AC215" s="53" t="inlineStr">
        <is>
          <t>Nilam Anandrao Kadam</t>
        </is>
      </c>
      <c r="AD215" s="54" t="n">
        <v>45083</v>
      </c>
      <c r="AE215" s="53" t="inlineStr">
        <is>
          <t>Business Analyst</t>
        </is>
      </c>
      <c r="AF215" s="53" t="inlineStr">
        <is>
          <t>MBA</t>
        </is>
      </c>
      <c r="AG215" s="53" t="inlineStr">
        <is>
          <t>Dnyaneshwar Daund</t>
        </is>
      </c>
      <c r="AH215" s="53" t="inlineStr">
        <is>
          <t>N-4</t>
        </is>
      </c>
      <c r="AI215" s="53" t="inlineStr">
        <is>
          <t>Individual Contributor</t>
        </is>
      </c>
      <c r="AJ215" s="53" t="inlineStr">
        <is>
          <t>2 years, 7 months, 0 days</t>
        </is>
      </c>
      <c r="AK215" s="53" t="inlineStr">
        <is>
          <t>3 years, 2 months, 19 days</t>
        </is>
      </c>
      <c r="AL215" s="53" t="inlineStr">
        <is>
          <t>Regtech</t>
        </is>
      </c>
      <c r="AM215" s="53" t="inlineStr">
        <is>
          <t>iDEAL</t>
        </is>
      </c>
      <c r="AN215" s="53" t="inlineStr">
        <is>
          <t>Technology</t>
        </is>
      </c>
      <c r="AO215" s="53" t="inlineStr">
        <is>
          <t>Business Analysis</t>
        </is>
      </c>
      <c r="AP215" s="53" t="inlineStr">
        <is>
          <t>No</t>
        </is>
      </c>
      <c r="AQ215" s="53" t="inlineStr">
        <is>
          <t>Product/Project</t>
        </is>
      </c>
      <c r="AR215" s="53" t="inlineStr">
        <is>
          <t>Business Analysis</t>
        </is>
      </c>
      <c r="AS215" s="53" t="inlineStr">
        <is>
          <t>Technical · BA, PM and QA</t>
        </is>
      </c>
      <c r="AT215" s="53" t="n">
        <v>0</v>
      </c>
      <c r="AU215" s="53" t="inlineStr">
        <is>
          <t>E-Maternity</t>
        </is>
      </c>
      <c r="AV215" s="53" t="n"/>
      <c r="AW215" s="53" t="n"/>
      <c r="AX215" s="53" t="n"/>
      <c r="AY215" s="53" t="n"/>
      <c r="AZ215" s="53" t="n"/>
      <c r="BA215" s="53" t="n"/>
      <c r="BB215" s="53" t="n"/>
      <c r="BC215" s="53" t="n"/>
      <c r="BD215" s="53" t="n"/>
      <c r="BE215" s="53" t="n"/>
      <c r="BF215" s="53" t="n"/>
      <c r="BG215" s="53" t="n"/>
      <c r="BH215" s="53" t="n"/>
      <c r="BI215" s="53" t="n"/>
      <c r="BJ215" s="53" t="n"/>
      <c r="BK215" s="53" t="n"/>
      <c r="BL215" s="53" t="n"/>
      <c r="BM215" s="53" t="n"/>
      <c r="BN215" s="53" t="n"/>
      <c r="BO215" s="53" t="n"/>
      <c r="BP215" s="53" t="n"/>
      <c r="BQ215" s="53" t="n"/>
      <c r="BR215" s="53" t="n"/>
      <c r="BS215" s="53" t="n"/>
      <c r="BT215" s="53" t="n"/>
      <c r="BU215" s="53" t="n"/>
      <c r="BV215" s="53" t="n"/>
      <c r="BW215" s="53" t="n"/>
      <c r="BX215" s="53" t="n"/>
      <c r="BY215" s="53" t="n"/>
      <c r="BZ215" s="53" t="n"/>
      <c r="CA215" s="53" t="n"/>
      <c r="CB215" s="53" t="n"/>
      <c r="CC215" s="53" t="n"/>
      <c r="CD215" s="53" t="n"/>
      <c r="CE215" s="53" t="n"/>
      <c r="CF215" s="53" t="n"/>
      <c r="CG215" s="53" t="n"/>
      <c r="CH215" s="53" t="n"/>
      <c r="CI215" s="53" t="n"/>
      <c r="CJ215" s="53" t="n"/>
      <c r="CK215" s="53" t="n"/>
      <c r="CL215" s="53" t="n"/>
      <c r="CM215" s="53" t="n"/>
      <c r="CN215" s="53" t="n"/>
      <c r="CO215" s="53" t="n"/>
      <c r="CP215" s="53" t="n"/>
      <c r="CQ215" s="53" t="n"/>
      <c r="CR215" s="53" t="n"/>
      <c r="CS215" s="53" t="n"/>
      <c r="CT215" s="53" t="n"/>
      <c r="CU215" s="53" t="n"/>
      <c r="CV215" s="53" t="n"/>
      <c r="CW215" s="53" t="n"/>
      <c r="CX215" s="53" t="n"/>
      <c r="CY215" s="53" t="n"/>
      <c r="CZ215" s="53" t="n"/>
      <c r="DA215" s="53" t="n"/>
      <c r="DB215" s="53" t="n"/>
      <c r="DC215" s="53" t="n"/>
      <c r="DD215" s="53" t="inlineStr">
        <is>
          <t>IRIS2142</t>
        </is>
      </c>
      <c r="DE215" s="53" t="inlineStr">
        <is>
          <t>Employee</t>
        </is>
      </c>
      <c r="DF215" s="53" t="inlineStr">
        <is>
          <t>Active</t>
        </is>
      </c>
      <c r="DG215" s="53" t="inlineStr">
        <is>
          <t>Nilam Anandrao Kadam</t>
        </is>
      </c>
      <c r="DH215" s="54" t="n">
        <v>45083</v>
      </c>
      <c r="DI215" s="53" t="inlineStr">
        <is>
          <t>Business Analyst</t>
        </is>
      </c>
      <c r="DJ215" s="53" t="inlineStr">
        <is>
          <t>Business Analysis</t>
        </is>
      </c>
      <c r="DK215" s="53" t="inlineStr">
        <is>
          <t>Business / Functional Analysis</t>
        </is>
      </c>
      <c r="DL215" s="53" t="inlineStr">
        <is>
          <t>Business Analyst</t>
        </is>
      </c>
      <c r="DM215" s="53" t="inlineStr">
        <is>
          <t>L3 – Professional / Associate</t>
        </is>
      </c>
      <c r="DN215" s="53" t="inlineStr">
        <is>
          <t>MBA</t>
        </is>
      </c>
      <c r="DO215" s="53" t="inlineStr">
        <is>
          <t>Dnyaneshwar Daund</t>
        </is>
      </c>
      <c r="DP215" s="53" t="inlineStr">
        <is>
          <t>N-4</t>
        </is>
      </c>
      <c r="DQ215" s="53" t="inlineStr">
        <is>
          <t>Individual Contributor</t>
        </is>
      </c>
      <c r="DR215" s="53" t="inlineStr">
        <is>
          <t>2 years, 7 months, 0 days</t>
        </is>
      </c>
      <c r="DS215" s="53" t="inlineStr">
        <is>
          <t>3 years, 0 months, 14 days</t>
        </is>
      </c>
      <c r="DT215" s="53" t="inlineStr">
        <is>
          <t>5 years, 7 months, 14 days</t>
        </is>
      </c>
      <c r="DU215" s="53" t="n"/>
      <c r="DV215" s="53" t="inlineStr">
        <is>
          <t>Regtech</t>
        </is>
      </c>
      <c r="DW215" s="53" t="inlineStr">
        <is>
          <t>iDEAL</t>
        </is>
      </c>
      <c r="DX215" s="53" t="inlineStr">
        <is>
          <t>Technology</t>
        </is>
      </c>
      <c r="DY215" s="53" t="inlineStr">
        <is>
          <t>Business Analysis</t>
        </is>
      </c>
      <c r="DZ215" s="53" t="inlineStr">
        <is>
          <t>No</t>
        </is>
      </c>
      <c r="EA215" s="53" t="inlineStr">
        <is>
          <t>Product/Project</t>
        </is>
      </c>
      <c r="EB215" s="53" t="inlineStr">
        <is>
          <t>Business Analysis</t>
        </is>
      </c>
      <c r="EC215" s="53" t="inlineStr">
        <is>
          <t>Technical · BA, PM and QA</t>
        </is>
      </c>
      <c r="ED215" s="53" t="inlineStr">
        <is>
          <t>Remote- Outside Mumbai</t>
        </is>
      </c>
      <c r="EE215" s="53" t="inlineStr">
        <is>
          <t>On Maternity Leave</t>
        </is>
      </c>
      <c r="EF215" s="53"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5" s="53" t="inlineStr">
        <is>
          <t>On Maternity Leave</t>
        </is>
      </c>
      <c r="EH215" s="53" t="n">
        <v>3</v>
      </c>
      <c r="EI215" s="54" t="n">
        <v>45931</v>
      </c>
      <c r="EJ215" s="53" t="inlineStr">
        <is>
          <t>Same as current designation</t>
        </is>
      </c>
      <c r="EK215" s="53" t="inlineStr">
        <is>
          <t>No</t>
        </is>
      </c>
      <c r="EL215" s="53" t="n">
        <v>3</v>
      </c>
      <c r="EM215" s="53" t="inlineStr">
        <is>
          <t>Medium</t>
        </is>
      </c>
      <c r="EN215" s="53" t="inlineStr">
        <is>
          <t>Trusted Professional</t>
        </is>
      </c>
      <c r="EO215" s="53" t="inlineStr">
        <is>
          <t>Not Ready</t>
        </is>
      </c>
      <c r="EP215" s="53" t="inlineStr">
        <is>
          <t>No</t>
        </is>
      </c>
      <c r="EQ215" s="53" t="inlineStr">
        <is>
          <t>Yes</t>
        </is>
      </c>
      <c r="ER215" s="53" t="n"/>
      <c r="ES215" s="53" t="inlineStr">
        <is>
          <t>Training on the effective utilization of AI tools.</t>
        </is>
      </c>
      <c r="ET215" s="53" t="n"/>
      <c r="EU215" s="53" t="n"/>
      <c r="EV215" s="53" t="n"/>
      <c r="EW215" s="52" t="n"/>
      <c r="EX215" s="53" t="n"/>
      <c r="EY215" s="53" t="n"/>
      <c r="EZ215" s="53" t="n"/>
      <c r="FA215" s="53" t="n"/>
      <c r="FB215" s="53" t="n"/>
      <c r="FC215" s="53" t="n"/>
      <c r="FD215" s="53" t="n"/>
      <c r="FE215" s="57"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5" s="56" t="inlineStr">
        <is>
          <t>On Maternity Leave</t>
        </is>
      </c>
      <c r="FG215" s="56" t="inlineStr">
        <is>
          <t>On Maternity Leave</t>
        </is>
      </c>
      <c r="FH215" s="56" t="inlineStr">
        <is>
          <t>3</t>
        </is>
      </c>
      <c r="FI215" s="56" t="n"/>
      <c r="FJ215" s="56" t="inlineStr">
        <is>
          <t>Received · manager annual, quarterly, self</t>
        </is>
      </c>
      <c r="FK215" s="56" t="inlineStr">
        <is>
          <t>Talent Mapping · iDEAL</t>
        </is>
      </c>
      <c r="FL215" s="56" t="n">
        <v>0</v>
      </c>
      <c r="FM215" s="32" t="inlineStr">
        <is>
          <t>No survey response on file</t>
        </is>
      </c>
      <c r="FN215" s="56" t="inlineStr">
        <is>
          <t>—</t>
        </is>
      </c>
      <c r="FO215" s="56" t="inlineStr">
        <is>
          <t>—</t>
        </is>
      </c>
      <c r="FP215" s="56" t="inlineStr">
        <is>
          <t>—</t>
        </is>
      </c>
      <c r="FQ215" s="56" t="inlineStr">
        <is>
          <t>—</t>
        </is>
      </c>
      <c r="FR215" s="56"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FS215"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5" s="56" t="n"/>
      <c r="FU215" s="32" t="inlineStr">
        <is>
          <t>No survey response on file</t>
        </is>
      </c>
    </row>
    <row r="216" ht="90" customHeight="1">
      <c r="A216" s="51" t="inlineStr">
        <is>
          <t>◂ Back</t>
        </is>
      </c>
      <c r="B216" s="29" t="inlineStr">
        <is>
          <t>Mapped</t>
        </is>
      </c>
      <c r="C216" s="28" t="inlineStr">
        <is>
          <t>iDEAL</t>
        </is>
      </c>
      <c r="D216" s="29" t="inlineStr">
        <is>
          <t>IRIS2067</t>
        </is>
      </c>
      <c r="E216" s="29" t="inlineStr">
        <is>
          <t>Silky Agarwal</t>
        </is>
      </c>
      <c r="F216" s="29" t="inlineStr">
        <is>
          <t>Technology</t>
        </is>
      </c>
      <c r="G216" s="29" t="inlineStr">
        <is>
          <t>Business Analyst</t>
        </is>
      </c>
      <c r="H216" s="29" t="inlineStr">
        <is>
          <t>Senior Business Analyst</t>
        </is>
      </c>
      <c r="I216" s="29" t="inlineStr">
        <is>
          <t>L3 – Professional / Associate</t>
        </is>
      </c>
      <c r="J216" s="29" t="inlineStr">
        <is>
          <t>A3</t>
        </is>
      </c>
      <c r="K216" s="29" t="inlineStr">
        <is>
          <t>▲ Up</t>
        </is>
      </c>
      <c r="L216" s="29" t="inlineStr">
        <is>
          <t>Business Analysis</t>
        </is>
      </c>
      <c r="M216" s="29" t="inlineStr">
        <is>
          <t>Business Analysis</t>
        </is>
      </c>
      <c r="N216" s="29" t="n"/>
      <c r="O216" s="29" t="n">
        <v>20</v>
      </c>
      <c r="P216" s="28" t="inlineStr">
        <is>
          <t>P2</t>
        </is>
      </c>
      <c r="Q216" s="29" t="inlineStr">
        <is>
          <t>Developing</t>
        </is>
      </c>
      <c r="R216" s="29" t="inlineStr">
        <is>
          <t>3 Apply</t>
        </is>
      </c>
      <c r="S216" s="29" t="inlineStr">
        <is>
          <t>2–4 yrs</t>
        </is>
      </c>
      <c r="T216" s="29" t="inlineStr">
        <is>
          <t>3–5 · 2–5</t>
        </is>
      </c>
      <c r="U216" s="29" t="inlineStr">
        <is>
          <t>Business Analyst</t>
        </is>
      </c>
      <c r="V216" s="29" t="inlineStr">
        <is>
          <t>Regnology — regulatory reporting: Junior BA · Reg Reporting · Big Four consulting: Consultant · IRIS Vs Market Benchmark — IIBA certification pathway: ECBA · Infosys / Accenture: JL3A · L10 Senior Analyst</t>
        </is>
      </c>
      <c r="W216" s="29" t="inlineStr">
        <is>
          <t>IIBA BABOK v3; certifications ECBA · entry → CCBA → CBAP · senior</t>
        </is>
      </c>
      <c r="X216" s="29" t="inlineStr">
        <is>
          <t>Core 2 · Future 2 · Functional 3 · Leadership not scored</t>
        </is>
      </c>
      <c r="Y216" s="52" t="n">
        <v>243</v>
      </c>
      <c r="Z216" s="53" t="inlineStr">
        <is>
          <t>IRIS2067</t>
        </is>
      </c>
      <c r="AA216" s="53" t="inlineStr">
        <is>
          <t>Employee</t>
        </is>
      </c>
      <c r="AB216" s="53" t="inlineStr">
        <is>
          <t>Active</t>
        </is>
      </c>
      <c r="AC216" s="53" t="inlineStr">
        <is>
          <t>Silky Agarwal</t>
        </is>
      </c>
      <c r="AD216" s="54" t="n">
        <v>44837</v>
      </c>
      <c r="AE216" s="53" t="inlineStr">
        <is>
          <t>Business Analyst</t>
        </is>
      </c>
      <c r="AF216" s="53" t="inlineStr">
        <is>
          <t>MBA</t>
        </is>
      </c>
      <c r="AG216" s="53" t="inlineStr">
        <is>
          <t>Dnyaneshwar Daund</t>
        </is>
      </c>
      <c r="AH216" s="53" t="inlineStr">
        <is>
          <t>N-4</t>
        </is>
      </c>
      <c r="AI216" s="53" t="inlineStr">
        <is>
          <t>Individual Contributor</t>
        </is>
      </c>
      <c r="AJ216" s="53" t="inlineStr">
        <is>
          <t>0 years, 4 months, 0 days</t>
        </is>
      </c>
      <c r="AK216" s="53" t="inlineStr">
        <is>
          <t>3 years, 10 months, 22 days</t>
        </is>
      </c>
      <c r="AL216" s="53" t="inlineStr">
        <is>
          <t>Regtech</t>
        </is>
      </c>
      <c r="AM216" s="53" t="inlineStr">
        <is>
          <t>iDEAL</t>
        </is>
      </c>
      <c r="AN216" s="53" t="inlineStr">
        <is>
          <t>Technology</t>
        </is>
      </c>
      <c r="AO216" s="53" t="inlineStr">
        <is>
          <t>Business Analysis</t>
        </is>
      </c>
      <c r="AP216" s="53" t="inlineStr">
        <is>
          <t>No</t>
        </is>
      </c>
      <c r="AQ216" s="53" t="inlineStr">
        <is>
          <t>Product/Project</t>
        </is>
      </c>
      <c r="AR216" s="53" t="inlineStr">
        <is>
          <t>Business Analysis</t>
        </is>
      </c>
      <c r="AS216" s="53" t="inlineStr">
        <is>
          <t>Technical · BA, PM and QA</t>
        </is>
      </c>
      <c r="AT216" s="53" t="n">
        <v>20</v>
      </c>
      <c r="AU216" s="53" t="inlineStr">
        <is>
          <t>Covered</t>
        </is>
      </c>
      <c r="AV216" s="53" t="n"/>
      <c r="AW216" s="53" t="n"/>
      <c r="AX216" s="53" t="n"/>
      <c r="AY216" s="53" t="n"/>
      <c r="AZ216" s="53" t="n"/>
      <c r="BA216" s="53" t="n"/>
      <c r="BB216" s="53" t="n"/>
      <c r="BC216" s="53" t="n"/>
      <c r="BD216" s="53" t="n"/>
      <c r="BE216" s="53" t="n"/>
      <c r="BF216" s="53" t="n"/>
      <c r="BG216" s="53" t="n"/>
      <c r="BH216" s="53" t="n"/>
      <c r="BI216" s="53" t="n"/>
      <c r="BJ216" s="53" t="n"/>
      <c r="BK216" s="53" t="n"/>
      <c r="BL216" s="53" t="n"/>
      <c r="BM216" s="53" t="n"/>
      <c r="BN216" s="53" t="n"/>
      <c r="BO216" s="53" t="n"/>
      <c r="BP216" s="53" t="n"/>
      <c r="BQ216" s="53" t="n"/>
      <c r="BR216" s="53" t="n"/>
      <c r="BS216" s="53" t="n"/>
      <c r="BT216" s="53" t="n"/>
      <c r="BU216" s="53" t="n"/>
      <c r="BV216" s="53" t="n"/>
      <c r="BW216" s="53" t="n"/>
      <c r="BX216" s="53" t="n"/>
      <c r="BY216" s="53" t="n"/>
      <c r="BZ216" s="53" t="n"/>
      <c r="CA216" s="53" t="n"/>
      <c r="CB216" s="53" t="n"/>
      <c r="CC216" s="53" t="n"/>
      <c r="CD216" s="53" t="n"/>
      <c r="CE216" s="53" t="n"/>
      <c r="CF216" s="53" t="n"/>
      <c r="CG216" s="53" t="n"/>
      <c r="CH216" s="53" t="n"/>
      <c r="CI216" s="53" t="n"/>
      <c r="CJ216" s="53" t="n"/>
      <c r="CK216" s="53" t="n"/>
      <c r="CL216" s="53" t="n"/>
      <c r="CM216" s="53" t="n"/>
      <c r="CN216" s="53" t="n"/>
      <c r="CO216" s="53" t="n"/>
      <c r="CP216" s="53" t="n"/>
      <c r="CQ216" s="53" t="n"/>
      <c r="CR216" s="53" t="n"/>
      <c r="CS216" s="53" t="n"/>
      <c r="CT216" s="53" t="n"/>
      <c r="CU216" s="53" t="n"/>
      <c r="CV216" s="53" t="n"/>
      <c r="CW216" s="53" t="n"/>
      <c r="CX216" s="53" t="n"/>
      <c r="CY216" s="53" t="n"/>
      <c r="CZ216" s="53" t="n"/>
      <c r="DA216" s="53" t="n"/>
      <c r="DB216" s="53" t="n"/>
      <c r="DC216" s="53" t="n"/>
      <c r="DD216" s="53" t="inlineStr">
        <is>
          <t>IRIS2067</t>
        </is>
      </c>
      <c r="DE216" s="53" t="inlineStr">
        <is>
          <t>Employee</t>
        </is>
      </c>
      <c r="DF216" s="53" t="inlineStr">
        <is>
          <t>Active</t>
        </is>
      </c>
      <c r="DG216" s="53" t="inlineStr">
        <is>
          <t>Silky Agarwal</t>
        </is>
      </c>
      <c r="DH216" s="54" t="n">
        <v>44837</v>
      </c>
      <c r="DI216" s="53" t="inlineStr">
        <is>
          <t>Business Analyst</t>
        </is>
      </c>
      <c r="DJ216" s="53" t="inlineStr">
        <is>
          <t>Business Analysis</t>
        </is>
      </c>
      <c r="DK216" s="53" t="inlineStr">
        <is>
          <t>Business / Functional Analysis</t>
        </is>
      </c>
      <c r="DL216" s="53" t="inlineStr">
        <is>
          <t>Business Analyst</t>
        </is>
      </c>
      <c r="DM216" s="53" t="inlineStr">
        <is>
          <t>L3 – Professional / Associate</t>
        </is>
      </c>
      <c r="DN216" s="53" t="inlineStr">
        <is>
          <t>MBA</t>
        </is>
      </c>
      <c r="DO216" s="53" t="inlineStr">
        <is>
          <t>Dnyaneshwar Daund</t>
        </is>
      </c>
      <c r="DP216" s="53" t="inlineStr">
        <is>
          <t>N-4</t>
        </is>
      </c>
      <c r="DQ216" s="53" t="inlineStr">
        <is>
          <t>Individual Contributor</t>
        </is>
      </c>
      <c r="DR216" s="53" t="inlineStr">
        <is>
          <t>0 years, 4 months, 0 days</t>
        </is>
      </c>
      <c r="DS216" s="53" t="inlineStr">
        <is>
          <t>3 years, 8 months, 17 days</t>
        </is>
      </c>
      <c r="DT216" s="53" t="inlineStr">
        <is>
          <t>4 years, 0 months, 17 days</t>
        </is>
      </c>
      <c r="DU216" s="53" t="n"/>
      <c r="DV216" s="53" t="inlineStr">
        <is>
          <t>Regtech</t>
        </is>
      </c>
      <c r="DW216" s="53" t="inlineStr">
        <is>
          <t>iDEAL</t>
        </is>
      </c>
      <c r="DX216" s="53" t="inlineStr">
        <is>
          <t>Technology</t>
        </is>
      </c>
      <c r="DY216" s="53" t="inlineStr">
        <is>
          <t>Business Analysis</t>
        </is>
      </c>
      <c r="DZ216" s="53" t="inlineStr">
        <is>
          <t>No</t>
        </is>
      </c>
      <c r="EA216" s="53" t="inlineStr">
        <is>
          <t>Product/Project</t>
        </is>
      </c>
      <c r="EB216" s="53" t="inlineStr">
        <is>
          <t>Business Analysis</t>
        </is>
      </c>
      <c r="EC216" s="53" t="inlineStr">
        <is>
          <t>Technical · BA, PM and QA</t>
        </is>
      </c>
      <c r="ED216" s="53" t="inlineStr">
        <is>
          <t>Remote- Outside Mumbai</t>
        </is>
      </c>
      <c r="EE216" s="53"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EF216" s="53"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6" s="53"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EH216" s="53" t="n">
        <v>3</v>
      </c>
      <c r="EI216" s="54" t="n">
        <v>45931</v>
      </c>
      <c r="EJ216" s="53" t="inlineStr">
        <is>
          <t>Same as current designation</t>
        </is>
      </c>
      <c r="EK216" s="53" t="inlineStr">
        <is>
          <t>No</t>
        </is>
      </c>
      <c r="EL216" s="53" t="n">
        <v>3</v>
      </c>
      <c r="EM216" s="53" t="inlineStr">
        <is>
          <t>Medium</t>
        </is>
      </c>
      <c r="EN216" s="53" t="inlineStr">
        <is>
          <t>Emerging Talent</t>
        </is>
      </c>
      <c r="EO216" s="53" t="inlineStr">
        <is>
          <t>Not Ready</t>
        </is>
      </c>
      <c r="EP216" s="53" t="inlineStr">
        <is>
          <t>No</t>
        </is>
      </c>
      <c r="EQ216" s="53" t="inlineStr">
        <is>
          <t>Yes</t>
        </is>
      </c>
      <c r="ER216" s="53" t="n"/>
      <c r="ES216" s="53" t="inlineStr">
        <is>
          <t>Training on the effective utilization of AI tools.</t>
        </is>
      </c>
      <c r="ET216" s="53" t="n"/>
      <c r="EU216" s="53" t="n"/>
      <c r="EV216" s="53" t="n"/>
      <c r="EW216" s="52" t="n"/>
      <c r="EX216" s="53" t="n"/>
      <c r="EY216" s="53" t="n"/>
      <c r="EZ216" s="53" t="n"/>
      <c r="FA216" s="53" t="n"/>
      <c r="FB216" s="53" t="n"/>
      <c r="FC216" s="53" t="n"/>
      <c r="FD216" s="53" t="n"/>
      <c r="FE216" s="57"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6" s="56"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FG216" s="56"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FH216" s="56" t="inlineStr">
        <is>
          <t>3</t>
        </is>
      </c>
      <c r="FI216" s="56" t="n"/>
      <c r="FJ216" s="56" t="inlineStr">
        <is>
          <t>Received · manager annual, quarterly, self</t>
        </is>
      </c>
      <c r="FK216" s="56" t="inlineStr">
        <is>
          <t>Talent Mapping · iDEAL</t>
        </is>
      </c>
      <c r="FL216" s="56" t="n">
        <v>20</v>
      </c>
      <c r="FM216" s="32" t="inlineStr">
        <is>
          <t>Full survey answers not in the files received · How We Grow export needed · HR</t>
        </is>
      </c>
      <c r="FN216" s="56" t="inlineStr">
        <is>
          <t>—</t>
        </is>
      </c>
      <c r="FO216" s="56" t="inlineStr">
        <is>
          <t>—</t>
        </is>
      </c>
      <c r="FP216" s="56" t="inlineStr">
        <is>
          <t>—</t>
        </is>
      </c>
      <c r="FQ216" s="56" t="inlineStr">
        <is>
          <t>—</t>
        </is>
      </c>
      <c r="FR216" s="56" t="inlineStr">
        <is>
          <t>Business Impact: Moved +0.5: the survey / manager mapping marks it business-critical.</t>
        </is>
      </c>
      <c r="FS216"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6" s="56" t="inlineStr">
        <is>
          <t>Self-identified: Leadership &amp; people management · Project / programme management · Domain, regulatory &amp; XBRL · Client, sales &amp; stakeholders · Strategy &amp; business acumen · Broader exposure &amp; ownership
For the next role: Leadership &amp; people management · Project / programme management · Domain, regulatory &amp; XBRL · Client, sales &amp; stakeholders · Strategy &amp; business acumen · Broader exposure &amp; ownership</t>
        </is>
      </c>
      <c r="FU216" s="32" t="inlineStr">
        <is>
          <t>Full survey answers not in the files received · How We Grow export needed · HR</t>
        </is>
      </c>
    </row>
    <row r="217" ht="90" customHeight="1">
      <c r="A217" s="51" t="inlineStr">
        <is>
          <t>◂ Back</t>
        </is>
      </c>
      <c r="B217" s="29" t="inlineStr">
        <is>
          <t>Mapped</t>
        </is>
      </c>
      <c r="C217" s="28" t="inlineStr">
        <is>
          <t>iDEAL</t>
        </is>
      </c>
      <c r="D217" s="29" t="inlineStr">
        <is>
          <t>IRIS2466</t>
        </is>
      </c>
      <c r="E217" s="29" t="inlineStr">
        <is>
          <t>Vidyasagar Reddy</t>
        </is>
      </c>
      <c r="F217" s="29" t="inlineStr">
        <is>
          <t>Technology</t>
        </is>
      </c>
      <c r="G217" s="29" t="inlineStr">
        <is>
          <t>Business Analyst</t>
        </is>
      </c>
      <c r="H217" s="29" t="inlineStr">
        <is>
          <t>Senior Business Analyst</t>
        </is>
      </c>
      <c r="I217" s="29" t="inlineStr">
        <is>
          <t>L3 – Professional / Associate</t>
        </is>
      </c>
      <c r="J217" s="29" t="inlineStr">
        <is>
          <t>A3</t>
        </is>
      </c>
      <c r="K217" s="29" t="inlineStr">
        <is>
          <t>▲ Up</t>
        </is>
      </c>
      <c r="L217" s="29" t="inlineStr">
        <is>
          <t>Business Analysis</t>
        </is>
      </c>
      <c r="M217" s="29" t="inlineStr">
        <is>
          <t>Business Analysis</t>
        </is>
      </c>
      <c r="N217" s="29" t="n"/>
      <c r="O217" s="29" t="n">
        <v>19</v>
      </c>
      <c r="P217" s="28" t="inlineStr">
        <is>
          <t>P2</t>
        </is>
      </c>
      <c r="Q217" s="29" t="inlineStr">
        <is>
          <t>Developing</t>
        </is>
      </c>
      <c r="R217" s="29" t="inlineStr">
        <is>
          <t>3 Apply</t>
        </is>
      </c>
      <c r="S217" s="29" t="inlineStr">
        <is>
          <t>2–4 yrs</t>
        </is>
      </c>
      <c r="T217" s="29" t="inlineStr">
        <is>
          <t>3–5 · 2–5</t>
        </is>
      </c>
      <c r="U217" s="29" t="inlineStr">
        <is>
          <t>Business Analyst</t>
        </is>
      </c>
      <c r="V217" s="29" t="inlineStr">
        <is>
          <t>Regnology — regulatory reporting: Junior BA · Reg Reporting · Big Four consulting: Consultant · IRIS Vs Market Benchmark — IIBA certification pathway: ECBA · Infosys / Accenture: JL3A · L10 Senior Analyst</t>
        </is>
      </c>
      <c r="W217" s="29" t="inlineStr">
        <is>
          <t>IIBA BABOK v3; certifications ECBA · entry → CCBA → CBAP · senior</t>
        </is>
      </c>
      <c r="X217" s="29" t="inlineStr">
        <is>
          <t>Core 2 · Future 2 · Functional 3 · Leadership not scored</t>
        </is>
      </c>
      <c r="Y217" s="52" t="n">
        <v>439</v>
      </c>
      <c r="Z217" s="53" t="inlineStr">
        <is>
          <t>IRIS2466</t>
        </is>
      </c>
      <c r="AA217" s="53" t="inlineStr">
        <is>
          <t>Employee</t>
        </is>
      </c>
      <c r="AB217" s="53" t="inlineStr">
        <is>
          <t>Active</t>
        </is>
      </c>
      <c r="AC217" s="53" t="inlineStr">
        <is>
          <t>Vidyasagar Reddy</t>
        </is>
      </c>
      <c r="AD217" s="54" t="n">
        <v>46041</v>
      </c>
      <c r="AE217" s="53" t="inlineStr">
        <is>
          <t>Business Analyst</t>
        </is>
      </c>
      <c r="AF217" s="53" t="inlineStr">
        <is>
          <t>B.Tech</t>
        </is>
      </c>
      <c r="AG217" s="53" t="inlineStr">
        <is>
          <t>Dnyaneshwar Daund</t>
        </is>
      </c>
      <c r="AH217" s="53" t="inlineStr">
        <is>
          <t>N-4</t>
        </is>
      </c>
      <c r="AI217" s="53" t="inlineStr">
        <is>
          <t>Individual Contributor</t>
        </is>
      </c>
      <c r="AJ217" s="53" t="inlineStr">
        <is>
          <t>1 years, 6 months, 0 days</t>
        </is>
      </c>
      <c r="AK217" s="53" t="inlineStr">
        <is>
          <t>0 years, 7 months, 6 days</t>
        </is>
      </c>
      <c r="AL217" s="53" t="inlineStr">
        <is>
          <t>Regtech</t>
        </is>
      </c>
      <c r="AM217" s="53" t="inlineStr">
        <is>
          <t>iDEAL</t>
        </is>
      </c>
      <c r="AN217" s="53" t="inlineStr">
        <is>
          <t>Technology</t>
        </is>
      </c>
      <c r="AO217" s="53" t="inlineStr">
        <is>
          <t>Business Analysis</t>
        </is>
      </c>
      <c r="AP217" s="53" t="inlineStr">
        <is>
          <t>No</t>
        </is>
      </c>
      <c r="AQ217" s="53" t="inlineStr">
        <is>
          <t>Product/Project</t>
        </is>
      </c>
      <c r="AR217" s="53" t="inlineStr">
        <is>
          <t>Business Analysis</t>
        </is>
      </c>
      <c r="AS217" s="53" t="inlineStr">
        <is>
          <t>Technical · BA, PM and QA</t>
        </is>
      </c>
      <c r="AT217" s="53" t="n">
        <v>20</v>
      </c>
      <c r="AU217" s="53" t="inlineStr">
        <is>
          <t>Covered</t>
        </is>
      </c>
      <c r="AV217" s="53" t="n"/>
      <c r="AW217" s="53" t="n"/>
      <c r="AX217" s="53" t="n"/>
      <c r="AY217" s="53" t="n"/>
      <c r="AZ217" s="53" t="n"/>
      <c r="BA217" s="53" t="n"/>
      <c r="BB217" s="53" t="n"/>
      <c r="BC217" s="53" t="n"/>
      <c r="BD217" s="53" t="n"/>
      <c r="BE217" s="53" t="n"/>
      <c r="BF217" s="53" t="n"/>
      <c r="BG217" s="53" t="n"/>
      <c r="BH217" s="53" t="n"/>
      <c r="BI217" s="53" t="n"/>
      <c r="BJ217" s="53" t="n"/>
      <c r="BK217" s="53" t="n"/>
      <c r="BL217" s="53" t="n"/>
      <c r="BM217" s="53" t="n"/>
      <c r="BN217" s="53" t="n"/>
      <c r="BO217" s="53" t="n"/>
      <c r="BP217" s="53" t="n"/>
      <c r="BQ217" s="53" t="n"/>
      <c r="BR217" s="53" t="n"/>
      <c r="BS217" s="53" t="n"/>
      <c r="BT217" s="53" t="n"/>
      <c r="BU217" s="53" t="n"/>
      <c r="BV217" s="53" t="n"/>
      <c r="BW217" s="53" t="n"/>
      <c r="BX217" s="53" t="n"/>
      <c r="BY217" s="53" t="n"/>
      <c r="BZ217" s="53" t="n"/>
      <c r="CA217" s="53" t="n"/>
      <c r="CB217" s="53" t="n"/>
      <c r="CC217" s="53" t="n"/>
      <c r="CD217" s="53" t="n"/>
      <c r="CE217" s="53" t="n"/>
      <c r="CF217" s="53" t="n"/>
      <c r="CG217" s="53" t="n"/>
      <c r="CH217" s="53" t="n"/>
      <c r="CI217" s="53" t="n"/>
      <c r="CJ217" s="53" t="n"/>
      <c r="CK217" s="53" t="n"/>
      <c r="CL217" s="53" t="n"/>
      <c r="CM217" s="53" t="n"/>
      <c r="CN217" s="53" t="n"/>
      <c r="CO217" s="53" t="n"/>
      <c r="CP217" s="53" t="n"/>
      <c r="CQ217" s="53" t="n"/>
      <c r="CR217" s="53" t="n"/>
      <c r="CS217" s="53" t="n"/>
      <c r="CT217" s="53" t="n"/>
      <c r="CU217" s="53" t="n"/>
      <c r="CV217" s="53" t="n"/>
      <c r="CW217" s="53" t="n"/>
      <c r="CX217" s="53" t="n"/>
      <c r="CY217" s="53" t="n"/>
      <c r="CZ217" s="53" t="n"/>
      <c r="DA217" s="53" t="n"/>
      <c r="DB217" s="53" t="n"/>
      <c r="DC217" s="53" t="n"/>
      <c r="DD217" s="53" t="inlineStr">
        <is>
          <t>IRIS2466</t>
        </is>
      </c>
      <c r="DE217" s="53" t="inlineStr">
        <is>
          <t>Employee</t>
        </is>
      </c>
      <c r="DF217" s="53" t="inlineStr">
        <is>
          <t>Active</t>
        </is>
      </c>
      <c r="DG217" s="53" t="inlineStr">
        <is>
          <t>Vidyasagar Reddy</t>
        </is>
      </c>
      <c r="DH217" s="54" t="n">
        <v>46041</v>
      </c>
      <c r="DI217" s="53" t="inlineStr">
        <is>
          <t>Business Analyst</t>
        </is>
      </c>
      <c r="DJ217" s="53" t="inlineStr">
        <is>
          <t>Business Analysis</t>
        </is>
      </c>
      <c r="DK217" s="53" t="inlineStr">
        <is>
          <t>Business / Functional Analysis</t>
        </is>
      </c>
      <c r="DL217" s="53" t="inlineStr">
        <is>
          <t>Business Analyst</t>
        </is>
      </c>
      <c r="DM217" s="53" t="inlineStr">
        <is>
          <t>L3 – Professional / Associate</t>
        </is>
      </c>
      <c r="DN217" s="53" t="inlineStr">
        <is>
          <t>B.Tech</t>
        </is>
      </c>
      <c r="DO217" s="53" t="inlineStr">
        <is>
          <t>Dnyaneshwar Daund</t>
        </is>
      </c>
      <c r="DP217" s="53" t="inlineStr">
        <is>
          <t>N-4</t>
        </is>
      </c>
      <c r="DQ217" s="53" t="inlineStr">
        <is>
          <t>Individual Contributor</t>
        </is>
      </c>
      <c r="DR217" s="53" t="inlineStr">
        <is>
          <t>1 years, 6 months, 0 days</t>
        </is>
      </c>
      <c r="DS217" s="53" t="inlineStr">
        <is>
          <t>0 years, 5 months, 1 days</t>
        </is>
      </c>
      <c r="DT217" s="53" t="inlineStr">
        <is>
          <t>1 years, 11 months, 1 days</t>
        </is>
      </c>
      <c r="DU217" s="53" t="n"/>
      <c r="DV217" s="53" t="inlineStr">
        <is>
          <t>Regtech</t>
        </is>
      </c>
      <c r="DW217" s="53" t="inlineStr">
        <is>
          <t>iDEAL</t>
        </is>
      </c>
      <c r="DX217" s="53" t="inlineStr">
        <is>
          <t>Technology</t>
        </is>
      </c>
      <c r="DY217" s="53" t="inlineStr">
        <is>
          <t>Business Analysis</t>
        </is>
      </c>
      <c r="DZ217" s="53" t="inlineStr">
        <is>
          <t>No</t>
        </is>
      </c>
      <c r="EA217" s="53" t="inlineStr">
        <is>
          <t>Product/Project</t>
        </is>
      </c>
      <c r="EB217" s="53" t="inlineStr">
        <is>
          <t>Business Analysis</t>
        </is>
      </c>
      <c r="EC217" s="53" t="inlineStr">
        <is>
          <t>Technical · BA, PM and QA</t>
        </is>
      </c>
      <c r="ED217" s="53" t="inlineStr">
        <is>
          <t>Work From Office - Turbhe</t>
        </is>
      </c>
      <c r="EE217" s="53"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EF217"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EG217" s="53"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EH217" s="53" t="n">
        <v>2</v>
      </c>
      <c r="EI217" s="54" t="n">
        <v>45931</v>
      </c>
      <c r="EJ217" s="53" t="inlineStr">
        <is>
          <t>Same as current designation</t>
        </is>
      </c>
      <c r="EK217" s="53" t="inlineStr">
        <is>
          <t>No</t>
        </is>
      </c>
      <c r="EL217" s="53" t="n">
        <v>3</v>
      </c>
      <c r="EM217" s="53" t="inlineStr">
        <is>
          <t>Medium</t>
        </is>
      </c>
      <c r="EN217" s="53" t="inlineStr">
        <is>
          <t>Emerging Talent</t>
        </is>
      </c>
      <c r="EO217" s="53" t="inlineStr">
        <is>
          <t>Not Ready</t>
        </is>
      </c>
      <c r="EP217" s="53" t="inlineStr">
        <is>
          <t>No</t>
        </is>
      </c>
      <c r="EQ217" s="53" t="inlineStr">
        <is>
          <t>No</t>
        </is>
      </c>
      <c r="ER217" s="53" t="n"/>
      <c r="ES217" s="53" t="inlineStr">
        <is>
          <t>XBRL Training, Training on the effective utilization of AI tools.</t>
        </is>
      </c>
      <c r="ET217" s="53" t="n"/>
      <c r="EU217" s="53" t="n"/>
      <c r="EV217" s="53" t="n"/>
      <c r="EW217" s="52" t="n"/>
      <c r="EX217" s="53" t="n"/>
      <c r="EY217" s="53" t="n"/>
      <c r="EZ217" s="53" t="n"/>
      <c r="FA217" s="53" t="n"/>
      <c r="FB217" s="53" t="n"/>
      <c r="FC217" s="53" t="n"/>
      <c r="FD217" s="53" t="n"/>
      <c r="FE217"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FF217" s="56"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FG217" s="56"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FH217" s="56" t="inlineStr">
        <is>
          <t>2</t>
        </is>
      </c>
      <c r="FI217" s="56" t="n"/>
      <c r="FJ217" s="56" t="inlineStr">
        <is>
          <t>Received · manager annual, quarterly, self</t>
        </is>
      </c>
      <c r="FK217" s="56" t="inlineStr">
        <is>
          <t>Talent Mapping · iDEAL</t>
        </is>
      </c>
      <c r="FL217" s="56" t="n">
        <v>19</v>
      </c>
      <c r="FM217" s="32" t="inlineStr">
        <is>
          <t>Full survey answers not in the files received · How We Grow export needed · HR</t>
        </is>
      </c>
      <c r="FN217" s="56" t="inlineStr">
        <is>
          <t>—</t>
        </is>
      </c>
      <c r="FO217" s="56" t="inlineStr">
        <is>
          <t>—</t>
        </is>
      </c>
      <c r="FP217" s="56" t="inlineStr">
        <is>
          <t>—</t>
        </is>
      </c>
      <c r="FQ217" s="56" t="inlineStr">
        <is>
          <t>—</t>
        </is>
      </c>
      <c r="FR217" s="56"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Answers for zero production issues for clients and feasibility of solutions he proposes → matches the start
Leadership: Evidence reads like A2: Performs scrum master responsibilities 'a bit'; explains requirements to developers → matches the start
Business Impact: No survey or manager-mapping signal on criticality: kept at the start point.</t>
        </is>
      </c>
      <c r="FS217"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7" s="56" t="inlineStr">
        <is>
          <t>Self-identified: AI / automation · Product &amp; tool knowledge
For the next role: AI / automation · Product &amp; tool knowledge</t>
        </is>
      </c>
      <c r="FU217" s="32" t="inlineStr">
        <is>
          <t>Full survey answers not in the files received · How We Grow export needed · HR</t>
        </is>
      </c>
    </row>
    <row r="218" ht="90" customHeight="1">
      <c r="A218" s="51" t="inlineStr">
        <is>
          <t>◂ Back</t>
        </is>
      </c>
      <c r="B218" s="29" t="inlineStr">
        <is>
          <t>Mapped</t>
        </is>
      </c>
      <c r="C218" s="28" t="inlineStr">
        <is>
          <t>iDEAL</t>
        </is>
      </c>
      <c r="D218" s="29" t="inlineStr">
        <is>
          <t>IRIS2505</t>
        </is>
      </c>
      <c r="E218" s="29" t="inlineStr">
        <is>
          <t>Rohit Patil</t>
        </is>
      </c>
      <c r="F218" s="29" t="inlineStr">
        <is>
          <t>Sales</t>
        </is>
      </c>
      <c r="G218" s="29" t="inlineStr">
        <is>
          <t>Manager Sales</t>
        </is>
      </c>
      <c r="H218" s="29" t="inlineStr">
        <is>
          <t>Senior Account Executive</t>
        </is>
      </c>
      <c r="I218" s="29" t="inlineStr">
        <is>
          <t>L5 – Manager</t>
        </is>
      </c>
      <c r="J218" s="29" t="inlineStr">
        <is>
          <t>B2</t>
        </is>
      </c>
      <c r="K218" s="29" t="inlineStr">
        <is>
          <t>• Same level</t>
        </is>
      </c>
      <c r="L218" s="29" t="inlineStr">
        <is>
          <t>Sales &amp; Business Development</t>
        </is>
      </c>
      <c r="M218" s="29" t="inlineStr">
        <is>
          <t>Enterprise Sales &amp; Account Management</t>
        </is>
      </c>
      <c r="N218" s="29" t="n"/>
      <c r="O218" s="29" t="n">
        <v>20</v>
      </c>
      <c r="P218" s="28" t="inlineStr">
        <is>
          <t>P4 / M3</t>
        </is>
      </c>
      <c r="Q218" s="29" t="inlineStr">
        <is>
          <t>Senior / Manager</t>
        </is>
      </c>
      <c r="R218" s="29" t="inlineStr">
        <is>
          <t>4–5</t>
        </is>
      </c>
      <c r="S218" s="29" t="inlineStr">
        <is>
          <t>6–9 yrs</t>
        </is>
      </c>
      <c r="T218" s="29" t="inlineStr">
        <is>
          <t>7–10 · 6–11</t>
        </is>
      </c>
      <c r="U218" s="29" t="inlineStr">
        <is>
          <t>Senior Account Executive</t>
        </is>
      </c>
      <c r="V218" s="29" t="inlineStr">
        <is>
          <t>IRIS Vs Competitor Benchmark — SaaS sales ladder — IC: Mid-Market AE · IRIS Vs Competitor Benchmark — SaaS sales ladder — management: Sales Manager</t>
        </is>
      </c>
      <c r="W218" s="29" t="inlineStr">
        <is>
          <t>SaaS sales ladder · SDR → AE → Enterprise AE → VP / CRO; MEDDICC-style qualification</t>
        </is>
      </c>
      <c r="X218" s="29" t="inlineStr">
        <is>
          <t>Core 3 · Future 3 · Functional 4 · Leadership 2</t>
        </is>
      </c>
      <c r="Y218" s="52" t="n">
        <v>475</v>
      </c>
      <c r="Z218" s="53" t="inlineStr">
        <is>
          <t>IRIS2505</t>
        </is>
      </c>
      <c r="AA218" s="53" t="inlineStr">
        <is>
          <t>Employee</t>
        </is>
      </c>
      <c r="AB218" s="53" t="inlineStr">
        <is>
          <t>Active</t>
        </is>
      </c>
      <c r="AC218" s="53" t="inlineStr">
        <is>
          <t>Rohit Patil</t>
        </is>
      </c>
      <c r="AD218" s="54" t="n">
        <v>46114</v>
      </c>
      <c r="AE218" s="53" t="inlineStr">
        <is>
          <t>Manager Sales</t>
        </is>
      </c>
      <c r="AF218" s="53" t="inlineStr">
        <is>
          <t>MBA</t>
        </is>
      </c>
      <c r="AG218" s="53" t="inlineStr">
        <is>
          <t>Hemant Karale</t>
        </is>
      </c>
      <c r="AH218" s="53" t="inlineStr">
        <is>
          <t>N-3</t>
        </is>
      </c>
      <c r="AI218" s="53" t="inlineStr">
        <is>
          <t>Individual Contributor</t>
        </is>
      </c>
      <c r="AJ218" s="53" t="inlineStr">
        <is>
          <t>16 years, 0 months, 0 days</t>
        </is>
      </c>
      <c r="AK218" s="53" t="inlineStr">
        <is>
          <t>0 years, 4 months, 23 days</t>
        </is>
      </c>
      <c r="AL218" s="53" t="inlineStr">
        <is>
          <t>Regtech</t>
        </is>
      </c>
      <c r="AM218" s="53" t="inlineStr">
        <is>
          <t>iDEAL</t>
        </is>
      </c>
      <c r="AN218" s="53" t="inlineStr">
        <is>
          <t>Sales</t>
        </is>
      </c>
      <c r="AO218" s="53" t="inlineStr">
        <is>
          <t>Sales</t>
        </is>
      </c>
      <c r="AP218" s="53" t="inlineStr">
        <is>
          <t>No</t>
        </is>
      </c>
      <c r="AQ218" s="53" t="inlineStr">
        <is>
          <t>Sales, Marketing &amp; Support</t>
        </is>
      </c>
      <c r="AR218" s="53" t="inlineStr">
        <is>
          <t>Sales</t>
        </is>
      </c>
      <c r="AS218" s="53" t="inlineStr">
        <is>
          <t>Non-technical</t>
        </is>
      </c>
      <c r="AT218" s="53" t="n">
        <v>20</v>
      </c>
      <c r="AU218" s="53" t="inlineStr">
        <is>
          <t>Covered</t>
        </is>
      </c>
      <c r="AV218" s="53" t="n"/>
      <c r="AW218" s="53" t="n"/>
      <c r="AX218" s="53" t="n"/>
      <c r="AY218" s="53" t="n"/>
      <c r="AZ218" s="53" t="n"/>
      <c r="BA218" s="53" t="n"/>
      <c r="BB218" s="53" t="n"/>
      <c r="BC218" s="53" t="n"/>
      <c r="BD218" s="53" t="n"/>
      <c r="BE218" s="53" t="n"/>
      <c r="BF218" s="53" t="n"/>
      <c r="BG218" s="53" t="n"/>
      <c r="BH218" s="53" t="n"/>
      <c r="BI218" s="53" t="n"/>
      <c r="BJ218" s="53" t="n"/>
      <c r="BK218" s="53" t="n"/>
      <c r="BL218" s="53" t="n"/>
      <c r="BM218" s="53" t="n"/>
      <c r="BN218" s="53" t="n"/>
      <c r="BO218" s="53" t="n"/>
      <c r="BP218" s="53" t="n"/>
      <c r="BQ218" s="53" t="n"/>
      <c r="BR218" s="53" t="n"/>
      <c r="BS218" s="53" t="n"/>
      <c r="BT218" s="53" t="n"/>
      <c r="BU218" s="53" t="n"/>
      <c r="BV218" s="53" t="n"/>
      <c r="BW218" s="53" t="n"/>
      <c r="BX218" s="53" t="n"/>
      <c r="BY218" s="53" t="n"/>
      <c r="BZ218" s="53" t="n"/>
      <c r="CA218" s="53" t="n"/>
      <c r="CB218" s="53" t="n"/>
      <c r="CC218" s="53" t="n"/>
      <c r="CD218" s="53" t="n"/>
      <c r="CE218" s="53" t="n"/>
      <c r="CF218" s="53" t="n"/>
      <c r="CG218" s="53" t="n"/>
      <c r="CH218" s="53" t="n"/>
      <c r="CI218" s="53" t="n"/>
      <c r="CJ218" s="53" t="n"/>
      <c r="CK218" s="53" t="n"/>
      <c r="CL218" s="53" t="n"/>
      <c r="CM218" s="53" t="n"/>
      <c r="CN218" s="53" t="n"/>
      <c r="CO218" s="53" t="n"/>
      <c r="CP218" s="53" t="n"/>
      <c r="CQ218" s="53" t="n"/>
      <c r="CR218" s="53" t="n"/>
      <c r="CS218" s="53" t="n"/>
      <c r="CT218" s="53" t="n"/>
      <c r="CU218" s="53" t="n"/>
      <c r="CV218" s="53" t="n"/>
      <c r="CW218" s="53" t="n"/>
      <c r="CX218" s="53" t="n"/>
      <c r="CY218" s="53" t="n"/>
      <c r="CZ218" s="53" t="n"/>
      <c r="DA218" s="53" t="n"/>
      <c r="DB218" s="53" t="n"/>
      <c r="DC218" s="53" t="n"/>
      <c r="DD218" s="53" t="inlineStr">
        <is>
          <t>IRIS2505</t>
        </is>
      </c>
      <c r="DE218" s="53" t="inlineStr">
        <is>
          <t>Employee</t>
        </is>
      </c>
      <c r="DF218" s="53" t="inlineStr">
        <is>
          <t>Active</t>
        </is>
      </c>
      <c r="DG218" s="53" t="inlineStr">
        <is>
          <t>Rohit Patil</t>
        </is>
      </c>
      <c r="DH218" s="54" t="n">
        <v>46114</v>
      </c>
      <c r="DI218" s="53" t="inlineStr">
        <is>
          <t>Manager Sales</t>
        </is>
      </c>
      <c r="DJ218" s="53" t="inlineStr">
        <is>
          <t>Sales &amp; Business Development</t>
        </is>
      </c>
      <c r="DK218" s="53" t="inlineStr">
        <is>
          <t>Sales / Account Management</t>
        </is>
      </c>
      <c r="DL218" s="53" t="inlineStr">
        <is>
          <t>Manager Sales</t>
        </is>
      </c>
      <c r="DM218" s="53" t="inlineStr">
        <is>
          <t>L5 – Manager</t>
        </is>
      </c>
      <c r="DN218" s="53" t="inlineStr">
        <is>
          <t>MBA</t>
        </is>
      </c>
      <c r="DO218" s="53" t="inlineStr">
        <is>
          <t>Hemant Karale</t>
        </is>
      </c>
      <c r="DP218" s="53" t="inlineStr">
        <is>
          <t>N-3</t>
        </is>
      </c>
      <c r="DQ218" s="53" t="inlineStr">
        <is>
          <t>Individual Contributor</t>
        </is>
      </c>
      <c r="DR218" s="53" t="inlineStr">
        <is>
          <t>16 years, 0 months, 0 days</t>
        </is>
      </c>
      <c r="DS218" s="53" t="inlineStr">
        <is>
          <t>0 years, 2 months, 18 days</t>
        </is>
      </c>
      <c r="DT218" s="53" t="inlineStr">
        <is>
          <t>16 years, 2 months, 18 days</t>
        </is>
      </c>
      <c r="DU218" s="53" t="n"/>
      <c r="DV218" s="53" t="inlineStr">
        <is>
          <t>Regtech</t>
        </is>
      </c>
      <c r="DW218" s="53" t="inlineStr">
        <is>
          <t>iDEAL</t>
        </is>
      </c>
      <c r="DX218" s="53" t="inlineStr">
        <is>
          <t>Sales</t>
        </is>
      </c>
      <c r="DY218" s="53" t="inlineStr">
        <is>
          <t>Sales</t>
        </is>
      </c>
      <c r="DZ218" s="53" t="inlineStr">
        <is>
          <t>No</t>
        </is>
      </c>
      <c r="EA218" s="53" t="inlineStr">
        <is>
          <t>Sales, Marketing &amp; Support</t>
        </is>
      </c>
      <c r="EB218" s="53" t="inlineStr">
        <is>
          <t>Sales</t>
        </is>
      </c>
      <c r="EC218" s="53" t="inlineStr">
        <is>
          <t>Non-technical</t>
        </is>
      </c>
      <c r="ED218" s="53" t="inlineStr">
        <is>
          <t>Work From Office - Turbhe</t>
        </is>
      </c>
      <c r="EE218" s="53" t="n"/>
      <c r="EF218" s="53"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G218" s="53" t="inlineStr">
        <is>
          <t>1. Close &gt; 1 NBFCS clients
2. Generate 6 NBFC &amp; 3 Banking qualified leads</t>
        </is>
      </c>
      <c r="EH218" s="53" t="n">
        <v>2</v>
      </c>
      <c r="EI218" s="53" t="n"/>
      <c r="EJ218" s="53" t="inlineStr">
        <is>
          <t>Same as per records</t>
        </is>
      </c>
      <c r="EK218" s="53" t="n"/>
      <c r="EL218" s="53" t="n"/>
      <c r="EM218" s="53" t="n"/>
      <c r="EN218" s="53" t="n"/>
      <c r="EO218" s="53" t="n"/>
      <c r="EP218" s="53" t="n"/>
      <c r="EQ218" s="53" t="n"/>
      <c r="ER218" s="53" t="n"/>
      <c r="ES218" s="53" t="inlineStr">
        <is>
          <t>XBRL Training, Training on the effective utilization of AI tools.</t>
        </is>
      </c>
      <c r="ET218" s="53" t="n"/>
      <c r="EU218" s="53" t="n"/>
      <c r="EV218" s="53" t="n"/>
      <c r="EW218" s="52" t="n"/>
      <c r="EX218" s="53" t="n"/>
      <c r="EY218" s="53" t="n"/>
      <c r="EZ218" s="53" t="n"/>
      <c r="FA218" s="53" t="n"/>
      <c r="FB218" s="53" t="n"/>
      <c r="FC218" s="53" t="n"/>
      <c r="FD218" s="53" t="n"/>
      <c r="FE218" s="57"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FF218" s="56" t="inlineStr">
        <is>
          <t>1. Close &gt; 1 NBFCS clients
2. Generate 6 NBFC &amp; 3 Banking qualified leads</t>
        </is>
      </c>
      <c r="FG218" s="56" t="n"/>
      <c r="FH218" s="56" t="inlineStr">
        <is>
          <t>2</t>
        </is>
      </c>
      <c r="FI218" s="56" t="n"/>
      <c r="FJ218" s="56" t="inlineStr">
        <is>
          <t>Received · manager annual, quarterly</t>
        </is>
      </c>
      <c r="FK218" s="56" t="inlineStr">
        <is>
          <t>Talent Mapping · iDEAL</t>
        </is>
      </c>
      <c r="FL218" s="56" t="n">
        <v>20</v>
      </c>
      <c r="FM218" s="32" t="inlineStr">
        <is>
          <t>Full survey answers not in the files received · How We Grow export needed · HR</t>
        </is>
      </c>
      <c r="FN218" s="56" t="inlineStr">
        <is>
          <t>—</t>
        </is>
      </c>
      <c r="FO218" s="56" t="inlineStr">
        <is>
          <t>—</t>
        </is>
      </c>
      <c r="FP218" s="56" t="inlineStr">
        <is>
          <t>—</t>
        </is>
      </c>
      <c r="FQ218" s="56" t="inlineStr">
        <is>
          <t>—</t>
        </is>
      </c>
      <c r="FR218" s="56"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quoted → matches the start
Leadership: Evidence reads like A1: No guidance or leadership of others described → moved down 0.5
Business Impact: No survey or manager-mapping signal on criticality: kept at the start point.</t>
        </is>
      </c>
      <c r="FS218"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18" s="56" t="inlineStr">
        <is>
          <t>Self-identified: AI / automation · Client, sales &amp; stakeholders · Certification / formal course
For the next role: AI / automation · Client, sales &amp; stakeholders · Certification / formal course</t>
        </is>
      </c>
      <c r="FU218" s="32" t="inlineStr">
        <is>
          <t>Full survey answers not in the files received · How We Grow export needed · HR</t>
        </is>
      </c>
    </row>
    <row r="219" ht="90" customHeight="1">
      <c r="A219" s="51" t="inlineStr">
        <is>
          <t>◂ Back</t>
        </is>
      </c>
      <c r="B219" s="29" t="inlineStr">
        <is>
          <t>Mapped</t>
        </is>
      </c>
      <c r="C219" s="28" t="inlineStr">
        <is>
          <t>iDEAL</t>
        </is>
      </c>
      <c r="D219" s="29" t="inlineStr">
        <is>
          <t>IRIS1158</t>
        </is>
      </c>
      <c r="E219" s="29" t="inlineStr">
        <is>
          <t>Yuvraj Kharchane</t>
        </is>
      </c>
      <c r="F219" s="29" t="inlineStr">
        <is>
          <t>Product Management</t>
        </is>
      </c>
      <c r="G219" s="29" t="inlineStr">
        <is>
          <t>Product Manager</t>
        </is>
      </c>
      <c r="H219" s="29" t="inlineStr">
        <is>
          <t>Product Manager</t>
        </is>
      </c>
      <c r="I219" s="29" t="inlineStr">
        <is>
          <t>L5 – Manager</t>
        </is>
      </c>
      <c r="J219" s="29" t="inlineStr">
        <is>
          <t>B2</t>
        </is>
      </c>
      <c r="K219" s="29" t="inlineStr">
        <is>
          <t>• Same level</t>
        </is>
      </c>
      <c r="L219" s="29" t="inlineStr">
        <is>
          <t>Product Management</t>
        </is>
      </c>
      <c r="M219" s="29" t="inlineStr">
        <is>
          <t>Product Management</t>
        </is>
      </c>
      <c r="N219" s="29" t="n"/>
      <c r="O219" s="29" t="n">
        <v>20</v>
      </c>
      <c r="P219" s="28" t="inlineStr">
        <is>
          <t>P4 / M3</t>
        </is>
      </c>
      <c r="Q219" s="29" t="inlineStr">
        <is>
          <t>Senior / Manager</t>
        </is>
      </c>
      <c r="R219" s="29" t="inlineStr">
        <is>
          <t>4–5</t>
        </is>
      </c>
      <c r="S219" s="29" t="inlineStr">
        <is>
          <t>6–9 yrs</t>
        </is>
      </c>
      <c r="T219" s="29" t="inlineStr">
        <is>
          <t>7–10 · 6–11</t>
        </is>
      </c>
      <c r="U219" s="29" t="inlineStr">
        <is>
          <t>Manager</t>
        </is>
      </c>
      <c r="V219" s="29" t="inlineStr">
        <is>
          <t>IRIS Vs Competitor Benchmark — SaaS product ladder: Senior PM</t>
        </is>
      </c>
      <c r="W219" s="29" t="inlineStr">
        <is>
          <t>Pragmatic Institute Framework · 37 activities, 7 categories; AIPMM</t>
        </is>
      </c>
      <c r="X219" s="29" t="inlineStr">
        <is>
          <t>Core 3 · Future 3 · Functional 4 · Leadership 3</t>
        </is>
      </c>
      <c r="Y219" s="52" t="n">
        <v>110</v>
      </c>
      <c r="Z219" s="53" t="inlineStr">
        <is>
          <t>IRIS1158</t>
        </is>
      </c>
      <c r="AA219" s="53" t="inlineStr">
        <is>
          <t>Employee</t>
        </is>
      </c>
      <c r="AB219" s="53" t="inlineStr">
        <is>
          <t>Active</t>
        </is>
      </c>
      <c r="AC219" s="53" t="inlineStr">
        <is>
          <t>Yuvraj Kharchane</t>
        </is>
      </c>
      <c r="AD219" s="54" t="n">
        <v>41078</v>
      </c>
      <c r="AE219" s="53" t="inlineStr">
        <is>
          <t>Product Manager</t>
        </is>
      </c>
      <c r="AF219" s="53" t="inlineStr">
        <is>
          <t>MBA</t>
        </is>
      </c>
      <c r="AG219" s="53" t="inlineStr">
        <is>
          <t>Hemant Karale</t>
        </is>
      </c>
      <c r="AH219" s="53" t="inlineStr">
        <is>
          <t>N-3</t>
        </is>
      </c>
      <c r="AI219" s="53" t="inlineStr">
        <is>
          <t>Manager</t>
        </is>
      </c>
      <c r="AJ219" s="53" t="inlineStr">
        <is>
          <t>0 years, 0 months, 0 days</t>
        </is>
      </c>
      <c r="AK219" s="53" t="inlineStr">
        <is>
          <t>14 years, 2 months, 7 days</t>
        </is>
      </c>
      <c r="AL219" s="53" t="inlineStr">
        <is>
          <t>Regtech</t>
        </is>
      </c>
      <c r="AM219" s="53" t="inlineStr">
        <is>
          <t>iDEAL</t>
        </is>
      </c>
      <c r="AN219" s="53" t="inlineStr">
        <is>
          <t>Product Management</t>
        </is>
      </c>
      <c r="AO219" s="53" t="inlineStr">
        <is>
          <t>Client Engagement</t>
        </is>
      </c>
      <c r="AP219" s="53" t="inlineStr">
        <is>
          <t>No</t>
        </is>
      </c>
      <c r="AQ219" s="53" t="inlineStr">
        <is>
          <t>Client Engagement</t>
        </is>
      </c>
      <c r="AR219" s="53" t="inlineStr">
        <is>
          <t>Product Management</t>
        </is>
      </c>
      <c r="AS219" s="53" t="inlineStr">
        <is>
          <t>Technical · BA, PM and QA</t>
        </is>
      </c>
      <c r="AT219" s="53" t="n">
        <v>20</v>
      </c>
      <c r="AU219" s="53" t="inlineStr">
        <is>
          <t>Covered</t>
        </is>
      </c>
      <c r="AV219" s="53" t="n"/>
      <c r="AW219" s="53" t="n"/>
      <c r="AX219" s="53" t="n"/>
      <c r="AY219" s="53" t="n"/>
      <c r="AZ219" s="53" t="n"/>
      <c r="BA219" s="53" t="n"/>
      <c r="BB219" s="53" t="n"/>
      <c r="BC219" s="53" t="n"/>
      <c r="BD219" s="53" t="n"/>
      <c r="BE219" s="53" t="n"/>
      <c r="BF219" s="53" t="n"/>
      <c r="BG219" s="53" t="n"/>
      <c r="BH219" s="53" t="n"/>
      <c r="BI219" s="53" t="n"/>
      <c r="BJ219" s="53" t="n"/>
      <c r="BK219" s="53" t="n"/>
      <c r="BL219" s="53" t="n"/>
      <c r="BM219" s="53" t="n"/>
      <c r="BN219" s="53" t="n"/>
      <c r="BO219" s="53" t="n"/>
      <c r="BP219" s="53" t="n"/>
      <c r="BQ219" s="53" t="n"/>
      <c r="BR219" s="53" t="n"/>
      <c r="BS219" s="53" t="n"/>
      <c r="BT219" s="53" t="n"/>
      <c r="BU219" s="53" t="n"/>
      <c r="BV219" s="53" t="n"/>
      <c r="BW219" s="53" t="n"/>
      <c r="BX219" s="53" t="n"/>
      <c r="BY219" s="53" t="n"/>
      <c r="BZ219" s="53" t="n"/>
      <c r="CA219" s="53" t="n"/>
      <c r="CB219" s="53" t="n"/>
      <c r="CC219" s="53" t="n"/>
      <c r="CD219" s="53" t="n"/>
      <c r="CE219" s="53" t="n"/>
      <c r="CF219" s="53" t="n"/>
      <c r="CG219" s="53" t="n"/>
      <c r="CH219" s="53" t="n"/>
      <c r="CI219" s="53" t="n"/>
      <c r="CJ219" s="53" t="n"/>
      <c r="CK219" s="53" t="n"/>
      <c r="CL219" s="53" t="n"/>
      <c r="CM219" s="53" t="n"/>
      <c r="CN219" s="53" t="n"/>
      <c r="CO219" s="53" t="n"/>
      <c r="CP219" s="53" t="n"/>
      <c r="CQ219" s="53" t="n"/>
      <c r="CR219" s="53" t="n"/>
      <c r="CS219" s="53" t="n"/>
      <c r="CT219" s="53" t="n"/>
      <c r="CU219" s="53" t="n"/>
      <c r="CV219" s="53" t="n"/>
      <c r="CW219" s="53" t="n"/>
      <c r="CX219" s="53" t="n"/>
      <c r="CY219" s="53" t="n"/>
      <c r="CZ219" s="53" t="n"/>
      <c r="DA219" s="53" t="n"/>
      <c r="DB219" s="53" t="n"/>
      <c r="DC219" s="53" t="n"/>
      <c r="DD219" s="53" t="inlineStr">
        <is>
          <t>IRIS1158</t>
        </is>
      </c>
      <c r="DE219" s="53" t="inlineStr">
        <is>
          <t>Employee</t>
        </is>
      </c>
      <c r="DF219" s="53" t="inlineStr">
        <is>
          <t>Active</t>
        </is>
      </c>
      <c r="DG219" s="53" t="inlineStr">
        <is>
          <t>Yuvraj Kharchane</t>
        </is>
      </c>
      <c r="DH219" s="54" t="n">
        <v>41078</v>
      </c>
      <c r="DI219" s="53" t="inlineStr">
        <is>
          <t>Product Manager</t>
        </is>
      </c>
      <c r="DJ219" s="53" t="inlineStr">
        <is>
          <t>Product Management</t>
        </is>
      </c>
      <c r="DK219" s="53" t="inlineStr">
        <is>
          <t>Product Management</t>
        </is>
      </c>
      <c r="DL219" s="53" t="inlineStr">
        <is>
          <t>Product Manager</t>
        </is>
      </c>
      <c r="DM219" s="53" t="inlineStr">
        <is>
          <t>L5 – Manager</t>
        </is>
      </c>
      <c r="DN219" s="53" t="inlineStr">
        <is>
          <t>MBA</t>
        </is>
      </c>
      <c r="DO219" s="53" t="inlineStr">
        <is>
          <t>Hemant Karale</t>
        </is>
      </c>
      <c r="DP219" s="53" t="inlineStr">
        <is>
          <t>N-3</t>
        </is>
      </c>
      <c r="DQ219" s="53" t="inlineStr">
        <is>
          <t>Manager</t>
        </is>
      </c>
      <c r="DR219" s="53" t="inlineStr">
        <is>
          <t>0 years, 0 months, 0 days</t>
        </is>
      </c>
      <c r="DS219" s="53" t="inlineStr">
        <is>
          <t>14 years, 0 months, 2 days</t>
        </is>
      </c>
      <c r="DT219" s="53" t="inlineStr">
        <is>
          <t>14 years, 0 months, 2 days</t>
        </is>
      </c>
      <c r="DU219" s="53" t="n">
        <v>14.0054794520548</v>
      </c>
      <c r="DV219" s="53" t="inlineStr">
        <is>
          <t>Regtech</t>
        </is>
      </c>
      <c r="DW219" s="53" t="inlineStr">
        <is>
          <t>iDEAL</t>
        </is>
      </c>
      <c r="DX219" s="53" t="inlineStr">
        <is>
          <t>Product Management</t>
        </is>
      </c>
      <c r="DY219" s="53" t="inlineStr">
        <is>
          <t>Client Engagement</t>
        </is>
      </c>
      <c r="DZ219" s="53" t="inlineStr">
        <is>
          <t>No</t>
        </is>
      </c>
      <c r="EA219" s="53" t="inlineStr">
        <is>
          <t>Client Engagement</t>
        </is>
      </c>
      <c r="EB219" s="53" t="inlineStr">
        <is>
          <t>Product Management</t>
        </is>
      </c>
      <c r="EC219" s="53" t="inlineStr">
        <is>
          <t>Technical · BA, PM and QA</t>
        </is>
      </c>
      <c r="ED219" s="53" t="inlineStr">
        <is>
          <t>Remote - Mumbai</t>
        </is>
      </c>
      <c r="EE219" s="53"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EF219" s="53"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EG219" s="53" t="inlineStr">
        <is>
          <t>1. Manage 15 EBR report development, delivery 
2. Close &gt; 3 EBR clients
3. Generate 6 qualified leads</t>
        </is>
      </c>
      <c r="EH219" s="53" t="n">
        <v>5</v>
      </c>
      <c r="EI219" s="54" t="n">
        <v>45931</v>
      </c>
      <c r="EJ219" s="53" t="inlineStr">
        <is>
          <t>Same as current designation</t>
        </is>
      </c>
      <c r="EK219" s="53" t="inlineStr">
        <is>
          <t>No</t>
        </is>
      </c>
      <c r="EL219" s="53" t="n">
        <v>5</v>
      </c>
      <c r="EM219" s="53" t="inlineStr">
        <is>
          <t>High</t>
        </is>
      </c>
      <c r="EN219" s="53" t="inlineStr">
        <is>
          <t>Core Contributor</t>
        </is>
      </c>
      <c r="EO219" s="53" t="inlineStr">
        <is>
          <t>Ready Now</t>
        </is>
      </c>
      <c r="EP219" s="53" t="n"/>
      <c r="EQ219" s="53" t="inlineStr">
        <is>
          <t>Yes</t>
        </is>
      </c>
      <c r="ER219" s="53" t="n"/>
      <c r="ES219" s="53" t="inlineStr">
        <is>
          <t>Product discovery &amp; prioritisation, Information research</t>
        </is>
      </c>
      <c r="ET219" s="53" t="inlineStr">
        <is>
          <t>Leadership development: strategic thinking, cross-functional influence, financial/business acumen, succession &amp; talent development, change management, executive communication</t>
        </is>
      </c>
      <c r="EU219" s="53" t="n"/>
      <c r="EV219" s="53" t="n"/>
      <c r="EW219" s="52" t="n"/>
      <c r="EX219" s="53" t="n"/>
      <c r="EY219" s="53" t="n"/>
      <c r="EZ219" s="53" t="n"/>
      <c r="FA219" s="53" t="n"/>
      <c r="FB219" s="53" t="n"/>
      <c r="FC219" s="53" t="n"/>
      <c r="FD219" s="53" t="n"/>
      <c r="FE219" s="57"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FF219" s="56" t="inlineStr">
        <is>
          <t>1. Manage 15 EBR report development, delivery 
2. Close &gt; 3 EBR clients
3. Generate 6 qualified leads</t>
        </is>
      </c>
      <c r="FG219" s="56"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FH219" s="56" t="inlineStr">
        <is>
          <t>5</t>
        </is>
      </c>
      <c r="FI219" s="56" t="n"/>
      <c r="FJ219" s="56" t="inlineStr">
        <is>
          <t>Received · manager annual, quarterly, self</t>
        </is>
      </c>
      <c r="FK219" s="56" t="inlineStr">
        <is>
          <t>Talent Mapping · iDEAL</t>
        </is>
      </c>
      <c r="FL219" s="56" t="n">
        <v>20</v>
      </c>
      <c r="FM219" s="32" t="inlineStr">
        <is>
          <t>Full survey answers not in the files received · How We Grow export needed · HR</t>
        </is>
      </c>
      <c r="FN219" s="56" t="inlineStr">
        <is>
          <t>—</t>
        </is>
      </c>
      <c r="FO219" s="56" t="inlineStr">
        <is>
          <t>—</t>
        </is>
      </c>
      <c r="FP219" s="56" t="inlineStr">
        <is>
          <t>—</t>
        </is>
      </c>
      <c r="FQ219" s="56" t="inlineStr">
        <is>
          <t>—</t>
        </is>
      </c>
      <c r="FR219" s="56"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like B2: own survey / KRA answers · summarised by the rater; not quoted → matches the start
Leadership: Evidence reads like B1: Six direct reports in HR data; text does not describe managing them → moved down 0.5
Business Impact: Moved +0.5: the survey / manager mapping marks it business-critical.</t>
        </is>
      </c>
      <c r="FS219"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219" s="56" t="inlineStr">
        <is>
          <t>Self-identified: Leadership &amp; people management · Product &amp; tool knowledge · Client, sales &amp; stakeholders · Strategy &amp; business acumen · Broader exposure &amp; ownership
For the next role: Leadership &amp; people management · Product &amp; tool knowledge · Client, sales &amp; stakeholders · Strategy &amp; business acumen · Broader exposure &amp; ownership</t>
        </is>
      </c>
      <c r="FU219" s="32" t="inlineStr">
        <is>
          <t>Full survey answers not in the files received · How We Grow export needed · HR</t>
        </is>
      </c>
    </row>
    <row r="220" ht="90" customHeight="1">
      <c r="A220" s="51" t="inlineStr">
        <is>
          <t>◂ Back</t>
        </is>
      </c>
      <c r="B220" s="29" t="inlineStr">
        <is>
          <t>Mapped</t>
        </is>
      </c>
      <c r="C220" s="28" t="inlineStr">
        <is>
          <t>iDEAL</t>
        </is>
      </c>
      <c r="D220" s="29" t="inlineStr">
        <is>
          <t>IRIS1178</t>
        </is>
      </c>
      <c r="E220" s="29" t="inlineStr">
        <is>
          <t>Anand Shinde</t>
        </is>
      </c>
      <c r="F220" s="29" t="inlineStr">
        <is>
          <t>Technology</t>
        </is>
      </c>
      <c r="G220" s="29" t="inlineStr">
        <is>
          <t>Senior Business Analyst</t>
        </is>
      </c>
      <c r="H220" s="29" t="inlineStr">
        <is>
          <t>Business Analysis Specialist</t>
        </is>
      </c>
      <c r="I220" s="29" t="inlineStr">
        <is>
          <t>L4 – Senior</t>
        </is>
      </c>
      <c r="J220" s="29" t="inlineStr">
        <is>
          <t>B1</t>
        </is>
      </c>
      <c r="K220" s="29" t="inlineStr">
        <is>
          <t>▲ Up</t>
        </is>
      </c>
      <c r="L220" s="29" t="inlineStr">
        <is>
          <t>Business Analysis</t>
        </is>
      </c>
      <c r="M220" s="29" t="inlineStr">
        <is>
          <t>Business Analysis</t>
        </is>
      </c>
      <c r="N220" s="29" t="n"/>
      <c r="O220" s="29" t="n">
        <v>20</v>
      </c>
      <c r="P220" s="28" t="inlineStr">
        <is>
          <t>P3 / M2</t>
        </is>
      </c>
      <c r="Q220" s="29" t="inlineStr">
        <is>
          <t>Career / · Team Lead</t>
        </is>
      </c>
      <c r="R220" s="29" t="inlineStr">
        <is>
          <t>4 Enable</t>
        </is>
      </c>
      <c r="S220" s="29" t="inlineStr">
        <is>
          <t>4–7 yrs</t>
        </is>
      </c>
      <c r="T220" s="29" t="inlineStr">
        <is>
          <t>5–8 · 4–8</t>
        </is>
      </c>
      <c r="U220" s="29" t="inlineStr">
        <is>
          <t>Senior Business Analyst</t>
        </is>
      </c>
      <c r="V220" s="29" t="inlineStr">
        <is>
          <t>Regnology — regulatory reporting: BA · Reg Reporting · Big Four consulting: Senior Consultant · IRIS Vs Market Benchmark — IIBA certification pathway: CCBA · Infosys / Accenture: JL4 · L9 Consultant</t>
        </is>
      </c>
      <c r="W220" s="29" t="inlineStr">
        <is>
          <t>IIBA BABOK v3; certifications ECBA · entry → CCBA → CBAP · senior</t>
        </is>
      </c>
      <c r="X220" s="29" t="inlineStr">
        <is>
          <t>Core 3 · Future 3 · Functional 3 · Leadership 1</t>
        </is>
      </c>
      <c r="Y220" s="52" t="n">
        <v>111</v>
      </c>
      <c r="Z220" s="53" t="inlineStr">
        <is>
          <t>IRIS1178</t>
        </is>
      </c>
      <c r="AA220" s="53" t="inlineStr">
        <is>
          <t>Employee</t>
        </is>
      </c>
      <c r="AB220" s="53" t="inlineStr">
        <is>
          <t>Active</t>
        </is>
      </c>
      <c r="AC220" s="53" t="inlineStr">
        <is>
          <t>Anand Shinde</t>
        </is>
      </c>
      <c r="AD220" s="54" t="n">
        <v>41078</v>
      </c>
      <c r="AE220" s="53" t="inlineStr">
        <is>
          <t>Senior Business Analyst</t>
        </is>
      </c>
      <c r="AF220" s="53" t="inlineStr">
        <is>
          <t>MBA</t>
        </is>
      </c>
      <c r="AG220" s="53" t="inlineStr">
        <is>
          <t>Yuvraj Kharchane</t>
        </is>
      </c>
      <c r="AH220" s="53" t="inlineStr">
        <is>
          <t>N-4</t>
        </is>
      </c>
      <c r="AI220" s="53" t="inlineStr">
        <is>
          <t>Individual Contributor</t>
        </is>
      </c>
      <c r="AJ220" s="53" t="inlineStr">
        <is>
          <t>0 years, 0 months, 0 days</t>
        </is>
      </c>
      <c r="AK220" s="53" t="inlineStr">
        <is>
          <t>14 years, 2 months, 7 days</t>
        </is>
      </c>
      <c r="AL220" s="53" t="inlineStr">
        <is>
          <t>Regtech</t>
        </is>
      </c>
      <c r="AM220" s="53" t="inlineStr">
        <is>
          <t>iDEAL</t>
        </is>
      </c>
      <c r="AN220" s="53" t="inlineStr">
        <is>
          <t>Technology</t>
        </is>
      </c>
      <c r="AO220" s="53" t="inlineStr">
        <is>
          <t>Business Analysis</t>
        </is>
      </c>
      <c r="AP220" s="53" t="inlineStr">
        <is>
          <t>No</t>
        </is>
      </c>
      <c r="AQ220" s="53" t="inlineStr">
        <is>
          <t>Product/Project</t>
        </is>
      </c>
      <c r="AR220" s="53" t="inlineStr">
        <is>
          <t>Business Analysis</t>
        </is>
      </c>
      <c r="AS220" s="53" t="inlineStr">
        <is>
          <t>Technical · BA, PM and QA</t>
        </is>
      </c>
      <c r="AT220" s="53" t="n">
        <v>20</v>
      </c>
      <c r="AU220" s="53" t="inlineStr">
        <is>
          <t>Covered</t>
        </is>
      </c>
      <c r="AV220" s="53" t="n"/>
      <c r="AW220" s="53" t="n"/>
      <c r="AX220" s="53" t="n"/>
      <c r="AY220" s="53" t="n"/>
      <c r="AZ220" s="53" t="n"/>
      <c r="BA220" s="53" t="n"/>
      <c r="BB220" s="53" t="n"/>
      <c r="BC220" s="53" t="n"/>
      <c r="BD220" s="53" t="n"/>
      <c r="BE220" s="53" t="n"/>
      <c r="BF220" s="53" t="n"/>
      <c r="BG220" s="53" t="n"/>
      <c r="BH220" s="53" t="n"/>
      <c r="BI220" s="53" t="n"/>
      <c r="BJ220" s="53" t="n"/>
      <c r="BK220" s="53" t="n"/>
      <c r="BL220" s="53" t="n"/>
      <c r="BM220" s="53" t="n"/>
      <c r="BN220" s="53" t="n"/>
      <c r="BO220" s="53" t="n"/>
      <c r="BP220" s="53" t="n"/>
      <c r="BQ220" s="53" t="n"/>
      <c r="BR220" s="53" t="n"/>
      <c r="BS220" s="53" t="n"/>
      <c r="BT220" s="53" t="n"/>
      <c r="BU220" s="53" t="n"/>
      <c r="BV220" s="53" t="n"/>
      <c r="BW220" s="53" t="n"/>
      <c r="BX220" s="53" t="n"/>
      <c r="BY220" s="53" t="n"/>
      <c r="BZ220" s="53" t="n"/>
      <c r="CA220" s="53" t="n"/>
      <c r="CB220" s="53" t="n"/>
      <c r="CC220" s="53" t="n"/>
      <c r="CD220" s="53" t="n"/>
      <c r="CE220" s="53" t="n"/>
      <c r="CF220" s="53" t="n"/>
      <c r="CG220" s="53" t="n"/>
      <c r="CH220" s="53" t="n"/>
      <c r="CI220" s="53" t="n"/>
      <c r="CJ220" s="53" t="n"/>
      <c r="CK220" s="53" t="n"/>
      <c r="CL220" s="53" t="n"/>
      <c r="CM220" s="53" t="n"/>
      <c r="CN220" s="53" t="n"/>
      <c r="CO220" s="53" t="n"/>
      <c r="CP220" s="53" t="n"/>
      <c r="CQ220" s="53" t="n"/>
      <c r="CR220" s="53" t="n"/>
      <c r="CS220" s="53" t="n"/>
      <c r="CT220" s="53" t="n"/>
      <c r="CU220" s="53" t="n"/>
      <c r="CV220" s="53" t="n"/>
      <c r="CW220" s="53" t="n"/>
      <c r="CX220" s="53" t="n"/>
      <c r="CY220" s="53" t="n"/>
      <c r="CZ220" s="53" t="n"/>
      <c r="DA220" s="53" t="n"/>
      <c r="DB220" s="53" t="n"/>
      <c r="DC220" s="53" t="n"/>
      <c r="DD220" s="53" t="inlineStr">
        <is>
          <t>IRIS1178</t>
        </is>
      </c>
      <c r="DE220" s="53" t="inlineStr">
        <is>
          <t>Employee</t>
        </is>
      </c>
      <c r="DF220" s="53" t="inlineStr">
        <is>
          <t>Active</t>
        </is>
      </c>
      <c r="DG220" s="53" t="inlineStr">
        <is>
          <t>Anand Shinde</t>
        </is>
      </c>
      <c r="DH220" s="54" t="n">
        <v>41078</v>
      </c>
      <c r="DI220" s="53" t="inlineStr">
        <is>
          <t>Senior Business Analyst</t>
        </is>
      </c>
      <c r="DJ220" s="53" t="inlineStr">
        <is>
          <t>Business Analysis</t>
        </is>
      </c>
      <c r="DK220" s="53" t="inlineStr">
        <is>
          <t>Business / Functional Analysis</t>
        </is>
      </c>
      <c r="DL220" s="53" t="inlineStr">
        <is>
          <t>Senior Business Analyst</t>
        </is>
      </c>
      <c r="DM220" s="53" t="inlineStr">
        <is>
          <t>L4 – Senior</t>
        </is>
      </c>
      <c r="DN220" s="53" t="inlineStr">
        <is>
          <t>MBA</t>
        </is>
      </c>
      <c r="DO220" s="53" t="inlineStr">
        <is>
          <t>Yuvraj Kharchane</t>
        </is>
      </c>
      <c r="DP220" s="53" t="inlineStr">
        <is>
          <t>N-4</t>
        </is>
      </c>
      <c r="DQ220" s="53" t="inlineStr">
        <is>
          <t>Individual Contributor</t>
        </is>
      </c>
      <c r="DR220" s="53" t="inlineStr">
        <is>
          <t>0 years, 0 months, 0 days</t>
        </is>
      </c>
      <c r="DS220" s="53" t="inlineStr">
        <is>
          <t>14 years, 0 months, 2 days</t>
        </is>
      </c>
      <c r="DT220" s="53" t="inlineStr">
        <is>
          <t>14 years, 0 months, 2 days</t>
        </is>
      </c>
      <c r="DU220" s="53" t="n"/>
      <c r="DV220" s="53" t="inlineStr">
        <is>
          <t>Regtech</t>
        </is>
      </c>
      <c r="DW220" s="53" t="inlineStr">
        <is>
          <t>iDEAL</t>
        </is>
      </c>
      <c r="DX220" s="53" t="inlineStr">
        <is>
          <t>Technology</t>
        </is>
      </c>
      <c r="DY220" s="53" t="inlineStr">
        <is>
          <t>Business Analysis</t>
        </is>
      </c>
      <c r="DZ220" s="53" t="inlineStr">
        <is>
          <t>No</t>
        </is>
      </c>
      <c r="EA220" s="53" t="inlineStr">
        <is>
          <t>Product/Project</t>
        </is>
      </c>
      <c r="EB220" s="53" t="inlineStr">
        <is>
          <t>Business Analysis</t>
        </is>
      </c>
      <c r="EC220" s="53" t="inlineStr">
        <is>
          <t>Technical · BA, PM and QA</t>
        </is>
      </c>
      <c r="ED220" s="53" t="inlineStr">
        <is>
          <t>Remote - Mumbai</t>
        </is>
      </c>
      <c r="EE220" s="53"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EF220" s="53"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G220" s="53"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H220" s="53" t="n">
        <v>5</v>
      </c>
      <c r="EI220" s="54" t="n">
        <v>45931</v>
      </c>
      <c r="EJ220" s="53" t="inlineStr">
        <is>
          <t>Same as current designation</t>
        </is>
      </c>
      <c r="EK220" s="53" t="inlineStr">
        <is>
          <t>No</t>
        </is>
      </c>
      <c r="EL220" s="53" t="n">
        <v>5</v>
      </c>
      <c r="EM220" s="53" t="inlineStr">
        <is>
          <t>High</t>
        </is>
      </c>
      <c r="EN220" s="53" t="inlineStr">
        <is>
          <t>Trusted Professional</t>
        </is>
      </c>
      <c r="EO220" s="53" t="inlineStr">
        <is>
          <t>Ready in 12 Months</t>
        </is>
      </c>
      <c r="EP220" s="53" t="inlineStr">
        <is>
          <t>No</t>
        </is>
      </c>
      <c r="EQ220" s="53" t="inlineStr">
        <is>
          <t>Yes</t>
        </is>
      </c>
      <c r="ER220" s="53" t="n"/>
      <c r="ES220" s="53" t="inlineStr">
        <is>
          <t>Training on the effective utilization of AI tools.</t>
        </is>
      </c>
      <c r="ET220" s="53" t="n"/>
      <c r="EU220" s="53" t="n"/>
      <c r="EV220" s="53" t="n"/>
      <c r="EW220" s="52" t="n"/>
      <c r="EX220" s="53" t="n"/>
      <c r="EY220" s="53" t="n"/>
      <c r="EZ220" s="53" t="n"/>
      <c r="FA220" s="53" t="n"/>
      <c r="FB220" s="53" t="n"/>
      <c r="FC220" s="53" t="inlineStr">
        <is>
          <t>Annual KRAs · objective Measurable Minimum 5 - Self</t>
        </is>
      </c>
      <c r="FD220" s="53" t="n"/>
      <c r="FE220" s="57"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FF220" s="56"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FG220" s="56"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FH220" s="56" t="inlineStr">
        <is>
          <t>5</t>
        </is>
      </c>
      <c r="FI220" s="56" t="n"/>
      <c r="FJ220" s="56" t="inlineStr">
        <is>
          <t>Received · manager annual, quarterly, self</t>
        </is>
      </c>
      <c r="FK220" s="56" t="inlineStr">
        <is>
          <t>Talent Mapping · iDEAL</t>
        </is>
      </c>
      <c r="FL220" s="56" t="n">
        <v>20</v>
      </c>
      <c r="FM220" s="32" t="inlineStr">
        <is>
          <t>Full survey answers not in the files received · How We Grow export needed · HR</t>
        </is>
      </c>
      <c r="FN220" s="56" t="inlineStr">
        <is>
          <t>—</t>
        </is>
      </c>
      <c r="FO220" s="56" t="inlineStr">
        <is>
          <t>—</t>
        </is>
      </c>
      <c r="FP220" s="56" t="inlineStr">
        <is>
          <t>—</t>
        </is>
      </c>
      <c r="FQ220" s="56" t="inlineStr">
        <is>
          <t>—</t>
        </is>
      </c>
      <c r="FR220" s="56"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0.5
Leadership: Evidence reads like A1: None described → moved down 0.5
Business Impact: Moved +1: the survey / manager mapping marks it business-critical and it does work no one else does.</t>
        </is>
      </c>
      <c r="FS220"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20" s="56" t="inlineStr">
        <is>
          <t>Self-identified: Communication &amp; presentation
For the next role: Communication &amp; presentation</t>
        </is>
      </c>
      <c r="FU220" s="32" t="inlineStr">
        <is>
          <t>Full survey answers not in the files received · How We Grow export needed · HR</t>
        </is>
      </c>
    </row>
    <row r="221" ht="90" customHeight="1">
      <c r="A221" s="51" t="inlineStr">
        <is>
          <t>◂ Back</t>
        </is>
      </c>
      <c r="B221" s="29" t="inlineStr">
        <is>
          <t>Mapped</t>
        </is>
      </c>
      <c r="C221" s="28" t="inlineStr">
        <is>
          <t>iDEAL</t>
        </is>
      </c>
      <c r="D221" s="29" t="inlineStr">
        <is>
          <t>IRIS1796</t>
        </is>
      </c>
      <c r="E221" s="29" t="inlineStr">
        <is>
          <t>Kailash Sahu</t>
        </is>
      </c>
      <c r="F221" s="29" t="inlineStr">
        <is>
          <t>Technology</t>
        </is>
      </c>
      <c r="G221" s="29" t="inlineStr">
        <is>
          <t>Business Analyst</t>
        </is>
      </c>
      <c r="H221" s="29" t="inlineStr">
        <is>
          <t>Business Analysis Specialist</t>
        </is>
      </c>
      <c r="I221" s="29" t="inlineStr">
        <is>
          <t>L3 – Professional / Associate</t>
        </is>
      </c>
      <c r="J221" s="29" t="inlineStr">
        <is>
          <t>B1</t>
        </is>
      </c>
      <c r="K221" s="29" t="inlineStr">
        <is>
          <t>▲ Up</t>
        </is>
      </c>
      <c r="L221" s="29" t="inlineStr">
        <is>
          <t>Business Analysis</t>
        </is>
      </c>
      <c r="M221" s="29" t="inlineStr">
        <is>
          <t>Business Analysis</t>
        </is>
      </c>
      <c r="N221" s="29" t="n"/>
      <c r="O221" s="29" t="n">
        <v>20</v>
      </c>
      <c r="P221" s="28" t="inlineStr">
        <is>
          <t>P3 / M2</t>
        </is>
      </c>
      <c r="Q221" s="29" t="inlineStr">
        <is>
          <t>Career / · Team Lead</t>
        </is>
      </c>
      <c r="R221" s="29" t="inlineStr">
        <is>
          <t>4 Enable</t>
        </is>
      </c>
      <c r="S221" s="29" t="inlineStr">
        <is>
          <t>4–7 yrs</t>
        </is>
      </c>
      <c r="T221" s="29" t="inlineStr">
        <is>
          <t>5–8 · 4–8</t>
        </is>
      </c>
      <c r="U221" s="29" t="inlineStr">
        <is>
          <t>Senior Business Analyst</t>
        </is>
      </c>
      <c r="V221" s="29" t="inlineStr">
        <is>
          <t>Regnology — regulatory reporting: BA · Reg Reporting · Big Four consulting: Senior Consultant · IRIS Vs Market Benchmark — IIBA certification pathway: CCBA · Infosys / Accenture: JL4 · L9 Consultant</t>
        </is>
      </c>
      <c r="W221" s="29" t="inlineStr">
        <is>
          <t>IIBA BABOK v3; certifications ECBA · entry → CCBA → CBAP · senior</t>
        </is>
      </c>
      <c r="X221" s="29" t="inlineStr">
        <is>
          <t>Core 3 · Future 3 · Functional 3 · Leadership 1</t>
        </is>
      </c>
      <c r="Y221" s="52" t="n">
        <v>157</v>
      </c>
      <c r="Z221" s="53" t="inlineStr">
        <is>
          <t>IRIS1796</t>
        </is>
      </c>
      <c r="AA221" s="53" t="inlineStr">
        <is>
          <t>Employee</t>
        </is>
      </c>
      <c r="AB221" s="53" t="inlineStr">
        <is>
          <t>Serving Notice</t>
        </is>
      </c>
      <c r="AC221" s="53" t="inlineStr">
        <is>
          <t>Kailash Sahu</t>
        </is>
      </c>
      <c r="AD221" s="54" t="n">
        <v>43647</v>
      </c>
      <c r="AE221" s="53" t="inlineStr">
        <is>
          <t>Business Analyst</t>
        </is>
      </c>
      <c r="AF221" s="53" t="inlineStr">
        <is>
          <t>MCA</t>
        </is>
      </c>
      <c r="AG221" s="53" t="inlineStr">
        <is>
          <t>Yuvraj Kharchane</t>
        </is>
      </c>
      <c r="AH221" s="53" t="inlineStr">
        <is>
          <t>N-4</t>
        </is>
      </c>
      <c r="AI221" s="53" t="inlineStr">
        <is>
          <t>Individual Contributor</t>
        </is>
      </c>
      <c r="AJ221" s="53" t="inlineStr">
        <is>
          <t>12 years, 8 months, 4 days</t>
        </is>
      </c>
      <c r="AK221" s="53" t="inlineStr">
        <is>
          <t>7 years, 1 months, 24 days</t>
        </is>
      </c>
      <c r="AL221" s="53" t="inlineStr">
        <is>
          <t>Regtech</t>
        </is>
      </c>
      <c r="AM221" s="53" t="inlineStr">
        <is>
          <t>iDEAL</t>
        </is>
      </c>
      <c r="AN221" s="53" t="inlineStr">
        <is>
          <t>Technology</t>
        </is>
      </c>
      <c r="AO221" s="53" t="inlineStr">
        <is>
          <t>Business Analysis</t>
        </is>
      </c>
      <c r="AP221" s="53" t="inlineStr">
        <is>
          <t>Yes</t>
        </is>
      </c>
      <c r="AQ221" s="53" t="inlineStr">
        <is>
          <t>Product/Project</t>
        </is>
      </c>
      <c r="AR221" s="53" t="inlineStr">
        <is>
          <t>Business Analysis</t>
        </is>
      </c>
      <c r="AS221" s="53" t="inlineStr">
        <is>
          <t>Technical · BA, PM and QA</t>
        </is>
      </c>
      <c r="AT221" s="53" t="n">
        <v>20</v>
      </c>
      <c r="AU221" s="53" t="inlineStr">
        <is>
          <t>Covered</t>
        </is>
      </c>
      <c r="AV221" s="53" t="n"/>
      <c r="AW221" s="53" t="n"/>
      <c r="AX221" s="53" t="n"/>
      <c r="AY221" s="53" t="n"/>
      <c r="AZ221" s="53" t="n"/>
      <c r="BA221" s="53" t="n"/>
      <c r="BB221" s="53" t="n"/>
      <c r="BC221" s="53" t="n"/>
      <c r="BD221" s="53" t="n"/>
      <c r="BE221" s="53" t="n"/>
      <c r="BF221" s="53" t="n"/>
      <c r="BG221" s="53" t="n"/>
      <c r="BH221" s="53" t="n"/>
      <c r="BI221" s="53" t="n"/>
      <c r="BJ221" s="53" t="n"/>
      <c r="BK221" s="53" t="n"/>
      <c r="BL221" s="53" t="n"/>
      <c r="BM221" s="53" t="n"/>
      <c r="BN221" s="53" t="n"/>
      <c r="BO221" s="53" t="n"/>
      <c r="BP221" s="53" t="n"/>
      <c r="BQ221" s="53" t="n"/>
      <c r="BR221" s="53" t="n"/>
      <c r="BS221" s="53" t="n"/>
      <c r="BT221" s="53" t="n"/>
      <c r="BU221" s="53" t="n"/>
      <c r="BV221" s="53" t="n"/>
      <c r="BW221" s="53" t="n"/>
      <c r="BX221" s="53" t="n"/>
      <c r="BY221" s="53" t="n"/>
      <c r="BZ221" s="53" t="n"/>
      <c r="CA221" s="53" t="n"/>
      <c r="CB221" s="53" t="n"/>
      <c r="CC221" s="53" t="n"/>
      <c r="CD221" s="53" t="n"/>
      <c r="CE221" s="53" t="n"/>
      <c r="CF221" s="53" t="n"/>
      <c r="CG221" s="53" t="n"/>
      <c r="CH221" s="53" t="n"/>
      <c r="CI221" s="53" t="n"/>
      <c r="CJ221" s="53" t="n"/>
      <c r="CK221" s="53" t="n"/>
      <c r="CL221" s="53" t="n"/>
      <c r="CM221" s="53" t="n"/>
      <c r="CN221" s="53" t="n"/>
      <c r="CO221" s="53" t="n"/>
      <c r="CP221" s="53" t="n"/>
      <c r="CQ221" s="53" t="n"/>
      <c r="CR221" s="53" t="n"/>
      <c r="CS221" s="53" t="n"/>
      <c r="CT221" s="53" t="n"/>
      <c r="CU221" s="53" t="n"/>
      <c r="CV221" s="53" t="n"/>
      <c r="CW221" s="53" t="n"/>
      <c r="CX221" s="53" t="n"/>
      <c r="CY221" s="53" t="n"/>
      <c r="CZ221" s="53" t="n"/>
      <c r="DA221" s="53" t="n"/>
      <c r="DB221" s="53" t="n"/>
      <c r="DC221" s="53" t="n"/>
      <c r="DD221" s="53" t="inlineStr">
        <is>
          <t>IRIS1796</t>
        </is>
      </c>
      <c r="DE221" s="53" t="inlineStr">
        <is>
          <t>Employee</t>
        </is>
      </c>
      <c r="DF221" s="53" t="inlineStr">
        <is>
          <t>Serving Notice</t>
        </is>
      </c>
      <c r="DG221" s="53" t="inlineStr">
        <is>
          <t>Kailash Sahu</t>
        </is>
      </c>
      <c r="DH221" s="54" t="n">
        <v>43647</v>
      </c>
      <c r="DI221" s="53" t="inlineStr">
        <is>
          <t>Business Analyst</t>
        </is>
      </c>
      <c r="DJ221" s="53" t="inlineStr">
        <is>
          <t>Business Analysis</t>
        </is>
      </c>
      <c r="DK221" s="53" t="inlineStr">
        <is>
          <t>Business / Functional Analysis</t>
        </is>
      </c>
      <c r="DL221" s="53" t="inlineStr">
        <is>
          <t>Business Analyst</t>
        </is>
      </c>
      <c r="DM221" s="53" t="inlineStr">
        <is>
          <t>L3 – Professional / Associate</t>
        </is>
      </c>
      <c r="DN221" s="53" t="inlineStr">
        <is>
          <t>MCA</t>
        </is>
      </c>
      <c r="DO221" s="53" t="inlineStr">
        <is>
          <t>Yuvraj Kharchane</t>
        </is>
      </c>
      <c r="DP221" s="53" t="inlineStr">
        <is>
          <t>N-4</t>
        </is>
      </c>
      <c r="DQ221" s="53" t="inlineStr">
        <is>
          <t>Individual Contributor</t>
        </is>
      </c>
      <c r="DR221" s="53" t="inlineStr">
        <is>
          <t>12 years, 8 months, 4 days</t>
        </is>
      </c>
      <c r="DS221" s="53" t="inlineStr">
        <is>
          <t>6 years, 11 months, 19 days</t>
        </is>
      </c>
      <c r="DT221" s="53" t="inlineStr">
        <is>
          <t>19 years, 7 months, 23 days</t>
        </is>
      </c>
      <c r="DU221" s="53" t="n"/>
      <c r="DV221" s="53" t="inlineStr">
        <is>
          <t>Regtech</t>
        </is>
      </c>
      <c r="DW221" s="53" t="inlineStr">
        <is>
          <t>iDEAL</t>
        </is>
      </c>
      <c r="DX221" s="53" t="inlineStr">
        <is>
          <t>Technology</t>
        </is>
      </c>
      <c r="DY221" s="53" t="inlineStr">
        <is>
          <t>Business Analysis</t>
        </is>
      </c>
      <c r="DZ221" s="53" t="inlineStr">
        <is>
          <t>Yes</t>
        </is>
      </c>
      <c r="EA221" s="53" t="inlineStr">
        <is>
          <t>Product/Project</t>
        </is>
      </c>
      <c r="EB221" s="53" t="inlineStr">
        <is>
          <t>Business Analysis</t>
        </is>
      </c>
      <c r="EC221" s="53" t="inlineStr">
        <is>
          <t>Technical · BA, PM and QA</t>
        </is>
      </c>
      <c r="ED221" s="53" t="inlineStr">
        <is>
          <t>Remote- Outside Mumbai</t>
        </is>
      </c>
      <c r="EE221" s="53" t="inlineStr">
        <is>
          <t>On Notice Period</t>
        </is>
      </c>
      <c r="EF221" s="53" t="inlineStr">
        <is>
          <t>On Notice Period</t>
        </is>
      </c>
      <c r="EG221" s="53" t="inlineStr">
        <is>
          <t>On Notice Period</t>
        </is>
      </c>
      <c r="EH221" s="53" t="n">
        <v>3</v>
      </c>
      <c r="EI221" s="54" t="n">
        <v>45931</v>
      </c>
      <c r="EJ221" s="53" t="inlineStr">
        <is>
          <t>Same as current designation</t>
        </is>
      </c>
      <c r="EK221" s="53" t="inlineStr">
        <is>
          <t>No</t>
        </is>
      </c>
      <c r="EL221" s="53" t="n">
        <v>3</v>
      </c>
      <c r="EM221" s="53" t="inlineStr">
        <is>
          <t>Medium</t>
        </is>
      </c>
      <c r="EN221" s="53" t="inlineStr">
        <is>
          <t>Core Contributor</t>
        </is>
      </c>
      <c r="EO221" s="53" t="inlineStr">
        <is>
          <t>Not Ready</t>
        </is>
      </c>
      <c r="EP221" s="53" t="inlineStr">
        <is>
          <t>No</t>
        </is>
      </c>
      <c r="EQ221" s="53" t="inlineStr">
        <is>
          <t>No</t>
        </is>
      </c>
      <c r="ER221" s="53" t="n"/>
      <c r="ES221" s="53" t="inlineStr">
        <is>
          <t>Training on the effective utilization of AI tools.</t>
        </is>
      </c>
      <c r="ET221" s="53" t="n"/>
      <c r="EU221" s="53" t="n"/>
      <c r="EV221" s="53" t="n"/>
      <c r="EW221" s="52" t="n"/>
      <c r="EX221" s="53" t="n"/>
      <c r="EY221" s="53" t="n"/>
      <c r="EZ221" s="53" t="n"/>
      <c r="FA221" s="53" t="n"/>
      <c r="FB221" s="53" t="n"/>
      <c r="FC221" s="53" t="n"/>
      <c r="FD221" s="53" t="n"/>
      <c r="FE221" s="57" t="inlineStr">
        <is>
          <t>On Notice Period</t>
        </is>
      </c>
      <c r="FF221" s="56" t="inlineStr">
        <is>
          <t>On Notice Period</t>
        </is>
      </c>
      <c r="FG221" s="56" t="inlineStr">
        <is>
          <t>On Notice Period</t>
        </is>
      </c>
      <c r="FH221" s="56" t="inlineStr">
        <is>
          <t>3</t>
        </is>
      </c>
      <c r="FI221" s="56" t="n"/>
      <c r="FJ221" s="56" t="inlineStr">
        <is>
          <t>Received · manager annual, quarterly, self</t>
        </is>
      </c>
      <c r="FK221" s="56" t="inlineStr">
        <is>
          <t>Talent Mapping · iDEAL</t>
        </is>
      </c>
      <c r="FL221" s="56" t="n">
        <v>20</v>
      </c>
      <c r="FM221" s="32" t="inlineStr">
        <is>
          <t>Full survey answers not in the files received · How We Grow export needed · HR</t>
        </is>
      </c>
      <c r="FN221" s="56" t="inlineStr">
        <is>
          <t>—</t>
        </is>
      </c>
      <c r="FO221" s="56" t="inlineStr">
        <is>
          <t>—</t>
        </is>
      </c>
      <c r="FP221" s="56" t="inlineStr">
        <is>
          <t>—</t>
        </is>
      </c>
      <c r="FQ221" s="56" t="inlineStr">
        <is>
          <t>—</t>
        </is>
      </c>
      <c r="FR221" s="56"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error-free compliance filing and application issues → moved up 0.5
Leadership: Evidence reads like A1: No guidance of others described → moved down 0.5
Business Impact: No survey or manager-mapping signal on criticality: kept at the start point.</t>
        </is>
      </c>
      <c r="FS221"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21" s="56" t="inlineStr">
        <is>
          <t>Self-identified: Answered · no common topic
For the next role: Answered · no common topic</t>
        </is>
      </c>
      <c r="FU221" s="32" t="inlineStr">
        <is>
          <t>Full survey answers not in the files received · How We Grow export needed · HR</t>
        </is>
      </c>
    </row>
    <row r="222" ht="90" customHeight="1">
      <c r="A222" s="51" t="inlineStr">
        <is>
          <t>◂ Back</t>
        </is>
      </c>
      <c r="B222" s="29" t="inlineStr">
        <is>
          <t>Mapped</t>
        </is>
      </c>
      <c r="C222" s="28" t="inlineStr">
        <is>
          <t>iDEAL</t>
        </is>
      </c>
      <c r="D222" s="29" t="inlineStr">
        <is>
          <t>IRIS2236</t>
        </is>
      </c>
      <c r="E222" s="29" t="inlineStr">
        <is>
          <t>Anishaa Mahesh Kukreja</t>
        </is>
      </c>
      <c r="F222" s="29" t="inlineStr">
        <is>
          <t>Technology</t>
        </is>
      </c>
      <c r="G222" s="29" t="inlineStr">
        <is>
          <t>Business Analyst</t>
        </is>
      </c>
      <c r="H222" s="29" t="inlineStr">
        <is>
          <t>Senior Business Analyst</t>
        </is>
      </c>
      <c r="I222" s="29" t="inlineStr">
        <is>
          <t>L3 – Professional / Associate</t>
        </is>
      </c>
      <c r="J222" s="29" t="inlineStr">
        <is>
          <t>A3</t>
        </is>
      </c>
      <c r="K222" s="29" t="inlineStr">
        <is>
          <t>▲ Up</t>
        </is>
      </c>
      <c r="L222" s="29" t="inlineStr">
        <is>
          <t>Business Analysis</t>
        </is>
      </c>
      <c r="M222" s="29" t="inlineStr">
        <is>
          <t>Business Analysis</t>
        </is>
      </c>
      <c r="N222" s="29" t="n"/>
      <c r="O222" s="29" t="n">
        <v>20</v>
      </c>
      <c r="P222" s="28" t="inlineStr">
        <is>
          <t>P2</t>
        </is>
      </c>
      <c r="Q222" s="29" t="inlineStr">
        <is>
          <t>Developing</t>
        </is>
      </c>
      <c r="R222" s="29" t="inlineStr">
        <is>
          <t>3 Apply</t>
        </is>
      </c>
      <c r="S222" s="29" t="inlineStr">
        <is>
          <t>2–4 yrs</t>
        </is>
      </c>
      <c r="T222" s="29" t="inlineStr">
        <is>
          <t>3–5 · 2–5</t>
        </is>
      </c>
      <c r="U222" s="29" t="inlineStr">
        <is>
          <t>Business Analyst</t>
        </is>
      </c>
      <c r="V222" s="29" t="inlineStr">
        <is>
          <t>Regnology — regulatory reporting: Junior BA · Reg Reporting · Big Four consulting: Consultant · IRIS Vs Market Benchmark — IIBA certification pathway: ECBA · Infosys / Accenture: JL3A · L10 Senior Analyst</t>
        </is>
      </c>
      <c r="W222" s="29" t="inlineStr">
        <is>
          <t>IIBA BABOK v3; certifications ECBA · entry → CCBA → CBAP · senior</t>
        </is>
      </c>
      <c r="X222" s="29" t="inlineStr">
        <is>
          <t>Core 2 · Future 2 · Functional 3 · Leadership not scored</t>
        </is>
      </c>
      <c r="Y222" s="52" t="n">
        <v>312</v>
      </c>
      <c r="Z222" s="53" t="inlineStr">
        <is>
          <t>IRIS2236</t>
        </is>
      </c>
      <c r="AA222" s="53" t="inlineStr">
        <is>
          <t>Employee</t>
        </is>
      </c>
      <c r="AB222" s="53" t="inlineStr">
        <is>
          <t>Active</t>
        </is>
      </c>
      <c r="AC222" s="53" t="inlineStr">
        <is>
          <t>Anishaa Mahesh Kukreja</t>
        </is>
      </c>
      <c r="AD222" s="54" t="n">
        <v>45390</v>
      </c>
      <c r="AE222" s="53" t="inlineStr">
        <is>
          <t>Business Analyst</t>
        </is>
      </c>
      <c r="AF222" s="53" t="inlineStr">
        <is>
          <t>B.E</t>
        </is>
      </c>
      <c r="AG222" s="53" t="inlineStr">
        <is>
          <t>Yuvraj Kharchane</t>
        </is>
      </c>
      <c r="AH222" s="53" t="inlineStr">
        <is>
          <t>N-4</t>
        </is>
      </c>
      <c r="AI222" s="53" t="inlineStr">
        <is>
          <t>Individual Contributor</t>
        </is>
      </c>
      <c r="AJ222" s="53" t="inlineStr">
        <is>
          <t>4 years, 0 months, 0 days</t>
        </is>
      </c>
      <c r="AK222" s="53" t="inlineStr">
        <is>
          <t>2 years, 4 months, 17 days</t>
        </is>
      </c>
      <c r="AL222" s="53" t="inlineStr">
        <is>
          <t>Regtech</t>
        </is>
      </c>
      <c r="AM222" s="53" t="inlineStr">
        <is>
          <t>iDEAL</t>
        </is>
      </c>
      <c r="AN222" s="53" t="inlineStr">
        <is>
          <t>Technology</t>
        </is>
      </c>
      <c r="AO222" s="53" t="inlineStr">
        <is>
          <t>Business Analysis</t>
        </is>
      </c>
      <c r="AP222" s="53" t="inlineStr">
        <is>
          <t>No</t>
        </is>
      </c>
      <c r="AQ222" s="53" t="inlineStr">
        <is>
          <t>Product/Project</t>
        </is>
      </c>
      <c r="AR222" s="53" t="inlineStr">
        <is>
          <t>Business Analysis</t>
        </is>
      </c>
      <c r="AS222" s="53" t="inlineStr">
        <is>
          <t>Technical · BA, PM and QA</t>
        </is>
      </c>
      <c r="AT222" s="53" t="n">
        <v>20</v>
      </c>
      <c r="AU222" s="53" t="inlineStr">
        <is>
          <t>Covered</t>
        </is>
      </c>
      <c r="AV222" s="53" t="n"/>
      <c r="AW222" s="53" t="n"/>
      <c r="AX222" s="53" t="n"/>
      <c r="AY222" s="53" t="n"/>
      <c r="AZ222" s="53" t="n"/>
      <c r="BA222" s="53" t="n"/>
      <c r="BB222" s="53" t="n"/>
      <c r="BC222" s="53" t="n"/>
      <c r="BD222" s="53" t="n"/>
      <c r="BE222" s="53" t="n"/>
      <c r="BF222" s="53" t="n"/>
      <c r="BG222" s="53" t="n"/>
      <c r="BH222" s="53" t="n"/>
      <c r="BI222" s="53" t="n"/>
      <c r="BJ222" s="53" t="n"/>
      <c r="BK222" s="53" t="n"/>
      <c r="BL222" s="53" t="n"/>
      <c r="BM222" s="53" t="n"/>
      <c r="BN222" s="53" t="n"/>
      <c r="BO222" s="53" t="n"/>
      <c r="BP222" s="53" t="n"/>
      <c r="BQ222" s="53" t="n"/>
      <c r="BR222" s="53" t="n"/>
      <c r="BS222" s="53" t="n"/>
      <c r="BT222" s="53" t="n"/>
      <c r="BU222" s="53" t="n"/>
      <c r="BV222" s="53" t="n"/>
      <c r="BW222" s="53" t="n"/>
      <c r="BX222" s="53" t="n"/>
      <c r="BY222" s="53" t="n"/>
      <c r="BZ222" s="53" t="n"/>
      <c r="CA222" s="53" t="n"/>
      <c r="CB222" s="53" t="n"/>
      <c r="CC222" s="53" t="n"/>
      <c r="CD222" s="53" t="n"/>
      <c r="CE222" s="53" t="n"/>
      <c r="CF222" s="53" t="n"/>
      <c r="CG222" s="53" t="n"/>
      <c r="CH222" s="53" t="n"/>
      <c r="CI222" s="53" t="n"/>
      <c r="CJ222" s="53" t="n"/>
      <c r="CK222" s="53" t="n"/>
      <c r="CL222" s="53" t="n"/>
      <c r="CM222" s="53" t="n"/>
      <c r="CN222" s="53" t="n"/>
      <c r="CO222" s="53" t="n"/>
      <c r="CP222" s="53" t="n"/>
      <c r="CQ222" s="53" t="n"/>
      <c r="CR222" s="53" t="n"/>
      <c r="CS222" s="53" t="n"/>
      <c r="CT222" s="53" t="n"/>
      <c r="CU222" s="53" t="n"/>
      <c r="CV222" s="53" t="n"/>
      <c r="CW222" s="53" t="n"/>
      <c r="CX222" s="53" t="n"/>
      <c r="CY222" s="53" t="n"/>
      <c r="CZ222" s="53" t="n"/>
      <c r="DA222" s="53" t="n"/>
      <c r="DB222" s="53" t="n"/>
      <c r="DC222" s="53" t="n"/>
      <c r="DD222" s="53" t="inlineStr">
        <is>
          <t>IRIS2236</t>
        </is>
      </c>
      <c r="DE222" s="53" t="inlineStr">
        <is>
          <t>Employee</t>
        </is>
      </c>
      <c r="DF222" s="53" t="inlineStr">
        <is>
          <t>Active</t>
        </is>
      </c>
      <c r="DG222" s="53" t="inlineStr">
        <is>
          <t>Anishaa Mahesh Kukreja</t>
        </is>
      </c>
      <c r="DH222" s="54" t="n">
        <v>45390</v>
      </c>
      <c r="DI222" s="53" t="inlineStr">
        <is>
          <t>Business Analyst</t>
        </is>
      </c>
      <c r="DJ222" s="53" t="inlineStr">
        <is>
          <t>Business Analysis</t>
        </is>
      </c>
      <c r="DK222" s="53" t="inlineStr">
        <is>
          <t>Business / Functional Analysis</t>
        </is>
      </c>
      <c r="DL222" s="53" t="inlineStr">
        <is>
          <t>Business Analyst</t>
        </is>
      </c>
      <c r="DM222" s="53" t="inlineStr">
        <is>
          <t>L3 – Professional / Associate</t>
        </is>
      </c>
      <c r="DN222" s="53" t="inlineStr">
        <is>
          <t>B.E</t>
        </is>
      </c>
      <c r="DO222" s="53" t="inlineStr">
        <is>
          <t>Yuvraj Kharchane</t>
        </is>
      </c>
      <c r="DP222" s="53" t="inlineStr">
        <is>
          <t>N-4</t>
        </is>
      </c>
      <c r="DQ222" s="53" t="inlineStr">
        <is>
          <t>Individual Contributor</t>
        </is>
      </c>
      <c r="DR222" s="53" t="inlineStr">
        <is>
          <t>4 years, 0 months, 0 days</t>
        </is>
      </c>
      <c r="DS222" s="53" t="inlineStr">
        <is>
          <t>2 years, 2 months, 12 days</t>
        </is>
      </c>
      <c r="DT222" s="53" t="inlineStr">
        <is>
          <t>6 years, 2 months, 12 days</t>
        </is>
      </c>
      <c r="DU222" s="53" t="n"/>
      <c r="DV222" s="53" t="inlineStr">
        <is>
          <t>Regtech</t>
        </is>
      </c>
      <c r="DW222" s="53" t="inlineStr">
        <is>
          <t>iDEAL</t>
        </is>
      </c>
      <c r="DX222" s="53" t="inlineStr">
        <is>
          <t>Technology</t>
        </is>
      </c>
      <c r="DY222" s="53" t="inlineStr">
        <is>
          <t>Business Analysis</t>
        </is>
      </c>
      <c r="DZ222" s="53" t="inlineStr">
        <is>
          <t>No</t>
        </is>
      </c>
      <c r="EA222" s="53" t="inlineStr">
        <is>
          <t>Product/Project</t>
        </is>
      </c>
      <c r="EB222" s="53" t="inlineStr">
        <is>
          <t>Business Analysis</t>
        </is>
      </c>
      <c r="EC222" s="53" t="inlineStr">
        <is>
          <t>Technical · BA, PM and QA</t>
        </is>
      </c>
      <c r="ED222" s="53" t="inlineStr">
        <is>
          <t>Remote - Mumbai</t>
        </is>
      </c>
      <c r="EE222" s="53"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EF222" s="53"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2" s="53"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EH222" s="53" t="n">
        <v>3</v>
      </c>
      <c r="EI222" s="54" t="n">
        <v>45931</v>
      </c>
      <c r="EJ222" s="53" t="inlineStr">
        <is>
          <t>Same as current designation</t>
        </is>
      </c>
      <c r="EK222" s="53" t="inlineStr">
        <is>
          <t>No</t>
        </is>
      </c>
      <c r="EL222" s="53" t="n">
        <v>3</v>
      </c>
      <c r="EM222" s="53" t="inlineStr">
        <is>
          <t>Medium</t>
        </is>
      </c>
      <c r="EN222" s="53" t="inlineStr">
        <is>
          <t>Core Contributor</t>
        </is>
      </c>
      <c r="EO222" s="53" t="inlineStr">
        <is>
          <t>Not Ready</t>
        </is>
      </c>
      <c r="EP222" s="53" t="inlineStr">
        <is>
          <t>No</t>
        </is>
      </c>
      <c r="EQ222" s="53" t="inlineStr">
        <is>
          <t>No</t>
        </is>
      </c>
      <c r="ER222" s="53" t="n"/>
      <c r="ES222" s="53" t="inlineStr">
        <is>
          <t>XBRL Training, Training on the effective utilization of AI tools.</t>
        </is>
      </c>
      <c r="ET222" s="53" t="n"/>
      <c r="EU222" s="53" t="n"/>
      <c r="EV222" s="53" t="n"/>
      <c r="EW222" s="52" t="n"/>
      <c r="EX222" s="53" t="n"/>
      <c r="EY222" s="53" t="n"/>
      <c r="EZ222" s="53" t="n"/>
      <c r="FA222" s="53" t="n"/>
      <c r="FB222" s="53" t="n"/>
      <c r="FC222" s="53" t="n"/>
      <c r="FD222" s="53" t="n"/>
      <c r="FE222" s="57"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2" s="56"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FG222" s="56"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FH222" s="56" t="inlineStr">
        <is>
          <t>3</t>
        </is>
      </c>
      <c r="FI222" s="56" t="n"/>
      <c r="FJ222" s="56" t="inlineStr">
        <is>
          <t>Received · manager annual, quarterly, self</t>
        </is>
      </c>
      <c r="FK222" s="56" t="inlineStr">
        <is>
          <t>Talent Mapping · iDEAL</t>
        </is>
      </c>
      <c r="FL222" s="56" t="n">
        <v>20</v>
      </c>
      <c r="FM222" s="32" t="inlineStr">
        <is>
          <t>Full survey answers not in the files received · How We Grow export needed · HR</t>
        </is>
      </c>
      <c r="FN222" s="56" t="inlineStr">
        <is>
          <t>—</t>
        </is>
      </c>
      <c r="FO222" s="56" t="inlineStr">
        <is>
          <t>—</t>
        </is>
      </c>
      <c r="FP222" s="56" t="inlineStr">
        <is>
          <t>—</t>
        </is>
      </c>
      <c r="FQ222" s="56" t="inlineStr">
        <is>
          <t>—</t>
        </is>
      </c>
      <c r="FR222" s="56"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for end-to-end RPT project delivery; manager note says 'contribute' → moved up 0.5
Leadership: Evidence reads like A2: Coordinates stakeholders and runs RPT demos; no people guidance described → matches the start</t>
        </is>
      </c>
      <c r="FS222"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2" s="56" t="inlineStr">
        <is>
          <t>Self-identified: AI / automation · Domain, regulatory &amp; XBRL
For the next role: AI / automation · Domain, regulatory &amp; XBRL</t>
        </is>
      </c>
      <c r="FU222" s="32" t="inlineStr">
        <is>
          <t>Full survey answers not in the files received · How We Grow export needed · HR</t>
        </is>
      </c>
    </row>
    <row r="223" ht="90" customHeight="1">
      <c r="A223" s="51" t="inlineStr">
        <is>
          <t>◂ Back</t>
        </is>
      </c>
      <c r="B223" s="29" t="inlineStr">
        <is>
          <t>Mapped</t>
        </is>
      </c>
      <c r="C223" s="28" t="inlineStr">
        <is>
          <t>iDEAL</t>
        </is>
      </c>
      <c r="D223" s="29" t="inlineStr">
        <is>
          <t>IRIS2136</t>
        </is>
      </c>
      <c r="E223" s="29" t="inlineStr">
        <is>
          <t>Neetu Rani Paul</t>
        </is>
      </c>
      <c r="F223" s="29" t="inlineStr">
        <is>
          <t>Technology</t>
        </is>
      </c>
      <c r="G223" s="29" t="inlineStr">
        <is>
          <t>Business Analyst</t>
        </is>
      </c>
      <c r="H223" s="29" t="inlineStr">
        <is>
          <t>Senior Business Analyst</t>
        </is>
      </c>
      <c r="I223" s="29" t="inlineStr">
        <is>
          <t>L3 – Professional / Associate</t>
        </is>
      </c>
      <c r="J223" s="29" t="inlineStr">
        <is>
          <t>A3</t>
        </is>
      </c>
      <c r="K223" s="29" t="inlineStr">
        <is>
          <t>▲ Up</t>
        </is>
      </c>
      <c r="L223" s="29" t="inlineStr">
        <is>
          <t>Business Analysis</t>
        </is>
      </c>
      <c r="M223" s="29" t="inlineStr">
        <is>
          <t>Business Analysis</t>
        </is>
      </c>
      <c r="N223" s="29" t="n"/>
      <c r="O223" s="29" t="n">
        <v>20</v>
      </c>
      <c r="P223" s="28" t="inlineStr">
        <is>
          <t>P2</t>
        </is>
      </c>
      <c r="Q223" s="29" t="inlineStr">
        <is>
          <t>Developing</t>
        </is>
      </c>
      <c r="R223" s="29" t="inlineStr">
        <is>
          <t>3 Apply</t>
        </is>
      </c>
      <c r="S223" s="29" t="inlineStr">
        <is>
          <t>2–4 yrs</t>
        </is>
      </c>
      <c r="T223" s="29" t="inlineStr">
        <is>
          <t>3–5 · 2–5</t>
        </is>
      </c>
      <c r="U223" s="29" t="inlineStr">
        <is>
          <t>Business Analyst</t>
        </is>
      </c>
      <c r="V223" s="29" t="inlineStr">
        <is>
          <t>Regnology — regulatory reporting: Junior BA · Reg Reporting · Big Four consulting: Consultant · IRIS Vs Market Benchmark — IIBA certification pathway: ECBA · Infosys / Accenture: JL3A · L10 Senior Analyst</t>
        </is>
      </c>
      <c r="W223" s="29" t="inlineStr">
        <is>
          <t>IIBA BABOK v3; certifications ECBA · entry → CCBA → CBAP · senior</t>
        </is>
      </c>
      <c r="X223" s="29" t="inlineStr">
        <is>
          <t>Core 2 · Future 2 · Functional 3 · Leadership not scored</t>
        </is>
      </c>
      <c r="Y223" s="52" t="n">
        <v>276</v>
      </c>
      <c r="Z223" s="53" t="inlineStr">
        <is>
          <t>IRIS2136</t>
        </is>
      </c>
      <c r="AA223" s="53" t="inlineStr">
        <is>
          <t>Employee</t>
        </is>
      </c>
      <c r="AB223" s="53" t="inlineStr">
        <is>
          <t>Active</t>
        </is>
      </c>
      <c r="AC223" s="53" t="inlineStr">
        <is>
          <t>Neetu Rani Paul</t>
        </is>
      </c>
      <c r="AD223" s="54" t="n">
        <v>45078</v>
      </c>
      <c r="AE223" s="53" t="inlineStr">
        <is>
          <t>Business Analyst</t>
        </is>
      </c>
      <c r="AF223" s="53" t="inlineStr">
        <is>
          <t>MA</t>
        </is>
      </c>
      <c r="AG223" s="53" t="inlineStr">
        <is>
          <t>Yuvraj Kharchane</t>
        </is>
      </c>
      <c r="AH223" s="53" t="inlineStr">
        <is>
          <t>N-4</t>
        </is>
      </c>
      <c r="AI223" s="53" t="inlineStr">
        <is>
          <t>Individual Contributor</t>
        </is>
      </c>
      <c r="AJ223" s="53" t="inlineStr">
        <is>
          <t>2 years, 7 months, 0 days</t>
        </is>
      </c>
      <c r="AK223" s="53" t="inlineStr">
        <is>
          <t>3 years, 2 months, 24 days</t>
        </is>
      </c>
      <c r="AL223" s="53" t="inlineStr">
        <is>
          <t>Regtech</t>
        </is>
      </c>
      <c r="AM223" s="53" t="inlineStr">
        <is>
          <t>iDEAL</t>
        </is>
      </c>
      <c r="AN223" s="53" t="inlineStr">
        <is>
          <t>Technology</t>
        </is>
      </c>
      <c r="AO223" s="53" t="inlineStr">
        <is>
          <t>Business Analysis</t>
        </is>
      </c>
      <c r="AP223" s="53" t="inlineStr">
        <is>
          <t>No</t>
        </is>
      </c>
      <c r="AQ223" s="53" t="inlineStr">
        <is>
          <t>Product/Project</t>
        </is>
      </c>
      <c r="AR223" s="53" t="inlineStr">
        <is>
          <t>Business Analysis</t>
        </is>
      </c>
      <c r="AS223" s="53" t="inlineStr">
        <is>
          <t>Technical · BA, PM and QA</t>
        </is>
      </c>
      <c r="AT223" s="53" t="n">
        <v>20</v>
      </c>
      <c r="AU223" s="53" t="inlineStr">
        <is>
          <t>Covered</t>
        </is>
      </c>
      <c r="AV223" s="53" t="n"/>
      <c r="AW223" s="53" t="n"/>
      <c r="AX223" s="53" t="n"/>
      <c r="AY223" s="53" t="n"/>
      <c r="AZ223" s="53" t="n"/>
      <c r="BA223" s="53" t="n"/>
      <c r="BB223" s="53" t="n"/>
      <c r="BC223" s="53" t="n"/>
      <c r="BD223" s="53" t="n"/>
      <c r="BE223" s="53" t="n"/>
      <c r="BF223" s="53" t="n"/>
      <c r="BG223" s="53" t="n"/>
      <c r="BH223" s="53" t="n"/>
      <c r="BI223" s="53" t="n"/>
      <c r="BJ223" s="53" t="n"/>
      <c r="BK223" s="53" t="n"/>
      <c r="BL223" s="53" t="n"/>
      <c r="BM223" s="53" t="n"/>
      <c r="BN223" s="53" t="n"/>
      <c r="BO223" s="53" t="n"/>
      <c r="BP223" s="53" t="n"/>
      <c r="BQ223" s="53" t="n"/>
      <c r="BR223" s="53" t="n"/>
      <c r="BS223" s="53" t="n"/>
      <c r="BT223" s="53" t="n"/>
      <c r="BU223" s="53" t="n"/>
      <c r="BV223" s="53" t="n"/>
      <c r="BW223" s="53" t="n"/>
      <c r="BX223" s="53" t="n"/>
      <c r="BY223" s="53" t="n"/>
      <c r="BZ223" s="53" t="n"/>
      <c r="CA223" s="53" t="n"/>
      <c r="CB223" s="53" t="n"/>
      <c r="CC223" s="53" t="n"/>
      <c r="CD223" s="53" t="n"/>
      <c r="CE223" s="53" t="n"/>
      <c r="CF223" s="53" t="n"/>
      <c r="CG223" s="53" t="n"/>
      <c r="CH223" s="53" t="n"/>
      <c r="CI223" s="53" t="n"/>
      <c r="CJ223" s="53" t="n"/>
      <c r="CK223" s="53" t="n"/>
      <c r="CL223" s="53" t="n"/>
      <c r="CM223" s="53" t="n"/>
      <c r="CN223" s="53" t="n"/>
      <c r="CO223" s="53" t="n"/>
      <c r="CP223" s="53" t="n"/>
      <c r="CQ223" s="53" t="n"/>
      <c r="CR223" s="53" t="n"/>
      <c r="CS223" s="53" t="n"/>
      <c r="CT223" s="53" t="n"/>
      <c r="CU223" s="53" t="n"/>
      <c r="CV223" s="53" t="n"/>
      <c r="CW223" s="53" t="n"/>
      <c r="CX223" s="53" t="n"/>
      <c r="CY223" s="53" t="n"/>
      <c r="CZ223" s="53" t="n"/>
      <c r="DA223" s="53" t="n"/>
      <c r="DB223" s="53" t="n"/>
      <c r="DC223" s="53" t="n"/>
      <c r="DD223" s="53" t="inlineStr">
        <is>
          <t>IRIS2136</t>
        </is>
      </c>
      <c r="DE223" s="53" t="inlineStr">
        <is>
          <t>Employee</t>
        </is>
      </c>
      <c r="DF223" s="53" t="inlineStr">
        <is>
          <t>Active</t>
        </is>
      </c>
      <c r="DG223" s="53" t="inlineStr">
        <is>
          <t>Neetu Rani Paul</t>
        </is>
      </c>
      <c r="DH223" s="54" t="n">
        <v>45078</v>
      </c>
      <c r="DI223" s="53" t="inlineStr">
        <is>
          <t>Business Analyst</t>
        </is>
      </c>
      <c r="DJ223" s="53" t="inlineStr">
        <is>
          <t>Business Analysis</t>
        </is>
      </c>
      <c r="DK223" s="53" t="inlineStr">
        <is>
          <t>Business / Functional Analysis</t>
        </is>
      </c>
      <c r="DL223" s="53" t="inlineStr">
        <is>
          <t>Business Analyst</t>
        </is>
      </c>
      <c r="DM223" s="53" t="inlineStr">
        <is>
          <t>L3 – Professional / Associate</t>
        </is>
      </c>
      <c r="DN223" s="53" t="inlineStr">
        <is>
          <t>MA</t>
        </is>
      </c>
      <c r="DO223" s="53" t="inlineStr">
        <is>
          <t>Yuvraj Kharchane</t>
        </is>
      </c>
      <c r="DP223" s="53" t="inlineStr">
        <is>
          <t>N-4</t>
        </is>
      </c>
      <c r="DQ223" s="53" t="inlineStr">
        <is>
          <t>Individual Contributor</t>
        </is>
      </c>
      <c r="DR223" s="53" t="inlineStr">
        <is>
          <t>2 years, 7 months, 0 days</t>
        </is>
      </c>
      <c r="DS223" s="53" t="inlineStr">
        <is>
          <t>3 years, 0 months, 19 days</t>
        </is>
      </c>
      <c r="DT223" s="53" t="inlineStr">
        <is>
          <t>5 years, 7 months, 19 days</t>
        </is>
      </c>
      <c r="DU223" s="53" t="n"/>
      <c r="DV223" s="53" t="inlineStr">
        <is>
          <t>Regtech</t>
        </is>
      </c>
      <c r="DW223" s="53" t="inlineStr">
        <is>
          <t>iDEAL</t>
        </is>
      </c>
      <c r="DX223" s="53" t="inlineStr">
        <is>
          <t>Technology</t>
        </is>
      </c>
      <c r="DY223" s="53" t="inlineStr">
        <is>
          <t>Business Analysis</t>
        </is>
      </c>
      <c r="DZ223" s="53" t="inlineStr">
        <is>
          <t>No</t>
        </is>
      </c>
      <c r="EA223" s="53" t="inlineStr">
        <is>
          <t>Product/Project</t>
        </is>
      </c>
      <c r="EB223" s="53" t="inlineStr">
        <is>
          <t>Business Analysis</t>
        </is>
      </c>
      <c r="EC223" s="53" t="inlineStr">
        <is>
          <t>Technical · BA, PM and QA</t>
        </is>
      </c>
      <c r="ED223" s="53" t="inlineStr">
        <is>
          <t>Remote- Outside Mumbai</t>
        </is>
      </c>
      <c r="EE223" s="53"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EF223" s="53"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3" s="53"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EH223" s="53" t="n">
        <v>3</v>
      </c>
      <c r="EI223" s="54" t="n">
        <v>45931</v>
      </c>
      <c r="EJ223" s="53" t="inlineStr">
        <is>
          <t>Same as current designation</t>
        </is>
      </c>
      <c r="EK223" s="53" t="inlineStr">
        <is>
          <t>No</t>
        </is>
      </c>
      <c r="EL223" s="53" t="n">
        <v>3</v>
      </c>
      <c r="EM223" s="53" t="inlineStr">
        <is>
          <t>Medium</t>
        </is>
      </c>
      <c r="EN223" s="53" t="inlineStr">
        <is>
          <t>Trusted Professional</t>
        </is>
      </c>
      <c r="EO223" s="53" t="inlineStr">
        <is>
          <t>Not Ready</t>
        </is>
      </c>
      <c r="EP223" s="53" t="inlineStr">
        <is>
          <t>No</t>
        </is>
      </c>
      <c r="EQ223" s="53" t="inlineStr">
        <is>
          <t>Yes</t>
        </is>
      </c>
      <c r="ER223" s="53" t="n"/>
      <c r="ES223" s="53" t="inlineStr">
        <is>
          <t>Training on the effective utilization of AI tools.</t>
        </is>
      </c>
      <c r="ET223" s="53" t="n"/>
      <c r="EU223" s="53" t="n"/>
      <c r="EV223" s="53" t="n"/>
      <c r="EW223" s="52" t="n"/>
      <c r="EX223" s="53" t="n"/>
      <c r="EY223" s="53" t="n"/>
      <c r="EZ223" s="53" t="n"/>
      <c r="FA223" s="53" t="n"/>
      <c r="FB223" s="53" t="n"/>
      <c r="FC223" s="53" t="n"/>
      <c r="FD223" s="53" t="n"/>
      <c r="FE223" s="57"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3" s="56"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FG223" s="56"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FH223" s="56" t="inlineStr">
        <is>
          <t>3</t>
        </is>
      </c>
      <c r="FI223" s="56" t="n"/>
      <c r="FJ223" s="56" t="inlineStr">
        <is>
          <t>Received · manager annual, quarterly, self</t>
        </is>
      </c>
      <c r="FK223" s="56" t="inlineStr">
        <is>
          <t>Talent Mapping · iDEAL</t>
        </is>
      </c>
      <c r="FL223" s="56" t="n">
        <v>20</v>
      </c>
      <c r="FM223" s="32" t="inlineStr">
        <is>
          <t>Full survey answers not in the files received · How We Grow export needed · HR</t>
        </is>
      </c>
      <c r="FN223" s="56" t="inlineStr">
        <is>
          <t>—</t>
        </is>
      </c>
      <c r="FO223" s="56" t="inlineStr">
        <is>
          <t>—</t>
        </is>
      </c>
      <c r="FP223" s="56" t="inlineStr">
        <is>
          <t>—</t>
        </is>
      </c>
      <c r="FQ223" s="56" t="inlineStr">
        <is>
          <t>—</t>
        </is>
      </c>
      <c r="FR223" s="56"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return updates and successful RBI portal submissions for banks; escalation if wrong → matches the start
Leadership: Evidence reads like A2: Gives KT and handles team coordination; no standing mentoring described → matches the start
Business Impact: Moved +0.5: the survey / manager mapping marks it business-critical.</t>
        </is>
      </c>
      <c r="FS223"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3" s="56" t="inlineStr">
        <is>
          <t>Self-identified: Answered · no common topic
For the next role: Answered · no common topic</t>
        </is>
      </c>
      <c r="FU223" s="32" t="inlineStr">
        <is>
          <t>Full survey answers not in the files received · How We Grow export needed · HR</t>
        </is>
      </c>
    </row>
    <row r="224" ht="90" customHeight="1">
      <c r="A224" s="51" t="inlineStr">
        <is>
          <t>◂ Back</t>
        </is>
      </c>
      <c r="B224" s="29" t="inlineStr">
        <is>
          <t>Mapped</t>
        </is>
      </c>
      <c r="C224" s="28" t="inlineStr">
        <is>
          <t>iDEAL</t>
        </is>
      </c>
      <c r="D224" s="29" t="inlineStr">
        <is>
          <t>IRIS2066</t>
        </is>
      </c>
      <c r="E224" s="29" t="inlineStr">
        <is>
          <t>Shivani Mishra</t>
        </is>
      </c>
      <c r="F224" s="29" t="inlineStr">
        <is>
          <t>Technology</t>
        </is>
      </c>
      <c r="G224" s="29" t="inlineStr">
        <is>
          <t>Business Analyst</t>
        </is>
      </c>
      <c r="H224" s="29" t="inlineStr">
        <is>
          <t>Senior Business Analyst</t>
        </is>
      </c>
      <c r="I224" s="29" t="inlineStr">
        <is>
          <t>L3 – Professional / Associate</t>
        </is>
      </c>
      <c r="J224" s="29" t="inlineStr">
        <is>
          <t>A3</t>
        </is>
      </c>
      <c r="K224" s="29" t="inlineStr">
        <is>
          <t>▲ Up</t>
        </is>
      </c>
      <c r="L224" s="29" t="inlineStr">
        <is>
          <t>Business Analysis</t>
        </is>
      </c>
      <c r="M224" s="29" t="inlineStr">
        <is>
          <t>Business Analysis</t>
        </is>
      </c>
      <c r="N224" s="29" t="n"/>
      <c r="O224" s="29" t="n">
        <v>0</v>
      </c>
      <c r="P224" s="28" t="inlineStr">
        <is>
          <t>P2</t>
        </is>
      </c>
      <c r="Q224" s="29" t="inlineStr">
        <is>
          <t>Developing</t>
        </is>
      </c>
      <c r="R224" s="29" t="inlineStr">
        <is>
          <t>3 Apply</t>
        </is>
      </c>
      <c r="S224" s="29" t="inlineStr">
        <is>
          <t>2–4 yrs</t>
        </is>
      </c>
      <c r="T224" s="29" t="inlineStr">
        <is>
          <t>3–5 · 2–5</t>
        </is>
      </c>
      <c r="U224" s="29" t="inlineStr">
        <is>
          <t>Business Analyst</t>
        </is>
      </c>
      <c r="V224" s="29" t="inlineStr">
        <is>
          <t>Regnology — regulatory reporting: Junior BA · Reg Reporting · Big Four consulting: Consultant · IRIS Vs Market Benchmark — IIBA certification pathway: ECBA · Infosys / Accenture: JL3A · L10 Senior Analyst</t>
        </is>
      </c>
      <c r="W224" s="29" t="inlineStr">
        <is>
          <t>IIBA BABOK v3; certifications ECBA · entry → CCBA → CBAP · senior</t>
        </is>
      </c>
      <c r="X224" s="29" t="inlineStr">
        <is>
          <t>Core 2 · Future 2 · Functional 3 · Leadership not scored</t>
        </is>
      </c>
      <c r="Y224" s="52" t="n">
        <v>242</v>
      </c>
      <c r="Z224" s="53" t="inlineStr">
        <is>
          <t>IRIS2066</t>
        </is>
      </c>
      <c r="AA224" s="53" t="inlineStr">
        <is>
          <t>Employee</t>
        </is>
      </c>
      <c r="AB224" s="53" t="inlineStr">
        <is>
          <t>Active</t>
        </is>
      </c>
      <c r="AC224" s="53" t="inlineStr">
        <is>
          <t>Shivani Mishra</t>
        </is>
      </c>
      <c r="AD224" s="54" t="n">
        <v>44837</v>
      </c>
      <c r="AE224" s="53" t="inlineStr">
        <is>
          <t>Business Analyst</t>
        </is>
      </c>
      <c r="AF224" s="53" t="inlineStr">
        <is>
          <t>M.Com</t>
        </is>
      </c>
      <c r="AG224" s="53" t="inlineStr">
        <is>
          <t>Yuvraj Kharchane</t>
        </is>
      </c>
      <c r="AH224" s="53" t="inlineStr">
        <is>
          <t>N-4</t>
        </is>
      </c>
      <c r="AI224" s="53" t="inlineStr">
        <is>
          <t>Individual Contributor</t>
        </is>
      </c>
      <c r="AJ224" s="53" t="inlineStr">
        <is>
          <t>3 years, 6 months, 0 days</t>
        </is>
      </c>
      <c r="AK224" s="53" t="inlineStr">
        <is>
          <t>3 years, 10 months, 22 days</t>
        </is>
      </c>
      <c r="AL224" s="53" t="inlineStr">
        <is>
          <t>Regtech</t>
        </is>
      </c>
      <c r="AM224" s="53" t="inlineStr">
        <is>
          <t>iDEAL</t>
        </is>
      </c>
      <c r="AN224" s="53" t="inlineStr">
        <is>
          <t>Technology</t>
        </is>
      </c>
      <c r="AO224" s="53" t="inlineStr">
        <is>
          <t>Business Analysis</t>
        </is>
      </c>
      <c r="AP224" s="53" t="inlineStr">
        <is>
          <t>No</t>
        </is>
      </c>
      <c r="AQ224" s="53" t="inlineStr">
        <is>
          <t>Product/Project</t>
        </is>
      </c>
      <c r="AR224" s="53" t="inlineStr">
        <is>
          <t>Business Analysis</t>
        </is>
      </c>
      <c r="AS224" s="53" t="inlineStr">
        <is>
          <t>Technical · BA, PM and QA</t>
        </is>
      </c>
      <c r="AT224" s="53" t="n">
        <v>0</v>
      </c>
      <c r="AU224" s="53" t="inlineStr">
        <is>
          <t>E-Maternity</t>
        </is>
      </c>
      <c r="AV224" s="53" t="n"/>
      <c r="AW224" s="53" t="n"/>
      <c r="AX224" s="53" t="n"/>
      <c r="AY224" s="53" t="n"/>
      <c r="AZ224" s="53" t="n"/>
      <c r="BA224" s="53" t="n"/>
      <c r="BB224" s="53" t="n"/>
      <c r="BC224" s="53" t="n"/>
      <c r="BD224" s="53" t="n"/>
      <c r="BE224" s="53" t="n"/>
      <c r="BF224" s="53" t="n"/>
      <c r="BG224" s="53" t="n"/>
      <c r="BH224" s="53" t="n"/>
      <c r="BI224" s="53" t="n"/>
      <c r="BJ224" s="53" t="n"/>
      <c r="BK224" s="53" t="n"/>
      <c r="BL224" s="53" t="n"/>
      <c r="BM224" s="53" t="n"/>
      <c r="BN224" s="53" t="n"/>
      <c r="BO224" s="53" t="n"/>
      <c r="BP224" s="53" t="n"/>
      <c r="BQ224" s="53" t="n"/>
      <c r="BR224" s="53" t="n"/>
      <c r="BS224" s="53" t="n"/>
      <c r="BT224" s="53" t="n"/>
      <c r="BU224" s="53" t="n"/>
      <c r="BV224" s="53" t="n"/>
      <c r="BW224" s="53" t="n"/>
      <c r="BX224" s="53" t="n"/>
      <c r="BY224" s="53" t="n"/>
      <c r="BZ224" s="53" t="n"/>
      <c r="CA224" s="53" t="n"/>
      <c r="CB224" s="53" t="n"/>
      <c r="CC224" s="53" t="n"/>
      <c r="CD224" s="53" t="n"/>
      <c r="CE224" s="53" t="n"/>
      <c r="CF224" s="53" t="n"/>
      <c r="CG224" s="53" t="n"/>
      <c r="CH224" s="53" t="n"/>
      <c r="CI224" s="53" t="n"/>
      <c r="CJ224" s="53" t="n"/>
      <c r="CK224" s="53" t="n"/>
      <c r="CL224" s="53" t="n"/>
      <c r="CM224" s="53" t="n"/>
      <c r="CN224" s="53" t="n"/>
      <c r="CO224" s="53" t="n"/>
      <c r="CP224" s="53" t="n"/>
      <c r="CQ224" s="53" t="n"/>
      <c r="CR224" s="53" t="n"/>
      <c r="CS224" s="53" t="n"/>
      <c r="CT224" s="53" t="n"/>
      <c r="CU224" s="53" t="n"/>
      <c r="CV224" s="53" t="n"/>
      <c r="CW224" s="53" t="n"/>
      <c r="CX224" s="53" t="n"/>
      <c r="CY224" s="53" t="n"/>
      <c r="CZ224" s="53" t="n"/>
      <c r="DA224" s="53" t="n"/>
      <c r="DB224" s="53" t="n"/>
      <c r="DC224" s="53" t="n"/>
      <c r="DD224" s="53" t="inlineStr">
        <is>
          <t>IRIS2066</t>
        </is>
      </c>
      <c r="DE224" s="53" t="inlineStr">
        <is>
          <t>Employee</t>
        </is>
      </c>
      <c r="DF224" s="53" t="inlineStr">
        <is>
          <t>Active</t>
        </is>
      </c>
      <c r="DG224" s="53" t="inlineStr">
        <is>
          <t>Shivani Mishra</t>
        </is>
      </c>
      <c r="DH224" s="54" t="n">
        <v>44837</v>
      </c>
      <c r="DI224" s="53" t="inlineStr">
        <is>
          <t>Business Analyst</t>
        </is>
      </c>
      <c r="DJ224" s="53" t="inlineStr">
        <is>
          <t>Business Analysis</t>
        </is>
      </c>
      <c r="DK224" s="53" t="inlineStr">
        <is>
          <t>Business / Functional Analysis</t>
        </is>
      </c>
      <c r="DL224" s="53" t="inlineStr">
        <is>
          <t>Business Analyst</t>
        </is>
      </c>
      <c r="DM224" s="53" t="inlineStr">
        <is>
          <t>L3 – Professional / Associate</t>
        </is>
      </c>
      <c r="DN224" s="53" t="inlineStr">
        <is>
          <t>M.Com</t>
        </is>
      </c>
      <c r="DO224" s="53" t="inlineStr">
        <is>
          <t>Yuvraj Kharchane</t>
        </is>
      </c>
      <c r="DP224" s="53" t="inlineStr">
        <is>
          <t>N-4</t>
        </is>
      </c>
      <c r="DQ224" s="53" t="inlineStr">
        <is>
          <t>Individual Contributor</t>
        </is>
      </c>
      <c r="DR224" s="53" t="inlineStr">
        <is>
          <t>3 years, 6 months, 0 days</t>
        </is>
      </c>
      <c r="DS224" s="53" t="inlineStr">
        <is>
          <t>3 years, 8 months, 17 days</t>
        </is>
      </c>
      <c r="DT224" s="53" t="inlineStr">
        <is>
          <t>7 years, 2 months, 17 days</t>
        </is>
      </c>
      <c r="DU224" s="53" t="n"/>
      <c r="DV224" s="53" t="inlineStr">
        <is>
          <t>Regtech</t>
        </is>
      </c>
      <c r="DW224" s="53" t="inlineStr">
        <is>
          <t>iDEAL</t>
        </is>
      </c>
      <c r="DX224" s="53" t="inlineStr">
        <is>
          <t>Technology</t>
        </is>
      </c>
      <c r="DY224" s="53" t="inlineStr">
        <is>
          <t>Business Analysis</t>
        </is>
      </c>
      <c r="DZ224" s="53" t="inlineStr">
        <is>
          <t>No</t>
        </is>
      </c>
      <c r="EA224" s="53" t="inlineStr">
        <is>
          <t>Product/Project</t>
        </is>
      </c>
      <c r="EB224" s="53" t="inlineStr">
        <is>
          <t>Business Analysis</t>
        </is>
      </c>
      <c r="EC224" s="53" t="inlineStr">
        <is>
          <t>Technical · BA, PM and QA</t>
        </is>
      </c>
      <c r="ED224" s="53" t="inlineStr">
        <is>
          <t>Remote- Outside Mumbai</t>
        </is>
      </c>
      <c r="EE224" s="53" t="inlineStr">
        <is>
          <t>On Maternity Leave</t>
        </is>
      </c>
      <c r="EF224" s="53"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4" s="53" t="inlineStr">
        <is>
          <t>On Maternity Leave</t>
        </is>
      </c>
      <c r="EH224" s="53" t="n">
        <v>3</v>
      </c>
      <c r="EI224" s="54" t="n">
        <v>45931</v>
      </c>
      <c r="EJ224" s="53" t="inlineStr">
        <is>
          <t>Same as current designation</t>
        </is>
      </c>
      <c r="EK224" s="53" t="inlineStr">
        <is>
          <t>No</t>
        </is>
      </c>
      <c r="EL224" s="53" t="n">
        <v>3</v>
      </c>
      <c r="EM224" s="53" t="inlineStr">
        <is>
          <t>Medium</t>
        </is>
      </c>
      <c r="EN224" s="53" t="inlineStr">
        <is>
          <t>Trusted Professional</t>
        </is>
      </c>
      <c r="EO224" s="53" t="inlineStr">
        <is>
          <t>Not Ready</t>
        </is>
      </c>
      <c r="EP224" s="53" t="inlineStr">
        <is>
          <t>No</t>
        </is>
      </c>
      <c r="EQ224" s="53" t="inlineStr">
        <is>
          <t>Yes</t>
        </is>
      </c>
      <c r="ER224" s="53" t="n"/>
      <c r="ES224" s="53" t="inlineStr">
        <is>
          <t>Training on the effective utilization of AI tools.</t>
        </is>
      </c>
      <c r="ET224" s="53" t="n"/>
      <c r="EU224" s="53" t="n"/>
      <c r="EV224" s="53" t="n"/>
      <c r="EW224" s="52" t="n"/>
      <c r="EX224" s="53" t="n"/>
      <c r="EY224" s="53" t="n"/>
      <c r="EZ224" s="53" t="n"/>
      <c r="FA224" s="53" t="n"/>
      <c r="FB224" s="53" t="n"/>
      <c r="FC224" s="53" t="n"/>
      <c r="FD224" s="53" t="n"/>
      <c r="FE224" s="57"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4" s="56" t="inlineStr">
        <is>
          <t>On Maternity Leave</t>
        </is>
      </c>
      <c r="FG224" s="56" t="inlineStr">
        <is>
          <t>On Maternity Leave</t>
        </is>
      </c>
      <c r="FH224" s="56" t="inlineStr">
        <is>
          <t>3</t>
        </is>
      </c>
      <c r="FI224" s="56" t="n"/>
      <c r="FJ224" s="56" t="inlineStr">
        <is>
          <t>Received · manager annual, quarterly, self</t>
        </is>
      </c>
      <c r="FK224" s="56" t="inlineStr">
        <is>
          <t>Talent Mapping · iDEAL</t>
        </is>
      </c>
      <c r="FL224" s="56" t="n">
        <v>0</v>
      </c>
      <c r="FM224" s="32" t="inlineStr">
        <is>
          <t>No survey response on file</t>
        </is>
      </c>
      <c r="FN224" s="56" t="inlineStr">
        <is>
          <t>—</t>
        </is>
      </c>
      <c r="FO224" s="56" t="inlineStr">
        <is>
          <t>—</t>
        </is>
      </c>
      <c r="FP224" s="56" t="inlineStr">
        <is>
          <t>—</t>
        </is>
      </c>
      <c r="FQ224" s="56" t="inlineStr">
        <is>
          <t>—</t>
        </is>
      </c>
      <c r="FR224" s="56"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FS224"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4" s="56" t="n"/>
      <c r="FU224" s="32" t="inlineStr">
        <is>
          <t>No survey response on file</t>
        </is>
      </c>
    </row>
    <row r="225" ht="90" customHeight="1">
      <c r="A225" s="51" t="inlineStr">
        <is>
          <t>◂ Back</t>
        </is>
      </c>
      <c r="B225" s="29" t="inlineStr">
        <is>
          <t>Mapped</t>
        </is>
      </c>
      <c r="C225" s="28" t="inlineStr">
        <is>
          <t>iDEAL</t>
        </is>
      </c>
      <c r="D225" s="29" t="inlineStr">
        <is>
          <t>IRIS2435</t>
        </is>
      </c>
      <c r="E225" s="29" t="inlineStr">
        <is>
          <t>Srijith Menon</t>
        </is>
      </c>
      <c r="F225" s="29" t="inlineStr">
        <is>
          <t>Product Management</t>
        </is>
      </c>
      <c r="G225" s="29" t="inlineStr">
        <is>
          <t>Product Coordinator</t>
        </is>
      </c>
      <c r="H225" s="29" t="inlineStr">
        <is>
          <t>Senior Product Analyst</t>
        </is>
      </c>
      <c r="I225" s="29" t="inlineStr">
        <is>
          <t>L3 – Professional / Associate</t>
        </is>
      </c>
      <c r="J225" s="29" t="inlineStr">
        <is>
          <t>A3</t>
        </is>
      </c>
      <c r="K225" s="29" t="inlineStr">
        <is>
          <t>▲ Up</t>
        </is>
      </c>
      <c r="L225" s="29" t="inlineStr">
        <is>
          <t>Product Management</t>
        </is>
      </c>
      <c r="M225" s="29" t="inlineStr">
        <is>
          <t>Product Operations &amp; Research</t>
        </is>
      </c>
      <c r="N225" s="29" t="n"/>
      <c r="O225" s="29" t="n">
        <v>20</v>
      </c>
      <c r="P225" s="28" t="inlineStr">
        <is>
          <t>P2</t>
        </is>
      </c>
      <c r="Q225" s="29" t="inlineStr">
        <is>
          <t>Developing</t>
        </is>
      </c>
      <c r="R225" s="29" t="inlineStr">
        <is>
          <t>3 Apply</t>
        </is>
      </c>
      <c r="S225" s="29" t="inlineStr">
        <is>
          <t>2–4 yrs</t>
        </is>
      </c>
      <c r="T225" s="29" t="inlineStr">
        <is>
          <t>3–5 · 2–5</t>
        </is>
      </c>
      <c r="U225" s="29" t="inlineStr">
        <is>
          <t>Associate Product Manager</t>
        </is>
      </c>
      <c r="V225" s="29" t="inlineStr">
        <is>
          <t>IRIS Vs Competitor Benchmark — SaaS product ladder: Associate PM</t>
        </is>
      </c>
      <c r="W225" s="29" t="inlineStr">
        <is>
          <t>Pragmatic Institute Framework · 37 activities, 7 categories; AIPMM</t>
        </is>
      </c>
      <c r="X225" s="29" t="inlineStr">
        <is>
          <t>Core 2 · Future 2 · Functional 3 · Leadership not scored</t>
        </is>
      </c>
      <c r="Y225" s="52" t="n">
        <v>403</v>
      </c>
      <c r="Z225" s="53" t="inlineStr">
        <is>
          <t>IRIS2435</t>
        </is>
      </c>
      <c r="AA225" s="53" t="inlineStr">
        <is>
          <t>Employee</t>
        </is>
      </c>
      <c r="AB225" s="53" t="inlineStr">
        <is>
          <t>Active</t>
        </is>
      </c>
      <c r="AC225" s="53" t="inlineStr">
        <is>
          <t>Srijith Menon</t>
        </is>
      </c>
      <c r="AD225" s="54" t="n">
        <v>45925</v>
      </c>
      <c r="AE225" s="53" t="inlineStr">
        <is>
          <t>Product Coordinator</t>
        </is>
      </c>
      <c r="AF225" s="53" t="inlineStr">
        <is>
          <t>Bachelors in Hotel Management</t>
        </is>
      </c>
      <c r="AG225" s="53" t="inlineStr">
        <is>
          <t>Yuvraj Kharchane</t>
        </is>
      </c>
      <c r="AH225" s="53" t="inlineStr">
        <is>
          <t>N-4</t>
        </is>
      </c>
      <c r="AI225" s="53" t="inlineStr">
        <is>
          <t>Individual Contributor</t>
        </is>
      </c>
      <c r="AJ225" s="53" t="inlineStr">
        <is>
          <t>7 years, 0 months, 0 days</t>
        </is>
      </c>
      <c r="AK225" s="53" t="inlineStr">
        <is>
          <t>0 years, 11 months, 0 days</t>
        </is>
      </c>
      <c r="AL225" s="53" t="inlineStr">
        <is>
          <t>Regtech</t>
        </is>
      </c>
      <c r="AM225" s="53" t="inlineStr">
        <is>
          <t>iDEAL</t>
        </is>
      </c>
      <c r="AN225" s="53" t="inlineStr">
        <is>
          <t>Product Management</t>
        </is>
      </c>
      <c r="AO225" s="53" t="inlineStr">
        <is>
          <t>Client Engagement</t>
        </is>
      </c>
      <c r="AP225" s="53" t="inlineStr">
        <is>
          <t>No</t>
        </is>
      </c>
      <c r="AQ225" s="53" t="inlineStr">
        <is>
          <t>Client Engagement</t>
        </is>
      </c>
      <c r="AR225" s="53" t="inlineStr">
        <is>
          <t>Product Management</t>
        </is>
      </c>
      <c r="AS225" s="53" t="inlineStr">
        <is>
          <t>Technical · BA, PM and QA</t>
        </is>
      </c>
      <c r="AT225" s="53" t="n">
        <v>20</v>
      </c>
      <c r="AU225" s="53" t="inlineStr">
        <is>
          <t>Covered</t>
        </is>
      </c>
      <c r="AV225" s="53" t="n"/>
      <c r="AW225" s="53" t="n"/>
      <c r="AX225" s="53" t="n"/>
      <c r="AY225" s="53" t="n"/>
      <c r="AZ225" s="53" t="n"/>
      <c r="BA225" s="53" t="n"/>
      <c r="BB225" s="53" t="n"/>
      <c r="BC225" s="53" t="n"/>
      <c r="BD225" s="53" t="n"/>
      <c r="BE225" s="53" t="n"/>
      <c r="BF225" s="53" t="n"/>
      <c r="BG225" s="53" t="n"/>
      <c r="BH225" s="53" t="n"/>
      <c r="BI225" s="53" t="n"/>
      <c r="BJ225" s="53" t="n"/>
      <c r="BK225" s="53" t="n"/>
      <c r="BL225" s="53" t="n"/>
      <c r="BM225" s="53" t="n"/>
      <c r="BN225" s="53" t="n"/>
      <c r="BO225" s="53" t="n"/>
      <c r="BP225" s="53" t="n"/>
      <c r="BQ225" s="53" t="n"/>
      <c r="BR225" s="53" t="n"/>
      <c r="BS225" s="53" t="n"/>
      <c r="BT225" s="53" t="n"/>
      <c r="BU225" s="53" t="n"/>
      <c r="BV225" s="53" t="n"/>
      <c r="BW225" s="53" t="n"/>
      <c r="BX225" s="53" t="n"/>
      <c r="BY225" s="53" t="n"/>
      <c r="BZ225" s="53" t="n"/>
      <c r="CA225" s="53" t="n"/>
      <c r="CB225" s="53" t="n"/>
      <c r="CC225" s="53" t="n"/>
      <c r="CD225" s="53" t="n"/>
      <c r="CE225" s="53" t="n"/>
      <c r="CF225" s="53" t="n"/>
      <c r="CG225" s="53" t="n"/>
      <c r="CH225" s="53" t="n"/>
      <c r="CI225" s="53" t="n"/>
      <c r="CJ225" s="53" t="n"/>
      <c r="CK225" s="53" t="n"/>
      <c r="CL225" s="53" t="n"/>
      <c r="CM225" s="53" t="n"/>
      <c r="CN225" s="53" t="n"/>
      <c r="CO225" s="53" t="n"/>
      <c r="CP225" s="53" t="n"/>
      <c r="CQ225" s="53" t="n"/>
      <c r="CR225" s="53" t="n"/>
      <c r="CS225" s="53" t="n"/>
      <c r="CT225" s="53" t="n"/>
      <c r="CU225" s="53" t="n"/>
      <c r="CV225" s="53" t="n"/>
      <c r="CW225" s="53" t="n"/>
      <c r="CX225" s="53" t="n"/>
      <c r="CY225" s="53" t="n"/>
      <c r="CZ225" s="53" t="n"/>
      <c r="DA225" s="53" t="n"/>
      <c r="DB225" s="53" t="n"/>
      <c r="DC225" s="53" t="n"/>
      <c r="DD225" s="53" t="inlineStr">
        <is>
          <t>IRIS2435</t>
        </is>
      </c>
      <c r="DE225" s="53" t="inlineStr">
        <is>
          <t>Employee</t>
        </is>
      </c>
      <c r="DF225" s="53" t="inlineStr">
        <is>
          <t>Active</t>
        </is>
      </c>
      <c r="DG225" s="53" t="inlineStr">
        <is>
          <t>Srijith Menon</t>
        </is>
      </c>
      <c r="DH225" s="54" t="n">
        <v>45925</v>
      </c>
      <c r="DI225" s="53" t="inlineStr">
        <is>
          <t>Product Coordinator</t>
        </is>
      </c>
      <c r="DJ225" s="53" t="inlineStr">
        <is>
          <t>Executive Leadership</t>
        </is>
      </c>
      <c r="DK225" s="53" t="inlineStr">
        <is>
          <t>Business / Functional Leadership</t>
        </is>
      </c>
      <c r="DL225" s="53" t="inlineStr">
        <is>
          <t>Product Coordinator</t>
        </is>
      </c>
      <c r="DM225" s="53" t="inlineStr">
        <is>
          <t>L3 – Professional / Associate</t>
        </is>
      </c>
      <c r="DN225" s="53" t="inlineStr">
        <is>
          <t>Bachelors in Hotel Management</t>
        </is>
      </c>
      <c r="DO225" s="53" t="inlineStr">
        <is>
          <t>Yuvraj Kharchane</t>
        </is>
      </c>
      <c r="DP225" s="53" t="inlineStr">
        <is>
          <t>N-4</t>
        </is>
      </c>
      <c r="DQ225" s="53" t="inlineStr">
        <is>
          <t>Individual Contributor</t>
        </is>
      </c>
      <c r="DR225" s="53" t="inlineStr">
        <is>
          <t>7 years, 0 months, 0 days</t>
        </is>
      </c>
      <c r="DS225" s="53" t="inlineStr">
        <is>
          <t>0 years, 8 months, 26 days</t>
        </is>
      </c>
      <c r="DT225" s="53" t="inlineStr">
        <is>
          <t>7 years, 8 months, 26 days</t>
        </is>
      </c>
      <c r="DU225" s="53" t="n"/>
      <c r="DV225" s="53" t="inlineStr">
        <is>
          <t>Regtech</t>
        </is>
      </c>
      <c r="DW225" s="53" t="inlineStr">
        <is>
          <t>iDEAL</t>
        </is>
      </c>
      <c r="DX225" s="53" t="inlineStr">
        <is>
          <t>Product Management</t>
        </is>
      </c>
      <c r="DY225" s="53" t="inlineStr">
        <is>
          <t>Client Engagement</t>
        </is>
      </c>
      <c r="DZ225" s="53" t="inlineStr">
        <is>
          <t>No</t>
        </is>
      </c>
      <c r="EA225" s="53" t="inlineStr">
        <is>
          <t>Client Engagement</t>
        </is>
      </c>
      <c r="EB225" s="53" t="inlineStr">
        <is>
          <t>Product Management</t>
        </is>
      </c>
      <c r="EC225" s="53" t="inlineStr">
        <is>
          <t>Technical · BA, PM and QA</t>
        </is>
      </c>
      <c r="ED225" s="53" t="inlineStr">
        <is>
          <t>Work From Office - Turbhe</t>
        </is>
      </c>
      <c r="EE225" s="53"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EF225" s="53"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EG225" s="53"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EH225" s="53" t="n">
        <v>3</v>
      </c>
      <c r="EI225" s="54" t="n">
        <v>45931</v>
      </c>
      <c r="EJ225" s="53" t="inlineStr">
        <is>
          <t>Same as current designation</t>
        </is>
      </c>
      <c r="EK225" s="53" t="inlineStr">
        <is>
          <t>No</t>
        </is>
      </c>
      <c r="EL225" s="53" t="n">
        <v>3</v>
      </c>
      <c r="EM225" s="53" t="inlineStr">
        <is>
          <t>Medium</t>
        </is>
      </c>
      <c r="EN225" s="53" t="inlineStr">
        <is>
          <t>Emerging Talent</t>
        </is>
      </c>
      <c r="EO225" s="53" t="inlineStr">
        <is>
          <t>Not Ready</t>
        </is>
      </c>
      <c r="EP225" s="53" t="inlineStr">
        <is>
          <t>No</t>
        </is>
      </c>
      <c r="EQ225" s="53" t="inlineStr">
        <is>
          <t>Yes</t>
        </is>
      </c>
      <c r="ER225" s="53" t="n"/>
      <c r="ES225" s="53" t="inlineStr">
        <is>
          <t>XBRL Training, Training on the effective utilization of AI tools.</t>
        </is>
      </c>
      <c r="ET225" s="53" t="n"/>
      <c r="EU225" s="53" t="n"/>
      <c r="EV225" s="53" t="n"/>
      <c r="EW225" s="52" t="n"/>
      <c r="EX225" s="53" t="n"/>
      <c r="EY225" s="53" t="n"/>
      <c r="EZ225" s="53" t="n"/>
      <c r="FA225" s="53" t="n"/>
      <c r="FB225" s="53" t="n"/>
      <c r="FC225" s="53" t="n"/>
      <c r="FD225" s="53" t="n"/>
      <c r="FE225" s="57"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FF225" s="56"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FG225" s="56"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FH225" s="56" t="inlineStr">
        <is>
          <t>3</t>
        </is>
      </c>
      <c r="FI225" s="56" t="n"/>
      <c r="FJ225" s="56" t="inlineStr">
        <is>
          <t>Received · manager annual, quarterly, self</t>
        </is>
      </c>
      <c r="FK225" s="56" t="inlineStr">
        <is>
          <t>Talent Mapping · iDEAL</t>
        </is>
      </c>
      <c r="FL225" s="56" t="n">
        <v>20</v>
      </c>
      <c r="FM225" s="32" t="inlineStr">
        <is>
          <t>Full survey answers not in the files received · How We Grow export needed · HR</t>
        </is>
      </c>
      <c r="FN225" s="56" t="inlineStr">
        <is>
          <t>—</t>
        </is>
      </c>
      <c r="FO225" s="56" t="inlineStr">
        <is>
          <t>—</t>
        </is>
      </c>
      <c r="FP225" s="56" t="inlineStr">
        <is>
          <t>—</t>
        </is>
      </c>
      <c r="FQ225" s="56" t="inlineStr">
        <is>
          <t>—</t>
        </is>
      </c>
      <c r="FR225" s="56"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two named clients · ESAF, BFL: timelines and accuracy → moved up 0.5
Leadership: Evidence reads like A1: Coordinates people and tasks; no guidance or leadership of others described → matches the start
Business Impact: Moved +0.5: the survey / manager mapping marks it business-critical.</t>
        </is>
      </c>
      <c r="FS225" s="56" t="n"/>
      <c r="FT225" s="56" t="inlineStr">
        <is>
          <t>Self-identified: Project / programme management · Technical depth &amp; architecture · Strategy &amp; business acumen · Broader exposure &amp; ownership
For the next role: Project / programme management · Technical depth &amp; architecture · Strategy &amp; business acumen · Broader exposure &amp; ownership</t>
        </is>
      </c>
      <c r="FU225" s="32" t="inlineStr">
        <is>
          <t>Full survey answers not in the files received · How We Grow export needed · HR</t>
        </is>
      </c>
    </row>
    <row r="226" ht="90" customHeight="1">
      <c r="A226" s="51" t="inlineStr">
        <is>
          <t>◂ Back</t>
        </is>
      </c>
      <c r="B226" s="29" t="inlineStr">
        <is>
          <t>Mapped</t>
        </is>
      </c>
      <c r="C226" s="28" t="inlineStr">
        <is>
          <t>iDEAL</t>
        </is>
      </c>
      <c r="D226" s="29" t="inlineStr">
        <is>
          <t>IRIS1343</t>
        </is>
      </c>
      <c r="E226" s="29" t="inlineStr">
        <is>
          <t>Anand Usakoyal</t>
        </is>
      </c>
      <c r="F226" s="29" t="inlineStr">
        <is>
          <t>Technology</t>
        </is>
      </c>
      <c r="G226" s="29" t="inlineStr">
        <is>
          <t>Project Lead</t>
        </is>
      </c>
      <c r="H226" s="29" t="inlineStr">
        <is>
          <t>Associate Project Manager</t>
        </is>
      </c>
      <c r="I226" s="29" t="inlineStr">
        <is>
          <t>L5 – Lead · IC</t>
        </is>
      </c>
      <c r="J226" s="29" t="inlineStr">
        <is>
          <t>B1</t>
        </is>
      </c>
      <c r="K226" s="29" t="inlineStr">
        <is>
          <t>▼ Down · protected</t>
        </is>
      </c>
      <c r="L226" s="29" t="inlineStr">
        <is>
          <t>Project &amp; Program Management</t>
        </is>
      </c>
      <c r="M226" s="29" t="inlineStr">
        <is>
          <t>Project &amp; Program Delivery</t>
        </is>
      </c>
      <c r="N226" s="29" t="n"/>
      <c r="O226" s="29" t="n">
        <v>20</v>
      </c>
      <c r="P226" s="28" t="inlineStr">
        <is>
          <t>P3 / M2</t>
        </is>
      </c>
      <c r="Q226" s="29" t="inlineStr">
        <is>
          <t>Career / · Team Lead</t>
        </is>
      </c>
      <c r="R226" s="29" t="inlineStr">
        <is>
          <t>4 Enable</t>
        </is>
      </c>
      <c r="S226" s="29" t="inlineStr">
        <is>
          <t>4–7 yrs</t>
        </is>
      </c>
      <c r="T226" s="29" t="inlineStr">
        <is>
          <t>5–8 · 4–8</t>
        </is>
      </c>
      <c r="U226" s="29" t="inlineStr">
        <is>
          <t>Project Manager</t>
        </is>
      </c>
      <c r="V226" s="29" t="inlineStr">
        <is>
          <t>IRIS Vs Competitor Benchmark — PMI pathway + SaaS delivery ladder: Project Manager · PMP</t>
        </is>
      </c>
      <c r="W226" s="29" t="inlineStr">
        <is>
          <t>PMI PMBOK and Talent Triangle; CAPM · entry → PMP → PgMP; Scrum / SAFe</t>
        </is>
      </c>
      <c r="X226" s="29" t="inlineStr">
        <is>
          <t>Core 3 · Future 3 · Functional 3 · Leadership 1</t>
        </is>
      </c>
      <c r="Y226" s="52" t="n">
        <v>119</v>
      </c>
      <c r="Z226" s="53" t="inlineStr">
        <is>
          <t>IRIS1343</t>
        </is>
      </c>
      <c r="AA226" s="53" t="inlineStr">
        <is>
          <t>Employee</t>
        </is>
      </c>
      <c r="AB226" s="53" t="inlineStr">
        <is>
          <t>Active</t>
        </is>
      </c>
      <c r="AC226" s="53" t="inlineStr">
        <is>
          <t>Anand Usakoyal</t>
        </is>
      </c>
      <c r="AD226" s="54" t="n">
        <v>41437</v>
      </c>
      <c r="AE226" s="53" t="inlineStr">
        <is>
          <t>Project Lead</t>
        </is>
      </c>
      <c r="AF226" s="53" t="inlineStr">
        <is>
          <t>MBA</t>
        </is>
      </c>
      <c r="AG226" s="53" t="inlineStr">
        <is>
          <t>Hemant Karale</t>
        </is>
      </c>
      <c r="AH226" s="53" t="inlineStr">
        <is>
          <t>N-3</t>
        </is>
      </c>
      <c r="AI226" s="53" t="inlineStr">
        <is>
          <t>Individual Contributor</t>
        </is>
      </c>
      <c r="AJ226" s="53" t="inlineStr">
        <is>
          <t>0 years, 0 months, 0 days</t>
        </is>
      </c>
      <c r="AK226" s="53" t="inlineStr">
        <is>
          <t>13 years, 2 months, 13 days</t>
        </is>
      </c>
      <c r="AL226" s="53" t="inlineStr">
        <is>
          <t>Regtech</t>
        </is>
      </c>
      <c r="AM226" s="53" t="inlineStr">
        <is>
          <t>iDEAL</t>
        </is>
      </c>
      <c r="AN226" s="53" t="inlineStr">
        <is>
          <t>Technology</t>
        </is>
      </c>
      <c r="AO226" s="53" t="inlineStr">
        <is>
          <t>Project Management</t>
        </is>
      </c>
      <c r="AP226" s="53" t="inlineStr">
        <is>
          <t>No</t>
        </is>
      </c>
      <c r="AQ226" s="53" t="inlineStr">
        <is>
          <t>Product/Project</t>
        </is>
      </c>
      <c r="AR226" s="53" t="inlineStr">
        <is>
          <t>Project Management</t>
        </is>
      </c>
      <c r="AS226" s="53" t="inlineStr">
        <is>
          <t>Technical · BA, PM and QA</t>
        </is>
      </c>
      <c r="AT226" s="53" t="n">
        <v>20</v>
      </c>
      <c r="AU226" s="53" t="inlineStr">
        <is>
          <t>Covered</t>
        </is>
      </c>
      <c r="AV226" s="53" t="n"/>
      <c r="AW226" s="53" t="n"/>
      <c r="AX226" s="53" t="n"/>
      <c r="AY226" s="53" t="n"/>
      <c r="AZ226" s="53" t="n"/>
      <c r="BA226" s="53" t="n"/>
      <c r="BB226" s="53" t="n"/>
      <c r="BC226" s="53" t="n"/>
      <c r="BD226" s="53" t="n"/>
      <c r="BE226" s="53" t="n"/>
      <c r="BF226" s="53" t="n"/>
      <c r="BG226" s="53" t="n"/>
      <c r="BH226" s="53" t="n"/>
      <c r="BI226" s="53" t="n"/>
      <c r="BJ226" s="53" t="n"/>
      <c r="BK226" s="53" t="n"/>
      <c r="BL226" s="53" t="n"/>
      <c r="BM226" s="53" t="n"/>
      <c r="BN226" s="53" t="n"/>
      <c r="BO226" s="53" t="n"/>
      <c r="BP226" s="53" t="n"/>
      <c r="BQ226" s="53" t="n"/>
      <c r="BR226" s="53" t="n"/>
      <c r="BS226" s="53" t="n"/>
      <c r="BT226" s="53" t="n"/>
      <c r="BU226" s="53" t="n"/>
      <c r="BV226" s="53" t="n"/>
      <c r="BW226" s="53" t="n"/>
      <c r="BX226" s="53" t="n"/>
      <c r="BY226" s="53" t="n"/>
      <c r="BZ226" s="53" t="n"/>
      <c r="CA226" s="53" t="n"/>
      <c r="CB226" s="53" t="n"/>
      <c r="CC226" s="53" t="n"/>
      <c r="CD226" s="53" t="n"/>
      <c r="CE226" s="53" t="n"/>
      <c r="CF226" s="53" t="n"/>
      <c r="CG226" s="53" t="n"/>
      <c r="CH226" s="53" t="n"/>
      <c r="CI226" s="53" t="n"/>
      <c r="CJ226" s="53" t="n"/>
      <c r="CK226" s="53" t="n"/>
      <c r="CL226" s="53" t="n"/>
      <c r="CM226" s="53" t="n"/>
      <c r="CN226" s="53" t="n"/>
      <c r="CO226" s="53" t="n"/>
      <c r="CP226" s="53" t="n"/>
      <c r="CQ226" s="53" t="n"/>
      <c r="CR226" s="53" t="n"/>
      <c r="CS226" s="53" t="n"/>
      <c r="CT226" s="53" t="n"/>
      <c r="CU226" s="53" t="n"/>
      <c r="CV226" s="53" t="n"/>
      <c r="CW226" s="53" t="n"/>
      <c r="CX226" s="53" t="n"/>
      <c r="CY226" s="53" t="n"/>
      <c r="CZ226" s="53" t="n"/>
      <c r="DA226" s="53" t="n"/>
      <c r="DB226" s="53" t="n"/>
      <c r="DC226" s="53" t="n"/>
      <c r="DD226" s="53" t="inlineStr">
        <is>
          <t>IRIS1343</t>
        </is>
      </c>
      <c r="DE226" s="53" t="inlineStr">
        <is>
          <t>Employee</t>
        </is>
      </c>
      <c r="DF226" s="53" t="inlineStr">
        <is>
          <t>Active</t>
        </is>
      </c>
      <c r="DG226" s="53" t="inlineStr">
        <is>
          <t>Anand Usakoyal</t>
        </is>
      </c>
      <c r="DH226" s="54" t="n">
        <v>41437</v>
      </c>
      <c r="DI226" s="53" t="inlineStr">
        <is>
          <t>Project Lead</t>
        </is>
      </c>
      <c r="DJ226" s="53" t="inlineStr">
        <is>
          <t>Project &amp; Program Management</t>
        </is>
      </c>
      <c r="DK226" s="53" t="inlineStr">
        <is>
          <t>Project Management</t>
        </is>
      </c>
      <c r="DL226" s="53" t="inlineStr">
        <is>
          <t>Project Lead</t>
        </is>
      </c>
      <c r="DM226" s="53" t="inlineStr">
        <is>
          <t>L5 – Lead · IC</t>
        </is>
      </c>
      <c r="DN226" s="53" t="inlineStr">
        <is>
          <t>MBA</t>
        </is>
      </c>
      <c r="DO226" s="53" t="inlineStr">
        <is>
          <t>Hemant Karale</t>
        </is>
      </c>
      <c r="DP226" s="53" t="inlineStr">
        <is>
          <t>N-3</t>
        </is>
      </c>
      <c r="DQ226" s="53" t="inlineStr">
        <is>
          <t>Individual Contributor</t>
        </is>
      </c>
      <c r="DR226" s="53" t="inlineStr">
        <is>
          <t>0 years, 0 months, 0 days</t>
        </is>
      </c>
      <c r="DS226" s="53" t="inlineStr">
        <is>
          <t>13 years, 0 months, 8 days</t>
        </is>
      </c>
      <c r="DT226" s="53" t="inlineStr">
        <is>
          <t>13 years, 0 months, 8 days</t>
        </is>
      </c>
      <c r="DU226" s="53" t="n"/>
      <c r="DV226" s="53" t="inlineStr">
        <is>
          <t>Regtech</t>
        </is>
      </c>
      <c r="DW226" s="53" t="inlineStr">
        <is>
          <t>iDEAL</t>
        </is>
      </c>
      <c r="DX226" s="53" t="inlineStr">
        <is>
          <t>Technology</t>
        </is>
      </c>
      <c r="DY226" s="53" t="inlineStr">
        <is>
          <t>Project Management</t>
        </is>
      </c>
      <c r="DZ226" s="53" t="inlineStr">
        <is>
          <t>No</t>
        </is>
      </c>
      <c r="EA226" s="53" t="inlineStr">
        <is>
          <t>Product/Project</t>
        </is>
      </c>
      <c r="EB226" s="53" t="inlineStr">
        <is>
          <t>Project Management</t>
        </is>
      </c>
      <c r="EC226" s="53" t="inlineStr">
        <is>
          <t>Technical · BA, PM and QA</t>
        </is>
      </c>
      <c r="ED226" s="53" t="inlineStr">
        <is>
          <t>Remote - Mumbai</t>
        </is>
      </c>
      <c r="EE226" s="53"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EF226" s="53"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EG226" s="53"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EH226" s="53" t="n">
        <v>3</v>
      </c>
      <c r="EI226" s="54" t="n">
        <v>45931</v>
      </c>
      <c r="EJ226" s="53" t="inlineStr">
        <is>
          <t>Same as current designation</t>
        </is>
      </c>
      <c r="EK226" s="53" t="inlineStr">
        <is>
          <t>No</t>
        </is>
      </c>
      <c r="EL226" s="53" t="n">
        <v>3</v>
      </c>
      <c r="EM226" s="53" t="inlineStr">
        <is>
          <t>Medium</t>
        </is>
      </c>
      <c r="EN226" s="53" t="inlineStr">
        <is>
          <t>Emerging Talent</t>
        </is>
      </c>
      <c r="EO226" s="53" t="inlineStr">
        <is>
          <t>Not Ready</t>
        </is>
      </c>
      <c r="EP226" s="53" t="inlineStr">
        <is>
          <t>No</t>
        </is>
      </c>
      <c r="EQ226" s="53" t="inlineStr">
        <is>
          <t>No</t>
        </is>
      </c>
      <c r="ER226" s="53" t="n"/>
      <c r="ES226" s="53" t="inlineStr">
        <is>
          <t>Training on the effective utilization of AI tools.</t>
        </is>
      </c>
      <c r="ET226" s="53" t="n"/>
      <c r="EU226" s="53" t="n"/>
      <c r="EV226" s="53" t="n"/>
      <c r="EW226" s="52" t="n"/>
      <c r="EX226" s="53" t="n"/>
      <c r="EY226" s="53" t="n"/>
      <c r="EZ226" s="53" t="n"/>
      <c r="FA226" s="53" t="n"/>
      <c r="FB226" s="53" t="n"/>
      <c r="FC226" s="53" t="n"/>
      <c r="FD226" s="53" t="n"/>
      <c r="FE226" s="57"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FF226" s="56"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FG226" s="56"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FH226" s="56" t="inlineStr">
        <is>
          <t>3</t>
        </is>
      </c>
      <c r="FI226" s="56" t="n"/>
      <c r="FJ226" s="56" t="inlineStr">
        <is>
          <t>Received · manager annual, quarterly, self</t>
        </is>
      </c>
      <c r="FK226" s="56" t="inlineStr">
        <is>
          <t>Talent Mapping · iDEAL</t>
        </is>
      </c>
      <c r="FL226" s="56" t="n">
        <v>20</v>
      </c>
      <c r="FM226" s="32" t="inlineStr">
        <is>
          <t>Full survey answers not in the files received · How We Grow export needed · HR</t>
        </is>
      </c>
      <c r="FN226" s="56" t="inlineStr">
        <is>
          <t>—</t>
        </is>
      </c>
      <c r="FO226" s="56" t="inlineStr">
        <is>
          <t>—</t>
        </is>
      </c>
      <c r="FP226" s="56" t="inlineStr">
        <is>
          <t>—</t>
        </is>
      </c>
      <c r="FQ226" s="56" t="inlineStr">
        <is>
          <t>—</t>
        </is>
      </c>
      <c r="FR226" s="56"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meeting RBI standards → matches the start
Leadership: Evidence reads like A3: Coordinates development and testing teams; gives guidance and resolves doubts → matches the start
Business Impact: No survey or manager-mapping signal on criticality: kept at the start point.</t>
        </is>
      </c>
      <c r="FS226"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226" s="56" t="inlineStr">
        <is>
          <t>Self-identified: Project / programme management · Client, sales &amp; stakeholders · Communication &amp; presentation
For the next role: Project / programme management · Client, sales &amp; stakeholders · Communication &amp; presentation</t>
        </is>
      </c>
      <c r="FU226" s="32" t="inlineStr">
        <is>
          <t>Full survey answers not in the files received · How We Grow export needed · HR</t>
        </is>
      </c>
    </row>
    <row r="227" ht="90" customHeight="1">
      <c r="A227" s="51" t="inlineStr">
        <is>
          <t>◂ Back</t>
        </is>
      </c>
      <c r="B227" s="29" t="inlineStr">
        <is>
          <t>Mapped</t>
        </is>
      </c>
      <c r="C227" s="28" t="inlineStr">
        <is>
          <t>iDEAL</t>
        </is>
      </c>
      <c r="D227" s="29" t="inlineStr">
        <is>
          <t>IRIS1947</t>
        </is>
      </c>
      <c r="E227" s="29" t="inlineStr">
        <is>
          <t>Aroosa Ghole</t>
        </is>
      </c>
      <c r="F227" s="29" t="inlineStr">
        <is>
          <t>Technology</t>
        </is>
      </c>
      <c r="G227" s="29" t="inlineStr">
        <is>
          <t>Senior Business Analyst</t>
        </is>
      </c>
      <c r="H227" s="29" t="inlineStr">
        <is>
          <t>Team Lead – Business Analysis</t>
        </is>
      </c>
      <c r="I227" s="29" t="inlineStr">
        <is>
          <t>L4 – Senior</t>
        </is>
      </c>
      <c r="J227" s="29" t="inlineStr">
        <is>
          <t>B1</t>
        </is>
      </c>
      <c r="K227" s="29" t="inlineStr">
        <is>
          <t>▲ Up</t>
        </is>
      </c>
      <c r="L227" s="29" t="inlineStr">
        <is>
          <t>Business Analysis</t>
        </is>
      </c>
      <c r="M227" s="29" t="inlineStr">
        <is>
          <t>Business Analysis</t>
        </is>
      </c>
      <c r="N227" s="29" t="n"/>
      <c r="O227" s="29" t="n">
        <v>20</v>
      </c>
      <c r="P227" s="28" t="inlineStr">
        <is>
          <t>P3 / M2</t>
        </is>
      </c>
      <c r="Q227" s="29" t="inlineStr">
        <is>
          <t>Career / · Team Lead</t>
        </is>
      </c>
      <c r="R227" s="29" t="inlineStr">
        <is>
          <t>4 Enable</t>
        </is>
      </c>
      <c r="S227" s="29" t="inlineStr">
        <is>
          <t>4–7 yrs</t>
        </is>
      </c>
      <c r="T227" s="29" t="inlineStr">
        <is>
          <t>5–8 · 4–8</t>
        </is>
      </c>
      <c r="U227" s="29" t="inlineStr">
        <is>
          <t>Team Lead / Assistant Manager</t>
        </is>
      </c>
      <c r="V227" s="29" t="inlineStr">
        <is>
          <t>Regnology — regulatory reporting: BA · Reg Reporting · Big Four consulting: Senior Consultant · IRIS Vs Market Benchmark — IIBA certification pathway: CCBA · Infosys / Accenture: JL4 · L9 Consultant</t>
        </is>
      </c>
      <c r="W227" s="29" t="inlineStr">
        <is>
          <t>IIBA BABOK v3; certifications ECBA · entry → CCBA → CBAP · senior</t>
        </is>
      </c>
      <c r="X227" s="29" t="inlineStr">
        <is>
          <t>Core 3 · Future 3 · Functional 3 · Leadership 2</t>
        </is>
      </c>
      <c r="Y227" s="52" t="n">
        <v>195</v>
      </c>
      <c r="Z227" s="53" t="inlineStr">
        <is>
          <t>IRIS1947</t>
        </is>
      </c>
      <c r="AA227" s="53" t="inlineStr">
        <is>
          <t>Employee</t>
        </is>
      </c>
      <c r="AB227" s="53" t="inlineStr">
        <is>
          <t>Active</t>
        </is>
      </c>
      <c r="AC227" s="53" t="inlineStr">
        <is>
          <t>Aroosa Ghole</t>
        </is>
      </c>
      <c r="AD227" s="54" t="n">
        <v>44431</v>
      </c>
      <c r="AE227" s="53" t="inlineStr">
        <is>
          <t>Senior Business Analyst</t>
        </is>
      </c>
      <c r="AF227" s="53" t="inlineStr">
        <is>
          <t>PGDM</t>
        </is>
      </c>
      <c r="AG227" s="53" t="inlineStr">
        <is>
          <t>Hemant Karale</t>
        </is>
      </c>
      <c r="AH227" s="53" t="inlineStr">
        <is>
          <t>N-3</t>
        </is>
      </c>
      <c r="AI227" s="53" t="inlineStr">
        <is>
          <t>Manager</t>
        </is>
      </c>
      <c r="AJ227" s="53" t="inlineStr">
        <is>
          <t>2 years, 5 months, 0 days</t>
        </is>
      </c>
      <c r="AK227" s="53" t="inlineStr">
        <is>
          <t>5 years, 0 months, 2 days</t>
        </is>
      </c>
      <c r="AL227" s="53" t="inlineStr">
        <is>
          <t>Regtech</t>
        </is>
      </c>
      <c r="AM227" s="53" t="inlineStr">
        <is>
          <t>iDEAL</t>
        </is>
      </c>
      <c r="AN227" s="53" t="inlineStr">
        <is>
          <t>Technology</t>
        </is>
      </c>
      <c r="AO227" s="53" t="inlineStr">
        <is>
          <t>Business Analysis</t>
        </is>
      </c>
      <c r="AP227" s="53" t="inlineStr">
        <is>
          <t>No</t>
        </is>
      </c>
      <c r="AQ227" s="53" t="inlineStr">
        <is>
          <t>Product/Project</t>
        </is>
      </c>
      <c r="AR227" s="53" t="inlineStr">
        <is>
          <t>Business Analysis</t>
        </is>
      </c>
      <c r="AS227" s="53" t="inlineStr">
        <is>
          <t>Technical · BA, PM and QA</t>
        </is>
      </c>
      <c r="AT227" s="53" t="n">
        <v>20</v>
      </c>
      <c r="AU227" s="53" t="inlineStr">
        <is>
          <t>Covered</t>
        </is>
      </c>
      <c r="AV227" s="53" t="n"/>
      <c r="AW227" s="53" t="n"/>
      <c r="AX227" s="53" t="n"/>
      <c r="AY227" s="53" t="n"/>
      <c r="AZ227" s="53" t="n"/>
      <c r="BA227" s="53" t="n"/>
      <c r="BB227" s="53" t="n"/>
      <c r="BC227" s="53" t="n"/>
      <c r="BD227" s="53" t="n"/>
      <c r="BE227" s="53" t="n"/>
      <c r="BF227" s="53" t="n"/>
      <c r="BG227" s="53" t="n"/>
      <c r="BH227" s="53" t="n"/>
      <c r="BI227" s="53" t="n"/>
      <c r="BJ227" s="53" t="n"/>
      <c r="BK227" s="53" t="n"/>
      <c r="BL227" s="53" t="n"/>
      <c r="BM227" s="53" t="n"/>
      <c r="BN227" s="53" t="n"/>
      <c r="BO227" s="53" t="n"/>
      <c r="BP227" s="53" t="n"/>
      <c r="BQ227" s="53" t="n"/>
      <c r="BR227" s="53" t="n"/>
      <c r="BS227" s="53" t="n"/>
      <c r="BT227" s="53" t="n"/>
      <c r="BU227" s="53" t="n"/>
      <c r="BV227" s="53" t="n"/>
      <c r="BW227" s="53" t="n"/>
      <c r="BX227" s="53" t="n"/>
      <c r="BY227" s="53" t="n"/>
      <c r="BZ227" s="53" t="n"/>
      <c r="CA227" s="53" t="n"/>
      <c r="CB227" s="53" t="n"/>
      <c r="CC227" s="53" t="n"/>
      <c r="CD227" s="53" t="n"/>
      <c r="CE227" s="53" t="n"/>
      <c r="CF227" s="53" t="n"/>
      <c r="CG227" s="53" t="n"/>
      <c r="CH227" s="53" t="n"/>
      <c r="CI227" s="53" t="n"/>
      <c r="CJ227" s="53" t="n"/>
      <c r="CK227" s="53" t="n"/>
      <c r="CL227" s="53" t="n"/>
      <c r="CM227" s="53" t="n"/>
      <c r="CN227" s="53" t="n"/>
      <c r="CO227" s="53" t="n"/>
      <c r="CP227" s="53" t="n"/>
      <c r="CQ227" s="53" t="n"/>
      <c r="CR227" s="53" t="n"/>
      <c r="CS227" s="53" t="n"/>
      <c r="CT227" s="53" t="n"/>
      <c r="CU227" s="53" t="n"/>
      <c r="CV227" s="53" t="n"/>
      <c r="CW227" s="53" t="n"/>
      <c r="CX227" s="53" t="n"/>
      <c r="CY227" s="53" t="n"/>
      <c r="CZ227" s="53" t="n"/>
      <c r="DA227" s="53" t="n"/>
      <c r="DB227" s="53" t="n"/>
      <c r="DC227" s="53" t="n"/>
      <c r="DD227" s="53" t="inlineStr">
        <is>
          <t>IRIS1947</t>
        </is>
      </c>
      <c r="DE227" s="53" t="inlineStr">
        <is>
          <t>Employee</t>
        </is>
      </c>
      <c r="DF227" s="53" t="inlineStr">
        <is>
          <t>Active</t>
        </is>
      </c>
      <c r="DG227" s="53" t="inlineStr">
        <is>
          <t>Aroosa Ghole</t>
        </is>
      </c>
      <c r="DH227" s="54" t="n">
        <v>44431</v>
      </c>
      <c r="DI227" s="53" t="inlineStr">
        <is>
          <t>Senior Business Analyst</t>
        </is>
      </c>
      <c r="DJ227" s="53" t="inlineStr">
        <is>
          <t>Business Analysis</t>
        </is>
      </c>
      <c r="DK227" s="53" t="inlineStr">
        <is>
          <t>Business / Functional Analysis</t>
        </is>
      </c>
      <c r="DL227" s="53" t="inlineStr">
        <is>
          <t>Senior Business Analyst</t>
        </is>
      </c>
      <c r="DM227" s="53" t="inlineStr">
        <is>
          <t>L4 – Senior</t>
        </is>
      </c>
      <c r="DN227" s="53" t="inlineStr">
        <is>
          <t>PGDM</t>
        </is>
      </c>
      <c r="DO227" s="53" t="inlineStr">
        <is>
          <t>Hemant Karale</t>
        </is>
      </c>
      <c r="DP227" s="53" t="inlineStr">
        <is>
          <t>N-3</t>
        </is>
      </c>
      <c r="DQ227" s="53" t="inlineStr">
        <is>
          <t>Manager</t>
        </is>
      </c>
      <c r="DR227" s="53" t="inlineStr">
        <is>
          <t>2 years, 5 months, 0 days</t>
        </is>
      </c>
      <c r="DS227" s="53" t="inlineStr">
        <is>
          <t>4 years, 9 months, 28 days</t>
        </is>
      </c>
      <c r="DT227" s="53" t="inlineStr">
        <is>
          <t>7 years, 2 months, 28 days</t>
        </is>
      </c>
      <c r="DU227" s="53" t="n">
        <v>4.82671232876712</v>
      </c>
      <c r="DV227" s="53" t="inlineStr">
        <is>
          <t>Regtech</t>
        </is>
      </c>
      <c r="DW227" s="53" t="inlineStr">
        <is>
          <t>iDEAL</t>
        </is>
      </c>
      <c r="DX227" s="53" t="inlineStr">
        <is>
          <t>Technology</t>
        </is>
      </c>
      <c r="DY227" s="53" t="inlineStr">
        <is>
          <t>Business Analysis</t>
        </is>
      </c>
      <c r="DZ227" s="53" t="inlineStr">
        <is>
          <t>No</t>
        </is>
      </c>
      <c r="EA227" s="53" t="inlineStr">
        <is>
          <t>Product/Project</t>
        </is>
      </c>
      <c r="EB227" s="53" t="inlineStr">
        <is>
          <t>Business Analysis</t>
        </is>
      </c>
      <c r="EC227" s="53" t="inlineStr">
        <is>
          <t>Technical · BA, PM and QA</t>
        </is>
      </c>
      <c r="ED227" s="53" t="inlineStr">
        <is>
          <t>Hybrid</t>
        </is>
      </c>
      <c r="EE227" s="53"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EF227" s="53"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EG227" s="53"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EH227" s="53" t="n">
        <v>4</v>
      </c>
      <c r="EI227" s="54" t="n">
        <v>45931</v>
      </c>
      <c r="EJ227" s="53" t="inlineStr">
        <is>
          <t>Same as current designation</t>
        </is>
      </c>
      <c r="EK227" s="53" t="inlineStr">
        <is>
          <t>No</t>
        </is>
      </c>
      <c r="EL227" s="53" t="n">
        <v>4</v>
      </c>
      <c r="EM227" s="53" t="inlineStr">
        <is>
          <t>High</t>
        </is>
      </c>
      <c r="EN227" s="53" t="inlineStr">
        <is>
          <t>High Impact / Growth Talent</t>
        </is>
      </c>
      <c r="EO227" s="53" t="inlineStr">
        <is>
          <t>Ready in 12 Months</t>
        </is>
      </c>
      <c r="EP227" s="53" t="inlineStr">
        <is>
          <t>No</t>
        </is>
      </c>
      <c r="EQ227" s="53" t="inlineStr">
        <is>
          <t>Yes</t>
        </is>
      </c>
      <c r="ER227" s="53" t="n"/>
      <c r="ES227" s="53" t="inlineStr">
        <is>
          <t>Training on the effective utilization of AI tools.</t>
        </is>
      </c>
      <c r="ET227" s="53" t="n"/>
      <c r="EU227" s="53" t="n"/>
      <c r="EV227" s="53" t="n"/>
      <c r="EW227" s="52" t="n"/>
      <c r="EX227" s="53" t="n"/>
      <c r="EY227" s="53" t="n"/>
      <c r="EZ227" s="53" t="n"/>
      <c r="FA227" s="53" t="n"/>
      <c r="FB227" s="53" t="n"/>
      <c r="FC227" s="53" t="n"/>
      <c r="FD227" s="53" t="n"/>
      <c r="FE227" s="57"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FF227" s="56"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FG227" s="56"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FH227" s="56" t="inlineStr">
        <is>
          <t>4</t>
        </is>
      </c>
      <c r="FI227" s="56" t="n"/>
      <c r="FJ227" s="56" t="inlineStr">
        <is>
          <t>Received · manager annual, quarterly, self</t>
        </is>
      </c>
      <c r="FK227" s="56" t="inlineStr">
        <is>
          <t>Talent Mapping · iDEAL</t>
        </is>
      </c>
      <c r="FL227" s="56" t="n">
        <v>20</v>
      </c>
      <c r="FM227" s="32" t="inlineStr">
        <is>
          <t>Full survey answers not in the files received · How We Grow export needed · HR</t>
        </is>
      </c>
      <c r="FN227" s="56" t="inlineStr">
        <is>
          <t>—</t>
        </is>
      </c>
      <c r="FO227" s="56" t="inlineStr">
        <is>
          <t>—</t>
        </is>
      </c>
      <c r="FP227" s="56" t="inlineStr">
        <is>
          <t>—</t>
        </is>
      </c>
      <c r="FQ227" s="56" t="inlineStr">
        <is>
          <t>—</t>
        </is>
      </c>
      <c r="FR227" s="56"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quality, functional solution, sign-offs and end-to-end delivery coordination for bank implementations → matches the start
Leadership: Evidence reads like B1: 4 direct reports; manager note expects building a self-sufficient team → matches the start
Business Impact: Moved +0.5: the survey / manager mapping marks it business-critical.</t>
        </is>
      </c>
      <c r="FS227"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FT227" s="56" t="inlineStr">
        <is>
          <t>Self-identified: Project / programme management · Product &amp; tool knowledge · Certification / formal course
For the next role: Project / programme management · Product &amp; tool knowledge · Client, sales &amp; stakeholders · Certification / formal course · Broader exposure &amp; ownership</t>
        </is>
      </c>
      <c r="FU227" s="32" t="inlineStr">
        <is>
          <t>Full survey answers not in the files received · How We Grow export needed · HR</t>
        </is>
      </c>
    </row>
    <row r="228" ht="90" customHeight="1">
      <c r="A228" s="51" t="inlineStr">
        <is>
          <t>◂ Back</t>
        </is>
      </c>
      <c r="B228" s="29" t="inlineStr">
        <is>
          <t>Mapped</t>
        </is>
      </c>
      <c r="C228" s="28" t="inlineStr">
        <is>
          <t>iDEAL</t>
        </is>
      </c>
      <c r="D228" s="29" t="inlineStr">
        <is>
          <t>IRIS2536</t>
        </is>
      </c>
      <c r="E228" s="29" t="inlineStr">
        <is>
          <t>Mohin Patel</t>
        </is>
      </c>
      <c r="F228" s="29" t="inlineStr">
        <is>
          <t>Technology</t>
        </is>
      </c>
      <c r="G228" s="29" t="inlineStr">
        <is>
          <t>Business Analyst</t>
        </is>
      </c>
      <c r="H228" s="29" t="inlineStr">
        <is>
          <t>Senior Business Analyst</t>
        </is>
      </c>
      <c r="I228" s="29" t="inlineStr">
        <is>
          <t>L3 – Professional / Associate</t>
        </is>
      </c>
      <c r="J228" s="29" t="inlineStr">
        <is>
          <t>A3</t>
        </is>
      </c>
      <c r="K228" s="29" t="inlineStr">
        <is>
          <t>▲ Up</t>
        </is>
      </c>
      <c r="L228" s="29" t="inlineStr">
        <is>
          <t>Business Analysis</t>
        </is>
      </c>
      <c r="M228" s="29" t="inlineStr">
        <is>
          <t>Business Analysis</t>
        </is>
      </c>
      <c r="N228" s="29" t="n"/>
      <c r="O228" s="29" t="n">
        <v>20</v>
      </c>
      <c r="P228" s="28" t="inlineStr">
        <is>
          <t>P2</t>
        </is>
      </c>
      <c r="Q228" s="29" t="inlineStr">
        <is>
          <t>Developing</t>
        </is>
      </c>
      <c r="R228" s="29" t="inlineStr">
        <is>
          <t>3 Apply</t>
        </is>
      </c>
      <c r="S228" s="29" t="inlineStr">
        <is>
          <t>2–4 yrs</t>
        </is>
      </c>
      <c r="T228" s="29" t="inlineStr">
        <is>
          <t>3–5 · 2–5</t>
        </is>
      </c>
      <c r="U228" s="29" t="inlineStr">
        <is>
          <t>Business Analyst</t>
        </is>
      </c>
      <c r="V228" s="29" t="inlineStr">
        <is>
          <t>Regnology — regulatory reporting: Junior BA · Reg Reporting · Big Four consulting: Consultant · IRIS Vs Market Benchmark — IIBA certification pathway: ECBA · Infosys / Accenture: JL3A · L10 Senior Analyst</t>
        </is>
      </c>
      <c r="W228" s="29" t="inlineStr">
        <is>
          <t>IIBA BABOK v3; certifications ECBA · entry → CCBA → CBAP · senior</t>
        </is>
      </c>
      <c r="X228" s="29" t="inlineStr">
        <is>
          <t>Core 2 · Future 2 · Functional 3 · Leadership not scored</t>
        </is>
      </c>
      <c r="Y228" s="52" t="n">
        <v>509</v>
      </c>
      <c r="Z228" s="53" t="inlineStr">
        <is>
          <t>IRIS2536</t>
        </is>
      </c>
      <c r="AA228" s="53" t="inlineStr">
        <is>
          <t>Employee</t>
        </is>
      </c>
      <c r="AB228" s="53" t="inlineStr">
        <is>
          <t>Active</t>
        </is>
      </c>
      <c r="AC228" s="53" t="inlineStr">
        <is>
          <t>Mohin Patel</t>
        </is>
      </c>
      <c r="AD228" s="54" t="n">
        <v>46181</v>
      </c>
      <c r="AE228" s="53" t="inlineStr">
        <is>
          <t>Business Analyst</t>
        </is>
      </c>
      <c r="AF228" s="53" t="inlineStr">
        <is>
          <t>B.E</t>
        </is>
      </c>
      <c r="AG228" s="53" t="inlineStr">
        <is>
          <t>Aroosa Ghole</t>
        </is>
      </c>
      <c r="AH228" s="53" t="inlineStr">
        <is>
          <t>N-4</t>
        </is>
      </c>
      <c r="AI228" s="53" t="inlineStr">
        <is>
          <t>Individual Contributor</t>
        </is>
      </c>
      <c r="AJ228" s="53" t="inlineStr">
        <is>
          <t>2 years, 5 months, 00 days</t>
        </is>
      </c>
      <c r="AK228" s="53" t="inlineStr">
        <is>
          <t>0 years, 2 months, 17 days</t>
        </is>
      </c>
      <c r="AL228" s="53" t="inlineStr">
        <is>
          <t>Regtech</t>
        </is>
      </c>
      <c r="AM228" s="53" t="inlineStr">
        <is>
          <t>iDEAL</t>
        </is>
      </c>
      <c r="AN228" s="53" t="inlineStr">
        <is>
          <t>Technology</t>
        </is>
      </c>
      <c r="AO228" s="53" t="inlineStr">
        <is>
          <t>Development</t>
        </is>
      </c>
      <c r="AP228" s="53" t="inlineStr">
        <is>
          <t>Yes</t>
        </is>
      </c>
      <c r="AQ228" s="53" t="inlineStr">
        <is>
          <t>Product/Project</t>
        </is>
      </c>
      <c r="AR228" s="53" t="n"/>
      <c r="AS228" s="53" t="inlineStr">
        <is>
          <t>Technical - Developer</t>
        </is>
      </c>
      <c r="AT228" s="53" t="n">
        <v>20</v>
      </c>
      <c r="AU228" s="53" t="inlineStr">
        <is>
          <t>Covered</t>
        </is>
      </c>
      <c r="AV228" s="53" t="n"/>
      <c r="AW228" s="53" t="n"/>
      <c r="AX228" s="53" t="n"/>
      <c r="AY228" s="53" t="n"/>
      <c r="AZ228" s="53" t="n"/>
      <c r="BA228" s="53" t="n"/>
      <c r="BB228" s="53" t="n"/>
      <c r="BC228" s="53" t="n"/>
      <c r="BD228" s="53" t="n"/>
      <c r="BE228" s="53" t="n"/>
      <c r="BF228" s="53" t="n"/>
      <c r="BG228" s="53" t="n"/>
      <c r="BH228" s="53" t="n"/>
      <c r="BI228" s="53" t="n"/>
      <c r="BJ228" s="53" t="n"/>
      <c r="BK228" s="53" t="n"/>
      <c r="BL228" s="53" t="n"/>
      <c r="BM228" s="53" t="n"/>
      <c r="BN228" s="53" t="n"/>
      <c r="BO228" s="53" t="n"/>
      <c r="BP228" s="53" t="n"/>
      <c r="BQ228" s="53" t="n"/>
      <c r="BR228" s="53" t="n"/>
      <c r="BS228" s="53" t="n"/>
      <c r="BT228" s="53" t="n"/>
      <c r="BU228" s="53" t="n"/>
      <c r="BV228" s="53" t="n"/>
      <c r="BW228" s="53" t="n"/>
      <c r="BX228" s="53" t="n"/>
      <c r="BY228" s="53" t="n"/>
      <c r="BZ228" s="53" t="n"/>
      <c r="CA228" s="53" t="n"/>
      <c r="CB228" s="53" t="n"/>
      <c r="CC228" s="53" t="n"/>
      <c r="CD228" s="53" t="n"/>
      <c r="CE228" s="53" t="n"/>
      <c r="CF228" s="53" t="n"/>
      <c r="CG228" s="53" t="n"/>
      <c r="CH228" s="53" t="n"/>
      <c r="CI228" s="53" t="n"/>
      <c r="CJ228" s="53" t="n"/>
      <c r="CK228" s="53" t="n"/>
      <c r="CL228" s="53" t="n"/>
      <c r="CM228" s="53" t="n"/>
      <c r="CN228" s="53" t="n"/>
      <c r="CO228" s="53" t="n"/>
      <c r="CP228" s="53" t="n"/>
      <c r="CQ228" s="53" t="n"/>
      <c r="CR228" s="53" t="n"/>
      <c r="CS228" s="53" t="n"/>
      <c r="CT228" s="53" t="n"/>
      <c r="CU228" s="53" t="n"/>
      <c r="CV228" s="53" t="n"/>
      <c r="CW228" s="53" t="n"/>
      <c r="CX228" s="53" t="n"/>
      <c r="CY228" s="53" t="n"/>
      <c r="CZ228" s="53" t="n"/>
      <c r="DA228" s="53" t="n"/>
      <c r="DB228" s="53" t="n"/>
      <c r="DC228" s="53" t="n"/>
      <c r="DD228" s="53" t="inlineStr">
        <is>
          <t>IRIS2536</t>
        </is>
      </c>
      <c r="DE228" s="53" t="inlineStr">
        <is>
          <t>Employee</t>
        </is>
      </c>
      <c r="DF228" s="53" t="inlineStr">
        <is>
          <t>Active</t>
        </is>
      </c>
      <c r="DG228" s="53" t="inlineStr">
        <is>
          <t>Mohin Patel</t>
        </is>
      </c>
      <c r="DH228" s="54" t="n">
        <v>46181</v>
      </c>
      <c r="DI228" s="53" t="inlineStr">
        <is>
          <t>Business Analyst</t>
        </is>
      </c>
      <c r="DJ228" s="53" t="inlineStr">
        <is>
          <t>Business Analysis</t>
        </is>
      </c>
      <c r="DK228" s="53" t="inlineStr">
        <is>
          <t>Business / Functional Analysis</t>
        </is>
      </c>
      <c r="DL228" s="53" t="inlineStr">
        <is>
          <t>Business Analyst</t>
        </is>
      </c>
      <c r="DM228" s="53" t="inlineStr">
        <is>
          <t>L3 – Professional / Associate</t>
        </is>
      </c>
      <c r="DN228" s="53" t="inlineStr">
        <is>
          <t>Business Analysis</t>
        </is>
      </c>
      <c r="DO228" s="53" t="inlineStr">
        <is>
          <t>Technical · BA, PM and QA</t>
        </is>
      </c>
      <c r="DP228" s="53" t="inlineStr">
        <is>
          <t>Work From Office - Turbhe</t>
        </is>
      </c>
      <c r="DQ228" s="53" t="inlineStr">
        <is>
          <t>Individual Contributor</t>
        </is>
      </c>
      <c r="DR228" s="53" t="inlineStr">
        <is>
          <t>4 years, 0 months, 0 days</t>
        </is>
      </c>
      <c r="DS228" s="53" t="inlineStr">
        <is>
          <t>2 years, 2 months, 12 days</t>
        </is>
      </c>
      <c r="DT228" s="53" t="inlineStr">
        <is>
          <t>6 years, 2 months, 12 days</t>
        </is>
      </c>
      <c r="DU228" s="53" t="n"/>
      <c r="DV228" s="53" t="inlineStr">
        <is>
          <t>Regtech</t>
        </is>
      </c>
      <c r="DW228" s="53" t="inlineStr">
        <is>
          <t>iDEAL</t>
        </is>
      </c>
      <c r="DX228" s="53" t="inlineStr">
        <is>
          <t>Technology</t>
        </is>
      </c>
      <c r="DY228" s="53" t="inlineStr">
        <is>
          <t>Business Analysis</t>
        </is>
      </c>
      <c r="DZ228" s="53" t="inlineStr">
        <is>
          <t>No</t>
        </is>
      </c>
      <c r="EA228" s="53" t="inlineStr">
        <is>
          <t>Product/Project</t>
        </is>
      </c>
      <c r="EB228" s="53" t="inlineStr">
        <is>
          <t>Business Analysis</t>
        </is>
      </c>
      <c r="EC228" s="53" t="inlineStr">
        <is>
          <t>Technical · BA, PM and QA</t>
        </is>
      </c>
      <c r="ED228" s="53" t="inlineStr">
        <is>
          <t>Remote - Mumbai</t>
        </is>
      </c>
      <c r="EE228" s="53"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EF228"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228" s="5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228" s="53" t="n">
        <v>2</v>
      </c>
      <c r="EI228" s="54" t="n">
        <v>45931</v>
      </c>
      <c r="EJ228" s="53" t="inlineStr">
        <is>
          <t>Same as current designation</t>
        </is>
      </c>
      <c r="EK228" s="53" t="inlineStr">
        <is>
          <t>No</t>
        </is>
      </c>
      <c r="EL228" s="53" t="n">
        <v>3</v>
      </c>
      <c r="EM228" s="53" t="inlineStr">
        <is>
          <t>Medium</t>
        </is>
      </c>
      <c r="EN228" s="53" t="inlineStr">
        <is>
          <t>Core Contributor</t>
        </is>
      </c>
      <c r="EO228" s="53" t="inlineStr">
        <is>
          <t>Not Ready</t>
        </is>
      </c>
      <c r="EP228" s="53" t="inlineStr">
        <is>
          <t>No</t>
        </is>
      </c>
      <c r="EQ228" s="53" t="inlineStr">
        <is>
          <t>No</t>
        </is>
      </c>
      <c r="ER228" s="53" t="n"/>
      <c r="ES228" s="53" t="inlineStr">
        <is>
          <t>XBRL Training, Training on the effective utilization of AI tools.</t>
        </is>
      </c>
      <c r="ET228" s="53" t="n"/>
      <c r="EU228" s="53" t="n"/>
      <c r="EV228" s="53" t="n"/>
      <c r="EW228" s="52" t="n"/>
      <c r="EX228" s="53" t="n"/>
      <c r="EY228" s="53" t="n"/>
      <c r="EZ228" s="53" t="n"/>
      <c r="FA228" s="53" t="n"/>
      <c r="FB228" s="53" t="n"/>
      <c r="FC228" s="53" t="n"/>
      <c r="FD228" s="53" t="n"/>
      <c r="FE228"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FF228" s="56"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FG228" s="56"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FH228" s="56" t="inlineStr">
        <is>
          <t>2</t>
        </is>
      </c>
      <c r="FI228" s="56" t="n"/>
      <c r="FJ228" s="56" t="inlineStr">
        <is>
          <t>Received · manager annual, quarterly, self</t>
        </is>
      </c>
      <c r="FK228" s="56" t="inlineStr">
        <is>
          <t>Talent Mapping · iDEAL</t>
        </is>
      </c>
      <c r="FL228" s="56" t="n">
        <v>20</v>
      </c>
      <c r="FM228" s="32" t="inlineStr">
        <is>
          <t>Full survey answers not in the files received · How We Grow export needed · HR</t>
        </is>
      </c>
      <c r="FN228" s="56" t="inlineStr">
        <is>
          <t>—</t>
        </is>
      </c>
      <c r="FO228" s="56" t="inlineStr">
        <is>
          <t>—</t>
        </is>
      </c>
      <c r="FP228" s="56" t="inlineStr">
        <is>
          <t>—</t>
        </is>
      </c>
      <c r="FQ228" s="56" t="inlineStr">
        <is>
          <t>—</t>
        </is>
      </c>
      <c r="FR228" s="56"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starting documentation and enhancement initiatives; escalation if own work missed → moved down 0.5
Leadership: Evidence reads like A1: No guidance or leadership of others described → moved down 0.5
Business Impact: No survey or manager-mapping signal on criticality: kept at the start point.</t>
        </is>
      </c>
      <c r="FS22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8" s="56" t="inlineStr">
        <is>
          <t>Self-identified: Data, SQL &amp; analytics · Strategy &amp; business acumen
For the next role: Data, SQL &amp; analytics · Strategy &amp; business acumen</t>
        </is>
      </c>
      <c r="FU228" s="32" t="inlineStr">
        <is>
          <t>Full survey answers not in the files received · How We Grow export needed · HR</t>
        </is>
      </c>
    </row>
    <row r="229" ht="90" customHeight="1">
      <c r="A229" s="51" t="inlineStr">
        <is>
          <t>◂ Back</t>
        </is>
      </c>
      <c r="B229" s="29" t="inlineStr">
        <is>
          <t>Mapped</t>
        </is>
      </c>
      <c r="C229" s="28" t="inlineStr">
        <is>
          <t>iDEAL</t>
        </is>
      </c>
      <c r="D229" s="29" t="inlineStr">
        <is>
          <t>IRIS2555</t>
        </is>
      </c>
      <c r="E229" s="29" t="inlineStr">
        <is>
          <t>Nidhi Kulkarni</t>
        </is>
      </c>
      <c r="F229" s="29" t="inlineStr">
        <is>
          <t>Technology</t>
        </is>
      </c>
      <c r="G229" s="29" t="inlineStr">
        <is>
          <t>Technical Support Analyst</t>
        </is>
      </c>
      <c r="H229" s="29" t="inlineStr">
        <is>
          <t>Senior Support Executive</t>
        </is>
      </c>
      <c r="I229" s="29" t="inlineStr">
        <is>
          <t>Not in current mapping files</t>
        </is>
      </c>
      <c r="J229" s="29" t="inlineStr">
        <is>
          <t>A3</t>
        </is>
      </c>
      <c r="K229" s="29" t="inlineStr">
        <is>
          <t>● Newly mapped</t>
        </is>
      </c>
      <c r="L229" s="29" t="inlineStr">
        <is>
          <t>Customer Success &amp; Support</t>
        </is>
      </c>
      <c r="M229" s="29" t="inlineStr">
        <is>
          <t>Application &amp; Product Support</t>
        </is>
      </c>
      <c r="N229" s="29" t="inlineStr">
        <is>
          <t>• Total experience · outside + at IRIS — HR — HRIS
• Confirm prior experience · provisional placement — HR</t>
        </is>
      </c>
      <c r="O229" s="29" t="n">
        <v>20</v>
      </c>
      <c r="P229" s="28" t="inlineStr">
        <is>
          <t>P2</t>
        </is>
      </c>
      <c r="Q229" s="29" t="inlineStr">
        <is>
          <t>Developing</t>
        </is>
      </c>
      <c r="R229" s="29" t="inlineStr">
        <is>
          <t>3 Apply</t>
        </is>
      </c>
      <c r="S229" s="29" t="inlineStr">
        <is>
          <t>2–4 yrs</t>
        </is>
      </c>
      <c r="T229" s="29" t="inlineStr">
        <is>
          <t>3–5 · 2–5</t>
        </is>
      </c>
      <c r="U229" s="29" t="inlineStr">
        <is>
          <t>Support / CS Executive</t>
        </is>
      </c>
      <c r="V229" s="29" t="inlineStr">
        <is>
          <t>IRIS Vs Competitor Benchmark — SaaS customer-success ladder: Associate CSM · Regnology: Product Support Specialist · Reg Reporting · IRIS Vs Competitor Benchmark — support tiers: L2 Application Support</t>
        </is>
      </c>
      <c r="W229" s="29" t="inlineStr">
        <is>
          <t>TSIA frameworks and benchmarks; ITIL 4 service desk; Gainsight customer-success practice</t>
        </is>
      </c>
      <c r="X229" s="29" t="inlineStr">
        <is>
          <t>Core 2 · Future 2 · Functional 3 · Leadership not scored</t>
        </is>
      </c>
      <c r="Y229" s="52" t="n">
        <v>528</v>
      </c>
      <c r="Z229" s="53" t="inlineStr">
        <is>
          <t>IRIS2555</t>
        </is>
      </c>
      <c r="AA229" s="53" t="inlineStr">
        <is>
          <t>Employee</t>
        </is>
      </c>
      <c r="AB229" s="53" t="inlineStr">
        <is>
          <t>Active</t>
        </is>
      </c>
      <c r="AC229" s="53" t="inlineStr">
        <is>
          <t>Nidhi Kulkarni</t>
        </is>
      </c>
      <c r="AD229" s="54" t="n">
        <v>46252</v>
      </c>
      <c r="AE229" s="53" t="inlineStr">
        <is>
          <t>Technical Support Analyst</t>
        </is>
      </c>
      <c r="AF229" s="53" t="inlineStr">
        <is>
          <t>B.E</t>
        </is>
      </c>
      <c r="AG229" s="53" t="inlineStr">
        <is>
          <t>Aroosa Ghole</t>
        </is>
      </c>
      <c r="AH229" s="53" t="inlineStr">
        <is>
          <t>N-4</t>
        </is>
      </c>
      <c r="AI229" s="53" t="inlineStr">
        <is>
          <t>Individual Contributor</t>
        </is>
      </c>
      <c r="AJ229" s="53" t="n"/>
      <c r="AK229" s="53" t="inlineStr">
        <is>
          <t>0 years, 0 months, 7 days</t>
        </is>
      </c>
      <c r="AL229" s="53" t="inlineStr">
        <is>
          <t>Regtech</t>
        </is>
      </c>
      <c r="AM229" s="53" t="inlineStr">
        <is>
          <t>iDEAL</t>
        </is>
      </c>
      <c r="AN229" s="53" t="inlineStr">
        <is>
          <t>Technology</t>
        </is>
      </c>
      <c r="AO229" s="53" t="inlineStr">
        <is>
          <t>Development</t>
        </is>
      </c>
      <c r="AP229" s="53" t="inlineStr">
        <is>
          <t>Yes</t>
        </is>
      </c>
      <c r="AQ229" s="53" t="inlineStr">
        <is>
          <t>Product/Project</t>
        </is>
      </c>
      <c r="AR229" s="53" t="inlineStr">
        <is>
          <t>Business Analysis</t>
        </is>
      </c>
      <c r="AS229" s="53" t="inlineStr">
        <is>
          <t>Technical · BA, PM and QA</t>
        </is>
      </c>
      <c r="AT229" s="53" t="n">
        <v>20</v>
      </c>
      <c r="AU229" s="53" t="inlineStr">
        <is>
          <t>Covered</t>
        </is>
      </c>
      <c r="AV229" s="53" t="n"/>
      <c r="AW229" s="53" t="n"/>
      <c r="AX229" s="53" t="n"/>
      <c r="AY229" s="53" t="n"/>
      <c r="AZ229" s="53" t="n"/>
      <c r="BA229" s="53" t="n"/>
      <c r="BB229" s="53" t="n"/>
      <c r="BC229" s="53" t="n"/>
      <c r="BD229" s="53" t="n"/>
      <c r="BE229" s="53" t="n"/>
      <c r="BF229" s="53" t="n"/>
      <c r="BG229" s="53" t="n"/>
      <c r="BH229" s="53" t="n"/>
      <c r="BI229" s="53" t="n"/>
      <c r="BJ229" s="53" t="n"/>
      <c r="BK229" s="53" t="n"/>
      <c r="BL229" s="53" t="n"/>
      <c r="BM229" s="53" t="n"/>
      <c r="BN229" s="53" t="n"/>
      <c r="BO229" s="53" t="n"/>
      <c r="BP229" s="53" t="n"/>
      <c r="BQ229" s="53" t="n"/>
      <c r="BR229" s="53" t="n"/>
      <c r="BS229" s="53" t="n"/>
      <c r="BT229" s="53" t="n"/>
      <c r="BU229" s="53" t="n"/>
      <c r="BV229" s="53" t="n"/>
      <c r="BW229" s="53" t="n"/>
      <c r="BX229" s="53" t="n"/>
      <c r="BY229" s="53" t="n"/>
      <c r="BZ229" s="53" t="n"/>
      <c r="CA229" s="53" t="n"/>
      <c r="CB229" s="53" t="n"/>
      <c r="CC229" s="53" t="n"/>
      <c r="CD229" s="53" t="n"/>
      <c r="CE229" s="53" t="n"/>
      <c r="CF229" s="53" t="n"/>
      <c r="CG229" s="53" t="n"/>
      <c r="CH229" s="53" t="n"/>
      <c r="CI229" s="53" t="n"/>
      <c r="CJ229" s="53" t="n"/>
      <c r="CK229" s="53" t="n"/>
      <c r="CL229" s="53" t="n"/>
      <c r="CM229" s="53" t="n"/>
      <c r="CN229" s="53" t="n"/>
      <c r="CO229" s="53" t="n"/>
      <c r="CP229" s="53" t="n"/>
      <c r="CQ229" s="53" t="n"/>
      <c r="CR229" s="53" t="n"/>
      <c r="CS229" s="53" t="n"/>
      <c r="CT229" s="53" t="n"/>
      <c r="CU229" s="53" t="n"/>
      <c r="CV229" s="53" t="n"/>
      <c r="CW229" s="53" t="n"/>
      <c r="CX229" s="53" t="n"/>
      <c r="CY229" s="53" t="n"/>
      <c r="CZ229" s="53" t="n"/>
      <c r="DA229" s="53" t="n"/>
      <c r="DB229" s="53" t="n"/>
      <c r="DC229" s="53" t="n"/>
      <c r="DD229" s="53" t="n"/>
      <c r="DE229" s="53" t="n"/>
      <c r="DF229" s="53" t="n"/>
      <c r="DG229" s="53" t="n"/>
      <c r="DH229" s="53" t="n"/>
      <c r="DI229" s="53" t="n"/>
      <c r="DJ229" s="53" t="n"/>
      <c r="DK229" s="53" t="n"/>
      <c r="DL229" s="53" t="n"/>
      <c r="DM229" s="53" t="n"/>
      <c r="DN229" s="53" t="n"/>
      <c r="DO229" s="53" t="n"/>
      <c r="DP229" s="53" t="n"/>
      <c r="DQ229" s="53" t="n"/>
      <c r="DR229" s="53" t="n"/>
      <c r="DS229" s="53" t="n"/>
      <c r="DT229" s="53" t="n"/>
      <c r="DU229" s="53" t="n"/>
      <c r="DV229" s="53" t="n"/>
      <c r="DW229" s="53" t="n"/>
      <c r="DX229" s="53" t="n"/>
      <c r="DY229" s="53" t="n"/>
      <c r="DZ229" s="53" t="n"/>
      <c r="EA229" s="53" t="n"/>
      <c r="EB229" s="53" t="n"/>
      <c r="EC229" s="53" t="n"/>
      <c r="ED229" s="53" t="n"/>
      <c r="EE229" s="53" t="n"/>
      <c r="EF229" s="53" t="n"/>
      <c r="EG229" s="53" t="n"/>
      <c r="EH229" s="53" t="n"/>
      <c r="EI229" s="53" t="n"/>
      <c r="EJ229" s="53" t="n"/>
      <c r="EK229" s="53" t="n"/>
      <c r="EL229" s="53" t="n"/>
      <c r="EM229" s="53" t="n"/>
      <c r="EN229" s="53" t="n"/>
      <c r="EO229" s="53" t="n"/>
      <c r="EP229" s="53" t="n"/>
      <c r="EQ229" s="53" t="n"/>
      <c r="ER229" s="53" t="n"/>
      <c r="ES229" s="53" t="n"/>
      <c r="ET229" s="53" t="n"/>
      <c r="EU229" s="53" t="n"/>
      <c r="EV229" s="53" t="n"/>
      <c r="EW229" s="52" t="n"/>
      <c r="EX229" s="53" t="n"/>
      <c r="EY229" s="53" t="n"/>
      <c r="EZ229" s="53" t="n"/>
      <c r="FA229" s="53" t="n"/>
      <c r="FB229" s="53" t="n"/>
      <c r="FC229" s="53" t="n"/>
      <c r="FD229" s="53" t="n"/>
      <c r="FE229" s="55" t="inlineStr">
        <is>
          <t>KRAs not received · manager to supply</t>
        </is>
      </c>
      <c r="FF229" s="56" t="n"/>
      <c r="FG229" s="56" t="n"/>
      <c r="FH229" s="56" t="n"/>
      <c r="FI229" s="56" t="n"/>
      <c r="FJ229" s="32" t="inlineStr">
        <is>
          <t>KRAs not received · manager to supply</t>
        </is>
      </c>
      <c r="FK229" s="56" t="n"/>
      <c r="FL229" s="56" t="n">
        <v>20</v>
      </c>
      <c r="FM229" s="32" t="inlineStr">
        <is>
          <t>Full survey answers not in the files received · How We Grow export needed · HR</t>
        </is>
      </c>
      <c r="FN229" s="56" t="inlineStr">
        <is>
          <t>—</t>
        </is>
      </c>
      <c r="FO229" s="56" t="inlineStr">
        <is>
          <t>—</t>
        </is>
      </c>
      <c r="FP229" s="56" t="inlineStr">
        <is>
          <t>—</t>
        </is>
      </c>
      <c r="FQ229" s="56" t="inlineStr">
        <is>
          <t>—</t>
        </is>
      </c>
      <c r="FR229" s="56"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down 0.5
Leadership: Evidence reads like A1: None described → moved down 0.5</t>
        </is>
      </c>
      <c r="FS229"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229" s="56" t="inlineStr">
        <is>
          <t>Self-identified: Project / programme management · Broader exposure &amp; ownership
For the next role: Project / programme management · Broader exposure &amp; ownership</t>
        </is>
      </c>
      <c r="FU229" s="32" t="inlineStr">
        <is>
          <t>Full survey answers not in the files received · How We Grow export needed · HR</t>
        </is>
      </c>
    </row>
    <row r="230" ht="90" customHeight="1">
      <c r="A230" s="51" t="inlineStr">
        <is>
          <t>◂ Back</t>
        </is>
      </c>
      <c r="B230" s="29" t="inlineStr">
        <is>
          <t>Mapped</t>
        </is>
      </c>
      <c r="C230" s="28" t="inlineStr">
        <is>
          <t>iDEAL</t>
        </is>
      </c>
      <c r="D230" s="29" t="inlineStr">
        <is>
          <t>IRIS2310</t>
        </is>
      </c>
      <c r="E230" s="29" t="inlineStr">
        <is>
          <t>Vivek Kumar</t>
        </is>
      </c>
      <c r="F230" s="29" t="inlineStr">
        <is>
          <t>Technology</t>
        </is>
      </c>
      <c r="G230" s="29" t="inlineStr">
        <is>
          <t>Trainee Business Analyst</t>
        </is>
      </c>
      <c r="H230" s="29" t="inlineStr">
        <is>
          <t>Senior Business Analyst</t>
        </is>
      </c>
      <c r="I230" s="29" t="inlineStr">
        <is>
          <t>L2 – Trainee</t>
        </is>
      </c>
      <c r="J230" s="29" t="inlineStr">
        <is>
          <t>A3</t>
        </is>
      </c>
      <c r="K230" s="29" t="inlineStr">
        <is>
          <t>▲ Up</t>
        </is>
      </c>
      <c r="L230" s="29" t="inlineStr">
        <is>
          <t>Business Analysis</t>
        </is>
      </c>
      <c r="M230" s="29" t="inlineStr">
        <is>
          <t>Business Analysis</t>
        </is>
      </c>
      <c r="N230" s="29" t="n"/>
      <c r="O230" s="29" t="n">
        <v>20</v>
      </c>
      <c r="P230" s="28" t="inlineStr">
        <is>
          <t>P2</t>
        </is>
      </c>
      <c r="Q230" s="29" t="inlineStr">
        <is>
          <t>Developing</t>
        </is>
      </c>
      <c r="R230" s="29" t="inlineStr">
        <is>
          <t>3 Apply</t>
        </is>
      </c>
      <c r="S230" s="29" t="inlineStr">
        <is>
          <t>2–4 yrs</t>
        </is>
      </c>
      <c r="T230" s="29" t="inlineStr">
        <is>
          <t>3–5 · 2–5</t>
        </is>
      </c>
      <c r="U230" s="29" t="inlineStr">
        <is>
          <t>Business Analyst</t>
        </is>
      </c>
      <c r="V230" s="29" t="inlineStr">
        <is>
          <t>Regnology — regulatory reporting: Junior BA · Reg Reporting · Big Four consulting: Consultant · IRIS Vs Market Benchmark — IIBA certification pathway: ECBA · Infosys / Accenture: JL3A · L10 Senior Analyst</t>
        </is>
      </c>
      <c r="W230" s="29" t="inlineStr">
        <is>
          <t>IIBA BABOK v3; certifications ECBA · entry → CCBA → CBAP · senior</t>
        </is>
      </c>
      <c r="X230" s="29" t="inlineStr">
        <is>
          <t>Core 2 · Future 2 · Functional 3 · Leadership not scored</t>
        </is>
      </c>
      <c r="Y230" s="52" t="n">
        <v>344</v>
      </c>
      <c r="Z230" s="53" t="inlineStr">
        <is>
          <t>IRIS2310</t>
        </is>
      </c>
      <c r="AA230" s="53" t="inlineStr">
        <is>
          <t>Employee</t>
        </is>
      </c>
      <c r="AB230" s="53" t="inlineStr">
        <is>
          <t>Active</t>
        </is>
      </c>
      <c r="AC230" s="53" t="inlineStr">
        <is>
          <t>Vivek Kumar</t>
        </is>
      </c>
      <c r="AD230" s="54" t="n">
        <v>45558</v>
      </c>
      <c r="AE230" s="53" t="inlineStr">
        <is>
          <t>Trainee Business Analyst</t>
        </is>
      </c>
      <c r="AF230" s="53" t="inlineStr">
        <is>
          <t>BBA</t>
        </is>
      </c>
      <c r="AG230" s="53" t="inlineStr">
        <is>
          <t>Aroosa Ghole</t>
        </is>
      </c>
      <c r="AH230" s="53" t="inlineStr">
        <is>
          <t>N-4</t>
        </is>
      </c>
      <c r="AI230" s="53" t="inlineStr">
        <is>
          <t>Individual Contributor</t>
        </is>
      </c>
      <c r="AJ230" s="53" t="inlineStr">
        <is>
          <t>1 years, 1 months, 0 days</t>
        </is>
      </c>
      <c r="AK230" s="53" t="inlineStr">
        <is>
          <t>1 years, 11 months, 2 days</t>
        </is>
      </c>
      <c r="AL230" s="53" t="inlineStr">
        <is>
          <t>Regtech</t>
        </is>
      </c>
      <c r="AM230" s="53" t="inlineStr">
        <is>
          <t>iDEAL</t>
        </is>
      </c>
      <c r="AN230" s="53" t="inlineStr">
        <is>
          <t>Technology</t>
        </is>
      </c>
      <c r="AO230" s="53" t="inlineStr">
        <is>
          <t>Business Analysis</t>
        </is>
      </c>
      <c r="AP230" s="53" t="inlineStr">
        <is>
          <t>No</t>
        </is>
      </c>
      <c r="AQ230" s="53" t="inlineStr">
        <is>
          <t>Product/Project</t>
        </is>
      </c>
      <c r="AR230" s="53" t="inlineStr">
        <is>
          <t>Business Analysis</t>
        </is>
      </c>
      <c r="AS230" s="53" t="inlineStr">
        <is>
          <t>Technical · BA, PM and QA</t>
        </is>
      </c>
      <c r="AT230" s="53" t="n">
        <v>20</v>
      </c>
      <c r="AU230" s="53" t="inlineStr">
        <is>
          <t>Covered</t>
        </is>
      </c>
      <c r="AV230" s="53" t="n"/>
      <c r="AW230" s="53" t="n"/>
      <c r="AX230" s="53" t="n"/>
      <c r="AY230" s="53" t="n"/>
      <c r="AZ230" s="53" t="n"/>
      <c r="BA230" s="53" t="n"/>
      <c r="BB230" s="53" t="n"/>
      <c r="BC230" s="53" t="n"/>
      <c r="BD230" s="53" t="n"/>
      <c r="BE230" s="53" t="n"/>
      <c r="BF230" s="53" t="n"/>
      <c r="BG230" s="53" t="n"/>
      <c r="BH230" s="53" t="n"/>
      <c r="BI230" s="53" t="n"/>
      <c r="BJ230" s="53" t="n"/>
      <c r="BK230" s="53" t="n"/>
      <c r="BL230" s="53" t="n"/>
      <c r="BM230" s="53" t="n"/>
      <c r="BN230" s="53" t="n"/>
      <c r="BO230" s="53" t="n"/>
      <c r="BP230" s="53" t="n"/>
      <c r="BQ230" s="53" t="n"/>
      <c r="BR230" s="53" t="n"/>
      <c r="BS230" s="53" t="n"/>
      <c r="BT230" s="53" t="n"/>
      <c r="BU230" s="53" t="n"/>
      <c r="BV230" s="53" t="n"/>
      <c r="BW230" s="53" t="n"/>
      <c r="BX230" s="53" t="n"/>
      <c r="BY230" s="53" t="n"/>
      <c r="BZ230" s="53" t="n"/>
      <c r="CA230" s="53" t="n"/>
      <c r="CB230" s="53" t="n"/>
      <c r="CC230" s="53" t="n"/>
      <c r="CD230" s="53" t="n"/>
      <c r="CE230" s="53" t="n"/>
      <c r="CF230" s="53" t="n"/>
      <c r="CG230" s="53" t="n"/>
      <c r="CH230" s="53" t="n"/>
      <c r="CI230" s="53" t="n"/>
      <c r="CJ230" s="53" t="n"/>
      <c r="CK230" s="53" t="n"/>
      <c r="CL230" s="53" t="n"/>
      <c r="CM230" s="53" t="n"/>
      <c r="CN230" s="53" t="n"/>
      <c r="CO230" s="53" t="n"/>
      <c r="CP230" s="53" t="n"/>
      <c r="CQ230" s="53" t="n"/>
      <c r="CR230" s="53" t="n"/>
      <c r="CS230" s="53" t="n"/>
      <c r="CT230" s="53" t="n"/>
      <c r="CU230" s="53" t="n"/>
      <c r="CV230" s="53" t="n"/>
      <c r="CW230" s="53" t="n"/>
      <c r="CX230" s="53" t="n"/>
      <c r="CY230" s="53" t="n"/>
      <c r="CZ230" s="53" t="n"/>
      <c r="DA230" s="53" t="n"/>
      <c r="DB230" s="53" t="n"/>
      <c r="DC230" s="53" t="n"/>
      <c r="DD230" s="53" t="inlineStr">
        <is>
          <t>IRIS2310</t>
        </is>
      </c>
      <c r="DE230" s="53" t="inlineStr">
        <is>
          <t>Employee</t>
        </is>
      </c>
      <c r="DF230" s="53" t="inlineStr">
        <is>
          <t>Serving Notice</t>
        </is>
      </c>
      <c r="DG230" s="53" t="inlineStr">
        <is>
          <t>Vivek Kumar</t>
        </is>
      </c>
      <c r="DH230" s="54" t="n">
        <v>45558</v>
      </c>
      <c r="DI230" s="53" t="inlineStr">
        <is>
          <t>Trainee Business Analyst</t>
        </is>
      </c>
      <c r="DJ230" s="53" t="inlineStr">
        <is>
          <t>Business Analysis</t>
        </is>
      </c>
      <c r="DK230" s="53" t="inlineStr">
        <is>
          <t>Business / Functional Analysis</t>
        </is>
      </c>
      <c r="DL230" s="53" t="inlineStr">
        <is>
          <t>Trainee Business Analyst</t>
        </is>
      </c>
      <c r="DM230" s="53" t="inlineStr">
        <is>
          <t>L2 – Trainee</t>
        </is>
      </c>
      <c r="DN230" s="53" t="inlineStr">
        <is>
          <t>BBA</t>
        </is>
      </c>
      <c r="DO230" s="53" t="inlineStr">
        <is>
          <t>Aroosa Ghole</t>
        </is>
      </c>
      <c r="DP230" s="53" t="inlineStr">
        <is>
          <t>N-4</t>
        </is>
      </c>
      <c r="DQ230" s="53" t="inlineStr">
        <is>
          <t>Individual Contributor</t>
        </is>
      </c>
      <c r="DR230" s="53" t="inlineStr">
        <is>
          <t>1 years, 1 months, 0 days</t>
        </is>
      </c>
      <c r="DS230" s="53" t="inlineStr">
        <is>
          <t>1 years, 8 months, 28 days</t>
        </is>
      </c>
      <c r="DT230" s="53" t="inlineStr">
        <is>
          <t>2 years, 9 months, 28 days</t>
        </is>
      </c>
      <c r="DU230" s="53" t="n"/>
      <c r="DV230" s="53" t="inlineStr">
        <is>
          <t>Regtech</t>
        </is>
      </c>
      <c r="DW230" s="53" t="inlineStr">
        <is>
          <t>iDEAL</t>
        </is>
      </c>
      <c r="DX230" s="53" t="inlineStr">
        <is>
          <t>Technology</t>
        </is>
      </c>
      <c r="DY230" s="53" t="inlineStr">
        <is>
          <t>Business Analysis</t>
        </is>
      </c>
      <c r="DZ230" s="53" t="inlineStr">
        <is>
          <t>No</t>
        </is>
      </c>
      <c r="EA230" s="53" t="inlineStr">
        <is>
          <t>Product/Project</t>
        </is>
      </c>
      <c r="EB230" s="53" t="inlineStr">
        <is>
          <t>Business Analysis</t>
        </is>
      </c>
      <c r="EC230" s="53" t="inlineStr">
        <is>
          <t>Technical · BA, PM and QA</t>
        </is>
      </c>
      <c r="ED230" s="53" t="inlineStr">
        <is>
          <t>Hybrid</t>
        </is>
      </c>
      <c r="EE230" s="53"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EF230" s="53"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EG230" s="53"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EH230" s="53" t="n">
        <v>3</v>
      </c>
      <c r="EI230" s="54" t="n">
        <v>45931</v>
      </c>
      <c r="EJ230" s="53" t="inlineStr">
        <is>
          <t>Same as current designation</t>
        </is>
      </c>
      <c r="EK230" s="53" t="inlineStr">
        <is>
          <t>No</t>
        </is>
      </c>
      <c r="EL230" s="53" t="n">
        <v>3</v>
      </c>
      <c r="EM230" s="53" t="inlineStr">
        <is>
          <t>Medium</t>
        </is>
      </c>
      <c r="EN230" s="53" t="inlineStr">
        <is>
          <t>Emerging Talent</t>
        </is>
      </c>
      <c r="EO230" s="53" t="inlineStr">
        <is>
          <t>Not Ready</t>
        </is>
      </c>
      <c r="EP230" s="53" t="inlineStr">
        <is>
          <t>No</t>
        </is>
      </c>
      <c r="EQ230" s="53" t="inlineStr">
        <is>
          <t>No</t>
        </is>
      </c>
      <c r="ER230" s="53" t="n"/>
      <c r="ES230" s="53" t="inlineStr">
        <is>
          <t>XBRL Training, Training on the effective utilization of AI tools.</t>
        </is>
      </c>
      <c r="ET230" s="53" t="n"/>
      <c r="EU230" s="53" t="n"/>
      <c r="EV230" s="53" t="n"/>
      <c r="EW230" s="52" t="n"/>
      <c r="EX230" s="53" t="n"/>
      <c r="EY230" s="53" t="n"/>
      <c r="EZ230" s="53" t="n"/>
      <c r="FA230" s="53" t="n"/>
      <c r="FB230" s="53" t="n"/>
      <c r="FC230" s="53" t="n"/>
      <c r="FD230" s="53" t="n"/>
      <c r="FE230" s="57"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FF230" s="56"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FG230" s="56"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 Now once their Database/Source Systems are finalized and shared we will proceeding with the completion of their ETL Logic and Implementation as well.</t>
        </is>
      </c>
      <c r="FH230" s="56" t="inlineStr">
        <is>
          <t>3</t>
        </is>
      </c>
      <c r="FI230" s="56" t="n"/>
      <c r="FJ230" s="56" t="inlineStr">
        <is>
          <t>Received · manager annual, quarterly, self</t>
        </is>
      </c>
      <c r="FK230" s="56" t="inlineStr">
        <is>
          <t>Talent Mapping · iDEAL</t>
        </is>
      </c>
      <c r="FL230" s="56" t="n">
        <v>20</v>
      </c>
      <c r="FM230" s="32" t="inlineStr">
        <is>
          <t>Full survey answers not in the files received · How We Grow export needed · HR</t>
        </is>
      </c>
      <c r="FN230" s="56" t="inlineStr">
        <is>
          <t>—</t>
        </is>
      </c>
      <c r="FO230" s="56" t="inlineStr">
        <is>
          <t>—</t>
        </is>
      </c>
      <c r="FP230" s="56" t="inlineStr">
        <is>
          <t>—</t>
        </is>
      </c>
      <c r="FQ230" s="56" t="inlineStr">
        <is>
          <t>—</t>
        </is>
      </c>
      <c r="FR230" s="56"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client servers; clears escalations → moved up 1
Leadership: Evidence reads like A2: Lists 'helping others'; no standing guidance role → moved up 0.5
Business Impact: No survey or manager-mapping signal on criticality: kept at the start point.</t>
        </is>
      </c>
      <c r="FS23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30" s="56" t="inlineStr">
        <is>
          <t>Self-identified: Communication &amp; presentation
For the next role: AI / automation · Communication &amp; presentation</t>
        </is>
      </c>
      <c r="FU230" s="32" t="inlineStr">
        <is>
          <t>Full survey answers not in the files received · How We Grow export needed · HR</t>
        </is>
      </c>
    </row>
    <row r="231" ht="90" customHeight="1">
      <c r="A231" s="51" t="inlineStr">
        <is>
          <t>◂ Back</t>
        </is>
      </c>
      <c r="B231" s="29" t="inlineStr">
        <is>
          <t>Mapped</t>
        </is>
      </c>
      <c r="C231" s="28" t="inlineStr">
        <is>
          <t>iDEAL</t>
        </is>
      </c>
      <c r="D231" s="29" t="inlineStr">
        <is>
          <t>IRIS2527</t>
        </is>
      </c>
      <c r="E231" s="29" t="inlineStr">
        <is>
          <t>Hemand Thayil</t>
        </is>
      </c>
      <c r="F231" s="29" t="inlineStr">
        <is>
          <t>Technology</t>
        </is>
      </c>
      <c r="G231" s="29" t="inlineStr">
        <is>
          <t>Customer Solution Analyst</t>
        </is>
      </c>
      <c r="H231" s="29" t="inlineStr">
        <is>
          <t>Support Executive</t>
        </is>
      </c>
      <c r="I231" s="29" t="inlineStr">
        <is>
          <t>L3 – Professional / Associate</t>
        </is>
      </c>
      <c r="J231" s="29" t="inlineStr">
        <is>
          <t>A2</t>
        </is>
      </c>
      <c r="K231" s="29" t="inlineStr">
        <is>
          <t>• Same level</t>
        </is>
      </c>
      <c r="L231" s="29" t="inlineStr">
        <is>
          <t>Customer Success &amp; Support</t>
        </is>
      </c>
      <c r="M231" s="29" t="inlineStr">
        <is>
          <t>Application &amp; Product Support</t>
        </is>
      </c>
      <c r="N231" s="29" t="n"/>
      <c r="O231" s="29" t="n">
        <v>17</v>
      </c>
      <c r="P231" s="28" t="inlineStr">
        <is>
          <t>P1–P2</t>
        </is>
      </c>
      <c r="Q231" s="29" t="inlineStr">
        <is>
          <t>Entry / Developing</t>
        </is>
      </c>
      <c r="R231" s="29" t="inlineStr">
        <is>
          <t>2 Assist</t>
        </is>
      </c>
      <c r="S231" s="29" t="inlineStr">
        <is>
          <t>0–2 yrs</t>
        </is>
      </c>
      <c r="T231" s="29" t="inlineStr">
        <is>
          <t>1–3 · 0–3</t>
        </is>
      </c>
      <c r="U231" s="29" t="inlineStr">
        <is>
          <t>Support Associate / Support / CS Executive</t>
        </is>
      </c>
      <c r="V231" s="29" t="inlineStr">
        <is>
          <t>IRIS Vs Competitor Benchmark — SaaS customer-success ladder: Support Associate · IRIS Vs Competitor Benchmark — support tiers: L1 Service Desk</t>
        </is>
      </c>
      <c r="W231" s="29" t="inlineStr">
        <is>
          <t>TSIA frameworks and benchmarks; ITIL 4 service desk; Gainsight customer-success practice</t>
        </is>
      </c>
      <c r="X231" s="29" t="inlineStr">
        <is>
          <t>Core 2 · Future 2 · Functional 2 · Leadership not scored</t>
        </is>
      </c>
      <c r="Y231" s="52" t="n">
        <v>497</v>
      </c>
      <c r="Z231" s="53" t="inlineStr">
        <is>
          <t>IRIS2527</t>
        </is>
      </c>
      <c r="AA231" s="53" t="inlineStr">
        <is>
          <t>Employee</t>
        </is>
      </c>
      <c r="AB231" s="53" t="inlineStr">
        <is>
          <t>Active</t>
        </is>
      </c>
      <c r="AC231" s="53" t="inlineStr">
        <is>
          <t>Hemand Thayil</t>
        </is>
      </c>
      <c r="AD231" s="54" t="n">
        <v>46146</v>
      </c>
      <c r="AE231" s="53" t="inlineStr">
        <is>
          <t>Customer Solution Analyst</t>
        </is>
      </c>
      <c r="AF231" s="53" t="inlineStr">
        <is>
          <t>MCA</t>
        </is>
      </c>
      <c r="AG231" s="53" t="inlineStr">
        <is>
          <t>Aroosa Ghole</t>
        </is>
      </c>
      <c r="AH231" s="53" t="inlineStr">
        <is>
          <t>N-4</t>
        </is>
      </c>
      <c r="AI231" s="53" t="inlineStr">
        <is>
          <t>Individual Contributor</t>
        </is>
      </c>
      <c r="AJ231" s="53" t="inlineStr">
        <is>
          <t>1 years, 6 months, 0 days</t>
        </is>
      </c>
      <c r="AK231" s="53" t="inlineStr">
        <is>
          <t>0 years, 3 months, 21 days</t>
        </is>
      </c>
      <c r="AL231" s="53" t="inlineStr">
        <is>
          <t>Regtech</t>
        </is>
      </c>
      <c r="AM231" s="53" t="inlineStr">
        <is>
          <t>iDEAL</t>
        </is>
      </c>
      <c r="AN231" s="53" t="inlineStr">
        <is>
          <t>Technology</t>
        </is>
      </c>
      <c r="AO231" s="53" t="inlineStr">
        <is>
          <t>Business Analysis</t>
        </is>
      </c>
      <c r="AP231" s="53" t="inlineStr">
        <is>
          <t>Yes</t>
        </is>
      </c>
      <c r="AQ231" s="53" t="inlineStr">
        <is>
          <t>Product/Project</t>
        </is>
      </c>
      <c r="AR231" s="53" t="inlineStr">
        <is>
          <t>Business Analysis</t>
        </is>
      </c>
      <c r="AS231" s="53" t="inlineStr">
        <is>
          <t>Technical · BA, PM and QA</t>
        </is>
      </c>
      <c r="AT231" s="53" t="n">
        <v>20</v>
      </c>
      <c r="AU231" s="53" t="inlineStr">
        <is>
          <t>Covered</t>
        </is>
      </c>
      <c r="AV231" s="53" t="n"/>
      <c r="AW231" s="53" t="n"/>
      <c r="AX231" s="53" t="n"/>
      <c r="AY231" s="53" t="n"/>
      <c r="AZ231" s="53" t="n"/>
      <c r="BA231" s="53" t="n"/>
      <c r="BB231" s="53" t="n"/>
      <c r="BC231" s="53" t="n"/>
      <c r="BD231" s="53" t="n"/>
      <c r="BE231" s="53" t="n"/>
      <c r="BF231" s="53" t="n"/>
      <c r="BG231" s="53" t="n"/>
      <c r="BH231" s="53" t="n"/>
      <c r="BI231" s="53" t="n"/>
      <c r="BJ231" s="53" t="n"/>
      <c r="BK231" s="53" t="n"/>
      <c r="BL231" s="53" t="n"/>
      <c r="BM231" s="53" t="n"/>
      <c r="BN231" s="53" t="n"/>
      <c r="BO231" s="53" t="n"/>
      <c r="BP231" s="53" t="n"/>
      <c r="BQ231" s="53" t="n"/>
      <c r="BR231" s="53" t="n"/>
      <c r="BS231" s="53" t="n"/>
      <c r="BT231" s="53" t="n"/>
      <c r="BU231" s="53" t="n"/>
      <c r="BV231" s="53" t="n"/>
      <c r="BW231" s="53" t="n"/>
      <c r="BX231" s="53" t="n"/>
      <c r="BY231" s="53" t="n"/>
      <c r="BZ231" s="53" t="n"/>
      <c r="CA231" s="53" t="n"/>
      <c r="CB231" s="53" t="n"/>
      <c r="CC231" s="53" t="n"/>
      <c r="CD231" s="53" t="n"/>
      <c r="CE231" s="53" t="n"/>
      <c r="CF231" s="53" t="n"/>
      <c r="CG231" s="53" t="n"/>
      <c r="CH231" s="53" t="n"/>
      <c r="CI231" s="53" t="n"/>
      <c r="CJ231" s="53" t="n"/>
      <c r="CK231" s="53" t="n"/>
      <c r="CL231" s="53" t="n"/>
      <c r="CM231" s="53" t="n"/>
      <c r="CN231" s="53" t="n"/>
      <c r="CO231" s="53" t="n"/>
      <c r="CP231" s="53" t="n"/>
      <c r="CQ231" s="53" t="n"/>
      <c r="CR231" s="53" t="n"/>
      <c r="CS231" s="53" t="n"/>
      <c r="CT231" s="53" t="n"/>
      <c r="CU231" s="53" t="n"/>
      <c r="CV231" s="53" t="n"/>
      <c r="CW231" s="53" t="n"/>
      <c r="CX231" s="53" t="n"/>
      <c r="CY231" s="53" t="n"/>
      <c r="CZ231" s="53" t="n"/>
      <c r="DA231" s="53" t="n"/>
      <c r="DB231" s="53" t="n"/>
      <c r="DC231" s="53" t="n"/>
      <c r="DD231" s="53" t="inlineStr">
        <is>
          <t>IRIS2527</t>
        </is>
      </c>
      <c r="DE231" s="53" t="inlineStr">
        <is>
          <t>Employee</t>
        </is>
      </c>
      <c r="DF231" s="53" t="inlineStr">
        <is>
          <t>Active</t>
        </is>
      </c>
      <c r="DG231" s="53" t="inlineStr">
        <is>
          <t>Hemand Thayil</t>
        </is>
      </c>
      <c r="DH231" s="54" t="n">
        <v>46146</v>
      </c>
      <c r="DI231" s="53" t="inlineStr">
        <is>
          <t>Customer Solution Analyst</t>
        </is>
      </c>
      <c r="DJ231" s="53" t="inlineStr">
        <is>
          <t>Engineering &amp; Development</t>
        </is>
      </c>
      <c r="DK231" s="53" t="inlineStr">
        <is>
          <t>Software Engineering</t>
        </is>
      </c>
      <c r="DL231" s="53" t="inlineStr">
        <is>
          <t>Customer Solution Analyst</t>
        </is>
      </c>
      <c r="DM231" s="53" t="inlineStr">
        <is>
          <t>L3 – Professional / Associate</t>
        </is>
      </c>
      <c r="DN231" s="53" t="inlineStr">
        <is>
          <t>MCA</t>
        </is>
      </c>
      <c r="DO231" s="53" t="inlineStr">
        <is>
          <t>Aroosa Ghole</t>
        </is>
      </c>
      <c r="DP231" s="53" t="inlineStr">
        <is>
          <t>N-4</t>
        </is>
      </c>
      <c r="DQ231" s="53" t="inlineStr">
        <is>
          <t>Individual Contributor</t>
        </is>
      </c>
      <c r="DR231" s="53" t="inlineStr">
        <is>
          <t>1 years, 6 months, 0 days</t>
        </is>
      </c>
      <c r="DS231" s="53" t="inlineStr">
        <is>
          <t>0 years, 1 months, 16 days</t>
        </is>
      </c>
      <c r="DT231" s="53" t="inlineStr">
        <is>
          <t>1 years, 7 months, 16 days</t>
        </is>
      </c>
      <c r="DU231" s="53" t="n"/>
      <c r="DV231" s="53" t="inlineStr">
        <is>
          <t>Regtech</t>
        </is>
      </c>
      <c r="DW231" s="53" t="inlineStr">
        <is>
          <t>iDEAL</t>
        </is>
      </c>
      <c r="DX231" s="53" t="inlineStr">
        <is>
          <t>Technology</t>
        </is>
      </c>
      <c r="DY231" s="53" t="inlineStr">
        <is>
          <t>Development</t>
        </is>
      </c>
      <c r="DZ231" s="53" t="inlineStr">
        <is>
          <t>Yes</t>
        </is>
      </c>
      <c r="EA231" s="53" t="inlineStr">
        <is>
          <t>Product/Project</t>
        </is>
      </c>
      <c r="EB231" s="53" t="inlineStr">
        <is>
          <t>Business Analysis</t>
        </is>
      </c>
      <c r="EC231" s="53" t="inlineStr">
        <is>
          <t>Technical · BA, PM and QA</t>
        </is>
      </c>
      <c r="ED231" s="53" t="inlineStr">
        <is>
          <t>Work From Office - Turbhe</t>
        </is>
      </c>
      <c r="EE231" s="53"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EF231"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231" s="5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231" s="53" t="n">
        <v>2</v>
      </c>
      <c r="EI231" s="54" t="n">
        <v>45931</v>
      </c>
      <c r="EJ231" s="53" t="inlineStr">
        <is>
          <t>Same as current designation</t>
        </is>
      </c>
      <c r="EK231" s="53" t="inlineStr">
        <is>
          <t>No</t>
        </is>
      </c>
      <c r="EL231" s="53" t="n">
        <v>3</v>
      </c>
      <c r="EM231" s="53" t="inlineStr">
        <is>
          <t>Medium</t>
        </is>
      </c>
      <c r="EN231" s="53" t="inlineStr">
        <is>
          <t>Core Contributor</t>
        </is>
      </c>
      <c r="EO231" s="53" t="inlineStr">
        <is>
          <t>Not Ready</t>
        </is>
      </c>
      <c r="EP231" s="53" t="inlineStr">
        <is>
          <t>No</t>
        </is>
      </c>
      <c r="EQ231" s="53" t="inlineStr">
        <is>
          <t>No</t>
        </is>
      </c>
      <c r="ER231" s="53" t="n"/>
      <c r="ES231" s="53" t="inlineStr">
        <is>
          <t>XBRL Training, Training on the effective utilization of AI tools.</t>
        </is>
      </c>
      <c r="ET231" s="53" t="n"/>
      <c r="EU231" s="53" t="n"/>
      <c r="EV231" s="53" t="n"/>
      <c r="EW231" s="52" t="n"/>
      <c r="EX231" s="53" t="n"/>
      <c r="EY231" s="53" t="n"/>
      <c r="EZ231" s="53" t="n"/>
      <c r="FA231" s="53" t="n"/>
      <c r="FB231" s="53" t="n"/>
      <c r="FC231" s="53" t="n"/>
      <c r="FD231" s="53" t="n"/>
      <c r="FE231"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FF231" s="56"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FG231" s="56"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FH231" s="56" t="inlineStr">
        <is>
          <t>2</t>
        </is>
      </c>
      <c r="FI231" s="56" t="n"/>
      <c r="FJ231" s="56" t="inlineStr">
        <is>
          <t>Received · manager annual, quarterly, self</t>
        </is>
      </c>
      <c r="FK231" s="56" t="inlineStr">
        <is>
          <t>Talent Mapping · iDEAL</t>
        </is>
      </c>
      <c r="FL231" s="56" t="n">
        <v>17</v>
      </c>
      <c r="FM231" s="32" t="inlineStr">
        <is>
          <t>Full survey answers not in the files received · How We Grow export needed · HR</t>
        </is>
      </c>
      <c r="FN231" s="56" t="inlineStr">
        <is>
          <t>—</t>
        </is>
      </c>
      <c r="FO231" s="56" t="inlineStr">
        <is>
          <t>—</t>
        </is>
      </c>
      <c r="FP231" s="56" t="inlineStr">
        <is>
          <t>—</t>
        </is>
      </c>
      <c r="FQ231" s="56" t="inlineStr">
        <is>
          <t>—</t>
        </is>
      </c>
      <c r="FR231" s="56"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summarised by the rater; not quoted → matches the start
Leadership: Evidence reads like A1: No guidance of others described → matches the start
Business Impact: No move: the survey / manager mapping does not mark it business-critical or unique.</t>
        </is>
      </c>
      <c r="FS231"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31" s="56" t="n"/>
      <c r="FU231" s="32" t="inlineStr">
        <is>
          <t>Full survey answers not in the files received · How We Grow export needed · HR</t>
        </is>
      </c>
    </row>
    <row r="232" ht="90" customHeight="1">
      <c r="A232" s="51" t="inlineStr">
        <is>
          <t>◂ Back</t>
        </is>
      </c>
      <c r="B232" s="29" t="inlineStr">
        <is>
          <t>Mapped</t>
        </is>
      </c>
      <c r="C232" s="28" t="inlineStr">
        <is>
          <t>iDEAL</t>
        </is>
      </c>
      <c r="D232" s="29" t="inlineStr">
        <is>
          <t>IRIS0636</t>
        </is>
      </c>
      <c r="E232" s="29" t="inlineStr">
        <is>
          <t>Reena Gotal</t>
        </is>
      </c>
      <c r="F232" s="29" t="inlineStr">
        <is>
          <t>Quality Assurance</t>
        </is>
      </c>
      <c r="G232" s="29" t="inlineStr">
        <is>
          <t>Senior QA - Engineer</t>
        </is>
      </c>
      <c r="H232" s="29" t="inlineStr">
        <is>
          <t>QA Manager</t>
        </is>
      </c>
      <c r="I232" s="29" t="inlineStr">
        <is>
          <t>L4 – Senior</t>
        </is>
      </c>
      <c r="J232" s="29" t="inlineStr">
        <is>
          <t>B1</t>
        </is>
      </c>
      <c r="K232" s="29" t="inlineStr">
        <is>
          <t>▲ Up</t>
        </is>
      </c>
      <c r="L232" s="29" t="inlineStr">
        <is>
          <t>Quality Assurance</t>
        </is>
      </c>
      <c r="M232" s="29" t="inlineStr">
        <is>
          <t>Functional &amp; Domain Testing</t>
        </is>
      </c>
      <c r="N232" s="29" t="n"/>
      <c r="O232" s="29" t="n">
        <v>20</v>
      </c>
      <c r="P232" s="28" t="inlineStr">
        <is>
          <t>P3 / M2</t>
        </is>
      </c>
      <c r="Q232" s="29" t="inlineStr">
        <is>
          <t>Career / · Team Lead</t>
        </is>
      </c>
      <c r="R232" s="29" t="inlineStr">
        <is>
          <t>4 Enable</t>
        </is>
      </c>
      <c r="S232" s="29" t="inlineStr">
        <is>
          <t>4–7 yrs</t>
        </is>
      </c>
      <c r="T232" s="29" t="inlineStr">
        <is>
          <t>5–8 · 4–8</t>
        </is>
      </c>
      <c r="U232" s="29" t="inlineStr">
        <is>
          <t>Manager</t>
        </is>
      </c>
      <c r="V232" s="29" t="inlineStr">
        <is>
          <t>Workiva: SE / Senior SE · Broadridge India: Senior SE · Nasdaq / AxiomSL: Senior SE · IRIS Vs Market Benchmark — ISTQB certification pathway: Advanced · Test Analyst</t>
        </is>
      </c>
      <c r="W232" s="29" t="inlineStr">
        <is>
          <t>ISTQB Foundation → Advanced → Expert; SFIA testing</t>
        </is>
      </c>
      <c r="X232" s="29" t="inlineStr">
        <is>
          <t>Core 3 · Future 3 · Functional 3 · Leadership 2</t>
        </is>
      </c>
      <c r="Y232" s="52" t="n">
        <v>85</v>
      </c>
      <c r="Z232" s="53" t="inlineStr">
        <is>
          <t>IRIS0636</t>
        </is>
      </c>
      <c r="AA232" s="53" t="inlineStr">
        <is>
          <t>Employee</t>
        </is>
      </c>
      <c r="AB232" s="53" t="inlineStr">
        <is>
          <t>Active</t>
        </is>
      </c>
      <c r="AC232" s="53" t="inlineStr">
        <is>
          <t>Reena Gotal</t>
        </is>
      </c>
      <c r="AD232" s="54" t="n">
        <v>40686</v>
      </c>
      <c r="AE232" s="53" t="inlineStr">
        <is>
          <t>Senior QA - Engineer</t>
        </is>
      </c>
      <c r="AF232" s="53" t="inlineStr">
        <is>
          <t>B.Com</t>
        </is>
      </c>
      <c r="AG232" s="53" t="inlineStr">
        <is>
          <t>Hemant Karale</t>
        </is>
      </c>
      <c r="AH232" s="53" t="inlineStr">
        <is>
          <t>N-3</t>
        </is>
      </c>
      <c r="AI232" s="53" t="inlineStr">
        <is>
          <t>Manager</t>
        </is>
      </c>
      <c r="AJ232" s="53" t="inlineStr">
        <is>
          <t>0 years, 0 months, 0 days</t>
        </is>
      </c>
      <c r="AK232" s="53" t="inlineStr">
        <is>
          <t>15 years, 3 months, 2 days</t>
        </is>
      </c>
      <c r="AL232" s="53" t="inlineStr">
        <is>
          <t>Regtech</t>
        </is>
      </c>
      <c r="AM232" s="53" t="inlineStr">
        <is>
          <t>iDEAL</t>
        </is>
      </c>
      <c r="AN232" s="53" t="inlineStr">
        <is>
          <t>Quality Assurance</t>
        </is>
      </c>
      <c r="AO232" s="53" t="inlineStr">
        <is>
          <t>Quality Assurance</t>
        </is>
      </c>
      <c r="AP232" s="53" t="inlineStr">
        <is>
          <t>No</t>
        </is>
      </c>
      <c r="AQ232" s="53" t="inlineStr">
        <is>
          <t>Product/Project</t>
        </is>
      </c>
      <c r="AR232" s="53" t="inlineStr">
        <is>
          <t>Software Testing</t>
        </is>
      </c>
      <c r="AS232" s="53" t="inlineStr">
        <is>
          <t>Technical · BA, PM and QA</t>
        </is>
      </c>
      <c r="AT232" s="53" t="n">
        <v>20</v>
      </c>
      <c r="AU232" s="53" t="inlineStr">
        <is>
          <t>Covered</t>
        </is>
      </c>
      <c r="AV232" s="53" t="n"/>
      <c r="AW232" s="53" t="n"/>
      <c r="AX232" s="53" t="n"/>
      <c r="AY232" s="53" t="n"/>
      <c r="AZ232" s="53" t="n"/>
      <c r="BA232" s="53" t="n"/>
      <c r="BB232" s="53" t="n"/>
      <c r="BC232" s="53" t="n"/>
      <c r="BD232" s="53" t="n"/>
      <c r="BE232" s="53" t="n"/>
      <c r="BF232" s="53" t="n"/>
      <c r="BG232" s="53" t="n"/>
      <c r="BH232" s="53" t="n"/>
      <c r="BI232" s="53" t="n"/>
      <c r="BJ232" s="53" t="n"/>
      <c r="BK232" s="53" t="n"/>
      <c r="BL232" s="53" t="n"/>
      <c r="BM232" s="53" t="n"/>
      <c r="BN232" s="53" t="n"/>
      <c r="BO232" s="53" t="n"/>
      <c r="BP232" s="53" t="n"/>
      <c r="BQ232" s="53" t="n"/>
      <c r="BR232" s="53" t="n"/>
      <c r="BS232" s="53" t="n"/>
      <c r="BT232" s="53" t="n"/>
      <c r="BU232" s="53" t="n"/>
      <c r="BV232" s="53" t="n"/>
      <c r="BW232" s="53" t="n"/>
      <c r="BX232" s="53" t="n"/>
      <c r="BY232" s="53" t="n"/>
      <c r="BZ232" s="53" t="n"/>
      <c r="CA232" s="53" t="n"/>
      <c r="CB232" s="53" t="n"/>
      <c r="CC232" s="53" t="n"/>
      <c r="CD232" s="53" t="n"/>
      <c r="CE232" s="53" t="n"/>
      <c r="CF232" s="53" t="n"/>
      <c r="CG232" s="53" t="n"/>
      <c r="CH232" s="53" t="n"/>
      <c r="CI232" s="53" t="n"/>
      <c r="CJ232" s="53" t="n"/>
      <c r="CK232" s="53" t="n"/>
      <c r="CL232" s="53" t="n"/>
      <c r="CM232" s="53" t="n"/>
      <c r="CN232" s="53" t="n"/>
      <c r="CO232" s="53" t="n"/>
      <c r="CP232" s="53" t="n"/>
      <c r="CQ232" s="53" t="n"/>
      <c r="CR232" s="53" t="n"/>
      <c r="CS232" s="53" t="n"/>
      <c r="CT232" s="53" t="n"/>
      <c r="CU232" s="53" t="n"/>
      <c r="CV232" s="53" t="n"/>
      <c r="CW232" s="53" t="n"/>
      <c r="CX232" s="53" t="n"/>
      <c r="CY232" s="53" t="n"/>
      <c r="CZ232" s="53" t="n"/>
      <c r="DA232" s="53" t="n"/>
      <c r="DB232" s="53" t="n"/>
      <c r="DC232" s="53" t="n"/>
      <c r="DD232" s="53" t="inlineStr">
        <is>
          <t>IRIS0636</t>
        </is>
      </c>
      <c r="DE232" s="53" t="inlineStr">
        <is>
          <t>Employee</t>
        </is>
      </c>
      <c r="DF232" s="53" t="inlineStr">
        <is>
          <t>Active</t>
        </is>
      </c>
      <c r="DG232" s="53" t="inlineStr">
        <is>
          <t>Reena Gotal</t>
        </is>
      </c>
      <c r="DH232" s="54" t="n">
        <v>40686</v>
      </c>
      <c r="DI232" s="53" t="inlineStr">
        <is>
          <t>Senior QA - Engineer</t>
        </is>
      </c>
      <c r="DJ232" s="53" t="inlineStr">
        <is>
          <t>Quality Assurance</t>
        </is>
      </c>
      <c r="DK232" s="53" t="inlineStr">
        <is>
          <t>Quality Engineering</t>
        </is>
      </c>
      <c r="DL232" s="53" t="inlineStr">
        <is>
          <t>Senior QA - Engineer</t>
        </is>
      </c>
      <c r="DM232" s="53" t="inlineStr">
        <is>
          <t>L4 – Senior</t>
        </is>
      </c>
      <c r="DN232" s="53" t="inlineStr">
        <is>
          <t>B.Com</t>
        </is>
      </c>
      <c r="DO232" s="53" t="inlineStr">
        <is>
          <t>Hemant Karale</t>
        </is>
      </c>
      <c r="DP232" s="53" t="inlineStr">
        <is>
          <t>N-3</t>
        </is>
      </c>
      <c r="DQ232" s="53" t="inlineStr">
        <is>
          <t>Manager</t>
        </is>
      </c>
      <c r="DR232" s="53" t="inlineStr">
        <is>
          <t>0 years, 0 months, 0 days</t>
        </is>
      </c>
      <c r="DS232" s="53" t="inlineStr">
        <is>
          <t>15 years, 0 months, 28 days</t>
        </is>
      </c>
      <c r="DT232" s="53" t="inlineStr">
        <is>
          <t>15 years, 0 months, 28 days</t>
        </is>
      </c>
      <c r="DU232" s="53" t="n">
        <v>15.0767123287671</v>
      </c>
      <c r="DV232" s="53" t="inlineStr">
        <is>
          <t>Regtech</t>
        </is>
      </c>
      <c r="DW232" s="53" t="inlineStr">
        <is>
          <t>iDEAL</t>
        </is>
      </c>
      <c r="DX232" s="53" t="inlineStr">
        <is>
          <t>Quality Assurance</t>
        </is>
      </c>
      <c r="DY232" s="53" t="inlineStr">
        <is>
          <t>Quality Assurance</t>
        </is>
      </c>
      <c r="DZ232" s="53" t="inlineStr">
        <is>
          <t>No</t>
        </is>
      </c>
      <c r="EA232" s="53" t="inlineStr">
        <is>
          <t>Product/Project</t>
        </is>
      </c>
      <c r="EB232" s="53" t="inlineStr">
        <is>
          <t>Software Testing</t>
        </is>
      </c>
      <c r="EC232" s="53" t="inlineStr">
        <is>
          <t>Technical · BA, PM and QA</t>
        </is>
      </c>
      <c r="ED232" s="53" t="inlineStr">
        <is>
          <t>Hybrid</t>
        </is>
      </c>
      <c r="EE232" s="53" t="n"/>
      <c r="EF232" s="53"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EG232" s="53" t="inlineStr">
        <is>
          <t>1. Defect Escape Rate should be &lt;= 5%, for all Q1 releases
2. Defect Detection Efficiency should be &gt;95% for the Q1 releases
3. Automation testing · test cases coverage should be &gt;=50% for Q1 releases</t>
        </is>
      </c>
      <c r="EH232" s="53" t="n">
        <v>3</v>
      </c>
      <c r="EI232" s="53" t="n"/>
      <c r="EJ232" s="53" t="inlineStr">
        <is>
          <t>Same as per records</t>
        </is>
      </c>
      <c r="EK232" s="53" t="n"/>
      <c r="EL232" s="53" t="n">
        <v>3</v>
      </c>
      <c r="EM232" s="53" t="inlineStr">
        <is>
          <t>Medium</t>
        </is>
      </c>
      <c r="EN232" s="53" t="inlineStr">
        <is>
          <t>Core Contributor</t>
        </is>
      </c>
      <c r="EO232" s="53" t="inlineStr">
        <is>
          <t>Not Ready</t>
        </is>
      </c>
      <c r="EP232" s="53" t="inlineStr">
        <is>
          <t>No</t>
        </is>
      </c>
      <c r="EQ232" s="53" t="inlineStr">
        <is>
          <t>No</t>
        </is>
      </c>
      <c r="ER232" s="53" t="n"/>
      <c r="ES232" s="53" t="inlineStr">
        <is>
          <t>Training on the effective utilization of AI tools.</t>
        </is>
      </c>
      <c r="ET232" s="53" t="n"/>
      <c r="EU232" s="53" t="n"/>
      <c r="EV232" s="53" t="n"/>
      <c r="EW232" s="52" t="n"/>
      <c r="EX232" s="53" t="n"/>
      <c r="EY232" s="53" t="n"/>
      <c r="EZ232" s="53" t="n"/>
      <c r="FA232" s="53" t="n"/>
      <c r="FB232" s="53" t="n"/>
      <c r="FC232" s="53" t="n"/>
      <c r="FD232" s="53" t="n"/>
      <c r="FE232" s="57"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FF232" s="56" t="inlineStr">
        <is>
          <t>1. Defect Escape Rate should be &lt;= 5%, for all Q1 releases
2. Defect Detection Efficiency should be &gt;95% for the Q1 releases
3. Automation testing · test cases coverage should be &gt;=50% for Q1 releases</t>
        </is>
      </c>
      <c r="FG232" s="56" t="n"/>
      <c r="FH232" s="56" t="inlineStr">
        <is>
          <t>3</t>
        </is>
      </c>
      <c r="FI232" s="56" t="n"/>
      <c r="FJ232" s="56" t="inlineStr">
        <is>
          <t>Received · manager annual, quarterly</t>
        </is>
      </c>
      <c r="FK232" s="56" t="inlineStr">
        <is>
          <t>Talent Mapping · iDEAL</t>
        </is>
      </c>
      <c r="FL232" s="56" t="n">
        <v>20</v>
      </c>
      <c r="FM232" s="32" t="inlineStr">
        <is>
          <t>Full survey answers not in the files received · How We Grow export needed · HR</t>
        </is>
      </c>
      <c r="FN232" s="56" t="inlineStr">
        <is>
          <t>—</t>
        </is>
      </c>
      <c r="FO232" s="56" t="inlineStr">
        <is>
          <t>—</t>
        </is>
      </c>
      <c r="FP232" s="56" t="inlineStr">
        <is>
          <t>—</t>
        </is>
      </c>
      <c r="FQ232" s="56" t="inlineStr">
        <is>
          <t>—</t>
        </is>
      </c>
      <c r="FR232" s="56"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reporting plus the team's quality and timelines → matches the start
Leadership: Evidence reads like B1: Coordinates, supports and guides team members; four direct reports → matches the start
Business Impact: No survey or manager-mapping signal on criticality: kept at the start point.</t>
        </is>
      </c>
      <c r="FS232"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232" s="56" t="inlineStr">
        <is>
          <t>Self-identified: Client, sales &amp; stakeholders · Communication &amp; presentation · Broader exposure &amp; ownership
For the next role: Client, sales &amp; stakeholders · Communication &amp; presentation · Broader exposure &amp; ownership</t>
        </is>
      </c>
      <c r="FU232" s="32" t="inlineStr">
        <is>
          <t>Full survey answers not in the files received · How We Grow export needed · HR</t>
        </is>
      </c>
    </row>
    <row r="233" ht="90" customHeight="1">
      <c r="A233" s="51" t="inlineStr">
        <is>
          <t>◂ Back</t>
        </is>
      </c>
      <c r="B233" s="29" t="inlineStr">
        <is>
          <t>Mapped</t>
        </is>
      </c>
      <c r="C233" s="28" t="inlineStr">
        <is>
          <t>iDEAL</t>
        </is>
      </c>
      <c r="D233" s="29" t="inlineStr">
        <is>
          <t>IRIS2271</t>
        </is>
      </c>
      <c r="E233" s="29" t="inlineStr">
        <is>
          <t>Atharv Ravindra Bokade</t>
        </is>
      </c>
      <c r="F233" s="29" t="inlineStr">
        <is>
          <t>Quality Assurance</t>
        </is>
      </c>
      <c r="G233" s="29" t="inlineStr">
        <is>
          <t>QA Engineer</t>
        </is>
      </c>
      <c r="H233" s="29" t="inlineStr">
        <is>
          <t>Senior QA Automation Engineer</t>
        </is>
      </c>
      <c r="I233" s="29" t="inlineStr">
        <is>
          <t>L2 – Trainee</t>
        </is>
      </c>
      <c r="J233" s="29" t="inlineStr">
        <is>
          <t>A3</t>
        </is>
      </c>
      <c r="K233" s="29" t="inlineStr">
        <is>
          <t>▲ Up</t>
        </is>
      </c>
      <c r="L233" s="29" t="inlineStr">
        <is>
          <t>Quality Assurance</t>
        </is>
      </c>
      <c r="M233" s="29" t="inlineStr">
        <is>
          <t>Test Automation</t>
        </is>
      </c>
      <c r="N233" s="29" t="n"/>
      <c r="O233" s="29" t="n">
        <v>20</v>
      </c>
      <c r="P233" s="28" t="inlineStr">
        <is>
          <t>P2</t>
        </is>
      </c>
      <c r="Q233" s="29" t="inlineStr">
        <is>
          <t>Developing</t>
        </is>
      </c>
      <c r="R233" s="29" t="inlineStr">
        <is>
          <t>3 Apply</t>
        </is>
      </c>
      <c r="S233" s="29" t="inlineStr">
        <is>
          <t>2–4 yrs</t>
        </is>
      </c>
      <c r="T233" s="29" t="inlineStr">
        <is>
          <t>3–5 · 2–5</t>
        </is>
      </c>
      <c r="U233" s="29" t="inlineStr">
        <is>
          <t>QA Engineer</t>
        </is>
      </c>
      <c r="V233" s="29" t="inlineStr">
        <is>
          <t>Workiva: SE · Broadridge India: SE · Nasdaq / AxiomSL: SE · IRIS Vs Market Benchmark — ISTQB certification pathway: Foundation</t>
        </is>
      </c>
      <c r="W233" s="29" t="inlineStr">
        <is>
          <t>ISTQB Foundation → Advanced → Expert; SFIA testing</t>
        </is>
      </c>
      <c r="X233" s="29" t="inlineStr">
        <is>
          <t>Core 2 · Future 2 · Functional 3 · Leadership not scored</t>
        </is>
      </c>
      <c r="Y233" s="52" t="n">
        <v>325</v>
      </c>
      <c r="Z233" s="53" t="inlineStr">
        <is>
          <t>IRIS2271</t>
        </is>
      </c>
      <c r="AA233" s="53" t="inlineStr">
        <is>
          <t>Employee</t>
        </is>
      </c>
      <c r="AB233" s="53" t="inlineStr">
        <is>
          <t>Active</t>
        </is>
      </c>
      <c r="AC233" s="53" t="inlineStr">
        <is>
          <t>Atharv Ravindra Bokade</t>
        </is>
      </c>
      <c r="AD233" s="54" t="n">
        <v>45449</v>
      </c>
      <c r="AE233" s="53" t="inlineStr">
        <is>
          <t>QA Engineer</t>
        </is>
      </c>
      <c r="AF233" s="53" t="inlineStr">
        <is>
          <t>B.E</t>
        </is>
      </c>
      <c r="AG233" s="53" t="inlineStr">
        <is>
          <t>Reena Gotal</t>
        </is>
      </c>
      <c r="AH233" s="53" t="inlineStr">
        <is>
          <t>N-4</t>
        </is>
      </c>
      <c r="AI233" s="53" t="inlineStr">
        <is>
          <t>Individual Contributor</t>
        </is>
      </c>
      <c r="AJ233" s="53" t="inlineStr">
        <is>
          <t>0 years, 0 months, 0 days</t>
        </is>
      </c>
      <c r="AK233" s="53" t="inlineStr">
        <is>
          <t>2 years, 2 months, 19 days</t>
        </is>
      </c>
      <c r="AL233" s="53" t="inlineStr">
        <is>
          <t>Regtech</t>
        </is>
      </c>
      <c r="AM233" s="53" t="inlineStr">
        <is>
          <t>iDEAL</t>
        </is>
      </c>
      <c r="AN233" s="53" t="inlineStr">
        <is>
          <t>Quality Assurance</t>
        </is>
      </c>
      <c r="AO233" s="53" t="inlineStr">
        <is>
          <t>Quality Assurance</t>
        </is>
      </c>
      <c r="AP233" s="53" t="inlineStr">
        <is>
          <t>Yes</t>
        </is>
      </c>
      <c r="AQ233" s="53" t="inlineStr">
        <is>
          <t>Product/Project</t>
        </is>
      </c>
      <c r="AR233" s="53" t="inlineStr">
        <is>
          <t>Software Testing</t>
        </is>
      </c>
      <c r="AS233" s="53" t="inlineStr">
        <is>
          <t>Technical · BA, PM and QA</t>
        </is>
      </c>
      <c r="AT233" s="53" t="n">
        <v>20</v>
      </c>
      <c r="AU233" s="53" t="inlineStr">
        <is>
          <t>Covered</t>
        </is>
      </c>
      <c r="AV233" s="53" t="n"/>
      <c r="AW233" s="53" t="n"/>
      <c r="AX233" s="53" t="n"/>
      <c r="AY233" s="53" t="n"/>
      <c r="AZ233" s="53" t="n"/>
      <c r="BA233" s="53" t="n"/>
      <c r="BB233" s="53" t="n"/>
      <c r="BC233" s="53" t="n"/>
      <c r="BD233" s="53" t="n"/>
      <c r="BE233" s="53" t="n"/>
      <c r="BF233" s="53" t="n"/>
      <c r="BG233" s="53" t="n"/>
      <c r="BH233" s="53" t="n"/>
      <c r="BI233" s="53" t="n"/>
      <c r="BJ233" s="53" t="n"/>
      <c r="BK233" s="53" t="n"/>
      <c r="BL233" s="53" t="n"/>
      <c r="BM233" s="53" t="n"/>
      <c r="BN233" s="53" t="n"/>
      <c r="BO233" s="53" t="n"/>
      <c r="BP233" s="53" t="n"/>
      <c r="BQ233" s="53" t="n"/>
      <c r="BR233" s="53" t="n"/>
      <c r="BS233" s="53" t="n"/>
      <c r="BT233" s="53" t="n"/>
      <c r="BU233" s="53" t="n"/>
      <c r="BV233" s="53" t="n"/>
      <c r="BW233" s="53" t="n"/>
      <c r="BX233" s="53" t="n"/>
      <c r="BY233" s="53" t="n"/>
      <c r="BZ233" s="53" t="n"/>
      <c r="CA233" s="53" t="n"/>
      <c r="CB233" s="53" t="n"/>
      <c r="CC233" s="53" t="n"/>
      <c r="CD233" s="53" t="n"/>
      <c r="CE233" s="53" t="n"/>
      <c r="CF233" s="53" t="n"/>
      <c r="CG233" s="53" t="n"/>
      <c r="CH233" s="53" t="n"/>
      <c r="CI233" s="53" t="n"/>
      <c r="CJ233" s="53" t="n"/>
      <c r="CK233" s="53" t="n"/>
      <c r="CL233" s="53" t="n"/>
      <c r="CM233" s="53" t="n"/>
      <c r="CN233" s="53" t="n"/>
      <c r="CO233" s="53" t="n"/>
      <c r="CP233" s="53" t="n"/>
      <c r="CQ233" s="53" t="n"/>
      <c r="CR233" s="53" t="n"/>
      <c r="CS233" s="53" t="n"/>
      <c r="CT233" s="53" t="n"/>
      <c r="CU233" s="53" t="n"/>
      <c r="CV233" s="53" t="n"/>
      <c r="CW233" s="53" t="n"/>
      <c r="CX233" s="53" t="n"/>
      <c r="CY233" s="53" t="n"/>
      <c r="CZ233" s="53" t="n"/>
      <c r="DA233" s="53" t="n"/>
      <c r="DB233" s="53" t="n"/>
      <c r="DC233" s="53" t="n"/>
      <c r="DD233" s="53" t="inlineStr">
        <is>
          <t>IRIS2271</t>
        </is>
      </c>
      <c r="DE233" s="53" t="inlineStr">
        <is>
          <t>Employee</t>
        </is>
      </c>
      <c r="DF233" s="53" t="inlineStr">
        <is>
          <t>Active</t>
        </is>
      </c>
      <c r="DG233" s="53" t="inlineStr">
        <is>
          <t>Atharv Ravindra Bokade</t>
        </is>
      </c>
      <c r="DH233" s="54" t="n">
        <v>45449</v>
      </c>
      <c r="DI233" s="53" t="inlineStr">
        <is>
          <t>Trainee QA Engineer</t>
        </is>
      </c>
      <c r="DJ233" s="53" t="inlineStr">
        <is>
          <t>Quality Assurance</t>
        </is>
      </c>
      <c r="DK233" s="53" t="inlineStr">
        <is>
          <t>Quality Engineering</t>
        </is>
      </c>
      <c r="DL233" s="53" t="inlineStr">
        <is>
          <t>Trainee QA Engineer</t>
        </is>
      </c>
      <c r="DM233" s="53" t="inlineStr">
        <is>
          <t>L2 – Trainee</t>
        </is>
      </c>
      <c r="DN233" s="53" t="inlineStr">
        <is>
          <t>B.E</t>
        </is>
      </c>
      <c r="DO233" s="53" t="inlineStr">
        <is>
          <t>Reena Gotal</t>
        </is>
      </c>
      <c r="DP233" s="53" t="inlineStr">
        <is>
          <t>N-4</t>
        </is>
      </c>
      <c r="DQ233" s="53" t="inlineStr">
        <is>
          <t>Individual Contributor</t>
        </is>
      </c>
      <c r="DR233" s="53" t="inlineStr">
        <is>
          <t>0 years, 0 months, 0 days</t>
        </is>
      </c>
      <c r="DS233" s="53" t="inlineStr">
        <is>
          <t>2 years, 0 months, 14 days</t>
        </is>
      </c>
      <c r="DT233" s="53" t="inlineStr">
        <is>
          <t>2 years, 0 months, 14 days</t>
        </is>
      </c>
      <c r="DU233" s="53" t="n"/>
      <c r="DV233" s="53" t="inlineStr">
        <is>
          <t>Regtech</t>
        </is>
      </c>
      <c r="DW233" s="53" t="inlineStr">
        <is>
          <t>iDEAL</t>
        </is>
      </c>
      <c r="DX233" s="53" t="inlineStr">
        <is>
          <t>Quality Assurance</t>
        </is>
      </c>
      <c r="DY233" s="53" t="inlineStr">
        <is>
          <t>Quality Assurance</t>
        </is>
      </c>
      <c r="DZ233" s="53" t="inlineStr">
        <is>
          <t>Yes</t>
        </is>
      </c>
      <c r="EA233" s="53" t="inlineStr">
        <is>
          <t>Product/Project</t>
        </is>
      </c>
      <c r="EB233" s="53" t="inlineStr">
        <is>
          <t>Software Testing</t>
        </is>
      </c>
      <c r="EC233" s="53" t="inlineStr">
        <is>
          <t>Technical · BA, PM and QA</t>
        </is>
      </c>
      <c r="ED233" s="53" t="inlineStr">
        <is>
          <t>Work From Office - Turbhe</t>
        </is>
      </c>
      <c r="EE233" s="53"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EF233"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G233" s="53"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EH233" s="53" t="n">
        <v>3</v>
      </c>
      <c r="EI233" s="53" t="n"/>
      <c r="EJ233" s="53" t="inlineStr">
        <is>
          <t>Same as per records</t>
        </is>
      </c>
      <c r="EK233" s="53" t="n"/>
      <c r="EL233" s="53" t="n">
        <v>3</v>
      </c>
      <c r="EM233" s="53" t="inlineStr">
        <is>
          <t>Medium</t>
        </is>
      </c>
      <c r="EN233" s="53" t="inlineStr">
        <is>
          <t>Core Contributor</t>
        </is>
      </c>
      <c r="EO233" s="53" t="inlineStr">
        <is>
          <t>Not Ready</t>
        </is>
      </c>
      <c r="EP233" s="53" t="inlineStr">
        <is>
          <t>No</t>
        </is>
      </c>
      <c r="EQ233" s="53" t="inlineStr">
        <is>
          <t>No</t>
        </is>
      </c>
      <c r="ER233" s="53" t="n"/>
      <c r="ES233" s="53" t="inlineStr">
        <is>
          <t>XBRL Training, Training on the effective utilization of AI tools.</t>
        </is>
      </c>
      <c r="ET233" s="53" t="n"/>
      <c r="EU233" s="53" t="n"/>
      <c r="EV233" s="53" t="n"/>
      <c r="EW233" s="52" t="n"/>
      <c r="EX233" s="53" t="n"/>
      <c r="EY233" s="53" t="n"/>
      <c r="EZ233" s="53" t="n"/>
      <c r="FA233" s="53" t="n"/>
      <c r="FB233" s="53" t="n"/>
      <c r="FC233" s="53" t="n"/>
      <c r="FD233" s="53" t="n"/>
      <c r="FE233"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FF233" s="56"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FG233" s="56"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FH233" s="56" t="inlineStr">
        <is>
          <t>3</t>
        </is>
      </c>
      <c r="FI233" s="56" t="n"/>
      <c r="FJ233" s="56" t="inlineStr">
        <is>
          <t>Received · manager annual, quarterly, self</t>
        </is>
      </c>
      <c r="FK233" s="56" t="inlineStr">
        <is>
          <t>Talent Mapping · iDEAL</t>
        </is>
      </c>
      <c r="FL233" s="56" t="n">
        <v>20</v>
      </c>
      <c r="FM233" s="32" t="inlineStr">
        <is>
          <t>Full survey answers not in the files received · How We Grow export needed · HR</t>
        </is>
      </c>
      <c r="FN233" s="56" t="inlineStr">
        <is>
          <t>—</t>
        </is>
      </c>
      <c r="FO233" s="56" t="inlineStr">
        <is>
          <t>—</t>
        </is>
      </c>
      <c r="FP233" s="56" t="inlineStr">
        <is>
          <t>—</t>
        </is>
      </c>
      <c r="FQ233" s="56" t="inlineStr">
        <is>
          <t>—</t>
        </is>
      </c>
      <c r="FR233" s="56"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sign-off; delivery to client affected → moved up 0.5
Leadership: Evidence reads like A1: No guiding or leading of others described → matches the start
Business Impact: No survey or manager-mapping signal on criticality: kept at the start point.</t>
        </is>
      </c>
      <c r="FS233"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3" s="56" t="inlineStr">
        <is>
          <t>Self-identified: AI / automation · Testing &amp; quality
For the next role: AI / automation · Testing &amp; quality</t>
        </is>
      </c>
      <c r="FU233" s="32" t="inlineStr">
        <is>
          <t>Full survey answers not in the files received · How We Grow export needed · HR</t>
        </is>
      </c>
    </row>
    <row r="234" ht="90" customHeight="1">
      <c r="A234" s="51" t="inlineStr">
        <is>
          <t>◂ Back</t>
        </is>
      </c>
      <c r="B234" s="29" t="inlineStr">
        <is>
          <t>Mapped</t>
        </is>
      </c>
      <c r="C234" s="28" t="inlineStr">
        <is>
          <t>iDEAL</t>
        </is>
      </c>
      <c r="D234" s="29" t="inlineStr">
        <is>
          <t>IRIS2479</t>
        </is>
      </c>
      <c r="E234" s="29" t="inlineStr">
        <is>
          <t>Rohan Kailas Aher</t>
        </is>
      </c>
      <c r="F234" s="29" t="inlineStr">
        <is>
          <t>Quality Assurance</t>
        </is>
      </c>
      <c r="G234" s="29" t="inlineStr">
        <is>
          <t>QA Engineer</t>
        </is>
      </c>
      <c r="H234" s="29" t="inlineStr">
        <is>
          <t>Senior QA Engineer</t>
        </is>
      </c>
      <c r="I234" s="29" t="inlineStr">
        <is>
          <t>L3 – Professional / Associate</t>
        </is>
      </c>
      <c r="J234" s="29" t="inlineStr">
        <is>
          <t>A3</t>
        </is>
      </c>
      <c r="K234" s="29" t="inlineStr">
        <is>
          <t>▲ Up</t>
        </is>
      </c>
      <c r="L234" s="29" t="inlineStr">
        <is>
          <t>Quality Assurance</t>
        </is>
      </c>
      <c r="M234" s="29" t="inlineStr">
        <is>
          <t>Functional &amp; Domain Testing</t>
        </is>
      </c>
      <c r="N234" s="29" t="n"/>
      <c r="O234" s="29" t="n">
        <v>20</v>
      </c>
      <c r="P234" s="28" t="inlineStr">
        <is>
          <t>P2</t>
        </is>
      </c>
      <c r="Q234" s="29" t="inlineStr">
        <is>
          <t>Developing</t>
        </is>
      </c>
      <c r="R234" s="29" t="inlineStr">
        <is>
          <t>3 Apply</t>
        </is>
      </c>
      <c r="S234" s="29" t="inlineStr">
        <is>
          <t>2–4 yrs</t>
        </is>
      </c>
      <c r="T234" s="29" t="inlineStr">
        <is>
          <t>3–5 · 2–5</t>
        </is>
      </c>
      <c r="U234" s="29" t="inlineStr">
        <is>
          <t>QA Engineer</t>
        </is>
      </c>
      <c r="V234" s="29" t="inlineStr">
        <is>
          <t>Workiva: SE · Broadridge India: SE · Nasdaq / AxiomSL: SE · IRIS Vs Market Benchmark — ISTQB certification pathway: Foundation</t>
        </is>
      </c>
      <c r="W234" s="29" t="inlineStr">
        <is>
          <t>ISTQB Foundation → Advanced → Expert; SFIA testing</t>
        </is>
      </c>
      <c r="X234" s="29" t="inlineStr">
        <is>
          <t>Core 2 · Future 2 · Functional 3 · Leadership not scored</t>
        </is>
      </c>
      <c r="Y234" s="52" t="n">
        <v>454</v>
      </c>
      <c r="Z234" s="53" t="inlineStr">
        <is>
          <t>IRIS2479</t>
        </is>
      </c>
      <c r="AA234" s="53" t="inlineStr">
        <is>
          <t>Employee</t>
        </is>
      </c>
      <c r="AB234" s="53" t="inlineStr">
        <is>
          <t>Active</t>
        </is>
      </c>
      <c r="AC234" s="53" t="inlineStr">
        <is>
          <t>Rohan Kailas Aher</t>
        </is>
      </c>
      <c r="AD234" s="54" t="n">
        <v>46072</v>
      </c>
      <c r="AE234" s="53" t="inlineStr">
        <is>
          <t>QA Engineer</t>
        </is>
      </c>
      <c r="AF234" s="53" t="inlineStr">
        <is>
          <t>Civil engineering</t>
        </is>
      </c>
      <c r="AG234" s="53" t="inlineStr">
        <is>
          <t>Reena Gotal</t>
        </is>
      </c>
      <c r="AH234" s="53" t="inlineStr">
        <is>
          <t>N-4</t>
        </is>
      </c>
      <c r="AI234" s="53" t="inlineStr">
        <is>
          <t>Individual Contributor</t>
        </is>
      </c>
      <c r="AJ234" s="53" t="inlineStr">
        <is>
          <t>3 years, 0 months, 0 days</t>
        </is>
      </c>
      <c r="AK234" s="53" t="inlineStr">
        <is>
          <t>0 years, 6 months, 6 days</t>
        </is>
      </c>
      <c r="AL234" s="53" t="inlineStr">
        <is>
          <t>Regtech</t>
        </is>
      </c>
      <c r="AM234" s="53" t="inlineStr">
        <is>
          <t>iDEAL</t>
        </is>
      </c>
      <c r="AN234" s="53" t="inlineStr">
        <is>
          <t>Quality Assurance</t>
        </is>
      </c>
      <c r="AO234" s="53" t="inlineStr">
        <is>
          <t>Quality Assurance</t>
        </is>
      </c>
      <c r="AP234" s="53" t="inlineStr">
        <is>
          <t>No</t>
        </is>
      </c>
      <c r="AQ234" s="53" t="inlineStr">
        <is>
          <t>Product/Project</t>
        </is>
      </c>
      <c r="AR234" s="53" t="inlineStr">
        <is>
          <t>Software Testing</t>
        </is>
      </c>
      <c r="AS234" s="53" t="inlineStr">
        <is>
          <t>Technical · BA, PM and QA</t>
        </is>
      </c>
      <c r="AT234" s="53" t="n">
        <v>20</v>
      </c>
      <c r="AU234" s="53" t="inlineStr">
        <is>
          <t>Covered</t>
        </is>
      </c>
      <c r="AV234" s="53" t="n"/>
      <c r="AW234" s="53" t="n"/>
      <c r="AX234" s="53" t="n"/>
      <c r="AY234" s="53" t="n"/>
      <c r="AZ234" s="53" t="n"/>
      <c r="BA234" s="53" t="n"/>
      <c r="BB234" s="53" t="n"/>
      <c r="BC234" s="53" t="n"/>
      <c r="BD234" s="53" t="n"/>
      <c r="BE234" s="53" t="n"/>
      <c r="BF234" s="53" t="n"/>
      <c r="BG234" s="53" t="n"/>
      <c r="BH234" s="53" t="n"/>
      <c r="BI234" s="53" t="n"/>
      <c r="BJ234" s="53" t="n"/>
      <c r="BK234" s="53" t="n"/>
      <c r="BL234" s="53" t="n"/>
      <c r="BM234" s="53" t="n"/>
      <c r="BN234" s="53" t="n"/>
      <c r="BO234" s="53" t="n"/>
      <c r="BP234" s="53" t="n"/>
      <c r="BQ234" s="53" t="n"/>
      <c r="BR234" s="53" t="n"/>
      <c r="BS234" s="53" t="n"/>
      <c r="BT234" s="53" t="n"/>
      <c r="BU234" s="53" t="n"/>
      <c r="BV234" s="53" t="n"/>
      <c r="BW234" s="53" t="n"/>
      <c r="BX234" s="53" t="n"/>
      <c r="BY234" s="53" t="n"/>
      <c r="BZ234" s="53" t="n"/>
      <c r="CA234" s="53" t="n"/>
      <c r="CB234" s="53" t="n"/>
      <c r="CC234" s="53" t="n"/>
      <c r="CD234" s="53" t="n"/>
      <c r="CE234" s="53" t="n"/>
      <c r="CF234" s="53" t="n"/>
      <c r="CG234" s="53" t="n"/>
      <c r="CH234" s="53" t="n"/>
      <c r="CI234" s="53" t="n"/>
      <c r="CJ234" s="53" t="n"/>
      <c r="CK234" s="53" t="n"/>
      <c r="CL234" s="53" t="n"/>
      <c r="CM234" s="53" t="n"/>
      <c r="CN234" s="53" t="n"/>
      <c r="CO234" s="53" t="n"/>
      <c r="CP234" s="53" t="n"/>
      <c r="CQ234" s="53" t="n"/>
      <c r="CR234" s="53" t="n"/>
      <c r="CS234" s="53" t="n"/>
      <c r="CT234" s="53" t="n"/>
      <c r="CU234" s="53" t="n"/>
      <c r="CV234" s="53" t="n"/>
      <c r="CW234" s="53" t="n"/>
      <c r="CX234" s="53" t="n"/>
      <c r="CY234" s="53" t="n"/>
      <c r="CZ234" s="53" t="n"/>
      <c r="DA234" s="53" t="n"/>
      <c r="DB234" s="53" t="n"/>
      <c r="DC234" s="53" t="n"/>
      <c r="DD234" s="53" t="inlineStr">
        <is>
          <t>IRIS2479</t>
        </is>
      </c>
      <c r="DE234" s="53" t="inlineStr">
        <is>
          <t>Employee</t>
        </is>
      </c>
      <c r="DF234" s="53" t="inlineStr">
        <is>
          <t>Active</t>
        </is>
      </c>
      <c r="DG234" s="53" t="inlineStr">
        <is>
          <t>Rohan Kailas Aher</t>
        </is>
      </c>
      <c r="DH234" s="54" t="n">
        <v>46072</v>
      </c>
      <c r="DI234" s="53" t="inlineStr">
        <is>
          <t>QA Engineer</t>
        </is>
      </c>
      <c r="DJ234" s="53" t="inlineStr">
        <is>
          <t>Quality Assurance</t>
        </is>
      </c>
      <c r="DK234" s="53" t="inlineStr">
        <is>
          <t>Quality Engineering</t>
        </is>
      </c>
      <c r="DL234" s="53" t="inlineStr">
        <is>
          <t>QA Engineer</t>
        </is>
      </c>
      <c r="DM234" s="53" t="inlineStr">
        <is>
          <t>L3 – Professional / Associate</t>
        </is>
      </c>
      <c r="DN234" s="53" t="inlineStr">
        <is>
          <t>Civil engineering</t>
        </is>
      </c>
      <c r="DO234" s="53" t="inlineStr">
        <is>
          <t>Reena Gotal</t>
        </is>
      </c>
      <c r="DP234" s="53" t="inlineStr">
        <is>
          <t>N-4</t>
        </is>
      </c>
      <c r="DQ234" s="53" t="inlineStr">
        <is>
          <t>Individual Contributor</t>
        </is>
      </c>
      <c r="DR234" s="53" t="inlineStr">
        <is>
          <t>3 years, 0 months, 0 days</t>
        </is>
      </c>
      <c r="DS234" s="53" t="inlineStr">
        <is>
          <t>0 years, 4 months, 1 days</t>
        </is>
      </c>
      <c r="DT234" s="53" t="inlineStr">
        <is>
          <t>3 years, 4 months, 1 days</t>
        </is>
      </c>
      <c r="DU234" s="53" t="n"/>
      <c r="DV234" s="53" t="inlineStr">
        <is>
          <t>Regtech</t>
        </is>
      </c>
      <c r="DW234" s="53" t="inlineStr">
        <is>
          <t>iDEAL</t>
        </is>
      </c>
      <c r="DX234" s="53" t="inlineStr">
        <is>
          <t>Quality Assurance</t>
        </is>
      </c>
      <c r="DY234" s="53" t="inlineStr">
        <is>
          <t>Quality Assurance</t>
        </is>
      </c>
      <c r="DZ234" s="53" t="inlineStr">
        <is>
          <t>No</t>
        </is>
      </c>
      <c r="EA234" s="53" t="inlineStr">
        <is>
          <t>Product/Project</t>
        </is>
      </c>
      <c r="EB234" s="53" t="inlineStr">
        <is>
          <t>Software Testing</t>
        </is>
      </c>
      <c r="EC234" s="53" t="inlineStr">
        <is>
          <t>Technical · BA, PM and QA</t>
        </is>
      </c>
      <c r="ED234" s="53" t="inlineStr">
        <is>
          <t>Work From Office - Turbhe</t>
        </is>
      </c>
      <c r="EE234" s="53"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EF234"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G234" s="53" t="inlineStr">
        <is>
          <t>1. Continue manual testing with better quality and coverage.
2. Learn and implement automation for selected test scenarios.
3. Use AI tools to improve efficiency in requirement analysis and test case writing.
4. Improve testing speed and reduce manual effort.</t>
        </is>
      </c>
      <c r="EH234" s="53" t="n">
        <v>3</v>
      </c>
      <c r="EI234" s="53" t="n"/>
      <c r="EJ234" s="53" t="inlineStr">
        <is>
          <t>Same as per records</t>
        </is>
      </c>
      <c r="EK234" s="53" t="n"/>
      <c r="EL234" s="53" t="n">
        <v>3</v>
      </c>
      <c r="EM234" s="53" t="inlineStr">
        <is>
          <t>Medium</t>
        </is>
      </c>
      <c r="EN234" s="53" t="inlineStr">
        <is>
          <t>Core Contributor</t>
        </is>
      </c>
      <c r="EO234" s="53" t="inlineStr">
        <is>
          <t>Not Ready</t>
        </is>
      </c>
      <c r="EP234" s="53" t="inlineStr">
        <is>
          <t>No</t>
        </is>
      </c>
      <c r="EQ234" s="53" t="inlineStr">
        <is>
          <t>No</t>
        </is>
      </c>
      <c r="ER234" s="53" t="n"/>
      <c r="ES234" s="53" t="inlineStr">
        <is>
          <t>XBRL Training, Training on the effective utilization of AI tools.</t>
        </is>
      </c>
      <c r="ET234" s="53" t="n"/>
      <c r="EU234" s="53" t="n"/>
      <c r="EV234" s="53" t="n"/>
      <c r="EW234" s="52" t="n"/>
      <c r="EX234" s="53" t="n"/>
      <c r="EY234" s="53" t="n"/>
      <c r="EZ234" s="53" t="n"/>
      <c r="FA234" s="53" t="n"/>
      <c r="FB234" s="53" t="n"/>
      <c r="FC234" s="53" t="n"/>
      <c r="FD234" s="53" t="n"/>
      <c r="FE234"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FF234" s="56" t="inlineStr">
        <is>
          <t>1. Continue manual testing with better quality and coverage.
2. Learn and implement automation for selected test scenarios.
3. Use AI tools to improve efficiency in requirement analysis and test case writing.
4. Improve testing speed and reduce manual effort.</t>
        </is>
      </c>
      <c r="FG234" s="56"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FH234" s="56" t="inlineStr">
        <is>
          <t>3</t>
        </is>
      </c>
      <c r="FI234" s="56" t="n"/>
      <c r="FJ234" s="56" t="inlineStr">
        <is>
          <t>Received · manager annual, quarterly, self</t>
        </is>
      </c>
      <c r="FK234" s="56" t="inlineStr">
        <is>
          <t>Talent Mapping · iDEAL</t>
        </is>
      </c>
      <c r="FL234" s="56" t="n">
        <v>20</v>
      </c>
      <c r="FM234" s="32" t="inlineStr">
        <is>
          <t>Full survey answers not in the files received · How We Grow export needed · HR</t>
        </is>
      </c>
      <c r="FN234" s="56" t="inlineStr">
        <is>
          <t>—</t>
        </is>
      </c>
      <c r="FO234" s="56" t="inlineStr">
        <is>
          <t>—</t>
        </is>
      </c>
      <c r="FP234" s="56" t="inlineStr">
        <is>
          <t>—</t>
        </is>
      </c>
      <c r="FQ234" s="56" t="inlineStr">
        <is>
          <t>—</t>
        </is>
      </c>
      <c r="FR234" s="56"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Evidence reads like A1: No guiding or leading of others described → matches the start
Business Impact: No survey or manager-mapping signal on criticality: kept at the start point.</t>
        </is>
      </c>
      <c r="FS23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234" s="56" t="inlineStr">
        <is>
          <t>Self-identified: Leadership &amp; people management · Domain, regulatory &amp; XBRL
For the next role: Leadership &amp; people management · Domain, regulatory &amp; XBRL</t>
        </is>
      </c>
      <c r="FU234" s="32" t="inlineStr">
        <is>
          <t>Full survey answers not in the files received · How We Grow export needed · HR</t>
        </is>
      </c>
    </row>
    <row r="235" ht="90" customHeight="1">
      <c r="A235" s="51" t="inlineStr">
        <is>
          <t>◂ Back</t>
        </is>
      </c>
      <c r="B235" s="29" t="inlineStr">
        <is>
          <t>Mapped</t>
        </is>
      </c>
      <c r="C235" s="28" t="inlineStr">
        <is>
          <t>iDEAL</t>
        </is>
      </c>
      <c r="D235" s="29" t="inlineStr">
        <is>
          <t>IRIS2437</t>
        </is>
      </c>
      <c r="E235" s="29" t="inlineStr">
        <is>
          <t>Shubham Kamble</t>
        </is>
      </c>
      <c r="F235" s="29" t="inlineStr">
        <is>
          <t>Quality Assurance</t>
        </is>
      </c>
      <c r="G235" s="29" t="inlineStr">
        <is>
          <t>QA Automation Engineer</t>
        </is>
      </c>
      <c r="H235" s="29" t="inlineStr">
        <is>
          <t>Senior QA Automation Engineer</t>
        </is>
      </c>
      <c r="I235" s="29" t="inlineStr">
        <is>
          <t>L3 – Professional / Associate</t>
        </is>
      </c>
      <c r="J235" s="29" t="inlineStr">
        <is>
          <t>A3</t>
        </is>
      </c>
      <c r="K235" s="29" t="inlineStr">
        <is>
          <t>▲ Up</t>
        </is>
      </c>
      <c r="L235" s="29" t="inlineStr">
        <is>
          <t>Quality Assurance</t>
        </is>
      </c>
      <c r="M235" s="29" t="inlineStr">
        <is>
          <t>Test Automation</t>
        </is>
      </c>
      <c r="N235" s="29" t="n"/>
      <c r="O235" s="29" t="n">
        <v>20</v>
      </c>
      <c r="P235" s="28" t="inlineStr">
        <is>
          <t>P2</t>
        </is>
      </c>
      <c r="Q235" s="29" t="inlineStr">
        <is>
          <t>Developing</t>
        </is>
      </c>
      <c r="R235" s="29" t="inlineStr">
        <is>
          <t>3 Apply</t>
        </is>
      </c>
      <c r="S235" s="29" t="inlineStr">
        <is>
          <t>2–4 yrs</t>
        </is>
      </c>
      <c r="T235" s="29" t="inlineStr">
        <is>
          <t>3–5 · 2–5</t>
        </is>
      </c>
      <c r="U235" s="29" t="inlineStr">
        <is>
          <t>QA Engineer</t>
        </is>
      </c>
      <c r="V235" s="29" t="inlineStr">
        <is>
          <t>Workiva: SE · Broadridge India: SE · Nasdaq / AxiomSL: SE · IRIS Vs Market Benchmark — ISTQB certification pathway: Foundation</t>
        </is>
      </c>
      <c r="W235" s="29" t="inlineStr">
        <is>
          <t>ISTQB Foundation → Advanced → Expert; SFIA testing</t>
        </is>
      </c>
      <c r="X235" s="29" t="inlineStr">
        <is>
          <t>Core 2 · Future 2 · Functional 3 · Leadership not scored</t>
        </is>
      </c>
      <c r="Y235" s="52" t="n">
        <v>405</v>
      </c>
      <c r="Z235" s="53" t="inlineStr">
        <is>
          <t>IRIS2437</t>
        </is>
      </c>
      <c r="AA235" s="53" t="inlineStr">
        <is>
          <t>Employee</t>
        </is>
      </c>
      <c r="AB235" s="53" t="inlineStr">
        <is>
          <t>Active</t>
        </is>
      </c>
      <c r="AC235" s="53" t="inlineStr">
        <is>
          <t>Shubham Kamble</t>
        </is>
      </c>
      <c r="AD235" s="54" t="n">
        <v>45944</v>
      </c>
      <c r="AE235" s="53" t="inlineStr">
        <is>
          <t>QA Automation Engineer</t>
        </is>
      </c>
      <c r="AF235" s="53" t="inlineStr">
        <is>
          <t>B.Tech</t>
        </is>
      </c>
      <c r="AG235" s="53" t="inlineStr">
        <is>
          <t>Reena Gotal</t>
        </is>
      </c>
      <c r="AH235" s="53" t="inlineStr">
        <is>
          <t>N-4</t>
        </is>
      </c>
      <c r="AI235" s="53" t="inlineStr">
        <is>
          <t>Individual Contributor</t>
        </is>
      </c>
      <c r="AJ235" s="53" t="inlineStr">
        <is>
          <t>3 years, 5 months, 0 days</t>
        </is>
      </c>
      <c r="AK235" s="53" t="inlineStr">
        <is>
          <t>0 years, 10 months, 11 days</t>
        </is>
      </c>
      <c r="AL235" s="53" t="inlineStr">
        <is>
          <t>Regtech</t>
        </is>
      </c>
      <c r="AM235" s="53" t="inlineStr">
        <is>
          <t>iDEAL</t>
        </is>
      </c>
      <c r="AN235" s="53" t="inlineStr">
        <is>
          <t>Quality Assurance</t>
        </is>
      </c>
      <c r="AO235" s="53" t="inlineStr">
        <is>
          <t>Quality Assurance</t>
        </is>
      </c>
      <c r="AP235" s="53" t="inlineStr">
        <is>
          <t>No</t>
        </is>
      </c>
      <c r="AQ235" s="53" t="inlineStr">
        <is>
          <t>Product/Project</t>
        </is>
      </c>
      <c r="AR235" s="53" t="inlineStr">
        <is>
          <t>Software Testing</t>
        </is>
      </c>
      <c r="AS235" s="53" t="inlineStr">
        <is>
          <t>Technical · BA, PM and QA</t>
        </is>
      </c>
      <c r="AT235" s="53" t="n">
        <v>20</v>
      </c>
      <c r="AU235" s="53" t="inlineStr">
        <is>
          <t>Covered</t>
        </is>
      </c>
      <c r="AV235" s="53" t="n"/>
      <c r="AW235" s="53" t="n"/>
      <c r="AX235" s="53" t="n"/>
      <c r="AY235" s="53" t="n"/>
      <c r="AZ235" s="53" t="n"/>
      <c r="BA235" s="53" t="n"/>
      <c r="BB235" s="53" t="n"/>
      <c r="BC235" s="53" t="n"/>
      <c r="BD235" s="53" t="n"/>
      <c r="BE235" s="53" t="n"/>
      <c r="BF235" s="53" t="n"/>
      <c r="BG235" s="53" t="n"/>
      <c r="BH235" s="53" t="n"/>
      <c r="BI235" s="53" t="n"/>
      <c r="BJ235" s="53" t="n"/>
      <c r="BK235" s="53" t="n"/>
      <c r="BL235" s="53" t="n"/>
      <c r="BM235" s="53" t="n"/>
      <c r="BN235" s="53" t="n"/>
      <c r="BO235" s="53" t="n"/>
      <c r="BP235" s="53" t="n"/>
      <c r="BQ235" s="53" t="n"/>
      <c r="BR235" s="53" t="n"/>
      <c r="BS235" s="53" t="n"/>
      <c r="BT235" s="53" t="n"/>
      <c r="BU235" s="53" t="n"/>
      <c r="BV235" s="53" t="n"/>
      <c r="BW235" s="53" t="n"/>
      <c r="BX235" s="53" t="n"/>
      <c r="BY235" s="53" t="n"/>
      <c r="BZ235" s="53" t="n"/>
      <c r="CA235" s="53" t="n"/>
      <c r="CB235" s="53" t="n"/>
      <c r="CC235" s="53" t="n"/>
      <c r="CD235" s="53" t="n"/>
      <c r="CE235" s="53" t="n"/>
      <c r="CF235" s="53" t="n"/>
      <c r="CG235" s="53" t="n"/>
      <c r="CH235" s="53" t="n"/>
      <c r="CI235" s="53" t="n"/>
      <c r="CJ235" s="53" t="n"/>
      <c r="CK235" s="53" t="n"/>
      <c r="CL235" s="53" t="n"/>
      <c r="CM235" s="53" t="n"/>
      <c r="CN235" s="53" t="n"/>
      <c r="CO235" s="53" t="n"/>
      <c r="CP235" s="53" t="n"/>
      <c r="CQ235" s="53" t="n"/>
      <c r="CR235" s="53" t="n"/>
      <c r="CS235" s="53" t="n"/>
      <c r="CT235" s="53" t="n"/>
      <c r="CU235" s="53" t="n"/>
      <c r="CV235" s="53" t="n"/>
      <c r="CW235" s="53" t="n"/>
      <c r="CX235" s="53" t="n"/>
      <c r="CY235" s="53" t="n"/>
      <c r="CZ235" s="53" t="n"/>
      <c r="DA235" s="53" t="n"/>
      <c r="DB235" s="53" t="n"/>
      <c r="DC235" s="53" t="n"/>
      <c r="DD235" s="53" t="inlineStr">
        <is>
          <t>IRIS2437</t>
        </is>
      </c>
      <c r="DE235" s="53" t="inlineStr">
        <is>
          <t>Employee</t>
        </is>
      </c>
      <c r="DF235" s="53" t="inlineStr">
        <is>
          <t>Active</t>
        </is>
      </c>
      <c r="DG235" s="53" t="inlineStr">
        <is>
          <t>Shubham Kamble</t>
        </is>
      </c>
      <c r="DH235" s="54" t="n">
        <v>45944</v>
      </c>
      <c r="DI235" s="53" t="inlineStr">
        <is>
          <t>QA Automation Engineer</t>
        </is>
      </c>
      <c r="DJ235" s="53" t="inlineStr">
        <is>
          <t>Quality Assurance</t>
        </is>
      </c>
      <c r="DK235" s="53" t="inlineStr">
        <is>
          <t>QA Automation</t>
        </is>
      </c>
      <c r="DL235" s="53" t="inlineStr">
        <is>
          <t>QA Automation Engineer</t>
        </is>
      </c>
      <c r="DM235" s="53" t="inlineStr">
        <is>
          <t>L3 – Professional / Associate</t>
        </is>
      </c>
      <c r="DN235" s="53" t="inlineStr">
        <is>
          <t>B.Tech</t>
        </is>
      </c>
      <c r="DO235" s="53" t="inlineStr">
        <is>
          <t>Reena Gotal</t>
        </is>
      </c>
      <c r="DP235" s="53" t="inlineStr">
        <is>
          <t>N-4</t>
        </is>
      </c>
      <c r="DQ235" s="53" t="inlineStr">
        <is>
          <t>Individual Contributor</t>
        </is>
      </c>
      <c r="DR235" s="53" t="inlineStr">
        <is>
          <t>3 years, 5 months, 0 days</t>
        </is>
      </c>
      <c r="DS235" s="53" t="inlineStr">
        <is>
          <t>0 years, 8 months, 6 days</t>
        </is>
      </c>
      <c r="DT235" s="53" t="inlineStr">
        <is>
          <t>4 years, 1 months, 6 days</t>
        </is>
      </c>
      <c r="DU235" s="53" t="n"/>
      <c r="DV235" s="53" t="inlineStr">
        <is>
          <t>Regtech</t>
        </is>
      </c>
      <c r="DW235" s="53" t="inlineStr">
        <is>
          <t>iDEAL</t>
        </is>
      </c>
      <c r="DX235" s="53" t="inlineStr">
        <is>
          <t>Quality Assurance</t>
        </is>
      </c>
      <c r="DY235" s="53" t="inlineStr">
        <is>
          <t>Quality Assurance</t>
        </is>
      </c>
      <c r="DZ235" s="53" t="inlineStr">
        <is>
          <t>No</t>
        </is>
      </c>
      <c r="EA235" s="53" t="inlineStr">
        <is>
          <t>Product/Project</t>
        </is>
      </c>
      <c r="EB235" s="53" t="inlineStr">
        <is>
          <t>Software Testing</t>
        </is>
      </c>
      <c r="EC235" s="53" t="inlineStr">
        <is>
          <t>Technical · BA, PM and QA</t>
        </is>
      </c>
      <c r="ED235" s="53" t="inlineStr">
        <is>
          <t>Work From Office - Turbhe</t>
        </is>
      </c>
      <c r="EE235" s="53"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EF235"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G235" s="53"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EH235" s="53" t="n">
        <v>3</v>
      </c>
      <c r="EI235" s="53" t="n"/>
      <c r="EJ235" s="53" t="inlineStr">
        <is>
          <t>Same as per records</t>
        </is>
      </c>
      <c r="EK235" s="53" t="n"/>
      <c r="EL235" s="53" t="n">
        <v>3</v>
      </c>
      <c r="EM235" s="53" t="inlineStr">
        <is>
          <t>Medium</t>
        </is>
      </c>
      <c r="EN235" s="53" t="inlineStr">
        <is>
          <t>Emerging Talent</t>
        </is>
      </c>
      <c r="EO235" s="53" t="inlineStr">
        <is>
          <t>Not Ready</t>
        </is>
      </c>
      <c r="EP235" s="53" t="inlineStr">
        <is>
          <t>No</t>
        </is>
      </c>
      <c r="EQ235" s="53" t="inlineStr">
        <is>
          <t>No</t>
        </is>
      </c>
      <c r="ER235" s="53" t="n"/>
      <c r="ES235" s="53" t="inlineStr">
        <is>
          <t>XBRL Training, Training on the effective utilization of AI tools.</t>
        </is>
      </c>
      <c r="ET235" s="53" t="n"/>
      <c r="EU235" s="53" t="n"/>
      <c r="EV235" s="53" t="n"/>
      <c r="EW235" s="52" t="n"/>
      <c r="EX235" s="53" t="n"/>
      <c r="EY235" s="53" t="n"/>
      <c r="EZ235" s="53" t="n"/>
      <c r="FA235" s="53" t="n"/>
      <c r="FB235" s="53" t="n"/>
      <c r="FC235" s="53" t="n"/>
      <c r="FD235" s="53" t="n"/>
      <c r="FE235"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FF235" s="56"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FG235" s="56"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FH235" s="56" t="inlineStr">
        <is>
          <t>3</t>
        </is>
      </c>
      <c r="FI235" s="56" t="n"/>
      <c r="FJ235" s="56" t="inlineStr">
        <is>
          <t>Received · manager annual, quarterly, self</t>
        </is>
      </c>
      <c r="FK235" s="56" t="inlineStr">
        <is>
          <t>Talent Mapping · iDEAL</t>
        </is>
      </c>
      <c r="FL235" s="56" t="n">
        <v>20</v>
      </c>
      <c r="FM235" s="32" t="inlineStr">
        <is>
          <t>Full survey answers not in the files received · How We Grow export needed · HR</t>
        </is>
      </c>
      <c r="FN235" s="56" t="inlineStr">
        <is>
          <t>—</t>
        </is>
      </c>
      <c r="FO235" s="56" t="inlineStr">
        <is>
          <t>—</t>
        </is>
      </c>
      <c r="FP235" s="56" t="inlineStr">
        <is>
          <t>—</t>
        </is>
      </c>
      <c r="FQ235" s="56" t="inlineStr">
        <is>
          <t>—</t>
        </is>
      </c>
      <c r="FR235" s="56"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automated suites in Jenkins, defects to closure, and production-defect RCA → matches the start
Leadership: Evidence reads like A1: No guiding or leading of others described → moved down 0.5
Business Impact: No move: the survey / manager mapping does not mark it business-critical or unique.</t>
        </is>
      </c>
      <c r="FS235"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5" s="56" t="inlineStr">
        <is>
          <t>Self-identified: AI / automation · Testing &amp; quality · Certification / formal course
For the next role: AI / automation · Testing &amp; quality · Certification / formal course</t>
        </is>
      </c>
      <c r="FU235" s="32" t="inlineStr">
        <is>
          <t>Full survey answers not in the files received · How We Grow export needed · HR</t>
        </is>
      </c>
    </row>
    <row r="236" ht="90" customHeight="1">
      <c r="A236" s="51" t="inlineStr">
        <is>
          <t>◂ Back</t>
        </is>
      </c>
      <c r="B236" s="29" t="inlineStr">
        <is>
          <t>Mapped</t>
        </is>
      </c>
      <c r="C236" s="28" t="inlineStr">
        <is>
          <t>iDEAL</t>
        </is>
      </c>
      <c r="D236" s="29" t="inlineStr">
        <is>
          <t>IRIS2522</t>
        </is>
      </c>
      <c r="E236" s="29" t="inlineStr">
        <is>
          <t>Tulasiram Chand</t>
        </is>
      </c>
      <c r="F236" s="29" t="inlineStr">
        <is>
          <t>Quality Assurance</t>
        </is>
      </c>
      <c r="G236" s="29" t="inlineStr">
        <is>
          <t>QA Automation Engineer</t>
        </is>
      </c>
      <c r="H236" s="29" t="inlineStr">
        <is>
          <t>Senior QA Automation Engineer</t>
        </is>
      </c>
      <c r="I236" s="29" t="inlineStr">
        <is>
          <t>L3 – Professional / Associate</t>
        </is>
      </c>
      <c r="J236" s="29" t="inlineStr">
        <is>
          <t>A3</t>
        </is>
      </c>
      <c r="K236" s="29" t="inlineStr">
        <is>
          <t>▲ Up</t>
        </is>
      </c>
      <c r="L236" s="29" t="inlineStr">
        <is>
          <t>Quality Assurance</t>
        </is>
      </c>
      <c r="M236" s="29" t="inlineStr">
        <is>
          <t>Test Automation</t>
        </is>
      </c>
      <c r="N236" s="29" t="n"/>
      <c r="O236" s="29" t="n">
        <v>20</v>
      </c>
      <c r="P236" s="28" t="inlineStr">
        <is>
          <t>P2</t>
        </is>
      </c>
      <c r="Q236" s="29" t="inlineStr">
        <is>
          <t>Developing</t>
        </is>
      </c>
      <c r="R236" s="29" t="inlineStr">
        <is>
          <t>3 Apply</t>
        </is>
      </c>
      <c r="S236" s="29" t="inlineStr">
        <is>
          <t>2–4 yrs</t>
        </is>
      </c>
      <c r="T236" s="29" t="inlineStr">
        <is>
          <t>3–5 · 2–5</t>
        </is>
      </c>
      <c r="U236" s="29" t="inlineStr">
        <is>
          <t>QA Engineer</t>
        </is>
      </c>
      <c r="V236" s="29" t="inlineStr">
        <is>
          <t>Workiva: SE · Broadridge India: SE · Nasdaq / AxiomSL: SE · IRIS Vs Market Benchmark — ISTQB certification pathway: Foundation</t>
        </is>
      </c>
      <c r="W236" s="29" t="inlineStr">
        <is>
          <t>ISTQB Foundation → Advanced → Expert; SFIA testing</t>
        </is>
      </c>
      <c r="X236" s="29" t="inlineStr">
        <is>
          <t>Core 2 · Future 2 · Functional 3 · Leadership not scored</t>
        </is>
      </c>
      <c r="Y236" s="52" t="n">
        <v>492</v>
      </c>
      <c r="Z236" s="53" t="inlineStr">
        <is>
          <t>IRIS2522</t>
        </is>
      </c>
      <c r="AA236" s="53" t="inlineStr">
        <is>
          <t>Employee</t>
        </is>
      </c>
      <c r="AB236" s="53" t="inlineStr">
        <is>
          <t>Active</t>
        </is>
      </c>
      <c r="AC236" s="53" t="inlineStr">
        <is>
          <t>Tulasiram Chand</t>
        </is>
      </c>
      <c r="AD236" s="54" t="n">
        <v>46128</v>
      </c>
      <c r="AE236" s="53" t="inlineStr">
        <is>
          <t>QA Automation Engineer</t>
        </is>
      </c>
      <c r="AF236" s="53" t="inlineStr">
        <is>
          <t>MCA</t>
        </is>
      </c>
      <c r="AG236" s="53" t="inlineStr">
        <is>
          <t>Reena Gotal</t>
        </is>
      </c>
      <c r="AH236" s="53" t="inlineStr">
        <is>
          <t>N-4</t>
        </is>
      </c>
      <c r="AI236" s="53" t="inlineStr">
        <is>
          <t>Individual Contributor</t>
        </is>
      </c>
      <c r="AJ236" s="53" t="inlineStr">
        <is>
          <t>4 years, 0 months, 0 days</t>
        </is>
      </c>
      <c r="AK236" s="53" t="inlineStr">
        <is>
          <t>0 years, 4 months, 9 days</t>
        </is>
      </c>
      <c r="AL236" s="53" t="inlineStr">
        <is>
          <t>Regtech</t>
        </is>
      </c>
      <c r="AM236" s="53" t="inlineStr">
        <is>
          <t>iDEAL</t>
        </is>
      </c>
      <c r="AN236" s="53" t="inlineStr">
        <is>
          <t>Quality Assurance</t>
        </is>
      </c>
      <c r="AO236" s="53" t="inlineStr">
        <is>
          <t>Quality Assurance</t>
        </is>
      </c>
      <c r="AP236" s="53" t="inlineStr">
        <is>
          <t>No</t>
        </is>
      </c>
      <c r="AQ236" s="53" t="inlineStr">
        <is>
          <t>Product/Project</t>
        </is>
      </c>
      <c r="AR236" s="53" t="inlineStr">
        <is>
          <t>Software Testing</t>
        </is>
      </c>
      <c r="AS236" s="53" t="inlineStr">
        <is>
          <t>Technical · BA, PM and QA</t>
        </is>
      </c>
      <c r="AT236" s="53" t="n">
        <v>20</v>
      </c>
      <c r="AU236" s="53" t="inlineStr">
        <is>
          <t>Covered</t>
        </is>
      </c>
      <c r="AV236" s="53" t="n"/>
      <c r="AW236" s="53" t="n"/>
      <c r="AX236" s="53" t="n"/>
      <c r="AY236" s="53" t="n"/>
      <c r="AZ236" s="53" t="n"/>
      <c r="BA236" s="53" t="n"/>
      <c r="BB236" s="53" t="n"/>
      <c r="BC236" s="53" t="n"/>
      <c r="BD236" s="53" t="n"/>
      <c r="BE236" s="53" t="n"/>
      <c r="BF236" s="53" t="n"/>
      <c r="BG236" s="53" t="n"/>
      <c r="BH236" s="53" t="n"/>
      <c r="BI236" s="53" t="n"/>
      <c r="BJ236" s="53" t="n"/>
      <c r="BK236" s="53" t="n"/>
      <c r="BL236" s="53" t="n"/>
      <c r="BM236" s="53" t="n"/>
      <c r="BN236" s="53" t="n"/>
      <c r="BO236" s="53" t="n"/>
      <c r="BP236" s="53" t="n"/>
      <c r="BQ236" s="53" t="n"/>
      <c r="BR236" s="53" t="n"/>
      <c r="BS236" s="53" t="n"/>
      <c r="BT236" s="53" t="n"/>
      <c r="BU236" s="53" t="n"/>
      <c r="BV236" s="53" t="n"/>
      <c r="BW236" s="53" t="n"/>
      <c r="BX236" s="53" t="n"/>
      <c r="BY236" s="53" t="n"/>
      <c r="BZ236" s="53" t="n"/>
      <c r="CA236" s="53" t="n"/>
      <c r="CB236" s="53" t="n"/>
      <c r="CC236" s="53" t="n"/>
      <c r="CD236" s="53" t="n"/>
      <c r="CE236" s="53" t="n"/>
      <c r="CF236" s="53" t="n"/>
      <c r="CG236" s="53" t="n"/>
      <c r="CH236" s="53" t="n"/>
      <c r="CI236" s="53" t="n"/>
      <c r="CJ236" s="53" t="n"/>
      <c r="CK236" s="53" t="n"/>
      <c r="CL236" s="53" t="n"/>
      <c r="CM236" s="53" t="n"/>
      <c r="CN236" s="53" t="n"/>
      <c r="CO236" s="53" t="n"/>
      <c r="CP236" s="53" t="n"/>
      <c r="CQ236" s="53" t="n"/>
      <c r="CR236" s="53" t="n"/>
      <c r="CS236" s="53" t="n"/>
      <c r="CT236" s="53" t="n"/>
      <c r="CU236" s="53" t="n"/>
      <c r="CV236" s="53" t="n"/>
      <c r="CW236" s="53" t="n"/>
      <c r="CX236" s="53" t="n"/>
      <c r="CY236" s="53" t="n"/>
      <c r="CZ236" s="53" t="n"/>
      <c r="DA236" s="53" t="n"/>
      <c r="DB236" s="53" t="n"/>
      <c r="DC236" s="53" t="n"/>
      <c r="DD236" s="53" t="inlineStr">
        <is>
          <t>IRIS2522</t>
        </is>
      </c>
      <c r="DE236" s="53" t="inlineStr">
        <is>
          <t>Employee</t>
        </is>
      </c>
      <c r="DF236" s="53" t="inlineStr">
        <is>
          <t>Active</t>
        </is>
      </c>
      <c r="DG236" s="53" t="inlineStr">
        <is>
          <t>Tulasiram Chand</t>
        </is>
      </c>
      <c r="DH236" s="54" t="n">
        <v>46128</v>
      </c>
      <c r="DI236" s="53" t="inlineStr">
        <is>
          <t>QA Automation Engineer</t>
        </is>
      </c>
      <c r="DJ236" s="53" t="inlineStr">
        <is>
          <t>Quality Assurance</t>
        </is>
      </c>
      <c r="DK236" s="53" t="inlineStr">
        <is>
          <t>QA Automation</t>
        </is>
      </c>
      <c r="DL236" s="53" t="inlineStr">
        <is>
          <t>QA Automation Engineer</t>
        </is>
      </c>
      <c r="DM236" s="53" t="inlineStr">
        <is>
          <t>L3 – Professional / Associate</t>
        </is>
      </c>
      <c r="DN236" s="53" t="inlineStr">
        <is>
          <t>MCA</t>
        </is>
      </c>
      <c r="DO236" s="53" t="inlineStr">
        <is>
          <t>Reena Gotal</t>
        </is>
      </c>
      <c r="DP236" s="53" t="inlineStr">
        <is>
          <t>N-4</t>
        </is>
      </c>
      <c r="DQ236" s="53" t="inlineStr">
        <is>
          <t>Individual Contributor</t>
        </is>
      </c>
      <c r="DR236" s="53" t="inlineStr">
        <is>
          <t>4 years, 0 months, 0 days</t>
        </is>
      </c>
      <c r="DS236" s="53" t="inlineStr">
        <is>
          <t>0 years, 2 months, 4 days</t>
        </is>
      </c>
      <c r="DT236" s="53" t="inlineStr">
        <is>
          <t>4 years, 2 months, 4 days</t>
        </is>
      </c>
      <c r="DU236" s="53" t="n"/>
      <c r="DV236" s="53" t="inlineStr">
        <is>
          <t>Regtech</t>
        </is>
      </c>
      <c r="DW236" s="53" t="inlineStr">
        <is>
          <t>iDEAL</t>
        </is>
      </c>
      <c r="DX236" s="53" t="inlineStr">
        <is>
          <t>Quality Assurance</t>
        </is>
      </c>
      <c r="DY236" s="53" t="inlineStr">
        <is>
          <t>Quality Assurance</t>
        </is>
      </c>
      <c r="DZ236" s="53" t="inlineStr">
        <is>
          <t>No</t>
        </is>
      </c>
      <c r="EA236" s="53" t="inlineStr">
        <is>
          <t>Product/Project</t>
        </is>
      </c>
      <c r="EB236" s="53" t="inlineStr">
        <is>
          <t>Software Testing</t>
        </is>
      </c>
      <c r="EC236" s="53" t="inlineStr">
        <is>
          <t>Technical · BA, PM and QA</t>
        </is>
      </c>
      <c r="ED236" s="53" t="inlineStr">
        <is>
          <t>Work From Office - Turbhe</t>
        </is>
      </c>
      <c r="EE236" s="53"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EF236"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G236" s="53"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EH236" s="53" t="n">
        <v>3</v>
      </c>
      <c r="EI236" s="53" t="n"/>
      <c r="EJ236" s="53" t="inlineStr">
        <is>
          <t>Same as per records</t>
        </is>
      </c>
      <c r="EK236" s="53" t="inlineStr">
        <is>
          <t>No</t>
        </is>
      </c>
      <c r="EL236" s="53" t="n">
        <v>3</v>
      </c>
      <c r="EM236" s="53" t="inlineStr">
        <is>
          <t>Medium</t>
        </is>
      </c>
      <c r="EN236" s="53" t="inlineStr">
        <is>
          <t>Reliable Specialist</t>
        </is>
      </c>
      <c r="EO236" s="53" t="inlineStr">
        <is>
          <t>Not Ready</t>
        </is>
      </c>
      <c r="EP236" s="53" t="inlineStr">
        <is>
          <t>No</t>
        </is>
      </c>
      <c r="EQ236" s="53" t="inlineStr">
        <is>
          <t>No</t>
        </is>
      </c>
      <c r="ER236" s="53" t="n"/>
      <c r="ES236" s="53" t="inlineStr">
        <is>
          <t>XBRL Training, Training on the effective utilization of AI tools.</t>
        </is>
      </c>
      <c r="ET236" s="53" t="n"/>
      <c r="EU236" s="53" t="n"/>
      <c r="EV236" s="53" t="n"/>
      <c r="EW236" s="52" t="n"/>
      <c r="EX236" s="53" t="n"/>
      <c r="EY236" s="53" t="n"/>
      <c r="EZ236" s="53" t="n"/>
      <c r="FA236" s="53" t="n"/>
      <c r="FB236" s="53" t="n"/>
      <c r="FC236" s="53" t="n"/>
      <c r="FD236" s="53" t="n"/>
      <c r="FE236"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FF236" s="56"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FG236" s="56"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FH236" s="56" t="inlineStr">
        <is>
          <t>3</t>
        </is>
      </c>
      <c r="FI236" s="56" t="n"/>
      <c r="FJ236" s="56" t="inlineStr">
        <is>
          <t>Received · manager annual, quarterly, self</t>
        </is>
      </c>
      <c r="FK236" s="56" t="inlineStr">
        <is>
          <t>Talent Mapping · iDEAL</t>
        </is>
      </c>
      <c r="FL236" s="56" t="n">
        <v>20</v>
      </c>
      <c r="FM236" s="32" t="inlineStr">
        <is>
          <t>Full survey answers not in the files received · How We Grow export needed · HR</t>
        </is>
      </c>
      <c r="FN236" s="56" t="inlineStr">
        <is>
          <t>—</t>
        </is>
      </c>
      <c r="FO236" s="56" t="inlineStr">
        <is>
          <t>—</t>
        </is>
      </c>
      <c r="FP236" s="56" t="inlineStr">
        <is>
          <t>—</t>
        </is>
      </c>
      <c r="FQ236" s="56" t="inlineStr">
        <is>
          <t>—</t>
        </is>
      </c>
      <c r="FR236" s="56"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automation scripts, reliability of test results and coverage reporting → moved down 0.5
Leadership: Evidence reads like A1: No guiding or leading of others described → moved down 0.5
Business Impact: No survey or manager-mapping signal on criticality: kept at the start point.</t>
        </is>
      </c>
      <c r="FS236"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6" s="56" t="inlineStr">
        <is>
          <t>Self-identified: Project / programme management · Technical depth &amp; architecture · Testing &amp; quality · Broader exposure &amp; ownership
For the next role: AI / automation · Leadership &amp; people management · Project / programme management · Technical depth &amp; architecture · Testing &amp; quality · Strategy &amp; business acumen · Broader exposure &amp; ownership</t>
        </is>
      </c>
      <c r="FU236" s="32" t="inlineStr">
        <is>
          <t>Full survey answers not in the files received · How We Grow export needed · HR</t>
        </is>
      </c>
    </row>
    <row r="237" ht="90" customHeight="1">
      <c r="A237" s="51" t="inlineStr">
        <is>
          <t>◂ Back</t>
        </is>
      </c>
      <c r="B237" s="29" t="inlineStr">
        <is>
          <t>Mapped</t>
        </is>
      </c>
      <c r="C237" s="28" t="inlineStr">
        <is>
          <t>iFile</t>
        </is>
      </c>
      <c r="D237" s="29" t="inlineStr">
        <is>
          <t>IRIS0242</t>
        </is>
      </c>
      <c r="E237" s="29" t="inlineStr">
        <is>
          <t>Arup Ganguly</t>
        </is>
      </c>
      <c r="F237" s="29" t="inlineStr">
        <is>
          <t>Sales</t>
        </is>
      </c>
      <c r="G237" s="29" t="inlineStr">
        <is>
          <t>Head Sales - SupTech</t>
        </is>
      </c>
      <c r="H237" s="29" t="inlineStr">
        <is>
          <t>Head – Sales</t>
        </is>
      </c>
      <c r="I237" s="29" t="inlineStr">
        <is>
          <t>Not in current mapping files</t>
        </is>
      </c>
      <c r="J237" s="29" t="inlineStr">
        <is>
          <t>C2</t>
        </is>
      </c>
      <c r="K237" s="29" t="inlineStr">
        <is>
          <t>● Newly mapped</t>
        </is>
      </c>
      <c r="L237" s="29" t="inlineStr">
        <is>
          <t>Sales &amp; Business Development</t>
        </is>
      </c>
      <c r="M237" s="29" t="inlineStr">
        <is>
          <t>Sales Leadership</t>
        </is>
      </c>
      <c r="N237" s="29" t="inlineStr">
        <is>
          <t>• Survey response or KRAs describing the work · nothing on file — Employee + manager</t>
        </is>
      </c>
      <c r="O237" s="29" t="n">
        <v>0</v>
      </c>
      <c r="P237" s="28" t="inlineStr">
        <is>
          <t>P7 / M6</t>
        </is>
      </c>
      <c r="Q237" s="29" t="inlineStr">
        <is>
          <t>— / Senior Director</t>
        </is>
      </c>
      <c r="R237" s="29" t="inlineStr">
        <is>
          <t>6 Initiate, influence</t>
        </is>
      </c>
      <c r="S237" s="29" t="inlineStr">
        <is>
          <t>12–17 yrs</t>
        </is>
      </c>
      <c r="T237" s="29" t="inlineStr">
        <is>
          <t>—</t>
        </is>
      </c>
      <c r="U237" s="29" t="inlineStr">
        <is>
          <t>Senior Head / General Manager</t>
        </is>
      </c>
      <c r="V237" s="29" t="inlineStr">
        <is>
          <t>IRIS Vs Competitor Benchmark — SaaS sales ladder — management: Director of Sales</t>
        </is>
      </c>
      <c r="W237" s="29" t="inlineStr">
        <is>
          <t>SaaS sales ladder · SDR → AE → Enterprise AE → VP / CRO; MEDDICC-style qualification</t>
        </is>
      </c>
      <c r="X237" s="29" t="inlineStr">
        <is>
          <t>Core 4 · Future 4 · Functional 5 · Leadership 4</t>
        </is>
      </c>
      <c r="Y237" s="52" t="n">
        <v>43</v>
      </c>
      <c r="Z237" s="53" t="inlineStr">
        <is>
          <t>IRIS0242</t>
        </is>
      </c>
      <c r="AA237" s="53" t="inlineStr">
        <is>
          <t>Employee</t>
        </is>
      </c>
      <c r="AB237" s="53" t="inlineStr">
        <is>
          <t>Active</t>
        </is>
      </c>
      <c r="AC237" s="53" t="inlineStr">
        <is>
          <t>Arup Ganguly</t>
        </is>
      </c>
      <c r="AD237" s="54" t="n">
        <v>39734</v>
      </c>
      <c r="AE237" s="53" t="inlineStr">
        <is>
          <t>Head Sales - SupTech</t>
        </is>
      </c>
      <c r="AF237" s="53" t="inlineStr">
        <is>
          <t>MBA</t>
        </is>
      </c>
      <c r="AG237" s="53" t="inlineStr">
        <is>
          <t>Shailesh Gupta</t>
        </is>
      </c>
      <c r="AH237" s="53" t="inlineStr">
        <is>
          <t>N-2</t>
        </is>
      </c>
      <c r="AI237" s="53" t="inlineStr">
        <is>
          <t>Manager</t>
        </is>
      </c>
      <c r="AJ237" s="53" t="inlineStr">
        <is>
          <t>6 years, 2 months, 0 days</t>
        </is>
      </c>
      <c r="AK237" s="53" t="inlineStr">
        <is>
          <t>17 years, 10 months, 12 days</t>
        </is>
      </c>
      <c r="AL237" s="53" t="inlineStr">
        <is>
          <t>Suptech</t>
        </is>
      </c>
      <c r="AM237" s="53" t="inlineStr">
        <is>
          <t>iFile</t>
        </is>
      </c>
      <c r="AN237" s="53" t="inlineStr">
        <is>
          <t>Sales</t>
        </is>
      </c>
      <c r="AO237" s="53" t="inlineStr">
        <is>
          <t>Sales</t>
        </is>
      </c>
      <c r="AP237" s="53" t="inlineStr">
        <is>
          <t>No</t>
        </is>
      </c>
      <c r="AQ237" s="53" t="inlineStr">
        <is>
          <t>Sales, Marketing &amp; Support</t>
        </is>
      </c>
      <c r="AR237" s="53" t="inlineStr">
        <is>
          <t>Sales</t>
        </is>
      </c>
      <c r="AS237" s="53" t="inlineStr">
        <is>
          <t>Non-technical</t>
        </is>
      </c>
      <c r="AT237" s="53" t="n">
        <v>0</v>
      </c>
      <c r="AU237" s="53" t="inlineStr">
        <is>
          <t>E-Top management</t>
        </is>
      </c>
      <c r="AV237" s="53" t="n"/>
      <c r="AW237" s="53" t="n"/>
      <c r="AX237" s="53" t="n"/>
      <c r="AY237" s="53" t="n"/>
      <c r="AZ237" s="53" t="n"/>
      <c r="BA237" s="53" t="n"/>
      <c r="BB237" s="53" t="n"/>
      <c r="BC237" s="53" t="n"/>
      <c r="BD237" s="53" t="n"/>
      <c r="BE237" s="53" t="n"/>
      <c r="BF237" s="53" t="n"/>
      <c r="BG237" s="53" t="n"/>
      <c r="BH237" s="53" t="n"/>
      <c r="BI237" s="53" t="n"/>
      <c r="BJ237" s="53" t="n"/>
      <c r="BK237" s="53" t="n"/>
      <c r="BL237" s="53" t="n"/>
      <c r="BM237" s="53" t="n"/>
      <c r="BN237" s="53" t="n"/>
      <c r="BO237" s="53" t="n"/>
      <c r="BP237" s="53" t="n"/>
      <c r="BQ237" s="53" t="n"/>
      <c r="BR237" s="53" t="n"/>
      <c r="BS237" s="53" t="n"/>
      <c r="BT237" s="53" t="n"/>
      <c r="BU237" s="53" t="n"/>
      <c r="BV237" s="53" t="n"/>
      <c r="BW237" s="53" t="n"/>
      <c r="BX237" s="53" t="n"/>
      <c r="BY237" s="53" t="n"/>
      <c r="BZ237" s="53" t="n"/>
      <c r="CA237" s="53" t="n"/>
      <c r="CB237" s="53" t="n"/>
      <c r="CC237" s="53" t="n"/>
      <c r="CD237" s="53" t="n"/>
      <c r="CE237" s="53" t="n"/>
      <c r="CF237" s="53" t="n"/>
      <c r="CG237" s="53" t="n"/>
      <c r="CH237" s="53" t="n"/>
      <c r="CI237" s="53" t="n"/>
      <c r="CJ237" s="53" t="n"/>
      <c r="CK237" s="53" t="n"/>
      <c r="CL237" s="53" t="n"/>
      <c r="CM237" s="53" t="n"/>
      <c r="CN237" s="53" t="n"/>
      <c r="CO237" s="53" t="n"/>
      <c r="CP237" s="53" t="n"/>
      <c r="CQ237" s="53" t="n"/>
      <c r="CR237" s="53" t="n"/>
      <c r="CS237" s="53" t="n"/>
      <c r="CT237" s="53" t="n"/>
      <c r="CU237" s="53" t="n"/>
      <c r="CV237" s="53" t="n"/>
      <c r="CW237" s="53" t="n"/>
      <c r="CX237" s="53" t="n"/>
      <c r="CY237" s="53" t="n"/>
      <c r="CZ237" s="53" t="n"/>
      <c r="DA237" s="53" t="n"/>
      <c r="DB237" s="53" t="n"/>
      <c r="DC237" s="53" t="n"/>
      <c r="DD237" s="53" t="n"/>
      <c r="DE237" s="53" t="n"/>
      <c r="DF237" s="53" t="n"/>
      <c r="DG237" s="53" t="n"/>
      <c r="DH237" s="53" t="n"/>
      <c r="DI237" s="53" t="n"/>
      <c r="DJ237" s="53" t="n"/>
      <c r="DK237" s="53" t="n"/>
      <c r="DL237" s="53" t="n"/>
      <c r="DM237" s="53" t="n"/>
      <c r="DN237" s="53" t="n"/>
      <c r="DO237" s="53" t="n"/>
      <c r="DP237" s="53" t="n"/>
      <c r="DQ237" s="53" t="n"/>
      <c r="DR237" s="53" t="n"/>
      <c r="DS237" s="53" t="n"/>
      <c r="DT237" s="53" t="n"/>
      <c r="DU237" s="53" t="n"/>
      <c r="DV237" s="53" t="n"/>
      <c r="DW237" s="53" t="n"/>
      <c r="DX237" s="53" t="n"/>
      <c r="DY237" s="53" t="n"/>
      <c r="DZ237" s="53" t="n"/>
      <c r="EA237" s="53" t="n"/>
      <c r="EB237" s="53" t="n"/>
      <c r="EC237" s="53" t="n"/>
      <c r="ED237" s="53" t="n"/>
      <c r="EE237" s="53" t="n"/>
      <c r="EF237" s="53" t="n"/>
      <c r="EG237" s="53" t="n"/>
      <c r="EH237" s="53" t="n"/>
      <c r="EI237" s="53" t="n"/>
      <c r="EJ237" s="53" t="n"/>
      <c r="EK237" s="53" t="n"/>
      <c r="EL237" s="53" t="n"/>
      <c r="EM237" s="53" t="n"/>
      <c r="EN237" s="53" t="n"/>
      <c r="EO237" s="53" t="n"/>
      <c r="EP237" s="53" t="n"/>
      <c r="EQ237" s="53" t="n"/>
      <c r="ER237" s="53" t="n"/>
      <c r="ES237" s="53" t="n"/>
      <c r="ET237" s="53" t="n"/>
      <c r="EU237" s="53" t="n"/>
      <c r="EV237" s="53" t="n"/>
      <c r="EW237" s="52" t="n"/>
      <c r="EX237" s="53" t="n"/>
      <c r="EY237" s="53" t="n"/>
      <c r="EZ237" s="53" t="n"/>
      <c r="FA237" s="53" t="n"/>
      <c r="FB237" s="53" t="n"/>
      <c r="FC237" s="53" t="n"/>
      <c r="FD237" s="53" t="n"/>
      <c r="FE237" s="55" t="inlineStr">
        <is>
          <t>KRAs not received · manager to supply</t>
        </is>
      </c>
      <c r="FF237" s="56" t="n"/>
      <c r="FG237" s="56" t="n"/>
      <c r="FH237" s="56" t="n"/>
      <c r="FI237" s="56" t="n"/>
      <c r="FJ237" s="32" t="inlineStr">
        <is>
          <t>KRAs not received · manager to supply</t>
        </is>
      </c>
      <c r="FK237" s="56" t="n"/>
      <c r="FL237" s="56" t="n">
        <v>0</v>
      </c>
      <c r="FM237" s="32" t="inlineStr">
        <is>
          <t>No survey response on file</t>
        </is>
      </c>
      <c r="FN237" s="56" t="inlineStr">
        <is>
          <t>—</t>
        </is>
      </c>
      <c r="FO237" s="56" t="inlineStr">
        <is>
          <t>—</t>
        </is>
      </c>
      <c r="FP237" s="56" t="inlineStr">
        <is>
          <t>—</t>
        </is>
      </c>
      <c r="FQ237" s="56" t="inlineStr">
        <is>
          <t>—</t>
        </is>
      </c>
      <c r="FR23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37"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237" s="56" t="n"/>
      <c r="FU237" s="32" t="inlineStr">
        <is>
          <t>No survey response on file</t>
        </is>
      </c>
    </row>
    <row r="238" ht="90" customHeight="1">
      <c r="A238" s="51" t="inlineStr">
        <is>
          <t>◂ Back</t>
        </is>
      </c>
      <c r="B238" s="29" t="inlineStr">
        <is>
          <t>Mapped</t>
        </is>
      </c>
      <c r="C238" s="28" t="inlineStr">
        <is>
          <t>iFile</t>
        </is>
      </c>
      <c r="D238" s="29" t="inlineStr">
        <is>
          <t>IRIS1687</t>
        </is>
      </c>
      <c r="E238" s="29" t="inlineStr">
        <is>
          <t>Amit Jaidka</t>
        </is>
      </c>
      <c r="F238" s="29" t="inlineStr">
        <is>
          <t>Sales</t>
        </is>
      </c>
      <c r="G238" s="29" t="inlineStr">
        <is>
          <t>Manager Sales</t>
        </is>
      </c>
      <c r="H238" s="29" t="inlineStr">
        <is>
          <t>Lead Alliances Specialist – POD Lead</t>
        </is>
      </c>
      <c r="I238" s="29" t="inlineStr">
        <is>
          <t>L5 – Manager</t>
        </is>
      </c>
      <c r="J238" s="29" t="inlineStr">
        <is>
          <t>B3</t>
        </is>
      </c>
      <c r="K238" s="29" t="inlineStr">
        <is>
          <t>▲ Up</t>
        </is>
      </c>
      <c r="L238" s="29" t="inlineStr">
        <is>
          <t>Sales &amp; Business Development</t>
        </is>
      </c>
      <c r="M238" s="29" t="inlineStr">
        <is>
          <t>Partnerships &amp; Alliances</t>
        </is>
      </c>
      <c r="N238" s="29" t="n"/>
      <c r="O238" s="29" t="n">
        <v>20</v>
      </c>
      <c r="P238" s="28" t="inlineStr">
        <is>
          <t>P5 / M4</t>
        </is>
      </c>
      <c r="Q238" s="29" t="inlineStr">
        <is>
          <t>Expert / Senior Manager</t>
        </is>
      </c>
      <c r="R238" s="29" t="inlineStr">
        <is>
          <t>5 Ensure, advise</t>
        </is>
      </c>
      <c r="S238" s="29" t="inlineStr">
        <is>
          <t>8–12 yrs</t>
        </is>
      </c>
      <c r="T238" s="29" t="inlineStr">
        <is>
          <t>9–13 · 9–14</t>
        </is>
      </c>
      <c r="U238" s="29" t="inlineStr">
        <is>
          <t>Enterprise / Strategic AE</t>
        </is>
      </c>
      <c r="V238" s="29" t="inlineStr">
        <is>
          <t>IRIS Vs Competitor Benchmark — SaaS sales ladder — IC: Enterprise AE · IRIS Vs Competitor Benchmark — SaaS sales ladder — management: Senior Sales Manager</t>
        </is>
      </c>
      <c r="W238" s="29" t="inlineStr">
        <is>
          <t>SaaS sales ladder · SDR → AE → Enterprise AE → VP / CRO; MEDDICC-style qualification</t>
        </is>
      </c>
      <c r="X238" s="29" t="inlineStr">
        <is>
          <t>Core 4 · Future 3 · Functional 4 · Leadership 4</t>
        </is>
      </c>
      <c r="Y238" s="52" t="n">
        <v>140</v>
      </c>
      <c r="Z238" s="53" t="inlineStr">
        <is>
          <t>IRIS1687</t>
        </is>
      </c>
      <c r="AA238" s="53" t="inlineStr">
        <is>
          <t>Employee</t>
        </is>
      </c>
      <c r="AB238" s="53" t="inlineStr">
        <is>
          <t>Active</t>
        </is>
      </c>
      <c r="AC238" s="53" t="inlineStr">
        <is>
          <t>Amit Jaidka</t>
        </is>
      </c>
      <c r="AD238" s="54" t="n">
        <v>43066</v>
      </c>
      <c r="AE238" s="53" t="inlineStr">
        <is>
          <t>Manager Sales</t>
        </is>
      </c>
      <c r="AF238" s="53" t="inlineStr">
        <is>
          <t>MBA</t>
        </is>
      </c>
      <c r="AG238" s="53" t="inlineStr">
        <is>
          <t>Arup Ganguly</t>
        </is>
      </c>
      <c r="AH238" s="53" t="inlineStr">
        <is>
          <t>N-3</t>
        </is>
      </c>
      <c r="AI238" s="53" t="inlineStr">
        <is>
          <t>Manager</t>
        </is>
      </c>
      <c r="AJ238" s="53" t="inlineStr">
        <is>
          <t>11 years, 0 months, 0 days</t>
        </is>
      </c>
      <c r="AK238" s="53" t="inlineStr">
        <is>
          <t>8 years, 8 months, 29 days</t>
        </is>
      </c>
      <c r="AL238" s="53" t="inlineStr">
        <is>
          <t>Suptech</t>
        </is>
      </c>
      <c r="AM238" s="53" t="inlineStr">
        <is>
          <t>iFile</t>
        </is>
      </c>
      <c r="AN238" s="53" t="inlineStr">
        <is>
          <t>Sales</t>
        </is>
      </c>
      <c r="AO238" s="53" t="inlineStr">
        <is>
          <t>Sales</t>
        </is>
      </c>
      <c r="AP238" s="53" t="inlineStr">
        <is>
          <t>No</t>
        </is>
      </c>
      <c r="AQ238" s="53" t="inlineStr">
        <is>
          <t>Sales, Marketing &amp; Support</t>
        </is>
      </c>
      <c r="AR238" s="53" t="inlineStr">
        <is>
          <t>Sales</t>
        </is>
      </c>
      <c r="AS238" s="53" t="inlineStr">
        <is>
          <t>Non-technical</t>
        </is>
      </c>
      <c r="AT238" s="53" t="n">
        <v>20</v>
      </c>
      <c r="AU238" s="53" t="inlineStr">
        <is>
          <t>Covered</t>
        </is>
      </c>
      <c r="AV238" s="53" t="n"/>
      <c r="AW238" s="53" t="n"/>
      <c r="AX238" s="53" t="n"/>
      <c r="AY238" s="53" t="n"/>
      <c r="AZ238" s="53" t="n"/>
      <c r="BA238" s="53" t="n"/>
      <c r="BB238" s="53" t="n"/>
      <c r="BC238" s="53" t="n"/>
      <c r="BD238" s="53" t="n"/>
      <c r="BE238" s="53" t="n"/>
      <c r="BF238" s="53" t="n"/>
      <c r="BG238" s="53" t="n"/>
      <c r="BH238" s="53" t="n"/>
      <c r="BI238" s="53" t="n"/>
      <c r="BJ238" s="53" t="n"/>
      <c r="BK238" s="53" t="n"/>
      <c r="BL238" s="53" t="n"/>
      <c r="BM238" s="53" t="n"/>
      <c r="BN238" s="53" t="n"/>
      <c r="BO238" s="53" t="n"/>
      <c r="BP238" s="53" t="n"/>
      <c r="BQ238" s="53" t="n"/>
      <c r="BR238" s="53" t="n"/>
      <c r="BS238" s="53" t="n"/>
      <c r="BT238" s="53" t="n"/>
      <c r="BU238" s="53" t="n"/>
      <c r="BV238" s="53" t="n"/>
      <c r="BW238" s="53" t="n"/>
      <c r="BX238" s="53" t="n"/>
      <c r="BY238" s="53" t="n"/>
      <c r="BZ238" s="53" t="n"/>
      <c r="CA238" s="53" t="n"/>
      <c r="CB238" s="53" t="n"/>
      <c r="CC238" s="53" t="n"/>
      <c r="CD238" s="53" t="n"/>
      <c r="CE238" s="53" t="n"/>
      <c r="CF238" s="53" t="n"/>
      <c r="CG238" s="53" t="n"/>
      <c r="CH238" s="53" t="n"/>
      <c r="CI238" s="53" t="n"/>
      <c r="CJ238" s="53" t="n"/>
      <c r="CK238" s="53" t="n"/>
      <c r="CL238" s="53" t="n"/>
      <c r="CM238" s="53" t="n"/>
      <c r="CN238" s="53" t="n"/>
      <c r="CO238" s="53" t="n"/>
      <c r="CP238" s="53" t="n"/>
      <c r="CQ238" s="53" t="n"/>
      <c r="CR238" s="53" t="n"/>
      <c r="CS238" s="53" t="n"/>
      <c r="CT238" s="53" t="n"/>
      <c r="CU238" s="53" t="n"/>
      <c r="CV238" s="53" t="n"/>
      <c r="CW238" s="53" t="n"/>
      <c r="CX238" s="53" t="n"/>
      <c r="CY238" s="53" t="n"/>
      <c r="CZ238" s="53" t="n"/>
      <c r="DA238" s="53" t="n"/>
      <c r="DB238" s="53" t="n"/>
      <c r="DC238" s="53" t="n"/>
      <c r="DD238" s="53" t="inlineStr">
        <is>
          <t>IRIS1687</t>
        </is>
      </c>
      <c r="DE238" s="53" t="inlineStr">
        <is>
          <t>Employee</t>
        </is>
      </c>
      <c r="DF238" s="53" t="inlineStr">
        <is>
          <t>Active</t>
        </is>
      </c>
      <c r="DG238" s="53" t="inlineStr">
        <is>
          <t>Amit Jaidka</t>
        </is>
      </c>
      <c r="DH238" s="54" t="n">
        <v>43066</v>
      </c>
      <c r="DI238" s="53" t="inlineStr">
        <is>
          <t>Manager Sales</t>
        </is>
      </c>
      <c r="DJ238" s="53" t="inlineStr">
        <is>
          <t>Sales &amp; Business Development</t>
        </is>
      </c>
      <c r="DK238" s="53" t="inlineStr">
        <is>
          <t>Sales / Account Management</t>
        </is>
      </c>
      <c r="DL238" s="53" t="inlineStr">
        <is>
          <t>Manager Sales</t>
        </is>
      </c>
      <c r="DM238" s="53" t="inlineStr">
        <is>
          <t>L5 – Manager</t>
        </is>
      </c>
      <c r="DN238" s="53" t="inlineStr">
        <is>
          <t>MBA</t>
        </is>
      </c>
      <c r="DO238" s="53" t="inlineStr">
        <is>
          <t>Arup Ganguly</t>
        </is>
      </c>
      <c r="DP238" s="53" t="inlineStr">
        <is>
          <t>N-2</t>
        </is>
      </c>
      <c r="DQ238" s="53" t="inlineStr">
        <is>
          <t>Manager</t>
        </is>
      </c>
      <c r="DR238" s="53" t="inlineStr">
        <is>
          <t>11 years, 0 months, 0 days</t>
        </is>
      </c>
      <c r="DS238" s="53" t="inlineStr">
        <is>
          <t>8 years, 6 months, 24 days</t>
        </is>
      </c>
      <c r="DT238" s="53" t="inlineStr">
        <is>
          <t>19 years, 6 months, 24 days</t>
        </is>
      </c>
      <c r="DU238" s="53" t="n">
        <v>8.56575342465754</v>
      </c>
      <c r="DV238" s="53" t="inlineStr">
        <is>
          <t>Suptech</t>
        </is>
      </c>
      <c r="DW238" s="53" t="inlineStr">
        <is>
          <t>iFile</t>
        </is>
      </c>
      <c r="DX238" s="53" t="inlineStr">
        <is>
          <t>Sales</t>
        </is>
      </c>
      <c r="DY238" s="53" t="inlineStr">
        <is>
          <t>Sales</t>
        </is>
      </c>
      <c r="DZ238" s="53" t="inlineStr">
        <is>
          <t>No</t>
        </is>
      </c>
      <c r="EA238" s="53" t="inlineStr">
        <is>
          <t>Sales, Marketing &amp; Support</t>
        </is>
      </c>
      <c r="EB238" s="53" t="inlineStr">
        <is>
          <t>Sales</t>
        </is>
      </c>
      <c r="EC238" s="53" t="inlineStr">
        <is>
          <t>Non-technical</t>
        </is>
      </c>
      <c r="ED238" s="53" t="inlineStr">
        <is>
          <t>Client Side</t>
        </is>
      </c>
      <c r="EE238" s="53"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EF238" s="53"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EG238" s="53"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EH238" s="53" t="n">
        <v>5</v>
      </c>
      <c r="EI238" s="53" t="n"/>
      <c r="EJ238" s="53" t="inlineStr">
        <is>
          <t>VP Sales</t>
        </is>
      </c>
      <c r="EK238" s="53" t="inlineStr">
        <is>
          <t>No</t>
        </is>
      </c>
      <c r="EL238" s="53" t="n">
        <v>5</v>
      </c>
      <c r="EM238" s="53" t="inlineStr">
        <is>
          <t>High</t>
        </is>
      </c>
      <c r="EN238" s="53" t="inlineStr">
        <is>
          <t>Future Leader</t>
        </is>
      </c>
      <c r="EO238" s="53" t="inlineStr">
        <is>
          <t>Yes</t>
        </is>
      </c>
      <c r="EP238" s="53" t="inlineStr">
        <is>
          <t>Yes</t>
        </is>
      </c>
      <c r="EQ238" s="53" t="inlineStr">
        <is>
          <t>Yes</t>
        </is>
      </c>
      <c r="ER238" s="53" t="n"/>
      <c r="ES238" s="53" t="inlineStr">
        <is>
          <t>Strategic account management, enterprise deal closure, forecasting, leadership reporting, cross-functional governance</t>
        </is>
      </c>
      <c r="ET238" s="53" t="inlineStr">
        <is>
          <t>P&amp;L ownership, senior leadership development, financial planning, negotiation at CXO/regulator level</t>
        </is>
      </c>
      <c r="EU238" s="53" t="inlineStr">
        <is>
          <t>Handles responsibilities beyond current designation including MEA business development, regulators, partners, tenders, pipeline and revenue accountability. Strong promotion/structural alignment case.</t>
        </is>
      </c>
      <c r="EV238" s="53" t="n"/>
      <c r="EW238" s="52" t="n"/>
      <c r="EX238" s="53" t="n"/>
      <c r="EY238" s="53" t="n"/>
      <c r="EZ238" s="53" t="n"/>
      <c r="FA238" s="53" t="n"/>
      <c r="FB238" s="53" t="n"/>
      <c r="FC238" s="53" t="n"/>
      <c r="FD238" s="53" t="n"/>
      <c r="FE238" s="57"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FF238" s="56"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FG238" s="56"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FH238" s="56" t="inlineStr">
        <is>
          <t>5</t>
        </is>
      </c>
      <c r="FI238" s="56" t="n"/>
      <c r="FJ238" s="56" t="inlineStr">
        <is>
          <t>Received · manager annual, quarterly, self</t>
        </is>
      </c>
      <c r="FK238" s="56" t="inlineStr">
        <is>
          <t>Talent Mapping · iFile collated</t>
        </is>
      </c>
      <c r="FL238" s="56" t="n">
        <v>20</v>
      </c>
      <c r="FM238" s="32" t="inlineStr">
        <is>
          <t>Full survey answers not in the files received · How We Grow export needed · HR</t>
        </is>
      </c>
      <c r="FN238" s="56" t="inlineStr">
        <is>
          <t>—</t>
        </is>
      </c>
      <c r="FO238" s="56" t="inlineStr">
        <is>
          <t>—</t>
        </is>
      </c>
      <c r="FP238" s="56" t="inlineStr">
        <is>
          <t>—</t>
        </is>
      </c>
      <c r="FQ238" s="56" t="inlineStr">
        <is>
          <t>—</t>
        </is>
      </c>
      <c r="FR238" s="56"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reads like B3: MEA revenue and pipeline target · INR 5 Cr, market expansion and new business wins → moved up 0.5
Leadership: Evidence reads like B1: Three direct reports; KRA: manages team productivity, weekly reviews and forecasts → matches the start
Business Impact: Moved +0.5: the survey / manager mapping marks it business-critical.</t>
        </is>
      </c>
      <c r="FS238" s="56" t="n"/>
      <c r="FT238" s="56" t="inlineStr">
        <is>
          <t>Self-identified: Technical depth &amp; architecture · Strategy &amp; business acumen · Broader exposure &amp; ownership
For the next role: Technical depth &amp; architecture · Strategy &amp; business acumen · Broader exposure &amp; ownership</t>
        </is>
      </c>
      <c r="FU238" s="32" t="inlineStr">
        <is>
          <t>Full survey answers not in the files received · How We Grow export needed · HR</t>
        </is>
      </c>
    </row>
    <row r="239" ht="90" customHeight="1">
      <c r="A239" s="51" t="inlineStr">
        <is>
          <t>◂ Back</t>
        </is>
      </c>
      <c r="B239" s="29" t="inlineStr">
        <is>
          <t>Mapped</t>
        </is>
      </c>
      <c r="C239" s="28" t="inlineStr">
        <is>
          <t>iFile</t>
        </is>
      </c>
      <c r="D239" s="29" t="inlineStr">
        <is>
          <t>IRIS2070</t>
        </is>
      </c>
      <c r="E239" s="29" t="inlineStr">
        <is>
          <t>Shreya Jolly</t>
        </is>
      </c>
      <c r="F239" s="29" t="inlineStr">
        <is>
          <t>Sales</t>
        </is>
      </c>
      <c r="G239" s="29" t="inlineStr">
        <is>
          <t>Assistant Manager Sales</t>
        </is>
      </c>
      <c r="H239" s="29" t="inlineStr">
        <is>
          <t>Account Executive – POD Lead</t>
        </is>
      </c>
      <c r="I239" s="29" t="inlineStr">
        <is>
          <t>L5 – Assistant Manager</t>
        </is>
      </c>
      <c r="J239" s="29" t="inlineStr">
        <is>
          <t>B1</t>
        </is>
      </c>
      <c r="K239" s="29" t="inlineStr">
        <is>
          <t>• Same level</t>
        </is>
      </c>
      <c r="L239" s="29" t="inlineStr">
        <is>
          <t>Sales &amp; Business Development</t>
        </is>
      </c>
      <c r="M239" s="29" t="inlineStr">
        <is>
          <t>Enterprise Sales &amp; Account Management</t>
        </is>
      </c>
      <c r="N239" s="29" t="n"/>
      <c r="O239" s="29" t="n">
        <v>20</v>
      </c>
      <c r="P239" s="28" t="inlineStr">
        <is>
          <t>P3 / M2</t>
        </is>
      </c>
      <c r="Q239" s="29" t="inlineStr">
        <is>
          <t>Career / · Team Lead</t>
        </is>
      </c>
      <c r="R239" s="29" t="inlineStr">
        <is>
          <t>4 Enable</t>
        </is>
      </c>
      <c r="S239" s="29" t="inlineStr">
        <is>
          <t>4–7 yrs</t>
        </is>
      </c>
      <c r="T239" s="29" t="inlineStr">
        <is>
          <t>5–8 · 4–8</t>
        </is>
      </c>
      <c r="U239" s="29" t="inlineStr">
        <is>
          <t>Account Executive</t>
        </is>
      </c>
      <c r="V239" s="29" t="inlineStr">
        <is>
          <t>IRIS Vs Competitor Benchmark — SaaS sales ladder — IC: Account Executive · SMB · IRIS Vs Competitor Benchmark — SaaS sales ladder — management: SDR Team Lead</t>
        </is>
      </c>
      <c r="W239" s="29" t="inlineStr">
        <is>
          <t>SaaS sales ladder · SDR → AE → Enterprise AE → VP / CRO; MEDDICC-style qualification</t>
        </is>
      </c>
      <c r="X239" s="29" t="inlineStr">
        <is>
          <t>Core 3 · Future 3 · Functional 3 · Leadership 2</t>
        </is>
      </c>
      <c r="Y239" s="52" t="n">
        <v>246</v>
      </c>
      <c r="Z239" s="53" t="inlineStr">
        <is>
          <t>IRIS2070</t>
        </is>
      </c>
      <c r="AA239" s="53" t="inlineStr">
        <is>
          <t>Employee</t>
        </is>
      </c>
      <c r="AB239" s="53" t="inlineStr">
        <is>
          <t>Active</t>
        </is>
      </c>
      <c r="AC239" s="53" t="inlineStr">
        <is>
          <t>Shreya Jolly</t>
        </is>
      </c>
      <c r="AD239" s="54" t="n">
        <v>44851</v>
      </c>
      <c r="AE239" s="53" t="inlineStr">
        <is>
          <t>Assistant Manager Sales</t>
        </is>
      </c>
      <c r="AF239" s="53" t="inlineStr">
        <is>
          <t>MBA</t>
        </is>
      </c>
      <c r="AG239" s="53" t="inlineStr">
        <is>
          <t>Amit Jaidka</t>
        </is>
      </c>
      <c r="AH239" s="53" t="inlineStr">
        <is>
          <t>N-4</t>
        </is>
      </c>
      <c r="AI239" s="53" t="inlineStr">
        <is>
          <t>Manager</t>
        </is>
      </c>
      <c r="AJ239" s="53" t="inlineStr">
        <is>
          <t>1 years, 1 months, 0 days</t>
        </is>
      </c>
      <c r="AK239" s="53" t="inlineStr">
        <is>
          <t>3 years, 10 months, 8 days</t>
        </is>
      </c>
      <c r="AL239" s="53" t="inlineStr">
        <is>
          <t>Suptech</t>
        </is>
      </c>
      <c r="AM239" s="53" t="inlineStr">
        <is>
          <t>iFile</t>
        </is>
      </c>
      <c r="AN239" s="53" t="inlineStr">
        <is>
          <t>Sales</t>
        </is>
      </c>
      <c r="AO239" s="53" t="inlineStr">
        <is>
          <t>Sales</t>
        </is>
      </c>
      <c r="AP239" s="53" t="inlineStr">
        <is>
          <t>No</t>
        </is>
      </c>
      <c r="AQ239" s="53" t="inlineStr">
        <is>
          <t>Sales, Marketing &amp; Support</t>
        </is>
      </c>
      <c r="AR239" s="53" t="inlineStr">
        <is>
          <t>Sales</t>
        </is>
      </c>
      <c r="AS239" s="53" t="inlineStr">
        <is>
          <t>Non-technical</t>
        </is>
      </c>
      <c r="AT239" s="53" t="n">
        <v>20</v>
      </c>
      <c r="AU239" s="53" t="inlineStr">
        <is>
          <t>Covered</t>
        </is>
      </c>
      <c r="AV239" s="53" t="n"/>
      <c r="AW239" s="53" t="n"/>
      <c r="AX239" s="53" t="n"/>
      <c r="AY239" s="53" t="n"/>
      <c r="AZ239" s="53" t="n"/>
      <c r="BA239" s="53" t="n"/>
      <c r="BB239" s="53" t="n"/>
      <c r="BC239" s="53" t="n"/>
      <c r="BD239" s="53" t="n"/>
      <c r="BE239" s="53" t="n"/>
      <c r="BF239" s="53" t="n"/>
      <c r="BG239" s="53" t="n"/>
      <c r="BH239" s="53" t="n"/>
      <c r="BI239" s="53" t="n"/>
      <c r="BJ239" s="53" t="n"/>
      <c r="BK239" s="53" t="n"/>
      <c r="BL239" s="53" t="n"/>
      <c r="BM239" s="53" t="n"/>
      <c r="BN239" s="53" t="n"/>
      <c r="BO239" s="53" t="n"/>
      <c r="BP239" s="53" t="n"/>
      <c r="BQ239" s="53" t="n"/>
      <c r="BR239" s="53" t="n"/>
      <c r="BS239" s="53" t="n"/>
      <c r="BT239" s="53" t="n"/>
      <c r="BU239" s="53" t="n"/>
      <c r="BV239" s="53" t="n"/>
      <c r="BW239" s="53" t="n"/>
      <c r="BX239" s="53" t="n"/>
      <c r="BY239" s="53" t="n"/>
      <c r="BZ239" s="53" t="n"/>
      <c r="CA239" s="53" t="n"/>
      <c r="CB239" s="53" t="n"/>
      <c r="CC239" s="53" t="n"/>
      <c r="CD239" s="53" t="n"/>
      <c r="CE239" s="53" t="n"/>
      <c r="CF239" s="53" t="n"/>
      <c r="CG239" s="53" t="n"/>
      <c r="CH239" s="53" t="n"/>
      <c r="CI239" s="53" t="n"/>
      <c r="CJ239" s="53" t="n"/>
      <c r="CK239" s="53" t="n"/>
      <c r="CL239" s="53" t="n"/>
      <c r="CM239" s="53" t="n"/>
      <c r="CN239" s="53" t="n"/>
      <c r="CO239" s="53" t="n"/>
      <c r="CP239" s="53" t="n"/>
      <c r="CQ239" s="53" t="n"/>
      <c r="CR239" s="53" t="n"/>
      <c r="CS239" s="53" t="n"/>
      <c r="CT239" s="53" t="n"/>
      <c r="CU239" s="53" t="n"/>
      <c r="CV239" s="53" t="n"/>
      <c r="CW239" s="53" t="n"/>
      <c r="CX239" s="53" t="n"/>
      <c r="CY239" s="53" t="n"/>
      <c r="CZ239" s="53" t="n"/>
      <c r="DA239" s="53" t="n"/>
      <c r="DB239" s="53" t="n"/>
      <c r="DC239" s="53" t="n"/>
      <c r="DD239" s="53" t="inlineStr">
        <is>
          <t>IRIS2070</t>
        </is>
      </c>
      <c r="DE239" s="53" t="inlineStr">
        <is>
          <t>Employee</t>
        </is>
      </c>
      <c r="DF239" s="53" t="inlineStr">
        <is>
          <t>Active</t>
        </is>
      </c>
      <c r="DG239" s="53" t="inlineStr">
        <is>
          <t>Shreya Jolly</t>
        </is>
      </c>
      <c r="DH239" s="54" t="n">
        <v>44851</v>
      </c>
      <c r="DI239" s="53" t="inlineStr">
        <is>
          <t>Assistant Manager Sales</t>
        </is>
      </c>
      <c r="DJ239" s="53" t="inlineStr">
        <is>
          <t>Sales &amp; Business Development</t>
        </is>
      </c>
      <c r="DK239" s="53" t="inlineStr">
        <is>
          <t>Sales / Account Management</t>
        </is>
      </c>
      <c r="DL239" s="53" t="inlineStr">
        <is>
          <t>Assistant Manager Sales</t>
        </is>
      </c>
      <c r="DM239" s="53" t="inlineStr">
        <is>
          <t>L5 – Assistant Manager</t>
        </is>
      </c>
      <c r="DN239" s="53" t="inlineStr">
        <is>
          <t>MBA</t>
        </is>
      </c>
      <c r="DO239" s="53" t="inlineStr">
        <is>
          <t>Amit Jaidka</t>
        </is>
      </c>
      <c r="DP239" s="53" t="inlineStr">
        <is>
          <t>N-3</t>
        </is>
      </c>
      <c r="DQ239" s="53" t="inlineStr">
        <is>
          <t>Manager</t>
        </is>
      </c>
      <c r="DR239" s="53" t="inlineStr">
        <is>
          <t>1 years, 1 months, 0 days</t>
        </is>
      </c>
      <c r="DS239" s="53" t="inlineStr">
        <is>
          <t>3 years, 8 months, 3 days</t>
        </is>
      </c>
      <c r="DT239" s="53" t="inlineStr">
        <is>
          <t>4 years, 9 months, 3 days</t>
        </is>
      </c>
      <c r="DU239" s="53" t="n">
        <v>3.67488584474886</v>
      </c>
      <c r="DV239" s="53" t="inlineStr">
        <is>
          <t>Suptech</t>
        </is>
      </c>
      <c r="DW239" s="53" t="inlineStr">
        <is>
          <t>iFile</t>
        </is>
      </c>
      <c r="DX239" s="53" t="inlineStr">
        <is>
          <t>Sales</t>
        </is>
      </c>
      <c r="DY239" s="53" t="inlineStr">
        <is>
          <t>Sales</t>
        </is>
      </c>
      <c r="DZ239" s="53" t="inlineStr">
        <is>
          <t>No</t>
        </is>
      </c>
      <c r="EA239" s="53" t="inlineStr">
        <is>
          <t>Sales, Marketing &amp; Support</t>
        </is>
      </c>
      <c r="EB239" s="53" t="inlineStr">
        <is>
          <t>Sales</t>
        </is>
      </c>
      <c r="EC239" s="53" t="inlineStr">
        <is>
          <t>Non-technical</t>
        </is>
      </c>
      <c r="ED239" s="53" t="inlineStr">
        <is>
          <t>Remote- Outside Mumbai</t>
        </is>
      </c>
      <c r="EE239" s="53"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EF239" s="53"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EG239" s="53"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EH239" s="53" t="n">
        <v>4</v>
      </c>
      <c r="EI239" s="54" t="n">
        <v>46172</v>
      </c>
      <c r="EJ239" s="53" t="inlineStr">
        <is>
          <t>Manager</t>
        </is>
      </c>
      <c r="EK239" s="53" t="inlineStr">
        <is>
          <t>No</t>
        </is>
      </c>
      <c r="EL239" s="53" t="n">
        <v>4</v>
      </c>
      <c r="EM239" s="53" t="inlineStr">
        <is>
          <t>High</t>
        </is>
      </c>
      <c r="EN239" s="53" t="inlineStr">
        <is>
          <t>High Impact / Growth Talent</t>
        </is>
      </c>
      <c r="EO239" s="53" t="inlineStr">
        <is>
          <t>Yes</t>
        </is>
      </c>
      <c r="EP239" s="53" t="inlineStr">
        <is>
          <t>Yes</t>
        </is>
      </c>
      <c r="EQ239" s="53" t="inlineStr">
        <is>
          <t>Yes</t>
        </is>
      </c>
      <c r="ER239" s="53" t="inlineStr">
        <is>
          <t>No</t>
        </is>
      </c>
      <c r="ES239" s="53"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ET239" s="53" t="n"/>
      <c r="EU239" s="53" t="n"/>
      <c r="EV239" s="53" t="n"/>
      <c r="EW239" s="52" t="n"/>
      <c r="EX239" s="53" t="n"/>
      <c r="EY239" s="53" t="n"/>
      <c r="EZ239" s="53" t="n"/>
      <c r="FA239" s="53" t="n"/>
      <c r="FB239" s="53" t="n"/>
      <c r="FC239" s="53" t="n"/>
      <c r="FD239" s="53" t="n"/>
      <c r="FE239" s="57"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FF239" s="56"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FG239" s="56"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FH239" s="56" t="inlineStr">
        <is>
          <t>4</t>
        </is>
      </c>
      <c r="FI239" s="56" t="n"/>
      <c r="FJ239" s="56" t="inlineStr">
        <is>
          <t>Received · manager annual, quarterly, self</t>
        </is>
      </c>
      <c r="FK239" s="56" t="inlineStr">
        <is>
          <t>Talent Mapping · iFile collated</t>
        </is>
      </c>
      <c r="FL239" s="56" t="n">
        <v>20</v>
      </c>
      <c r="FM239" s="32" t="inlineStr">
        <is>
          <t>Full survey answers not in the files received · How We Grow export needed · HR</t>
        </is>
      </c>
      <c r="FN239" s="56" t="inlineStr">
        <is>
          <t>—</t>
        </is>
      </c>
      <c r="FO239" s="56" t="inlineStr">
        <is>
          <t>—</t>
        </is>
      </c>
      <c r="FP239" s="56" t="inlineStr">
        <is>
          <t>—</t>
        </is>
      </c>
      <c r="FQ239" s="56" t="inlineStr">
        <is>
          <t>—</t>
        </is>
      </c>
      <c r="FR239" s="56"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reads like B2: Revenue against target · 1 Cr personal quota, signed contracts' commercial terms, renewals, reports' quotas → moved up 0.5
Leadership: Evidence reads like B1: Manages two sales reports: task allocation and monthly pipeline reviews → matches the start
Business Impact: Moved +0.5: the survey / manager mapping marks it business-critical.</t>
        </is>
      </c>
      <c r="FS239"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39" s="56" t="inlineStr">
        <is>
          <t>Self-identified: Client, sales &amp; stakeholders · Strategy &amp; business acumen
For the next role: Client, sales &amp; stakeholders · Strategy &amp; business acumen</t>
        </is>
      </c>
      <c r="FU239" s="32" t="inlineStr">
        <is>
          <t>Full survey answers not in the files received · How We Grow export needed · HR</t>
        </is>
      </c>
    </row>
    <row r="240" ht="90" customHeight="1">
      <c r="A240" s="51" t="inlineStr">
        <is>
          <t>◂ Back</t>
        </is>
      </c>
      <c r="B240" s="29" t="inlineStr">
        <is>
          <t>Mapped</t>
        </is>
      </c>
      <c r="C240" s="28" t="inlineStr">
        <is>
          <t>iDEAL</t>
        </is>
      </c>
      <c r="D240" s="29" t="inlineStr">
        <is>
          <t>IRIS2540</t>
        </is>
      </c>
      <c r="E240" s="29" t="inlineStr">
        <is>
          <t>Deepali Barai</t>
        </is>
      </c>
      <c r="F240" s="29" t="inlineStr">
        <is>
          <t>Sales</t>
        </is>
      </c>
      <c r="G240" s="29" t="inlineStr">
        <is>
          <t>Business Development Manager</t>
        </is>
      </c>
      <c r="H240" s="29" t="inlineStr">
        <is>
          <t>Account Executive</t>
        </is>
      </c>
      <c r="I240" s="29" t="inlineStr">
        <is>
          <t>Not in current mapping files</t>
        </is>
      </c>
      <c r="J240" s="29" t="inlineStr">
        <is>
          <t>B1</t>
        </is>
      </c>
      <c r="K240" s="29" t="inlineStr">
        <is>
          <t>● Newly mapped</t>
        </is>
      </c>
      <c r="L240" s="29" t="inlineStr">
        <is>
          <t>Sales &amp; Business Development</t>
        </is>
      </c>
      <c r="M240" s="29" t="inlineStr">
        <is>
          <t>Enterprise Sales &amp; Account Management</t>
        </is>
      </c>
      <c r="N240" s="29" t="n"/>
      <c r="O240" s="29" t="n">
        <v>18</v>
      </c>
      <c r="P240" s="28" t="inlineStr">
        <is>
          <t>P3 / M2</t>
        </is>
      </c>
      <c r="Q240" s="29" t="inlineStr">
        <is>
          <t>Career / · Team Lead</t>
        </is>
      </c>
      <c r="R240" s="29" t="inlineStr">
        <is>
          <t>4 Enable</t>
        </is>
      </c>
      <c r="S240" s="29" t="inlineStr">
        <is>
          <t>4–7 yrs</t>
        </is>
      </c>
      <c r="T240" s="29" t="inlineStr">
        <is>
          <t>5–8 · 4–8</t>
        </is>
      </c>
      <c r="U240" s="29" t="inlineStr">
        <is>
          <t>Account Executive</t>
        </is>
      </c>
      <c r="V240" s="29" t="inlineStr">
        <is>
          <t>IRIS Vs Competitor Benchmark — SaaS sales ladder — IC: Account Executive · SMB · IRIS Vs Competitor Benchmark — SaaS sales ladder — management: SDR Team Lead</t>
        </is>
      </c>
      <c r="W240" s="29" t="inlineStr">
        <is>
          <t>SaaS sales ladder · SDR → AE → Enterprise AE → VP / CRO; MEDDICC-style qualification</t>
        </is>
      </c>
      <c r="X240" s="29" t="inlineStr">
        <is>
          <t>Core 3 · Future 3 · Functional 3 · Leadership 1</t>
        </is>
      </c>
      <c r="Y240" s="52" t="n">
        <v>513</v>
      </c>
      <c r="Z240" s="53" t="inlineStr">
        <is>
          <t>IRIS2540</t>
        </is>
      </c>
      <c r="AA240" s="53" t="inlineStr">
        <is>
          <t>Employee</t>
        </is>
      </c>
      <c r="AB240" s="53" t="inlineStr">
        <is>
          <t>Active</t>
        </is>
      </c>
      <c r="AC240" s="53" t="inlineStr">
        <is>
          <t>Deepali Barai</t>
        </is>
      </c>
      <c r="AD240" s="54" t="n">
        <v>46195</v>
      </c>
      <c r="AE240" s="53" t="inlineStr">
        <is>
          <t>Business Development Manager</t>
        </is>
      </c>
      <c r="AF240" s="53" t="inlineStr">
        <is>
          <t>B.E</t>
        </is>
      </c>
      <c r="AG240" s="53" t="inlineStr">
        <is>
          <t>Shreya Jolly</t>
        </is>
      </c>
      <c r="AH240" s="53" t="inlineStr">
        <is>
          <t>N-5</t>
        </is>
      </c>
      <c r="AI240" s="53" t="inlineStr">
        <is>
          <t>Individual Contributor</t>
        </is>
      </c>
      <c r="AJ240" s="53" t="inlineStr">
        <is>
          <t>4 years, 4 months, 0 days</t>
        </is>
      </c>
      <c r="AK240" s="53" t="inlineStr">
        <is>
          <t>0 years, 2 months, 3 days</t>
        </is>
      </c>
      <c r="AL240" s="53" t="inlineStr">
        <is>
          <t>Regtech</t>
        </is>
      </c>
      <c r="AM240" s="53" t="inlineStr">
        <is>
          <t>iDEAL</t>
        </is>
      </c>
      <c r="AN240" s="53" t="inlineStr">
        <is>
          <t>Sales</t>
        </is>
      </c>
      <c r="AO240" s="53" t="inlineStr">
        <is>
          <t>Sales</t>
        </is>
      </c>
      <c r="AP240" s="53" t="inlineStr">
        <is>
          <t>No</t>
        </is>
      </c>
      <c r="AQ240" s="53" t="inlineStr">
        <is>
          <t>Sales, Marketing &amp; Support</t>
        </is>
      </c>
      <c r="AR240" s="53" t="inlineStr">
        <is>
          <t>Sales</t>
        </is>
      </c>
      <c r="AS240" s="53" t="inlineStr">
        <is>
          <t>Non-technical</t>
        </is>
      </c>
      <c r="AT240" s="53" t="n">
        <v>20</v>
      </c>
      <c r="AU240" s="53" t="inlineStr">
        <is>
          <t>Covered</t>
        </is>
      </c>
      <c r="AV240" s="53" t="n"/>
      <c r="AW240" s="53" t="n"/>
      <c r="AX240" s="53" t="n"/>
      <c r="AY240" s="53" t="n"/>
      <c r="AZ240" s="53" t="n"/>
      <c r="BA240" s="53" t="n"/>
      <c r="BB240" s="53" t="n"/>
      <c r="BC240" s="53" t="n"/>
      <c r="BD240" s="53" t="n"/>
      <c r="BE240" s="53" t="n"/>
      <c r="BF240" s="53" t="n"/>
      <c r="BG240" s="53" t="n"/>
      <c r="BH240" s="53" t="n"/>
      <c r="BI240" s="53" t="n"/>
      <c r="BJ240" s="53" t="n"/>
      <c r="BK240" s="53" t="n"/>
      <c r="BL240" s="53" t="n"/>
      <c r="BM240" s="53" t="n"/>
      <c r="BN240" s="53" t="n"/>
      <c r="BO240" s="53" t="n"/>
      <c r="BP240" s="53" t="n"/>
      <c r="BQ240" s="53" t="n"/>
      <c r="BR240" s="53" t="n"/>
      <c r="BS240" s="53" t="n"/>
      <c r="BT240" s="53" t="n"/>
      <c r="BU240" s="53" t="n"/>
      <c r="BV240" s="53" t="n"/>
      <c r="BW240" s="53" t="n"/>
      <c r="BX240" s="53" t="n"/>
      <c r="BY240" s="53" t="n"/>
      <c r="BZ240" s="53" t="n"/>
      <c r="CA240" s="53" t="n"/>
      <c r="CB240" s="53" t="n"/>
      <c r="CC240" s="53" t="n"/>
      <c r="CD240" s="53" t="n"/>
      <c r="CE240" s="53" t="n"/>
      <c r="CF240" s="53" t="n"/>
      <c r="CG240" s="53" t="n"/>
      <c r="CH240" s="53" t="n"/>
      <c r="CI240" s="53" t="n"/>
      <c r="CJ240" s="53" t="n"/>
      <c r="CK240" s="53" t="n"/>
      <c r="CL240" s="53" t="n"/>
      <c r="CM240" s="53" t="n"/>
      <c r="CN240" s="53" t="n"/>
      <c r="CO240" s="53" t="n"/>
      <c r="CP240" s="53" t="n"/>
      <c r="CQ240" s="53" t="n"/>
      <c r="CR240" s="53" t="n"/>
      <c r="CS240" s="53" t="n"/>
      <c r="CT240" s="53" t="n"/>
      <c r="CU240" s="53" t="n"/>
      <c r="CV240" s="53" t="n"/>
      <c r="CW240" s="53" t="n"/>
      <c r="CX240" s="53" t="n"/>
      <c r="CY240" s="53" t="n"/>
      <c r="CZ240" s="53" t="n"/>
      <c r="DA240" s="53" t="n"/>
      <c r="DB240" s="53" t="n"/>
      <c r="DC240" s="53" t="n"/>
      <c r="DD240" s="53" t="n"/>
      <c r="DE240" s="53" t="n"/>
      <c r="DF240" s="53" t="n"/>
      <c r="DG240" s="53" t="n"/>
      <c r="DH240" s="53" t="n"/>
      <c r="DI240" s="53" t="n"/>
      <c r="DJ240" s="53" t="n"/>
      <c r="DK240" s="53" t="n"/>
      <c r="DL240" s="53" t="n"/>
      <c r="DM240" s="53" t="n"/>
      <c r="DN240" s="53" t="n"/>
      <c r="DO240" s="53" t="n"/>
      <c r="DP240" s="53" t="n"/>
      <c r="DQ240" s="53" t="n"/>
      <c r="DR240" s="53" t="n"/>
      <c r="DS240" s="53" t="n"/>
      <c r="DT240" s="53" t="n"/>
      <c r="DU240" s="53" t="n"/>
      <c r="DV240" s="53" t="n"/>
      <c r="DW240" s="53" t="n"/>
      <c r="DX240" s="53" t="n"/>
      <c r="DY240" s="53" t="n"/>
      <c r="DZ240" s="53" t="n"/>
      <c r="EA240" s="53" t="n"/>
      <c r="EB240" s="53" t="n"/>
      <c r="EC240" s="53" t="n"/>
      <c r="ED240" s="53" t="n"/>
      <c r="EE240" s="53" t="n"/>
      <c r="EF240" s="53" t="n"/>
      <c r="EG240" s="53" t="n"/>
      <c r="EH240" s="53" t="n"/>
      <c r="EI240" s="53" t="n"/>
      <c r="EJ240" s="53" t="n"/>
      <c r="EK240" s="53" t="n"/>
      <c r="EL240" s="53" t="n"/>
      <c r="EM240" s="53" t="n"/>
      <c r="EN240" s="53" t="n"/>
      <c r="EO240" s="53" t="n"/>
      <c r="EP240" s="53" t="n"/>
      <c r="EQ240" s="53" t="n"/>
      <c r="ER240" s="53" t="n"/>
      <c r="ES240" s="53" t="n"/>
      <c r="ET240" s="53" t="n"/>
      <c r="EU240" s="53" t="n"/>
      <c r="EV240" s="53" t="n"/>
      <c r="EW240" s="52" t="n"/>
      <c r="EX240" s="53" t="n"/>
      <c r="EY240" s="53" t="n"/>
      <c r="EZ240" s="53" t="n"/>
      <c r="FA240" s="53" t="n"/>
      <c r="FB240" s="53" t="n"/>
      <c r="FC240" s="53" t="n"/>
      <c r="FD240" s="53" t="n"/>
      <c r="FE240" s="55" t="inlineStr">
        <is>
          <t>KRAs not received · manager to supply</t>
        </is>
      </c>
      <c r="FF240" s="56" t="n"/>
      <c r="FG240" s="56" t="n"/>
      <c r="FH240" s="56" t="n"/>
      <c r="FI240" s="56" t="n"/>
      <c r="FJ240" s="32" t="inlineStr">
        <is>
          <t>KRAs not received · manager to supply</t>
        </is>
      </c>
      <c r="FK240" s="56" t="n"/>
      <c r="FL240" s="56" t="n">
        <v>18</v>
      </c>
      <c r="FM240" s="32" t="inlineStr">
        <is>
          <t>Full survey answers not in the files received · How We Grow export needed · HR</t>
        </is>
      </c>
      <c r="FN240" s="56" t="inlineStr">
        <is>
          <t>—</t>
        </is>
      </c>
      <c r="FO240" s="56" t="inlineStr">
        <is>
          <t>—</t>
        </is>
      </c>
      <c r="FP240" s="56" t="inlineStr">
        <is>
          <t>—</t>
        </is>
      </c>
      <c r="FQ240" s="56" t="inlineStr">
        <is>
          <t>—</t>
        </is>
      </c>
      <c r="FR240" s="56"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Africa → moved down 0.5
Leadership: Evidence reads like A1: No guidance or leadership of others described → moved down 1
Business Impact: No survey or manager-mapping signal on criticality: kept at the start point.</t>
        </is>
      </c>
      <c r="FS240"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40" s="56" t="inlineStr">
        <is>
          <t>Self-identified: Client, sales &amp; stakeholders · Broader exposure &amp; ownership
For the next role: Client, sales &amp; stakeholders · Broader exposure &amp; ownership</t>
        </is>
      </c>
      <c r="FU240" s="32" t="inlineStr">
        <is>
          <t>Full survey answers not in the files received · How We Grow export needed · HR</t>
        </is>
      </c>
    </row>
    <row r="241" ht="90" customHeight="1">
      <c r="A241" s="51" t="inlineStr">
        <is>
          <t>◂ Back</t>
        </is>
      </c>
      <c r="B241" s="29" t="inlineStr">
        <is>
          <t>Mapped</t>
        </is>
      </c>
      <c r="C241" s="28" t="inlineStr">
        <is>
          <t>iDEAL</t>
        </is>
      </c>
      <c r="D241" s="29" t="inlineStr">
        <is>
          <t>IRIS2481</t>
        </is>
      </c>
      <c r="E241" s="29" t="inlineStr">
        <is>
          <t>Shreya Sharma</t>
        </is>
      </c>
      <c r="F241" s="29" t="inlineStr">
        <is>
          <t>Sales</t>
        </is>
      </c>
      <c r="G241" s="29" t="inlineStr">
        <is>
          <t>Senior Sales Executive</t>
        </is>
      </c>
      <c r="H241" s="29" t="inlineStr">
        <is>
          <t>Senior Alliances Executive</t>
        </is>
      </c>
      <c r="I241" s="29" t="inlineStr">
        <is>
          <t>L4 – Senior</t>
        </is>
      </c>
      <c r="J241" s="29" t="inlineStr">
        <is>
          <t>A3</t>
        </is>
      </c>
      <c r="K241" s="29" t="inlineStr">
        <is>
          <t>• Same level</t>
        </is>
      </c>
      <c r="L241" s="29" t="inlineStr">
        <is>
          <t>Sales &amp; Business Development</t>
        </is>
      </c>
      <c r="M241" s="29" t="inlineStr">
        <is>
          <t>Partnerships &amp; Alliances</t>
        </is>
      </c>
      <c r="N241" s="29" t="n"/>
      <c r="O241" s="29" t="n">
        <v>20</v>
      </c>
      <c r="P241" s="28" t="inlineStr">
        <is>
          <t>P2</t>
        </is>
      </c>
      <c r="Q241" s="29" t="inlineStr">
        <is>
          <t>Developing</t>
        </is>
      </c>
      <c r="R241" s="29" t="inlineStr">
        <is>
          <t>3 Apply</t>
        </is>
      </c>
      <c r="S241" s="29" t="inlineStr">
        <is>
          <t>2–4 yrs</t>
        </is>
      </c>
      <c r="T241" s="29" t="inlineStr">
        <is>
          <t>3–5 · 2–5</t>
        </is>
      </c>
      <c r="U241" s="29" t="inlineStr">
        <is>
          <t>SDR / Inside Sales</t>
        </is>
      </c>
      <c r="V241" s="29" t="inlineStr">
        <is>
          <t>IRIS Vs Competitor Benchmark — SaaS sales ladder — IC: Senior SDR</t>
        </is>
      </c>
      <c r="W241" s="29" t="inlineStr">
        <is>
          <t>SaaS sales ladder · SDR → AE → Enterprise AE → VP / CRO; MEDDICC-style qualification</t>
        </is>
      </c>
      <c r="X241" s="29" t="inlineStr">
        <is>
          <t>Core 2 · Future 2 · Functional 3 · Leadership not scored</t>
        </is>
      </c>
      <c r="Y241" s="52" t="n">
        <v>455</v>
      </c>
      <c r="Z241" s="53" t="inlineStr">
        <is>
          <t>IRIS2481</t>
        </is>
      </c>
      <c r="AA241" s="53" t="inlineStr">
        <is>
          <t>Employee</t>
        </is>
      </c>
      <c r="AB241" s="53" t="inlineStr">
        <is>
          <t>Active</t>
        </is>
      </c>
      <c r="AC241" s="53" t="inlineStr">
        <is>
          <t>Shreya Sharma</t>
        </is>
      </c>
      <c r="AD241" s="54" t="n">
        <v>46076</v>
      </c>
      <c r="AE241" s="53" t="inlineStr">
        <is>
          <t>Senior Sales Executive</t>
        </is>
      </c>
      <c r="AF241" s="53" t="inlineStr">
        <is>
          <t>B.Com</t>
        </is>
      </c>
      <c r="AG241" s="53" t="inlineStr">
        <is>
          <t>Shreya Jolly</t>
        </is>
      </c>
      <c r="AH241" s="53" t="inlineStr">
        <is>
          <t>N-5</t>
        </is>
      </c>
      <c r="AI241" s="53" t="inlineStr">
        <is>
          <t>Individual Contributor</t>
        </is>
      </c>
      <c r="AJ241" s="53" t="inlineStr">
        <is>
          <t>3 years, 10 months, 0 days</t>
        </is>
      </c>
      <c r="AK241" s="53" t="inlineStr">
        <is>
          <t>0 years, 6 months, 2 days</t>
        </is>
      </c>
      <c r="AL241" s="53" t="inlineStr">
        <is>
          <t>Regtech</t>
        </is>
      </c>
      <c r="AM241" s="53" t="inlineStr">
        <is>
          <t>iDEAL</t>
        </is>
      </c>
      <c r="AN241" s="53" t="inlineStr">
        <is>
          <t>Sales</t>
        </is>
      </c>
      <c r="AO241" s="53" t="inlineStr">
        <is>
          <t>Sales</t>
        </is>
      </c>
      <c r="AP241" s="53" t="inlineStr">
        <is>
          <t>No</t>
        </is>
      </c>
      <c r="AQ241" s="53" t="inlineStr">
        <is>
          <t>Sales, Marketing &amp; Support</t>
        </is>
      </c>
      <c r="AR241" s="53" t="inlineStr">
        <is>
          <t>Sales</t>
        </is>
      </c>
      <c r="AS241" s="53" t="inlineStr">
        <is>
          <t>Non-technical</t>
        </is>
      </c>
      <c r="AT241" s="53" t="n">
        <v>20</v>
      </c>
      <c r="AU241" s="53" t="inlineStr">
        <is>
          <t>Covered</t>
        </is>
      </c>
      <c r="AV241" s="53" t="n"/>
      <c r="AW241" s="53" t="n"/>
      <c r="AX241" s="53" t="n"/>
      <c r="AY241" s="53" t="n"/>
      <c r="AZ241" s="53" t="n"/>
      <c r="BA241" s="53" t="n"/>
      <c r="BB241" s="53" t="n"/>
      <c r="BC241" s="53" t="n"/>
      <c r="BD241" s="53" t="n"/>
      <c r="BE241" s="53" t="n"/>
      <c r="BF241" s="53" t="n"/>
      <c r="BG241" s="53" t="n"/>
      <c r="BH241" s="53" t="n"/>
      <c r="BI241" s="53" t="n"/>
      <c r="BJ241" s="53" t="n"/>
      <c r="BK241" s="53" t="n"/>
      <c r="BL241" s="53" t="n"/>
      <c r="BM241" s="53" t="n"/>
      <c r="BN241" s="53" t="n"/>
      <c r="BO241" s="53" t="n"/>
      <c r="BP241" s="53" t="n"/>
      <c r="BQ241" s="53" t="n"/>
      <c r="BR241" s="53" t="n"/>
      <c r="BS241" s="53" t="n"/>
      <c r="BT241" s="53" t="n"/>
      <c r="BU241" s="53" t="n"/>
      <c r="BV241" s="53" t="n"/>
      <c r="BW241" s="53" t="n"/>
      <c r="BX241" s="53" t="n"/>
      <c r="BY241" s="53" t="n"/>
      <c r="BZ241" s="53" t="n"/>
      <c r="CA241" s="53" t="n"/>
      <c r="CB241" s="53" t="n"/>
      <c r="CC241" s="53" t="n"/>
      <c r="CD241" s="53" t="n"/>
      <c r="CE241" s="53" t="n"/>
      <c r="CF241" s="53" t="n"/>
      <c r="CG241" s="53" t="n"/>
      <c r="CH241" s="53" t="n"/>
      <c r="CI241" s="53" t="n"/>
      <c r="CJ241" s="53" t="n"/>
      <c r="CK241" s="53" t="n"/>
      <c r="CL241" s="53" t="n"/>
      <c r="CM241" s="53" t="n"/>
      <c r="CN241" s="53" t="n"/>
      <c r="CO241" s="53" t="n"/>
      <c r="CP241" s="53" t="n"/>
      <c r="CQ241" s="53" t="n"/>
      <c r="CR241" s="53" t="n"/>
      <c r="CS241" s="53" t="n"/>
      <c r="CT241" s="53" t="n"/>
      <c r="CU241" s="53" t="n"/>
      <c r="CV241" s="53" t="n"/>
      <c r="CW241" s="53" t="n"/>
      <c r="CX241" s="53" t="n"/>
      <c r="CY241" s="53" t="n"/>
      <c r="CZ241" s="53" t="n"/>
      <c r="DA241" s="53" t="n"/>
      <c r="DB241" s="53" t="n"/>
      <c r="DC241" s="53" t="n"/>
      <c r="DD241" s="53" t="inlineStr">
        <is>
          <t>IRIS2481</t>
        </is>
      </c>
      <c r="DE241" s="53" t="inlineStr">
        <is>
          <t>Employee</t>
        </is>
      </c>
      <c r="DF241" s="53" t="inlineStr">
        <is>
          <t>Active</t>
        </is>
      </c>
      <c r="DG241" s="53" t="inlineStr">
        <is>
          <t>Shreya Sharma</t>
        </is>
      </c>
      <c r="DH241" s="54" t="n">
        <v>46076</v>
      </c>
      <c r="DI241" s="53" t="inlineStr">
        <is>
          <t>Senior Sales Executive</t>
        </is>
      </c>
      <c r="DJ241" s="53" t="inlineStr">
        <is>
          <t>Sales &amp; Business Development</t>
        </is>
      </c>
      <c r="DK241" s="53" t="inlineStr">
        <is>
          <t>Sales / Account Management</t>
        </is>
      </c>
      <c r="DL241" s="53" t="inlineStr">
        <is>
          <t>Senior Sales Executive</t>
        </is>
      </c>
      <c r="DM241" s="53" t="inlineStr">
        <is>
          <t>L4 – Senior</t>
        </is>
      </c>
      <c r="DN241" s="53" t="inlineStr">
        <is>
          <t>B.Com</t>
        </is>
      </c>
      <c r="DO241" s="53" t="inlineStr">
        <is>
          <t>Shreya Jolly</t>
        </is>
      </c>
      <c r="DP241" s="53" t="inlineStr">
        <is>
          <t>N-4</t>
        </is>
      </c>
      <c r="DQ241" s="53" t="inlineStr">
        <is>
          <t>Individual Contributor</t>
        </is>
      </c>
      <c r="DR241" s="53" t="inlineStr">
        <is>
          <t>3 years, 10 months, 0 days</t>
        </is>
      </c>
      <c r="DS241" s="53" t="inlineStr">
        <is>
          <t>0 years, 3 months, 28 days</t>
        </is>
      </c>
      <c r="DT241" s="53" t="inlineStr">
        <is>
          <t>4 years, 1 months, 28 days</t>
        </is>
      </c>
      <c r="DU241" s="53" t="n"/>
      <c r="DV241" s="53" t="inlineStr">
        <is>
          <t>Regtech</t>
        </is>
      </c>
      <c r="DW241" s="53" t="inlineStr">
        <is>
          <t>CARBON</t>
        </is>
      </c>
      <c r="DX241" s="53" t="inlineStr">
        <is>
          <t>Sales</t>
        </is>
      </c>
      <c r="DY241" s="53" t="inlineStr">
        <is>
          <t>Sales</t>
        </is>
      </c>
      <c r="DZ241" s="53" t="inlineStr">
        <is>
          <t>No</t>
        </is>
      </c>
      <c r="EA241" s="53" t="inlineStr">
        <is>
          <t>Sales, Marketing &amp; Support</t>
        </is>
      </c>
      <c r="EB241" s="53" t="inlineStr">
        <is>
          <t>Sales</t>
        </is>
      </c>
      <c r="EC241" s="53" t="inlineStr">
        <is>
          <t>Non-technical</t>
        </is>
      </c>
      <c r="ED241" s="53" t="inlineStr">
        <is>
          <t>Hybrid</t>
        </is>
      </c>
      <c r="EE241"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F241" s="53"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EG241"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241" s="53" t="n">
        <v>3</v>
      </c>
      <c r="EI241" s="53" t="n"/>
      <c r="EJ241" s="53" t="inlineStr">
        <is>
          <t>Sales Executive</t>
        </is>
      </c>
      <c r="EK241" s="53" t="inlineStr">
        <is>
          <t>No</t>
        </is>
      </c>
      <c r="EL241" s="53" t="n">
        <v>3</v>
      </c>
      <c r="EM241" s="53" t="inlineStr">
        <is>
          <t>High</t>
        </is>
      </c>
      <c r="EN241" s="53" t="inlineStr">
        <is>
          <t>Emerging Talent</t>
        </is>
      </c>
      <c r="EO241" s="53" t="inlineStr">
        <is>
          <t>No</t>
        </is>
      </c>
      <c r="EP241" s="53" t="inlineStr">
        <is>
          <t>No</t>
        </is>
      </c>
      <c r="EQ241" s="53" t="inlineStr">
        <is>
          <t>Yes</t>
        </is>
      </c>
      <c r="ER241" s="53" t="n"/>
      <c r="ES241" s="53"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T241" s="53" t="n"/>
      <c r="EU241" s="53" t="n"/>
      <c r="EV241" s="53" t="n"/>
      <c r="EW241" s="52" t="n"/>
      <c r="EX241" s="53" t="n"/>
      <c r="EY241" s="53" t="n"/>
      <c r="EZ241" s="53" t="n"/>
      <c r="FA241" s="53" t="n"/>
      <c r="FB241" s="53" t="n"/>
      <c r="FC241" s="53" t="n"/>
      <c r="FD241" s="53" t="n"/>
      <c r="FE241" s="57" t="inlineStr">
        <is>
          <t>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FF241"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241"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H241" s="56" t="inlineStr">
        <is>
          <t>3</t>
        </is>
      </c>
      <c r="FI241" s="56" t="n"/>
      <c r="FJ241" s="56" t="inlineStr">
        <is>
          <t>Received · manager annual, quarterly, self</t>
        </is>
      </c>
      <c r="FK241" s="56" t="inlineStr">
        <is>
          <t>Talent Mapping · iFile collated</t>
        </is>
      </c>
      <c r="FL241" s="56" t="n">
        <v>20</v>
      </c>
      <c r="FM241" s="32" t="inlineStr">
        <is>
          <t>Full survey answers not in the files received · How We Grow export needed · HR</t>
        </is>
      </c>
      <c r="FN241" s="56" t="inlineStr">
        <is>
          <t>—</t>
        </is>
      </c>
      <c r="FO241" s="56" t="inlineStr">
        <is>
          <t>—</t>
        </is>
      </c>
      <c r="FP241" s="56" t="inlineStr">
        <is>
          <t>—</t>
        </is>
      </c>
      <c r="FQ241" s="56" t="inlineStr">
        <is>
          <t>—</t>
        </is>
      </c>
      <c r="FR241" s="56"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database, CRM, revenue tracking; KRA quota 80 lakhs → moved up 0.5
Leadership: Evidence reads like A1: No guidance or leadership of others described → moved down 0.5
Business Impact: Moved +0.5: the survey / manager mapping marks it business-critical.</t>
        </is>
      </c>
      <c r="FS241" s="56" t="n"/>
      <c r="FT241" s="56" t="inlineStr">
        <is>
          <t>Self-identified: Leadership &amp; people management · Client, sales &amp; stakeholders
For the next role: Leadership &amp; people management · Client, sales &amp; stakeholders</t>
        </is>
      </c>
      <c r="FU241" s="32" t="inlineStr">
        <is>
          <t>Full survey answers not in the files received · How We Grow export needed · HR</t>
        </is>
      </c>
    </row>
    <row r="242" ht="90" customHeight="1">
      <c r="A242" s="51" t="inlineStr">
        <is>
          <t>◂ Back</t>
        </is>
      </c>
      <c r="B242" s="29" t="inlineStr">
        <is>
          <t>Mapped</t>
        </is>
      </c>
      <c r="C242" s="28" t="inlineStr">
        <is>
          <t>iFile</t>
        </is>
      </c>
      <c r="D242" s="29" t="inlineStr">
        <is>
          <t>INTN0304</t>
        </is>
      </c>
      <c r="E242" s="29" t="inlineStr">
        <is>
          <t>Anushka Chaturvedi</t>
        </is>
      </c>
      <c r="F242" s="29" t="inlineStr">
        <is>
          <t>Sales</t>
        </is>
      </c>
      <c r="G242" s="29" t="inlineStr">
        <is>
          <t>Intern</t>
        </is>
      </c>
      <c r="H242" s="29" t="inlineStr">
        <is>
          <t>Intern – Application &amp; Product Support</t>
        </is>
      </c>
      <c r="I242" s="29" t="inlineStr">
        <is>
          <t>L1 – Intern</t>
        </is>
      </c>
      <c r="J242" s="29" t="inlineStr">
        <is>
          <t>A1</t>
        </is>
      </c>
      <c r="K242" s="29" t="inlineStr">
        <is>
          <t>• Same level</t>
        </is>
      </c>
      <c r="L242" s="29" t="inlineStr">
        <is>
          <t>Customer Success &amp; Support</t>
        </is>
      </c>
      <c r="M242" s="29" t="inlineStr">
        <is>
          <t>Application &amp; Product Support</t>
        </is>
      </c>
      <c r="N242" s="29" t="n"/>
      <c r="O242" s="29" t="n">
        <v>20</v>
      </c>
      <c r="P242" s="28" t="inlineStr">
        <is>
          <t>Entry / P1 · intern</t>
        </is>
      </c>
      <c r="Q242" s="29" t="inlineStr">
        <is>
          <t>Entry</t>
        </is>
      </c>
      <c r="R242" s="29" t="inlineStr">
        <is>
          <t>1 Follow</t>
        </is>
      </c>
      <c r="S242" s="29" t="inlineStr">
        <is>
          <t>0 yrs · fresher / intern</t>
        </is>
      </c>
      <c r="T242" s="29" t="inlineStr">
        <is>
          <t>—</t>
        </is>
      </c>
      <c r="U242" s="29" t="inlineStr">
        <is>
          <t>Support Associate</t>
        </is>
      </c>
      <c r="V242" s="29" t="inlineStr">
        <is>
          <t>Workiva: Customer Success intern</t>
        </is>
      </c>
      <c r="W242" s="29" t="inlineStr">
        <is>
          <t>TSIA frameworks and benchmarks; ITIL 4 service desk; Gainsight customer-success practice</t>
        </is>
      </c>
      <c r="X242" s="29" t="inlineStr">
        <is>
          <t>Core 1 · Future 1 · Functional 1 · Leadership not scored</t>
        </is>
      </c>
      <c r="Y242" s="52" t="n">
        <v>499</v>
      </c>
      <c r="Z242" s="53" t="inlineStr">
        <is>
          <t>INTN0304</t>
        </is>
      </c>
      <c r="AA242" s="53" t="inlineStr">
        <is>
          <t>Intern</t>
        </is>
      </c>
      <c r="AB242" s="53" t="inlineStr">
        <is>
          <t>Active</t>
        </is>
      </c>
      <c r="AC242" s="53" t="inlineStr">
        <is>
          <t>Anushka Chaturvedi</t>
        </is>
      </c>
      <c r="AD242" s="54" t="n">
        <v>46146</v>
      </c>
      <c r="AE242" s="53" t="inlineStr">
        <is>
          <t>Intern</t>
        </is>
      </c>
      <c r="AF242" s="53" t="inlineStr">
        <is>
          <t>MBA</t>
        </is>
      </c>
      <c r="AG242" s="53" t="inlineStr">
        <is>
          <t>Amit Jaidka</t>
        </is>
      </c>
      <c r="AH242" s="53" t="inlineStr">
        <is>
          <t>N-4</t>
        </is>
      </c>
      <c r="AI242" s="53" t="inlineStr">
        <is>
          <t>Individual Contributor</t>
        </is>
      </c>
      <c r="AJ242" s="53" t="inlineStr">
        <is>
          <t>0 years, 0 months, 0 days</t>
        </is>
      </c>
      <c r="AK242" s="53" t="inlineStr">
        <is>
          <t>0 years, 3 months, 21 days</t>
        </is>
      </c>
      <c r="AL242" s="53" t="inlineStr">
        <is>
          <t>Suptech</t>
        </is>
      </c>
      <c r="AM242" s="53" t="inlineStr">
        <is>
          <t>iFile</t>
        </is>
      </c>
      <c r="AN242" s="53" t="inlineStr">
        <is>
          <t>Sales</t>
        </is>
      </c>
      <c r="AO242" s="53" t="inlineStr">
        <is>
          <t>Sales</t>
        </is>
      </c>
      <c r="AP242" s="53" t="inlineStr">
        <is>
          <t>No</t>
        </is>
      </c>
      <c r="AQ242" s="53" t="inlineStr">
        <is>
          <t>Sales, Marketing &amp; Support</t>
        </is>
      </c>
      <c r="AR242" s="53" t="inlineStr">
        <is>
          <t>Sales</t>
        </is>
      </c>
      <c r="AS242" s="53" t="inlineStr">
        <is>
          <t>Non-technical</t>
        </is>
      </c>
      <c r="AT242" s="53" t="n">
        <v>20</v>
      </c>
      <c r="AU242" s="53" t="inlineStr">
        <is>
          <t>Covered</t>
        </is>
      </c>
      <c r="AV242" s="53" t="n"/>
      <c r="AW242" s="53" t="n"/>
      <c r="AX242" s="53" t="n"/>
      <c r="AY242" s="53" t="n"/>
      <c r="AZ242" s="53" t="n"/>
      <c r="BA242" s="53" t="n"/>
      <c r="BB242" s="53" t="n"/>
      <c r="BC242" s="53" t="n"/>
      <c r="BD242" s="53" t="n"/>
      <c r="BE242" s="53" t="n"/>
      <c r="BF242" s="53" t="n"/>
      <c r="BG242" s="53" t="n"/>
      <c r="BH242" s="53" t="n"/>
      <c r="BI242" s="53" t="n"/>
      <c r="BJ242" s="53" t="n"/>
      <c r="BK242" s="53" t="n"/>
      <c r="BL242" s="53" t="n"/>
      <c r="BM242" s="53" t="n"/>
      <c r="BN242" s="53" t="n"/>
      <c r="BO242" s="53" t="n"/>
      <c r="BP242" s="53" t="n"/>
      <c r="BQ242" s="53" t="n"/>
      <c r="BR242" s="53" t="n"/>
      <c r="BS242" s="53" t="n"/>
      <c r="BT242" s="53" t="n"/>
      <c r="BU242" s="53" t="n"/>
      <c r="BV242" s="53" t="n"/>
      <c r="BW242" s="53" t="n"/>
      <c r="BX242" s="53" t="n"/>
      <c r="BY242" s="53" t="n"/>
      <c r="BZ242" s="53" t="n"/>
      <c r="CA242" s="53" t="n"/>
      <c r="CB242" s="53" t="n"/>
      <c r="CC242" s="53" t="n"/>
      <c r="CD242" s="53" t="n"/>
      <c r="CE242" s="53" t="n"/>
      <c r="CF242" s="53" t="n"/>
      <c r="CG242" s="53" t="n"/>
      <c r="CH242" s="53" t="n"/>
      <c r="CI242" s="53" t="n"/>
      <c r="CJ242" s="53" t="n"/>
      <c r="CK242" s="53" t="n"/>
      <c r="CL242" s="53" t="n"/>
      <c r="CM242" s="53" t="n"/>
      <c r="CN242" s="53" t="n"/>
      <c r="CO242" s="53" t="n"/>
      <c r="CP242" s="53" t="n"/>
      <c r="CQ242" s="53" t="n"/>
      <c r="CR242" s="53" t="n"/>
      <c r="CS242" s="53" t="n"/>
      <c r="CT242" s="53" t="n"/>
      <c r="CU242" s="53" t="n"/>
      <c r="CV242" s="53" t="n"/>
      <c r="CW242" s="53" t="n"/>
      <c r="CX242" s="53" t="n"/>
      <c r="CY242" s="53" t="n"/>
      <c r="CZ242" s="53" t="n"/>
      <c r="DA242" s="53" t="n"/>
      <c r="DB242" s="53" t="n"/>
      <c r="DC242" s="53" t="n"/>
      <c r="DD242" s="53" t="inlineStr">
        <is>
          <t>INTN0304</t>
        </is>
      </c>
      <c r="DE242" s="53" t="inlineStr">
        <is>
          <t>Intern</t>
        </is>
      </c>
      <c r="DF242" s="53" t="inlineStr">
        <is>
          <t>Active</t>
        </is>
      </c>
      <c r="DG242" s="53" t="inlineStr">
        <is>
          <t>Anushka Chaturvedi</t>
        </is>
      </c>
      <c r="DH242" s="54" t="n">
        <v>46146</v>
      </c>
      <c r="DI242" s="53" t="inlineStr">
        <is>
          <t>Intern</t>
        </is>
      </c>
      <c r="DJ242" s="53" t="inlineStr">
        <is>
          <t>Sales &amp; Business Development</t>
        </is>
      </c>
      <c r="DK242" s="53" t="inlineStr">
        <is>
          <t>Sales / Account Management</t>
        </is>
      </c>
      <c r="DL242" s="53" t="inlineStr">
        <is>
          <t>Intern</t>
        </is>
      </c>
      <c r="DM242" s="53" t="inlineStr">
        <is>
          <t>L1 – Intern</t>
        </is>
      </c>
      <c r="DN242" s="53" t="inlineStr">
        <is>
          <t>MBA</t>
        </is>
      </c>
      <c r="DO242" s="53" t="inlineStr">
        <is>
          <t>Amit Jaidka</t>
        </is>
      </c>
      <c r="DP242" s="53" t="inlineStr">
        <is>
          <t>N-3</t>
        </is>
      </c>
      <c r="DQ242" s="53" t="inlineStr">
        <is>
          <t>Individual Contributor</t>
        </is>
      </c>
      <c r="DR242" s="53" t="inlineStr">
        <is>
          <t>0 years, 0 months, 0 days</t>
        </is>
      </c>
      <c r="DS242" s="53" t="inlineStr">
        <is>
          <t>0 years, 1 months, 16 days</t>
        </is>
      </c>
      <c r="DT242" s="53" t="inlineStr">
        <is>
          <t>0 years, 1 months, 16 days</t>
        </is>
      </c>
      <c r="DU242" s="53" t="n"/>
      <c r="DV242" s="53" t="inlineStr">
        <is>
          <t>Suptech</t>
        </is>
      </c>
      <c r="DW242" s="53" t="inlineStr">
        <is>
          <t>iFile</t>
        </is>
      </c>
      <c r="DX242" s="53" t="inlineStr">
        <is>
          <t>Sales</t>
        </is>
      </c>
      <c r="DY242" s="53" t="inlineStr">
        <is>
          <t>Sales</t>
        </is>
      </c>
      <c r="DZ242" s="53" t="inlineStr">
        <is>
          <t>No</t>
        </is>
      </c>
      <c r="EA242" s="53" t="inlineStr">
        <is>
          <t>Sales, Marketing &amp; Support</t>
        </is>
      </c>
      <c r="EB242" s="53" t="inlineStr">
        <is>
          <t>Sales</t>
        </is>
      </c>
      <c r="EC242" s="53" t="inlineStr">
        <is>
          <t>Non-technical</t>
        </is>
      </c>
      <c r="ED242" s="53" t="inlineStr">
        <is>
          <t>Hybrid</t>
        </is>
      </c>
      <c r="EE242" s="53"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EF242" s="53"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EG242" s="53"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EH242" s="53" t="n">
        <v>4</v>
      </c>
      <c r="EI242" s="53" t="n"/>
      <c r="EJ242" s="53" t="inlineStr">
        <is>
          <t>Intern</t>
        </is>
      </c>
      <c r="EK242" s="53" t="inlineStr">
        <is>
          <t>No</t>
        </is>
      </c>
      <c r="EL242" s="53" t="n">
        <v>4</v>
      </c>
      <c r="EM242" s="53" t="inlineStr">
        <is>
          <t>Medium</t>
        </is>
      </c>
      <c r="EN242" s="53" t="inlineStr">
        <is>
          <t>Emerging Talent</t>
        </is>
      </c>
      <c r="EO242" s="53" t="inlineStr">
        <is>
          <t>No</t>
        </is>
      </c>
      <c r="EP242" s="53" t="inlineStr">
        <is>
          <t>No</t>
        </is>
      </c>
      <c r="EQ242" s="53" t="inlineStr">
        <is>
          <t>No</t>
        </is>
      </c>
      <c r="ER242" s="53" t="inlineStr">
        <is>
          <t>No</t>
        </is>
      </c>
      <c r="ES242" s="53" t="n"/>
      <c r="ET242" s="53" t="n"/>
      <c r="EU242" s="53" t="n"/>
      <c r="EV242" s="53" t="n"/>
      <c r="EW242" s="52" t="n"/>
      <c r="EX242" s="53" t="n"/>
      <c r="EY242" s="53" t="n"/>
      <c r="EZ242" s="53" t="n"/>
      <c r="FA242" s="53" t="n"/>
      <c r="FB242" s="53" t="n"/>
      <c r="FC242" s="53" t="n"/>
      <c r="FD242" s="53" t="n"/>
      <c r="FE242" s="57"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FF242" s="56"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FG242" s="56"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FH242" s="56" t="inlineStr">
        <is>
          <t>4</t>
        </is>
      </c>
      <c r="FI242" s="56" t="n"/>
      <c r="FJ242" s="56" t="inlineStr">
        <is>
          <t>Received · manager annual, quarterly, self</t>
        </is>
      </c>
      <c r="FK242" s="56" t="inlineStr">
        <is>
          <t>Talent Mapping · iFile collated</t>
        </is>
      </c>
      <c r="FL242" s="56" t="n">
        <v>20</v>
      </c>
      <c r="FM242" s="32" t="inlineStr">
        <is>
          <t>Full survey answers not in the files received · How We Grow export needed · HR</t>
        </is>
      </c>
      <c r="FN242" s="56" t="inlineStr">
        <is>
          <t>—</t>
        </is>
      </c>
      <c r="FO242" s="56" t="inlineStr">
        <is>
          <t>—</t>
        </is>
      </c>
      <c r="FP242" s="56" t="inlineStr">
        <is>
          <t>—</t>
        </is>
      </c>
      <c r="FQ242" s="56" t="inlineStr">
        <is>
          <t>—</t>
        </is>
      </c>
      <c r="FR242" s="56" t="n"/>
      <c r="FS242"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42" s="56" t="inlineStr">
        <is>
          <t>Self-identified: Broader exposure &amp; ownership
For the next role: Broader exposure &amp; ownership</t>
        </is>
      </c>
      <c r="FU242" s="32" t="inlineStr">
        <is>
          <t>Full survey answers not in the files received · How We Grow export needed · HR</t>
        </is>
      </c>
    </row>
    <row r="243" ht="90" customHeight="1">
      <c r="A243" s="51" t="inlineStr">
        <is>
          <t>◂ Back</t>
        </is>
      </c>
      <c r="B243" s="29" t="inlineStr">
        <is>
          <t>Mapped</t>
        </is>
      </c>
      <c r="C243" s="28" t="inlineStr">
        <is>
          <t>iDEAL</t>
        </is>
      </c>
      <c r="D243" s="29" t="inlineStr">
        <is>
          <t>INTN0302</t>
        </is>
      </c>
      <c r="E243" s="29" t="inlineStr">
        <is>
          <t>Nehal Bohra</t>
        </is>
      </c>
      <c r="F243" s="29" t="inlineStr">
        <is>
          <t>Sales</t>
        </is>
      </c>
      <c r="G243" s="29" t="inlineStr">
        <is>
          <t>Intern</t>
        </is>
      </c>
      <c r="H243" s="29" t="inlineStr">
        <is>
          <t>Intern – Application &amp; Product Support</t>
        </is>
      </c>
      <c r="I243" s="29" t="inlineStr">
        <is>
          <t>L1 – Intern</t>
        </is>
      </c>
      <c r="J243" s="29" t="inlineStr">
        <is>
          <t>A1</t>
        </is>
      </c>
      <c r="K243" s="29" t="inlineStr">
        <is>
          <t>• Same level</t>
        </is>
      </c>
      <c r="L243" s="29" t="inlineStr">
        <is>
          <t>Customer Success &amp; Support</t>
        </is>
      </c>
      <c r="M243" s="29" t="inlineStr">
        <is>
          <t>Application &amp; Product Support</t>
        </is>
      </c>
      <c r="N243" s="29" t="n"/>
      <c r="O243" s="29" t="n">
        <v>19</v>
      </c>
      <c r="P243" s="28" t="inlineStr">
        <is>
          <t>Entry / P1 · intern</t>
        </is>
      </c>
      <c r="Q243" s="29" t="inlineStr">
        <is>
          <t>Entry</t>
        </is>
      </c>
      <c r="R243" s="29" t="inlineStr">
        <is>
          <t>1 Follow</t>
        </is>
      </c>
      <c r="S243" s="29" t="inlineStr">
        <is>
          <t>0 yrs · fresher / intern</t>
        </is>
      </c>
      <c r="T243" s="29" t="inlineStr">
        <is>
          <t>—</t>
        </is>
      </c>
      <c r="U243" s="29" t="inlineStr">
        <is>
          <t>Support Associate</t>
        </is>
      </c>
      <c r="V243" s="29" t="inlineStr">
        <is>
          <t>Workiva: Customer Success intern</t>
        </is>
      </c>
      <c r="W243" s="29" t="inlineStr">
        <is>
          <t>TSIA frameworks and benchmarks; ITIL 4 service desk; Gainsight customer-success practice</t>
        </is>
      </c>
      <c r="X243" s="29" t="inlineStr">
        <is>
          <t>Core 1 · Future 1 · Functional 1 · Leadership not scored</t>
        </is>
      </c>
      <c r="Y243" s="52" t="n">
        <v>496</v>
      </c>
      <c r="Z243" s="53" t="inlineStr">
        <is>
          <t>INTN0302</t>
        </is>
      </c>
      <c r="AA243" s="53" t="inlineStr">
        <is>
          <t>Intern</t>
        </is>
      </c>
      <c r="AB243" s="53" t="inlineStr">
        <is>
          <t>Active</t>
        </is>
      </c>
      <c r="AC243" s="53" t="inlineStr">
        <is>
          <t>Nehal Bohra</t>
        </is>
      </c>
      <c r="AD243" s="54" t="n">
        <v>46135</v>
      </c>
      <c r="AE243" s="53" t="inlineStr">
        <is>
          <t>Intern</t>
        </is>
      </c>
      <c r="AF243" s="53" t="inlineStr">
        <is>
          <t>BBA</t>
        </is>
      </c>
      <c r="AG243" s="53" t="inlineStr">
        <is>
          <t>Amit Jaidka</t>
        </is>
      </c>
      <c r="AH243" s="53" t="inlineStr">
        <is>
          <t>N-4</t>
        </is>
      </c>
      <c r="AI243" s="53" t="inlineStr">
        <is>
          <t>Individual Contributor</t>
        </is>
      </c>
      <c r="AJ243" s="53" t="inlineStr">
        <is>
          <t>0 years, 0 months, 0 days</t>
        </is>
      </c>
      <c r="AK243" s="53" t="inlineStr">
        <is>
          <t>0 years, 4 months, 2 days</t>
        </is>
      </c>
      <c r="AL243" s="53" t="inlineStr">
        <is>
          <t>Regtech</t>
        </is>
      </c>
      <c r="AM243" s="53" t="inlineStr">
        <is>
          <t>iDEAL</t>
        </is>
      </c>
      <c r="AN243" s="53" t="inlineStr">
        <is>
          <t>Sales</t>
        </is>
      </c>
      <c r="AO243" s="53" t="inlineStr">
        <is>
          <t>Sales</t>
        </is>
      </c>
      <c r="AP243" s="53" t="inlineStr">
        <is>
          <t>No</t>
        </is>
      </c>
      <c r="AQ243" s="53" t="inlineStr">
        <is>
          <t>Sales, Marketing &amp; Support</t>
        </is>
      </c>
      <c r="AR243" s="53" t="inlineStr">
        <is>
          <t>Sales</t>
        </is>
      </c>
      <c r="AS243" s="53" t="inlineStr">
        <is>
          <t>Non-technical</t>
        </is>
      </c>
      <c r="AT243" s="53" t="n">
        <v>20</v>
      </c>
      <c r="AU243" s="53" t="inlineStr">
        <is>
          <t>Covered</t>
        </is>
      </c>
      <c r="AV243" s="53" t="n"/>
      <c r="AW243" s="53" t="n"/>
      <c r="AX243" s="53" t="n"/>
      <c r="AY243" s="53" t="n"/>
      <c r="AZ243" s="53" t="n"/>
      <c r="BA243" s="53" t="n"/>
      <c r="BB243" s="53" t="n"/>
      <c r="BC243" s="53" t="n"/>
      <c r="BD243" s="53" t="n"/>
      <c r="BE243" s="53" t="n"/>
      <c r="BF243" s="53" t="n"/>
      <c r="BG243" s="53" t="n"/>
      <c r="BH243" s="53" t="n"/>
      <c r="BI243" s="53" t="n"/>
      <c r="BJ243" s="53" t="n"/>
      <c r="BK243" s="53" t="n"/>
      <c r="BL243" s="53" t="n"/>
      <c r="BM243" s="53" t="n"/>
      <c r="BN243" s="53" t="n"/>
      <c r="BO243" s="53" t="n"/>
      <c r="BP243" s="53" t="n"/>
      <c r="BQ243" s="53" t="n"/>
      <c r="BR243" s="53" t="n"/>
      <c r="BS243" s="53" t="n"/>
      <c r="BT243" s="53" t="n"/>
      <c r="BU243" s="53" t="n"/>
      <c r="BV243" s="53" t="n"/>
      <c r="BW243" s="53" t="n"/>
      <c r="BX243" s="53" t="n"/>
      <c r="BY243" s="53" t="n"/>
      <c r="BZ243" s="53" t="n"/>
      <c r="CA243" s="53" t="n"/>
      <c r="CB243" s="53" t="n"/>
      <c r="CC243" s="53" t="n"/>
      <c r="CD243" s="53" t="n"/>
      <c r="CE243" s="53" t="n"/>
      <c r="CF243" s="53" t="n"/>
      <c r="CG243" s="53" t="n"/>
      <c r="CH243" s="53" t="n"/>
      <c r="CI243" s="53" t="n"/>
      <c r="CJ243" s="53" t="n"/>
      <c r="CK243" s="53" t="n"/>
      <c r="CL243" s="53" t="n"/>
      <c r="CM243" s="53" t="n"/>
      <c r="CN243" s="53" t="n"/>
      <c r="CO243" s="53" t="n"/>
      <c r="CP243" s="53" t="n"/>
      <c r="CQ243" s="53" t="n"/>
      <c r="CR243" s="53" t="n"/>
      <c r="CS243" s="53" t="n"/>
      <c r="CT243" s="53" t="n"/>
      <c r="CU243" s="53" t="n"/>
      <c r="CV243" s="53" t="n"/>
      <c r="CW243" s="53" t="n"/>
      <c r="CX243" s="53" t="n"/>
      <c r="CY243" s="53" t="n"/>
      <c r="CZ243" s="53" t="n"/>
      <c r="DA243" s="53" t="n"/>
      <c r="DB243" s="53" t="n"/>
      <c r="DC243" s="53" t="n"/>
      <c r="DD243" s="53" t="inlineStr">
        <is>
          <t>INTN0302</t>
        </is>
      </c>
      <c r="DE243" s="53" t="inlineStr">
        <is>
          <t>Intern</t>
        </is>
      </c>
      <c r="DF243" s="53" t="inlineStr">
        <is>
          <t>Active</t>
        </is>
      </c>
      <c r="DG243" s="53" t="inlineStr">
        <is>
          <t>Nehal Bohra</t>
        </is>
      </c>
      <c r="DH243" s="54" t="n">
        <v>46135</v>
      </c>
      <c r="DI243" s="53" t="inlineStr">
        <is>
          <t>Intern</t>
        </is>
      </c>
      <c r="DJ243" s="53" t="inlineStr">
        <is>
          <t>Sales &amp; Business Development</t>
        </is>
      </c>
      <c r="DK243" s="53" t="inlineStr">
        <is>
          <t>Sales / Account Management</t>
        </is>
      </c>
      <c r="DL243" s="53" t="inlineStr">
        <is>
          <t>Intern</t>
        </is>
      </c>
      <c r="DM243" s="53" t="inlineStr">
        <is>
          <t>L1 – Intern</t>
        </is>
      </c>
      <c r="DN243" s="53" t="inlineStr">
        <is>
          <t>BBA</t>
        </is>
      </c>
      <c r="DO243" s="53" t="inlineStr">
        <is>
          <t>Amit Jaidka</t>
        </is>
      </c>
      <c r="DP243" s="53" t="inlineStr">
        <is>
          <t>N-3</t>
        </is>
      </c>
      <c r="DQ243" s="53" t="inlineStr">
        <is>
          <t>Individual Contributor</t>
        </is>
      </c>
      <c r="DR243" s="53" t="inlineStr">
        <is>
          <t>0 years, 0 months, 0 days</t>
        </is>
      </c>
      <c r="DS243" s="53" t="inlineStr">
        <is>
          <t>0 years, 1 months, 28 days</t>
        </is>
      </c>
      <c r="DT243" s="53" t="inlineStr">
        <is>
          <t>0 years, 1 months, 28 days</t>
        </is>
      </c>
      <c r="DU243" s="53" t="n"/>
      <c r="DV243" s="53" t="inlineStr">
        <is>
          <t>Regtech</t>
        </is>
      </c>
      <c r="DW243" s="53" t="inlineStr">
        <is>
          <t>iDEAL</t>
        </is>
      </c>
      <c r="DX243" s="53" t="inlineStr">
        <is>
          <t>Sales</t>
        </is>
      </c>
      <c r="DY243" s="53" t="inlineStr">
        <is>
          <t>Sales</t>
        </is>
      </c>
      <c r="DZ243" s="53" t="inlineStr">
        <is>
          <t>No</t>
        </is>
      </c>
      <c r="EA243" s="53" t="inlineStr">
        <is>
          <t>Sales, Marketing &amp; Support</t>
        </is>
      </c>
      <c r="EB243" s="53" t="inlineStr">
        <is>
          <t>Sales</t>
        </is>
      </c>
      <c r="EC243" s="53" t="inlineStr">
        <is>
          <t>Non-technical</t>
        </is>
      </c>
      <c r="ED243" s="53" t="inlineStr">
        <is>
          <t>Hybrid</t>
        </is>
      </c>
      <c r="EE243" s="53"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EF243" s="53"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G243" s="53"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EH243" s="53" t="n"/>
      <c r="EI243" s="53" t="n"/>
      <c r="EJ243" s="53" t="inlineStr">
        <is>
          <t>Same as per records</t>
        </is>
      </c>
      <c r="EK243" s="53" t="n"/>
      <c r="EL243" s="53" t="n"/>
      <c r="EM243" s="53" t="n"/>
      <c r="EN243" s="53" t="n"/>
      <c r="EO243" s="53" t="n"/>
      <c r="EP243" s="53" t="n"/>
      <c r="EQ243" s="53" t="n"/>
      <c r="ER243" s="53" t="n"/>
      <c r="ES243" s="53" t="inlineStr">
        <is>
          <t>Training on the effective utilization of AI tools.</t>
        </is>
      </c>
      <c r="ET243" s="53" t="n"/>
      <c r="EU243" s="53" t="n"/>
      <c r="EV243" s="53" t="n"/>
      <c r="EW243" s="52" t="n"/>
      <c r="EX243" s="53" t="n"/>
      <c r="EY243" s="53" t="n"/>
      <c r="EZ243" s="53" t="n"/>
      <c r="FA243" s="53" t="n"/>
      <c r="FB243" s="53" t="n"/>
      <c r="FC243" s="53" t="inlineStr">
        <is>
          <t>Annual KRAs · objective Measurable Minimum 5 - Self; Annual KRAs · objective Measurable Minimum 5 - set by Manager; Quarterly KRAs</t>
        </is>
      </c>
      <c r="FD243" s="53" t="n"/>
      <c r="FE243"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243" s="56"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FG243" s="56"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FH243" s="56" t="n"/>
      <c r="FI243" s="56" t="n"/>
      <c r="FJ243" s="56" t="inlineStr">
        <is>
          <t>Received · manager annual, quarterly, self</t>
        </is>
      </c>
      <c r="FK243" s="56" t="inlineStr">
        <is>
          <t>Talent Mapping · iFile collated</t>
        </is>
      </c>
      <c r="FL243" s="56" t="n">
        <v>19</v>
      </c>
      <c r="FM243" s="32" t="inlineStr">
        <is>
          <t>Full survey answers not in the files received · How We Grow export needed · HR</t>
        </is>
      </c>
      <c r="FN243" s="56" t="inlineStr">
        <is>
          <t>—</t>
        </is>
      </c>
      <c r="FO243" s="56" t="inlineStr">
        <is>
          <t>—</t>
        </is>
      </c>
      <c r="FP243" s="56" t="inlineStr">
        <is>
          <t>—</t>
        </is>
      </c>
      <c r="FQ243" s="56" t="inlineStr">
        <is>
          <t>—</t>
        </is>
      </c>
      <c r="FR243" s="56" t="n"/>
      <c r="FS243"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43" s="56" t="inlineStr">
        <is>
          <t>Self-identified: Broader exposure &amp; ownership
For the next role: Broader exposure &amp; ownership</t>
        </is>
      </c>
      <c r="FU243" s="32" t="inlineStr">
        <is>
          <t>Full survey answers not in the files received · How We Grow export needed · HR</t>
        </is>
      </c>
    </row>
    <row r="244" ht="90" customHeight="1">
      <c r="A244" s="51" t="inlineStr">
        <is>
          <t>◂ Back</t>
        </is>
      </c>
      <c r="B244" s="29" t="inlineStr">
        <is>
          <t>Mapped</t>
        </is>
      </c>
      <c r="C244" s="28" t="inlineStr">
        <is>
          <t>Consume</t>
        </is>
      </c>
      <c r="D244" s="29" t="inlineStr">
        <is>
          <t>IRIS0007</t>
        </is>
      </c>
      <c r="E244" s="29" t="inlineStr">
        <is>
          <t>Gopal Krishna Sahu</t>
        </is>
      </c>
      <c r="F244" s="29" t="inlineStr">
        <is>
          <t>India Content</t>
        </is>
      </c>
      <c r="G244" s="29" t="inlineStr">
        <is>
          <t>Data Analyst Manager</t>
        </is>
      </c>
      <c r="H244" s="29" t="inlineStr">
        <is>
          <t>Data Operations Manager</t>
        </is>
      </c>
      <c r="I244" s="29" t="inlineStr">
        <is>
          <t>L5 – Manager</t>
        </is>
      </c>
      <c r="J244" s="29" t="inlineStr">
        <is>
          <t>B2</t>
        </is>
      </c>
      <c r="K244" s="29" t="inlineStr">
        <is>
          <t>• Same level</t>
        </is>
      </c>
      <c r="L244" s="29" t="inlineStr">
        <is>
          <t>Data &amp; Analytics</t>
        </is>
      </c>
      <c r="M244" s="29" t="inlineStr">
        <is>
          <t>Financial Data Processing</t>
        </is>
      </c>
      <c r="N244" s="29" t="inlineStr">
        <is>
          <t>• Confirm structure behind the senior title · org chart — Business head
• Correct the experience record — HR</t>
        </is>
      </c>
      <c r="O244" s="29" t="n">
        <v>20</v>
      </c>
      <c r="P244" s="28" t="inlineStr">
        <is>
          <t>P4 / M3</t>
        </is>
      </c>
      <c r="Q244" s="29" t="inlineStr">
        <is>
          <t>Senior / Manager</t>
        </is>
      </c>
      <c r="R244" s="29" t="inlineStr">
        <is>
          <t>4–5</t>
        </is>
      </c>
      <c r="S244" s="29" t="inlineStr">
        <is>
          <t>6–9 yrs</t>
        </is>
      </c>
      <c r="T244" s="29" t="inlineStr">
        <is>
          <t>7–10 · 6–11</t>
        </is>
      </c>
      <c r="U244" s="29" t="inlineStr">
        <is>
          <t>Manager</t>
        </is>
      </c>
      <c r="V244" s="29" t="inlineStr">
        <is>
          <t>Atlassian company-wide P-levels: P50 Senior Analyst · IRIS Vs Competitor Benchmark — data analyst ladder: Lead Data Analyst</t>
        </is>
      </c>
      <c r="W244" s="29" t="inlineStr">
        <is>
          <t>DAMA-DMBOK · 11 knowledge areas around data governance</t>
        </is>
      </c>
      <c r="X244" s="29" t="inlineStr">
        <is>
          <t>Core 3 · Future 3 · Functional 4 · Leadership 3</t>
        </is>
      </c>
      <c r="Y244" s="52" t="n">
        <v>4</v>
      </c>
      <c r="Z244" s="53" t="inlineStr">
        <is>
          <t>IRIS0007</t>
        </is>
      </c>
      <c r="AA244" s="53" t="inlineStr">
        <is>
          <t>Employee</t>
        </is>
      </c>
      <c r="AB244" s="53" t="inlineStr">
        <is>
          <t>Active</t>
        </is>
      </c>
      <c r="AC244" s="53" t="inlineStr">
        <is>
          <t>Gopal Krishna Sahu</t>
        </is>
      </c>
      <c r="AD244" s="54" t="n">
        <v>38200</v>
      </c>
      <c r="AE244" s="53" t="inlineStr">
        <is>
          <t>Data Analyst Manager</t>
        </is>
      </c>
      <c r="AF244" s="53" t="inlineStr">
        <is>
          <t>MBA</t>
        </is>
      </c>
      <c r="AG244" s="53" t="inlineStr">
        <is>
          <t>Arup Ganguly</t>
        </is>
      </c>
      <c r="AH244" s="53" t="inlineStr">
        <is>
          <t>N-3</t>
        </is>
      </c>
      <c r="AI244" s="53" t="inlineStr">
        <is>
          <t>Manager</t>
        </is>
      </c>
      <c r="AJ244" s="53" t="inlineStr">
        <is>
          <t>13 years, 1 months, 0 days</t>
        </is>
      </c>
      <c r="AK244" s="53" t="inlineStr">
        <is>
          <t>22 years, 0 months, 24 days</t>
        </is>
      </c>
      <c r="AL244" s="53" t="inlineStr">
        <is>
          <t>Consume</t>
        </is>
      </c>
      <c r="AM244" s="53" t="inlineStr">
        <is>
          <t>Consume</t>
        </is>
      </c>
      <c r="AN244" s="53" t="inlineStr">
        <is>
          <t>India Content</t>
        </is>
      </c>
      <c r="AO244" s="53" t="inlineStr">
        <is>
          <t>Client Engagement</t>
        </is>
      </c>
      <c r="AP244" s="53" t="inlineStr">
        <is>
          <t>No</t>
        </is>
      </c>
      <c r="AQ244" s="53" t="inlineStr">
        <is>
          <t>Client Engagement</t>
        </is>
      </c>
      <c r="AR244" s="53" t="inlineStr">
        <is>
          <t>Data Processing</t>
        </is>
      </c>
      <c r="AS244" s="53" t="inlineStr">
        <is>
          <t>Non-technical</t>
        </is>
      </c>
      <c r="AT244" s="53" t="n">
        <v>20</v>
      </c>
      <c r="AU244" s="53" t="inlineStr">
        <is>
          <t>Covered</t>
        </is>
      </c>
      <c r="AV244" s="53" t="n"/>
      <c r="AW244" s="53" t="n"/>
      <c r="AX244" s="53" t="n"/>
      <c r="AY244" s="53" t="n"/>
      <c r="AZ244" s="53" t="n"/>
      <c r="BA244" s="53" t="n"/>
      <c r="BB244" s="53" t="n"/>
      <c r="BC244" s="53" t="n"/>
      <c r="BD244" s="53" t="n"/>
      <c r="BE244" s="53" t="n"/>
      <c r="BF244" s="53" t="n"/>
      <c r="BG244" s="53" t="n"/>
      <c r="BH244" s="53" t="n"/>
      <c r="BI244" s="53" t="n"/>
      <c r="BJ244" s="53" t="n"/>
      <c r="BK244" s="53" t="n"/>
      <c r="BL244" s="53" t="n"/>
      <c r="BM244" s="53" t="n"/>
      <c r="BN244" s="53" t="n"/>
      <c r="BO244" s="53" t="n"/>
      <c r="BP244" s="53" t="n"/>
      <c r="BQ244" s="53" t="n"/>
      <c r="BR244" s="53" t="n"/>
      <c r="BS244" s="53" t="n"/>
      <c r="BT244" s="53" t="n"/>
      <c r="BU244" s="53" t="n"/>
      <c r="BV244" s="53" t="n"/>
      <c r="BW244" s="53" t="n"/>
      <c r="BX244" s="53" t="n"/>
      <c r="BY244" s="53" t="n"/>
      <c r="BZ244" s="53" t="n"/>
      <c r="CA244" s="53" t="n"/>
      <c r="CB244" s="53" t="n"/>
      <c r="CC244" s="53" t="n"/>
      <c r="CD244" s="53" t="n"/>
      <c r="CE244" s="53" t="n"/>
      <c r="CF244" s="53" t="n"/>
      <c r="CG244" s="53" t="n"/>
      <c r="CH244" s="53" t="n"/>
      <c r="CI244" s="53" t="n"/>
      <c r="CJ244" s="53" t="n"/>
      <c r="CK244" s="53" t="n"/>
      <c r="CL244" s="53" t="n"/>
      <c r="CM244" s="53" t="n"/>
      <c r="CN244" s="53" t="n"/>
      <c r="CO244" s="53" t="n"/>
      <c r="CP244" s="53" t="n"/>
      <c r="CQ244" s="53" t="n"/>
      <c r="CR244" s="53" t="n"/>
      <c r="CS244" s="53" t="n"/>
      <c r="CT244" s="53" t="n"/>
      <c r="CU244" s="53" t="n"/>
      <c r="CV244" s="53" t="n"/>
      <c r="CW244" s="53" t="n"/>
      <c r="CX244" s="53" t="n"/>
      <c r="CY244" s="53" t="n"/>
      <c r="CZ244" s="53" t="n"/>
      <c r="DA244" s="53" t="n"/>
      <c r="DB244" s="53" t="n"/>
      <c r="DC244" s="53" t="n"/>
      <c r="DD244" s="53" t="inlineStr">
        <is>
          <t>IRIS0007</t>
        </is>
      </c>
      <c r="DE244" s="53" t="inlineStr">
        <is>
          <t>Employee</t>
        </is>
      </c>
      <c r="DF244" s="53" t="inlineStr">
        <is>
          <t>Active</t>
        </is>
      </c>
      <c r="DG244" s="53" t="inlineStr">
        <is>
          <t>Gopal Krishna Sahu</t>
        </is>
      </c>
      <c r="DH244" s="54" t="n">
        <v>38200</v>
      </c>
      <c r="DI244" s="53" t="inlineStr">
        <is>
          <t>Data Analyst Manager</t>
        </is>
      </c>
      <c r="DJ244" s="53" t="inlineStr">
        <is>
          <t>Data &amp; Analytics</t>
        </is>
      </c>
      <c r="DK244" s="53" t="inlineStr">
        <is>
          <t>Data &amp; Analytics</t>
        </is>
      </c>
      <c r="DL244" s="53" t="inlineStr">
        <is>
          <t>Data Analyst Manager</t>
        </is>
      </c>
      <c r="DM244" s="53" t="inlineStr">
        <is>
          <t>L5 – Manager</t>
        </is>
      </c>
      <c r="DN244" s="53" t="inlineStr">
        <is>
          <t>MBA</t>
        </is>
      </c>
      <c r="DO244" s="53" t="inlineStr">
        <is>
          <t>Arup Ganguly</t>
        </is>
      </c>
      <c r="DP244" s="53" t="inlineStr">
        <is>
          <t>N-2</t>
        </is>
      </c>
      <c r="DQ244" s="53" t="inlineStr">
        <is>
          <t>Manager</t>
        </is>
      </c>
      <c r="DR244" s="53" t="inlineStr">
        <is>
          <t>13 years, 1 months, 0 days</t>
        </is>
      </c>
      <c r="DS244" s="53" t="inlineStr">
        <is>
          <t>21 years, 10 months, 19 days</t>
        </is>
      </c>
      <c r="DT244" s="53" t="inlineStr">
        <is>
          <t>34 years, 11 months, 19 days</t>
        </is>
      </c>
      <c r="DU244" s="53" t="n">
        <v>21.8853881278539</v>
      </c>
      <c r="DV244" s="53" t="inlineStr">
        <is>
          <t>Consume</t>
        </is>
      </c>
      <c r="DW244" s="53" t="inlineStr">
        <is>
          <t>Consume</t>
        </is>
      </c>
      <c r="DX244" s="53" t="inlineStr">
        <is>
          <t>India Content</t>
        </is>
      </c>
      <c r="DY244" s="53" t="inlineStr">
        <is>
          <t>Client Engagement</t>
        </is>
      </c>
      <c r="DZ244" s="53" t="inlineStr">
        <is>
          <t>No</t>
        </is>
      </c>
      <c r="EA244" s="53" t="inlineStr">
        <is>
          <t>Client Engagement</t>
        </is>
      </c>
      <c r="EB244" s="53" t="inlineStr">
        <is>
          <t>Data Processing</t>
        </is>
      </c>
      <c r="EC244" s="53" t="inlineStr">
        <is>
          <t>Non-technical</t>
        </is>
      </c>
      <c r="ED244" s="53" t="inlineStr">
        <is>
          <t>Remote - Mumbai</t>
        </is>
      </c>
      <c r="EE244" s="53"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F244" s="53"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G244" s="53"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EH244" s="53" t="n">
        <v>4</v>
      </c>
      <c r="EI244" s="53" t="n"/>
      <c r="EJ244" s="53" t="inlineStr">
        <is>
          <t>Head of Delivery Content</t>
        </is>
      </c>
      <c r="EK244" s="53" t="inlineStr">
        <is>
          <t>No</t>
        </is>
      </c>
      <c r="EL244" s="53" t="n">
        <v>4</v>
      </c>
      <c r="EM244" s="53" t="inlineStr">
        <is>
          <t>Medium</t>
        </is>
      </c>
      <c r="EN244" s="53" t="inlineStr">
        <is>
          <t>Emerging Talent</t>
        </is>
      </c>
      <c r="EO244" s="53" t="inlineStr">
        <is>
          <t>No</t>
        </is>
      </c>
      <c r="EP244" s="53" t="inlineStr">
        <is>
          <t>No</t>
        </is>
      </c>
      <c r="EQ244" s="53" t="inlineStr">
        <is>
          <t>No</t>
        </is>
      </c>
      <c r="ER244" s="53" t="inlineStr">
        <is>
          <t>No</t>
        </is>
      </c>
      <c r="ES244" s="53" t="n"/>
      <c r="ET244" s="53" t="n"/>
      <c r="EU244" s="53" t="n"/>
      <c r="EV244" s="53" t="n"/>
      <c r="EW244" s="52" t="n"/>
      <c r="EX244" s="53" t="n"/>
      <c r="EY244" s="53" t="n"/>
      <c r="EZ244" s="53" t="n"/>
      <c r="FA244" s="53" t="n"/>
      <c r="FB244" s="53" t="n"/>
      <c r="FC244" s="53" t="n"/>
      <c r="FD244" s="53" t="n"/>
      <c r="FE244" s="57"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FF244" s="56"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FG244" s="56"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FH244" s="56" t="inlineStr">
        <is>
          <t>4</t>
        </is>
      </c>
      <c r="FI244" s="56" t="n"/>
      <c r="FJ244" s="56" t="inlineStr">
        <is>
          <t>Received · manager annual, quarterly, self</t>
        </is>
      </c>
      <c r="FK244" s="56" t="inlineStr">
        <is>
          <t>Talent Mapping · iFile collated</t>
        </is>
      </c>
      <c r="FL244" s="56" t="n">
        <v>20</v>
      </c>
      <c r="FM244" s="32" t="inlineStr">
        <is>
          <t>Full survey answers not in the files received · How We Grow export needed · HR</t>
        </is>
      </c>
      <c r="FN244" s="56" t="inlineStr">
        <is>
          <t>—</t>
        </is>
      </c>
      <c r="FO244" s="56" t="inlineStr">
        <is>
          <t>—</t>
        </is>
      </c>
      <c r="FP244" s="56" t="inlineStr">
        <is>
          <t>—</t>
        </is>
      </c>
      <c r="FQ244" s="56" t="inlineStr">
        <is>
          <t>—</t>
        </is>
      </c>
      <c r="FR244" s="56"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files; escalations and billing penalties; client invoices; new business → matches the start
Leadership: Evidence reads like B2: Manages and trains the team; 8 direct reports → matches the start
Business Impact: No survey or manager-mapping signal on criticality: kept at the start point.</t>
        </is>
      </c>
      <c r="FS244" s="56"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FT244" s="56" t="inlineStr">
        <is>
          <t>Self-identified: AI / automation · Data, SQL &amp; analytics
For the next role: AI / automation · Data, SQL &amp; analytics</t>
        </is>
      </c>
      <c r="FU244" s="32" t="inlineStr">
        <is>
          <t>Full survey answers not in the files received · How We Grow export needed · HR</t>
        </is>
      </c>
    </row>
    <row r="245" ht="90" customHeight="1">
      <c r="A245" s="51" t="inlineStr">
        <is>
          <t>◂ Back</t>
        </is>
      </c>
      <c r="B245" s="29" t="inlineStr">
        <is>
          <t>Mapped</t>
        </is>
      </c>
      <c r="C245" s="28" t="inlineStr">
        <is>
          <t>Consume</t>
        </is>
      </c>
      <c r="D245" s="29" t="inlineStr">
        <is>
          <t>IRIS0015</t>
        </is>
      </c>
      <c r="E245" s="29" t="inlineStr">
        <is>
          <t>Virendra Borkar</t>
        </is>
      </c>
      <c r="F245" s="29" t="inlineStr">
        <is>
          <t>India Content</t>
        </is>
      </c>
      <c r="G245" s="29" t="inlineStr">
        <is>
          <t>Data Analyst Lead</t>
        </is>
      </c>
      <c r="H245" s="29" t="inlineStr">
        <is>
          <t>Data Specialist</t>
        </is>
      </c>
      <c r="I245" s="29" t="inlineStr">
        <is>
          <t>L5 – Lead · IC</t>
        </is>
      </c>
      <c r="J245" s="29" t="inlineStr">
        <is>
          <t>B1</t>
        </is>
      </c>
      <c r="K245" s="29" t="inlineStr">
        <is>
          <t>▼ Down · protected</t>
        </is>
      </c>
      <c r="L245" s="29" t="inlineStr">
        <is>
          <t>Data &amp; Analytics</t>
        </is>
      </c>
      <c r="M245" s="29" t="inlineStr">
        <is>
          <t>Financial Data Processing</t>
        </is>
      </c>
      <c r="N245" s="29" t="n"/>
      <c r="O245" s="29" t="n">
        <v>20</v>
      </c>
      <c r="P245" s="28" t="inlineStr">
        <is>
          <t>P3 / M2</t>
        </is>
      </c>
      <c r="Q245" s="29" t="inlineStr">
        <is>
          <t>Career / · Team Lead</t>
        </is>
      </c>
      <c r="R245" s="29" t="inlineStr">
        <is>
          <t>4 Enable</t>
        </is>
      </c>
      <c r="S245" s="29" t="inlineStr">
        <is>
          <t>4–7 yrs</t>
        </is>
      </c>
      <c r="T245" s="29" t="inlineStr">
        <is>
          <t>5–8 · 4–8</t>
        </is>
      </c>
      <c r="U245" s="29" t="inlineStr">
        <is>
          <t>Senior Data Analyst</t>
        </is>
      </c>
      <c r="V245" s="29" t="inlineStr">
        <is>
          <t>Atlassian company-wide P-levels: P40 · IRIS Vs Competitor Benchmark — data analyst ladder: Senior Data Analyst</t>
        </is>
      </c>
      <c r="W245" s="29" t="inlineStr">
        <is>
          <t>DAMA-DMBOK · 11 knowledge areas around data governance</t>
        </is>
      </c>
      <c r="X245" s="29" t="inlineStr">
        <is>
          <t>Core 3 · Future 3 · Functional 3 · Leadership 1</t>
        </is>
      </c>
      <c r="Y245" s="52" t="n">
        <v>8</v>
      </c>
      <c r="Z245" s="53" t="inlineStr">
        <is>
          <t>IRIS0015</t>
        </is>
      </c>
      <c r="AA245" s="53" t="inlineStr">
        <is>
          <t>Employee</t>
        </is>
      </c>
      <c r="AB245" s="53" t="inlineStr">
        <is>
          <t>Active</t>
        </is>
      </c>
      <c r="AC245" s="53" t="inlineStr">
        <is>
          <t>Virendra Borkar</t>
        </is>
      </c>
      <c r="AD245" s="54" t="n">
        <v>38285</v>
      </c>
      <c r="AE245" s="53" t="inlineStr">
        <is>
          <t>Data Analyst Lead</t>
        </is>
      </c>
      <c r="AF245" s="53" t="inlineStr">
        <is>
          <t>B.Com</t>
        </is>
      </c>
      <c r="AG245" s="53" t="inlineStr">
        <is>
          <t>Gopal Krishna Sahu</t>
        </is>
      </c>
      <c r="AH245" s="53" t="inlineStr">
        <is>
          <t>N-4</t>
        </is>
      </c>
      <c r="AI245" s="53" t="inlineStr">
        <is>
          <t>Individual Contributor</t>
        </is>
      </c>
      <c r="AJ245" s="53" t="inlineStr">
        <is>
          <t>0 years, 5 months, 0 days</t>
        </is>
      </c>
      <c r="AK245" s="53" t="inlineStr">
        <is>
          <t>21 years, 10 months, 0 days</t>
        </is>
      </c>
      <c r="AL245" s="53" t="inlineStr">
        <is>
          <t>Consume</t>
        </is>
      </c>
      <c r="AM245" s="53" t="inlineStr">
        <is>
          <t>Consume</t>
        </is>
      </c>
      <c r="AN245" s="53" t="inlineStr">
        <is>
          <t>India Content</t>
        </is>
      </c>
      <c r="AO245" s="53" t="inlineStr">
        <is>
          <t>Expert Assisted services</t>
        </is>
      </c>
      <c r="AP245" s="53" t="inlineStr">
        <is>
          <t>No</t>
        </is>
      </c>
      <c r="AQ245" s="53" t="inlineStr">
        <is>
          <t>Professional Services</t>
        </is>
      </c>
      <c r="AR245" s="53" t="inlineStr">
        <is>
          <t>Data Processing</t>
        </is>
      </c>
      <c r="AS245" s="53" t="inlineStr">
        <is>
          <t>Non-technical</t>
        </is>
      </c>
      <c r="AT245" s="53" t="n">
        <v>20</v>
      </c>
      <c r="AU245" s="53" t="inlineStr">
        <is>
          <t>Covered</t>
        </is>
      </c>
      <c r="AV245" s="53" t="n"/>
      <c r="AW245" s="53" t="n"/>
      <c r="AX245" s="53" t="n"/>
      <c r="AY245" s="53" t="n"/>
      <c r="AZ245" s="53" t="n"/>
      <c r="BA245" s="53" t="n"/>
      <c r="BB245" s="53" t="n"/>
      <c r="BC245" s="53" t="n"/>
      <c r="BD245" s="53" t="n"/>
      <c r="BE245" s="53" t="n"/>
      <c r="BF245" s="53" t="n"/>
      <c r="BG245" s="53" t="n"/>
      <c r="BH245" s="53" t="n"/>
      <c r="BI245" s="53" t="n"/>
      <c r="BJ245" s="53" t="n"/>
      <c r="BK245" s="53" t="n"/>
      <c r="BL245" s="53" t="n"/>
      <c r="BM245" s="53" t="n"/>
      <c r="BN245" s="53" t="n"/>
      <c r="BO245" s="53" t="n"/>
      <c r="BP245" s="53" t="n"/>
      <c r="BQ245" s="53" t="n"/>
      <c r="BR245" s="53" t="n"/>
      <c r="BS245" s="53" t="n"/>
      <c r="BT245" s="53" t="n"/>
      <c r="BU245" s="53" t="n"/>
      <c r="BV245" s="53" t="n"/>
      <c r="BW245" s="53" t="n"/>
      <c r="BX245" s="53" t="n"/>
      <c r="BY245" s="53" t="n"/>
      <c r="BZ245" s="53" t="n"/>
      <c r="CA245" s="53" t="n"/>
      <c r="CB245" s="53" t="n"/>
      <c r="CC245" s="53" t="n"/>
      <c r="CD245" s="53" t="n"/>
      <c r="CE245" s="53" t="n"/>
      <c r="CF245" s="53" t="n"/>
      <c r="CG245" s="53" t="n"/>
      <c r="CH245" s="53" t="n"/>
      <c r="CI245" s="53" t="n"/>
      <c r="CJ245" s="53" t="n"/>
      <c r="CK245" s="53" t="n"/>
      <c r="CL245" s="53" t="n"/>
      <c r="CM245" s="53" t="n"/>
      <c r="CN245" s="53" t="n"/>
      <c r="CO245" s="53" t="n"/>
      <c r="CP245" s="53" t="n"/>
      <c r="CQ245" s="53" t="n"/>
      <c r="CR245" s="53" t="n"/>
      <c r="CS245" s="53" t="n"/>
      <c r="CT245" s="53" t="n"/>
      <c r="CU245" s="53" t="n"/>
      <c r="CV245" s="53" t="n"/>
      <c r="CW245" s="53" t="n"/>
      <c r="CX245" s="53" t="n"/>
      <c r="CY245" s="53" t="n"/>
      <c r="CZ245" s="53" t="n"/>
      <c r="DA245" s="53" t="n"/>
      <c r="DB245" s="53" t="n"/>
      <c r="DC245" s="53" t="n"/>
      <c r="DD245" s="53" t="inlineStr">
        <is>
          <t>IRIS0015</t>
        </is>
      </c>
      <c r="DE245" s="53" t="inlineStr">
        <is>
          <t>Employee</t>
        </is>
      </c>
      <c r="DF245" s="53" t="inlineStr">
        <is>
          <t>Active</t>
        </is>
      </c>
      <c r="DG245" s="53" t="inlineStr">
        <is>
          <t>Virendra Borkar</t>
        </is>
      </c>
      <c r="DH245" s="54" t="n">
        <v>38285</v>
      </c>
      <c r="DI245" s="53" t="inlineStr">
        <is>
          <t>Data Analyst Lead</t>
        </is>
      </c>
      <c r="DJ245" s="53" t="inlineStr">
        <is>
          <t>Consulting &amp; Professional Services</t>
        </is>
      </c>
      <c r="DK245" s="53" t="inlineStr">
        <is>
          <t>Regulatory Content</t>
        </is>
      </c>
      <c r="DL245" s="53" t="inlineStr">
        <is>
          <t>Data Analyst Lead</t>
        </is>
      </c>
      <c r="DM245" s="53" t="inlineStr">
        <is>
          <t>L5 – Lead · IC</t>
        </is>
      </c>
      <c r="DN245" s="53" t="inlineStr">
        <is>
          <t>B.Com</t>
        </is>
      </c>
      <c r="DO245" s="53" t="inlineStr">
        <is>
          <t>Gopal Krishna Sahu</t>
        </is>
      </c>
      <c r="DP245" s="53" t="inlineStr">
        <is>
          <t>N-3</t>
        </is>
      </c>
      <c r="DQ245" s="53" t="inlineStr">
        <is>
          <t>Individual Contributor</t>
        </is>
      </c>
      <c r="DR245" s="53" t="inlineStr">
        <is>
          <t>0 years, 5 months, 0 days</t>
        </is>
      </c>
      <c r="DS245" s="53" t="inlineStr">
        <is>
          <t>21 years, 7 months, 26 days</t>
        </is>
      </c>
      <c r="DT245" s="53" t="inlineStr">
        <is>
          <t>22 years, 0 months, 26 days</t>
        </is>
      </c>
      <c r="DU245" s="53" t="n"/>
      <c r="DV245" s="53" t="inlineStr">
        <is>
          <t>Consume</t>
        </is>
      </c>
      <c r="DW245" s="53" t="inlineStr">
        <is>
          <t>Consume</t>
        </is>
      </c>
      <c r="DX245" s="53" t="inlineStr">
        <is>
          <t>India Content</t>
        </is>
      </c>
      <c r="DY245" s="53" t="inlineStr">
        <is>
          <t>Expert Assisted services</t>
        </is>
      </c>
      <c r="DZ245" s="53" t="inlineStr">
        <is>
          <t>No</t>
        </is>
      </c>
      <c r="EA245" s="53" t="inlineStr">
        <is>
          <t>Professional Services</t>
        </is>
      </c>
      <c r="EB245" s="53" t="inlineStr">
        <is>
          <t>Data Processing</t>
        </is>
      </c>
      <c r="EC245" s="53" t="inlineStr">
        <is>
          <t>Non-technical</t>
        </is>
      </c>
      <c r="ED245" s="53" t="inlineStr">
        <is>
          <t>Remote - Mumbai</t>
        </is>
      </c>
      <c r="EE245"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5"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5"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5" s="53" t="n">
        <v>3</v>
      </c>
      <c r="EI245" s="54" t="n">
        <v>45933</v>
      </c>
      <c r="EJ245" s="53" t="inlineStr">
        <is>
          <t>Data Analyst Lead</t>
        </is>
      </c>
      <c r="EK245" s="53" t="inlineStr">
        <is>
          <t>No</t>
        </is>
      </c>
      <c r="EL245" s="53" t="n">
        <v>3</v>
      </c>
      <c r="EM245" s="53" t="inlineStr">
        <is>
          <t>Medium</t>
        </is>
      </c>
      <c r="EN245" s="53" t="inlineStr">
        <is>
          <t>Future Leader</t>
        </is>
      </c>
      <c r="EO245" s="53" t="inlineStr">
        <is>
          <t>Yes</t>
        </is>
      </c>
      <c r="EP245" s="53" t="inlineStr">
        <is>
          <t>Yes</t>
        </is>
      </c>
      <c r="EQ245" s="53" t="inlineStr">
        <is>
          <t>Yes</t>
        </is>
      </c>
      <c r="ER245" s="53" t="inlineStr">
        <is>
          <t>Swapnil Katrat</t>
        </is>
      </c>
      <c r="ES245" s="53" t="inlineStr">
        <is>
          <t>The team needs training for new automation tools.</t>
        </is>
      </c>
      <c r="ET245" s="53" t="inlineStr">
        <is>
          <t>Transition to leadership: people management &amp; delegation, mentoring/coaching, project ownership &amp; stakeholder management, prioritisation under ambiguity, presentation &amp; influence skills</t>
        </is>
      </c>
      <c r="EU245" s="53" t="n"/>
      <c r="EV245" s="53" t="n"/>
      <c r="EW245" s="52" t="n"/>
      <c r="EX245" s="53" t="n"/>
      <c r="EY245" s="53" t="n"/>
      <c r="EZ245" s="53" t="n"/>
      <c r="FA245" s="53" t="n"/>
      <c r="FB245" s="53" t="n"/>
      <c r="FC245" s="53" t="n"/>
      <c r="FD245" s="53" t="n"/>
      <c r="FE245"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5"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5"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5" s="56" t="inlineStr">
        <is>
          <t>3</t>
        </is>
      </c>
      <c r="FI245" s="56" t="n"/>
      <c r="FJ245" s="56" t="inlineStr">
        <is>
          <t>Received · manager annual, quarterly, self</t>
        </is>
      </c>
      <c r="FK245" s="56" t="inlineStr">
        <is>
          <t>Talent Mapping · Database Content</t>
        </is>
      </c>
      <c r="FL245" s="56" t="n">
        <v>20</v>
      </c>
      <c r="FM245" s="32" t="inlineStr">
        <is>
          <t>Full survey answers not in the files received · How We Grow export needed · HR</t>
        </is>
      </c>
      <c r="FN245" s="56" t="inlineStr">
        <is>
          <t>—</t>
        </is>
      </c>
      <c r="FO245" s="56" t="inlineStr">
        <is>
          <t>—</t>
        </is>
      </c>
      <c r="FP245" s="56" t="inlineStr">
        <is>
          <t>—</t>
        </is>
      </c>
      <c r="FQ245" s="56" t="inlineStr">
        <is>
          <t>—</t>
        </is>
      </c>
      <c r="FR245" s="56"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moved down 0.5
Leadership: Evidence reads like A1: No leading, reviewing or guiding described; 0 direct reports → moved down 0.5
Business Impact: Moved +0.5: the survey / manager mapping marks it business-critical.</t>
        </is>
      </c>
      <c r="FS245" s="56"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FT245" s="56" t="inlineStr">
        <is>
          <t>Self-identified: Leadership &amp; people management · Project / programme management · Communication &amp; presentation · Strategy &amp; business acumen
For the next role: Leadership &amp; people management · Project / programme management · Communication &amp; presentation · Strategy &amp; business acumen</t>
        </is>
      </c>
      <c r="FU245" s="32" t="inlineStr">
        <is>
          <t>Full survey answers not in the files received · How We Grow export needed · HR</t>
        </is>
      </c>
    </row>
    <row r="246" ht="90" customHeight="1">
      <c r="A246" s="51" t="inlineStr">
        <is>
          <t>◂ Back</t>
        </is>
      </c>
      <c r="B246" s="29" t="inlineStr">
        <is>
          <t>Mapped</t>
        </is>
      </c>
      <c r="C246" s="28" t="inlineStr">
        <is>
          <t>Consume</t>
        </is>
      </c>
      <c r="D246" s="29" t="inlineStr">
        <is>
          <t>IRIS1743</t>
        </is>
      </c>
      <c r="E246" s="29" t="inlineStr">
        <is>
          <t>Akash Dubey</t>
        </is>
      </c>
      <c r="F246" s="29" t="inlineStr">
        <is>
          <t>India Content</t>
        </is>
      </c>
      <c r="G246" s="29" t="inlineStr">
        <is>
          <t>Data Analyst</t>
        </is>
      </c>
      <c r="H246" s="29" t="inlineStr">
        <is>
          <t>Senior Data Analyst</t>
        </is>
      </c>
      <c r="I246" s="29" t="inlineStr">
        <is>
          <t>L3 – Professional / Associate</t>
        </is>
      </c>
      <c r="J246" s="29" t="inlineStr">
        <is>
          <t>A3</t>
        </is>
      </c>
      <c r="K246" s="29" t="inlineStr">
        <is>
          <t>▲ Up</t>
        </is>
      </c>
      <c r="L246" s="29" t="inlineStr">
        <is>
          <t>Data &amp; Analytics</t>
        </is>
      </c>
      <c r="M246" s="29" t="inlineStr">
        <is>
          <t>Financial Data Processing</t>
        </is>
      </c>
      <c r="N246" s="29" t="n"/>
      <c r="O246" s="29" t="n">
        <v>20</v>
      </c>
      <c r="P246" s="28" t="inlineStr">
        <is>
          <t>P2</t>
        </is>
      </c>
      <c r="Q246" s="29" t="inlineStr">
        <is>
          <t>Developing</t>
        </is>
      </c>
      <c r="R246" s="29" t="inlineStr">
        <is>
          <t>3 Apply</t>
        </is>
      </c>
      <c r="S246" s="29" t="inlineStr">
        <is>
          <t>2–4 yrs</t>
        </is>
      </c>
      <c r="T246" s="29" t="inlineStr">
        <is>
          <t>3–5 · 2–5</t>
        </is>
      </c>
      <c r="U246" s="29" t="inlineStr">
        <is>
          <t>Data Analyst</t>
        </is>
      </c>
      <c r="V246" s="29" t="inlineStr">
        <is>
          <t>Atlassian company-wide P-levels: P40 Analyst · IRIS Vs Competitor Benchmark — data analyst ladder: Data Analyst II</t>
        </is>
      </c>
      <c r="W246" s="29" t="inlineStr">
        <is>
          <t>DAMA-DMBOK · 11 knowledge areas around data governance</t>
        </is>
      </c>
      <c r="X246" s="29" t="inlineStr">
        <is>
          <t>Core 2 · Future 2 · Functional 3 · Leadership not scored</t>
        </is>
      </c>
      <c r="Y246" s="52" t="n">
        <v>151</v>
      </c>
      <c r="Z246" s="53" t="inlineStr">
        <is>
          <t>IRIS1743</t>
        </is>
      </c>
      <c r="AA246" s="53" t="inlineStr">
        <is>
          <t>Employee</t>
        </is>
      </c>
      <c r="AB246" s="53" t="inlineStr">
        <is>
          <t>Active</t>
        </is>
      </c>
      <c r="AC246" s="53" t="inlineStr">
        <is>
          <t>Akash Dubey</t>
        </is>
      </c>
      <c r="AD246" s="54" t="n">
        <v>43346</v>
      </c>
      <c r="AE246" s="53" t="inlineStr">
        <is>
          <t>Data Analyst</t>
        </is>
      </c>
      <c r="AF246" s="53" t="inlineStr">
        <is>
          <t>M.Com</t>
        </is>
      </c>
      <c r="AG246" s="53" t="inlineStr">
        <is>
          <t>Gopal Krishna Sahu</t>
        </is>
      </c>
      <c r="AH246" s="53" t="inlineStr">
        <is>
          <t>N-4</t>
        </is>
      </c>
      <c r="AI246" s="53" t="inlineStr">
        <is>
          <t>Individual Contributor</t>
        </is>
      </c>
      <c r="AJ246" s="53" t="inlineStr">
        <is>
          <t>0 years, 0 months, 0 days</t>
        </is>
      </c>
      <c r="AK246" s="53" t="inlineStr">
        <is>
          <t>7 years, 11 months, 22 days</t>
        </is>
      </c>
      <c r="AL246" s="53" t="inlineStr">
        <is>
          <t>Consume</t>
        </is>
      </c>
      <c r="AM246" s="53" t="inlineStr">
        <is>
          <t>Consume</t>
        </is>
      </c>
      <c r="AN246" s="53" t="inlineStr">
        <is>
          <t>India Content</t>
        </is>
      </c>
      <c r="AO246" s="53" t="inlineStr">
        <is>
          <t>Expert Assisted services</t>
        </is>
      </c>
      <c r="AP246" s="53" t="inlineStr">
        <is>
          <t>No</t>
        </is>
      </c>
      <c r="AQ246" s="53" t="inlineStr">
        <is>
          <t>Professional Services</t>
        </is>
      </c>
      <c r="AR246" s="53" t="inlineStr">
        <is>
          <t>Data Processing</t>
        </is>
      </c>
      <c r="AS246" s="53" t="inlineStr">
        <is>
          <t>Non-technical</t>
        </is>
      </c>
      <c r="AT246" s="53" t="n">
        <v>20</v>
      </c>
      <c r="AU246" s="53" t="inlineStr">
        <is>
          <t>Covered</t>
        </is>
      </c>
      <c r="AV246" s="53" t="n"/>
      <c r="AW246" s="53" t="n"/>
      <c r="AX246" s="53" t="n"/>
      <c r="AY246" s="53" t="n"/>
      <c r="AZ246" s="53" t="n"/>
      <c r="BA246" s="53" t="n"/>
      <c r="BB246" s="53" t="n"/>
      <c r="BC246" s="53" t="n"/>
      <c r="BD246" s="53" t="n"/>
      <c r="BE246" s="53" t="n"/>
      <c r="BF246" s="53" t="n"/>
      <c r="BG246" s="53" t="n"/>
      <c r="BH246" s="53" t="n"/>
      <c r="BI246" s="53" t="n"/>
      <c r="BJ246" s="53" t="n"/>
      <c r="BK246" s="53" t="n"/>
      <c r="BL246" s="53" t="n"/>
      <c r="BM246" s="53" t="n"/>
      <c r="BN246" s="53" t="n"/>
      <c r="BO246" s="53" t="n"/>
      <c r="BP246" s="53" t="n"/>
      <c r="BQ246" s="53" t="n"/>
      <c r="BR246" s="53" t="n"/>
      <c r="BS246" s="53" t="n"/>
      <c r="BT246" s="53" t="n"/>
      <c r="BU246" s="53" t="n"/>
      <c r="BV246" s="53" t="n"/>
      <c r="BW246" s="53" t="n"/>
      <c r="BX246" s="53" t="n"/>
      <c r="BY246" s="53" t="n"/>
      <c r="BZ246" s="53" t="n"/>
      <c r="CA246" s="53" t="n"/>
      <c r="CB246" s="53" t="n"/>
      <c r="CC246" s="53" t="n"/>
      <c r="CD246" s="53" t="n"/>
      <c r="CE246" s="53" t="n"/>
      <c r="CF246" s="53" t="n"/>
      <c r="CG246" s="53" t="n"/>
      <c r="CH246" s="53" t="n"/>
      <c r="CI246" s="53" t="n"/>
      <c r="CJ246" s="53" t="n"/>
      <c r="CK246" s="53" t="n"/>
      <c r="CL246" s="53" t="n"/>
      <c r="CM246" s="53" t="n"/>
      <c r="CN246" s="53" t="n"/>
      <c r="CO246" s="53" t="n"/>
      <c r="CP246" s="53" t="n"/>
      <c r="CQ246" s="53" t="n"/>
      <c r="CR246" s="53" t="n"/>
      <c r="CS246" s="53" t="n"/>
      <c r="CT246" s="53" t="n"/>
      <c r="CU246" s="53" t="n"/>
      <c r="CV246" s="53" t="n"/>
      <c r="CW246" s="53" t="n"/>
      <c r="CX246" s="53" t="n"/>
      <c r="CY246" s="53" t="n"/>
      <c r="CZ246" s="53" t="n"/>
      <c r="DA246" s="53" t="n"/>
      <c r="DB246" s="53" t="n"/>
      <c r="DC246" s="53" t="n"/>
      <c r="DD246" s="53" t="inlineStr">
        <is>
          <t>IRIS1743</t>
        </is>
      </c>
      <c r="DE246" s="53" t="inlineStr">
        <is>
          <t>Employee</t>
        </is>
      </c>
      <c r="DF246" s="53" t="inlineStr">
        <is>
          <t>Active</t>
        </is>
      </c>
      <c r="DG246" s="53" t="inlineStr">
        <is>
          <t>Akash Dubey</t>
        </is>
      </c>
      <c r="DH246" s="54" t="n">
        <v>43346</v>
      </c>
      <c r="DI246" s="53" t="inlineStr">
        <is>
          <t>Data Analyst</t>
        </is>
      </c>
      <c r="DJ246" s="53" t="inlineStr">
        <is>
          <t>Consulting &amp; Professional Services</t>
        </is>
      </c>
      <c r="DK246" s="53" t="inlineStr">
        <is>
          <t>Regulatory Content</t>
        </is>
      </c>
      <c r="DL246" s="53" t="inlineStr">
        <is>
          <t>Data Analyst</t>
        </is>
      </c>
      <c r="DM246" s="53" t="inlineStr">
        <is>
          <t>L3 – Professional / Associate</t>
        </is>
      </c>
      <c r="DN246" s="53" t="inlineStr">
        <is>
          <t>M.Com</t>
        </is>
      </c>
      <c r="DO246" s="53" t="inlineStr">
        <is>
          <t>Gopal Krishna Sahu</t>
        </is>
      </c>
      <c r="DP246" s="53" t="inlineStr">
        <is>
          <t>N-3</t>
        </is>
      </c>
      <c r="DQ246" s="53" t="inlineStr">
        <is>
          <t>Individual Contributor</t>
        </is>
      </c>
      <c r="DR246" s="53" t="inlineStr">
        <is>
          <t>0 years, 0 months, 0 days</t>
        </is>
      </c>
      <c r="DS246" s="53" t="inlineStr">
        <is>
          <t>7 years, 9 months, 17 days</t>
        </is>
      </c>
      <c r="DT246" s="53" t="inlineStr">
        <is>
          <t>7 years, 9 months, 17 days</t>
        </is>
      </c>
      <c r="DU246" s="53" t="n"/>
      <c r="DV246" s="53" t="inlineStr">
        <is>
          <t>Consume</t>
        </is>
      </c>
      <c r="DW246" s="53" t="inlineStr">
        <is>
          <t>Consume</t>
        </is>
      </c>
      <c r="DX246" s="53" t="inlineStr">
        <is>
          <t>India Content</t>
        </is>
      </c>
      <c r="DY246" s="53" t="inlineStr">
        <is>
          <t>Expert Assisted services</t>
        </is>
      </c>
      <c r="DZ246" s="53" t="inlineStr">
        <is>
          <t>No</t>
        </is>
      </c>
      <c r="EA246" s="53" t="inlineStr">
        <is>
          <t>Professional Services</t>
        </is>
      </c>
      <c r="EB246" s="53" t="inlineStr">
        <is>
          <t>Data Processing</t>
        </is>
      </c>
      <c r="EC246" s="53" t="inlineStr">
        <is>
          <t>Non-technical</t>
        </is>
      </c>
      <c r="ED246" s="53" t="inlineStr">
        <is>
          <t>Remote - Mumbai</t>
        </is>
      </c>
      <c r="EE246"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6"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6"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6" s="53" t="n">
        <v>3</v>
      </c>
      <c r="EI246" s="54" t="n">
        <v>45933</v>
      </c>
      <c r="EJ246" s="53" t="inlineStr">
        <is>
          <t>Data Analyst</t>
        </is>
      </c>
      <c r="EK246" s="53" t="inlineStr">
        <is>
          <t>No</t>
        </is>
      </c>
      <c r="EL246" s="53" t="n">
        <v>3</v>
      </c>
      <c r="EM246" s="53" t="inlineStr">
        <is>
          <t>Medium</t>
        </is>
      </c>
      <c r="EN246" s="53" t="inlineStr">
        <is>
          <t>Trusted Professional</t>
        </is>
      </c>
      <c r="EO246" s="53" t="inlineStr">
        <is>
          <t>Yes</t>
        </is>
      </c>
      <c r="EP246" s="53" t="inlineStr">
        <is>
          <t>Yes</t>
        </is>
      </c>
      <c r="EQ246" s="53" t="inlineStr">
        <is>
          <t>Yes</t>
        </is>
      </c>
      <c r="ER246" s="53" t="inlineStr">
        <is>
          <t>John Mariakulandai</t>
        </is>
      </c>
      <c r="ES246" s="53" t="inlineStr">
        <is>
          <t>The team needs training for new automation tools.</t>
        </is>
      </c>
      <c r="ET246" s="53" t="inlineStr">
        <is>
          <t>Transition to leadership: people management &amp; delegation, mentoring/coaching, project ownership &amp; stakeholder management, prioritisation under ambiguity, presentation &amp; influence skills</t>
        </is>
      </c>
      <c r="EU246" s="53" t="n"/>
      <c r="EV246" s="53" t="n"/>
      <c r="EW246" s="52" t="n"/>
      <c r="EX246" s="53" t="n"/>
      <c r="EY246" s="53" t="n"/>
      <c r="EZ246" s="53" t="n"/>
      <c r="FA246" s="53" t="n"/>
      <c r="FB246" s="53" t="n"/>
      <c r="FC246" s="53" t="n"/>
      <c r="FD246" s="53" t="n"/>
      <c r="FE246"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6"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6"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6" s="56" t="inlineStr">
        <is>
          <t>3</t>
        </is>
      </c>
      <c r="FI246" s="56" t="n"/>
      <c r="FJ246" s="56" t="inlineStr">
        <is>
          <t>Received · manager annual, quarterly, self</t>
        </is>
      </c>
      <c r="FK246" s="56" t="inlineStr">
        <is>
          <t>Talent Mapping · Database Content</t>
        </is>
      </c>
      <c r="FL246" s="56" t="n">
        <v>20</v>
      </c>
      <c r="FM246" s="32" t="inlineStr">
        <is>
          <t>Full survey answers not in the files received · How We Grow export needed · HR</t>
        </is>
      </c>
      <c r="FN246" s="56" t="inlineStr">
        <is>
          <t>—</t>
        </is>
      </c>
      <c r="FO246" s="56" t="inlineStr">
        <is>
          <t>—</t>
        </is>
      </c>
      <c r="FP246" s="56" t="inlineStr">
        <is>
          <t>—</t>
        </is>
      </c>
      <c r="FQ246" s="56" t="inlineStr">
        <is>
          <t>—</t>
        </is>
      </c>
      <c r="FR246" s="56"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FS246"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6" s="56" t="inlineStr">
        <is>
          <t>Self-identified: Leadership &amp; people management · Project / programme management · Broader exposure &amp; ownership
For the next role: Leadership &amp; people management · Project / programme management · Broader exposure &amp; ownership</t>
        </is>
      </c>
      <c r="FU246" s="32" t="inlineStr">
        <is>
          <t>Full survey answers not in the files received · How We Grow export needed · HR</t>
        </is>
      </c>
    </row>
    <row r="247" ht="90" customHeight="1">
      <c r="A247" s="51" t="inlineStr">
        <is>
          <t>◂ Back</t>
        </is>
      </c>
      <c r="B247" s="29" t="inlineStr">
        <is>
          <t>Mapped</t>
        </is>
      </c>
      <c r="C247" s="28" t="inlineStr">
        <is>
          <t>Consume</t>
        </is>
      </c>
      <c r="D247" s="29" t="inlineStr">
        <is>
          <t>IRIS1710</t>
        </is>
      </c>
      <c r="E247" s="29" t="inlineStr">
        <is>
          <t>John Mariakulandai</t>
        </is>
      </c>
      <c r="F247" s="29" t="inlineStr">
        <is>
          <t>India Content</t>
        </is>
      </c>
      <c r="G247" s="29" t="inlineStr">
        <is>
          <t>Data Analyst</t>
        </is>
      </c>
      <c r="H247" s="29" t="inlineStr">
        <is>
          <t>Senior Data Analyst</t>
        </is>
      </c>
      <c r="I247" s="29" t="inlineStr">
        <is>
          <t>L3 – Professional / Associate</t>
        </is>
      </c>
      <c r="J247" s="29" t="inlineStr">
        <is>
          <t>A3</t>
        </is>
      </c>
      <c r="K247" s="29" t="inlineStr">
        <is>
          <t>▲ Up</t>
        </is>
      </c>
      <c r="L247" s="29" t="inlineStr">
        <is>
          <t>Data &amp; Analytics</t>
        </is>
      </c>
      <c r="M247" s="29" t="inlineStr">
        <is>
          <t>Financial Data Processing</t>
        </is>
      </c>
      <c r="N247" s="29" t="n"/>
      <c r="O247" s="29" t="n">
        <v>20</v>
      </c>
      <c r="P247" s="28" t="inlineStr">
        <is>
          <t>P2</t>
        </is>
      </c>
      <c r="Q247" s="29" t="inlineStr">
        <is>
          <t>Developing</t>
        </is>
      </c>
      <c r="R247" s="29" t="inlineStr">
        <is>
          <t>3 Apply</t>
        </is>
      </c>
      <c r="S247" s="29" t="inlineStr">
        <is>
          <t>2–4 yrs</t>
        </is>
      </c>
      <c r="T247" s="29" t="inlineStr">
        <is>
          <t>3–5 · 2–5</t>
        </is>
      </c>
      <c r="U247" s="29" t="inlineStr">
        <is>
          <t>Data Analyst</t>
        </is>
      </c>
      <c r="V247" s="29" t="inlineStr">
        <is>
          <t>Atlassian company-wide P-levels: P40 Analyst · IRIS Vs Competitor Benchmark — data analyst ladder: Data Analyst II</t>
        </is>
      </c>
      <c r="W247" s="29" t="inlineStr">
        <is>
          <t>DAMA-DMBOK · 11 knowledge areas around data governance</t>
        </is>
      </c>
      <c r="X247" s="29" t="inlineStr">
        <is>
          <t>Core 2 · Future 2 · Functional 3 · Leadership not scored</t>
        </is>
      </c>
      <c r="Y247" s="52" t="n">
        <v>146</v>
      </c>
      <c r="Z247" s="53" t="inlineStr">
        <is>
          <t>IRIS1710</t>
        </is>
      </c>
      <c r="AA247" s="53" t="inlineStr">
        <is>
          <t>Employee</t>
        </is>
      </c>
      <c r="AB247" s="53" t="inlineStr">
        <is>
          <t>Active</t>
        </is>
      </c>
      <c r="AC247" s="53" t="inlineStr">
        <is>
          <t>John Mariakulandai</t>
        </is>
      </c>
      <c r="AD247" s="54" t="n">
        <v>43150</v>
      </c>
      <c r="AE247" s="53" t="inlineStr">
        <is>
          <t>Data Analyst</t>
        </is>
      </c>
      <c r="AF247" s="53" t="inlineStr">
        <is>
          <t>B.Com</t>
        </is>
      </c>
      <c r="AG247" s="53" t="inlineStr">
        <is>
          <t>Gopal Krishna Sahu</t>
        </is>
      </c>
      <c r="AH247" s="53" t="inlineStr">
        <is>
          <t>N-4</t>
        </is>
      </c>
      <c r="AI247" s="53" t="inlineStr">
        <is>
          <t>Individual Contributor</t>
        </is>
      </c>
      <c r="AJ247" s="53" t="inlineStr">
        <is>
          <t>8 years, 9 months, 0 days</t>
        </is>
      </c>
      <c r="AK247" s="53" t="inlineStr">
        <is>
          <t>8 years, 6 months, 6 days</t>
        </is>
      </c>
      <c r="AL247" s="53" t="inlineStr">
        <is>
          <t>Consume</t>
        </is>
      </c>
      <c r="AM247" s="53" t="inlineStr">
        <is>
          <t>Consume</t>
        </is>
      </c>
      <c r="AN247" s="53" t="inlineStr">
        <is>
          <t>India Content</t>
        </is>
      </c>
      <c r="AO247" s="53" t="inlineStr">
        <is>
          <t>Expert Assisted services</t>
        </is>
      </c>
      <c r="AP247" s="53" t="inlineStr">
        <is>
          <t>No</t>
        </is>
      </c>
      <c r="AQ247" s="53" t="inlineStr">
        <is>
          <t>Professional Services</t>
        </is>
      </c>
      <c r="AR247" s="53" t="inlineStr">
        <is>
          <t>Data Processing</t>
        </is>
      </c>
      <c r="AS247" s="53" t="inlineStr">
        <is>
          <t>Non-technical</t>
        </is>
      </c>
      <c r="AT247" s="53" t="n">
        <v>20</v>
      </c>
      <c r="AU247" s="53" t="inlineStr">
        <is>
          <t>Covered</t>
        </is>
      </c>
      <c r="AV247" s="53" t="n"/>
      <c r="AW247" s="53" t="n"/>
      <c r="AX247" s="53" t="n"/>
      <c r="AY247" s="53" t="n"/>
      <c r="AZ247" s="53" t="n"/>
      <c r="BA247" s="53" t="n"/>
      <c r="BB247" s="53" t="n"/>
      <c r="BC247" s="53" t="n"/>
      <c r="BD247" s="53" t="n"/>
      <c r="BE247" s="53" t="n"/>
      <c r="BF247" s="53" t="n"/>
      <c r="BG247" s="53" t="n"/>
      <c r="BH247" s="53" t="n"/>
      <c r="BI247" s="53" t="n"/>
      <c r="BJ247" s="53" t="n"/>
      <c r="BK247" s="53" t="n"/>
      <c r="BL247" s="53" t="n"/>
      <c r="BM247" s="53" t="n"/>
      <c r="BN247" s="53" t="n"/>
      <c r="BO247" s="53" t="n"/>
      <c r="BP247" s="53" t="n"/>
      <c r="BQ247" s="53" t="n"/>
      <c r="BR247" s="53" t="n"/>
      <c r="BS247" s="53" t="n"/>
      <c r="BT247" s="53" t="n"/>
      <c r="BU247" s="53" t="n"/>
      <c r="BV247" s="53" t="n"/>
      <c r="BW247" s="53" t="n"/>
      <c r="BX247" s="53" t="n"/>
      <c r="BY247" s="53" t="n"/>
      <c r="BZ247" s="53" t="n"/>
      <c r="CA247" s="53" t="n"/>
      <c r="CB247" s="53" t="n"/>
      <c r="CC247" s="53" t="n"/>
      <c r="CD247" s="53" t="n"/>
      <c r="CE247" s="53" t="n"/>
      <c r="CF247" s="53" t="n"/>
      <c r="CG247" s="53" t="n"/>
      <c r="CH247" s="53" t="n"/>
      <c r="CI247" s="53" t="n"/>
      <c r="CJ247" s="53" t="n"/>
      <c r="CK247" s="53" t="n"/>
      <c r="CL247" s="53" t="n"/>
      <c r="CM247" s="53" t="n"/>
      <c r="CN247" s="53" t="n"/>
      <c r="CO247" s="53" t="n"/>
      <c r="CP247" s="53" t="n"/>
      <c r="CQ247" s="53" t="n"/>
      <c r="CR247" s="53" t="n"/>
      <c r="CS247" s="53" t="n"/>
      <c r="CT247" s="53" t="n"/>
      <c r="CU247" s="53" t="n"/>
      <c r="CV247" s="53" t="n"/>
      <c r="CW247" s="53" t="n"/>
      <c r="CX247" s="53" t="n"/>
      <c r="CY247" s="53" t="n"/>
      <c r="CZ247" s="53" t="n"/>
      <c r="DA247" s="53" t="n"/>
      <c r="DB247" s="53" t="n"/>
      <c r="DC247" s="53" t="n"/>
      <c r="DD247" s="53" t="inlineStr">
        <is>
          <t>IRIS1710</t>
        </is>
      </c>
      <c r="DE247" s="53" t="inlineStr">
        <is>
          <t>Employee</t>
        </is>
      </c>
      <c r="DF247" s="53" t="inlineStr">
        <is>
          <t>Active</t>
        </is>
      </c>
      <c r="DG247" s="53" t="inlineStr">
        <is>
          <t>John Mariakulandai</t>
        </is>
      </c>
      <c r="DH247" s="54" t="n">
        <v>43150</v>
      </c>
      <c r="DI247" s="53" t="inlineStr">
        <is>
          <t>Data Analyst</t>
        </is>
      </c>
      <c r="DJ247" s="53" t="inlineStr">
        <is>
          <t>Consulting &amp; Professional Services</t>
        </is>
      </c>
      <c r="DK247" s="53" t="inlineStr">
        <is>
          <t>Regulatory Content</t>
        </is>
      </c>
      <c r="DL247" s="53" t="inlineStr">
        <is>
          <t>Data Analyst</t>
        </is>
      </c>
      <c r="DM247" s="53" t="inlineStr">
        <is>
          <t>L3 – Professional / Associate</t>
        </is>
      </c>
      <c r="DN247" s="53" t="inlineStr">
        <is>
          <t>B.Com</t>
        </is>
      </c>
      <c r="DO247" s="53" t="inlineStr">
        <is>
          <t>Gopal Krishna Sahu</t>
        </is>
      </c>
      <c r="DP247" s="53" t="inlineStr">
        <is>
          <t>N-3</t>
        </is>
      </c>
      <c r="DQ247" s="53" t="inlineStr">
        <is>
          <t>Individual Contributor</t>
        </is>
      </c>
      <c r="DR247" s="53" t="inlineStr">
        <is>
          <t>8 years, 9 months, 0 days</t>
        </is>
      </c>
      <c r="DS247" s="53" t="inlineStr">
        <is>
          <t>8 years, 4 months, 1 days</t>
        </is>
      </c>
      <c r="DT247" s="53" t="inlineStr">
        <is>
          <t>17 years, 1 months, 1 days</t>
        </is>
      </c>
      <c r="DU247" s="53" t="n"/>
      <c r="DV247" s="53" t="inlineStr">
        <is>
          <t>Consume</t>
        </is>
      </c>
      <c r="DW247" s="53" t="inlineStr">
        <is>
          <t>Consume</t>
        </is>
      </c>
      <c r="DX247" s="53" t="inlineStr">
        <is>
          <t>India Content</t>
        </is>
      </c>
      <c r="DY247" s="53" t="inlineStr">
        <is>
          <t>Expert Assisted services</t>
        </is>
      </c>
      <c r="DZ247" s="53" t="inlineStr">
        <is>
          <t>No</t>
        </is>
      </c>
      <c r="EA247" s="53" t="inlineStr">
        <is>
          <t>Professional Services</t>
        </is>
      </c>
      <c r="EB247" s="53" t="inlineStr">
        <is>
          <t>Data Processing</t>
        </is>
      </c>
      <c r="EC247" s="53" t="inlineStr">
        <is>
          <t>Non-technical</t>
        </is>
      </c>
      <c r="ED247" s="53" t="inlineStr">
        <is>
          <t>Remote - Mumbai</t>
        </is>
      </c>
      <c r="EE247"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7"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7"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7" s="53" t="n">
        <v>3</v>
      </c>
      <c r="EI247" s="54" t="n">
        <v>45933</v>
      </c>
      <c r="EJ247" s="53" t="inlineStr">
        <is>
          <t>Data Analyst</t>
        </is>
      </c>
      <c r="EK247" s="53" t="inlineStr">
        <is>
          <t>No</t>
        </is>
      </c>
      <c r="EL247" s="53" t="n">
        <v>3</v>
      </c>
      <c r="EM247" s="53" t="inlineStr">
        <is>
          <t>Medium</t>
        </is>
      </c>
      <c r="EN247" s="53" t="inlineStr">
        <is>
          <t>High Impact / Growth Talent</t>
        </is>
      </c>
      <c r="EO247" s="53" t="inlineStr">
        <is>
          <t>Yes</t>
        </is>
      </c>
      <c r="EP247" s="53" t="inlineStr">
        <is>
          <t>Yes</t>
        </is>
      </c>
      <c r="EQ247" s="53" t="inlineStr">
        <is>
          <t>Yes</t>
        </is>
      </c>
      <c r="ER247" s="53" t="inlineStr">
        <is>
          <t>Palani Kumar, Akash Dubey</t>
        </is>
      </c>
      <c r="ES247" s="53" t="inlineStr">
        <is>
          <t>The team needs training for new automation tools.</t>
        </is>
      </c>
      <c r="ET247" s="53" t="inlineStr">
        <is>
          <t>Transition to leadership: people management &amp; delegation, mentoring/coaching, project ownership &amp; stakeholder management, prioritisation under ambiguity, presentation &amp; influence skills</t>
        </is>
      </c>
      <c r="EU247" s="53" t="n"/>
      <c r="EV247" s="53" t="n"/>
      <c r="EW247" s="52" t="n"/>
      <c r="EX247" s="53" t="n"/>
      <c r="EY247" s="53" t="n"/>
      <c r="EZ247" s="53" t="n"/>
      <c r="FA247" s="53" t="n"/>
      <c r="FB247" s="53" t="n"/>
      <c r="FC247" s="53" t="n"/>
      <c r="FD247" s="53" t="n"/>
      <c r="FE247"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7"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7"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7" s="56" t="inlineStr">
        <is>
          <t>3</t>
        </is>
      </c>
      <c r="FI247" s="56" t="n"/>
      <c r="FJ247" s="56" t="inlineStr">
        <is>
          <t>Received · manager annual, quarterly, self</t>
        </is>
      </c>
      <c r="FK247" s="56" t="inlineStr">
        <is>
          <t>Talent Mapping · Database Content</t>
        </is>
      </c>
      <c r="FL247" s="56" t="n">
        <v>20</v>
      </c>
      <c r="FM247" s="32" t="inlineStr">
        <is>
          <t>Full survey answers not in the files received · How We Grow export needed · HR</t>
        </is>
      </c>
      <c r="FN247" s="56" t="inlineStr">
        <is>
          <t>—</t>
        </is>
      </c>
      <c r="FO247" s="56" t="inlineStr">
        <is>
          <t>—</t>
        </is>
      </c>
      <c r="FP247" s="56" t="inlineStr">
        <is>
          <t>—</t>
        </is>
      </c>
      <c r="FQ247" s="56" t="inlineStr">
        <is>
          <t>—</t>
        </is>
      </c>
      <c r="FR247" s="56"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for transactions → matches the start
Leadership: Evidence reads like A1: No guiding or leading of others described → matches the start
Business Impact: Moved +1: the survey / manager mapping marks it business-critical and it does work no one else does.</t>
        </is>
      </c>
      <c r="FS247"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7" s="56" t="inlineStr">
        <is>
          <t>Self-identified: Answered · no common topic
For the next role: Answered · no common topic</t>
        </is>
      </c>
      <c r="FU247" s="32" t="inlineStr">
        <is>
          <t>Full survey answers not in the files received · How We Grow export needed · HR</t>
        </is>
      </c>
    </row>
    <row r="248" ht="90" customHeight="1">
      <c r="A248" s="51" t="inlineStr">
        <is>
          <t>◂ Back</t>
        </is>
      </c>
      <c r="B248" s="29" t="inlineStr">
        <is>
          <t>Mapped</t>
        </is>
      </c>
      <c r="C248" s="28" t="inlineStr">
        <is>
          <t>Consume</t>
        </is>
      </c>
      <c r="D248" s="29" t="inlineStr">
        <is>
          <t>IRIS0091</t>
        </is>
      </c>
      <c r="E248" s="29" t="inlineStr">
        <is>
          <t>Neelam Kadam</t>
        </is>
      </c>
      <c r="F248" s="29" t="inlineStr">
        <is>
          <t>India Content</t>
        </is>
      </c>
      <c r="G248" s="29" t="inlineStr">
        <is>
          <t>Data Analyst</t>
        </is>
      </c>
      <c r="H248" s="29" t="inlineStr">
        <is>
          <t>Senior Data Analyst</t>
        </is>
      </c>
      <c r="I248" s="29" t="inlineStr">
        <is>
          <t>L3 – Professional / Associate</t>
        </is>
      </c>
      <c r="J248" s="29" t="inlineStr">
        <is>
          <t>A3</t>
        </is>
      </c>
      <c r="K248" s="29" t="inlineStr">
        <is>
          <t>▲ Up</t>
        </is>
      </c>
      <c r="L248" s="29" t="inlineStr">
        <is>
          <t>Data &amp; Analytics</t>
        </is>
      </c>
      <c r="M248" s="29" t="inlineStr">
        <is>
          <t>Financial Data Processing</t>
        </is>
      </c>
      <c r="N248" s="29" t="n"/>
      <c r="O248" s="29" t="n">
        <v>19</v>
      </c>
      <c r="P248" s="28" t="inlineStr">
        <is>
          <t>P2</t>
        </is>
      </c>
      <c r="Q248" s="29" t="inlineStr">
        <is>
          <t>Developing</t>
        </is>
      </c>
      <c r="R248" s="29" t="inlineStr">
        <is>
          <t>3 Apply</t>
        </is>
      </c>
      <c r="S248" s="29" t="inlineStr">
        <is>
          <t>2–4 yrs</t>
        </is>
      </c>
      <c r="T248" s="29" t="inlineStr">
        <is>
          <t>3–5 · 2–5</t>
        </is>
      </c>
      <c r="U248" s="29" t="inlineStr">
        <is>
          <t>Data Analyst</t>
        </is>
      </c>
      <c r="V248" s="29" t="inlineStr">
        <is>
          <t>Atlassian company-wide P-levels: P40 Analyst · IRIS Vs Competitor Benchmark — data analyst ladder: Data Analyst II</t>
        </is>
      </c>
      <c r="W248" s="29" t="inlineStr">
        <is>
          <t>DAMA-DMBOK · 11 knowledge areas around data governance</t>
        </is>
      </c>
      <c r="X248" s="29" t="inlineStr">
        <is>
          <t>Core 2 · Future 2 · Functional 3 · Leadership not scored</t>
        </is>
      </c>
      <c r="Y248" s="52" t="n">
        <v>22</v>
      </c>
      <c r="Z248" s="53" t="inlineStr">
        <is>
          <t>IRIS0091</t>
        </is>
      </c>
      <c r="AA248" s="53" t="inlineStr">
        <is>
          <t>Employee</t>
        </is>
      </c>
      <c r="AB248" s="53" t="inlineStr">
        <is>
          <t>Active</t>
        </is>
      </c>
      <c r="AC248" s="53" t="inlineStr">
        <is>
          <t>Neelam Kadam</t>
        </is>
      </c>
      <c r="AD248" s="54" t="n">
        <v>39217</v>
      </c>
      <c r="AE248" s="53" t="inlineStr">
        <is>
          <t>Data Analyst</t>
        </is>
      </c>
      <c r="AF248" s="53" t="inlineStr">
        <is>
          <t>B.Com</t>
        </is>
      </c>
      <c r="AG248" s="53" t="inlineStr">
        <is>
          <t>Gopal Krishna Sahu</t>
        </is>
      </c>
      <c r="AH248" s="53" t="inlineStr">
        <is>
          <t>N-4</t>
        </is>
      </c>
      <c r="AI248" s="53" t="inlineStr">
        <is>
          <t>Individual Contributor</t>
        </is>
      </c>
      <c r="AJ248" s="53" t="inlineStr">
        <is>
          <t>0 years, 0 months, 0 days</t>
        </is>
      </c>
      <c r="AK248" s="53" t="inlineStr">
        <is>
          <t>19 years, 3 months, 10 days</t>
        </is>
      </c>
      <c r="AL248" s="53" t="inlineStr">
        <is>
          <t>Consume</t>
        </is>
      </c>
      <c r="AM248" s="53" t="inlineStr">
        <is>
          <t>Consume</t>
        </is>
      </c>
      <c r="AN248" s="53" t="inlineStr">
        <is>
          <t>India Content</t>
        </is>
      </c>
      <c r="AO248" s="53" t="inlineStr">
        <is>
          <t>Expert Assisted services</t>
        </is>
      </c>
      <c r="AP248" s="53" t="inlineStr">
        <is>
          <t>No</t>
        </is>
      </c>
      <c r="AQ248" s="53" t="inlineStr">
        <is>
          <t>Professional Services</t>
        </is>
      </c>
      <c r="AR248" s="53" t="inlineStr">
        <is>
          <t>Data Processing</t>
        </is>
      </c>
      <c r="AS248" s="53" t="inlineStr">
        <is>
          <t>Non-technical</t>
        </is>
      </c>
      <c r="AT248" s="53" t="n">
        <v>20</v>
      </c>
      <c r="AU248" s="53" t="inlineStr">
        <is>
          <t>Covered</t>
        </is>
      </c>
      <c r="AV248" s="53" t="n"/>
      <c r="AW248" s="53" t="n"/>
      <c r="AX248" s="53" t="n"/>
      <c r="AY248" s="53" t="n"/>
      <c r="AZ248" s="53" t="n"/>
      <c r="BA248" s="53" t="n"/>
      <c r="BB248" s="53" t="n"/>
      <c r="BC248" s="53" t="n"/>
      <c r="BD248" s="53" t="n"/>
      <c r="BE248" s="53" t="n"/>
      <c r="BF248" s="53" t="n"/>
      <c r="BG248" s="53" t="n"/>
      <c r="BH248" s="53" t="n"/>
      <c r="BI248" s="53" t="n"/>
      <c r="BJ248" s="53" t="n"/>
      <c r="BK248" s="53" t="n"/>
      <c r="BL248" s="53" t="n"/>
      <c r="BM248" s="53" t="n"/>
      <c r="BN248" s="53" t="n"/>
      <c r="BO248" s="53" t="n"/>
      <c r="BP248" s="53" t="n"/>
      <c r="BQ248" s="53" t="n"/>
      <c r="BR248" s="53" t="n"/>
      <c r="BS248" s="53" t="n"/>
      <c r="BT248" s="53" t="n"/>
      <c r="BU248" s="53" t="n"/>
      <c r="BV248" s="53" t="n"/>
      <c r="BW248" s="53" t="n"/>
      <c r="BX248" s="53" t="n"/>
      <c r="BY248" s="53" t="n"/>
      <c r="BZ248" s="53" t="n"/>
      <c r="CA248" s="53" t="n"/>
      <c r="CB248" s="53" t="n"/>
      <c r="CC248" s="53" t="n"/>
      <c r="CD248" s="53" t="n"/>
      <c r="CE248" s="53" t="n"/>
      <c r="CF248" s="53" t="n"/>
      <c r="CG248" s="53" t="n"/>
      <c r="CH248" s="53" t="n"/>
      <c r="CI248" s="53" t="n"/>
      <c r="CJ248" s="53" t="n"/>
      <c r="CK248" s="53" t="n"/>
      <c r="CL248" s="53" t="n"/>
      <c r="CM248" s="53" t="n"/>
      <c r="CN248" s="53" t="n"/>
      <c r="CO248" s="53" t="n"/>
      <c r="CP248" s="53" t="n"/>
      <c r="CQ248" s="53" t="n"/>
      <c r="CR248" s="53" t="n"/>
      <c r="CS248" s="53" t="n"/>
      <c r="CT248" s="53" t="n"/>
      <c r="CU248" s="53" t="n"/>
      <c r="CV248" s="53" t="n"/>
      <c r="CW248" s="53" t="n"/>
      <c r="CX248" s="53" t="n"/>
      <c r="CY248" s="53" t="n"/>
      <c r="CZ248" s="53" t="n"/>
      <c r="DA248" s="53" t="n"/>
      <c r="DB248" s="53" t="n"/>
      <c r="DC248" s="53" t="n"/>
      <c r="DD248" s="53" t="inlineStr">
        <is>
          <t>IRIS0091</t>
        </is>
      </c>
      <c r="DE248" s="53" t="inlineStr">
        <is>
          <t>Employee</t>
        </is>
      </c>
      <c r="DF248" s="53" t="inlineStr">
        <is>
          <t>Active</t>
        </is>
      </c>
      <c r="DG248" s="53" t="inlineStr">
        <is>
          <t>Neelam Kadam</t>
        </is>
      </c>
      <c r="DH248" s="54" t="n">
        <v>39217</v>
      </c>
      <c r="DI248" s="53" t="inlineStr">
        <is>
          <t>Data Analyst</t>
        </is>
      </c>
      <c r="DJ248" s="53" t="inlineStr">
        <is>
          <t>Consulting &amp; Professional Services</t>
        </is>
      </c>
      <c r="DK248" s="53" t="inlineStr">
        <is>
          <t>Regulatory Content</t>
        </is>
      </c>
      <c r="DL248" s="53" t="inlineStr">
        <is>
          <t>Data Analyst</t>
        </is>
      </c>
      <c r="DM248" s="53" t="inlineStr">
        <is>
          <t>L3 – Professional / Associate</t>
        </is>
      </c>
      <c r="DN248" s="53" t="inlineStr">
        <is>
          <t>MBA</t>
        </is>
      </c>
      <c r="DO248" s="53" t="inlineStr">
        <is>
          <t>Gopal Krishna Sahu</t>
        </is>
      </c>
      <c r="DP248" s="53" t="inlineStr">
        <is>
          <t>N-3</t>
        </is>
      </c>
      <c r="DQ248" s="53" t="inlineStr">
        <is>
          <t>Individual Contributor</t>
        </is>
      </c>
      <c r="DR248" s="53" t="inlineStr">
        <is>
          <t>0 years, 0 months, 0 days</t>
        </is>
      </c>
      <c r="DS248" s="53" t="inlineStr">
        <is>
          <t>19 years, 1 months, 5 days</t>
        </is>
      </c>
      <c r="DT248" s="53" t="inlineStr">
        <is>
          <t>19 years, 1 months, 5 days</t>
        </is>
      </c>
      <c r="DU248" s="53" t="n"/>
      <c r="DV248" s="53" t="inlineStr">
        <is>
          <t>Consume</t>
        </is>
      </c>
      <c r="DW248" s="53" t="inlineStr">
        <is>
          <t>Consume</t>
        </is>
      </c>
      <c r="DX248" s="53" t="inlineStr">
        <is>
          <t>India Content</t>
        </is>
      </c>
      <c r="DY248" s="53" t="inlineStr">
        <is>
          <t>Expert Assisted services</t>
        </is>
      </c>
      <c r="DZ248" s="53" t="inlineStr">
        <is>
          <t>No</t>
        </is>
      </c>
      <c r="EA248" s="53" t="inlineStr">
        <is>
          <t>Professional Services</t>
        </is>
      </c>
      <c r="EB248" s="53" t="inlineStr">
        <is>
          <t>Data Processing</t>
        </is>
      </c>
      <c r="EC248" s="53" t="inlineStr">
        <is>
          <t>Non-technical</t>
        </is>
      </c>
      <c r="ED248" s="53" t="inlineStr">
        <is>
          <t>Remote - Mumbai</t>
        </is>
      </c>
      <c r="EE248"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8"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8"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8" s="53" t="n">
        <v>2</v>
      </c>
      <c r="EI248" s="54" t="n">
        <v>45933</v>
      </c>
      <c r="EJ248" s="53" t="inlineStr">
        <is>
          <t>Data Analyst</t>
        </is>
      </c>
      <c r="EK248" s="53" t="inlineStr">
        <is>
          <t>No</t>
        </is>
      </c>
      <c r="EL248" s="53" t="n">
        <v>2</v>
      </c>
      <c r="EM248" s="53" t="inlineStr">
        <is>
          <t>Medium</t>
        </is>
      </c>
      <c r="EN248" s="53" t="inlineStr">
        <is>
          <t>Trusted Professional</t>
        </is>
      </c>
      <c r="EO248" s="53" t="inlineStr">
        <is>
          <t>Yes</t>
        </is>
      </c>
      <c r="EP248" s="53" t="inlineStr">
        <is>
          <t>Yes</t>
        </is>
      </c>
      <c r="EQ248" s="53" t="inlineStr">
        <is>
          <t>Yes</t>
        </is>
      </c>
      <c r="ER248" s="53" t="inlineStr">
        <is>
          <t>Palani Kumar, Virendra Borkar</t>
        </is>
      </c>
      <c r="ES248" s="53" t="inlineStr">
        <is>
          <t>The team needs training for new automation tools.</t>
        </is>
      </c>
      <c r="ET248" s="53" t="inlineStr">
        <is>
          <t>Transition to leadership: people management &amp; delegation, mentoring/coaching, project ownership &amp; stakeholder management, prioritisation under ambiguity, presentation &amp; influence skills</t>
        </is>
      </c>
      <c r="EU248" s="53" t="n"/>
      <c r="EV248" s="53" t="n"/>
      <c r="EW248" s="52" t="n"/>
      <c r="EX248" s="53" t="n"/>
      <c r="EY248" s="53" t="n"/>
      <c r="EZ248" s="53" t="n"/>
      <c r="FA248" s="53" t="n"/>
      <c r="FB248" s="53" t="n"/>
      <c r="FC248" s="53" t="n"/>
      <c r="FD248" s="53" t="n"/>
      <c r="FE248"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8"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8"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8" s="56" t="inlineStr">
        <is>
          <t>2</t>
        </is>
      </c>
      <c r="FI248" s="56" t="n"/>
      <c r="FJ248" s="56" t="inlineStr">
        <is>
          <t>Received · manager annual, quarterly, self</t>
        </is>
      </c>
      <c r="FK248" s="56" t="inlineStr">
        <is>
          <t>Talent Mapping · Database Content</t>
        </is>
      </c>
      <c r="FL248" s="56" t="n">
        <v>19</v>
      </c>
      <c r="FM248" s="32" t="inlineStr">
        <is>
          <t>Full survey answers not in the files received · How We Grow export needed · HR</t>
        </is>
      </c>
      <c r="FN248" s="56" t="inlineStr">
        <is>
          <t>—</t>
        </is>
      </c>
      <c r="FO248" s="56" t="inlineStr">
        <is>
          <t>—</t>
        </is>
      </c>
      <c r="FP248" s="56" t="inlineStr">
        <is>
          <t>—</t>
        </is>
      </c>
      <c r="FQ248" s="56" t="inlineStr">
        <is>
          <t>—</t>
        </is>
      </c>
      <c r="FR24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248"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8" s="56" t="inlineStr">
        <is>
          <t>Self-identified: Client, sales &amp; stakeholders
For the next role: Client, sales &amp; stakeholders</t>
        </is>
      </c>
      <c r="FU248" s="32" t="inlineStr">
        <is>
          <t>Full survey answers not in the files received · How We Grow export needed · HR</t>
        </is>
      </c>
    </row>
    <row r="249" ht="90" customHeight="1">
      <c r="A249" s="51" t="inlineStr">
        <is>
          <t>◂ Back</t>
        </is>
      </c>
      <c r="B249" s="29" t="inlineStr">
        <is>
          <t>Mapped</t>
        </is>
      </c>
      <c r="C249" s="28" t="inlineStr">
        <is>
          <t>Consume</t>
        </is>
      </c>
      <c r="D249" s="29" t="inlineStr">
        <is>
          <t>IRIS0065</t>
        </is>
      </c>
      <c r="E249" s="29" t="inlineStr">
        <is>
          <t>Nishikant Mhatre</t>
        </is>
      </c>
      <c r="F249" s="29" t="inlineStr">
        <is>
          <t>India Content</t>
        </is>
      </c>
      <c r="G249" s="29" t="inlineStr">
        <is>
          <t>Data Analyst</t>
        </is>
      </c>
      <c r="H249" s="29" t="inlineStr">
        <is>
          <t>Senior Data Analyst</t>
        </is>
      </c>
      <c r="I249" s="29" t="inlineStr">
        <is>
          <t>L3 – Professional / Associate</t>
        </is>
      </c>
      <c r="J249" s="29" t="inlineStr">
        <is>
          <t>A3</t>
        </is>
      </c>
      <c r="K249" s="29" t="inlineStr">
        <is>
          <t>▲ Up</t>
        </is>
      </c>
      <c r="L249" s="29" t="inlineStr">
        <is>
          <t>Data &amp; Analytics</t>
        </is>
      </c>
      <c r="M249" s="29" t="inlineStr">
        <is>
          <t>Financial Data Processing</t>
        </is>
      </c>
      <c r="N249" s="29" t="n"/>
      <c r="O249" s="29" t="n">
        <v>20</v>
      </c>
      <c r="P249" s="28" t="inlineStr">
        <is>
          <t>P2</t>
        </is>
      </c>
      <c r="Q249" s="29" t="inlineStr">
        <is>
          <t>Developing</t>
        </is>
      </c>
      <c r="R249" s="29" t="inlineStr">
        <is>
          <t>3 Apply</t>
        </is>
      </c>
      <c r="S249" s="29" t="inlineStr">
        <is>
          <t>2–4 yrs</t>
        </is>
      </c>
      <c r="T249" s="29" t="inlineStr">
        <is>
          <t>3–5 · 2–5</t>
        </is>
      </c>
      <c r="U249" s="29" t="inlineStr">
        <is>
          <t>Data Analyst</t>
        </is>
      </c>
      <c r="V249" s="29" t="inlineStr">
        <is>
          <t>Atlassian company-wide P-levels: P40 Analyst · IRIS Vs Competitor Benchmark — data analyst ladder: Data Analyst II</t>
        </is>
      </c>
      <c r="W249" s="29" t="inlineStr">
        <is>
          <t>DAMA-DMBOK · 11 knowledge areas around data governance</t>
        </is>
      </c>
      <c r="X249" s="29" t="inlineStr">
        <is>
          <t>Core 2 · Future 2 · Functional 3 · Leadership not scored</t>
        </is>
      </c>
      <c r="Y249" s="52" t="n">
        <v>20</v>
      </c>
      <c r="Z249" s="53" t="inlineStr">
        <is>
          <t>IRIS0065</t>
        </is>
      </c>
      <c r="AA249" s="53" t="inlineStr">
        <is>
          <t>Employee</t>
        </is>
      </c>
      <c r="AB249" s="53" t="inlineStr">
        <is>
          <t>Active</t>
        </is>
      </c>
      <c r="AC249" s="53" t="inlineStr">
        <is>
          <t>Nishikant Mhatre</t>
        </is>
      </c>
      <c r="AD249" s="54" t="n">
        <v>39097</v>
      </c>
      <c r="AE249" s="53" t="inlineStr">
        <is>
          <t>Data Analyst</t>
        </is>
      </c>
      <c r="AF249" s="53" t="inlineStr">
        <is>
          <t>B.Com</t>
        </is>
      </c>
      <c r="AG249" s="53" t="inlineStr">
        <is>
          <t>Gopal Krishna Sahu</t>
        </is>
      </c>
      <c r="AH249" s="53" t="inlineStr">
        <is>
          <t>N-4</t>
        </is>
      </c>
      <c r="AI249" s="53" t="inlineStr">
        <is>
          <t>Individual Contributor</t>
        </is>
      </c>
      <c r="AJ249" s="53" t="inlineStr">
        <is>
          <t>11 years, 0 months, 0 days</t>
        </is>
      </c>
      <c r="AK249" s="53" t="inlineStr">
        <is>
          <t>19 years, 7 months, 10 days</t>
        </is>
      </c>
      <c r="AL249" s="53" t="inlineStr">
        <is>
          <t>Consume</t>
        </is>
      </c>
      <c r="AM249" s="53" t="inlineStr">
        <is>
          <t>Consume</t>
        </is>
      </c>
      <c r="AN249" s="53" t="inlineStr">
        <is>
          <t>India Content</t>
        </is>
      </c>
      <c r="AO249" s="53" t="inlineStr">
        <is>
          <t>Expert Assisted services</t>
        </is>
      </c>
      <c r="AP249" s="53" t="inlineStr">
        <is>
          <t>No</t>
        </is>
      </c>
      <c r="AQ249" s="53" t="inlineStr">
        <is>
          <t>Professional Services</t>
        </is>
      </c>
      <c r="AR249" s="53" t="inlineStr">
        <is>
          <t>Data Processing</t>
        </is>
      </c>
      <c r="AS249" s="53" t="inlineStr">
        <is>
          <t>Non-technical</t>
        </is>
      </c>
      <c r="AT249" s="53" t="n">
        <v>20</v>
      </c>
      <c r="AU249" s="53" t="inlineStr">
        <is>
          <t>Covered</t>
        </is>
      </c>
      <c r="AV249" s="53" t="n"/>
      <c r="AW249" s="53" t="n"/>
      <c r="AX249" s="53" t="n"/>
      <c r="AY249" s="53" t="n"/>
      <c r="AZ249" s="53" t="n"/>
      <c r="BA249" s="53" t="n"/>
      <c r="BB249" s="53" t="n"/>
      <c r="BC249" s="53" t="n"/>
      <c r="BD249" s="53" t="n"/>
      <c r="BE249" s="53" t="n"/>
      <c r="BF249" s="53" t="n"/>
      <c r="BG249" s="53" t="n"/>
      <c r="BH249" s="53" t="n"/>
      <c r="BI249" s="53" t="n"/>
      <c r="BJ249" s="53" t="n"/>
      <c r="BK249" s="53" t="n"/>
      <c r="BL249" s="53" t="n"/>
      <c r="BM249" s="53" t="n"/>
      <c r="BN249" s="53" t="n"/>
      <c r="BO249" s="53" t="n"/>
      <c r="BP249" s="53" t="n"/>
      <c r="BQ249" s="53" t="n"/>
      <c r="BR249" s="53" t="n"/>
      <c r="BS249" s="53" t="n"/>
      <c r="BT249" s="53" t="n"/>
      <c r="BU249" s="53" t="n"/>
      <c r="BV249" s="53" t="n"/>
      <c r="BW249" s="53" t="n"/>
      <c r="BX249" s="53" t="n"/>
      <c r="BY249" s="53" t="n"/>
      <c r="BZ249" s="53" t="n"/>
      <c r="CA249" s="53" t="n"/>
      <c r="CB249" s="53" t="n"/>
      <c r="CC249" s="53" t="n"/>
      <c r="CD249" s="53" t="n"/>
      <c r="CE249" s="53" t="n"/>
      <c r="CF249" s="53" t="n"/>
      <c r="CG249" s="53" t="n"/>
      <c r="CH249" s="53" t="n"/>
      <c r="CI249" s="53" t="n"/>
      <c r="CJ249" s="53" t="n"/>
      <c r="CK249" s="53" t="n"/>
      <c r="CL249" s="53" t="n"/>
      <c r="CM249" s="53" t="n"/>
      <c r="CN249" s="53" t="n"/>
      <c r="CO249" s="53" t="n"/>
      <c r="CP249" s="53" t="n"/>
      <c r="CQ249" s="53" t="n"/>
      <c r="CR249" s="53" t="n"/>
      <c r="CS249" s="53" t="n"/>
      <c r="CT249" s="53" t="n"/>
      <c r="CU249" s="53" t="n"/>
      <c r="CV249" s="53" t="n"/>
      <c r="CW249" s="53" t="n"/>
      <c r="CX249" s="53" t="n"/>
      <c r="CY249" s="53" t="n"/>
      <c r="CZ249" s="53" t="n"/>
      <c r="DA249" s="53" t="n"/>
      <c r="DB249" s="53" t="n"/>
      <c r="DC249" s="53" t="n"/>
      <c r="DD249" s="53" t="inlineStr">
        <is>
          <t>IRIS0065</t>
        </is>
      </c>
      <c r="DE249" s="53" t="inlineStr">
        <is>
          <t>Employee</t>
        </is>
      </c>
      <c r="DF249" s="53" t="inlineStr">
        <is>
          <t>Active</t>
        </is>
      </c>
      <c r="DG249" s="53" t="inlineStr">
        <is>
          <t>Nishikant Mhatre</t>
        </is>
      </c>
      <c r="DH249" s="54" t="n">
        <v>39097</v>
      </c>
      <c r="DI249" s="53" t="inlineStr">
        <is>
          <t>Data Analyst</t>
        </is>
      </c>
      <c r="DJ249" s="53" t="inlineStr">
        <is>
          <t>Consulting &amp; Professional Services</t>
        </is>
      </c>
      <c r="DK249" s="53" t="inlineStr">
        <is>
          <t>Regulatory Content</t>
        </is>
      </c>
      <c r="DL249" s="53" t="inlineStr">
        <is>
          <t>Data Analyst</t>
        </is>
      </c>
      <c r="DM249" s="53" t="inlineStr">
        <is>
          <t>L3 – Professional / Associate</t>
        </is>
      </c>
      <c r="DN249" s="53" t="inlineStr">
        <is>
          <t>B.Com</t>
        </is>
      </c>
      <c r="DO249" s="53" t="inlineStr">
        <is>
          <t>Gopal Krishna Sahu</t>
        </is>
      </c>
      <c r="DP249" s="53" t="inlineStr">
        <is>
          <t>N-3</t>
        </is>
      </c>
      <c r="DQ249" s="53" t="inlineStr">
        <is>
          <t>Individual Contributor</t>
        </is>
      </c>
      <c r="DR249" s="53" t="inlineStr">
        <is>
          <t>11 years, 0 months, 0 days</t>
        </is>
      </c>
      <c r="DS249" s="53" t="inlineStr">
        <is>
          <t>19 years, 5 months, 5 days</t>
        </is>
      </c>
      <c r="DT249" s="53" t="inlineStr">
        <is>
          <t>30 years, 5 months, 5 days</t>
        </is>
      </c>
      <c r="DU249" s="53" t="n"/>
      <c r="DV249" s="53" t="inlineStr">
        <is>
          <t>Consume</t>
        </is>
      </c>
      <c r="DW249" s="53" t="inlineStr">
        <is>
          <t>Consume</t>
        </is>
      </c>
      <c r="DX249" s="53" t="inlineStr">
        <is>
          <t>India Content</t>
        </is>
      </c>
      <c r="DY249" s="53" t="inlineStr">
        <is>
          <t>Expert Assisted services</t>
        </is>
      </c>
      <c r="DZ249" s="53" t="inlineStr">
        <is>
          <t>No</t>
        </is>
      </c>
      <c r="EA249" s="53" t="inlineStr">
        <is>
          <t>Professional Services</t>
        </is>
      </c>
      <c r="EB249" s="53" t="inlineStr">
        <is>
          <t>Data Processing</t>
        </is>
      </c>
      <c r="EC249" s="53" t="inlineStr">
        <is>
          <t>Non-technical</t>
        </is>
      </c>
      <c r="ED249" s="53" t="inlineStr">
        <is>
          <t>Remote- Outside Mumbai</t>
        </is>
      </c>
      <c r="EE249"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9"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9"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9" s="53" t="n">
        <v>3</v>
      </c>
      <c r="EI249" s="54" t="n">
        <v>45933</v>
      </c>
      <c r="EJ249" s="53" t="inlineStr">
        <is>
          <t>Data Analyst</t>
        </is>
      </c>
      <c r="EK249" s="53" t="inlineStr">
        <is>
          <t>No</t>
        </is>
      </c>
      <c r="EL249" s="53" t="n">
        <v>3</v>
      </c>
      <c r="EM249" s="53" t="inlineStr">
        <is>
          <t>Medium</t>
        </is>
      </c>
      <c r="EN249" s="53" t="inlineStr">
        <is>
          <t>Trusted Professional</t>
        </is>
      </c>
      <c r="EO249" s="53" t="inlineStr">
        <is>
          <t>Yes</t>
        </is>
      </c>
      <c r="EP249" s="53" t="inlineStr">
        <is>
          <t>No</t>
        </is>
      </c>
      <c r="EQ249" s="53" t="inlineStr">
        <is>
          <t>Yes</t>
        </is>
      </c>
      <c r="ER249" s="53" t="inlineStr">
        <is>
          <t>Virendra Borkar</t>
        </is>
      </c>
      <c r="ES249" s="53" t="inlineStr">
        <is>
          <t>The team needs training for new automation tools.</t>
        </is>
      </c>
      <c r="ET249" s="53" t="inlineStr">
        <is>
          <t>Transition to leadership: people management &amp; delegation, mentoring/coaching, project ownership &amp; stakeholder management, prioritisation under ambiguity, presentation &amp; influence skills</t>
        </is>
      </c>
      <c r="EU249" s="53" t="n"/>
      <c r="EV249" s="53" t="n"/>
      <c r="EW249" s="52" t="n"/>
      <c r="EX249" s="53" t="n"/>
      <c r="EY249" s="53" t="n"/>
      <c r="EZ249" s="53" t="n"/>
      <c r="FA249" s="53" t="n"/>
      <c r="FB249" s="53" t="n"/>
      <c r="FC249" s="53" t="n"/>
      <c r="FD249" s="53" t="n"/>
      <c r="FE249"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9"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9"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9" s="56" t="inlineStr">
        <is>
          <t>3</t>
        </is>
      </c>
      <c r="FI249" s="56" t="n"/>
      <c r="FJ249" s="56" t="inlineStr">
        <is>
          <t>Received · manager annual, quarterly, self</t>
        </is>
      </c>
      <c r="FK249" s="56" t="inlineStr">
        <is>
          <t>Talent Mapping · Database Content</t>
        </is>
      </c>
      <c r="FL249" s="56" t="n">
        <v>20</v>
      </c>
      <c r="FM249" s="32" t="inlineStr">
        <is>
          <t>Full survey answers not in the files received · How We Grow export needed · HR</t>
        </is>
      </c>
      <c r="FN249" s="56" t="inlineStr">
        <is>
          <t>—</t>
        </is>
      </c>
      <c r="FO249" s="56" t="inlineStr">
        <is>
          <t>—</t>
        </is>
      </c>
      <c r="FP249" s="56" t="inlineStr">
        <is>
          <t>—</t>
        </is>
      </c>
      <c r="FQ249" s="56" t="inlineStr">
        <is>
          <t>—</t>
        </is>
      </c>
      <c r="FR24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249"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9" s="56" t="inlineStr">
        <is>
          <t>Self-identified: Answered · no common topic
For the next role: Answered · no common topic</t>
        </is>
      </c>
      <c r="FU249" s="32" t="inlineStr">
        <is>
          <t>Full survey answers not in the files received · How We Grow export needed · HR</t>
        </is>
      </c>
    </row>
    <row r="250" ht="90" customHeight="1">
      <c r="A250" s="51" t="inlineStr">
        <is>
          <t>◂ Back</t>
        </is>
      </c>
      <c r="B250" s="29" t="inlineStr">
        <is>
          <t>Mapped</t>
        </is>
      </c>
      <c r="C250" s="28" t="inlineStr">
        <is>
          <t>Consume</t>
        </is>
      </c>
      <c r="D250" s="29" t="inlineStr">
        <is>
          <t>IRIS0292</t>
        </is>
      </c>
      <c r="E250" s="29" t="inlineStr">
        <is>
          <t>Palanikumar Mooppanar</t>
        </is>
      </c>
      <c r="F250" s="29" t="inlineStr">
        <is>
          <t>India Content</t>
        </is>
      </c>
      <c r="G250" s="29" t="inlineStr">
        <is>
          <t>Data Analyst</t>
        </is>
      </c>
      <c r="H250" s="29" t="inlineStr">
        <is>
          <t>Senior Data Analyst</t>
        </is>
      </c>
      <c r="I250" s="29" t="inlineStr">
        <is>
          <t>L3 – Professional / Associate</t>
        </is>
      </c>
      <c r="J250" s="29" t="inlineStr">
        <is>
          <t>A3</t>
        </is>
      </c>
      <c r="K250" s="29" t="inlineStr">
        <is>
          <t>▲ Up</t>
        </is>
      </c>
      <c r="L250" s="29" t="inlineStr">
        <is>
          <t>Data &amp; Analytics</t>
        </is>
      </c>
      <c r="M250" s="29" t="inlineStr">
        <is>
          <t>Financial Data Processing</t>
        </is>
      </c>
      <c r="N250" s="29" t="n"/>
      <c r="O250" s="29" t="n">
        <v>20</v>
      </c>
      <c r="P250" s="28" t="inlineStr">
        <is>
          <t>P2</t>
        </is>
      </c>
      <c r="Q250" s="29" t="inlineStr">
        <is>
          <t>Developing</t>
        </is>
      </c>
      <c r="R250" s="29" t="inlineStr">
        <is>
          <t>3 Apply</t>
        </is>
      </c>
      <c r="S250" s="29" t="inlineStr">
        <is>
          <t>2–4 yrs</t>
        </is>
      </c>
      <c r="T250" s="29" t="inlineStr">
        <is>
          <t>3–5 · 2–5</t>
        </is>
      </c>
      <c r="U250" s="29" t="inlineStr">
        <is>
          <t>Data Analyst</t>
        </is>
      </c>
      <c r="V250" s="29" t="inlineStr">
        <is>
          <t>Atlassian company-wide P-levels: P40 Analyst · IRIS Vs Competitor Benchmark — data analyst ladder: Data Analyst II</t>
        </is>
      </c>
      <c r="W250" s="29" t="inlineStr">
        <is>
          <t>DAMA-DMBOK · 11 knowledge areas around data governance</t>
        </is>
      </c>
      <c r="X250" s="29" t="inlineStr">
        <is>
          <t>Core 2 · Future 2 · Functional 3 · Leadership not scored</t>
        </is>
      </c>
      <c r="Y250" s="52" t="n">
        <v>47</v>
      </c>
      <c r="Z250" s="53" t="inlineStr">
        <is>
          <t>IRIS0292</t>
        </is>
      </c>
      <c r="AA250" s="53" t="inlineStr">
        <is>
          <t>Employee</t>
        </is>
      </c>
      <c r="AB250" s="53" t="inlineStr">
        <is>
          <t>Active</t>
        </is>
      </c>
      <c r="AC250" s="53" t="inlineStr">
        <is>
          <t>Palanikumar Mooppanar</t>
        </is>
      </c>
      <c r="AD250" s="54" t="n">
        <v>40098</v>
      </c>
      <c r="AE250" s="53" t="inlineStr">
        <is>
          <t>Data Analyst</t>
        </is>
      </c>
      <c r="AF250" s="53" t="inlineStr">
        <is>
          <t>B.Com</t>
        </is>
      </c>
      <c r="AG250" s="53" t="inlineStr">
        <is>
          <t>Gopal Krishna Sahu</t>
        </is>
      </c>
      <c r="AH250" s="53" t="inlineStr">
        <is>
          <t>N-4</t>
        </is>
      </c>
      <c r="AI250" s="53" t="inlineStr">
        <is>
          <t>Individual Contributor</t>
        </is>
      </c>
      <c r="AJ250" s="53" t="inlineStr">
        <is>
          <t>1 years, 6 months, 0 days</t>
        </is>
      </c>
      <c r="AK250" s="53" t="inlineStr">
        <is>
          <t>16 years, 10 months, 13 days</t>
        </is>
      </c>
      <c r="AL250" s="53" t="inlineStr">
        <is>
          <t>Consume</t>
        </is>
      </c>
      <c r="AM250" s="53" t="inlineStr">
        <is>
          <t>Consume</t>
        </is>
      </c>
      <c r="AN250" s="53" t="inlineStr">
        <is>
          <t>India Content</t>
        </is>
      </c>
      <c r="AO250" s="53" t="inlineStr">
        <is>
          <t>Expert Assisted services</t>
        </is>
      </c>
      <c r="AP250" s="53" t="inlineStr">
        <is>
          <t>No</t>
        </is>
      </c>
      <c r="AQ250" s="53" t="inlineStr">
        <is>
          <t>Professional Services</t>
        </is>
      </c>
      <c r="AR250" s="53" t="inlineStr">
        <is>
          <t>Data Processing</t>
        </is>
      </c>
      <c r="AS250" s="53" t="inlineStr">
        <is>
          <t>Non-technical</t>
        </is>
      </c>
      <c r="AT250" s="53" t="n">
        <v>20</v>
      </c>
      <c r="AU250" s="53" t="inlineStr">
        <is>
          <t>Covered</t>
        </is>
      </c>
      <c r="AV250" s="53" t="n"/>
      <c r="AW250" s="53" t="n"/>
      <c r="AX250" s="53" t="n"/>
      <c r="AY250" s="53" t="n"/>
      <c r="AZ250" s="53" t="n"/>
      <c r="BA250" s="53" t="n"/>
      <c r="BB250" s="53" t="n"/>
      <c r="BC250" s="53" t="n"/>
      <c r="BD250" s="53" t="n"/>
      <c r="BE250" s="53" t="n"/>
      <c r="BF250" s="53" t="n"/>
      <c r="BG250" s="53" t="n"/>
      <c r="BH250" s="53" t="n"/>
      <c r="BI250" s="53" t="n"/>
      <c r="BJ250" s="53" t="n"/>
      <c r="BK250" s="53" t="n"/>
      <c r="BL250" s="53" t="n"/>
      <c r="BM250" s="53" t="n"/>
      <c r="BN250" s="53" t="n"/>
      <c r="BO250" s="53" t="n"/>
      <c r="BP250" s="53" t="n"/>
      <c r="BQ250" s="53" t="n"/>
      <c r="BR250" s="53" t="n"/>
      <c r="BS250" s="53" t="n"/>
      <c r="BT250" s="53" t="n"/>
      <c r="BU250" s="53" t="n"/>
      <c r="BV250" s="53" t="n"/>
      <c r="BW250" s="53" t="n"/>
      <c r="BX250" s="53" t="n"/>
      <c r="BY250" s="53" t="n"/>
      <c r="BZ250" s="53" t="n"/>
      <c r="CA250" s="53" t="n"/>
      <c r="CB250" s="53" t="n"/>
      <c r="CC250" s="53" t="n"/>
      <c r="CD250" s="53" t="n"/>
      <c r="CE250" s="53" t="n"/>
      <c r="CF250" s="53" t="n"/>
      <c r="CG250" s="53" t="n"/>
      <c r="CH250" s="53" t="n"/>
      <c r="CI250" s="53" t="n"/>
      <c r="CJ250" s="53" t="n"/>
      <c r="CK250" s="53" t="n"/>
      <c r="CL250" s="53" t="n"/>
      <c r="CM250" s="53" t="n"/>
      <c r="CN250" s="53" t="n"/>
      <c r="CO250" s="53" t="n"/>
      <c r="CP250" s="53" t="n"/>
      <c r="CQ250" s="53" t="n"/>
      <c r="CR250" s="53" t="n"/>
      <c r="CS250" s="53" t="n"/>
      <c r="CT250" s="53" t="n"/>
      <c r="CU250" s="53" t="n"/>
      <c r="CV250" s="53" t="n"/>
      <c r="CW250" s="53" t="n"/>
      <c r="CX250" s="53" t="n"/>
      <c r="CY250" s="53" t="n"/>
      <c r="CZ250" s="53" t="n"/>
      <c r="DA250" s="53" t="n"/>
      <c r="DB250" s="53" t="n"/>
      <c r="DC250" s="53" t="n"/>
      <c r="DD250" s="53" t="inlineStr">
        <is>
          <t>IRIS0292</t>
        </is>
      </c>
      <c r="DE250" s="53" t="inlineStr">
        <is>
          <t>Employee</t>
        </is>
      </c>
      <c r="DF250" s="53" t="inlineStr">
        <is>
          <t>Active</t>
        </is>
      </c>
      <c r="DG250" s="53" t="inlineStr">
        <is>
          <t>Palani Kumar</t>
        </is>
      </c>
      <c r="DH250" s="54" t="n">
        <v>40098</v>
      </c>
      <c r="DI250" s="53" t="inlineStr">
        <is>
          <t>Data Analyst</t>
        </is>
      </c>
      <c r="DJ250" s="53" t="inlineStr">
        <is>
          <t>Consulting &amp; Professional Services</t>
        </is>
      </c>
      <c r="DK250" s="53" t="inlineStr">
        <is>
          <t>Regulatory Content</t>
        </is>
      </c>
      <c r="DL250" s="53" t="inlineStr">
        <is>
          <t>Data Analyst</t>
        </is>
      </c>
      <c r="DM250" s="53" t="inlineStr">
        <is>
          <t>L3 – Professional / Associate</t>
        </is>
      </c>
      <c r="DN250" s="53" t="inlineStr">
        <is>
          <t>B.Com</t>
        </is>
      </c>
      <c r="DO250" s="53" t="inlineStr">
        <is>
          <t>Gopal Krishna Sahu</t>
        </is>
      </c>
      <c r="DP250" s="53" t="inlineStr">
        <is>
          <t>N-3</t>
        </is>
      </c>
      <c r="DQ250" s="53" t="inlineStr">
        <is>
          <t>Individual Contributor</t>
        </is>
      </c>
      <c r="DR250" s="53" t="inlineStr">
        <is>
          <t>1 years, 6 months, 0 days</t>
        </is>
      </c>
      <c r="DS250" s="53" t="inlineStr">
        <is>
          <t>16 years, 8 months, 8 days</t>
        </is>
      </c>
      <c r="DT250" s="53" t="inlineStr">
        <is>
          <t>18 years, 2 months, 8 days</t>
        </is>
      </c>
      <c r="DU250" s="53" t="n"/>
      <c r="DV250" s="53" t="inlineStr">
        <is>
          <t>Consume</t>
        </is>
      </c>
      <c r="DW250" s="53" t="inlineStr">
        <is>
          <t>Consume</t>
        </is>
      </c>
      <c r="DX250" s="53" t="inlineStr">
        <is>
          <t>India Content</t>
        </is>
      </c>
      <c r="DY250" s="53" t="inlineStr">
        <is>
          <t>Expert Assisted services</t>
        </is>
      </c>
      <c r="DZ250" s="53" t="inlineStr">
        <is>
          <t>No</t>
        </is>
      </c>
      <c r="EA250" s="53" t="inlineStr">
        <is>
          <t>Professional Services</t>
        </is>
      </c>
      <c r="EB250" s="53" t="inlineStr">
        <is>
          <t>Data Processing</t>
        </is>
      </c>
      <c r="EC250" s="53" t="inlineStr">
        <is>
          <t>Non-technical</t>
        </is>
      </c>
      <c r="ED250" s="53" t="inlineStr">
        <is>
          <t>Remote - Mumbai</t>
        </is>
      </c>
      <c r="EE250"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0"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0"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0" s="53" t="n">
        <v>4</v>
      </c>
      <c r="EI250" s="54" t="n">
        <v>45933</v>
      </c>
      <c r="EJ250" s="53" t="inlineStr">
        <is>
          <t>Data Analyst Lead</t>
        </is>
      </c>
      <c r="EK250" s="53" t="inlineStr">
        <is>
          <t>No</t>
        </is>
      </c>
      <c r="EL250" s="53" t="n">
        <v>4</v>
      </c>
      <c r="EM250" s="53" t="inlineStr">
        <is>
          <t>High</t>
        </is>
      </c>
      <c r="EN250" s="53" t="inlineStr">
        <is>
          <t>Future Leader</t>
        </is>
      </c>
      <c r="EO250" s="53" t="inlineStr">
        <is>
          <t>Yes</t>
        </is>
      </c>
      <c r="EP250" s="53" t="inlineStr">
        <is>
          <t>Yes</t>
        </is>
      </c>
      <c r="EQ250" s="53" t="inlineStr">
        <is>
          <t>Yes</t>
        </is>
      </c>
      <c r="ER250" s="53" t="inlineStr">
        <is>
          <t>Not Identified</t>
        </is>
      </c>
      <c r="ES250" s="53" t="inlineStr">
        <is>
          <t>The team needs training for new automation tools.</t>
        </is>
      </c>
      <c r="ET250" s="53" t="inlineStr">
        <is>
          <t>Transition to leadership: people management &amp; delegation, mentoring/coaching, project ownership &amp; stakeholder management, prioritisation under ambiguity, presentation &amp; influence skills</t>
        </is>
      </c>
      <c r="EU250" s="53" t="n"/>
      <c r="EV250" s="53" t="n"/>
      <c r="EW250" s="52" t="n"/>
      <c r="EX250" s="53" t="n"/>
      <c r="EY250" s="53" t="n"/>
      <c r="EZ250" s="53" t="n"/>
      <c r="FA250" s="53" t="n"/>
      <c r="FB250" s="53" t="n"/>
      <c r="FC250" s="53" t="n"/>
      <c r="FD250" s="53" t="n"/>
      <c r="FE250"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0"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0"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0" s="56" t="inlineStr">
        <is>
          <t>4</t>
        </is>
      </c>
      <c r="FI250" s="56" t="n"/>
      <c r="FJ250" s="56" t="inlineStr">
        <is>
          <t>Received · manager annual, quarterly, self</t>
        </is>
      </c>
      <c r="FK250" s="56" t="inlineStr">
        <is>
          <t>Talent Mapping · Database Content</t>
        </is>
      </c>
      <c r="FL250" s="56" t="n">
        <v>20</v>
      </c>
      <c r="FM250" s="32" t="inlineStr">
        <is>
          <t>Full survey answers not in the files received · How We Grow export needed · HR</t>
        </is>
      </c>
      <c r="FN250" s="56" t="inlineStr">
        <is>
          <t>—</t>
        </is>
      </c>
      <c r="FO250" s="56" t="inlineStr">
        <is>
          <t>—</t>
        </is>
      </c>
      <c r="FP250" s="56" t="inlineStr">
        <is>
          <t>—</t>
        </is>
      </c>
      <c r="FQ250" s="56" t="inlineStr">
        <is>
          <t>—</t>
        </is>
      </c>
      <c r="FR250" s="56"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updates before the effective date → matches the start
Leadership: Evidence reads like A1: No guiding or leading of others described → matches the start
Business Impact: Moved +0.5: the survey / manager mapping marks it business-critical.</t>
        </is>
      </c>
      <c r="FS250"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0" s="56" t="inlineStr">
        <is>
          <t>Self-identified: AI / automation · Leadership &amp; people management · Communication &amp; presentation
For the next role: AI / automation · Leadership &amp; people management · Communication &amp; presentation</t>
        </is>
      </c>
      <c r="FU250" s="32" t="inlineStr">
        <is>
          <t>Full survey answers not in the files received · How We Grow export needed · HR</t>
        </is>
      </c>
    </row>
    <row r="251" ht="90" customHeight="1">
      <c r="A251" s="51" t="inlineStr">
        <is>
          <t>◂ Back</t>
        </is>
      </c>
      <c r="B251" s="29" t="inlineStr">
        <is>
          <t>Mapped</t>
        </is>
      </c>
      <c r="C251" s="28" t="inlineStr">
        <is>
          <t>Consume</t>
        </is>
      </c>
      <c r="D251" s="29" t="inlineStr">
        <is>
          <t>IRIS0009</t>
        </is>
      </c>
      <c r="E251" s="29" t="inlineStr">
        <is>
          <t>Prashant Shelar</t>
        </is>
      </c>
      <c r="F251" s="29" t="inlineStr">
        <is>
          <t>India Content</t>
        </is>
      </c>
      <c r="G251" s="29" t="inlineStr">
        <is>
          <t>Data Analyst</t>
        </is>
      </c>
      <c r="H251" s="29" t="inlineStr">
        <is>
          <t>Senior Data Analyst</t>
        </is>
      </c>
      <c r="I251" s="29" t="inlineStr">
        <is>
          <t>L3 – Professional / Associate</t>
        </is>
      </c>
      <c r="J251" s="29" t="inlineStr">
        <is>
          <t>A3</t>
        </is>
      </c>
      <c r="K251" s="29" t="inlineStr">
        <is>
          <t>▲ Up</t>
        </is>
      </c>
      <c r="L251" s="29" t="inlineStr">
        <is>
          <t>Data &amp; Analytics</t>
        </is>
      </c>
      <c r="M251" s="29" t="inlineStr">
        <is>
          <t>Financial Data Processing</t>
        </is>
      </c>
      <c r="N251" s="29" t="n"/>
      <c r="O251" s="29" t="n">
        <v>20</v>
      </c>
      <c r="P251" s="28" t="inlineStr">
        <is>
          <t>P2</t>
        </is>
      </c>
      <c r="Q251" s="29" t="inlineStr">
        <is>
          <t>Developing</t>
        </is>
      </c>
      <c r="R251" s="29" t="inlineStr">
        <is>
          <t>3 Apply</t>
        </is>
      </c>
      <c r="S251" s="29" t="inlineStr">
        <is>
          <t>2–4 yrs</t>
        </is>
      </c>
      <c r="T251" s="29" t="inlineStr">
        <is>
          <t>3–5 · 2–5</t>
        </is>
      </c>
      <c r="U251" s="29" t="inlineStr">
        <is>
          <t>Data Analyst</t>
        </is>
      </c>
      <c r="V251" s="29" t="inlineStr">
        <is>
          <t>Atlassian company-wide P-levels: P40 Analyst · IRIS Vs Competitor Benchmark — data analyst ladder: Data Analyst II</t>
        </is>
      </c>
      <c r="W251" s="29" t="inlineStr">
        <is>
          <t>DAMA-DMBOK · 11 knowledge areas around data governance</t>
        </is>
      </c>
      <c r="X251" s="29" t="inlineStr">
        <is>
          <t>Core 2 · Future 2 · Functional 3 · Leadership not scored</t>
        </is>
      </c>
      <c r="Y251" s="52" t="n">
        <v>5</v>
      </c>
      <c r="Z251" s="53" t="inlineStr">
        <is>
          <t>IRIS0009</t>
        </is>
      </c>
      <c r="AA251" s="53" t="inlineStr">
        <is>
          <t>Employee</t>
        </is>
      </c>
      <c r="AB251" s="53" t="inlineStr">
        <is>
          <t>Active</t>
        </is>
      </c>
      <c r="AC251" s="53" t="inlineStr">
        <is>
          <t>Prashant Shelar</t>
        </is>
      </c>
      <c r="AD251" s="54" t="n">
        <v>38200</v>
      </c>
      <c r="AE251" s="53" t="inlineStr">
        <is>
          <t>Data Analyst</t>
        </is>
      </c>
      <c r="AF251" s="53" t="inlineStr">
        <is>
          <t>MBA</t>
        </is>
      </c>
      <c r="AG251" s="53" t="inlineStr">
        <is>
          <t>Gopal Krishna Sahu</t>
        </is>
      </c>
      <c r="AH251" s="53" t="inlineStr">
        <is>
          <t>N-4</t>
        </is>
      </c>
      <c r="AI251" s="53" t="inlineStr">
        <is>
          <t>Individual Contributor</t>
        </is>
      </c>
      <c r="AJ251" s="53" t="inlineStr">
        <is>
          <t>0 years, 5 months, 0 days</t>
        </is>
      </c>
      <c r="AK251" s="53" t="inlineStr">
        <is>
          <t>22 years, 0 months, 24 days</t>
        </is>
      </c>
      <c r="AL251" s="53" t="inlineStr">
        <is>
          <t>Consume</t>
        </is>
      </c>
      <c r="AM251" s="53" t="inlineStr">
        <is>
          <t>Consume</t>
        </is>
      </c>
      <c r="AN251" s="53" t="inlineStr">
        <is>
          <t>India Content</t>
        </is>
      </c>
      <c r="AO251" s="53" t="inlineStr">
        <is>
          <t>Expert Assisted services</t>
        </is>
      </c>
      <c r="AP251" s="53" t="inlineStr">
        <is>
          <t>No</t>
        </is>
      </c>
      <c r="AQ251" s="53" t="inlineStr">
        <is>
          <t>Professional Services</t>
        </is>
      </c>
      <c r="AR251" s="53" t="inlineStr">
        <is>
          <t>Data Processing</t>
        </is>
      </c>
      <c r="AS251" s="53" t="inlineStr">
        <is>
          <t>Non-technical</t>
        </is>
      </c>
      <c r="AT251" s="53" t="n">
        <v>20</v>
      </c>
      <c r="AU251" s="53" t="inlineStr">
        <is>
          <t>Covered</t>
        </is>
      </c>
      <c r="AV251" s="53" t="n"/>
      <c r="AW251" s="53" t="n"/>
      <c r="AX251" s="53" t="n"/>
      <c r="AY251" s="53" t="n"/>
      <c r="AZ251" s="53" t="n"/>
      <c r="BA251" s="53" t="n"/>
      <c r="BB251" s="53" t="n"/>
      <c r="BC251" s="53" t="n"/>
      <c r="BD251" s="53" t="n"/>
      <c r="BE251" s="53" t="n"/>
      <c r="BF251" s="53" t="n"/>
      <c r="BG251" s="53" t="n"/>
      <c r="BH251" s="53" t="n"/>
      <c r="BI251" s="53" t="n"/>
      <c r="BJ251" s="53" t="n"/>
      <c r="BK251" s="53" t="n"/>
      <c r="BL251" s="53" t="n"/>
      <c r="BM251" s="53" t="n"/>
      <c r="BN251" s="53" t="n"/>
      <c r="BO251" s="53" t="n"/>
      <c r="BP251" s="53" t="n"/>
      <c r="BQ251" s="53" t="n"/>
      <c r="BR251" s="53" t="n"/>
      <c r="BS251" s="53" t="n"/>
      <c r="BT251" s="53" t="n"/>
      <c r="BU251" s="53" t="n"/>
      <c r="BV251" s="53" t="n"/>
      <c r="BW251" s="53" t="n"/>
      <c r="BX251" s="53" t="n"/>
      <c r="BY251" s="53" t="n"/>
      <c r="BZ251" s="53" t="n"/>
      <c r="CA251" s="53" t="n"/>
      <c r="CB251" s="53" t="n"/>
      <c r="CC251" s="53" t="n"/>
      <c r="CD251" s="53" t="n"/>
      <c r="CE251" s="53" t="n"/>
      <c r="CF251" s="53" t="n"/>
      <c r="CG251" s="53" t="n"/>
      <c r="CH251" s="53" t="n"/>
      <c r="CI251" s="53" t="n"/>
      <c r="CJ251" s="53" t="n"/>
      <c r="CK251" s="53" t="n"/>
      <c r="CL251" s="53" t="n"/>
      <c r="CM251" s="53" t="n"/>
      <c r="CN251" s="53" t="n"/>
      <c r="CO251" s="53" t="n"/>
      <c r="CP251" s="53" t="n"/>
      <c r="CQ251" s="53" t="n"/>
      <c r="CR251" s="53" t="n"/>
      <c r="CS251" s="53" t="n"/>
      <c r="CT251" s="53" t="n"/>
      <c r="CU251" s="53" t="n"/>
      <c r="CV251" s="53" t="n"/>
      <c r="CW251" s="53" t="n"/>
      <c r="CX251" s="53" t="n"/>
      <c r="CY251" s="53" t="n"/>
      <c r="CZ251" s="53" t="n"/>
      <c r="DA251" s="53" t="n"/>
      <c r="DB251" s="53" t="n"/>
      <c r="DC251" s="53" t="n"/>
      <c r="DD251" s="53" t="inlineStr">
        <is>
          <t>IRIS0009</t>
        </is>
      </c>
      <c r="DE251" s="53" t="inlineStr">
        <is>
          <t>Employee</t>
        </is>
      </c>
      <c r="DF251" s="53" t="inlineStr">
        <is>
          <t>Active</t>
        </is>
      </c>
      <c r="DG251" s="53" t="inlineStr">
        <is>
          <t>Prashant Shelar</t>
        </is>
      </c>
      <c r="DH251" s="54" t="n">
        <v>38200</v>
      </c>
      <c r="DI251" s="53" t="inlineStr">
        <is>
          <t>Data Analyst</t>
        </is>
      </c>
      <c r="DJ251" s="53" t="inlineStr">
        <is>
          <t>Consulting &amp; Professional Services</t>
        </is>
      </c>
      <c r="DK251" s="53" t="inlineStr">
        <is>
          <t>Regulatory Content</t>
        </is>
      </c>
      <c r="DL251" s="53" t="inlineStr">
        <is>
          <t>Data Analyst</t>
        </is>
      </c>
      <c r="DM251" s="53" t="inlineStr">
        <is>
          <t>L3 – Professional / Associate</t>
        </is>
      </c>
      <c r="DN251" s="53" t="inlineStr">
        <is>
          <t>MBA</t>
        </is>
      </c>
      <c r="DO251" s="53" t="inlineStr">
        <is>
          <t>Gopal Krishna Sahu</t>
        </is>
      </c>
      <c r="DP251" s="53" t="inlineStr">
        <is>
          <t>N-3</t>
        </is>
      </c>
      <c r="DQ251" s="53" t="inlineStr">
        <is>
          <t>Individual Contributor</t>
        </is>
      </c>
      <c r="DR251" s="53" t="inlineStr">
        <is>
          <t>0 years, 5 months, 0 days</t>
        </is>
      </c>
      <c r="DS251" s="53" t="inlineStr">
        <is>
          <t>21 years, 10 months, 19 days</t>
        </is>
      </c>
      <c r="DT251" s="53" t="inlineStr">
        <is>
          <t>22 years, 3 months, 19 days</t>
        </is>
      </c>
      <c r="DU251" s="53" t="n"/>
      <c r="DV251" s="53" t="inlineStr">
        <is>
          <t>Consume</t>
        </is>
      </c>
      <c r="DW251" s="53" t="inlineStr">
        <is>
          <t>Consume</t>
        </is>
      </c>
      <c r="DX251" s="53" t="inlineStr">
        <is>
          <t>India Content</t>
        </is>
      </c>
      <c r="DY251" s="53" t="inlineStr">
        <is>
          <t>Expert Assisted services</t>
        </is>
      </c>
      <c r="DZ251" s="53" t="inlineStr">
        <is>
          <t>No</t>
        </is>
      </c>
      <c r="EA251" s="53" t="inlineStr">
        <is>
          <t>Professional Services</t>
        </is>
      </c>
      <c r="EB251" s="53" t="inlineStr">
        <is>
          <t>Data Processing</t>
        </is>
      </c>
      <c r="EC251" s="53" t="inlineStr">
        <is>
          <t>Non-technical</t>
        </is>
      </c>
      <c r="ED251" s="53" t="inlineStr">
        <is>
          <t>Remote - Mumbai</t>
        </is>
      </c>
      <c r="EE251"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1"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1"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1" s="53" t="n">
        <v>1</v>
      </c>
      <c r="EI251" s="54" t="n">
        <v>45929</v>
      </c>
      <c r="EJ251" s="53" t="inlineStr">
        <is>
          <t>Data Analyst</t>
        </is>
      </c>
      <c r="EK251" s="53" t="inlineStr">
        <is>
          <t>No</t>
        </is>
      </c>
      <c r="EL251" s="53" t="n">
        <v>1</v>
      </c>
      <c r="EM251" s="53" t="inlineStr">
        <is>
          <t>Low</t>
        </is>
      </c>
      <c r="EN251" s="53" t="inlineStr">
        <is>
          <t>Misplaced Talent / Enigma</t>
        </is>
      </c>
      <c r="EO251" s="53" t="inlineStr">
        <is>
          <t>No</t>
        </is>
      </c>
      <c r="EP251" s="53" t="inlineStr">
        <is>
          <t>No</t>
        </is>
      </c>
      <c r="EQ251" s="53" t="inlineStr">
        <is>
          <t>Yes</t>
        </is>
      </c>
      <c r="ER251" s="53" t="inlineStr">
        <is>
          <t>Not Identified</t>
        </is>
      </c>
      <c r="ES251" s="53" t="inlineStr">
        <is>
          <t>The team needs training for new automation tools.</t>
        </is>
      </c>
      <c r="ET251" s="53" t="inlineStr">
        <is>
          <t>Transition to leadership: people management &amp; delegation, mentoring/coaching, project ownership &amp; stakeholder management, prioritisation under ambiguity, presentation &amp; influence skills</t>
        </is>
      </c>
      <c r="EU251" s="53" t="n"/>
      <c r="EV251" s="53" t="n"/>
      <c r="EW251" s="52" t="n"/>
      <c r="EX251" s="53" t="n"/>
      <c r="EY251" s="53" t="n"/>
      <c r="EZ251" s="53" t="n"/>
      <c r="FA251" s="53" t="n"/>
      <c r="FB251" s="53" t="n"/>
      <c r="FC251" s="53" t="n"/>
      <c r="FD251" s="53" t="n"/>
      <c r="FE251"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1"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1"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1" s="56" t="inlineStr">
        <is>
          <t>1</t>
        </is>
      </c>
      <c r="FI251" s="56" t="n"/>
      <c r="FJ251" s="56" t="inlineStr">
        <is>
          <t>Received · manager annual, quarterly, self</t>
        </is>
      </c>
      <c r="FK251" s="56" t="inlineStr">
        <is>
          <t>Talent Mapping · Database Content</t>
        </is>
      </c>
      <c r="FL251" s="56" t="n">
        <v>20</v>
      </c>
      <c r="FM251" s="32" t="inlineStr">
        <is>
          <t>Full survey answers not in the files received · How We Grow export needed · HR</t>
        </is>
      </c>
      <c r="FN251" s="56" t="inlineStr">
        <is>
          <t>—</t>
        </is>
      </c>
      <c r="FO251" s="56" t="inlineStr">
        <is>
          <t>—</t>
        </is>
      </c>
      <c r="FP251" s="56" t="inlineStr">
        <is>
          <t>—</t>
        </is>
      </c>
      <c r="FQ251" s="56" t="inlineStr">
        <is>
          <t>—</t>
        </is>
      </c>
      <c r="FR251" s="56"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start
Leadership: Evidence reads like A1: No guiding or leading of others described → matches the start
Business Impact: Moved +0.5: the survey / manager mapping marks it business-critical.</t>
        </is>
      </c>
      <c r="FS251"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1" s="56" t="inlineStr">
        <is>
          <t>Self-identified: AI / automation
For the next role: AI / automation</t>
        </is>
      </c>
      <c r="FU251" s="32" t="inlineStr">
        <is>
          <t>Full survey answers not in the files received · How We Grow export needed · HR</t>
        </is>
      </c>
    </row>
    <row r="252" ht="90" customHeight="1">
      <c r="A252" s="51" t="inlineStr">
        <is>
          <t>◂ Back</t>
        </is>
      </c>
      <c r="B252" s="29" t="inlineStr">
        <is>
          <t>Mapped</t>
        </is>
      </c>
      <c r="C252" s="28" t="inlineStr">
        <is>
          <t>Consume</t>
        </is>
      </c>
      <c r="D252" s="29" t="inlineStr">
        <is>
          <t>IRIS0030</t>
        </is>
      </c>
      <c r="E252" s="29" t="inlineStr">
        <is>
          <t>Swapnil Katrat</t>
        </is>
      </c>
      <c r="F252" s="29" t="inlineStr">
        <is>
          <t>India Content</t>
        </is>
      </c>
      <c r="G252" s="29" t="inlineStr">
        <is>
          <t>Data Analyst</t>
        </is>
      </c>
      <c r="H252" s="29" t="inlineStr">
        <is>
          <t>Senior Data Analyst</t>
        </is>
      </c>
      <c r="I252" s="29" t="inlineStr">
        <is>
          <t>L3 – Professional / Associate</t>
        </is>
      </c>
      <c r="J252" s="29" t="inlineStr">
        <is>
          <t>A3</t>
        </is>
      </c>
      <c r="K252" s="29" t="inlineStr">
        <is>
          <t>▲ Up</t>
        </is>
      </c>
      <c r="L252" s="29" t="inlineStr">
        <is>
          <t>Data &amp; Analytics</t>
        </is>
      </c>
      <c r="M252" s="29" t="inlineStr">
        <is>
          <t>Financial Data Processing</t>
        </is>
      </c>
      <c r="N252" s="29" t="n"/>
      <c r="O252" s="29" t="n">
        <v>7</v>
      </c>
      <c r="P252" s="28" t="inlineStr">
        <is>
          <t>P2</t>
        </is>
      </c>
      <c r="Q252" s="29" t="inlineStr">
        <is>
          <t>Developing</t>
        </is>
      </c>
      <c r="R252" s="29" t="inlineStr">
        <is>
          <t>3 Apply</t>
        </is>
      </c>
      <c r="S252" s="29" t="inlineStr">
        <is>
          <t>2–4 yrs</t>
        </is>
      </c>
      <c r="T252" s="29" t="inlineStr">
        <is>
          <t>3–5 · 2–5</t>
        </is>
      </c>
      <c r="U252" s="29" t="inlineStr">
        <is>
          <t>Data Analyst</t>
        </is>
      </c>
      <c r="V252" s="29" t="inlineStr">
        <is>
          <t>Atlassian company-wide P-levels: P40 Analyst · IRIS Vs Competitor Benchmark — data analyst ladder: Data Analyst II</t>
        </is>
      </c>
      <c r="W252" s="29" t="inlineStr">
        <is>
          <t>DAMA-DMBOK · 11 knowledge areas around data governance</t>
        </is>
      </c>
      <c r="X252" s="29" t="inlineStr">
        <is>
          <t>Core 2 · Future 2 · Functional 3 · Leadership not scored</t>
        </is>
      </c>
      <c r="Y252" s="52" t="n">
        <v>15</v>
      </c>
      <c r="Z252" s="53" t="inlineStr">
        <is>
          <t>IRIS0030</t>
        </is>
      </c>
      <c r="AA252" s="53" t="inlineStr">
        <is>
          <t>Employee</t>
        </is>
      </c>
      <c r="AB252" s="53" t="inlineStr">
        <is>
          <t>Active</t>
        </is>
      </c>
      <c r="AC252" s="53" t="inlineStr">
        <is>
          <t>Swapnil Katrat</t>
        </is>
      </c>
      <c r="AD252" s="54" t="n">
        <v>38596</v>
      </c>
      <c r="AE252" s="53" t="inlineStr">
        <is>
          <t>Data Analyst</t>
        </is>
      </c>
      <c r="AF252" s="53" t="inlineStr">
        <is>
          <t>B.Com</t>
        </is>
      </c>
      <c r="AG252" s="53" t="inlineStr">
        <is>
          <t>Gopal Krishna Sahu</t>
        </is>
      </c>
      <c r="AH252" s="53" t="inlineStr">
        <is>
          <t>N-4</t>
        </is>
      </c>
      <c r="AI252" s="53" t="inlineStr">
        <is>
          <t>Individual Contributor</t>
        </is>
      </c>
      <c r="AJ252" s="53" t="inlineStr">
        <is>
          <t>0 years, 0 months, 0 days</t>
        </is>
      </c>
      <c r="AK252" s="53" t="inlineStr">
        <is>
          <t>20 years, 11 months, 24 days</t>
        </is>
      </c>
      <c r="AL252" s="53" t="inlineStr">
        <is>
          <t>Consume</t>
        </is>
      </c>
      <c r="AM252" s="53" t="inlineStr">
        <is>
          <t>Consume</t>
        </is>
      </c>
      <c r="AN252" s="53" t="inlineStr">
        <is>
          <t>India Content</t>
        </is>
      </c>
      <c r="AO252" s="53" t="inlineStr">
        <is>
          <t>Expert Assisted services</t>
        </is>
      </c>
      <c r="AP252" s="53" t="inlineStr">
        <is>
          <t>No</t>
        </is>
      </c>
      <c r="AQ252" s="53" t="inlineStr">
        <is>
          <t>Professional Services</t>
        </is>
      </c>
      <c r="AR252" s="53" t="inlineStr">
        <is>
          <t>Data Processing</t>
        </is>
      </c>
      <c r="AS252" s="53" t="inlineStr">
        <is>
          <t>Non-technical</t>
        </is>
      </c>
      <c r="AT252" s="53" t="n">
        <v>20</v>
      </c>
      <c r="AU252" s="53" t="inlineStr">
        <is>
          <t>Covered</t>
        </is>
      </c>
      <c r="AV252" s="53" t="n"/>
      <c r="AW252" s="53" t="n"/>
      <c r="AX252" s="53" t="n"/>
      <c r="AY252" s="53" t="n"/>
      <c r="AZ252" s="53" t="n"/>
      <c r="BA252" s="53" t="n"/>
      <c r="BB252" s="53" t="n"/>
      <c r="BC252" s="53" t="n"/>
      <c r="BD252" s="53" t="n"/>
      <c r="BE252" s="53" t="n"/>
      <c r="BF252" s="53" t="n"/>
      <c r="BG252" s="53" t="n"/>
      <c r="BH252" s="53" t="n"/>
      <c r="BI252" s="53" t="n"/>
      <c r="BJ252" s="53" t="n"/>
      <c r="BK252" s="53" t="n"/>
      <c r="BL252" s="53" t="n"/>
      <c r="BM252" s="53" t="n"/>
      <c r="BN252" s="53" t="n"/>
      <c r="BO252" s="53" t="n"/>
      <c r="BP252" s="53" t="n"/>
      <c r="BQ252" s="53" t="n"/>
      <c r="BR252" s="53" t="n"/>
      <c r="BS252" s="53" t="n"/>
      <c r="BT252" s="53" t="n"/>
      <c r="BU252" s="53" t="n"/>
      <c r="BV252" s="53" t="n"/>
      <c r="BW252" s="53" t="n"/>
      <c r="BX252" s="53" t="n"/>
      <c r="BY252" s="53" t="n"/>
      <c r="BZ252" s="53" t="n"/>
      <c r="CA252" s="53" t="n"/>
      <c r="CB252" s="53" t="n"/>
      <c r="CC252" s="53" t="n"/>
      <c r="CD252" s="53" t="n"/>
      <c r="CE252" s="53" t="n"/>
      <c r="CF252" s="53" t="n"/>
      <c r="CG252" s="53" t="n"/>
      <c r="CH252" s="53" t="n"/>
      <c r="CI252" s="53" t="n"/>
      <c r="CJ252" s="53" t="n"/>
      <c r="CK252" s="53" t="n"/>
      <c r="CL252" s="53" t="n"/>
      <c r="CM252" s="53" t="n"/>
      <c r="CN252" s="53" t="n"/>
      <c r="CO252" s="53" t="n"/>
      <c r="CP252" s="53" t="n"/>
      <c r="CQ252" s="53" t="n"/>
      <c r="CR252" s="53" t="n"/>
      <c r="CS252" s="53" t="n"/>
      <c r="CT252" s="53" t="n"/>
      <c r="CU252" s="53" t="n"/>
      <c r="CV252" s="53" t="n"/>
      <c r="CW252" s="53" t="n"/>
      <c r="CX252" s="53" t="n"/>
      <c r="CY252" s="53" t="n"/>
      <c r="CZ252" s="53" t="n"/>
      <c r="DA252" s="53" t="n"/>
      <c r="DB252" s="53" t="n"/>
      <c r="DC252" s="53" t="n"/>
      <c r="DD252" s="53" t="inlineStr">
        <is>
          <t>IRIS0030</t>
        </is>
      </c>
      <c r="DE252" s="53" t="inlineStr">
        <is>
          <t>Employee</t>
        </is>
      </c>
      <c r="DF252" s="53" t="inlineStr">
        <is>
          <t>Active</t>
        </is>
      </c>
      <c r="DG252" s="53" t="inlineStr">
        <is>
          <t>Swapnil Katrat</t>
        </is>
      </c>
      <c r="DH252" s="54" t="n">
        <v>38596</v>
      </c>
      <c r="DI252" s="53" t="inlineStr">
        <is>
          <t>Data Analyst</t>
        </is>
      </c>
      <c r="DJ252" s="53" t="inlineStr">
        <is>
          <t>Consulting &amp; Professional Services</t>
        </is>
      </c>
      <c r="DK252" s="53" t="inlineStr">
        <is>
          <t>Regulatory Content</t>
        </is>
      </c>
      <c r="DL252" s="53" t="inlineStr">
        <is>
          <t>Data Analyst</t>
        </is>
      </c>
      <c r="DM252" s="53" t="inlineStr">
        <is>
          <t>L3 – Professional / Associate</t>
        </is>
      </c>
      <c r="DN252" s="53" t="inlineStr">
        <is>
          <t>B.Com</t>
        </is>
      </c>
      <c r="DO252" s="53" t="inlineStr">
        <is>
          <t>Gopal Krishna Sahu</t>
        </is>
      </c>
      <c r="DP252" s="53" t="inlineStr">
        <is>
          <t>N-3</t>
        </is>
      </c>
      <c r="DQ252" s="53" t="inlineStr">
        <is>
          <t>Individual Contributor</t>
        </is>
      </c>
      <c r="DR252" s="53" t="inlineStr">
        <is>
          <t>0 years, 0 months, 0 days</t>
        </is>
      </c>
      <c r="DS252" s="53" t="inlineStr">
        <is>
          <t>20 years, 9 months, 19 days</t>
        </is>
      </c>
      <c r="DT252" s="53" t="inlineStr">
        <is>
          <t>20 years, 9 months, 19 days</t>
        </is>
      </c>
      <c r="DU252" s="53" t="n"/>
      <c r="DV252" s="53" t="inlineStr">
        <is>
          <t>Consume</t>
        </is>
      </c>
      <c r="DW252" s="53" t="inlineStr">
        <is>
          <t>Consume</t>
        </is>
      </c>
      <c r="DX252" s="53" t="inlineStr">
        <is>
          <t>India Content</t>
        </is>
      </c>
      <c r="DY252" s="53" t="inlineStr">
        <is>
          <t>Expert Assisted services</t>
        </is>
      </c>
      <c r="DZ252" s="53" t="inlineStr">
        <is>
          <t>No</t>
        </is>
      </c>
      <c r="EA252" s="53" t="inlineStr">
        <is>
          <t>Professional Services</t>
        </is>
      </c>
      <c r="EB252" s="53" t="inlineStr">
        <is>
          <t>Data Processing</t>
        </is>
      </c>
      <c r="EC252" s="53" t="inlineStr">
        <is>
          <t>Non-technical</t>
        </is>
      </c>
      <c r="ED252" s="53" t="inlineStr">
        <is>
          <t>Remote - Mumbai</t>
        </is>
      </c>
      <c r="EE252"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2"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2"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2" s="53" t="n">
        <v>3</v>
      </c>
      <c r="EI252" s="54" t="n">
        <v>45933</v>
      </c>
      <c r="EJ252" s="53" t="inlineStr">
        <is>
          <t>Data Analyst</t>
        </is>
      </c>
      <c r="EK252" s="53" t="inlineStr">
        <is>
          <t>No</t>
        </is>
      </c>
      <c r="EL252" s="53" t="n">
        <v>3</v>
      </c>
      <c r="EM252" s="53" t="inlineStr">
        <is>
          <t>Medium</t>
        </is>
      </c>
      <c r="EN252" s="53" t="inlineStr">
        <is>
          <t>Trusted Professional</t>
        </is>
      </c>
      <c r="EO252" s="53" t="inlineStr">
        <is>
          <t>Yes</t>
        </is>
      </c>
      <c r="EP252" s="53" t="inlineStr">
        <is>
          <t>Yes</t>
        </is>
      </c>
      <c r="EQ252" s="53" t="inlineStr">
        <is>
          <t>Yes</t>
        </is>
      </c>
      <c r="ER252" s="53" t="inlineStr">
        <is>
          <t>Virendra Borkar</t>
        </is>
      </c>
      <c r="ES252" s="53" t="inlineStr">
        <is>
          <t>The team needs training for new automation tools.</t>
        </is>
      </c>
      <c r="ET252" s="53" t="inlineStr">
        <is>
          <t>Transition to leadership: people management &amp; delegation, mentoring/coaching, project ownership &amp; stakeholder management, prioritisation under ambiguity, presentation &amp; influence skills</t>
        </is>
      </c>
      <c r="EU252" s="53" t="n"/>
      <c r="EV252" s="53" t="n"/>
      <c r="EW252" s="52" t="n"/>
      <c r="EX252" s="53" t="n"/>
      <c r="EY252" s="53" t="n"/>
      <c r="EZ252" s="53" t="n"/>
      <c r="FA252" s="53" t="n"/>
      <c r="FB252" s="53" t="n"/>
      <c r="FC252" s="53" t="n"/>
      <c r="FD252" s="53" t="n"/>
      <c r="FE252"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2"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2"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2" s="56" t="inlineStr">
        <is>
          <t>3</t>
        </is>
      </c>
      <c r="FI252" s="56" t="n"/>
      <c r="FJ252" s="56" t="inlineStr">
        <is>
          <t>Received · manager annual, quarterly, self</t>
        </is>
      </c>
      <c r="FK252" s="56" t="inlineStr">
        <is>
          <t>Talent Mapping · Database Content</t>
        </is>
      </c>
      <c r="FL252" s="56" t="n">
        <v>7</v>
      </c>
      <c r="FM252" s="32" t="inlineStr">
        <is>
          <t>Full survey answers not in the files received · How We Grow export needed · HR</t>
        </is>
      </c>
      <c r="FN252" s="56" t="inlineStr">
        <is>
          <t>—</t>
        </is>
      </c>
      <c r="FO252" s="56" t="inlineStr">
        <is>
          <t>—</t>
        </is>
      </c>
      <c r="FP252" s="56" t="inlineStr">
        <is>
          <t>—</t>
        </is>
      </c>
      <c r="FQ252" s="56" t="inlineStr">
        <is>
          <t>—</t>
        </is>
      </c>
      <c r="FR252" s="56"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A1: No guiding or leading of others described → matches the start
Business Impact: Moved +0.5: the survey / manager mapping marks it business-critical.</t>
        </is>
      </c>
      <c r="FS252"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2" s="56" t="n"/>
      <c r="FU252" s="32" t="inlineStr">
        <is>
          <t>Full survey answers not in the files received · How We Grow export needed · HR</t>
        </is>
      </c>
    </row>
    <row r="253" ht="90" customHeight="1">
      <c r="A253" s="51" t="inlineStr">
        <is>
          <t>◂ Back</t>
        </is>
      </c>
      <c r="B253" s="29" t="inlineStr">
        <is>
          <t>Mapped</t>
        </is>
      </c>
      <c r="C253" s="28" t="inlineStr">
        <is>
          <t>iFile</t>
        </is>
      </c>
      <c r="D253" s="29" t="inlineStr">
        <is>
          <t>IRIS2523</t>
        </is>
      </c>
      <c r="E253" s="29" t="inlineStr">
        <is>
          <t>Abhilash Menon</t>
        </is>
      </c>
      <c r="F253" s="29" t="inlineStr">
        <is>
          <t>Marketing</t>
        </is>
      </c>
      <c r="G253" s="29" t="inlineStr">
        <is>
          <t>Product Marketing Manager</t>
        </is>
      </c>
      <c r="H253" s="29" t="inlineStr">
        <is>
          <t>Team Lead – Product Marketing</t>
        </is>
      </c>
      <c r="I253" s="29" t="inlineStr">
        <is>
          <t>L5 – Manager</t>
        </is>
      </c>
      <c r="J253" s="29" t="inlineStr">
        <is>
          <t>B1</t>
        </is>
      </c>
      <c r="K253" s="29" t="inlineStr">
        <is>
          <t>▼ Down · protected</t>
        </is>
      </c>
      <c r="L253" s="29" t="inlineStr">
        <is>
          <t>Marketing &amp; Communications</t>
        </is>
      </c>
      <c r="M253" s="29" t="inlineStr">
        <is>
          <t>Product Marketing</t>
        </is>
      </c>
      <c r="N253" s="29" t="n"/>
      <c r="O253" s="29" t="n">
        <v>19</v>
      </c>
      <c r="P253" s="28" t="inlineStr">
        <is>
          <t>P3 / M2</t>
        </is>
      </c>
      <c r="Q253" s="29" t="inlineStr">
        <is>
          <t>Career / · Team Lead</t>
        </is>
      </c>
      <c r="R253" s="29" t="inlineStr">
        <is>
          <t>4 Enable</t>
        </is>
      </c>
      <c r="S253" s="29" t="inlineStr">
        <is>
          <t>4–7 yrs</t>
        </is>
      </c>
      <c r="T253" s="29" t="inlineStr">
        <is>
          <t>5–8 · 4–8</t>
        </is>
      </c>
      <c r="U253" s="29" t="inlineStr">
        <is>
          <t>Team Lead / Assistant Manager</t>
        </is>
      </c>
      <c r="V253" s="29" t="inlineStr">
        <is>
          <t>IRIS Vs Market Benchmark — CIM proficiency scale: 3 Able · IRIS Vs Competitor Benchmark — SaaS marketing ladder: Senior Marketing Specialist</t>
        </is>
      </c>
      <c r="W253" s="29" t="inlineStr">
        <is>
          <t>CIM Global Professional Marketing Framework — proficiency Aware → Active learner → Able → Accomplished → Authoritative</t>
        </is>
      </c>
      <c r="X253" s="29" t="inlineStr">
        <is>
          <t>Core 3 · Future 3 · Functional 3 · Leadership 2</t>
        </is>
      </c>
      <c r="Y253" s="52" t="n">
        <v>493</v>
      </c>
      <c r="Z253" s="53" t="inlineStr">
        <is>
          <t>IRIS2523</t>
        </is>
      </c>
      <c r="AA253" s="53" t="inlineStr">
        <is>
          <t>Employee</t>
        </is>
      </c>
      <c r="AB253" s="53" t="inlineStr">
        <is>
          <t>Active</t>
        </is>
      </c>
      <c r="AC253" s="53" t="inlineStr">
        <is>
          <t>Abhilash Menon</t>
        </is>
      </c>
      <c r="AD253" s="54" t="n">
        <v>46132</v>
      </c>
      <c r="AE253" s="53" t="inlineStr">
        <is>
          <t>Product Marketing Manager</t>
        </is>
      </c>
      <c r="AF253" s="53" t="inlineStr">
        <is>
          <t>BA</t>
        </is>
      </c>
      <c r="AG253" s="53" t="inlineStr">
        <is>
          <t>Arup Ganguly</t>
        </is>
      </c>
      <c r="AH253" s="53" t="inlineStr">
        <is>
          <t>N-3</t>
        </is>
      </c>
      <c r="AI253" s="53" t="inlineStr">
        <is>
          <t>Manager</t>
        </is>
      </c>
      <c r="AJ253" s="53" t="inlineStr">
        <is>
          <t>8 years, 0 months, 0 days</t>
        </is>
      </c>
      <c r="AK253" s="53" t="inlineStr">
        <is>
          <t>0 years, 4 months, 5 days</t>
        </is>
      </c>
      <c r="AL253" s="53" t="inlineStr">
        <is>
          <t>Suptech</t>
        </is>
      </c>
      <c r="AM253" s="53" t="inlineStr">
        <is>
          <t>iFile</t>
        </is>
      </c>
      <c r="AN253" s="53" t="inlineStr">
        <is>
          <t>Marketing</t>
        </is>
      </c>
      <c r="AO253" s="53" t="inlineStr">
        <is>
          <t>Marketing</t>
        </is>
      </c>
      <c r="AP253" s="53" t="inlineStr">
        <is>
          <t>No</t>
        </is>
      </c>
      <c r="AQ253" s="53" t="inlineStr">
        <is>
          <t>Sales, Marketing &amp; Support</t>
        </is>
      </c>
      <c r="AR253" s="53" t="inlineStr">
        <is>
          <t>Marketing</t>
        </is>
      </c>
      <c r="AS253" s="53" t="inlineStr">
        <is>
          <t>Non-technical</t>
        </is>
      </c>
      <c r="AT253" s="53" t="n">
        <v>20</v>
      </c>
      <c r="AU253" s="53" t="inlineStr">
        <is>
          <t>Covered</t>
        </is>
      </c>
      <c r="AV253" s="53" t="n"/>
      <c r="AW253" s="53" t="n"/>
      <c r="AX253" s="53" t="n"/>
      <c r="AY253" s="53" t="n"/>
      <c r="AZ253" s="53" t="n"/>
      <c r="BA253" s="53" t="n"/>
      <c r="BB253" s="53" t="n"/>
      <c r="BC253" s="53" t="n"/>
      <c r="BD253" s="53" t="n"/>
      <c r="BE253" s="53" t="n"/>
      <c r="BF253" s="53" t="n"/>
      <c r="BG253" s="53" t="n"/>
      <c r="BH253" s="53" t="n"/>
      <c r="BI253" s="53" t="n"/>
      <c r="BJ253" s="53" t="n"/>
      <c r="BK253" s="53" t="n"/>
      <c r="BL253" s="53" t="n"/>
      <c r="BM253" s="53" t="n"/>
      <c r="BN253" s="53" t="n"/>
      <c r="BO253" s="53" t="n"/>
      <c r="BP253" s="53" t="n"/>
      <c r="BQ253" s="53" t="n"/>
      <c r="BR253" s="53" t="n"/>
      <c r="BS253" s="53" t="n"/>
      <c r="BT253" s="53" t="n"/>
      <c r="BU253" s="53" t="n"/>
      <c r="BV253" s="53" t="n"/>
      <c r="BW253" s="53" t="n"/>
      <c r="BX253" s="53" t="n"/>
      <c r="BY253" s="53" t="n"/>
      <c r="BZ253" s="53" t="n"/>
      <c r="CA253" s="53" t="n"/>
      <c r="CB253" s="53" t="n"/>
      <c r="CC253" s="53" t="n"/>
      <c r="CD253" s="53" t="n"/>
      <c r="CE253" s="53" t="n"/>
      <c r="CF253" s="53" t="n"/>
      <c r="CG253" s="53" t="n"/>
      <c r="CH253" s="53" t="n"/>
      <c r="CI253" s="53" t="n"/>
      <c r="CJ253" s="53" t="n"/>
      <c r="CK253" s="53" t="n"/>
      <c r="CL253" s="53" t="n"/>
      <c r="CM253" s="53" t="n"/>
      <c r="CN253" s="53" t="n"/>
      <c r="CO253" s="53" t="n"/>
      <c r="CP253" s="53" t="n"/>
      <c r="CQ253" s="53" t="n"/>
      <c r="CR253" s="53" t="n"/>
      <c r="CS253" s="53" t="n"/>
      <c r="CT253" s="53" t="n"/>
      <c r="CU253" s="53" t="n"/>
      <c r="CV253" s="53" t="n"/>
      <c r="CW253" s="53" t="n"/>
      <c r="CX253" s="53" t="n"/>
      <c r="CY253" s="53" t="n"/>
      <c r="CZ253" s="53" t="n"/>
      <c r="DA253" s="53" t="n"/>
      <c r="DB253" s="53" t="n"/>
      <c r="DC253" s="53" t="n"/>
      <c r="DD253" s="53" t="inlineStr">
        <is>
          <t>IRIS2523</t>
        </is>
      </c>
      <c r="DE253" s="53" t="inlineStr">
        <is>
          <t>Employee</t>
        </is>
      </c>
      <c r="DF253" s="53" t="inlineStr">
        <is>
          <t>Active</t>
        </is>
      </c>
      <c r="DG253" s="53" t="inlineStr">
        <is>
          <t>Abhilash Menon</t>
        </is>
      </c>
      <c r="DH253" s="54" t="n">
        <v>46132</v>
      </c>
      <c r="DI253" s="53" t="inlineStr">
        <is>
          <t>Product Marketing Manager</t>
        </is>
      </c>
      <c r="DJ253" s="53" t="inlineStr">
        <is>
          <t>Product Management</t>
        </is>
      </c>
      <c r="DK253" s="53" t="inlineStr">
        <is>
          <t>Product Management</t>
        </is>
      </c>
      <c r="DL253" s="53" t="inlineStr">
        <is>
          <t>Product Marketing Manager</t>
        </is>
      </c>
      <c r="DM253" s="53" t="inlineStr">
        <is>
          <t>L5 – Manager</t>
        </is>
      </c>
      <c r="DN253" s="53" t="inlineStr">
        <is>
          <t>BA</t>
        </is>
      </c>
      <c r="DO253" s="53" t="inlineStr">
        <is>
          <t>Arup Ganguly</t>
        </is>
      </c>
      <c r="DP253" s="53" t="inlineStr">
        <is>
          <t>N-2</t>
        </is>
      </c>
      <c r="DQ253" s="53" t="inlineStr">
        <is>
          <t>Manager</t>
        </is>
      </c>
      <c r="DR253" s="53" t="inlineStr">
        <is>
          <t>8 years, 0 months, 0 days</t>
        </is>
      </c>
      <c r="DS253" s="53" t="inlineStr">
        <is>
          <t>0 years, 2 months, 0 days</t>
        </is>
      </c>
      <c r="DT253" s="53" t="inlineStr">
        <is>
          <t>8 years, 2 months, 0 days</t>
        </is>
      </c>
      <c r="DU253" s="53" t="n"/>
      <c r="DV253" s="53" t="inlineStr">
        <is>
          <t>Suptech</t>
        </is>
      </c>
      <c r="DW253" s="53" t="inlineStr">
        <is>
          <t>iFile</t>
        </is>
      </c>
      <c r="DX253" s="53" t="inlineStr">
        <is>
          <t>Marketing</t>
        </is>
      </c>
      <c r="DY253" s="53" t="inlineStr">
        <is>
          <t>Marketing</t>
        </is>
      </c>
      <c r="DZ253" s="53" t="inlineStr">
        <is>
          <t>No</t>
        </is>
      </c>
      <c r="EA253" s="53" t="inlineStr">
        <is>
          <t>Sales, Marketing &amp; Support</t>
        </is>
      </c>
      <c r="EB253" s="53" t="inlineStr">
        <is>
          <t>Marketing</t>
        </is>
      </c>
      <c r="EC253" s="53" t="inlineStr">
        <is>
          <t>Non-technical</t>
        </is>
      </c>
      <c r="ED253" s="53" t="inlineStr">
        <is>
          <t>Work From Office - Turbhe</t>
        </is>
      </c>
      <c r="EE253" s="53"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F253" s="53"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G253"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3" s="53" t="n"/>
      <c r="EI253" s="53" t="n"/>
      <c r="EJ253" s="53" t="n"/>
      <c r="EK253" s="53" t="n"/>
      <c r="EL253" s="53" t="n"/>
      <c r="EM253" s="53" t="n"/>
      <c r="EN253" s="53" t="n"/>
      <c r="EO253" s="53" t="n"/>
      <c r="EP253" s="53" t="n"/>
      <c r="EQ253" s="53" t="n"/>
      <c r="ER253" s="53" t="n"/>
      <c r="ES253" s="53" t="n"/>
      <c r="ET253" s="53" t="n"/>
      <c r="EU253" s="53" t="n"/>
      <c r="EV253" s="53" t="n"/>
      <c r="EW253" s="52" t="n"/>
      <c r="EX253" s="53" t="n"/>
      <c r="EY253" s="53" t="n"/>
      <c r="EZ253" s="53" t="n"/>
      <c r="FA253" s="53" t="n"/>
      <c r="FB253" s="53" t="n"/>
      <c r="FC253" s="53" t="n"/>
      <c r="FD253" s="53" t="n"/>
      <c r="FE253" s="57"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FF253"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3" s="56"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FH253" s="56" t="n"/>
      <c r="FI253" s="56" t="n"/>
      <c r="FJ253" s="56" t="inlineStr">
        <is>
          <t>Received · manager annual, quarterly, self</t>
        </is>
      </c>
      <c r="FK253" s="56" t="inlineStr">
        <is>
          <t>Talent Mapping · iFile collated</t>
        </is>
      </c>
      <c r="FL253" s="56" t="n">
        <v>19</v>
      </c>
      <c r="FM253" s="32" t="inlineStr">
        <is>
          <t>Full survey answers not in the files received · How We Grow export needed · HR</t>
        </is>
      </c>
      <c r="FN253" s="56" t="inlineStr">
        <is>
          <t>—</t>
        </is>
      </c>
      <c r="FO253" s="56" t="inlineStr">
        <is>
          <t>—</t>
        </is>
      </c>
      <c r="FP253" s="56" t="inlineStr">
        <is>
          <t>—</t>
        </is>
      </c>
      <c r="FQ253" s="56" t="inlineStr">
        <is>
          <t>—</t>
        </is>
      </c>
      <c r="FR253" s="56"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generation, GTM launches, brand communication and events with a four-person team → moved down 0.5
Leadership: Evidence reads like B1: Four direct reports in HR data; text does not describe how the team is managed → matches the start
Business Impact: No survey or manager-mapping signal on criticality: kept at the start point.</t>
        </is>
      </c>
      <c r="FS253" s="56" t="n"/>
      <c r="FT253" s="56" t="inlineStr">
        <is>
          <t>Self-identified: Answered · no common topic
For the next role: Answered · no common topic</t>
        </is>
      </c>
      <c r="FU253" s="32" t="inlineStr">
        <is>
          <t>Full survey answers not in the files received · How We Grow export needed · HR</t>
        </is>
      </c>
    </row>
    <row r="254" ht="90" customHeight="1">
      <c r="A254" s="51" t="inlineStr">
        <is>
          <t>◂ Back</t>
        </is>
      </c>
      <c r="B254" s="29" t="inlineStr">
        <is>
          <t>Mapped</t>
        </is>
      </c>
      <c r="C254" s="28" t="inlineStr">
        <is>
          <t>Corporate</t>
        </is>
      </c>
      <c r="D254" s="29" t="inlineStr">
        <is>
          <t>IRIS2200</t>
        </is>
      </c>
      <c r="E254" s="29" t="inlineStr">
        <is>
          <t>Barsha Gloria Gomes</t>
        </is>
      </c>
      <c r="F254" s="29" t="inlineStr">
        <is>
          <t>Marketing</t>
        </is>
      </c>
      <c r="G254" s="29" t="inlineStr">
        <is>
          <t>Manager-Content</t>
        </is>
      </c>
      <c r="H254" s="29" t="inlineStr">
        <is>
          <t>Senior Content Marketing Specialist</t>
        </is>
      </c>
      <c r="I254" s="29" t="inlineStr">
        <is>
          <t>L5 – Manager</t>
        </is>
      </c>
      <c r="J254" s="29" t="inlineStr">
        <is>
          <t>B2</t>
        </is>
      </c>
      <c r="K254" s="29" t="inlineStr">
        <is>
          <t>• Same level</t>
        </is>
      </c>
      <c r="L254" s="29" t="inlineStr">
        <is>
          <t>Marketing &amp; Communications</t>
        </is>
      </c>
      <c r="M254" s="29" t="inlineStr">
        <is>
          <t>Content Marketing</t>
        </is>
      </c>
      <c r="N254" s="29" t="n"/>
      <c r="O254" s="29" t="n">
        <v>18</v>
      </c>
      <c r="P254" s="28" t="inlineStr">
        <is>
          <t>P4 / M3</t>
        </is>
      </c>
      <c r="Q254" s="29" t="inlineStr">
        <is>
          <t>Senior / Manager</t>
        </is>
      </c>
      <c r="R254" s="29" t="inlineStr">
        <is>
          <t>4–5</t>
        </is>
      </c>
      <c r="S254" s="29" t="inlineStr">
        <is>
          <t>6–9 yrs</t>
        </is>
      </c>
      <c r="T254" s="29" t="inlineStr">
        <is>
          <t>7–10 · 6–11</t>
        </is>
      </c>
      <c r="U254" s="29" t="inlineStr">
        <is>
          <t>Senior Marketing Specialist</t>
        </is>
      </c>
      <c r="V254" s="29" t="inlineStr">
        <is>
          <t>IRIS Vs Market Benchmark — CIM proficiency scale: 3–4 · IRIS Vs Competitor Benchmark — SaaS marketing ladder: Marketing Manager</t>
        </is>
      </c>
      <c r="W254" s="29" t="inlineStr">
        <is>
          <t>CIM Global Professional Marketing Framework — proficiency Aware → Active learner → Able → Accomplished → Authoritative</t>
        </is>
      </c>
      <c r="X254" s="29" t="inlineStr">
        <is>
          <t>Core 3 · Future 3 · Functional 4 · Leadership 2</t>
        </is>
      </c>
      <c r="Y254" s="52" t="n">
        <v>297</v>
      </c>
      <c r="Z254" s="53" t="inlineStr">
        <is>
          <t>IRIS2200</t>
        </is>
      </c>
      <c r="AA254" s="53" t="inlineStr">
        <is>
          <t>Employee</t>
        </is>
      </c>
      <c r="AB254" s="53" t="inlineStr">
        <is>
          <t>Active</t>
        </is>
      </c>
      <c r="AC254" s="53" t="inlineStr">
        <is>
          <t>Barsha Gloria Gomes</t>
        </is>
      </c>
      <c r="AD254" s="54" t="n">
        <v>45225</v>
      </c>
      <c r="AE254" s="53" t="inlineStr">
        <is>
          <t>Manager-Content</t>
        </is>
      </c>
      <c r="AF254" s="53" t="inlineStr">
        <is>
          <t>MA</t>
        </is>
      </c>
      <c r="AG254" s="53" t="inlineStr">
        <is>
          <t>Abhilash Menon</t>
        </is>
      </c>
      <c r="AH254" s="53" t="inlineStr">
        <is>
          <t>N-4</t>
        </is>
      </c>
      <c r="AI254" s="53" t="inlineStr">
        <is>
          <t>Individual Contributor</t>
        </is>
      </c>
      <c r="AJ254" s="53" t="inlineStr">
        <is>
          <t>7 years, 0 months, 0 days</t>
        </is>
      </c>
      <c r="AK254" s="53" t="inlineStr">
        <is>
          <t>2 years, 9 months, 30 days</t>
        </is>
      </c>
      <c r="AL254" s="53" t="inlineStr">
        <is>
          <t>Corporate Marketing</t>
        </is>
      </c>
      <c r="AM254" s="53" t="inlineStr">
        <is>
          <t>Corporate - Corporate Marketing</t>
        </is>
      </c>
      <c r="AN254" s="53" t="inlineStr">
        <is>
          <t>Marketing</t>
        </is>
      </c>
      <c r="AO254" s="53" t="inlineStr">
        <is>
          <t>Marketing</t>
        </is>
      </c>
      <c r="AP254" s="53" t="inlineStr">
        <is>
          <t>No</t>
        </is>
      </c>
      <c r="AQ254" s="53" t="inlineStr">
        <is>
          <t>Sales, Marketing &amp; Support</t>
        </is>
      </c>
      <c r="AR254" s="53" t="inlineStr">
        <is>
          <t>Content Writing</t>
        </is>
      </c>
      <c r="AS254" s="53" t="inlineStr">
        <is>
          <t>Non-technical</t>
        </is>
      </c>
      <c r="AT254" s="53" t="n">
        <v>20</v>
      </c>
      <c r="AU254" s="53" t="inlineStr">
        <is>
          <t>Covered</t>
        </is>
      </c>
      <c r="AV254" s="53" t="n"/>
      <c r="AW254" s="53" t="n"/>
      <c r="AX254" s="53" t="n"/>
      <c r="AY254" s="53" t="n"/>
      <c r="AZ254" s="53" t="n"/>
      <c r="BA254" s="53" t="n"/>
      <c r="BB254" s="53" t="n"/>
      <c r="BC254" s="53" t="n"/>
      <c r="BD254" s="53" t="n"/>
      <c r="BE254" s="53" t="n"/>
      <c r="BF254" s="53" t="n"/>
      <c r="BG254" s="53" t="n"/>
      <c r="BH254" s="53" t="n"/>
      <c r="BI254" s="53" t="n"/>
      <c r="BJ254" s="53" t="n"/>
      <c r="BK254" s="53" t="n"/>
      <c r="BL254" s="53" t="n"/>
      <c r="BM254" s="53" t="n"/>
      <c r="BN254" s="53" t="n"/>
      <c r="BO254" s="53" t="n"/>
      <c r="BP254" s="53" t="n"/>
      <c r="BQ254" s="53" t="n"/>
      <c r="BR254" s="53" t="n"/>
      <c r="BS254" s="53" t="n"/>
      <c r="BT254" s="53" t="n"/>
      <c r="BU254" s="53" t="n"/>
      <c r="BV254" s="53" t="n"/>
      <c r="BW254" s="53" t="n"/>
      <c r="BX254" s="53" t="n"/>
      <c r="BY254" s="53" t="n"/>
      <c r="BZ254" s="53" t="n"/>
      <c r="CA254" s="53" t="n"/>
      <c r="CB254" s="53" t="n"/>
      <c r="CC254" s="53" t="n"/>
      <c r="CD254" s="53" t="n"/>
      <c r="CE254" s="53" t="n"/>
      <c r="CF254" s="53" t="n"/>
      <c r="CG254" s="53" t="n"/>
      <c r="CH254" s="53" t="n"/>
      <c r="CI254" s="53" t="n"/>
      <c r="CJ254" s="53" t="n"/>
      <c r="CK254" s="53" t="n"/>
      <c r="CL254" s="53" t="n"/>
      <c r="CM254" s="53" t="n"/>
      <c r="CN254" s="53" t="n"/>
      <c r="CO254" s="53" t="n"/>
      <c r="CP254" s="53" t="n"/>
      <c r="CQ254" s="53" t="n"/>
      <c r="CR254" s="53" t="n"/>
      <c r="CS254" s="53" t="n"/>
      <c r="CT254" s="53" t="n"/>
      <c r="CU254" s="53" t="n"/>
      <c r="CV254" s="53" t="n"/>
      <c r="CW254" s="53" t="n"/>
      <c r="CX254" s="53" t="n"/>
      <c r="CY254" s="53" t="n"/>
      <c r="CZ254" s="53" t="n"/>
      <c r="DA254" s="53" t="n"/>
      <c r="DB254" s="53" t="n"/>
      <c r="DC254" s="53" t="n"/>
      <c r="DD254" s="53" t="inlineStr">
        <is>
          <t>IRIS2200</t>
        </is>
      </c>
      <c r="DE254" s="53" t="inlineStr">
        <is>
          <t>Employee</t>
        </is>
      </c>
      <c r="DF254" s="53" t="inlineStr">
        <is>
          <t>Active</t>
        </is>
      </c>
      <c r="DG254" s="53" t="inlineStr">
        <is>
          <t>Barsha Gloria Gomes</t>
        </is>
      </c>
      <c r="DH254" s="54" t="n">
        <v>45225</v>
      </c>
      <c r="DI254" s="53" t="inlineStr">
        <is>
          <t>Manager-Content</t>
        </is>
      </c>
      <c r="DJ254" s="53" t="inlineStr">
        <is>
          <t>Marketing &amp; Communications</t>
        </is>
      </c>
      <c r="DK254" s="53" t="inlineStr">
        <is>
          <t>Content Marketing</t>
        </is>
      </c>
      <c r="DL254" s="53" t="inlineStr">
        <is>
          <t>Manager-Content</t>
        </is>
      </c>
      <c r="DM254" s="53" t="inlineStr">
        <is>
          <t>L5 – Manager</t>
        </is>
      </c>
      <c r="DN254" s="53" t="inlineStr">
        <is>
          <t>MA</t>
        </is>
      </c>
      <c r="DO254" s="53" t="inlineStr">
        <is>
          <t>Arup Ganguly</t>
        </is>
      </c>
      <c r="DP254" s="53" t="inlineStr">
        <is>
          <t>N-2</t>
        </is>
      </c>
      <c r="DQ254" s="53" t="inlineStr">
        <is>
          <t>Individual Contributor</t>
        </is>
      </c>
      <c r="DR254" s="53" t="inlineStr">
        <is>
          <t>7 years, 0 months, 0 days</t>
        </is>
      </c>
      <c r="DS254" s="53" t="inlineStr">
        <is>
          <t>2 years, 7 months, 25 days</t>
        </is>
      </c>
      <c r="DT254" s="53" t="inlineStr">
        <is>
          <t>9 years, 7 months, 25 days</t>
        </is>
      </c>
      <c r="DU254" s="53" t="n"/>
      <c r="DV254" s="53" t="inlineStr">
        <is>
          <t>Corporate Marketing</t>
        </is>
      </c>
      <c r="DW254" s="53" t="inlineStr">
        <is>
          <t>Others - Corporate Marketing</t>
        </is>
      </c>
      <c r="DX254" s="53" t="inlineStr">
        <is>
          <t>Marketing</t>
        </is>
      </c>
      <c r="DY254" s="53" t="inlineStr">
        <is>
          <t>Marketing</t>
        </is>
      </c>
      <c r="DZ254" s="53" t="inlineStr">
        <is>
          <t>No</t>
        </is>
      </c>
      <c r="EA254" s="53" t="inlineStr">
        <is>
          <t>Sales, Marketing &amp; Support</t>
        </is>
      </c>
      <c r="EB254" s="53" t="inlineStr">
        <is>
          <t>Content Writing</t>
        </is>
      </c>
      <c r="EC254" s="53" t="inlineStr">
        <is>
          <t>Non-technical</t>
        </is>
      </c>
      <c r="ED254" s="53" t="inlineStr">
        <is>
          <t>Remote- Outside Mumbai</t>
        </is>
      </c>
      <c r="EE254" s="53"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EF254"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G254"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4" s="53" t="n">
        <v>3</v>
      </c>
      <c r="EI254" s="53" t="n"/>
      <c r="EJ254" s="53" t="n"/>
      <c r="EK254" s="53" t="n"/>
      <c r="EL254" s="53" t="n">
        <v>3</v>
      </c>
      <c r="EM254" s="53" t="inlineStr">
        <is>
          <t>Medium</t>
        </is>
      </c>
      <c r="EN254" s="53" t="inlineStr">
        <is>
          <t>Core Contributor</t>
        </is>
      </c>
      <c r="EO254" s="53" t="inlineStr">
        <is>
          <t>No</t>
        </is>
      </c>
      <c r="EP254" s="53" t="inlineStr">
        <is>
          <t>No</t>
        </is>
      </c>
      <c r="EQ254" s="53" t="inlineStr">
        <is>
          <t>Yes</t>
        </is>
      </c>
      <c r="ER254" s="53" t="n"/>
      <c r="ES254" s="53" t="n"/>
      <c r="ET254" s="53" t="n"/>
      <c r="EU254" s="53" t="n"/>
      <c r="EV254" s="53" t="n"/>
      <c r="EW254" s="52" t="n"/>
      <c r="EX254" s="53" t="n"/>
      <c r="EY254" s="53" t="n"/>
      <c r="EZ254" s="53" t="n"/>
      <c r="FA254" s="53" t="n"/>
      <c r="FB254" s="53" t="n"/>
      <c r="FC254" s="53" t="n"/>
      <c r="FD254" s="53" t="n"/>
      <c r="FE254"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254"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4" s="56"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FH254" s="56" t="inlineStr">
        <is>
          <t>3</t>
        </is>
      </c>
      <c r="FI254" s="56" t="n"/>
      <c r="FJ254" s="56" t="inlineStr">
        <is>
          <t>Received · manager annual, quarterly, self</t>
        </is>
      </c>
      <c r="FK254" s="56" t="inlineStr">
        <is>
          <t>Talent Mapping · iFile collated</t>
        </is>
      </c>
      <c r="FL254" s="56" t="n">
        <v>18</v>
      </c>
      <c r="FM254" s="32" t="inlineStr">
        <is>
          <t>Full survey answers not in the files received · How We Grow export needed · HR</t>
        </is>
      </c>
      <c r="FN254" s="56" t="inlineStr">
        <is>
          <t>—</t>
        </is>
      </c>
      <c r="FO254" s="56" t="inlineStr">
        <is>
          <t>—</t>
        </is>
      </c>
      <c r="FP254" s="56" t="inlineStr">
        <is>
          <t>—</t>
        </is>
      </c>
      <c r="FQ254" s="56" t="inlineStr">
        <is>
          <t>—</t>
        </is>
      </c>
      <c r="FR254" s="56"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B1: All corporate content deliverables and brand messaging across channels → moved down 0.5
Leadership: Evidence reads like A1: No people guidance described; 0 direct reports → moved down 1
Business Impact: Moved +0.5: the survey / manager mapping marks it business-critical.</t>
        </is>
      </c>
      <c r="FS254"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254" s="56" t="inlineStr">
        <is>
          <t>Self-identified: Leadership &amp; people management
For the next role: Leadership &amp; people management</t>
        </is>
      </c>
      <c r="FU254" s="32" t="inlineStr">
        <is>
          <t>Full survey answers not in the files received · How We Grow export needed · HR</t>
        </is>
      </c>
    </row>
    <row r="255" ht="90" customHeight="1">
      <c r="A255" s="51" t="inlineStr">
        <is>
          <t>◂ Back</t>
        </is>
      </c>
      <c r="B255" s="29" t="inlineStr">
        <is>
          <t>Mapped</t>
        </is>
      </c>
      <c r="C255" s="28" t="inlineStr">
        <is>
          <t>Corporate</t>
        </is>
      </c>
      <c r="D255" s="29" t="inlineStr">
        <is>
          <t>IRIS2307</t>
        </is>
      </c>
      <c r="E255" s="29" t="inlineStr">
        <is>
          <t>Abhishek Sharma</t>
        </is>
      </c>
      <c r="F255" s="29" t="inlineStr">
        <is>
          <t>Marketing</t>
        </is>
      </c>
      <c r="G255" s="29" t="inlineStr">
        <is>
          <t>Senior Designer</t>
        </is>
      </c>
      <c r="H255" s="29" t="inlineStr">
        <is>
          <t>Senior Designer</t>
        </is>
      </c>
      <c r="I255" s="29" t="inlineStr">
        <is>
          <t>L4 – Senior</t>
        </is>
      </c>
      <c r="J255" s="29" t="inlineStr">
        <is>
          <t>A3</t>
        </is>
      </c>
      <c r="K255" s="29" t="inlineStr">
        <is>
          <t>• Same level</t>
        </is>
      </c>
      <c r="L255" s="29" t="inlineStr">
        <is>
          <t>Design &amp; Creative</t>
        </is>
      </c>
      <c r="M255" s="29" t="inlineStr">
        <is>
          <t>Brand, Graphic &amp; Video Design</t>
        </is>
      </c>
      <c r="N255" s="29" t="n"/>
      <c r="O255" s="29" t="n">
        <v>20</v>
      </c>
      <c r="P255" s="28" t="inlineStr">
        <is>
          <t>P2</t>
        </is>
      </c>
      <c r="Q255" s="29" t="inlineStr">
        <is>
          <t>Developing</t>
        </is>
      </c>
      <c r="R255" s="29" t="inlineStr">
        <is>
          <t>3 Apply</t>
        </is>
      </c>
      <c r="S255" s="29" t="inlineStr">
        <is>
          <t>2–4 yrs</t>
        </is>
      </c>
      <c r="T255" s="29" t="inlineStr">
        <is>
          <t>3–5 · 2–5</t>
        </is>
      </c>
      <c r="U255" s="29" t="inlineStr">
        <is>
          <t>Designer</t>
        </is>
      </c>
      <c r="V255" s="29" t="inlineStr">
        <is>
          <t>IRIS Vs Competitor Benchmark — UX / design ladder: Designer</t>
        </is>
      </c>
      <c r="W255" s="29" t="inlineStr">
        <is>
          <t>UX career ladder Junior → Designer → Senior → Lead → Principal; WCAG accessibility</t>
        </is>
      </c>
      <c r="X255" s="29" t="inlineStr">
        <is>
          <t>Core 2 · Future 2 · Functional 3 · Leadership not scored</t>
        </is>
      </c>
      <c r="Y255" s="52" t="n">
        <v>342</v>
      </c>
      <c r="Z255" s="53" t="inlineStr">
        <is>
          <t>IRIS2307</t>
        </is>
      </c>
      <c r="AA255" s="53" t="inlineStr">
        <is>
          <t>Employee</t>
        </is>
      </c>
      <c r="AB255" s="53" t="inlineStr">
        <is>
          <t>Active</t>
        </is>
      </c>
      <c r="AC255" s="53" t="inlineStr">
        <is>
          <t>Abhishek Sharma</t>
        </is>
      </c>
      <c r="AD255" s="54" t="n">
        <v>45551</v>
      </c>
      <c r="AE255" s="53" t="inlineStr">
        <is>
          <t>Senior Designer</t>
        </is>
      </c>
      <c r="AF255" s="53" t="inlineStr">
        <is>
          <t>HSC</t>
        </is>
      </c>
      <c r="AG255" s="53" t="inlineStr">
        <is>
          <t>Abhilash Menon</t>
        </is>
      </c>
      <c r="AH255" s="53" t="inlineStr">
        <is>
          <t>N-4</t>
        </is>
      </c>
      <c r="AI255" s="53" t="inlineStr">
        <is>
          <t>Individual Contributor</t>
        </is>
      </c>
      <c r="AJ255" s="53" t="inlineStr">
        <is>
          <t>4 years, 0 months, 0 days</t>
        </is>
      </c>
      <c r="AK255" s="53" t="inlineStr">
        <is>
          <t>1 years, 11 months, 9 days</t>
        </is>
      </c>
      <c r="AL255" s="53" t="inlineStr">
        <is>
          <t>Corporate Marketing</t>
        </is>
      </c>
      <c r="AM255" s="53" t="inlineStr">
        <is>
          <t>Corporate - Corporate Marketing</t>
        </is>
      </c>
      <c r="AN255" s="53" t="inlineStr">
        <is>
          <t>Marketing</t>
        </is>
      </c>
      <c r="AO255" s="53" t="inlineStr">
        <is>
          <t>Marketing</t>
        </is>
      </c>
      <c r="AP255" s="53" t="inlineStr">
        <is>
          <t>No</t>
        </is>
      </c>
      <c r="AQ255" s="53" t="inlineStr">
        <is>
          <t>Sales, Marketing &amp; Support</t>
        </is>
      </c>
      <c r="AR255" s="53" t="inlineStr">
        <is>
          <t>Graphic design</t>
        </is>
      </c>
      <c r="AS255" s="53" t="inlineStr">
        <is>
          <t>Non-technical</t>
        </is>
      </c>
      <c r="AT255" s="53" t="n">
        <v>20</v>
      </c>
      <c r="AU255" s="53" t="inlineStr">
        <is>
          <t>Covered</t>
        </is>
      </c>
      <c r="AV255" s="53" t="n"/>
      <c r="AW255" s="53" t="n"/>
      <c r="AX255" s="53" t="n"/>
      <c r="AY255" s="53" t="n"/>
      <c r="AZ255" s="53" t="n"/>
      <c r="BA255" s="53" t="n"/>
      <c r="BB255" s="53" t="n"/>
      <c r="BC255" s="53" t="n"/>
      <c r="BD255" s="53" t="n"/>
      <c r="BE255" s="53" t="n"/>
      <c r="BF255" s="53" t="n"/>
      <c r="BG255" s="53" t="n"/>
      <c r="BH255" s="53" t="n"/>
      <c r="BI255" s="53" t="n"/>
      <c r="BJ255" s="53" t="n"/>
      <c r="BK255" s="53" t="n"/>
      <c r="BL255" s="53" t="n"/>
      <c r="BM255" s="53" t="n"/>
      <c r="BN255" s="53" t="n"/>
      <c r="BO255" s="53" t="n"/>
      <c r="BP255" s="53" t="n"/>
      <c r="BQ255" s="53" t="n"/>
      <c r="BR255" s="53" t="n"/>
      <c r="BS255" s="53" t="n"/>
      <c r="BT255" s="53" t="n"/>
      <c r="BU255" s="53" t="n"/>
      <c r="BV255" s="53" t="n"/>
      <c r="BW255" s="53" t="n"/>
      <c r="BX255" s="53" t="n"/>
      <c r="BY255" s="53" t="n"/>
      <c r="BZ255" s="53" t="n"/>
      <c r="CA255" s="53" t="n"/>
      <c r="CB255" s="53" t="n"/>
      <c r="CC255" s="53" t="n"/>
      <c r="CD255" s="53" t="n"/>
      <c r="CE255" s="53" t="n"/>
      <c r="CF255" s="53" t="n"/>
      <c r="CG255" s="53" t="n"/>
      <c r="CH255" s="53" t="n"/>
      <c r="CI255" s="53" t="n"/>
      <c r="CJ255" s="53" t="n"/>
      <c r="CK255" s="53" t="n"/>
      <c r="CL255" s="53" t="n"/>
      <c r="CM255" s="53" t="n"/>
      <c r="CN255" s="53" t="n"/>
      <c r="CO255" s="53" t="n"/>
      <c r="CP255" s="53" t="n"/>
      <c r="CQ255" s="53" t="n"/>
      <c r="CR255" s="53" t="n"/>
      <c r="CS255" s="53" t="n"/>
      <c r="CT255" s="53" t="n"/>
      <c r="CU255" s="53" t="n"/>
      <c r="CV255" s="53" t="n"/>
      <c r="CW255" s="53" t="n"/>
      <c r="CX255" s="53" t="n"/>
      <c r="CY255" s="53" t="n"/>
      <c r="CZ255" s="53" t="n"/>
      <c r="DA255" s="53" t="n"/>
      <c r="DB255" s="53" t="n"/>
      <c r="DC255" s="53" t="n"/>
      <c r="DD255" s="53" t="inlineStr">
        <is>
          <t>IRIS2307</t>
        </is>
      </c>
      <c r="DE255" s="53" t="inlineStr">
        <is>
          <t>Employee</t>
        </is>
      </c>
      <c r="DF255" s="53" t="inlineStr">
        <is>
          <t>Active</t>
        </is>
      </c>
      <c r="DG255" s="53" t="inlineStr">
        <is>
          <t>Abhishek Sharma</t>
        </is>
      </c>
      <c r="DH255" s="54" t="n">
        <v>45551</v>
      </c>
      <c r="DI255" s="53" t="inlineStr">
        <is>
          <t>Senior Designer</t>
        </is>
      </c>
      <c r="DJ255" s="53" t="inlineStr">
        <is>
          <t>Design &amp; Creative</t>
        </is>
      </c>
      <c r="DK255" s="53" t="inlineStr">
        <is>
          <t>Graphic / Visual Design</t>
        </is>
      </c>
      <c r="DL255" s="53" t="inlineStr">
        <is>
          <t>Senior Designer</t>
        </is>
      </c>
      <c r="DM255" s="53" t="inlineStr">
        <is>
          <t>L4 – Senior</t>
        </is>
      </c>
      <c r="DN255" s="53" t="inlineStr">
        <is>
          <t>HSC</t>
        </is>
      </c>
      <c r="DO255" s="53" t="inlineStr">
        <is>
          <t>Arup Ganguly</t>
        </is>
      </c>
      <c r="DP255" s="53" t="inlineStr">
        <is>
          <t>N-2</t>
        </is>
      </c>
      <c r="DQ255" s="53" t="inlineStr">
        <is>
          <t>Individual Contributor</t>
        </is>
      </c>
      <c r="DR255" s="53" t="inlineStr">
        <is>
          <t>4 years, 0 months, 0 days</t>
        </is>
      </c>
      <c r="DS255" s="53" t="inlineStr">
        <is>
          <t>1 years, 9 months, 4 days</t>
        </is>
      </c>
      <c r="DT255" s="53" t="inlineStr">
        <is>
          <t>5 years, 9 months, 4 days</t>
        </is>
      </c>
      <c r="DU255" s="53" t="n"/>
      <c r="DV255" s="53" t="inlineStr">
        <is>
          <t>Corporate Marketing</t>
        </is>
      </c>
      <c r="DW255" s="53" t="inlineStr">
        <is>
          <t>Others - Corporate Marketing</t>
        </is>
      </c>
      <c r="DX255" s="53" t="inlineStr">
        <is>
          <t>Marketing</t>
        </is>
      </c>
      <c r="DY255" s="53" t="inlineStr">
        <is>
          <t>Marketing</t>
        </is>
      </c>
      <c r="DZ255" s="53" t="inlineStr">
        <is>
          <t>No</t>
        </is>
      </c>
      <c r="EA255" s="53" t="inlineStr">
        <is>
          <t>Sales, Marketing &amp; Support</t>
        </is>
      </c>
      <c r="EB255" s="53" t="inlineStr">
        <is>
          <t>Graphic design</t>
        </is>
      </c>
      <c r="EC255" s="53" t="inlineStr">
        <is>
          <t>Non-technical</t>
        </is>
      </c>
      <c r="ED255" s="53" t="inlineStr">
        <is>
          <t>Remote - Mumbai</t>
        </is>
      </c>
      <c r="EE255" s="53"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EF255"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G255"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5" s="53" t="n">
        <v>3</v>
      </c>
      <c r="EI255" s="53" t="n"/>
      <c r="EJ255" s="53" t="n"/>
      <c r="EK255" s="53" t="inlineStr">
        <is>
          <t>No</t>
        </is>
      </c>
      <c r="EL255" s="53" t="n">
        <v>3</v>
      </c>
      <c r="EM255" s="53" t="inlineStr">
        <is>
          <t>Medium</t>
        </is>
      </c>
      <c r="EN255" s="53" t="inlineStr">
        <is>
          <t>Reliable Specialist</t>
        </is>
      </c>
      <c r="EO255" s="53" t="inlineStr">
        <is>
          <t>No</t>
        </is>
      </c>
      <c r="EP255" s="53" t="inlineStr">
        <is>
          <t>No</t>
        </is>
      </c>
      <c r="EQ255" s="53" t="inlineStr">
        <is>
          <t>Yes</t>
        </is>
      </c>
      <c r="ER255" s="53" t="n"/>
      <c r="ES255" s="53" t="inlineStr">
        <is>
          <t>Creative Workshops in the orld of AI , brand &amp; creative best practices. AI tools for design</t>
        </is>
      </c>
      <c r="ET255" s="53" t="n"/>
      <c r="EU255" s="53" t="n"/>
      <c r="EV255" s="53" t="n"/>
      <c r="EW255" s="52" t="n"/>
      <c r="EX255" s="53" t="n"/>
      <c r="EY255" s="53" t="n"/>
      <c r="EZ255" s="53" t="n"/>
      <c r="FA255" s="53" t="n"/>
      <c r="FB255" s="53" t="n"/>
      <c r="FC255" s="53" t="n"/>
      <c r="FD255" s="53" t="n"/>
      <c r="FE255"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255"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5" s="56"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FH255" s="56" t="inlineStr">
        <is>
          <t>3</t>
        </is>
      </c>
      <c r="FI255" s="56" t="n"/>
      <c r="FJ255" s="56" t="inlineStr">
        <is>
          <t>Received · manager annual, quarterly, self</t>
        </is>
      </c>
      <c r="FK255" s="56" t="inlineStr">
        <is>
          <t>Talent Mapping · iFile collated</t>
        </is>
      </c>
      <c r="FL255" s="56" t="n">
        <v>20</v>
      </c>
      <c r="FM255" s="32" t="inlineStr">
        <is>
          <t>Full survey answers not in the files received · How We Grow export needed · HR</t>
        </is>
      </c>
      <c r="FN255" s="56" t="inlineStr">
        <is>
          <t>—</t>
        </is>
      </c>
      <c r="FO255" s="56" t="inlineStr">
        <is>
          <t>—</t>
        </is>
      </c>
      <c r="FP255" s="56" t="inlineStr">
        <is>
          <t>—</t>
        </is>
      </c>
      <c r="FQ255" s="56" t="inlineStr">
        <is>
          <t>—</t>
        </is>
      </c>
      <c r="FR255" s="56"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consistency; RFP and event deadlines affect opportunities → matches the start
Leadership: Evidence reads like A1: No guidance or leadership of others described → moved down 0.5
Business Impact: Moved +0.5: the survey / manager mapping marks it business-critical.</t>
        </is>
      </c>
      <c r="FS25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255" s="56" t="inlineStr">
        <is>
          <t>Self-identified: Answered · no common topic
For the next role: Answered · no common topic</t>
        </is>
      </c>
      <c r="FU255" s="32" t="inlineStr">
        <is>
          <t>Full survey answers not in the files received · How We Grow export needed · HR</t>
        </is>
      </c>
    </row>
    <row r="256" ht="90" customHeight="1">
      <c r="A256" s="51" t="inlineStr">
        <is>
          <t>◂ Back</t>
        </is>
      </c>
      <c r="B256" s="29" t="inlineStr">
        <is>
          <t>Mapped</t>
        </is>
      </c>
      <c r="C256" s="28" t="inlineStr">
        <is>
          <t>Corporate</t>
        </is>
      </c>
      <c r="D256" s="29" t="inlineStr">
        <is>
          <t>IRIS2190</t>
        </is>
      </c>
      <c r="E256" s="29" t="inlineStr">
        <is>
          <t>Esther Kanagaselvam D</t>
        </is>
      </c>
      <c r="F256" s="29" t="inlineStr">
        <is>
          <t>Marketing</t>
        </is>
      </c>
      <c r="G256" s="29" t="inlineStr">
        <is>
          <t>Executive Lead Generation and Database</t>
        </is>
      </c>
      <c r="H256" s="29" t="inlineStr">
        <is>
          <t>Senior Marketing Operations Associate</t>
        </is>
      </c>
      <c r="I256" s="29" t="inlineStr">
        <is>
          <t>L5 – Lead · IC</t>
        </is>
      </c>
      <c r="J256" s="29" t="inlineStr">
        <is>
          <t>A3</t>
        </is>
      </c>
      <c r="K256" s="29" t="inlineStr">
        <is>
          <t>▼ Down · protected</t>
        </is>
      </c>
      <c r="L256" s="29" t="inlineStr">
        <is>
          <t>Marketing &amp; Communications</t>
        </is>
      </c>
      <c r="M256" s="29" t="inlineStr">
        <is>
          <t>Marketing Operations &amp; Automation</t>
        </is>
      </c>
      <c r="N256" s="29" t="n"/>
      <c r="O256" s="29" t="n">
        <v>20</v>
      </c>
      <c r="P256" s="28" t="inlineStr">
        <is>
          <t>P2</t>
        </is>
      </c>
      <c r="Q256" s="29" t="inlineStr">
        <is>
          <t>Developing</t>
        </is>
      </c>
      <c r="R256" s="29" t="inlineStr">
        <is>
          <t>3 Apply</t>
        </is>
      </c>
      <c r="S256" s="29" t="inlineStr">
        <is>
          <t>2–4 yrs</t>
        </is>
      </c>
      <c r="T256" s="29" t="inlineStr">
        <is>
          <t>3–5 · 2–5</t>
        </is>
      </c>
      <c r="U256" s="29" t="inlineStr">
        <is>
          <t>Marketing Executive</t>
        </is>
      </c>
      <c r="V256" s="29" t="inlineStr">
        <is>
          <t>IRIS Vs Market Benchmark — CIM proficiency scale: 2–3 · IRIS Vs Competitor Benchmark — SaaS marketing ladder: Marketing Specialist</t>
        </is>
      </c>
      <c r="W256" s="29" t="inlineStr">
        <is>
          <t>CIM Global Professional Marketing Framework — proficiency Aware → Active learner → Able → Accomplished → Authoritative</t>
        </is>
      </c>
      <c r="X256" s="29" t="inlineStr">
        <is>
          <t>Core 2 · Future 2 · Functional 3 · Leadership not scored</t>
        </is>
      </c>
      <c r="Y256" s="52" t="n">
        <v>295</v>
      </c>
      <c r="Z256" s="53" t="inlineStr">
        <is>
          <t>IRIS2190</t>
        </is>
      </c>
      <c r="AA256" s="53" t="inlineStr">
        <is>
          <t>Employee</t>
        </is>
      </c>
      <c r="AB256" s="53" t="inlineStr">
        <is>
          <t>Active</t>
        </is>
      </c>
      <c r="AC256" s="53" t="inlineStr">
        <is>
          <t>Esther Kanagaselvam D</t>
        </is>
      </c>
      <c r="AD256" s="54" t="n">
        <v>45194</v>
      </c>
      <c r="AE256" s="53" t="inlineStr">
        <is>
          <t>Executive Lead Generation and Database</t>
        </is>
      </c>
      <c r="AF256" s="53" t="inlineStr">
        <is>
          <t>B.E</t>
        </is>
      </c>
      <c r="AG256" s="53" t="inlineStr">
        <is>
          <t>Abhilash Menon</t>
        </is>
      </c>
      <c r="AH256" s="53" t="inlineStr">
        <is>
          <t>N-4</t>
        </is>
      </c>
      <c r="AI256" s="53" t="inlineStr">
        <is>
          <t>Individual Contributor</t>
        </is>
      </c>
      <c r="AJ256" s="53" t="inlineStr">
        <is>
          <t>2 years, 6 months, 0 days</t>
        </is>
      </c>
      <c r="AK256" s="53" t="inlineStr">
        <is>
          <t>2 years, 11 months, 0 days</t>
        </is>
      </c>
      <c r="AL256" s="53" t="inlineStr">
        <is>
          <t>Corporate Marketing</t>
        </is>
      </c>
      <c r="AM256" s="53" t="inlineStr">
        <is>
          <t>Corporate - Corporate Marketing</t>
        </is>
      </c>
      <c r="AN256" s="53" t="inlineStr">
        <is>
          <t>Marketing</t>
        </is>
      </c>
      <c r="AO256" s="53" t="inlineStr">
        <is>
          <t>Marketing</t>
        </is>
      </c>
      <c r="AP256" s="53" t="inlineStr">
        <is>
          <t>No</t>
        </is>
      </c>
      <c r="AQ256" s="53" t="inlineStr">
        <is>
          <t>Sales, Marketing &amp; Support</t>
        </is>
      </c>
      <c r="AR256" s="53" t="inlineStr">
        <is>
          <t>Marketing</t>
        </is>
      </c>
      <c r="AS256" s="53" t="inlineStr">
        <is>
          <t>Non-technical</t>
        </is>
      </c>
      <c r="AT256" s="53" t="n">
        <v>20</v>
      </c>
      <c r="AU256" s="53" t="inlineStr">
        <is>
          <t>Covered</t>
        </is>
      </c>
      <c r="AV256" s="53" t="n"/>
      <c r="AW256" s="53" t="n"/>
      <c r="AX256" s="53" t="n"/>
      <c r="AY256" s="53" t="n"/>
      <c r="AZ256" s="53" t="n"/>
      <c r="BA256" s="53" t="n"/>
      <c r="BB256" s="53" t="n"/>
      <c r="BC256" s="53" t="n"/>
      <c r="BD256" s="53" t="n"/>
      <c r="BE256" s="53" t="n"/>
      <c r="BF256" s="53" t="n"/>
      <c r="BG256" s="53" t="n"/>
      <c r="BH256" s="53" t="n"/>
      <c r="BI256" s="53" t="n"/>
      <c r="BJ256" s="53" t="n"/>
      <c r="BK256" s="53" t="n"/>
      <c r="BL256" s="53" t="n"/>
      <c r="BM256" s="53" t="n"/>
      <c r="BN256" s="53" t="n"/>
      <c r="BO256" s="53" t="n"/>
      <c r="BP256" s="53" t="n"/>
      <c r="BQ256" s="53" t="n"/>
      <c r="BR256" s="53" t="n"/>
      <c r="BS256" s="53" t="n"/>
      <c r="BT256" s="53" t="n"/>
      <c r="BU256" s="53" t="n"/>
      <c r="BV256" s="53" t="n"/>
      <c r="BW256" s="53" t="n"/>
      <c r="BX256" s="53" t="n"/>
      <c r="BY256" s="53" t="n"/>
      <c r="BZ256" s="53" t="n"/>
      <c r="CA256" s="53" t="n"/>
      <c r="CB256" s="53" t="n"/>
      <c r="CC256" s="53" t="n"/>
      <c r="CD256" s="53" t="n"/>
      <c r="CE256" s="53" t="n"/>
      <c r="CF256" s="53" t="n"/>
      <c r="CG256" s="53" t="n"/>
      <c r="CH256" s="53" t="n"/>
      <c r="CI256" s="53" t="n"/>
      <c r="CJ256" s="53" t="n"/>
      <c r="CK256" s="53" t="n"/>
      <c r="CL256" s="53" t="n"/>
      <c r="CM256" s="53" t="n"/>
      <c r="CN256" s="53" t="n"/>
      <c r="CO256" s="53" t="n"/>
      <c r="CP256" s="53" t="n"/>
      <c r="CQ256" s="53" t="n"/>
      <c r="CR256" s="53" t="n"/>
      <c r="CS256" s="53" t="n"/>
      <c r="CT256" s="53" t="n"/>
      <c r="CU256" s="53" t="n"/>
      <c r="CV256" s="53" t="n"/>
      <c r="CW256" s="53" t="n"/>
      <c r="CX256" s="53" t="n"/>
      <c r="CY256" s="53" t="n"/>
      <c r="CZ256" s="53" t="n"/>
      <c r="DA256" s="53" t="n"/>
      <c r="DB256" s="53" t="n"/>
      <c r="DC256" s="53" t="n"/>
      <c r="DD256" s="53" t="inlineStr">
        <is>
          <t>IRIS2190</t>
        </is>
      </c>
      <c r="DE256" s="53" t="inlineStr">
        <is>
          <t>Employee</t>
        </is>
      </c>
      <c r="DF256" s="53" t="inlineStr">
        <is>
          <t>Active</t>
        </is>
      </c>
      <c r="DG256" s="53" t="inlineStr">
        <is>
          <t>Esther Kanagaselvam D</t>
        </is>
      </c>
      <c r="DH256" s="54" t="n">
        <v>45194</v>
      </c>
      <c r="DI256" s="53" t="inlineStr">
        <is>
          <t>Executive Lead Generation and Database</t>
        </is>
      </c>
      <c r="DJ256" s="53" t="inlineStr">
        <is>
          <t>Data &amp; Analytics</t>
        </is>
      </c>
      <c r="DK256" s="53" t="inlineStr">
        <is>
          <t>Data &amp; Analytics</t>
        </is>
      </c>
      <c r="DL256" s="53" t="inlineStr">
        <is>
          <t>Executive Lead Generation and Database</t>
        </is>
      </c>
      <c r="DM256" s="53" t="inlineStr">
        <is>
          <t>L5 – Lead · IC</t>
        </is>
      </c>
      <c r="DN256" s="53" t="inlineStr">
        <is>
          <t>B.E</t>
        </is>
      </c>
      <c r="DO256" s="53" t="inlineStr">
        <is>
          <t>Arup Ganguly</t>
        </is>
      </c>
      <c r="DP256" s="53" t="inlineStr">
        <is>
          <t>N-2</t>
        </is>
      </c>
      <c r="DQ256" s="53" t="inlineStr">
        <is>
          <t>Individual Contributor</t>
        </is>
      </c>
      <c r="DR256" s="53" t="inlineStr">
        <is>
          <t>2 years, 6 months, 0 days</t>
        </is>
      </c>
      <c r="DS256" s="53" t="inlineStr">
        <is>
          <t>2 years, 8 months, 26 days</t>
        </is>
      </c>
      <c r="DT256" s="53" t="inlineStr">
        <is>
          <t>5 years, 2 months, 26 days</t>
        </is>
      </c>
      <c r="DU256" s="53" t="n"/>
      <c r="DV256" s="53" t="inlineStr">
        <is>
          <t>Corporate Marketing</t>
        </is>
      </c>
      <c r="DW256" s="53" t="inlineStr">
        <is>
          <t>Others - Corporate Marketing</t>
        </is>
      </c>
      <c r="DX256" s="53" t="inlineStr">
        <is>
          <t>Marketing</t>
        </is>
      </c>
      <c r="DY256" s="53" t="inlineStr">
        <is>
          <t>Marketing</t>
        </is>
      </c>
      <c r="DZ256" s="53" t="inlineStr">
        <is>
          <t>No</t>
        </is>
      </c>
      <c r="EA256" s="53" t="inlineStr">
        <is>
          <t>Sales, Marketing &amp; Support</t>
        </is>
      </c>
      <c r="EB256" s="53" t="inlineStr">
        <is>
          <t>Marketing</t>
        </is>
      </c>
      <c r="EC256" s="53" t="inlineStr">
        <is>
          <t>Non-technical</t>
        </is>
      </c>
      <c r="ED256" s="53" t="inlineStr">
        <is>
          <t>Remote- Outside Mumbai</t>
        </is>
      </c>
      <c r="EE256" s="53"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EF256" s="53"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EG256" s="53"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EH256" s="53" t="n">
        <v>2</v>
      </c>
      <c r="EI256" s="53" t="inlineStr">
        <is>
          <t>June</t>
        </is>
      </c>
      <c r="EJ256" s="53" t="n"/>
      <c r="EK256" s="53" t="inlineStr">
        <is>
          <t>Yes</t>
        </is>
      </c>
      <c r="EL256" s="53" t="n">
        <v>2</v>
      </c>
      <c r="EM256" s="53" t="inlineStr">
        <is>
          <t>Low</t>
        </is>
      </c>
      <c r="EN256" s="53" t="inlineStr">
        <is>
          <t>Performance Risk</t>
        </is>
      </c>
      <c r="EO256" s="53" t="inlineStr">
        <is>
          <t>No</t>
        </is>
      </c>
      <c r="EP256" s="53" t="inlineStr">
        <is>
          <t>No</t>
        </is>
      </c>
      <c r="EQ256" s="53" t="inlineStr">
        <is>
          <t>No</t>
        </is>
      </c>
      <c r="ER256" s="53" t="inlineStr">
        <is>
          <t>In works</t>
        </is>
      </c>
      <c r="ES256" s="53" t="n"/>
      <c r="ET256" s="53" t="n"/>
      <c r="EU256" s="53" t="inlineStr">
        <is>
          <t>Working on a exit plan for her</t>
        </is>
      </c>
      <c r="EV256" s="53" t="n"/>
      <c r="EW256" s="52" t="n"/>
      <c r="EX256" s="53" t="n"/>
      <c r="EY256" s="53" t="n"/>
      <c r="EZ256" s="53" t="n"/>
      <c r="FA256" s="53" t="n"/>
      <c r="FB256" s="53" t="n"/>
      <c r="FC256" s="53" t="n"/>
      <c r="FD256" s="53" t="n"/>
      <c r="FE256" s="57"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FF256" s="56"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FG256" s="56"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FH256" s="56" t="inlineStr">
        <is>
          <t>2</t>
        </is>
      </c>
      <c r="FI256" s="56" t="n"/>
      <c r="FJ256" s="56" t="inlineStr">
        <is>
          <t>Received · manager annual, quarterly, self</t>
        </is>
      </c>
      <c r="FK256" s="56" t="inlineStr">
        <is>
          <t>Talent Mapping · iFile collated</t>
        </is>
      </c>
      <c r="FL256" s="56" t="n">
        <v>20</v>
      </c>
      <c r="FM256" s="32" t="inlineStr">
        <is>
          <t>Full survey answers not in the files received · How We Grow export needed · HR</t>
        </is>
      </c>
      <c r="FN256" s="56" t="inlineStr">
        <is>
          <t>—</t>
        </is>
      </c>
      <c r="FO256" s="56" t="inlineStr">
        <is>
          <t>—</t>
        </is>
      </c>
      <c r="FP256" s="56" t="inlineStr">
        <is>
          <t>—</t>
        </is>
      </c>
      <c r="FQ256" s="56" t="inlineStr">
        <is>
          <t>—</t>
        </is>
      </c>
      <c r="FR256" s="56"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own survey / KRA answers · summarised by the rater; not quoted → moved up 0.5
Leadership: Evidence reads like A1: No guiding or leading of others described → matches the start
Business Impact: No survey or manager-mapping signal on criticality: kept at the start point.</t>
        </is>
      </c>
      <c r="FS256"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256" s="56" t="inlineStr">
        <is>
          <t>Self-identified: AI / automation · Data, SQL &amp; analytics · Product &amp; tool knowledge · Marketing &amp; content · Broader exposure &amp; ownership
For the next role: AI / automation · Data, SQL &amp; analytics · Product &amp; tool knowledge · Marketing &amp; content · Broader exposure &amp; ownership</t>
        </is>
      </c>
      <c r="FU256" s="32" t="inlineStr">
        <is>
          <t>Full survey answers not in the files received · How We Grow export needed · HR</t>
        </is>
      </c>
    </row>
    <row r="257" ht="90" customHeight="1">
      <c r="A257" s="51" t="inlineStr">
        <is>
          <t>◂ Back</t>
        </is>
      </c>
      <c r="B257" s="29" t="inlineStr">
        <is>
          <t>Mapped</t>
        </is>
      </c>
      <c r="C257" s="28" t="inlineStr">
        <is>
          <t>iFile</t>
        </is>
      </c>
      <c r="D257" s="29" t="inlineStr">
        <is>
          <t>IRIS2550</t>
        </is>
      </c>
      <c r="E257" s="29" t="inlineStr">
        <is>
          <t>Shashwat Dikshit</t>
        </is>
      </c>
      <c r="F257" s="29" t="inlineStr">
        <is>
          <t>Marketing</t>
        </is>
      </c>
      <c r="G257" s="29" t="inlineStr">
        <is>
          <t>Marketing Operations Specialist</t>
        </is>
      </c>
      <c r="H257" s="29" t="inlineStr">
        <is>
          <t>Senior Marketing Operations Associate</t>
        </is>
      </c>
      <c r="I257" s="29" t="inlineStr">
        <is>
          <t>Not in current mapping files</t>
        </is>
      </c>
      <c r="J257" s="29" t="inlineStr">
        <is>
          <t>A3</t>
        </is>
      </c>
      <c r="K257" s="29" t="inlineStr">
        <is>
          <t>● Newly mapped</t>
        </is>
      </c>
      <c r="L257" s="29" t="inlineStr">
        <is>
          <t>Marketing &amp; Communications</t>
        </is>
      </c>
      <c r="M257" s="29" t="inlineStr">
        <is>
          <t>Marketing Operations &amp; Automation</t>
        </is>
      </c>
      <c r="N257" s="29" t="n"/>
      <c r="O257" s="29" t="n">
        <v>19</v>
      </c>
      <c r="P257" s="28" t="inlineStr">
        <is>
          <t>P2</t>
        </is>
      </c>
      <c r="Q257" s="29" t="inlineStr">
        <is>
          <t>Developing</t>
        </is>
      </c>
      <c r="R257" s="29" t="inlineStr">
        <is>
          <t>3 Apply</t>
        </is>
      </c>
      <c r="S257" s="29" t="inlineStr">
        <is>
          <t>2–4 yrs</t>
        </is>
      </c>
      <c r="T257" s="29" t="inlineStr">
        <is>
          <t>3–5 · 2–5</t>
        </is>
      </c>
      <c r="U257" s="29" t="inlineStr">
        <is>
          <t>Marketing Executive</t>
        </is>
      </c>
      <c r="V257" s="29" t="inlineStr">
        <is>
          <t>IRIS Vs Market Benchmark — CIM proficiency scale: 2–3 · IRIS Vs Competitor Benchmark — SaaS marketing ladder: Marketing Specialist</t>
        </is>
      </c>
      <c r="W257" s="29" t="inlineStr">
        <is>
          <t>CIM Global Professional Marketing Framework — proficiency Aware → Active learner → Able → Accomplished → Authoritative</t>
        </is>
      </c>
      <c r="X257" s="29" t="inlineStr">
        <is>
          <t>Core 2 · Future 2 · Functional 3 · Leadership not scored</t>
        </is>
      </c>
      <c r="Y257" s="52" t="n">
        <v>523</v>
      </c>
      <c r="Z257" s="53" t="inlineStr">
        <is>
          <t>IRIS2550</t>
        </is>
      </c>
      <c r="AA257" s="53" t="inlineStr">
        <is>
          <t>Employee</t>
        </is>
      </c>
      <c r="AB257" s="53" t="inlineStr">
        <is>
          <t>Active</t>
        </is>
      </c>
      <c r="AC257" s="53" t="inlineStr">
        <is>
          <t>Shashwat Dikshit</t>
        </is>
      </c>
      <c r="AD257" s="54" t="n">
        <v>46237</v>
      </c>
      <c r="AE257" s="53" t="inlineStr">
        <is>
          <t>Marketing Operations Specialist</t>
        </is>
      </c>
      <c r="AF257" s="53" t="inlineStr">
        <is>
          <t>Masters of Science</t>
        </is>
      </c>
      <c r="AG257" s="53" t="inlineStr">
        <is>
          <t>Abhilash Menon</t>
        </is>
      </c>
      <c r="AH257" s="53" t="inlineStr">
        <is>
          <t>N-4</t>
        </is>
      </c>
      <c r="AI257" s="53" t="inlineStr">
        <is>
          <t>Individual Contributor</t>
        </is>
      </c>
      <c r="AJ257" s="53" t="inlineStr">
        <is>
          <t>4 years, 7 months, 0 days</t>
        </is>
      </c>
      <c r="AK257" s="53" t="inlineStr">
        <is>
          <t>0 years, 0 months, 22 days</t>
        </is>
      </c>
      <c r="AL257" s="53" t="inlineStr">
        <is>
          <t>Suptech</t>
        </is>
      </c>
      <c r="AM257" s="53" t="inlineStr">
        <is>
          <t>iFile</t>
        </is>
      </c>
      <c r="AN257" s="53" t="inlineStr">
        <is>
          <t>Marketing</t>
        </is>
      </c>
      <c r="AO257" s="53" t="inlineStr">
        <is>
          <t>Marketing</t>
        </is>
      </c>
      <c r="AP257" s="53" t="inlineStr">
        <is>
          <t>No</t>
        </is>
      </c>
      <c r="AQ257" s="53" t="inlineStr">
        <is>
          <t>Sales, Marketing &amp; Support</t>
        </is>
      </c>
      <c r="AR257" s="53" t="inlineStr">
        <is>
          <t>Marketing</t>
        </is>
      </c>
      <c r="AS257" s="53" t="inlineStr">
        <is>
          <t>Non-technical</t>
        </is>
      </c>
      <c r="AT257" s="53" t="n">
        <v>20</v>
      </c>
      <c r="AU257" s="53" t="inlineStr">
        <is>
          <t>Covered</t>
        </is>
      </c>
      <c r="AV257" s="53" t="n"/>
      <c r="AW257" s="53" t="n"/>
      <c r="AX257" s="53" t="n"/>
      <c r="AY257" s="53" t="n"/>
      <c r="AZ257" s="53" t="n"/>
      <c r="BA257" s="53" t="n"/>
      <c r="BB257" s="53" t="n"/>
      <c r="BC257" s="53" t="n"/>
      <c r="BD257" s="53" t="n"/>
      <c r="BE257" s="53" t="n"/>
      <c r="BF257" s="53" t="n"/>
      <c r="BG257" s="53" t="n"/>
      <c r="BH257" s="53" t="n"/>
      <c r="BI257" s="53" t="n"/>
      <c r="BJ257" s="53" t="n"/>
      <c r="BK257" s="53" t="n"/>
      <c r="BL257" s="53" t="n"/>
      <c r="BM257" s="53" t="n"/>
      <c r="BN257" s="53" t="n"/>
      <c r="BO257" s="53" t="n"/>
      <c r="BP257" s="53" t="n"/>
      <c r="BQ257" s="53" t="n"/>
      <c r="BR257" s="53" t="n"/>
      <c r="BS257" s="53" t="n"/>
      <c r="BT257" s="53" t="n"/>
      <c r="BU257" s="53" t="n"/>
      <c r="BV257" s="53" t="n"/>
      <c r="BW257" s="53" t="n"/>
      <c r="BX257" s="53" t="n"/>
      <c r="BY257" s="53" t="n"/>
      <c r="BZ257" s="53" t="n"/>
      <c r="CA257" s="53" t="n"/>
      <c r="CB257" s="53" t="n"/>
      <c r="CC257" s="53" t="n"/>
      <c r="CD257" s="53" t="n"/>
      <c r="CE257" s="53" t="n"/>
      <c r="CF257" s="53" t="n"/>
      <c r="CG257" s="53" t="n"/>
      <c r="CH257" s="53" t="n"/>
      <c r="CI257" s="53" t="n"/>
      <c r="CJ257" s="53" t="n"/>
      <c r="CK257" s="53" t="n"/>
      <c r="CL257" s="53" t="n"/>
      <c r="CM257" s="53" t="n"/>
      <c r="CN257" s="53" t="n"/>
      <c r="CO257" s="53" t="n"/>
      <c r="CP257" s="53" t="n"/>
      <c r="CQ257" s="53" t="n"/>
      <c r="CR257" s="53" t="n"/>
      <c r="CS257" s="53" t="n"/>
      <c r="CT257" s="53" t="n"/>
      <c r="CU257" s="53" t="n"/>
      <c r="CV257" s="53" t="n"/>
      <c r="CW257" s="53" t="n"/>
      <c r="CX257" s="53" t="n"/>
      <c r="CY257" s="53" t="n"/>
      <c r="CZ257" s="53" t="n"/>
      <c r="DA257" s="53" t="n"/>
      <c r="DB257" s="53" t="n"/>
      <c r="DC257" s="53" t="n"/>
      <c r="DD257" s="53" t="n"/>
      <c r="DE257" s="53" t="n"/>
      <c r="DF257" s="53" t="n"/>
      <c r="DG257" s="53" t="n"/>
      <c r="DH257" s="53" t="n"/>
      <c r="DI257" s="53" t="n"/>
      <c r="DJ257" s="53" t="n"/>
      <c r="DK257" s="53" t="n"/>
      <c r="DL257" s="53" t="n"/>
      <c r="DM257" s="53" t="n"/>
      <c r="DN257" s="53" t="n"/>
      <c r="DO257" s="53" t="n"/>
      <c r="DP257" s="53" t="n"/>
      <c r="DQ257" s="53" t="n"/>
      <c r="DR257" s="53" t="n"/>
      <c r="DS257" s="53" t="n"/>
      <c r="DT257" s="53" t="n"/>
      <c r="DU257" s="53" t="n"/>
      <c r="DV257" s="53" t="n"/>
      <c r="DW257" s="53" t="n"/>
      <c r="DX257" s="53" t="n"/>
      <c r="DY257" s="53" t="n"/>
      <c r="DZ257" s="53" t="n"/>
      <c r="EA257" s="53" t="n"/>
      <c r="EB257" s="53" t="n"/>
      <c r="EC257" s="53" t="n"/>
      <c r="ED257" s="53" t="n"/>
      <c r="EE257" s="53" t="n"/>
      <c r="EF257" s="53" t="n"/>
      <c r="EG257" s="53" t="n"/>
      <c r="EH257" s="53" t="n"/>
      <c r="EI257" s="53" t="n"/>
      <c r="EJ257" s="53" t="n"/>
      <c r="EK257" s="53" t="n"/>
      <c r="EL257" s="53" t="n"/>
      <c r="EM257" s="53" t="n"/>
      <c r="EN257" s="53" t="n"/>
      <c r="EO257" s="53" t="n"/>
      <c r="EP257" s="53" t="n"/>
      <c r="EQ257" s="53" t="n"/>
      <c r="ER257" s="53" t="n"/>
      <c r="ES257" s="53" t="n"/>
      <c r="ET257" s="53" t="n"/>
      <c r="EU257" s="53" t="n"/>
      <c r="EV257" s="53" t="n"/>
      <c r="EW257" s="52" t="n"/>
      <c r="EX257" s="53" t="n"/>
      <c r="EY257" s="53" t="n"/>
      <c r="EZ257" s="53" t="n"/>
      <c r="FA257" s="53" t="n"/>
      <c r="FB257" s="53" t="n"/>
      <c r="FC257" s="53" t="n"/>
      <c r="FD257" s="53" t="n"/>
      <c r="FE257" s="55" t="inlineStr">
        <is>
          <t>KRAs not received · manager to supply</t>
        </is>
      </c>
      <c r="FF257" s="56" t="n"/>
      <c r="FG257" s="56" t="n"/>
      <c r="FH257" s="56" t="n"/>
      <c r="FI257" s="56" t="n"/>
      <c r="FJ257" s="32" t="inlineStr">
        <is>
          <t>KRAs not received · manager to supply</t>
        </is>
      </c>
      <c r="FK257" s="56" t="n"/>
      <c r="FL257" s="56" t="n">
        <v>19</v>
      </c>
      <c r="FM257" s="32" t="inlineStr">
        <is>
          <t>Full survey answers not in the files received · How We Grow export needed · HR</t>
        </is>
      </c>
      <c r="FN257" s="56" t="inlineStr">
        <is>
          <t>—</t>
        </is>
      </c>
      <c r="FO257" s="56" t="inlineStr">
        <is>
          <t>—</t>
        </is>
      </c>
      <c r="FP257" s="56" t="inlineStr">
        <is>
          <t>—</t>
        </is>
      </c>
      <c r="FQ257" s="56" t="inlineStr">
        <is>
          <t>—</t>
        </is>
      </c>
      <c r="FR257" s="56"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summarised by the rater; not quoted → moved down 0.5
Leadership: Evidence reads like A1: No guidance or leadership of others described → moved down 1
Business Impact: No survey or manager-mapping signal on criticality: kept at the start point.</t>
        </is>
      </c>
      <c r="FS257"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257" s="56" t="inlineStr">
        <is>
          <t>Self-identified: Answered · no common topic
For the next role: Answered · no common topic</t>
        </is>
      </c>
      <c r="FU257" s="32" t="inlineStr">
        <is>
          <t>Full survey answers not in the files received · How We Grow export needed · HR</t>
        </is>
      </c>
    </row>
    <row r="258" ht="90" customHeight="1">
      <c r="A258" s="51" t="inlineStr">
        <is>
          <t>◂ Back</t>
        </is>
      </c>
      <c r="B258" s="29" t="inlineStr">
        <is>
          <t>Mapped</t>
        </is>
      </c>
      <c r="C258" s="28" t="inlineStr">
        <is>
          <t>iFile</t>
        </is>
      </c>
      <c r="D258" s="29" t="inlineStr">
        <is>
          <t>IRISC312</t>
        </is>
      </c>
      <c r="E258" s="29" t="inlineStr">
        <is>
          <t>Rajesh Nair</t>
        </is>
      </c>
      <c r="F258" s="29" t="inlineStr">
        <is>
          <t>Sales</t>
        </is>
      </c>
      <c r="G258" s="29" t="inlineStr">
        <is>
          <t>Consultant</t>
        </is>
      </c>
      <c r="H258" s="29" t="inlineStr">
        <is>
          <t>Consultant – Enterprise Sales &amp; Account Management</t>
        </is>
      </c>
      <c r="I258" s="29" t="inlineStr">
        <is>
          <t>L3 – Professional / Associate</t>
        </is>
      </c>
      <c r="J258" s="29" t="inlineStr">
        <is>
          <t>X2</t>
        </is>
      </c>
      <c r="K258" s="29" t="inlineStr">
        <is>
          <t>• Same level</t>
        </is>
      </c>
      <c r="L258" s="29" t="inlineStr">
        <is>
          <t>Sales &amp; Business Development</t>
        </is>
      </c>
      <c r="M258" s="29" t="inlineStr">
        <is>
          <t>Enterprise Sales &amp; Account Management</t>
        </is>
      </c>
      <c r="N258" s="29" t="n"/>
      <c r="O258" s="29" t="n">
        <v>20</v>
      </c>
      <c r="P258" s="28" t="inlineStr">
        <is>
          <t>Contractor</t>
        </is>
      </c>
      <c r="Q258" s="29" t="inlineStr">
        <is>
          <t>—</t>
        </is>
      </c>
      <c r="R258" s="29" t="inlineStr">
        <is>
          <t>—</t>
        </is>
      </c>
      <c r="S258" s="29" t="inlineStr">
        <is>
          <t>4–10 yrs</t>
        </is>
      </c>
      <c r="T258" s="29" t="inlineStr">
        <is>
          <t>—</t>
        </is>
      </c>
      <c r="U258" s="29" t="inlineStr">
        <is>
          <t>Contractor · rate card</t>
        </is>
      </c>
      <c r="V258" s="29" t="inlineStr">
        <is>
          <t>—</t>
        </is>
      </c>
      <c r="W258" s="29" t="inlineStr">
        <is>
          <t>SaaS sales ladder · SDR → AE → Enterprise AE → VP / CRO; MEDDICC-style qualification</t>
        </is>
      </c>
      <c r="X258" s="29" t="inlineStr">
        <is>
          <t>Per statement of work</t>
        </is>
      </c>
      <c r="Y258" s="52" t="n">
        <v>373</v>
      </c>
      <c r="Z258" s="53" t="inlineStr">
        <is>
          <t>IRISC312</t>
        </is>
      </c>
      <c r="AA258" s="53" t="inlineStr">
        <is>
          <t>Full Time Consultant</t>
        </is>
      </c>
      <c r="AB258" s="53" t="inlineStr">
        <is>
          <t>Active</t>
        </is>
      </c>
      <c r="AC258" s="53" t="inlineStr">
        <is>
          <t>Rajesh Nair</t>
        </is>
      </c>
      <c r="AD258" s="54" t="n">
        <v>45811</v>
      </c>
      <c r="AE258" s="53" t="inlineStr">
        <is>
          <t>Consultant</t>
        </is>
      </c>
      <c r="AF258" s="53" t="inlineStr">
        <is>
          <t>MBA</t>
        </is>
      </c>
      <c r="AG258" s="53" t="inlineStr">
        <is>
          <t>Arup Ganguly</t>
        </is>
      </c>
      <c r="AH258" s="53" t="inlineStr">
        <is>
          <t>N-3</t>
        </is>
      </c>
      <c r="AI258" s="53" t="inlineStr">
        <is>
          <t>Individual Contributor</t>
        </is>
      </c>
      <c r="AJ258" s="53" t="inlineStr">
        <is>
          <t>14 years, 0 months, 0 days</t>
        </is>
      </c>
      <c r="AK258" s="53" t="inlineStr">
        <is>
          <t>1 years, 2 months, 22 days</t>
        </is>
      </c>
      <c r="AL258" s="53" t="inlineStr">
        <is>
          <t>Suptech</t>
        </is>
      </c>
      <c r="AM258" s="53" t="inlineStr">
        <is>
          <t>iFile</t>
        </is>
      </c>
      <c r="AN258" s="53" t="inlineStr">
        <is>
          <t>Sales</t>
        </is>
      </c>
      <c r="AO258" s="53" t="inlineStr">
        <is>
          <t>Sales</t>
        </is>
      </c>
      <c r="AP258" s="53" t="inlineStr">
        <is>
          <t>No</t>
        </is>
      </c>
      <c r="AQ258" s="53" t="inlineStr">
        <is>
          <t>Sales, Marketing &amp; Support</t>
        </is>
      </c>
      <c r="AR258" s="53" t="inlineStr">
        <is>
          <t>Sales</t>
        </is>
      </c>
      <c r="AS258" s="53" t="inlineStr">
        <is>
          <t>Non-technical</t>
        </is>
      </c>
      <c r="AT258" s="53" t="n">
        <v>20</v>
      </c>
      <c r="AU258" s="53" t="inlineStr">
        <is>
          <t>Covered</t>
        </is>
      </c>
      <c r="AV258" s="53" t="n"/>
      <c r="AW258" s="53" t="n"/>
      <c r="AX258" s="53" t="n"/>
      <c r="AY258" s="53" t="n"/>
      <c r="AZ258" s="53" t="n"/>
      <c r="BA258" s="53" t="n"/>
      <c r="BB258" s="53" t="n"/>
      <c r="BC258" s="53" t="n"/>
      <c r="BD258" s="53" t="n"/>
      <c r="BE258" s="53" t="n"/>
      <c r="BF258" s="53" t="n"/>
      <c r="BG258" s="53" t="n"/>
      <c r="BH258" s="53" t="n"/>
      <c r="BI258" s="53" t="n"/>
      <c r="BJ258" s="53" t="n"/>
      <c r="BK258" s="53" t="n"/>
      <c r="BL258" s="53" t="n"/>
      <c r="BM258" s="53" t="n"/>
      <c r="BN258" s="53" t="n"/>
      <c r="BO258" s="53" t="n"/>
      <c r="BP258" s="53" t="n"/>
      <c r="BQ258" s="53" t="n"/>
      <c r="BR258" s="53" t="n"/>
      <c r="BS258" s="53" t="n"/>
      <c r="BT258" s="53" t="n"/>
      <c r="BU258" s="53" t="n"/>
      <c r="BV258" s="53" t="n"/>
      <c r="BW258" s="53" t="n"/>
      <c r="BX258" s="53" t="n"/>
      <c r="BY258" s="53" t="n"/>
      <c r="BZ258" s="53" t="n"/>
      <c r="CA258" s="53" t="n"/>
      <c r="CB258" s="53" t="n"/>
      <c r="CC258" s="53" t="n"/>
      <c r="CD258" s="53" t="n"/>
      <c r="CE258" s="53" t="n"/>
      <c r="CF258" s="53" t="n"/>
      <c r="CG258" s="53" t="n"/>
      <c r="CH258" s="53" t="n"/>
      <c r="CI258" s="53" t="n"/>
      <c r="CJ258" s="53" t="n"/>
      <c r="CK258" s="53" t="n"/>
      <c r="CL258" s="53" t="n"/>
      <c r="CM258" s="53" t="n"/>
      <c r="CN258" s="53" t="n"/>
      <c r="CO258" s="53" t="n"/>
      <c r="CP258" s="53" t="n"/>
      <c r="CQ258" s="53" t="n"/>
      <c r="CR258" s="53" t="n"/>
      <c r="CS258" s="53" t="n"/>
      <c r="CT258" s="53" t="n"/>
      <c r="CU258" s="53" t="n"/>
      <c r="CV258" s="53" t="n"/>
      <c r="CW258" s="53" t="n"/>
      <c r="CX258" s="53" t="n"/>
      <c r="CY258" s="53" t="n"/>
      <c r="CZ258" s="53" t="n"/>
      <c r="DA258" s="53" t="n"/>
      <c r="DB258" s="53" t="n"/>
      <c r="DC258" s="53" t="n"/>
      <c r="DD258" s="53" t="inlineStr">
        <is>
          <t>IRISC312</t>
        </is>
      </c>
      <c r="DE258" s="53" t="inlineStr">
        <is>
          <t>Full Time Consultant</t>
        </is>
      </c>
      <c r="DF258" s="53" t="inlineStr">
        <is>
          <t>Active</t>
        </is>
      </c>
      <c r="DG258" s="53" t="inlineStr">
        <is>
          <t>Rajesh Nair</t>
        </is>
      </c>
      <c r="DH258" s="54" t="n">
        <v>45811</v>
      </c>
      <c r="DI258" s="53" t="inlineStr">
        <is>
          <t>Consultant</t>
        </is>
      </c>
      <c r="DJ258" s="53" t="inlineStr">
        <is>
          <t>Consulting &amp; Professional Services</t>
        </is>
      </c>
      <c r="DK258" s="53" t="inlineStr">
        <is>
          <t>XBRL / Regulatory Reporting</t>
        </is>
      </c>
      <c r="DL258" s="53" t="inlineStr">
        <is>
          <t>Consultant</t>
        </is>
      </c>
      <c r="DM258" s="53" t="inlineStr">
        <is>
          <t>L3 – Professional / Associate</t>
        </is>
      </c>
      <c r="DN258" s="53" t="inlineStr">
        <is>
          <t>MBA</t>
        </is>
      </c>
      <c r="DO258" s="53" t="inlineStr">
        <is>
          <t>Arup Ganguly</t>
        </is>
      </c>
      <c r="DP258" s="53" t="inlineStr">
        <is>
          <t>N-2</t>
        </is>
      </c>
      <c r="DQ258" s="53" t="inlineStr">
        <is>
          <t>Individual Contributor</t>
        </is>
      </c>
      <c r="DR258" s="53" t="inlineStr">
        <is>
          <t>14 years, 0 months, 0 days</t>
        </is>
      </c>
      <c r="DS258" s="53" t="inlineStr">
        <is>
          <t>1 years, 0 months, 17 days</t>
        </is>
      </c>
      <c r="DT258" s="53" t="inlineStr">
        <is>
          <t>15 years, 0 months, 17 days</t>
        </is>
      </c>
      <c r="DU258" s="53" t="n"/>
      <c r="DV258" s="53" t="inlineStr">
        <is>
          <t>Suptech</t>
        </is>
      </c>
      <c r="DW258" s="53" t="inlineStr">
        <is>
          <t>iFile</t>
        </is>
      </c>
      <c r="DX258" s="53" t="inlineStr">
        <is>
          <t>Sales</t>
        </is>
      </c>
      <c r="DY258" s="53" t="inlineStr">
        <is>
          <t>Sales</t>
        </is>
      </c>
      <c r="DZ258" s="53" t="inlineStr">
        <is>
          <t>No</t>
        </is>
      </c>
      <c r="EA258" s="53" t="inlineStr">
        <is>
          <t>Sales, Marketing &amp; Support</t>
        </is>
      </c>
      <c r="EB258" s="53" t="inlineStr">
        <is>
          <t>Sales</t>
        </is>
      </c>
      <c r="EC258" s="53" t="inlineStr">
        <is>
          <t>Non-technical</t>
        </is>
      </c>
      <c r="ED258" s="53" t="inlineStr">
        <is>
          <t>Remote - Mumbai</t>
        </is>
      </c>
      <c r="EE258" s="53"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EF258" s="53"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G258"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258" s="53" t="n">
        <v>3</v>
      </c>
      <c r="EI258" s="53" t="inlineStr">
        <is>
          <t>June</t>
        </is>
      </c>
      <c r="EJ258" s="53" t="inlineStr">
        <is>
          <t>Sales Coordinator</t>
        </is>
      </c>
      <c r="EK258" s="53" t="n"/>
      <c r="EL258" s="53" t="n">
        <v>3</v>
      </c>
      <c r="EM258" s="53" t="inlineStr">
        <is>
          <t>Medium</t>
        </is>
      </c>
      <c r="EN258" s="53" t="inlineStr">
        <is>
          <t>Core Contributor</t>
        </is>
      </c>
      <c r="EO258" s="53" t="inlineStr">
        <is>
          <t>No</t>
        </is>
      </c>
      <c r="EP258" s="53" t="inlineStr">
        <is>
          <t>No</t>
        </is>
      </c>
      <c r="EQ258" s="53" t="inlineStr">
        <is>
          <t>Yes</t>
        </is>
      </c>
      <c r="ER258" s="53" t="inlineStr">
        <is>
          <t>No</t>
        </is>
      </c>
      <c r="ES258" s="53" t="inlineStr">
        <is>
          <t>AI usage for the work , Deep CRM Knowledge</t>
        </is>
      </c>
      <c r="ET258" s="53" t="n"/>
      <c r="EU258" s="53" t="n"/>
      <c r="EV258" s="53" t="n"/>
      <c r="EW258" s="52" t="n"/>
      <c r="EX258" s="53" t="n"/>
      <c r="EY258" s="53" t="n"/>
      <c r="EZ258" s="53" t="n"/>
      <c r="FA258" s="53" t="n"/>
      <c r="FB258" s="53" t="n"/>
      <c r="FC258" s="53" t="n"/>
      <c r="FD258" s="53" t="n"/>
      <c r="FE258"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258"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258" s="56"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FH258" s="56" t="inlineStr">
        <is>
          <t>3</t>
        </is>
      </c>
      <c r="FI258" s="56" t="n"/>
      <c r="FJ258" s="56" t="inlineStr">
        <is>
          <t>Received · manager annual, quarterly, self</t>
        </is>
      </c>
      <c r="FK258" s="56" t="inlineStr">
        <is>
          <t>Talent Mapping · iFile collated</t>
        </is>
      </c>
      <c r="FL258" s="56" t="n">
        <v>20</v>
      </c>
      <c r="FM258" s="32" t="inlineStr">
        <is>
          <t>Full survey answers not in the files received · How We Grow export needed · HR</t>
        </is>
      </c>
      <c r="FN258" s="56" t="inlineStr">
        <is>
          <t>—</t>
        </is>
      </c>
      <c r="FO258" s="56" t="inlineStr">
        <is>
          <t>—</t>
        </is>
      </c>
      <c r="FP258" s="56" t="inlineStr">
        <is>
          <t>—</t>
        </is>
      </c>
      <c r="FQ258" s="56" t="inlineStr">
        <is>
          <t>—</t>
        </is>
      </c>
      <c r="FR258" s="56" t="n"/>
      <c r="FS258"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58" s="56" t="inlineStr">
        <is>
          <t>Self-identified: Answered · no common topic
For the next role: Answered · no common topic</t>
        </is>
      </c>
      <c r="FU258" s="32" t="inlineStr">
        <is>
          <t>Full survey answers not in the files received · How We Grow export needed · HR</t>
        </is>
      </c>
    </row>
    <row r="259" ht="90" customHeight="1">
      <c r="A259" s="51" t="inlineStr">
        <is>
          <t>◂ Back</t>
        </is>
      </c>
      <c r="B259" s="29" t="inlineStr">
        <is>
          <t>Mapped</t>
        </is>
      </c>
      <c r="C259" s="28" t="inlineStr">
        <is>
          <t>iFile</t>
        </is>
      </c>
      <c r="D259" s="29" t="inlineStr">
        <is>
          <t>IRISC223</t>
        </is>
      </c>
      <c r="E259" s="29" t="inlineStr">
        <is>
          <t>Pradip Dey</t>
        </is>
      </c>
      <c r="F259" s="29" t="inlineStr">
        <is>
          <t>Technology</t>
        </is>
      </c>
      <c r="G259" s="29" t="inlineStr">
        <is>
          <t>Head Delivery</t>
        </is>
      </c>
      <c r="H259" s="29" t="inlineStr">
        <is>
          <t>Head – Delivery</t>
        </is>
      </c>
      <c r="I259" s="29" t="inlineStr">
        <is>
          <t>L7 – Head / Sr Director</t>
        </is>
      </c>
      <c r="J259" s="29" t="inlineStr">
        <is>
          <t>C2</t>
        </is>
      </c>
      <c r="K259" s="29" t="inlineStr">
        <is>
          <t>• Same level</t>
        </is>
      </c>
      <c r="L259" s="29" t="inlineStr">
        <is>
          <t>Executive Leadership</t>
        </is>
      </c>
      <c r="M259" s="29" t="inlineStr">
        <is>
          <t>Business Head</t>
        </is>
      </c>
      <c r="N259" s="29" t="inlineStr">
        <is>
          <t>• Survey response or KRAs describing the work · nothing on file — Employee + manager
• Confirm hands-on delivery share · Player-Coach candidate — Manager</t>
        </is>
      </c>
      <c r="O259" s="29" t="n">
        <v>0</v>
      </c>
      <c r="P259" s="28" t="inlineStr">
        <is>
          <t>P7 / M6</t>
        </is>
      </c>
      <c r="Q259" s="29" t="inlineStr">
        <is>
          <t>— / Senior Director</t>
        </is>
      </c>
      <c r="R259" s="29" t="inlineStr">
        <is>
          <t>6 Initiate, influence</t>
        </is>
      </c>
      <c r="S259" s="29" t="inlineStr">
        <is>
          <t>12–17 yrs</t>
        </is>
      </c>
      <c r="T259" s="29" t="inlineStr">
        <is>
          <t>—</t>
        </is>
      </c>
      <c r="U259" s="29" t="inlineStr">
        <is>
          <t>Senior Head / General Manager</t>
        </is>
      </c>
      <c r="V259" s="29" t="inlineStr">
        <is>
          <t>IRIS Vs Competitor Benchmark — PMI pathway + SaaS delivery ladder: Director PMO / Delivery</t>
        </is>
      </c>
      <c r="W259" s="29" t="inlineStr">
        <is>
          <t>PMI PMBOK and Talent Triangle; CAPM · entry → PMP → PgMP; Scrum / SAFe</t>
        </is>
      </c>
      <c r="X259" s="29" t="inlineStr">
        <is>
          <t>Core 4 · Future 4 · Functional 5 · Leadership 4</t>
        </is>
      </c>
      <c r="Y259" s="52" t="n">
        <v>209</v>
      </c>
      <c r="Z259" s="53" t="inlineStr">
        <is>
          <t>IRISC223</t>
        </is>
      </c>
      <c r="AA259" s="53" t="inlineStr">
        <is>
          <t>Full Time Consultant</t>
        </is>
      </c>
      <c r="AB259" s="53" t="inlineStr">
        <is>
          <t>Active</t>
        </is>
      </c>
      <c r="AC259" s="53" t="inlineStr">
        <is>
          <t>Pradip Dey</t>
        </is>
      </c>
      <c r="AD259" s="54" t="n">
        <v>44595</v>
      </c>
      <c r="AE259" s="53" t="inlineStr">
        <is>
          <t>Head Delivery</t>
        </is>
      </c>
      <c r="AF259" s="53" t="inlineStr">
        <is>
          <t>MCA</t>
        </is>
      </c>
      <c r="AG259" s="53" t="inlineStr">
        <is>
          <t>Shailesh Gupta</t>
        </is>
      </c>
      <c r="AH259" s="53" t="inlineStr">
        <is>
          <t>N-2</t>
        </is>
      </c>
      <c r="AI259" s="53" t="inlineStr">
        <is>
          <t>Manager</t>
        </is>
      </c>
      <c r="AJ259" s="53" t="inlineStr">
        <is>
          <t>20 years, 0 months, 0 days</t>
        </is>
      </c>
      <c r="AK259" s="53" t="inlineStr">
        <is>
          <t>4 years, 6 months, 22 days</t>
        </is>
      </c>
      <c r="AL259" s="53" t="inlineStr">
        <is>
          <t>Suptech</t>
        </is>
      </c>
      <c r="AM259" s="53" t="inlineStr">
        <is>
          <t>iFile</t>
        </is>
      </c>
      <c r="AN259" s="53" t="inlineStr">
        <is>
          <t>Technology</t>
        </is>
      </c>
      <c r="AO259" s="53" t="inlineStr">
        <is>
          <t>Client Engagement</t>
        </is>
      </c>
      <c r="AP259" s="53" t="inlineStr">
        <is>
          <t>No</t>
        </is>
      </c>
      <c r="AQ259" s="53" t="inlineStr">
        <is>
          <t>Client Engagement</t>
        </is>
      </c>
      <c r="AR259" s="53" t="inlineStr">
        <is>
          <t>Project Management</t>
        </is>
      </c>
      <c r="AS259" s="53" t="inlineStr">
        <is>
          <t>Technical · BA, PM and QA</t>
        </is>
      </c>
      <c r="AT259" s="53" t="n">
        <v>0</v>
      </c>
      <c r="AU259" s="53" t="inlineStr">
        <is>
          <t>E-Top management</t>
        </is>
      </c>
      <c r="AV259" s="53" t="n"/>
      <c r="AW259" s="53" t="n"/>
      <c r="AX259" s="53" t="n"/>
      <c r="AY259" s="53" t="n"/>
      <c r="AZ259" s="53" t="n"/>
      <c r="BA259" s="53" t="n"/>
      <c r="BB259" s="53" t="n"/>
      <c r="BC259" s="53" t="n"/>
      <c r="BD259" s="53" t="n"/>
      <c r="BE259" s="53" t="n"/>
      <c r="BF259" s="53" t="n"/>
      <c r="BG259" s="53" t="n"/>
      <c r="BH259" s="53" t="n"/>
      <c r="BI259" s="53" t="n"/>
      <c r="BJ259" s="53" t="n"/>
      <c r="BK259" s="53" t="n"/>
      <c r="BL259" s="53" t="n"/>
      <c r="BM259" s="53" t="n"/>
      <c r="BN259" s="53" t="n"/>
      <c r="BO259" s="53" t="n"/>
      <c r="BP259" s="53" t="n"/>
      <c r="BQ259" s="53" t="n"/>
      <c r="BR259" s="53" t="n"/>
      <c r="BS259" s="53" t="n"/>
      <c r="BT259" s="53" t="n"/>
      <c r="BU259" s="53" t="n"/>
      <c r="BV259" s="53" t="n"/>
      <c r="BW259" s="53" t="n"/>
      <c r="BX259" s="53" t="n"/>
      <c r="BY259" s="53" t="n"/>
      <c r="BZ259" s="53" t="n"/>
      <c r="CA259" s="53" t="n"/>
      <c r="CB259" s="53" t="n"/>
      <c r="CC259" s="53" t="n"/>
      <c r="CD259" s="53" t="n"/>
      <c r="CE259" s="53" t="n"/>
      <c r="CF259" s="53" t="n"/>
      <c r="CG259" s="53" t="n"/>
      <c r="CH259" s="53" t="n"/>
      <c r="CI259" s="53" t="n"/>
      <c r="CJ259" s="53" t="n"/>
      <c r="CK259" s="53" t="n"/>
      <c r="CL259" s="53" t="n"/>
      <c r="CM259" s="53" t="n"/>
      <c r="CN259" s="53" t="n"/>
      <c r="CO259" s="53" t="n"/>
      <c r="CP259" s="53" t="n"/>
      <c r="CQ259" s="53" t="n"/>
      <c r="CR259" s="53" t="n"/>
      <c r="CS259" s="53" t="n"/>
      <c r="CT259" s="53" t="n"/>
      <c r="CU259" s="53" t="n"/>
      <c r="CV259" s="53" t="n"/>
      <c r="CW259" s="53" t="n"/>
      <c r="CX259" s="53" t="n"/>
      <c r="CY259" s="53" t="n"/>
      <c r="CZ259" s="53" t="n"/>
      <c r="DA259" s="53" t="n"/>
      <c r="DB259" s="53" t="n"/>
      <c r="DC259" s="53" t="n"/>
      <c r="DD259" s="53" t="inlineStr">
        <is>
          <t>IRISC223</t>
        </is>
      </c>
      <c r="DE259" s="53" t="inlineStr">
        <is>
          <t>Full Time Consultant</t>
        </is>
      </c>
      <c r="DF259" s="53" t="inlineStr">
        <is>
          <t>Active</t>
        </is>
      </c>
      <c r="DG259" s="53" t="inlineStr">
        <is>
          <t>Pradip Dey</t>
        </is>
      </c>
      <c r="DH259" s="54" t="n">
        <v>44595</v>
      </c>
      <c r="DI259" s="53" t="inlineStr">
        <is>
          <t>Head Delivery</t>
        </is>
      </c>
      <c r="DJ259" s="53" t="inlineStr">
        <is>
          <t>Project &amp; Program Management</t>
        </is>
      </c>
      <c r="DK259" s="53" t="inlineStr">
        <is>
          <t>Project Management</t>
        </is>
      </c>
      <c r="DL259" s="53" t="inlineStr">
        <is>
          <t>Head Delivery</t>
        </is>
      </c>
      <c r="DM259" s="53" t="inlineStr">
        <is>
          <t>L7 – Head / Sr Director</t>
        </is>
      </c>
      <c r="DN259" s="53" t="inlineStr">
        <is>
          <t>MCA</t>
        </is>
      </c>
      <c r="DO259" s="53" t="inlineStr">
        <is>
          <t>Balachandran K</t>
        </is>
      </c>
      <c r="DP259" s="53" t="inlineStr">
        <is>
          <t>N-1</t>
        </is>
      </c>
      <c r="DQ259" s="53" t="inlineStr">
        <is>
          <t>Manager</t>
        </is>
      </c>
      <c r="DR259" s="53" t="inlineStr">
        <is>
          <t>20 years, 0 months, 0 days</t>
        </is>
      </c>
      <c r="DS259" s="53" t="inlineStr">
        <is>
          <t>4 years, 6 months, 8 days</t>
        </is>
      </c>
      <c r="DT259" s="53" t="inlineStr">
        <is>
          <t>24 years, 6 months, 8 days</t>
        </is>
      </c>
      <c r="DU259" s="53" t="n"/>
      <c r="DV259" s="53" t="inlineStr">
        <is>
          <t>Suptech</t>
        </is>
      </c>
      <c r="DW259" s="53" t="inlineStr">
        <is>
          <t>iFile</t>
        </is>
      </c>
      <c r="DX259" s="53" t="inlineStr">
        <is>
          <t>Technology</t>
        </is>
      </c>
      <c r="DY259" s="53" t="inlineStr">
        <is>
          <t>Client Engagement</t>
        </is>
      </c>
      <c r="DZ259" s="53" t="inlineStr">
        <is>
          <t>No</t>
        </is>
      </c>
      <c r="EA259" s="53" t="inlineStr">
        <is>
          <t>Client Engagement</t>
        </is>
      </c>
      <c r="EB259" s="53" t="inlineStr">
        <is>
          <t>Project Management</t>
        </is>
      </c>
      <c r="EC259" s="53" t="inlineStr">
        <is>
          <t>Technical · BA, PM and QA</t>
        </is>
      </c>
      <c r="ED259" s="53" t="inlineStr">
        <is>
          <t>Work From Office - Turbhe</t>
        </is>
      </c>
      <c r="EE259" s="53" t="n"/>
      <c r="EF259" s="53" t="n"/>
      <c r="EG259" s="53" t="n"/>
      <c r="EH259" s="53" t="n"/>
      <c r="EI259" s="53" t="n"/>
      <c r="EJ259" s="53" t="n"/>
      <c r="EK259" s="53" t="n"/>
      <c r="EL259" s="53" t="n"/>
      <c r="EM259" s="53" t="n"/>
      <c r="EN259" s="53" t="n"/>
      <c r="EO259" s="53" t="n"/>
      <c r="EP259" s="53" t="n"/>
      <c r="EQ259" s="53" t="n"/>
      <c r="ER259" s="53" t="n"/>
      <c r="ES259" s="53" t="n"/>
      <c r="ET259" s="53" t="n"/>
      <c r="EU259" s="53" t="n"/>
      <c r="EV259" s="53" t="n"/>
      <c r="EW259" s="52" t="n"/>
      <c r="EX259" s="53" t="n"/>
      <c r="EY259" s="53" t="n"/>
      <c r="EZ259" s="53" t="n"/>
      <c r="FA259" s="53" t="n"/>
      <c r="FB259" s="53" t="n"/>
      <c r="FC259" s="53" t="n"/>
      <c r="FD259" s="53" t="n"/>
      <c r="FE259" s="55" t="inlineStr">
        <is>
          <t>KRAs not received · manager to supply</t>
        </is>
      </c>
      <c r="FF259" s="56" t="n"/>
      <c r="FG259" s="56" t="n"/>
      <c r="FH259" s="56" t="n"/>
      <c r="FI259" s="56" t="n"/>
      <c r="FJ259" s="32" t="inlineStr">
        <is>
          <t>KRAs not received · manager to supply</t>
        </is>
      </c>
      <c r="FK259" s="56" t="n"/>
      <c r="FL259" s="56" t="n">
        <v>0</v>
      </c>
      <c r="FM259" s="32" t="inlineStr">
        <is>
          <t>No survey response on file</t>
        </is>
      </c>
      <c r="FN259" s="56" t="inlineStr">
        <is>
          <t>—</t>
        </is>
      </c>
      <c r="FO259" s="56" t="inlineStr">
        <is>
          <t>—</t>
        </is>
      </c>
      <c r="FP259" s="56" t="inlineStr">
        <is>
          <t>—</t>
        </is>
      </c>
      <c r="FQ259" s="56" t="inlineStr">
        <is>
          <t>—</t>
        </is>
      </c>
      <c r="FR25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59" s="56" t="n"/>
      <c r="FT259" s="56" t="n"/>
      <c r="FU259" s="32" t="inlineStr">
        <is>
          <t>No survey response on file</t>
        </is>
      </c>
    </row>
    <row r="260" ht="90" customHeight="1">
      <c r="A260" s="51" t="inlineStr">
        <is>
          <t>◂ Back</t>
        </is>
      </c>
      <c r="B260" s="29" t="inlineStr">
        <is>
          <t>Mapped</t>
        </is>
      </c>
      <c r="C260" s="28" t="inlineStr">
        <is>
          <t>iFile</t>
        </is>
      </c>
      <c r="D260" s="29" t="inlineStr">
        <is>
          <t>IRIS2428</t>
        </is>
      </c>
      <c r="E260" s="29" t="inlineStr">
        <is>
          <t>Ajay Singh Chauhan</t>
        </is>
      </c>
      <c r="F260" s="29" t="inlineStr">
        <is>
          <t>Sales</t>
        </is>
      </c>
      <c r="G260" s="29" t="inlineStr">
        <is>
          <t>Vice President Sales</t>
        </is>
      </c>
      <c r="H260" s="29" t="inlineStr">
        <is>
          <t>Principal – Enterprise Sales</t>
        </is>
      </c>
      <c r="I260" s="29" t="inlineStr">
        <is>
          <t>L8 – Vice President</t>
        </is>
      </c>
      <c r="J260" s="29" t="inlineStr">
        <is>
          <t>C1</t>
        </is>
      </c>
      <c r="K260" s="29" t="inlineStr">
        <is>
          <t>▼ Down · protected</t>
        </is>
      </c>
      <c r="L260" s="29" t="inlineStr">
        <is>
          <t>Sales &amp; Business Development</t>
        </is>
      </c>
      <c r="M260" s="29" t="inlineStr">
        <is>
          <t>Sales Leadership</t>
        </is>
      </c>
      <c r="N260" s="29" t="inlineStr">
        <is>
          <t>• Confirm structure behind the senior title · org chart — Business head</t>
        </is>
      </c>
      <c r="O260" s="29" t="n">
        <v>0</v>
      </c>
      <c r="P260" s="28" t="inlineStr">
        <is>
          <t>P6 / M5</t>
        </is>
      </c>
      <c r="Q260" s="29" t="inlineStr">
        <is>
          <t>Principal / Director</t>
        </is>
      </c>
      <c r="R260" s="29" t="inlineStr">
        <is>
          <t>5–6</t>
        </is>
      </c>
      <c r="S260" s="29" t="inlineStr">
        <is>
          <t>10–14 yrs</t>
        </is>
      </c>
      <c r="T260" s="29" t="inlineStr">
        <is>
          <t>12–16 · 12–18</t>
        </is>
      </c>
      <c r="U260" s="29" t="inlineStr">
        <is>
          <t>—</t>
        </is>
      </c>
      <c r="V260" s="29" t="inlineStr">
        <is>
          <t>IRIS Vs Competitor Benchmark — SaaS sales ladder — IC: Strategic / Principal AE · IRIS Vs Competitor Benchmark — SaaS sales ladder — management: Regional Sales Head</t>
        </is>
      </c>
      <c r="W260" s="29" t="inlineStr">
        <is>
          <t>SaaS sales ladder · SDR → AE → Enterprise AE → VP / CRO; MEDDICC-style qualification</t>
        </is>
      </c>
      <c r="X260" s="29" t="inlineStr">
        <is>
          <t>Core 4 · Future 4 · Functional 4 · Leadership 4</t>
        </is>
      </c>
      <c r="Y260" s="52" t="n">
        <v>397</v>
      </c>
      <c r="Z260" s="53" t="inlineStr">
        <is>
          <t>IRIS2428</t>
        </is>
      </c>
      <c r="AA260" s="53" t="inlineStr">
        <is>
          <t>Employee</t>
        </is>
      </c>
      <c r="AB260" s="53" t="inlineStr">
        <is>
          <t>Active</t>
        </is>
      </c>
      <c r="AC260" s="53" t="inlineStr">
        <is>
          <t>Ajay Singh Chauhan</t>
        </is>
      </c>
      <c r="AD260" s="54" t="n">
        <v>45901</v>
      </c>
      <c r="AE260" s="53" t="inlineStr">
        <is>
          <t>Vice President Sales</t>
        </is>
      </c>
      <c r="AF260" s="53" t="inlineStr">
        <is>
          <t>PGDBA</t>
        </is>
      </c>
      <c r="AG260" s="53" t="inlineStr">
        <is>
          <t>Pradip Dey</t>
        </is>
      </c>
      <c r="AH260" s="53" t="inlineStr">
        <is>
          <t>N-3</t>
        </is>
      </c>
      <c r="AI260" s="53" t="inlineStr">
        <is>
          <t>Individual Contributor</t>
        </is>
      </c>
      <c r="AJ260" s="53" t="inlineStr">
        <is>
          <t>15 years, 0 months, 0 days</t>
        </is>
      </c>
      <c r="AK260" s="53" t="inlineStr">
        <is>
          <t>0 years, 11 months, 24 days</t>
        </is>
      </c>
      <c r="AL260" s="53" t="inlineStr">
        <is>
          <t>Suptech</t>
        </is>
      </c>
      <c r="AM260" s="53" t="inlineStr">
        <is>
          <t>iFile</t>
        </is>
      </c>
      <c r="AN260" s="53" t="inlineStr">
        <is>
          <t>Sales</t>
        </is>
      </c>
      <c r="AO260" s="53" t="inlineStr">
        <is>
          <t>Sales</t>
        </is>
      </c>
      <c r="AP260" s="53" t="inlineStr">
        <is>
          <t>No</t>
        </is>
      </c>
      <c r="AQ260" s="53" t="inlineStr">
        <is>
          <t>Sales, Marketing &amp; Support</t>
        </is>
      </c>
      <c r="AR260" s="53" t="inlineStr">
        <is>
          <t>Sales</t>
        </is>
      </c>
      <c r="AS260" s="53" t="inlineStr">
        <is>
          <t>Non-technical</t>
        </is>
      </c>
      <c r="AT260" s="53" t="n">
        <v>0</v>
      </c>
      <c r="AU260" s="53" t="inlineStr">
        <is>
          <t>E-Top management</t>
        </is>
      </c>
      <c r="AV260" s="53" t="n"/>
      <c r="AW260" s="53" t="n"/>
      <c r="AX260" s="53" t="n"/>
      <c r="AY260" s="53" t="n"/>
      <c r="AZ260" s="53" t="n"/>
      <c r="BA260" s="53" t="n"/>
      <c r="BB260" s="53" t="n"/>
      <c r="BC260" s="53" t="n"/>
      <c r="BD260" s="53" t="n"/>
      <c r="BE260" s="53" t="n"/>
      <c r="BF260" s="53" t="n"/>
      <c r="BG260" s="53" t="n"/>
      <c r="BH260" s="53" t="n"/>
      <c r="BI260" s="53" t="n"/>
      <c r="BJ260" s="53" t="n"/>
      <c r="BK260" s="53" t="n"/>
      <c r="BL260" s="53" t="n"/>
      <c r="BM260" s="53" t="n"/>
      <c r="BN260" s="53" t="n"/>
      <c r="BO260" s="53" t="n"/>
      <c r="BP260" s="53" t="n"/>
      <c r="BQ260" s="53" t="n"/>
      <c r="BR260" s="53" t="n"/>
      <c r="BS260" s="53" t="n"/>
      <c r="BT260" s="53" t="n"/>
      <c r="BU260" s="53" t="n"/>
      <c r="BV260" s="53" t="n"/>
      <c r="BW260" s="53" t="n"/>
      <c r="BX260" s="53" t="n"/>
      <c r="BY260" s="53" t="n"/>
      <c r="BZ260" s="53" t="n"/>
      <c r="CA260" s="53" t="n"/>
      <c r="CB260" s="53" t="n"/>
      <c r="CC260" s="53" t="n"/>
      <c r="CD260" s="53" t="n"/>
      <c r="CE260" s="53" t="n"/>
      <c r="CF260" s="53" t="n"/>
      <c r="CG260" s="53" t="n"/>
      <c r="CH260" s="53" t="n"/>
      <c r="CI260" s="53" t="n"/>
      <c r="CJ260" s="53" t="n"/>
      <c r="CK260" s="53" t="n"/>
      <c r="CL260" s="53" t="n"/>
      <c r="CM260" s="53" t="n"/>
      <c r="CN260" s="53" t="n"/>
      <c r="CO260" s="53" t="n"/>
      <c r="CP260" s="53" t="n"/>
      <c r="CQ260" s="53" t="n"/>
      <c r="CR260" s="53" t="n"/>
      <c r="CS260" s="53" t="n"/>
      <c r="CT260" s="53" t="n"/>
      <c r="CU260" s="53" t="n"/>
      <c r="CV260" s="53" t="n"/>
      <c r="CW260" s="53" t="n"/>
      <c r="CX260" s="53" t="n"/>
      <c r="CY260" s="53" t="n"/>
      <c r="CZ260" s="53" t="n"/>
      <c r="DA260" s="53" t="n"/>
      <c r="DB260" s="53" t="n"/>
      <c r="DC260" s="53" t="n"/>
      <c r="DD260" s="53" t="inlineStr">
        <is>
          <t>IRIS2428</t>
        </is>
      </c>
      <c r="DE260" s="53" t="inlineStr">
        <is>
          <t>Employee</t>
        </is>
      </c>
      <c r="DF260" s="53" t="inlineStr">
        <is>
          <t>Active</t>
        </is>
      </c>
      <c r="DG260" s="53" t="inlineStr">
        <is>
          <t>Ajay Singh Chauhan</t>
        </is>
      </c>
      <c r="DH260" s="54" t="n">
        <v>45901</v>
      </c>
      <c r="DI260" s="53" t="inlineStr">
        <is>
          <t>Vice President Sales</t>
        </is>
      </c>
      <c r="DJ260" s="53" t="inlineStr">
        <is>
          <t>Executive Leadership</t>
        </is>
      </c>
      <c r="DK260" s="53" t="inlineStr">
        <is>
          <t>Business / Functional Leadership</t>
        </is>
      </c>
      <c r="DL260" s="53" t="inlineStr">
        <is>
          <t>Vice President Sales</t>
        </is>
      </c>
      <c r="DM260" s="53" t="inlineStr">
        <is>
          <t>L8 – Vice President</t>
        </is>
      </c>
      <c r="DN260" s="53" t="inlineStr">
        <is>
          <t>PGDBA</t>
        </is>
      </c>
      <c r="DO260" s="53" t="inlineStr">
        <is>
          <t>Pradip Dey</t>
        </is>
      </c>
      <c r="DP260" s="53" t="inlineStr">
        <is>
          <t>N-2</t>
        </is>
      </c>
      <c r="DQ260" s="53" t="inlineStr">
        <is>
          <t>Individual Contributor</t>
        </is>
      </c>
      <c r="DR260" s="53" t="inlineStr">
        <is>
          <t>15 years, 0 months, 0 days</t>
        </is>
      </c>
      <c r="DS260" s="53" t="inlineStr">
        <is>
          <t>0 years, 9 months, 19 days</t>
        </is>
      </c>
      <c r="DT260" s="53" t="inlineStr">
        <is>
          <t>15 years, 9 months, 19 days</t>
        </is>
      </c>
      <c r="DU260" s="53" t="n"/>
      <c r="DV260" s="53" t="inlineStr">
        <is>
          <t>Suptech</t>
        </is>
      </c>
      <c r="DW260" s="53" t="inlineStr">
        <is>
          <t>iFile</t>
        </is>
      </c>
      <c r="DX260" s="53" t="inlineStr">
        <is>
          <t>Sales</t>
        </is>
      </c>
      <c r="DY260" s="53" t="inlineStr">
        <is>
          <t>Sales</t>
        </is>
      </c>
      <c r="DZ260" s="53" t="inlineStr">
        <is>
          <t>No</t>
        </is>
      </c>
      <c r="EA260" s="53" t="inlineStr">
        <is>
          <t>Sales, Marketing &amp; Support</t>
        </is>
      </c>
      <c r="EB260" s="53" t="inlineStr">
        <is>
          <t>Sales</t>
        </is>
      </c>
      <c r="EC260" s="53" t="inlineStr">
        <is>
          <t>Non-technical</t>
        </is>
      </c>
      <c r="ED260" s="53" t="inlineStr">
        <is>
          <t>Remote- Outside Mumbai</t>
        </is>
      </c>
      <c r="EE260" s="53" t="n"/>
      <c r="EF260" s="53"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EG260" s="53" t="inlineStr">
        <is>
          <t>Attend 1-2 suptech/fintech events
3-4 new partnership agreements
Submission of 2-3 RFPs</t>
        </is>
      </c>
      <c r="EH260" s="53" t="inlineStr">
        <is>
          <t>Exceed Expectations</t>
        </is>
      </c>
      <c r="EI260" s="53" t="n"/>
      <c r="EJ260" s="53" t="inlineStr">
        <is>
          <t>Vice President Sales</t>
        </is>
      </c>
      <c r="EK260" s="53" t="n"/>
      <c r="EL260" s="53" t="n">
        <v>4</v>
      </c>
      <c r="EM260" s="53" t="inlineStr">
        <is>
          <t>High</t>
        </is>
      </c>
      <c r="EN260" s="53" t="inlineStr">
        <is>
          <t>Trusted Professional</t>
        </is>
      </c>
      <c r="EO260" s="53" t="n"/>
      <c r="EP260" s="53" t="inlineStr">
        <is>
          <t>Yes</t>
        </is>
      </c>
      <c r="EQ260" s="53" t="inlineStr">
        <is>
          <t>Yes</t>
        </is>
      </c>
      <c r="ER260" s="53" t="n"/>
      <c r="ES260" s="53" t="inlineStr">
        <is>
          <t>SupTech Domain</t>
        </is>
      </c>
      <c r="ET260" s="53" t="n"/>
      <c r="EU260" s="53" t="inlineStr">
        <is>
          <t>IRIS Instant - MBRS</t>
        </is>
      </c>
      <c r="EV260" s="53" t="n"/>
      <c r="EW260" s="52" t="n"/>
      <c r="EX260" s="53" t="n"/>
      <c r="EY260" s="53" t="n"/>
      <c r="EZ260" s="53" t="n"/>
      <c r="FA260" s="53" t="n"/>
      <c r="FB260" s="53" t="n"/>
      <c r="FC260" s="53" t="n"/>
      <c r="FD260" s="53" t="n"/>
      <c r="FE260" s="57"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FF260" s="56" t="inlineStr">
        <is>
          <t>Attend 1-2 suptech/fintech events
3-4 new partnership agreements
Submission of 2-3 RFPs</t>
        </is>
      </c>
      <c r="FG260" s="56" t="n"/>
      <c r="FH260" s="56" t="inlineStr">
        <is>
          <t>Exceed Expectations</t>
        </is>
      </c>
      <c r="FI260" s="56" t="n"/>
      <c r="FJ260" s="56" t="inlineStr">
        <is>
          <t>Received · manager annual, quarterly</t>
        </is>
      </c>
      <c r="FK260" s="56" t="inlineStr">
        <is>
          <t>Talent Mapping · iFile collated</t>
        </is>
      </c>
      <c r="FL260" s="56" t="n">
        <v>0</v>
      </c>
      <c r="FM260" s="32" t="inlineStr">
        <is>
          <t>No survey response on file</t>
        </is>
      </c>
      <c r="FN260" s="56" t="inlineStr">
        <is>
          <t>—</t>
        </is>
      </c>
      <c r="FO260" s="56" t="inlineStr">
        <is>
          <t>—</t>
        </is>
      </c>
      <c r="FP260" s="56" t="inlineStr">
        <is>
          <t>—</t>
        </is>
      </c>
      <c r="FQ260" s="56" t="inlineStr">
        <is>
          <t>—</t>
        </is>
      </c>
      <c r="FR260" s="56"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Dec 2026, 8-12 partnership agreements a year → moved down 0.5
Leadership: Evidence reads like A1: No survey; KRA mentions no team or people leadership; zero reports → moved down 0.5
Business Impact: Moved +0.5: the survey / manager mapping marks it business-critical.</t>
        </is>
      </c>
      <c r="FS260"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260" s="56" t="n"/>
      <c r="FU260" s="32" t="inlineStr">
        <is>
          <t>No survey response on file</t>
        </is>
      </c>
    </row>
    <row r="261" ht="90" customHeight="1">
      <c r="A261" s="51" t="inlineStr">
        <is>
          <t>◂ Back</t>
        </is>
      </c>
      <c r="B261" s="29" t="inlineStr">
        <is>
          <t>Mapped</t>
        </is>
      </c>
      <c r="C261" s="28" t="inlineStr">
        <is>
          <t>iFile</t>
        </is>
      </c>
      <c r="D261" s="29" t="inlineStr">
        <is>
          <t>IRIS1690</t>
        </is>
      </c>
      <c r="E261" s="29" t="inlineStr">
        <is>
          <t>Sharanagouda Patil</t>
        </is>
      </c>
      <c r="F261" s="29" t="inlineStr">
        <is>
          <t>Technology</t>
        </is>
      </c>
      <c r="G261" s="29" t="inlineStr">
        <is>
          <t>Technical Architect</t>
        </is>
      </c>
      <c r="H261" s="29" t="inlineStr">
        <is>
          <t>Technical Architect</t>
        </is>
      </c>
      <c r="I261" s="29" t="inlineStr">
        <is>
          <t>L3 – Professional / Associate</t>
        </is>
      </c>
      <c r="J261" s="29" t="inlineStr">
        <is>
          <t>C1</t>
        </is>
      </c>
      <c r="K261" s="29" t="inlineStr">
        <is>
          <t>▲ Up</t>
        </is>
      </c>
      <c r="L261" s="29" t="inlineStr">
        <is>
          <t>Engineering &amp; Architecture</t>
        </is>
      </c>
      <c r="M261" s="29" t="inlineStr">
        <is>
          <t>Solution &amp; Technical Architecture</t>
        </is>
      </c>
      <c r="N261" s="29" t="n"/>
      <c r="O261" s="29" t="n">
        <v>20</v>
      </c>
      <c r="P261" s="28" t="inlineStr">
        <is>
          <t>P6 / M5</t>
        </is>
      </c>
      <c r="Q261" s="29" t="inlineStr">
        <is>
          <t>Principal / Director</t>
        </is>
      </c>
      <c r="R261" s="29" t="inlineStr">
        <is>
          <t>5–6</t>
        </is>
      </c>
      <c r="S261" s="29" t="inlineStr">
        <is>
          <t>10–14 yrs</t>
        </is>
      </c>
      <c r="T261" s="29" t="inlineStr">
        <is>
          <t>12–16 · 12–18</t>
        </is>
      </c>
      <c r="U261" s="29" t="inlineStr">
        <is>
          <t>Chief / Enterprise Architect</t>
        </is>
      </c>
      <c r="V261" s="29" t="inlineStr">
        <is>
          <t>Nasdaq / AxiomSL: Principal SE · Salesforce: PMTS · Atlassian: P60 Principal · 10+ yrs · Freshworks: Senior Staff SE · IRIS Vs Competitor Benchmark — engineering managers: Senior EM / Director</t>
        </is>
      </c>
      <c r="W261" s="29" t="inlineStr">
        <is>
          <t>SFIA 9 · solution architecture; TOGAF; AWS / Azure architect certifications</t>
        </is>
      </c>
      <c r="X261" s="29" t="inlineStr">
        <is>
          <t>Core 4 · Future 4 · Functional 4 · Leadership 4</t>
        </is>
      </c>
      <c r="Y261" s="52" t="n">
        <v>142</v>
      </c>
      <c r="Z261" s="53" t="inlineStr">
        <is>
          <t>IRIS1690</t>
        </is>
      </c>
      <c r="AA261" s="53" t="inlineStr">
        <is>
          <t>Employee</t>
        </is>
      </c>
      <c r="AB261" s="53" t="inlineStr">
        <is>
          <t>Active</t>
        </is>
      </c>
      <c r="AC261" s="53" t="inlineStr">
        <is>
          <t>Sharanagouda Patil</t>
        </is>
      </c>
      <c r="AD261" s="54" t="n">
        <v>43073</v>
      </c>
      <c r="AE261" s="53" t="inlineStr">
        <is>
          <t>Technical Architect</t>
        </is>
      </c>
      <c r="AF261" s="53" t="inlineStr">
        <is>
          <t>MCA</t>
        </is>
      </c>
      <c r="AG261" s="53" t="inlineStr">
        <is>
          <t>Pradip Dey</t>
        </is>
      </c>
      <c r="AH261" s="53" t="inlineStr">
        <is>
          <t>N-3</t>
        </is>
      </c>
      <c r="AI261" s="53" t="inlineStr">
        <is>
          <t>Manager</t>
        </is>
      </c>
      <c r="AJ261" s="53" t="inlineStr">
        <is>
          <t>10 years, 3 months, 0 days</t>
        </is>
      </c>
      <c r="AK261" s="53" t="inlineStr">
        <is>
          <t>8 years, 8 months, 21 days</t>
        </is>
      </c>
      <c r="AL261" s="53" t="inlineStr">
        <is>
          <t>Suptech</t>
        </is>
      </c>
      <c r="AM261" s="53" t="inlineStr">
        <is>
          <t>iFile</t>
        </is>
      </c>
      <c r="AN261" s="53" t="inlineStr">
        <is>
          <t>Technology</t>
        </is>
      </c>
      <c r="AO261" s="53" t="inlineStr">
        <is>
          <t>Development</t>
        </is>
      </c>
      <c r="AP261" s="53" t="inlineStr">
        <is>
          <t>Yes</t>
        </is>
      </c>
      <c r="AQ261" s="53" t="inlineStr">
        <is>
          <t>Product/Project</t>
        </is>
      </c>
      <c r="AR261" s="53" t="inlineStr">
        <is>
          <t>.NET MVC</t>
        </is>
      </c>
      <c r="AS261" s="53" t="inlineStr">
        <is>
          <t>Technical - Developer</t>
        </is>
      </c>
      <c r="AT261" s="53" t="n">
        <v>20</v>
      </c>
      <c r="AU261" s="53" t="inlineStr">
        <is>
          <t>Covered</t>
        </is>
      </c>
      <c r="AV261" s="53" t="n"/>
      <c r="AW261" s="53" t="n"/>
      <c r="AX261" s="53" t="n"/>
      <c r="AY261" s="53" t="n"/>
      <c r="AZ261" s="53" t="n"/>
      <c r="BA261" s="53" t="n"/>
      <c r="BB261" s="53" t="n"/>
      <c r="BC261" s="53" t="n"/>
      <c r="BD261" s="53" t="n"/>
      <c r="BE261" s="53" t="n"/>
      <c r="BF261" s="53" t="n"/>
      <c r="BG261" s="53" t="n"/>
      <c r="BH261" s="53" t="n"/>
      <c r="BI261" s="53" t="n"/>
      <c r="BJ261" s="53" t="n"/>
      <c r="BK261" s="53" t="n"/>
      <c r="BL261" s="53" t="n"/>
      <c r="BM261" s="53" t="n"/>
      <c r="BN261" s="53" t="n"/>
      <c r="BO261" s="53" t="n"/>
      <c r="BP261" s="53" t="n"/>
      <c r="BQ261" s="53" t="n"/>
      <c r="BR261" s="53" t="n"/>
      <c r="BS261" s="53" t="n"/>
      <c r="BT261" s="53" t="n"/>
      <c r="BU261" s="53" t="n"/>
      <c r="BV261" s="53" t="n"/>
      <c r="BW261" s="53" t="n"/>
      <c r="BX261" s="53" t="n"/>
      <c r="BY261" s="53" t="n"/>
      <c r="BZ261" s="53" t="n"/>
      <c r="CA261" s="53" t="n"/>
      <c r="CB261" s="53" t="n"/>
      <c r="CC261" s="53" t="n"/>
      <c r="CD261" s="53" t="n"/>
      <c r="CE261" s="53" t="n"/>
      <c r="CF261" s="53" t="n"/>
      <c r="CG261" s="53" t="n"/>
      <c r="CH261" s="53" t="n"/>
      <c r="CI261" s="53" t="n"/>
      <c r="CJ261" s="53" t="n"/>
      <c r="CK261" s="53" t="n"/>
      <c r="CL261" s="53" t="n"/>
      <c r="CM261" s="53" t="n"/>
      <c r="CN261" s="53" t="n"/>
      <c r="CO261" s="53" t="n"/>
      <c r="CP261" s="53" t="n"/>
      <c r="CQ261" s="53" t="n"/>
      <c r="CR261" s="53" t="n"/>
      <c r="CS261" s="53" t="n"/>
      <c r="CT261" s="53" t="n"/>
      <c r="CU261" s="53" t="n"/>
      <c r="CV261" s="53" t="n"/>
      <c r="CW261" s="53" t="n"/>
      <c r="CX261" s="53" t="n"/>
      <c r="CY261" s="53" t="n"/>
      <c r="CZ261" s="53" t="n"/>
      <c r="DA261" s="53" t="n"/>
      <c r="DB261" s="53" t="n"/>
      <c r="DC261" s="53" t="n"/>
      <c r="DD261" s="53" t="inlineStr">
        <is>
          <t>IRIS1690</t>
        </is>
      </c>
      <c r="DE261" s="53" t="inlineStr">
        <is>
          <t>Employee</t>
        </is>
      </c>
      <c r="DF261" s="53" t="inlineStr">
        <is>
          <t>Active</t>
        </is>
      </c>
      <c r="DG261" s="53" t="inlineStr">
        <is>
          <t>Sharanagouda Patil</t>
        </is>
      </c>
      <c r="DH261" s="54" t="n">
        <v>43073</v>
      </c>
      <c r="DI261" s="53" t="inlineStr">
        <is>
          <t>Technical Architect</t>
        </is>
      </c>
      <c r="DJ261" s="53" t="inlineStr">
        <is>
          <t>Engineering &amp; Architecture</t>
        </is>
      </c>
      <c r="DK261" s="53" t="inlineStr">
        <is>
          <t>Solution / Software Architecture</t>
        </is>
      </c>
      <c r="DL261" s="53" t="inlineStr">
        <is>
          <t>Technical Architect</t>
        </is>
      </c>
      <c r="DM261" s="53" t="inlineStr">
        <is>
          <t>L3 – Professional / Associate</t>
        </is>
      </c>
      <c r="DN261" s="53" t="inlineStr">
        <is>
          <t>MCA</t>
        </is>
      </c>
      <c r="DO261" s="53" t="inlineStr">
        <is>
          <t>Pradip Dey</t>
        </is>
      </c>
      <c r="DP261" s="53" t="inlineStr">
        <is>
          <t>N-2</t>
        </is>
      </c>
      <c r="DQ261" s="53" t="inlineStr">
        <is>
          <t>Manager</t>
        </is>
      </c>
      <c r="DR261" s="53" t="inlineStr">
        <is>
          <t>10 years, 3 months, 0 days</t>
        </is>
      </c>
      <c r="DS261" s="53" t="inlineStr">
        <is>
          <t>8 years, 6 months, 16 days</t>
        </is>
      </c>
      <c r="DT261" s="53" t="inlineStr">
        <is>
          <t>18 years, 9 months, 16 days</t>
        </is>
      </c>
      <c r="DU261" s="53" t="n">
        <v>8.54383561643836</v>
      </c>
      <c r="DV261" s="53" t="inlineStr">
        <is>
          <t>Suptech</t>
        </is>
      </c>
      <c r="DW261" s="53" t="inlineStr">
        <is>
          <t>iFile</t>
        </is>
      </c>
      <c r="DX261" s="53" t="inlineStr">
        <is>
          <t>Technology</t>
        </is>
      </c>
      <c r="DY261" s="53" t="inlineStr">
        <is>
          <t>Development</t>
        </is>
      </c>
      <c r="DZ261" s="53" t="inlineStr">
        <is>
          <t>Yes</t>
        </is>
      </c>
      <c r="EA261" s="53" t="inlineStr">
        <is>
          <t>Product/Project</t>
        </is>
      </c>
      <c r="EB261" s="53" t="inlineStr">
        <is>
          <t>.NET MVC</t>
        </is>
      </c>
      <c r="EC261" s="53" t="inlineStr">
        <is>
          <t>Technical - Developer</t>
        </is>
      </c>
      <c r="ED261" s="53" t="inlineStr">
        <is>
          <t>Remote- Outside Mumbai</t>
        </is>
      </c>
      <c r="EE261" s="53" t="n"/>
      <c r="EF261" s="53"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EG261" s="53"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EH261" s="53" t="inlineStr">
        <is>
          <t>Exceeds Expectations</t>
        </is>
      </c>
      <c r="EI261" s="54" t="n">
        <v>45931</v>
      </c>
      <c r="EJ261" s="53" t="inlineStr">
        <is>
          <t>Technical Architect</t>
        </is>
      </c>
      <c r="EK261" s="53" t="n"/>
      <c r="EL261" s="53" t="n">
        <v>4</v>
      </c>
      <c r="EM261" s="53" t="inlineStr">
        <is>
          <t>High</t>
        </is>
      </c>
      <c r="EN261" s="53" t="inlineStr">
        <is>
          <t>High Impact / Growth Talent</t>
        </is>
      </c>
      <c r="EO261" s="53" t="n"/>
      <c r="EP261" s="53" t="inlineStr">
        <is>
          <t>Y</t>
        </is>
      </c>
      <c r="EQ261" s="53" t="inlineStr">
        <is>
          <t>Y</t>
        </is>
      </c>
      <c r="ER261" s="53" t="n"/>
      <c r="ES261" s="53" t="inlineStr">
        <is>
          <t>AI and data science related training may help at this juncture for Sharan to build products to enable SupTech stakeholders</t>
        </is>
      </c>
      <c r="ET261" s="53" t="n"/>
      <c r="EU261" s="53" t="inlineStr">
        <is>
          <t>GRI,QCB</t>
        </is>
      </c>
      <c r="EV261" s="53" t="n"/>
      <c r="EW261" s="52" t="n"/>
      <c r="EX261" s="53" t="n"/>
      <c r="EY261" s="53" t="n"/>
      <c r="EZ261" s="53" t="n"/>
      <c r="FA261" s="53" t="n"/>
      <c r="FB261" s="53" t="n"/>
      <c r="FC261" s="53" t="n"/>
      <c r="FD261" s="53" t="n"/>
      <c r="FE261" s="57"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FF261" s="56"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FG261" s="56" t="n"/>
      <c r="FH261" s="56" t="inlineStr">
        <is>
          <t>Exceeds Expectations</t>
        </is>
      </c>
      <c r="FI261" s="56" t="n"/>
      <c r="FJ261" s="56" t="inlineStr">
        <is>
          <t>Received · manager annual, quarterly</t>
        </is>
      </c>
      <c r="FK261" s="56" t="inlineStr">
        <is>
          <t>Talent Mapping · iFile collated</t>
        </is>
      </c>
      <c r="FL261" s="56" t="n">
        <v>20</v>
      </c>
      <c r="FM261" s="32" t="inlineStr">
        <is>
          <t>Full survey answers not in the files received · How We Grow export needed · HR</t>
        </is>
      </c>
      <c r="FN261" s="56" t="inlineStr">
        <is>
          <t>—</t>
        </is>
      </c>
      <c r="FO261" s="56" t="inlineStr">
        <is>
          <t>—</t>
        </is>
      </c>
      <c r="FP261" s="56" t="inlineStr">
        <is>
          <t>—</t>
        </is>
      </c>
      <c r="FQ261" s="56" t="inlineStr">
        <is>
          <t>—</t>
        </is>
      </c>
      <c r="FR261" s="56"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Accountable for technical quality, timelines and compatibility of work owned; manages a team → moved down 0.5
Leadership: Evidence reads like B2: States 'managing team'; HR shows 9 direct reports; no detail on how → moved down 0.5
Business Impact: Moved +0.5: the survey / manager mapping marks it business-critical.</t>
        </is>
      </c>
      <c r="FS261" s="56"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FT261" s="56" t="inlineStr">
        <is>
          <t>Self-identified: Leadership &amp; people management · Technical depth &amp; architecture · Strategy &amp; business acumen
For the next role: Leadership &amp; people management · Technical depth &amp; architecture · Strategy &amp; business acumen</t>
        </is>
      </c>
      <c r="FU261" s="32" t="inlineStr">
        <is>
          <t>Full survey answers not in the files received · How We Grow export needed · HR</t>
        </is>
      </c>
    </row>
    <row r="262" ht="90" customHeight="1">
      <c r="A262" s="51" t="inlineStr">
        <is>
          <t>◂ Back</t>
        </is>
      </c>
      <c r="B262" s="29" t="inlineStr">
        <is>
          <t>Mapped</t>
        </is>
      </c>
      <c r="C262" s="28" t="inlineStr">
        <is>
          <t>iFile</t>
        </is>
      </c>
      <c r="D262" s="29" t="inlineStr">
        <is>
          <t>IRIS0103</t>
        </is>
      </c>
      <c r="E262" s="29" t="inlineStr">
        <is>
          <t>Alwina Shaikh</t>
        </is>
      </c>
      <c r="F262" s="29" t="inlineStr">
        <is>
          <t>Technology</t>
        </is>
      </c>
      <c r="G262" s="29" t="inlineStr">
        <is>
          <t>Lead Software Engineer</t>
        </is>
      </c>
      <c r="H262" s="29" t="inlineStr">
        <is>
          <t>Lead Software Engineer – POD Lead</t>
        </is>
      </c>
      <c r="I262" s="29" t="inlineStr">
        <is>
          <t>L5 – Lead · IC</t>
        </is>
      </c>
      <c r="J262" s="29" t="inlineStr">
        <is>
          <t>B3</t>
        </is>
      </c>
      <c r="K262" s="29" t="inlineStr">
        <is>
          <t>• Same level</t>
        </is>
      </c>
      <c r="L262" s="29" t="inlineStr">
        <is>
          <t>Engineering &amp; Development</t>
        </is>
      </c>
      <c r="M262" s="29" t="inlineStr">
        <is>
          <t>Full-Stack Development</t>
        </is>
      </c>
      <c r="N262" s="29" t="n"/>
      <c r="O262" s="29" t="n">
        <v>20</v>
      </c>
      <c r="P262" s="28" t="inlineStr">
        <is>
          <t>P5 / M4</t>
        </is>
      </c>
      <c r="Q262" s="29" t="inlineStr">
        <is>
          <t>Expert / Senior Manager</t>
        </is>
      </c>
      <c r="R262" s="29" t="inlineStr">
        <is>
          <t>5 Ensure, advise</t>
        </is>
      </c>
      <c r="S262" s="29" t="inlineStr">
        <is>
          <t>8–12 yrs</t>
        </is>
      </c>
      <c r="T262" s="29" t="inlineStr">
        <is>
          <t>9–13 · 9–14</t>
        </is>
      </c>
      <c r="U262" s="29" t="inlineStr">
        <is>
          <t>Principal Engineer</t>
        </is>
      </c>
      <c r="V262" s="29" t="inlineStr">
        <is>
          <t>Workiva: Staff SE · Broadridge India: Senior Lead SE · Nasdaq / AxiomSL: Lead SE · Salesforce: LMTS · Atlassian: P50 Senior · Freshworks: Staff SE</t>
        </is>
      </c>
      <c r="W262" s="29" t="inlineStr">
        <is>
          <t>SFIA 9 · software development, programming; OWASP secure coding; cloud vendor certifications</t>
        </is>
      </c>
      <c r="X262" s="29" t="inlineStr">
        <is>
          <t>Core 4 · Future 3 · Functional 4 · Leadership 4</t>
        </is>
      </c>
      <c r="Y262" s="52" t="n">
        <v>23</v>
      </c>
      <c r="Z262" s="53" t="inlineStr">
        <is>
          <t>IRIS0103</t>
        </is>
      </c>
      <c r="AA262" s="53" t="inlineStr">
        <is>
          <t>Employee</t>
        </is>
      </c>
      <c r="AB262" s="53" t="inlineStr">
        <is>
          <t>Active</t>
        </is>
      </c>
      <c r="AC262" s="53" t="inlineStr">
        <is>
          <t>Alwina Shaikh</t>
        </is>
      </c>
      <c r="AD262" s="54" t="n">
        <v>39279</v>
      </c>
      <c r="AE262" s="53" t="inlineStr">
        <is>
          <t>Lead Software Engineer</t>
        </is>
      </c>
      <c r="AF262" s="53" t="inlineStr">
        <is>
          <t>PGDM</t>
        </is>
      </c>
      <c r="AG262" s="53" t="inlineStr">
        <is>
          <t>Sharanagouda Patil</t>
        </is>
      </c>
      <c r="AH262" s="53" t="inlineStr">
        <is>
          <t>N-4</t>
        </is>
      </c>
      <c r="AI262" s="53" t="inlineStr">
        <is>
          <t>Manager</t>
        </is>
      </c>
      <c r="AJ262" s="53" t="inlineStr">
        <is>
          <t>0 years, 0 months, 0 days</t>
        </is>
      </c>
      <c r="AK262" s="53" t="inlineStr">
        <is>
          <t>19 years, 1 months, 9 days</t>
        </is>
      </c>
      <c r="AL262" s="53" t="inlineStr">
        <is>
          <t>Suptech</t>
        </is>
      </c>
      <c r="AM262" s="53" t="inlineStr">
        <is>
          <t>iFile</t>
        </is>
      </c>
      <c r="AN262" s="53" t="inlineStr">
        <is>
          <t>Technology</t>
        </is>
      </c>
      <c r="AO262" s="53" t="inlineStr">
        <is>
          <t>Development</t>
        </is>
      </c>
      <c r="AP262" s="53" t="inlineStr">
        <is>
          <t>Yes</t>
        </is>
      </c>
      <c r="AQ262" s="53" t="inlineStr">
        <is>
          <t>Product/Project</t>
        </is>
      </c>
      <c r="AR262" s="53" t="inlineStr">
        <is>
          <t>.NET MVC</t>
        </is>
      </c>
      <c r="AS262" s="53" t="inlineStr">
        <is>
          <t>Technical - Developer</t>
        </is>
      </c>
      <c r="AT262" s="53" t="n">
        <v>20</v>
      </c>
      <c r="AU262" s="53" t="inlineStr">
        <is>
          <t>Covered</t>
        </is>
      </c>
      <c r="AV262" s="53" t="n"/>
      <c r="AW262" s="53" t="n"/>
      <c r="AX262" s="53" t="n"/>
      <c r="AY262" s="53" t="n"/>
      <c r="AZ262" s="53" t="n"/>
      <c r="BA262" s="53" t="n"/>
      <c r="BB262" s="53" t="n"/>
      <c r="BC262" s="53" t="n"/>
      <c r="BD262" s="53" t="n"/>
      <c r="BE262" s="53" t="n"/>
      <c r="BF262" s="53" t="n"/>
      <c r="BG262" s="53" t="n"/>
      <c r="BH262" s="53" t="n"/>
      <c r="BI262" s="53" t="n"/>
      <c r="BJ262" s="53" t="n"/>
      <c r="BK262" s="53" t="n"/>
      <c r="BL262" s="53" t="n"/>
      <c r="BM262" s="53" t="n"/>
      <c r="BN262" s="53" t="n"/>
      <c r="BO262" s="53" t="n"/>
      <c r="BP262" s="53" t="n"/>
      <c r="BQ262" s="53" t="n"/>
      <c r="BR262" s="53" t="n"/>
      <c r="BS262" s="53" t="n"/>
      <c r="BT262" s="53" t="n"/>
      <c r="BU262" s="53" t="n"/>
      <c r="BV262" s="53" t="n"/>
      <c r="BW262" s="53" t="n"/>
      <c r="BX262" s="53" t="n"/>
      <c r="BY262" s="53" t="n"/>
      <c r="BZ262" s="53" t="n"/>
      <c r="CA262" s="53" t="n"/>
      <c r="CB262" s="53" t="n"/>
      <c r="CC262" s="53" t="n"/>
      <c r="CD262" s="53" t="n"/>
      <c r="CE262" s="53" t="n"/>
      <c r="CF262" s="53" t="n"/>
      <c r="CG262" s="53" t="n"/>
      <c r="CH262" s="53" t="n"/>
      <c r="CI262" s="53" t="n"/>
      <c r="CJ262" s="53" t="n"/>
      <c r="CK262" s="53" t="n"/>
      <c r="CL262" s="53" t="n"/>
      <c r="CM262" s="53" t="n"/>
      <c r="CN262" s="53" t="n"/>
      <c r="CO262" s="53" t="n"/>
      <c r="CP262" s="53" t="n"/>
      <c r="CQ262" s="53" t="n"/>
      <c r="CR262" s="53" t="n"/>
      <c r="CS262" s="53" t="n"/>
      <c r="CT262" s="53" t="n"/>
      <c r="CU262" s="53" t="n"/>
      <c r="CV262" s="53" t="n"/>
      <c r="CW262" s="53" t="n"/>
      <c r="CX262" s="53" t="n"/>
      <c r="CY262" s="53" t="n"/>
      <c r="CZ262" s="53" t="n"/>
      <c r="DA262" s="53" t="n"/>
      <c r="DB262" s="53" t="n"/>
      <c r="DC262" s="53" t="n"/>
      <c r="DD262" s="53" t="inlineStr">
        <is>
          <t>IRIS0103</t>
        </is>
      </c>
      <c r="DE262" s="53" t="inlineStr">
        <is>
          <t>Employee</t>
        </is>
      </c>
      <c r="DF262" s="53" t="inlineStr">
        <is>
          <t>Active</t>
        </is>
      </c>
      <c r="DG262" s="53" t="inlineStr">
        <is>
          <t>Alwina Shaikh</t>
        </is>
      </c>
      <c r="DH262" s="54" t="n">
        <v>39279</v>
      </c>
      <c r="DI262" s="53" t="inlineStr">
        <is>
          <t>Lead Software Engineer</t>
        </is>
      </c>
      <c r="DJ262" s="53" t="inlineStr">
        <is>
          <t>Engineering &amp; Development</t>
        </is>
      </c>
      <c r="DK262" s="53" t="inlineStr">
        <is>
          <t>Backend Engineering ·.NET</t>
        </is>
      </c>
      <c r="DL262" s="53" t="inlineStr">
        <is>
          <t>Lead Software Engineer</t>
        </is>
      </c>
      <c r="DM262" s="53" t="inlineStr">
        <is>
          <t>L5 – Lead · IC</t>
        </is>
      </c>
      <c r="DN262" s="53" t="inlineStr">
        <is>
          <t>PGDM</t>
        </is>
      </c>
      <c r="DO262" s="53" t="inlineStr">
        <is>
          <t>Sharanagouda Patil</t>
        </is>
      </c>
      <c r="DP262" s="53" t="inlineStr">
        <is>
          <t>N-3</t>
        </is>
      </c>
      <c r="DQ262" s="53" t="inlineStr">
        <is>
          <t>Manager</t>
        </is>
      </c>
      <c r="DR262" s="53" t="inlineStr">
        <is>
          <t>0 years, 0 months, 0 days</t>
        </is>
      </c>
      <c r="DS262" s="53" t="inlineStr">
        <is>
          <t>18 years, 11 months, 4 days</t>
        </is>
      </c>
      <c r="DT262" s="53" t="inlineStr">
        <is>
          <t>18 years, 11 months, 4 days</t>
        </is>
      </c>
      <c r="DU262" s="53" t="n">
        <v>18.9276255707763</v>
      </c>
      <c r="DV262" s="53" t="inlineStr">
        <is>
          <t>Suptech</t>
        </is>
      </c>
      <c r="DW262" s="53" t="inlineStr">
        <is>
          <t>iFile</t>
        </is>
      </c>
      <c r="DX262" s="53" t="inlineStr">
        <is>
          <t>Technology</t>
        </is>
      </c>
      <c r="DY262" s="53" t="inlineStr">
        <is>
          <t>Development</t>
        </is>
      </c>
      <c r="DZ262" s="53" t="inlineStr">
        <is>
          <t>Yes</t>
        </is>
      </c>
      <c r="EA262" s="53" t="inlineStr">
        <is>
          <t>Product/Project</t>
        </is>
      </c>
      <c r="EB262" s="53" t="inlineStr">
        <is>
          <t>.NET MVC</t>
        </is>
      </c>
      <c r="EC262" s="53" t="inlineStr">
        <is>
          <t>Technical - Developer</t>
        </is>
      </c>
      <c r="ED262" s="53" t="inlineStr">
        <is>
          <t>Remote - Mumbai</t>
        </is>
      </c>
      <c r="EE262" s="53" t="n"/>
      <c r="EF262" s="53" t="n"/>
      <c r="EG262"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2" s="53" t="n">
        <v>4</v>
      </c>
      <c r="EI262" s="54" t="n">
        <v>45901</v>
      </c>
      <c r="EJ262" s="53" t="inlineStr">
        <is>
          <t>Lead Software Engineer</t>
        </is>
      </c>
      <c r="EK262" s="53" t="inlineStr">
        <is>
          <t>Yes</t>
        </is>
      </c>
      <c r="EL262" s="53" t="n">
        <v>4</v>
      </c>
      <c r="EM262" s="53" t="inlineStr">
        <is>
          <t>Medium</t>
        </is>
      </c>
      <c r="EN262" s="53" t="inlineStr">
        <is>
          <t>Trusted Professional</t>
        </is>
      </c>
      <c r="EO262" s="53" t="n"/>
      <c r="EP262" s="53" t="n"/>
      <c r="EQ262" s="53" t="n"/>
      <c r="ER262" s="53" t="inlineStr">
        <is>
          <t>Shubham Nimse</t>
        </is>
      </c>
      <c r="ES262" s="53" t="inlineStr">
        <is>
          <t>AI Training</t>
        </is>
      </c>
      <c r="ET262" s="53" t="n"/>
      <c r="EU262" s="53" t="n"/>
      <c r="EV262" s="53" t="n"/>
      <c r="EW262" s="52" t="n"/>
      <c r="EX262" s="53" t="n"/>
      <c r="EY262" s="53" t="n"/>
      <c r="EZ262" s="53" t="n"/>
      <c r="FA262" s="53" t="n"/>
      <c r="FB262" s="53" t="n"/>
      <c r="FC262" s="53" t="n"/>
      <c r="FD262" s="53" t="n"/>
      <c r="FE262" s="55" t="inlineStr">
        <is>
          <t>KRAs not received · manager to supply</t>
        </is>
      </c>
      <c r="FF262"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2" s="56" t="n"/>
      <c r="FH262" s="56" t="inlineStr">
        <is>
          <t>4</t>
        </is>
      </c>
      <c r="FI262" s="56" t="n"/>
      <c r="FJ262" s="56" t="inlineStr">
        <is>
          <t>Received · quarterly</t>
        </is>
      </c>
      <c r="FK262" s="56" t="inlineStr">
        <is>
          <t>Talent Mapping · iFile collated</t>
        </is>
      </c>
      <c r="FL262" s="56" t="n">
        <v>20</v>
      </c>
      <c r="FM262" s="32" t="inlineStr">
        <is>
          <t>Full survey answers not in the files received · How We Grow export needed · HR</t>
        </is>
      </c>
      <c r="FN262" s="56" t="inlineStr">
        <is>
          <t>—</t>
        </is>
      </c>
      <c r="FO262" s="56" t="inlineStr">
        <is>
          <t>—</t>
        </is>
      </c>
      <c r="FP262" s="56" t="inlineStr">
        <is>
          <t>—</t>
        </is>
      </c>
      <c r="FQ262" s="56" t="inlineStr">
        <is>
          <t>—</t>
        </is>
      </c>
      <c r="FR262" s="56"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0.5
Leadership: Evidence reads like A3: Says he manages the team; 2 direct reports → moved down 0.5
Business Impact: No survey or manager-mapping signal on criticality: kept at the start point.</t>
        </is>
      </c>
      <c r="FS262"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262" s="56" t="inlineStr">
        <is>
          <t>Self-identified: Certification / formal course
For the next role: Certification / formal course</t>
        </is>
      </c>
      <c r="FU262" s="32" t="inlineStr">
        <is>
          <t>Full survey answers not in the files received · How We Grow export needed · HR</t>
        </is>
      </c>
    </row>
    <row r="263" ht="90" customHeight="1">
      <c r="A263" s="51" t="inlineStr">
        <is>
          <t>◂ Back</t>
        </is>
      </c>
      <c r="B263" s="29" t="inlineStr">
        <is>
          <t>Mapped</t>
        </is>
      </c>
      <c r="C263" s="28" t="inlineStr">
        <is>
          <t>iFile</t>
        </is>
      </c>
      <c r="D263" s="29" t="inlineStr">
        <is>
          <t>IRIS2537</t>
        </is>
      </c>
      <c r="E263" s="29" t="inlineStr">
        <is>
          <t>Shritesh Aher</t>
        </is>
      </c>
      <c r="F263" s="29" t="inlineStr">
        <is>
          <t>Technology</t>
        </is>
      </c>
      <c r="G263" s="29" t="inlineStr">
        <is>
          <t>Software Engineer</t>
        </is>
      </c>
      <c r="H263" s="29" t="inlineStr">
        <is>
          <t>Senior UI Developer</t>
        </is>
      </c>
      <c r="I263" s="29" t="inlineStr">
        <is>
          <t>Not in current mapping files</t>
        </is>
      </c>
      <c r="J263" s="29" t="inlineStr">
        <is>
          <t>A3</t>
        </is>
      </c>
      <c r="K263" s="29" t="inlineStr">
        <is>
          <t>● Newly mapped</t>
        </is>
      </c>
      <c r="L263" s="29" t="inlineStr">
        <is>
          <t>Engineering &amp; Development</t>
        </is>
      </c>
      <c r="M263" s="29" t="inlineStr">
        <is>
          <t>Front-End / UI Development</t>
        </is>
      </c>
      <c r="N263" s="29" t="n"/>
      <c r="O263" s="29" t="n">
        <v>20</v>
      </c>
      <c r="P263" s="28" t="inlineStr">
        <is>
          <t>P2</t>
        </is>
      </c>
      <c r="Q263" s="29" t="inlineStr">
        <is>
          <t>Developing</t>
        </is>
      </c>
      <c r="R263" s="29" t="inlineStr">
        <is>
          <t>3 Apply</t>
        </is>
      </c>
      <c r="S263" s="29" t="inlineStr">
        <is>
          <t>2–4 yrs</t>
        </is>
      </c>
      <c r="T263" s="29" t="inlineStr">
        <is>
          <t>3–5 · 2–5</t>
        </is>
      </c>
      <c r="U263" s="29" t="inlineStr">
        <is>
          <t>Software Engineer</t>
        </is>
      </c>
      <c r="V263" s="29" t="inlineStr">
        <is>
          <t>Workiva: SE · Broadridge India: SE · Nasdaq / AxiomSL: SE · Salesforce: MTS · Atlassian: P40 · 3–7 yrs · Freshworks: Senior SE</t>
        </is>
      </c>
      <c r="W263" s="29" t="inlineStr">
        <is>
          <t>SFIA 9 · software development, programming; OWASP secure coding; cloud vendor certifications</t>
        </is>
      </c>
      <c r="X263" s="29" t="inlineStr">
        <is>
          <t>Core 2 · Future 2 · Functional 3 · Leadership not scored</t>
        </is>
      </c>
      <c r="Y263" s="52" t="n">
        <v>510</v>
      </c>
      <c r="Z263" s="53" t="inlineStr">
        <is>
          <t>IRIS2537</t>
        </is>
      </c>
      <c r="AA263" s="53" t="inlineStr">
        <is>
          <t>Employee</t>
        </is>
      </c>
      <c r="AB263" s="53" t="inlineStr">
        <is>
          <t>Active</t>
        </is>
      </c>
      <c r="AC263" s="53" t="inlineStr">
        <is>
          <t>Shritesh Aher</t>
        </is>
      </c>
      <c r="AD263" s="54" t="n">
        <v>46188</v>
      </c>
      <c r="AE263" s="53" t="inlineStr">
        <is>
          <t>Software Engineer</t>
        </is>
      </c>
      <c r="AF263" s="53" t="inlineStr">
        <is>
          <t>B.E</t>
        </is>
      </c>
      <c r="AG263" s="53" t="inlineStr">
        <is>
          <t>Alwina Shaikh</t>
        </is>
      </c>
      <c r="AH263" s="53" t="inlineStr">
        <is>
          <t>N-5</t>
        </is>
      </c>
      <c r="AI263" s="53" t="inlineStr">
        <is>
          <t>Individual Contributor</t>
        </is>
      </c>
      <c r="AJ263" s="53" t="inlineStr">
        <is>
          <t>3 years, 7 months, 00 days</t>
        </is>
      </c>
      <c r="AK263" s="53" t="inlineStr">
        <is>
          <t>0 years, 2 months, 10 days</t>
        </is>
      </c>
      <c r="AL263" s="53" t="inlineStr">
        <is>
          <t>Suptech</t>
        </is>
      </c>
      <c r="AM263" s="53" t="inlineStr">
        <is>
          <t>iFile</t>
        </is>
      </c>
      <c r="AN263" s="53" t="inlineStr">
        <is>
          <t>Technology</t>
        </is>
      </c>
      <c r="AO263" s="53" t="inlineStr">
        <is>
          <t>Development</t>
        </is>
      </c>
      <c r="AP263" s="53" t="inlineStr">
        <is>
          <t>Yes</t>
        </is>
      </c>
      <c r="AQ263" s="53" t="inlineStr">
        <is>
          <t>Product/Project</t>
        </is>
      </c>
      <c r="AR263" s="53" t="inlineStr">
        <is>
          <t>Angular + Node.js</t>
        </is>
      </c>
      <c r="AS263" s="53" t="inlineStr">
        <is>
          <t>Technical - Developer</t>
        </is>
      </c>
      <c r="AT263" s="53" t="n">
        <v>20</v>
      </c>
      <c r="AU263" s="53" t="inlineStr">
        <is>
          <t>Covered</t>
        </is>
      </c>
      <c r="AV263" s="53" t="n"/>
      <c r="AW263" s="53" t="n"/>
      <c r="AX263" s="53" t="n"/>
      <c r="AY263" s="53" t="n"/>
      <c r="AZ263" s="53" t="n"/>
      <c r="BA263" s="53" t="n"/>
      <c r="BB263" s="53" t="n"/>
      <c r="BC263" s="53" t="n"/>
      <c r="BD263" s="53" t="n"/>
      <c r="BE263" s="53" t="n"/>
      <c r="BF263" s="53" t="n"/>
      <c r="BG263" s="53" t="n"/>
      <c r="BH263" s="53" t="n"/>
      <c r="BI263" s="53" t="n"/>
      <c r="BJ263" s="53" t="n"/>
      <c r="BK263" s="53" t="n"/>
      <c r="BL263" s="53" t="n"/>
      <c r="BM263" s="53" t="n"/>
      <c r="BN263" s="53" t="n"/>
      <c r="BO263" s="53" t="n"/>
      <c r="BP263" s="53" t="n"/>
      <c r="BQ263" s="53" t="n"/>
      <c r="BR263" s="53" t="n"/>
      <c r="BS263" s="53" t="n"/>
      <c r="BT263" s="53" t="n"/>
      <c r="BU263" s="53" t="n"/>
      <c r="BV263" s="53" t="n"/>
      <c r="BW263" s="53" t="n"/>
      <c r="BX263" s="53" t="n"/>
      <c r="BY263" s="53" t="n"/>
      <c r="BZ263" s="53" t="n"/>
      <c r="CA263" s="53" t="n"/>
      <c r="CB263" s="53" t="n"/>
      <c r="CC263" s="53" t="n"/>
      <c r="CD263" s="53" t="n"/>
      <c r="CE263" s="53" t="n"/>
      <c r="CF263" s="53" t="n"/>
      <c r="CG263" s="53" t="n"/>
      <c r="CH263" s="53" t="n"/>
      <c r="CI263" s="53" t="n"/>
      <c r="CJ263" s="53" t="n"/>
      <c r="CK263" s="53" t="n"/>
      <c r="CL263" s="53" t="n"/>
      <c r="CM263" s="53" t="n"/>
      <c r="CN263" s="53" t="n"/>
      <c r="CO263" s="53" t="n"/>
      <c r="CP263" s="53" t="n"/>
      <c r="CQ263" s="53" t="n"/>
      <c r="CR263" s="53" t="n"/>
      <c r="CS263" s="53" t="n"/>
      <c r="CT263" s="53" t="n"/>
      <c r="CU263" s="53" t="n"/>
      <c r="CV263" s="53" t="n"/>
      <c r="CW263" s="53" t="n"/>
      <c r="CX263" s="53" t="n"/>
      <c r="CY263" s="53" t="n"/>
      <c r="CZ263" s="53" t="n"/>
      <c r="DA263" s="53" t="n"/>
      <c r="DB263" s="53" t="n"/>
      <c r="DC263" s="53" t="n"/>
      <c r="DD263" s="53" t="n"/>
      <c r="DE263" s="53" t="n"/>
      <c r="DF263" s="53" t="n"/>
      <c r="DG263" s="53" t="n"/>
      <c r="DH263" s="53" t="n"/>
      <c r="DI263" s="53" t="n"/>
      <c r="DJ263" s="53" t="n"/>
      <c r="DK263" s="53" t="n"/>
      <c r="DL263" s="53" t="n"/>
      <c r="DM263" s="53" t="n"/>
      <c r="DN263" s="53" t="n"/>
      <c r="DO263" s="53" t="n"/>
      <c r="DP263" s="53" t="n"/>
      <c r="DQ263" s="53" t="n"/>
      <c r="DR263" s="53" t="n"/>
      <c r="DS263" s="53" t="n"/>
      <c r="DT263" s="53" t="n"/>
      <c r="DU263" s="53" t="n"/>
      <c r="DV263" s="53" t="n"/>
      <c r="DW263" s="53" t="n"/>
      <c r="DX263" s="53" t="n"/>
      <c r="DY263" s="53" t="n"/>
      <c r="DZ263" s="53" t="n"/>
      <c r="EA263" s="53" t="n"/>
      <c r="EB263" s="53" t="n"/>
      <c r="EC263" s="53" t="n"/>
      <c r="ED263" s="53" t="n"/>
      <c r="EE263" s="53" t="n"/>
      <c r="EF263" s="53" t="n"/>
      <c r="EG263" s="53" t="n"/>
      <c r="EH263" s="53" t="n"/>
      <c r="EI263" s="53" t="n"/>
      <c r="EJ263" s="53" t="n"/>
      <c r="EK263" s="53" t="n"/>
      <c r="EL263" s="53" t="n"/>
      <c r="EM263" s="53" t="n"/>
      <c r="EN263" s="53" t="n"/>
      <c r="EO263" s="53" t="n"/>
      <c r="EP263" s="53" t="n"/>
      <c r="EQ263" s="53" t="n"/>
      <c r="ER263" s="53" t="n"/>
      <c r="ES263" s="53" t="n"/>
      <c r="ET263" s="53" t="n"/>
      <c r="EU263" s="53" t="n"/>
      <c r="EV263" s="53" t="n"/>
      <c r="EW263" s="52" t="n"/>
      <c r="EX263" s="53" t="n"/>
      <c r="EY263" s="53" t="n"/>
      <c r="EZ263" s="53" t="n"/>
      <c r="FA263" s="53" t="n"/>
      <c r="FB263" s="53" t="n"/>
      <c r="FC263" s="53" t="n"/>
      <c r="FD263" s="53" t="n"/>
      <c r="FE263" s="55" t="inlineStr">
        <is>
          <t>KRAs not received · manager to supply</t>
        </is>
      </c>
      <c r="FF263" s="56" t="n"/>
      <c r="FG263" s="56" t="n"/>
      <c r="FH263" s="56" t="n"/>
      <c r="FI263" s="56" t="n"/>
      <c r="FJ263" s="32" t="inlineStr">
        <is>
          <t>KRAs not received · manager to supply</t>
        </is>
      </c>
      <c r="FK263" s="56" t="n"/>
      <c r="FL263" s="56" t="n">
        <v>20</v>
      </c>
      <c r="FM263" s="32" t="inlineStr">
        <is>
          <t>Full survey answers not in the files received · How We Grow export needed · HR</t>
        </is>
      </c>
      <c r="FN263" s="56" t="inlineStr">
        <is>
          <t>—</t>
        </is>
      </c>
      <c r="FO263" s="56" t="inlineStr">
        <is>
          <t>—</t>
        </is>
      </c>
      <c r="FP263" s="56" t="inlineStr">
        <is>
          <t>—</t>
        </is>
      </c>
      <c r="FQ263" s="56" t="inlineStr">
        <is>
          <t>—</t>
        </is>
      </c>
      <c r="FR263" s="56"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reads like A1: No guiding or leading described → matches the start
Business Impact: No survey or manager-mapping signal on criticality: kept at the start point.</t>
        </is>
      </c>
      <c r="FS263"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263" s="56" t="inlineStr">
        <is>
          <t>Self-identified: Technical depth &amp; architecture
For the next role: Technical depth &amp; architecture</t>
        </is>
      </c>
      <c r="FU263" s="32" t="inlineStr">
        <is>
          <t>Full survey answers not in the files received · How We Grow export needed · HR</t>
        </is>
      </c>
    </row>
    <row r="264" ht="90" customHeight="1">
      <c r="A264" s="51" t="inlineStr">
        <is>
          <t>◂ Back</t>
        </is>
      </c>
      <c r="B264" s="29" t="inlineStr">
        <is>
          <t>Mapped</t>
        </is>
      </c>
      <c r="C264" s="28" t="inlineStr">
        <is>
          <t>iFile</t>
        </is>
      </c>
      <c r="D264" s="29" t="inlineStr">
        <is>
          <t>IRIS2441</t>
        </is>
      </c>
      <c r="E264" s="29" t="inlineStr">
        <is>
          <t>Mayuresh Raghunath Mahale</t>
        </is>
      </c>
      <c r="F264" s="29" t="inlineStr">
        <is>
          <t>Technology</t>
        </is>
      </c>
      <c r="G264" s="29" t="inlineStr">
        <is>
          <t>Trainee Software Engineer</t>
        </is>
      </c>
      <c r="H264" s="29" t="inlineStr">
        <is>
          <t>Trainee Software Engineer</t>
        </is>
      </c>
      <c r="I264" s="29" t="inlineStr">
        <is>
          <t>L2 – Trainee</t>
        </is>
      </c>
      <c r="J264" s="29" t="inlineStr">
        <is>
          <t>A1</t>
        </is>
      </c>
      <c r="K264" s="29" t="inlineStr">
        <is>
          <t>• Same level</t>
        </is>
      </c>
      <c r="L264" s="29" t="inlineStr">
        <is>
          <t>Engineering &amp; Development</t>
        </is>
      </c>
      <c r="M264" s="29" t="inlineStr">
        <is>
          <t>Full-Stack Development</t>
        </is>
      </c>
      <c r="N264" s="29" t="n"/>
      <c r="O264" s="29" t="n">
        <v>20</v>
      </c>
      <c r="P264" s="28" t="inlineStr">
        <is>
          <t>Entry / P1 · intern</t>
        </is>
      </c>
      <c r="Q264" s="29" t="inlineStr">
        <is>
          <t>Entry</t>
        </is>
      </c>
      <c r="R264" s="29" t="inlineStr">
        <is>
          <t>1 Follow</t>
        </is>
      </c>
      <c r="S264" s="29" t="inlineStr">
        <is>
          <t>0 yrs · fresher / intern</t>
        </is>
      </c>
      <c r="T264" s="29" t="inlineStr">
        <is>
          <t>—</t>
        </is>
      </c>
      <c r="U264" s="29" t="inlineStr">
        <is>
          <t>Associate Software Engineer</t>
        </is>
      </c>
      <c r="V264" s="29" t="inlineStr">
        <is>
          <t>—</t>
        </is>
      </c>
      <c r="W264" s="29" t="inlineStr">
        <is>
          <t>SFIA 9 · software development, programming; OWASP secure coding; cloud vendor certifications</t>
        </is>
      </c>
      <c r="X264" s="29" t="inlineStr">
        <is>
          <t>Core 1 · Future 1 · Functional 1 · Leadership not scored</t>
        </is>
      </c>
      <c r="Y264" s="52" t="n">
        <v>408</v>
      </c>
      <c r="Z264" s="53" t="inlineStr">
        <is>
          <t>IRIS2441</t>
        </is>
      </c>
      <c r="AA264" s="53" t="inlineStr">
        <is>
          <t>Employee</t>
        </is>
      </c>
      <c r="AB264" s="53" t="inlineStr">
        <is>
          <t>Active</t>
        </is>
      </c>
      <c r="AC264" s="53" t="inlineStr">
        <is>
          <t>Mayuresh Raghunath Mahale</t>
        </is>
      </c>
      <c r="AD264" s="54" t="n">
        <v>45964</v>
      </c>
      <c r="AE264" s="53" t="inlineStr">
        <is>
          <t>Trainee Software Engineer</t>
        </is>
      </c>
      <c r="AF264" s="53" t="inlineStr">
        <is>
          <t>B.E</t>
        </is>
      </c>
      <c r="AG264" s="53" t="inlineStr">
        <is>
          <t>Alwina Shaikh</t>
        </is>
      </c>
      <c r="AH264" s="53" t="inlineStr">
        <is>
          <t>N-5</t>
        </is>
      </c>
      <c r="AI264" s="53" t="inlineStr">
        <is>
          <t>Individual Contributor</t>
        </is>
      </c>
      <c r="AJ264" s="53" t="inlineStr">
        <is>
          <t>0 years, 0 months, 0 days</t>
        </is>
      </c>
      <c r="AK264" s="53" t="inlineStr">
        <is>
          <t>0 years, 9 months, 22 days</t>
        </is>
      </c>
      <c r="AL264" s="53" t="inlineStr">
        <is>
          <t>Suptech</t>
        </is>
      </c>
      <c r="AM264" s="53" t="inlineStr">
        <is>
          <t>iFile</t>
        </is>
      </c>
      <c r="AN264" s="53" t="inlineStr">
        <is>
          <t>Technology</t>
        </is>
      </c>
      <c r="AO264" s="53" t="inlineStr">
        <is>
          <t>Development</t>
        </is>
      </c>
      <c r="AP264" s="53" t="inlineStr">
        <is>
          <t>Yes</t>
        </is>
      </c>
      <c r="AQ264" s="53" t="inlineStr">
        <is>
          <t>Product/Project</t>
        </is>
      </c>
      <c r="AR264" s="53" t="inlineStr">
        <is>
          <t>Java</t>
        </is>
      </c>
      <c r="AS264" s="53" t="inlineStr">
        <is>
          <t>Technical - Developer</t>
        </is>
      </c>
      <c r="AT264" s="53" t="n">
        <v>20</v>
      </c>
      <c r="AU264" s="53" t="inlineStr">
        <is>
          <t>Covered</t>
        </is>
      </c>
      <c r="AV264" s="53" t="n"/>
      <c r="AW264" s="53" t="n"/>
      <c r="AX264" s="53" t="n"/>
      <c r="AY264" s="53" t="n"/>
      <c r="AZ264" s="53" t="n"/>
      <c r="BA264" s="53" t="n"/>
      <c r="BB264" s="53" t="n"/>
      <c r="BC264" s="53" t="n"/>
      <c r="BD264" s="53" t="n"/>
      <c r="BE264" s="53" t="n"/>
      <c r="BF264" s="53" t="n"/>
      <c r="BG264" s="53" t="n"/>
      <c r="BH264" s="53" t="n"/>
      <c r="BI264" s="53" t="n"/>
      <c r="BJ264" s="53" t="n"/>
      <c r="BK264" s="53" t="n"/>
      <c r="BL264" s="53" t="n"/>
      <c r="BM264" s="53" t="n"/>
      <c r="BN264" s="53" t="n"/>
      <c r="BO264" s="53" t="n"/>
      <c r="BP264" s="53" t="n"/>
      <c r="BQ264" s="53" t="n"/>
      <c r="BR264" s="53" t="n"/>
      <c r="BS264" s="53" t="n"/>
      <c r="BT264" s="53" t="n"/>
      <c r="BU264" s="53" t="n"/>
      <c r="BV264" s="53" t="n"/>
      <c r="BW264" s="53" t="n"/>
      <c r="BX264" s="53" t="n"/>
      <c r="BY264" s="53" t="n"/>
      <c r="BZ264" s="53" t="n"/>
      <c r="CA264" s="53" t="n"/>
      <c r="CB264" s="53" t="n"/>
      <c r="CC264" s="53" t="n"/>
      <c r="CD264" s="53" t="n"/>
      <c r="CE264" s="53" t="n"/>
      <c r="CF264" s="53" t="n"/>
      <c r="CG264" s="53" t="n"/>
      <c r="CH264" s="53" t="n"/>
      <c r="CI264" s="53" t="n"/>
      <c r="CJ264" s="53" t="n"/>
      <c r="CK264" s="53" t="n"/>
      <c r="CL264" s="53" t="n"/>
      <c r="CM264" s="53" t="n"/>
      <c r="CN264" s="53" t="n"/>
      <c r="CO264" s="53" t="n"/>
      <c r="CP264" s="53" t="n"/>
      <c r="CQ264" s="53" t="n"/>
      <c r="CR264" s="53" t="n"/>
      <c r="CS264" s="53" t="n"/>
      <c r="CT264" s="53" t="n"/>
      <c r="CU264" s="53" t="n"/>
      <c r="CV264" s="53" t="n"/>
      <c r="CW264" s="53" t="n"/>
      <c r="CX264" s="53" t="n"/>
      <c r="CY264" s="53" t="n"/>
      <c r="CZ264" s="53" t="n"/>
      <c r="DA264" s="53" t="n"/>
      <c r="DB264" s="53" t="n"/>
      <c r="DC264" s="53" t="n"/>
      <c r="DD264" s="53" t="inlineStr">
        <is>
          <t>IRIS2441</t>
        </is>
      </c>
      <c r="DE264" s="53" t="inlineStr">
        <is>
          <t>Employee</t>
        </is>
      </c>
      <c r="DF264" s="53" t="inlineStr">
        <is>
          <t>Active</t>
        </is>
      </c>
      <c r="DG264" s="53" t="inlineStr">
        <is>
          <t>Mayuresh Raghunath Mahale</t>
        </is>
      </c>
      <c r="DH264" s="54" t="n">
        <v>45964</v>
      </c>
      <c r="DI264" s="53" t="inlineStr">
        <is>
          <t>Trainee Software Engineer</t>
        </is>
      </c>
      <c r="DJ264" s="53" t="inlineStr">
        <is>
          <t>Engineering &amp; Development</t>
        </is>
      </c>
      <c r="DK264" s="53" t="inlineStr">
        <is>
          <t>Backend Engineering · Java</t>
        </is>
      </c>
      <c r="DL264" s="53" t="inlineStr">
        <is>
          <t>Trainee Software Engineer</t>
        </is>
      </c>
      <c r="DM264" s="53" t="inlineStr">
        <is>
          <t>L2 – Trainee</t>
        </is>
      </c>
      <c r="DN264" s="53" t="inlineStr">
        <is>
          <t>B.E</t>
        </is>
      </c>
      <c r="DO264" s="53" t="inlineStr">
        <is>
          <t>Alwina Shaikh</t>
        </is>
      </c>
      <c r="DP264" s="53" t="inlineStr">
        <is>
          <t>N-4</t>
        </is>
      </c>
      <c r="DQ264" s="53" t="inlineStr">
        <is>
          <t>Individual Contributor</t>
        </is>
      </c>
      <c r="DR264" s="53" t="inlineStr">
        <is>
          <t>0 years, 0 months, 0 days</t>
        </is>
      </c>
      <c r="DS264" s="53" t="inlineStr">
        <is>
          <t>0 years, 7 months, 17 days</t>
        </is>
      </c>
      <c r="DT264" s="53" t="inlineStr">
        <is>
          <t>0 years, 7 months, 17 days</t>
        </is>
      </c>
      <c r="DU264" s="53" t="n"/>
      <c r="DV264" s="53" t="inlineStr">
        <is>
          <t>Suptech</t>
        </is>
      </c>
      <c r="DW264" s="53" t="inlineStr">
        <is>
          <t>iFile</t>
        </is>
      </c>
      <c r="DX264" s="53" t="inlineStr">
        <is>
          <t>Technology</t>
        </is>
      </c>
      <c r="DY264" s="53" t="inlineStr">
        <is>
          <t>Development</t>
        </is>
      </c>
      <c r="DZ264" s="53" t="inlineStr">
        <is>
          <t>Yes</t>
        </is>
      </c>
      <c r="EA264" s="53" t="inlineStr">
        <is>
          <t>Product/Project</t>
        </is>
      </c>
      <c r="EB264" s="53" t="inlineStr">
        <is>
          <t>Java</t>
        </is>
      </c>
      <c r="EC264" s="53" t="inlineStr">
        <is>
          <t>Technical - Developer</t>
        </is>
      </c>
      <c r="ED264" s="53" t="inlineStr">
        <is>
          <t>Work From Office - Turbhe</t>
        </is>
      </c>
      <c r="EE264" s="53" t="n"/>
      <c r="EF264" s="53" t="n"/>
      <c r="EG264"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4" s="53" t="n">
        <v>3</v>
      </c>
      <c r="EI264" s="53" t="n"/>
      <c r="EJ264" s="53" t="inlineStr">
        <is>
          <t>Trainee Software Engineer</t>
        </is>
      </c>
      <c r="EK264" s="53" t="inlineStr">
        <is>
          <t>Yes</t>
        </is>
      </c>
      <c r="EL264" s="53" t="n">
        <v>3</v>
      </c>
      <c r="EM264" s="53" t="inlineStr">
        <is>
          <t>Medium</t>
        </is>
      </c>
      <c r="EN264" s="53" t="inlineStr">
        <is>
          <t>Trusted Professional</t>
        </is>
      </c>
      <c r="EO264" s="53" t="n"/>
      <c r="EP264" s="53" t="n"/>
      <c r="EQ264" s="53" t="n"/>
      <c r="ER264" s="53" t="n"/>
      <c r="ES264" s="53" t="inlineStr">
        <is>
          <t>Taxonomy
AI</t>
        </is>
      </c>
      <c r="ET264" s="53" t="n"/>
      <c r="EU264" s="53" t="n"/>
      <c r="EV264" s="53" t="n"/>
      <c r="EW264" s="52" t="n"/>
      <c r="EX264" s="53" t="n"/>
      <c r="EY264" s="53" t="n"/>
      <c r="EZ264" s="53" t="n"/>
      <c r="FA264" s="53" t="n"/>
      <c r="FB264" s="53" t="n"/>
      <c r="FC264" s="53" t="n"/>
      <c r="FD264" s="53" t="n"/>
      <c r="FE264" s="55" t="inlineStr">
        <is>
          <t>KRAs not received · manager to supply</t>
        </is>
      </c>
      <c r="FF264"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4" s="56" t="n"/>
      <c r="FH264" s="56" t="inlineStr">
        <is>
          <t>3</t>
        </is>
      </c>
      <c r="FI264" s="56" t="n"/>
      <c r="FJ264" s="56" t="inlineStr">
        <is>
          <t>Received · quarterly</t>
        </is>
      </c>
      <c r="FK264" s="56" t="inlineStr">
        <is>
          <t>Talent Mapping · iFile collated</t>
        </is>
      </c>
      <c r="FL264" s="56" t="n">
        <v>20</v>
      </c>
      <c r="FM264" s="32" t="inlineStr">
        <is>
          <t>Full survey answers not in the files received · How We Grow export needed · HR</t>
        </is>
      </c>
      <c r="FN264" s="56" t="inlineStr">
        <is>
          <t>—</t>
        </is>
      </c>
      <c r="FO264" s="56" t="inlineStr">
        <is>
          <t>—</t>
        </is>
      </c>
      <c r="FP264" s="56" t="inlineStr">
        <is>
          <t>—</t>
        </is>
      </c>
      <c r="FQ264" s="56" t="inlineStr">
        <is>
          <t>—</t>
        </is>
      </c>
      <c r="FR264" s="56" t="n"/>
      <c r="FS264"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264" s="56" t="inlineStr">
        <is>
          <t>Self-identified: Technical depth &amp; architecture · Domain, regulatory &amp; XBRL
For the next role: Technical depth &amp; architecture · Domain, regulatory &amp; XBRL</t>
        </is>
      </c>
      <c r="FU264" s="32" t="inlineStr">
        <is>
          <t>Full survey answers not in the files received · How We Grow export needed · HR</t>
        </is>
      </c>
    </row>
    <row r="265" ht="90" customHeight="1">
      <c r="A265" s="51" t="inlineStr">
        <is>
          <t>◂ Back</t>
        </is>
      </c>
      <c r="B265" s="29" t="inlineStr">
        <is>
          <t>Mapped</t>
        </is>
      </c>
      <c r="C265" s="28" t="inlineStr">
        <is>
          <t>iFile</t>
        </is>
      </c>
      <c r="D265" s="29" t="inlineStr">
        <is>
          <t>IRIS1476</t>
        </is>
      </c>
      <c r="E265" s="29" t="inlineStr">
        <is>
          <t>Himanshu Pawar</t>
        </is>
      </c>
      <c r="F265" s="29" t="inlineStr">
        <is>
          <t>Technology</t>
        </is>
      </c>
      <c r="G265" s="29" t="inlineStr">
        <is>
          <t>Lead Software Engineer</t>
        </is>
      </c>
      <c r="H265" s="29" t="inlineStr">
        <is>
          <t>Lead Software Engineer</t>
        </is>
      </c>
      <c r="I265" s="29" t="inlineStr">
        <is>
          <t>L5 – Lead · IC</t>
        </is>
      </c>
      <c r="J265" s="29" t="inlineStr">
        <is>
          <t>B2</t>
        </is>
      </c>
      <c r="K265" s="29" t="inlineStr">
        <is>
          <t>• Same level</t>
        </is>
      </c>
      <c r="L265" s="29" t="inlineStr">
        <is>
          <t>Engineering &amp; Development</t>
        </is>
      </c>
      <c r="M265" s="29" t="inlineStr">
        <is>
          <t>Backend Development</t>
        </is>
      </c>
      <c r="N265" s="29" t="inlineStr">
        <is>
          <t>• Confirm the reporting line — Manager</t>
        </is>
      </c>
      <c r="O265" s="29" t="n">
        <v>20</v>
      </c>
      <c r="P265" s="28" t="inlineStr">
        <is>
          <t>P4 / M3</t>
        </is>
      </c>
      <c r="Q265" s="29" t="inlineStr">
        <is>
          <t>Senior / Manager</t>
        </is>
      </c>
      <c r="R265" s="29" t="inlineStr">
        <is>
          <t>4–5</t>
        </is>
      </c>
      <c r="S265" s="29" t="inlineStr">
        <is>
          <t>6–9 yrs</t>
        </is>
      </c>
      <c r="T265" s="29" t="inlineStr">
        <is>
          <t>7–10 · 6–11</t>
        </is>
      </c>
      <c r="U265" s="29" t="inlineStr">
        <is>
          <t>Principal Engineer</t>
        </is>
      </c>
      <c r="V265" s="29" t="inlineStr">
        <is>
          <t>Workiva: Senior SE · Broadridge India: Lead SE · Nasdaq / AxiomSL: Senior SE · Salesforce: SMTS · Atlassian: P50 Senior · 6–12 yrs · Freshworks: Lead SE</t>
        </is>
      </c>
      <c r="W265" s="29" t="inlineStr">
        <is>
          <t>SFIA 9 · software development, programming; OWASP secure coding; cloud vendor certifications</t>
        </is>
      </c>
      <c r="X265" s="29" t="inlineStr">
        <is>
          <t>Core 3 · Future 3 · Functional 4 · Leadership 2</t>
        </is>
      </c>
      <c r="Y265" s="52" t="n">
        <v>122</v>
      </c>
      <c r="Z265" s="53" t="inlineStr">
        <is>
          <t>IRIS1476</t>
        </is>
      </c>
      <c r="AA265" s="53" t="inlineStr">
        <is>
          <t>Employee</t>
        </is>
      </c>
      <c r="AB265" s="53" t="inlineStr">
        <is>
          <t>Active</t>
        </is>
      </c>
      <c r="AC265" s="53" t="inlineStr">
        <is>
          <t>Himanshu Pawar</t>
        </is>
      </c>
      <c r="AD265" s="54" t="n">
        <v>41869</v>
      </c>
      <c r="AE265" s="53" t="inlineStr">
        <is>
          <t>Lead Software Engineer</t>
        </is>
      </c>
      <c r="AF265" s="53" t="inlineStr">
        <is>
          <t>B.E</t>
        </is>
      </c>
      <c r="AG265" s="53" t="inlineStr">
        <is>
          <t>Sharanagouda Patil</t>
        </is>
      </c>
      <c r="AH265" s="53" t="inlineStr">
        <is>
          <t>N-4</t>
        </is>
      </c>
      <c r="AI265" s="53" t="inlineStr">
        <is>
          <t>Individual Contributor</t>
        </is>
      </c>
      <c r="AJ265" s="53" t="inlineStr">
        <is>
          <t>2 years, 0 months, 0 days</t>
        </is>
      </c>
      <c r="AK265" s="53" t="inlineStr">
        <is>
          <t>12 years, 0 months, 7 days</t>
        </is>
      </c>
      <c r="AL265" s="53" t="inlineStr">
        <is>
          <t>Suptech</t>
        </is>
      </c>
      <c r="AM265" s="53" t="inlineStr">
        <is>
          <t>iFile</t>
        </is>
      </c>
      <c r="AN265" s="53" t="inlineStr">
        <is>
          <t>Technology</t>
        </is>
      </c>
      <c r="AO265" s="53" t="inlineStr">
        <is>
          <t>Development</t>
        </is>
      </c>
      <c r="AP265" s="53" t="inlineStr">
        <is>
          <t>Yes</t>
        </is>
      </c>
      <c r="AQ265" s="53" t="inlineStr">
        <is>
          <t>Product/Project</t>
        </is>
      </c>
      <c r="AR265" s="53" t="inlineStr">
        <is>
          <t>.NET MVC</t>
        </is>
      </c>
      <c r="AS265" s="53" t="inlineStr">
        <is>
          <t>Technical - Developer</t>
        </is>
      </c>
      <c r="AT265" s="53" t="n">
        <v>20</v>
      </c>
      <c r="AU265" s="53" t="inlineStr">
        <is>
          <t>Covered</t>
        </is>
      </c>
      <c r="AV265" s="53" t="n"/>
      <c r="AW265" s="53" t="n"/>
      <c r="AX265" s="53" t="n"/>
      <c r="AY265" s="53" t="n"/>
      <c r="AZ265" s="53" t="n"/>
      <c r="BA265" s="53" t="n"/>
      <c r="BB265" s="53" t="n"/>
      <c r="BC265" s="53" t="n"/>
      <c r="BD265" s="53" t="n"/>
      <c r="BE265" s="53" t="n"/>
      <c r="BF265" s="53" t="n"/>
      <c r="BG265" s="53" t="n"/>
      <c r="BH265" s="53" t="n"/>
      <c r="BI265" s="53" t="n"/>
      <c r="BJ265" s="53" t="n"/>
      <c r="BK265" s="53" t="n"/>
      <c r="BL265" s="53" t="n"/>
      <c r="BM265" s="53" t="n"/>
      <c r="BN265" s="53" t="n"/>
      <c r="BO265" s="53" t="n"/>
      <c r="BP265" s="53" t="n"/>
      <c r="BQ265" s="53" t="n"/>
      <c r="BR265" s="53" t="n"/>
      <c r="BS265" s="53" t="n"/>
      <c r="BT265" s="53" t="n"/>
      <c r="BU265" s="53" t="n"/>
      <c r="BV265" s="53" t="n"/>
      <c r="BW265" s="53" t="n"/>
      <c r="BX265" s="53" t="n"/>
      <c r="BY265" s="53" t="n"/>
      <c r="BZ265" s="53" t="n"/>
      <c r="CA265" s="53" t="n"/>
      <c r="CB265" s="53" t="n"/>
      <c r="CC265" s="53" t="n"/>
      <c r="CD265" s="53" t="n"/>
      <c r="CE265" s="53" t="n"/>
      <c r="CF265" s="53" t="n"/>
      <c r="CG265" s="53" t="n"/>
      <c r="CH265" s="53" t="n"/>
      <c r="CI265" s="53" t="n"/>
      <c r="CJ265" s="53" t="n"/>
      <c r="CK265" s="53" t="n"/>
      <c r="CL265" s="53" t="n"/>
      <c r="CM265" s="53" t="n"/>
      <c r="CN265" s="53" t="n"/>
      <c r="CO265" s="53" t="n"/>
      <c r="CP265" s="53" t="n"/>
      <c r="CQ265" s="53" t="n"/>
      <c r="CR265" s="53" t="n"/>
      <c r="CS265" s="53" t="n"/>
      <c r="CT265" s="53" t="n"/>
      <c r="CU265" s="53" t="n"/>
      <c r="CV265" s="53" t="n"/>
      <c r="CW265" s="53" t="n"/>
      <c r="CX265" s="53" t="n"/>
      <c r="CY265" s="53" t="n"/>
      <c r="CZ265" s="53" t="n"/>
      <c r="DA265" s="53" t="n"/>
      <c r="DB265" s="53" t="n"/>
      <c r="DC265" s="53" t="n"/>
      <c r="DD265" s="53" t="inlineStr">
        <is>
          <t>IRIS1476</t>
        </is>
      </c>
      <c r="DE265" s="53" t="inlineStr">
        <is>
          <t>Employee</t>
        </is>
      </c>
      <c r="DF265" s="53" t="inlineStr">
        <is>
          <t>Active</t>
        </is>
      </c>
      <c r="DG265" s="53" t="inlineStr">
        <is>
          <t>Himanshu Pawar</t>
        </is>
      </c>
      <c r="DH265" s="54" t="n">
        <v>41869</v>
      </c>
      <c r="DI265" s="53" t="inlineStr">
        <is>
          <t>Lead Software Engineer</t>
        </is>
      </c>
      <c r="DJ265" s="53" t="inlineStr">
        <is>
          <t>Engineering &amp; Development</t>
        </is>
      </c>
      <c r="DK265" s="53" t="inlineStr">
        <is>
          <t>Backend Engineering ·.NET</t>
        </is>
      </c>
      <c r="DL265" s="53" t="inlineStr">
        <is>
          <t>Lead Software Engineer</t>
        </is>
      </c>
      <c r="DM265" s="53" t="inlineStr">
        <is>
          <t>L5 – Lead · IC</t>
        </is>
      </c>
      <c r="DN265" s="53" t="inlineStr">
        <is>
          <t>B.E</t>
        </is>
      </c>
      <c r="DO265" s="53" t="inlineStr">
        <is>
          <t>Sharanagouda Patil</t>
        </is>
      </c>
      <c r="DP265" s="53" t="inlineStr">
        <is>
          <t>N-3</t>
        </is>
      </c>
      <c r="DQ265" s="53" t="inlineStr">
        <is>
          <t>Individual Contributor</t>
        </is>
      </c>
      <c r="DR265" s="53" t="inlineStr">
        <is>
          <t>2 years, 0 months, 0 days</t>
        </is>
      </c>
      <c r="DS265" s="53" t="inlineStr">
        <is>
          <t>11 years, 10 months, 2 days</t>
        </is>
      </c>
      <c r="DT265" s="53" t="inlineStr">
        <is>
          <t>13 years, 10 months, 2 days</t>
        </is>
      </c>
      <c r="DU265" s="53" t="n"/>
      <c r="DV265" s="53" t="inlineStr">
        <is>
          <t>Suptech</t>
        </is>
      </c>
      <c r="DW265" s="53" t="inlineStr">
        <is>
          <t>iFile</t>
        </is>
      </c>
      <c r="DX265" s="53" t="inlineStr">
        <is>
          <t>Technology</t>
        </is>
      </c>
      <c r="DY265" s="53" t="inlineStr">
        <is>
          <t>Development</t>
        </is>
      </c>
      <c r="DZ265" s="53" t="inlineStr">
        <is>
          <t>Yes</t>
        </is>
      </c>
      <c r="EA265" s="53" t="inlineStr">
        <is>
          <t>Product/Project</t>
        </is>
      </c>
      <c r="EB265" s="53" t="inlineStr">
        <is>
          <t>.NET MVC</t>
        </is>
      </c>
      <c r="EC265" s="53" t="inlineStr">
        <is>
          <t>Technical - Developer</t>
        </is>
      </c>
      <c r="ED265" s="53" t="inlineStr">
        <is>
          <t>Remote - Mumbai</t>
        </is>
      </c>
      <c r="EE265" s="53" t="n"/>
      <c r="EF265" s="53" t="n"/>
      <c r="EG265" s="53"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EH265" s="53" t="n">
        <v>3</v>
      </c>
      <c r="EI265" s="54" t="n">
        <v>45901</v>
      </c>
      <c r="EJ265" s="53" t="inlineStr">
        <is>
          <t>Lead Software Engineer</t>
        </is>
      </c>
      <c r="EK265" s="53" t="inlineStr">
        <is>
          <t>Yes</t>
        </is>
      </c>
      <c r="EL265" s="53" t="n">
        <v>3</v>
      </c>
      <c r="EM265" s="53" t="inlineStr">
        <is>
          <t>Medium</t>
        </is>
      </c>
      <c r="EN265" s="53" t="inlineStr">
        <is>
          <t>Trusted Professional</t>
        </is>
      </c>
      <c r="EO265" s="53" t="n"/>
      <c r="EP265" s="53" t="n"/>
      <c r="EQ265" s="53" t="n"/>
      <c r="ER265" s="53" t="n"/>
      <c r="ES265" s="53" t="inlineStr">
        <is>
          <t>Taxonomy
AI</t>
        </is>
      </c>
      <c r="ET265" s="53" t="n"/>
      <c r="EU265" s="53" t="n"/>
      <c r="EV265" s="53" t="n"/>
      <c r="EW265" s="52" t="n"/>
      <c r="EX265" s="53" t="n"/>
      <c r="EY265" s="53" t="n"/>
      <c r="EZ265" s="53" t="n"/>
      <c r="FA265" s="53" t="n"/>
      <c r="FB265" s="53" t="n"/>
      <c r="FC265" s="53" t="n"/>
      <c r="FD265" s="53" t="n"/>
      <c r="FE265" s="55" t="inlineStr">
        <is>
          <t>KRAs not received · manager to supply</t>
        </is>
      </c>
      <c r="FF265" s="56"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FG265" s="56" t="n"/>
      <c r="FH265" s="56" t="inlineStr">
        <is>
          <t>3</t>
        </is>
      </c>
      <c r="FI265" s="56" t="n"/>
      <c r="FJ265" s="56" t="inlineStr">
        <is>
          <t>Received · quarterly</t>
        </is>
      </c>
      <c r="FK265" s="56" t="inlineStr">
        <is>
          <t>Talent Mapping · iFile collated</t>
        </is>
      </c>
      <c r="FL265" s="56" t="n">
        <v>20</v>
      </c>
      <c r="FM265" s="32" t="inlineStr">
        <is>
          <t>Full survey answers not in the files received · How We Grow export needed · HR</t>
        </is>
      </c>
      <c r="FN265" s="56" t="inlineStr">
        <is>
          <t>—</t>
        </is>
      </c>
      <c r="FO265" s="56" t="inlineStr">
        <is>
          <t>—</t>
        </is>
      </c>
      <c r="FP265" s="56" t="inlineStr">
        <is>
          <t>—</t>
        </is>
      </c>
      <c r="FQ265" s="56" t="inlineStr">
        <is>
          <t>—</t>
        </is>
      </c>
      <c r="FR265" s="56" t="inlineStr">
        <is>
          <t>Business Impact: No survey or manager-mapping signal on criticality: kept at the start point.</t>
        </is>
      </c>
      <c r="FS265"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265" s="56" t="inlineStr">
        <is>
          <t>Self-identified: Leadership &amp; people management
For the next role: Leadership &amp; people management</t>
        </is>
      </c>
      <c r="FU265" s="32" t="inlineStr">
        <is>
          <t>Full survey answers not in the files received · How We Grow export needed · HR</t>
        </is>
      </c>
    </row>
    <row r="266" ht="90" customHeight="1">
      <c r="A266" s="51" t="inlineStr">
        <is>
          <t>◂ Back</t>
        </is>
      </c>
      <c r="B266" s="29" t="inlineStr">
        <is>
          <t>Mapped</t>
        </is>
      </c>
      <c r="C266" s="28" t="inlineStr">
        <is>
          <t>iFile</t>
        </is>
      </c>
      <c r="D266" s="29" t="inlineStr">
        <is>
          <t>IRIS1627</t>
        </is>
      </c>
      <c r="E266" s="29" t="inlineStr">
        <is>
          <t>Manish Chouhan</t>
        </is>
      </c>
      <c r="F266" s="29" t="inlineStr">
        <is>
          <t>Technology</t>
        </is>
      </c>
      <c r="G266" s="29" t="inlineStr">
        <is>
          <t>Senior Software Engineer</t>
        </is>
      </c>
      <c r="H266" s="29" t="inlineStr">
        <is>
          <t>Senior Technical Specialist – POD Lead</t>
        </is>
      </c>
      <c r="I266" s="29" t="inlineStr">
        <is>
          <t>L4 – Senior</t>
        </is>
      </c>
      <c r="J266" s="29" t="inlineStr">
        <is>
          <t>B1</t>
        </is>
      </c>
      <c r="K266" s="29" t="inlineStr">
        <is>
          <t>▲ Up</t>
        </is>
      </c>
      <c r="L266" s="29" t="inlineStr">
        <is>
          <t>Engineering &amp; Development</t>
        </is>
      </c>
      <c r="M266" s="29" t="inlineStr">
        <is>
          <t>Backend Development</t>
        </is>
      </c>
      <c r="N266" s="29" t="n"/>
      <c r="O266" s="29" t="n">
        <v>19</v>
      </c>
      <c r="P266" s="28" t="inlineStr">
        <is>
          <t>P3 / M2</t>
        </is>
      </c>
      <c r="Q266" s="29" t="inlineStr">
        <is>
          <t>Career / · Team Lead</t>
        </is>
      </c>
      <c r="R266" s="29" t="inlineStr">
        <is>
          <t>4 Enable</t>
        </is>
      </c>
      <c r="S266" s="29" t="inlineStr">
        <is>
          <t>4–7 yrs</t>
        </is>
      </c>
      <c r="T266" s="29" t="inlineStr">
        <is>
          <t>5–8 · 4–8</t>
        </is>
      </c>
      <c r="U266" s="29" t="inlineStr">
        <is>
          <t>Lead / Staff Engineer</t>
        </is>
      </c>
      <c r="V266" s="29" t="inlineStr">
        <is>
          <t>Workiva: SE / Senior SE · Broadridge India: Senior SE · Nasdaq / AxiomSL: Senior SE · Salesforce: MTS · Atlassian: P40 · Freshworks: Senior SE</t>
        </is>
      </c>
      <c r="W266" s="29" t="inlineStr">
        <is>
          <t>SFIA 9 · software development, programming; OWASP secure coding; cloud vendor certifications</t>
        </is>
      </c>
      <c r="X266" s="29" t="inlineStr">
        <is>
          <t>Core 3 · Future 3 · Functional 3 · Leadership 2</t>
        </is>
      </c>
      <c r="Y266" s="52" t="n">
        <v>133</v>
      </c>
      <c r="Z266" s="53" t="inlineStr">
        <is>
          <t>IRIS1627</t>
        </is>
      </c>
      <c r="AA266" s="53" t="inlineStr">
        <is>
          <t>Employee</t>
        </is>
      </c>
      <c r="AB266" s="53" t="inlineStr">
        <is>
          <t>Active</t>
        </is>
      </c>
      <c r="AC266" s="53" t="inlineStr">
        <is>
          <t>Manish Chouhan</t>
        </is>
      </c>
      <c r="AD266" s="54" t="n">
        <v>42795</v>
      </c>
      <c r="AE266" s="53" t="inlineStr">
        <is>
          <t>Senior Software Engineer</t>
        </is>
      </c>
      <c r="AF266" s="53" t="inlineStr">
        <is>
          <t>M.Tech</t>
        </is>
      </c>
      <c r="AG266" s="53" t="inlineStr">
        <is>
          <t>Sharanagouda Patil</t>
        </is>
      </c>
      <c r="AH266" s="53" t="inlineStr">
        <is>
          <t>N-4</t>
        </is>
      </c>
      <c r="AI266" s="53" t="inlineStr">
        <is>
          <t>Manager</t>
        </is>
      </c>
      <c r="AJ266" s="53" t="inlineStr">
        <is>
          <t>2 years, 0 months, 0 days</t>
        </is>
      </c>
      <c r="AK266" s="53" t="inlineStr">
        <is>
          <t>9 years, 5 months, 24 days</t>
        </is>
      </c>
      <c r="AL266" s="53" t="inlineStr">
        <is>
          <t>Suptech</t>
        </is>
      </c>
      <c r="AM266" s="53" t="inlineStr">
        <is>
          <t>iFile</t>
        </is>
      </c>
      <c r="AN266" s="53" t="inlineStr">
        <is>
          <t>Technology</t>
        </is>
      </c>
      <c r="AO266" s="53" t="inlineStr">
        <is>
          <t>Development</t>
        </is>
      </c>
      <c r="AP266" s="53" t="inlineStr">
        <is>
          <t>Yes</t>
        </is>
      </c>
      <c r="AQ266" s="53" t="inlineStr">
        <is>
          <t>Product/Project</t>
        </is>
      </c>
      <c r="AR266" s="53" t="inlineStr">
        <is>
          <t>.NET MVC</t>
        </is>
      </c>
      <c r="AS266" s="53" t="inlineStr">
        <is>
          <t>Technical - Developer</t>
        </is>
      </c>
      <c r="AT266" s="53" t="n">
        <v>20</v>
      </c>
      <c r="AU266" s="53" t="inlineStr">
        <is>
          <t>Covered</t>
        </is>
      </c>
      <c r="AV266" s="53" t="n"/>
      <c r="AW266" s="53" t="n"/>
      <c r="AX266" s="53" t="n"/>
      <c r="AY266" s="53" t="n"/>
      <c r="AZ266" s="53" t="n"/>
      <c r="BA266" s="53" t="n"/>
      <c r="BB266" s="53" t="n"/>
      <c r="BC266" s="53" t="n"/>
      <c r="BD266" s="53" t="n"/>
      <c r="BE266" s="53" t="n"/>
      <c r="BF266" s="53" t="n"/>
      <c r="BG266" s="53" t="n"/>
      <c r="BH266" s="53" t="n"/>
      <c r="BI266" s="53" t="n"/>
      <c r="BJ266" s="53" t="n"/>
      <c r="BK266" s="53" t="n"/>
      <c r="BL266" s="53" t="n"/>
      <c r="BM266" s="53" t="n"/>
      <c r="BN266" s="53" t="n"/>
      <c r="BO266" s="53" t="n"/>
      <c r="BP266" s="53" t="n"/>
      <c r="BQ266" s="53" t="n"/>
      <c r="BR266" s="53" t="n"/>
      <c r="BS266" s="53" t="n"/>
      <c r="BT266" s="53" t="n"/>
      <c r="BU266" s="53" t="n"/>
      <c r="BV266" s="53" t="n"/>
      <c r="BW266" s="53" t="n"/>
      <c r="BX266" s="53" t="n"/>
      <c r="BY266" s="53" t="n"/>
      <c r="BZ266" s="53" t="n"/>
      <c r="CA266" s="53" t="n"/>
      <c r="CB266" s="53" t="n"/>
      <c r="CC266" s="53" t="n"/>
      <c r="CD266" s="53" t="n"/>
      <c r="CE266" s="53" t="n"/>
      <c r="CF266" s="53" t="n"/>
      <c r="CG266" s="53" t="n"/>
      <c r="CH266" s="53" t="n"/>
      <c r="CI266" s="53" t="n"/>
      <c r="CJ266" s="53" t="n"/>
      <c r="CK266" s="53" t="n"/>
      <c r="CL266" s="53" t="n"/>
      <c r="CM266" s="53" t="n"/>
      <c r="CN266" s="53" t="n"/>
      <c r="CO266" s="53" t="n"/>
      <c r="CP266" s="53" t="n"/>
      <c r="CQ266" s="53" t="n"/>
      <c r="CR266" s="53" t="n"/>
      <c r="CS266" s="53" t="n"/>
      <c r="CT266" s="53" t="n"/>
      <c r="CU266" s="53" t="n"/>
      <c r="CV266" s="53" t="n"/>
      <c r="CW266" s="53" t="n"/>
      <c r="CX266" s="53" t="n"/>
      <c r="CY266" s="53" t="n"/>
      <c r="CZ266" s="53" t="n"/>
      <c r="DA266" s="53" t="n"/>
      <c r="DB266" s="53" t="n"/>
      <c r="DC266" s="53" t="n"/>
      <c r="DD266" s="53" t="inlineStr">
        <is>
          <t>IRIS1627</t>
        </is>
      </c>
      <c r="DE266" s="53" t="inlineStr">
        <is>
          <t>Employee</t>
        </is>
      </c>
      <c r="DF266" s="53" t="inlineStr">
        <is>
          <t>Active</t>
        </is>
      </c>
      <c r="DG266" s="53" t="inlineStr">
        <is>
          <t>Manish Chouhan</t>
        </is>
      </c>
      <c r="DH266" s="54" t="n">
        <v>42795</v>
      </c>
      <c r="DI266" s="53" t="inlineStr">
        <is>
          <t>Senior Software Engineer</t>
        </is>
      </c>
      <c r="DJ266" s="53" t="inlineStr">
        <is>
          <t>Engineering &amp; Development</t>
        </is>
      </c>
      <c r="DK266" s="53" t="inlineStr">
        <is>
          <t>Backend Engineering ·.NET</t>
        </is>
      </c>
      <c r="DL266" s="53" t="inlineStr">
        <is>
          <t>Senior Software Engineer</t>
        </is>
      </c>
      <c r="DM266" s="53" t="inlineStr">
        <is>
          <t>L4 – Senior</t>
        </is>
      </c>
      <c r="DN266" s="53" t="inlineStr">
        <is>
          <t>M.Tech</t>
        </is>
      </c>
      <c r="DO266" s="53" t="inlineStr">
        <is>
          <t>Sharanagouda Patil</t>
        </is>
      </c>
      <c r="DP266" s="53" t="inlineStr">
        <is>
          <t>N-3</t>
        </is>
      </c>
      <c r="DQ266" s="53" t="inlineStr">
        <is>
          <t>Manager</t>
        </is>
      </c>
      <c r="DR266" s="53" t="inlineStr">
        <is>
          <t>2 years, 0 months, 0 days</t>
        </is>
      </c>
      <c r="DS266" s="53" t="inlineStr">
        <is>
          <t>9 years, 3 months, 19 days</t>
        </is>
      </c>
      <c r="DT266" s="53" t="inlineStr">
        <is>
          <t>11 years, 3 months, 19 days</t>
        </is>
      </c>
      <c r="DU266" s="53" t="n">
        <v>9.302054794520551</v>
      </c>
      <c r="DV266" s="53" t="inlineStr">
        <is>
          <t>Suptech</t>
        </is>
      </c>
      <c r="DW266" s="53" t="inlineStr">
        <is>
          <t>iFile</t>
        </is>
      </c>
      <c r="DX266" s="53" t="inlineStr">
        <is>
          <t>Technology</t>
        </is>
      </c>
      <c r="DY266" s="53" t="inlineStr">
        <is>
          <t>Development</t>
        </is>
      </c>
      <c r="DZ266" s="53" t="inlineStr">
        <is>
          <t>Yes</t>
        </is>
      </c>
      <c r="EA266" s="53" t="inlineStr">
        <is>
          <t>Product/Project</t>
        </is>
      </c>
      <c r="EB266" s="53" t="inlineStr">
        <is>
          <t>.NET MVC</t>
        </is>
      </c>
      <c r="EC266" s="53" t="inlineStr">
        <is>
          <t>Technical - Developer</t>
        </is>
      </c>
      <c r="ED266" s="53" t="inlineStr">
        <is>
          <t>Hybrid</t>
        </is>
      </c>
      <c r="EE266" s="53" t="n"/>
      <c r="EF266" s="53" t="n"/>
      <c r="EG266"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66" s="53" t="n">
        <v>3</v>
      </c>
      <c r="EI266" s="54" t="n">
        <v>45901</v>
      </c>
      <c r="EJ266" s="53" t="inlineStr">
        <is>
          <t>Lead Software Engineer · review – mgr scope + tenure</t>
        </is>
      </c>
      <c r="EK266" s="53" t="inlineStr">
        <is>
          <t>Yes</t>
        </is>
      </c>
      <c r="EL266" s="53" t="n">
        <v>3</v>
      </c>
      <c r="EM266" s="53" t="inlineStr">
        <is>
          <t>Medium</t>
        </is>
      </c>
      <c r="EN266" s="53" t="inlineStr">
        <is>
          <t>Trusted Professional</t>
        </is>
      </c>
      <c r="EO266" s="53" t="n"/>
      <c r="EP266" s="53" t="n"/>
      <c r="EQ266" s="53" t="n"/>
      <c r="ER266" s="53" t="n"/>
      <c r="ES266" s="53" t="inlineStr">
        <is>
          <t>Taxonomy
AI</t>
        </is>
      </c>
      <c r="ET266" s="53" t="n"/>
      <c r="EU266" s="53" t="n"/>
      <c r="EV266" s="53" t="n"/>
      <c r="EW266" s="52" t="n"/>
      <c r="EX266" s="53" t="n"/>
      <c r="EY266" s="53" t="n"/>
      <c r="EZ266" s="53" t="n"/>
      <c r="FA266" s="53" t="n"/>
      <c r="FB266" s="53" t="n"/>
      <c r="FC266" s="53" t="n"/>
      <c r="FD266" s="53" t="n"/>
      <c r="FE266" s="55" t="inlineStr">
        <is>
          <t>KRAs not received · manager to supply</t>
        </is>
      </c>
      <c r="FF266"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66" s="56" t="n"/>
      <c r="FH266" s="56" t="inlineStr">
        <is>
          <t>3</t>
        </is>
      </c>
      <c r="FI266" s="56" t="n"/>
      <c r="FJ266" s="56" t="inlineStr">
        <is>
          <t>Received · quarterly</t>
        </is>
      </c>
      <c r="FK266" s="56" t="inlineStr">
        <is>
          <t>Talent Mapping · iFile collated</t>
        </is>
      </c>
      <c r="FL266" s="56" t="n">
        <v>19</v>
      </c>
      <c r="FM266" s="32" t="inlineStr">
        <is>
          <t>Full survey answers not in the files received · How We Grow export needed · HR</t>
        </is>
      </c>
      <c r="FN266" s="56" t="inlineStr">
        <is>
          <t>—</t>
        </is>
      </c>
      <c r="FO266" s="56" t="inlineStr">
        <is>
          <t>—</t>
        </is>
      </c>
      <c r="FP266" s="56" t="inlineStr">
        <is>
          <t>—</t>
        </is>
      </c>
      <c r="FQ266" s="56" t="inlineStr">
        <is>
          <t>—</t>
        </is>
      </c>
      <c r="FR266" s="56"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of 7-9 iFile tools, GST Utility and SBC portal changes → matches the start
Leadership: Evidence reads like B1: Guides the iFile tool team and reviews their work at regular intervals; 2 reports → matches the start
Business Impact: No survey or manager-mapping signal on criticality: kept at the start point.</t>
        </is>
      </c>
      <c r="FS26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66" s="56" t="inlineStr">
        <is>
          <t>Self-identified: Technical depth &amp; architecture · Broader exposure &amp; ownership
For the next role: Technical depth &amp; architecture · Broader exposure &amp; ownership</t>
        </is>
      </c>
      <c r="FU266" s="32" t="inlineStr">
        <is>
          <t>Full survey answers not in the files received · How We Grow export needed · HR</t>
        </is>
      </c>
    </row>
    <row r="267" ht="90" customHeight="1">
      <c r="A267" s="51" t="inlineStr">
        <is>
          <t>◂ Back</t>
        </is>
      </c>
      <c r="B267" s="29" t="inlineStr">
        <is>
          <t>Mapped</t>
        </is>
      </c>
      <c r="C267" s="28" t="inlineStr">
        <is>
          <t>iFile</t>
        </is>
      </c>
      <c r="D267" s="29" t="inlineStr">
        <is>
          <t>IRIS2073</t>
        </is>
      </c>
      <c r="E267" s="29" t="inlineStr">
        <is>
          <t>Hemalatha Visamsetti</t>
        </is>
      </c>
      <c r="F267" s="29" t="inlineStr">
        <is>
          <t>Technology</t>
        </is>
      </c>
      <c r="G267" s="29" t="inlineStr">
        <is>
          <t>Senior Software Engineer</t>
        </is>
      </c>
      <c r="H267" s="29" t="inlineStr">
        <is>
          <t>Senior Software Engineer</t>
        </is>
      </c>
      <c r="I267" s="29" t="inlineStr">
        <is>
          <t>L4 – Senior</t>
        </is>
      </c>
      <c r="J267" s="29" t="inlineStr">
        <is>
          <t>A3</t>
        </is>
      </c>
      <c r="K267" s="29" t="inlineStr">
        <is>
          <t>• Same level</t>
        </is>
      </c>
      <c r="L267" s="29" t="inlineStr">
        <is>
          <t>Engineering &amp; Development</t>
        </is>
      </c>
      <c r="M267" s="29" t="inlineStr">
        <is>
          <t>Backend Development</t>
        </is>
      </c>
      <c r="N267" s="29" t="n"/>
      <c r="O267" s="29" t="n">
        <v>20</v>
      </c>
      <c r="P267" s="28" t="inlineStr">
        <is>
          <t>P2</t>
        </is>
      </c>
      <c r="Q267" s="29" t="inlineStr">
        <is>
          <t>Developing</t>
        </is>
      </c>
      <c r="R267" s="29" t="inlineStr">
        <is>
          <t>3 Apply</t>
        </is>
      </c>
      <c r="S267" s="29" t="inlineStr">
        <is>
          <t>2–4 yrs</t>
        </is>
      </c>
      <c r="T267" s="29" t="inlineStr">
        <is>
          <t>3–5 · 2–5</t>
        </is>
      </c>
      <c r="U267" s="29" t="inlineStr">
        <is>
          <t>Software Engineer</t>
        </is>
      </c>
      <c r="V267" s="29" t="inlineStr">
        <is>
          <t>Workiva: SE · Broadridge India: SE · Nasdaq / AxiomSL: SE · Salesforce: MTS · Atlassian: P40 · 3–7 yrs · Freshworks: Senior SE</t>
        </is>
      </c>
      <c r="W267" s="29" t="inlineStr">
        <is>
          <t>SFIA 9 · software development, programming; OWASP secure coding; cloud vendor certifications</t>
        </is>
      </c>
      <c r="X267" s="29" t="inlineStr">
        <is>
          <t>Core 2 · Future 2 · Functional 3 · Leadership not scored</t>
        </is>
      </c>
      <c r="Y267" s="52" t="n">
        <v>248</v>
      </c>
      <c r="Z267" s="53" t="inlineStr">
        <is>
          <t>IRIS2073</t>
        </is>
      </c>
      <c r="AA267" s="53" t="inlineStr">
        <is>
          <t>Employee</t>
        </is>
      </c>
      <c r="AB267" s="53" t="inlineStr">
        <is>
          <t>Active</t>
        </is>
      </c>
      <c r="AC267" s="53" t="inlineStr">
        <is>
          <t>Hemalatha Visamsetti</t>
        </is>
      </c>
      <c r="AD267" s="54" t="n">
        <v>44866</v>
      </c>
      <c r="AE267" s="53" t="inlineStr">
        <is>
          <t>Senior Software Engineer</t>
        </is>
      </c>
      <c r="AF267" s="53" t="inlineStr">
        <is>
          <t>MCA</t>
        </is>
      </c>
      <c r="AG267" s="53" t="inlineStr">
        <is>
          <t>Manish Chouhan</t>
        </is>
      </c>
      <c r="AH267" s="53" t="inlineStr">
        <is>
          <t>N-5</t>
        </is>
      </c>
      <c r="AI267" s="53" t="inlineStr">
        <is>
          <t>Individual Contributor</t>
        </is>
      </c>
      <c r="AJ267" s="53" t="inlineStr">
        <is>
          <t>4 years, 2 months, 0 days</t>
        </is>
      </c>
      <c r="AK267" s="53" t="inlineStr">
        <is>
          <t>3 years, 9 months, 24 days</t>
        </is>
      </c>
      <c r="AL267" s="53" t="inlineStr">
        <is>
          <t>Suptech</t>
        </is>
      </c>
      <c r="AM267" s="53" t="inlineStr">
        <is>
          <t>iFile</t>
        </is>
      </c>
      <c r="AN267" s="53" t="inlineStr">
        <is>
          <t>Technology</t>
        </is>
      </c>
      <c r="AO267" s="53" t="inlineStr">
        <is>
          <t>Development</t>
        </is>
      </c>
      <c r="AP267" s="53" t="inlineStr">
        <is>
          <t>Yes</t>
        </is>
      </c>
      <c r="AQ267" s="53" t="inlineStr">
        <is>
          <t>Product/Project</t>
        </is>
      </c>
      <c r="AR267" s="53" t="inlineStr">
        <is>
          <t>.NET MVC</t>
        </is>
      </c>
      <c r="AS267" s="53" t="inlineStr">
        <is>
          <t>Technical - Developer</t>
        </is>
      </c>
      <c r="AT267" s="53" t="n">
        <v>20</v>
      </c>
      <c r="AU267" s="53" t="inlineStr">
        <is>
          <t>Covered</t>
        </is>
      </c>
      <c r="AV267" s="53" t="n"/>
      <c r="AW267" s="53" t="n"/>
      <c r="AX267" s="53" t="n"/>
      <c r="AY267" s="53" t="n"/>
      <c r="AZ267" s="53" t="n"/>
      <c r="BA267" s="53" t="n"/>
      <c r="BB267" s="53" t="n"/>
      <c r="BC267" s="53" t="n"/>
      <c r="BD267" s="53" t="n"/>
      <c r="BE267" s="53" t="n"/>
      <c r="BF267" s="53" t="n"/>
      <c r="BG267" s="53" t="n"/>
      <c r="BH267" s="53" t="n"/>
      <c r="BI267" s="53" t="n"/>
      <c r="BJ267" s="53" t="n"/>
      <c r="BK267" s="53" t="n"/>
      <c r="BL267" s="53" t="n"/>
      <c r="BM267" s="53" t="n"/>
      <c r="BN267" s="53" t="n"/>
      <c r="BO267" s="53" t="n"/>
      <c r="BP267" s="53" t="n"/>
      <c r="BQ267" s="53" t="n"/>
      <c r="BR267" s="53" t="n"/>
      <c r="BS267" s="53" t="n"/>
      <c r="BT267" s="53" t="n"/>
      <c r="BU267" s="53" t="n"/>
      <c r="BV267" s="53" t="n"/>
      <c r="BW267" s="53" t="n"/>
      <c r="BX267" s="53" t="n"/>
      <c r="BY267" s="53" t="n"/>
      <c r="BZ267" s="53" t="n"/>
      <c r="CA267" s="53" t="n"/>
      <c r="CB267" s="53" t="n"/>
      <c r="CC267" s="53" t="n"/>
      <c r="CD267" s="53" t="n"/>
      <c r="CE267" s="53" t="n"/>
      <c r="CF267" s="53" t="n"/>
      <c r="CG267" s="53" t="n"/>
      <c r="CH267" s="53" t="n"/>
      <c r="CI267" s="53" t="n"/>
      <c r="CJ267" s="53" t="n"/>
      <c r="CK267" s="53" t="n"/>
      <c r="CL267" s="53" t="n"/>
      <c r="CM267" s="53" t="n"/>
      <c r="CN267" s="53" t="n"/>
      <c r="CO267" s="53" t="n"/>
      <c r="CP267" s="53" t="n"/>
      <c r="CQ267" s="53" t="n"/>
      <c r="CR267" s="53" t="n"/>
      <c r="CS267" s="53" t="n"/>
      <c r="CT267" s="53" t="n"/>
      <c r="CU267" s="53" t="n"/>
      <c r="CV267" s="53" t="n"/>
      <c r="CW267" s="53" t="n"/>
      <c r="CX267" s="53" t="n"/>
      <c r="CY267" s="53" t="n"/>
      <c r="CZ267" s="53" t="n"/>
      <c r="DA267" s="53" t="n"/>
      <c r="DB267" s="53" t="n"/>
      <c r="DC267" s="53" t="n"/>
      <c r="DD267" s="53" t="inlineStr">
        <is>
          <t>IRIS2073</t>
        </is>
      </c>
      <c r="DE267" s="53" t="inlineStr">
        <is>
          <t>Employee</t>
        </is>
      </c>
      <c r="DF267" s="53" t="inlineStr">
        <is>
          <t>Active</t>
        </is>
      </c>
      <c r="DG267" s="53" t="inlineStr">
        <is>
          <t>Hemalatha Visamsetti</t>
        </is>
      </c>
      <c r="DH267" s="54" t="n">
        <v>44866</v>
      </c>
      <c r="DI267" s="53" t="inlineStr">
        <is>
          <t>Senior Software Engineer</t>
        </is>
      </c>
      <c r="DJ267" s="53" t="inlineStr">
        <is>
          <t>Engineering &amp; Development</t>
        </is>
      </c>
      <c r="DK267" s="53" t="inlineStr">
        <is>
          <t>Backend Engineering ·.NET</t>
        </is>
      </c>
      <c r="DL267" s="53" t="inlineStr">
        <is>
          <t>Senior Software Engineer</t>
        </is>
      </c>
      <c r="DM267" s="53" t="inlineStr">
        <is>
          <t>L4 – Senior</t>
        </is>
      </c>
      <c r="DN267" s="53" t="inlineStr">
        <is>
          <t>MCA</t>
        </is>
      </c>
      <c r="DO267" s="53" t="inlineStr">
        <is>
          <t>Manish Chouhan</t>
        </is>
      </c>
      <c r="DP267" s="53" t="inlineStr">
        <is>
          <t>N-4</t>
        </is>
      </c>
      <c r="DQ267" s="53" t="inlineStr">
        <is>
          <t>Individual Contributor</t>
        </is>
      </c>
      <c r="DR267" s="53" t="inlineStr">
        <is>
          <t>4 years, 2 months, 0 days</t>
        </is>
      </c>
      <c r="DS267" s="53" t="inlineStr">
        <is>
          <t>3 years, 7 months, 19 days</t>
        </is>
      </c>
      <c r="DT267" s="53" t="inlineStr">
        <is>
          <t>7 years, 9 months, 19 days</t>
        </is>
      </c>
      <c r="DU267" s="53" t="n"/>
      <c r="DV267" s="53" t="inlineStr">
        <is>
          <t>Suptech</t>
        </is>
      </c>
      <c r="DW267" s="53" t="inlineStr">
        <is>
          <t>iFile</t>
        </is>
      </c>
      <c r="DX267" s="53" t="inlineStr">
        <is>
          <t>Technology</t>
        </is>
      </c>
      <c r="DY267" s="53" t="inlineStr">
        <is>
          <t>Development</t>
        </is>
      </c>
      <c r="DZ267" s="53" t="inlineStr">
        <is>
          <t>Yes</t>
        </is>
      </c>
      <c r="EA267" s="53" t="inlineStr">
        <is>
          <t>Product/Project</t>
        </is>
      </c>
      <c r="EB267" s="53" t="inlineStr">
        <is>
          <t>.NET MVC</t>
        </is>
      </c>
      <c r="EC267" s="53" t="inlineStr">
        <is>
          <t>Technical - Developer</t>
        </is>
      </c>
      <c r="ED267" s="53" t="inlineStr">
        <is>
          <t>Remote- Outside Mumbai</t>
        </is>
      </c>
      <c r="EE267" s="53" t="n"/>
      <c r="EF267" s="53"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EG267" s="53"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EH267" s="53" t="n">
        <v>4</v>
      </c>
      <c r="EI267" s="54" t="n">
        <v>45901</v>
      </c>
      <c r="EJ267" s="53" t="inlineStr">
        <is>
          <t>Senior Software Engineer</t>
        </is>
      </c>
      <c r="EK267" s="53" t="inlineStr">
        <is>
          <t>Yes</t>
        </is>
      </c>
      <c r="EL267" s="53" t="n">
        <v>4</v>
      </c>
      <c r="EM267" s="53" t="inlineStr">
        <is>
          <t>Medium</t>
        </is>
      </c>
      <c r="EN267" s="53" t="inlineStr">
        <is>
          <t>Trusted Professional</t>
        </is>
      </c>
      <c r="EO267" s="53" t="n"/>
      <c r="EP267" s="53" t="n"/>
      <c r="EQ267" s="53" t="n"/>
      <c r="ER267" s="53" t="n"/>
      <c r="ES267" s="53" t="n"/>
      <c r="ET267" s="53" t="n"/>
      <c r="EU267" s="53" t="n"/>
      <c r="EV267" s="53" t="n"/>
      <c r="EW267" s="52" t="n"/>
      <c r="EX267" s="53" t="n"/>
      <c r="EY267" s="53" t="n"/>
      <c r="EZ267" s="53" t="n"/>
      <c r="FA267" s="53" t="n"/>
      <c r="FB267" s="53" t="n"/>
      <c r="FC267" s="53" t="n"/>
      <c r="FD267" s="53" t="n"/>
      <c r="FE267" s="57"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FF267" s="56"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FG267" s="56" t="n"/>
      <c r="FH267" s="56" t="inlineStr">
        <is>
          <t>4</t>
        </is>
      </c>
      <c r="FI267" s="56" t="n"/>
      <c r="FJ267" s="56" t="inlineStr">
        <is>
          <t>Received · manager annual, quarterly</t>
        </is>
      </c>
      <c r="FK267" s="56" t="inlineStr">
        <is>
          <t>Talent Mapping · iFile collated</t>
        </is>
      </c>
      <c r="FL267" s="56" t="n">
        <v>20</v>
      </c>
      <c r="FM267" s="32" t="inlineStr">
        <is>
          <t>Full survey answers not in the files received · How We Grow export needed · HR</t>
        </is>
      </c>
      <c r="FN267" s="56" t="inlineStr">
        <is>
          <t>—</t>
        </is>
      </c>
      <c r="FO267" s="56" t="inlineStr">
        <is>
          <t>—</t>
        </is>
      </c>
      <c r="FP267" s="56" t="inlineStr">
        <is>
          <t>—</t>
        </is>
      </c>
      <c r="FQ267" s="56" t="inlineStr">
        <is>
          <t>—</t>
        </is>
      </c>
      <c r="FR267" s="56"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regulator applications → matches the start
Leadership: Evidence reads like A2: Mentions mentoring and code reviews once, without detail → matches the start
Business Impact: No survey or manager-mapping signal on criticality: kept at the start point.</t>
        </is>
      </c>
      <c r="FS26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67" s="56" t="inlineStr">
        <is>
          <t>Self-identified: Leadership &amp; people management · Technical depth &amp; architecture
For the next role: Leadership &amp; people management · Technical depth &amp; architecture · Broader exposure &amp; ownership</t>
        </is>
      </c>
      <c r="FU267" s="32" t="inlineStr">
        <is>
          <t>Full survey answers not in the files received · How We Grow export needed · HR</t>
        </is>
      </c>
    </row>
    <row r="268" ht="90" customHeight="1">
      <c r="A268" s="51" t="inlineStr">
        <is>
          <t>◂ Back</t>
        </is>
      </c>
      <c r="B268" s="29" t="inlineStr">
        <is>
          <t>Mapped</t>
        </is>
      </c>
      <c r="C268" s="28" t="inlineStr">
        <is>
          <t>iFile</t>
        </is>
      </c>
      <c r="D268" s="29" t="inlineStr">
        <is>
          <t>IRIS2026</t>
        </is>
      </c>
      <c r="E268" s="29" t="inlineStr">
        <is>
          <t>Shubhangi Vaidya</t>
        </is>
      </c>
      <c r="F268" s="29" t="inlineStr">
        <is>
          <t>Technology</t>
        </is>
      </c>
      <c r="G268" s="29" t="inlineStr">
        <is>
          <t>Software Engineer</t>
        </is>
      </c>
      <c r="H268" s="29" t="inlineStr">
        <is>
          <t>Senior Software Engineer</t>
        </is>
      </c>
      <c r="I268" s="29" t="inlineStr">
        <is>
          <t>L3 – Professional / Associate</t>
        </is>
      </c>
      <c r="J268" s="29" t="inlineStr">
        <is>
          <t>A3</t>
        </is>
      </c>
      <c r="K268" s="29" t="inlineStr">
        <is>
          <t>▲ Up</t>
        </is>
      </c>
      <c r="L268" s="29" t="inlineStr">
        <is>
          <t>Engineering &amp; Development</t>
        </is>
      </c>
      <c r="M268" s="29" t="inlineStr">
        <is>
          <t>Backend Development</t>
        </is>
      </c>
      <c r="N268" s="29" t="n"/>
      <c r="O268" s="29" t="n">
        <v>20</v>
      </c>
      <c r="P268" s="28" t="inlineStr">
        <is>
          <t>P2</t>
        </is>
      </c>
      <c r="Q268" s="29" t="inlineStr">
        <is>
          <t>Developing</t>
        </is>
      </c>
      <c r="R268" s="29" t="inlineStr">
        <is>
          <t>3 Apply</t>
        </is>
      </c>
      <c r="S268" s="29" t="inlineStr">
        <is>
          <t>2–4 yrs</t>
        </is>
      </c>
      <c r="T268" s="29" t="inlineStr">
        <is>
          <t>3–5 · 2–5</t>
        </is>
      </c>
      <c r="U268" s="29" t="inlineStr">
        <is>
          <t>Software Engineer</t>
        </is>
      </c>
      <c r="V268" s="29" t="inlineStr">
        <is>
          <t>Workiva: SE · Broadridge India: SE · Nasdaq / AxiomSL: SE · Salesforce: MTS · Atlassian: P40 · 3–7 yrs · Freshworks: Senior SE</t>
        </is>
      </c>
      <c r="W268" s="29" t="inlineStr">
        <is>
          <t>SFIA 9 · software development, programming; OWASP secure coding; cloud vendor certifications</t>
        </is>
      </c>
      <c r="X268" s="29" t="inlineStr">
        <is>
          <t>Core 2 · Future 2 · Functional 3 · Leadership not scored</t>
        </is>
      </c>
      <c r="Y268" s="52" t="n">
        <v>222</v>
      </c>
      <c r="Z268" s="53" t="inlineStr">
        <is>
          <t>IRIS2026</t>
        </is>
      </c>
      <c r="AA268" s="53" t="inlineStr">
        <is>
          <t>Employee</t>
        </is>
      </c>
      <c r="AB268" s="53" t="inlineStr">
        <is>
          <t>Active</t>
        </is>
      </c>
      <c r="AC268" s="53" t="inlineStr">
        <is>
          <t>Shubhangi Vaidya</t>
        </is>
      </c>
      <c r="AD268" s="54" t="n">
        <v>44721</v>
      </c>
      <c r="AE268" s="53" t="inlineStr">
        <is>
          <t>Software Engineer</t>
        </is>
      </c>
      <c r="AF268" s="53" t="inlineStr">
        <is>
          <t>MCA</t>
        </is>
      </c>
      <c r="AG268" s="53" t="inlineStr">
        <is>
          <t>Manish Chouhan</t>
        </is>
      </c>
      <c r="AH268" s="53" t="inlineStr">
        <is>
          <t>N-5</t>
        </is>
      </c>
      <c r="AI268" s="53" t="inlineStr">
        <is>
          <t>Individual Contributor</t>
        </is>
      </c>
      <c r="AJ268" s="53" t="inlineStr">
        <is>
          <t>1 years, 4 months, 0 days</t>
        </is>
      </c>
      <c r="AK268" s="53" t="inlineStr">
        <is>
          <t>4 years, 2 months, 16 days</t>
        </is>
      </c>
      <c r="AL268" s="53" t="inlineStr">
        <is>
          <t>Suptech</t>
        </is>
      </c>
      <c r="AM268" s="53" t="inlineStr">
        <is>
          <t>iFile</t>
        </is>
      </c>
      <c r="AN268" s="53" t="inlineStr">
        <is>
          <t>Technology</t>
        </is>
      </c>
      <c r="AO268" s="53" t="inlineStr">
        <is>
          <t>Development</t>
        </is>
      </c>
      <c r="AP268" s="53" t="inlineStr">
        <is>
          <t>Yes</t>
        </is>
      </c>
      <c r="AQ268" s="53" t="inlineStr">
        <is>
          <t>Product/Project</t>
        </is>
      </c>
      <c r="AR268" s="53" t="inlineStr">
        <is>
          <t>.NET MVC</t>
        </is>
      </c>
      <c r="AS268" s="53" t="inlineStr">
        <is>
          <t>Technical - Developer</t>
        </is>
      </c>
      <c r="AT268" s="53" t="n">
        <v>20</v>
      </c>
      <c r="AU268" s="53" t="inlineStr">
        <is>
          <t>Covered</t>
        </is>
      </c>
      <c r="AV268" s="53" t="n"/>
      <c r="AW268" s="53" t="n"/>
      <c r="AX268" s="53" t="n"/>
      <c r="AY268" s="53" t="n"/>
      <c r="AZ268" s="53" t="n"/>
      <c r="BA268" s="53" t="n"/>
      <c r="BB268" s="53" t="n"/>
      <c r="BC268" s="53" t="n"/>
      <c r="BD268" s="53" t="n"/>
      <c r="BE268" s="53" t="n"/>
      <c r="BF268" s="53" t="n"/>
      <c r="BG268" s="53" t="n"/>
      <c r="BH268" s="53" t="n"/>
      <c r="BI268" s="53" t="n"/>
      <c r="BJ268" s="53" t="n"/>
      <c r="BK268" s="53" t="n"/>
      <c r="BL268" s="53" t="n"/>
      <c r="BM268" s="53" t="n"/>
      <c r="BN268" s="53" t="n"/>
      <c r="BO268" s="53" t="n"/>
      <c r="BP268" s="53" t="n"/>
      <c r="BQ268" s="53" t="n"/>
      <c r="BR268" s="53" t="n"/>
      <c r="BS268" s="53" t="n"/>
      <c r="BT268" s="53" t="n"/>
      <c r="BU268" s="53" t="n"/>
      <c r="BV268" s="53" t="n"/>
      <c r="BW268" s="53" t="n"/>
      <c r="BX268" s="53" t="n"/>
      <c r="BY268" s="53" t="n"/>
      <c r="BZ268" s="53" t="n"/>
      <c r="CA268" s="53" t="n"/>
      <c r="CB268" s="53" t="n"/>
      <c r="CC268" s="53" t="n"/>
      <c r="CD268" s="53" t="n"/>
      <c r="CE268" s="53" t="n"/>
      <c r="CF268" s="53" t="n"/>
      <c r="CG268" s="53" t="n"/>
      <c r="CH268" s="53" t="n"/>
      <c r="CI268" s="53" t="n"/>
      <c r="CJ268" s="53" t="n"/>
      <c r="CK268" s="53" t="n"/>
      <c r="CL268" s="53" t="n"/>
      <c r="CM268" s="53" t="n"/>
      <c r="CN268" s="53" t="n"/>
      <c r="CO268" s="53" t="n"/>
      <c r="CP268" s="53" t="n"/>
      <c r="CQ268" s="53" t="n"/>
      <c r="CR268" s="53" t="n"/>
      <c r="CS268" s="53" t="n"/>
      <c r="CT268" s="53" t="n"/>
      <c r="CU268" s="53" t="n"/>
      <c r="CV268" s="53" t="n"/>
      <c r="CW268" s="53" t="n"/>
      <c r="CX268" s="53" t="n"/>
      <c r="CY268" s="53" t="n"/>
      <c r="CZ268" s="53" t="n"/>
      <c r="DA268" s="53" t="n"/>
      <c r="DB268" s="53" t="n"/>
      <c r="DC268" s="53" t="n"/>
      <c r="DD268" s="53" t="inlineStr">
        <is>
          <t>IRIS2026</t>
        </is>
      </c>
      <c r="DE268" s="53" t="inlineStr">
        <is>
          <t>Employee</t>
        </is>
      </c>
      <c r="DF268" s="53" t="inlineStr">
        <is>
          <t>Active</t>
        </is>
      </c>
      <c r="DG268" s="53" t="inlineStr">
        <is>
          <t>Shubhangi Vaidya</t>
        </is>
      </c>
      <c r="DH268" s="54" t="n">
        <v>44721</v>
      </c>
      <c r="DI268" s="53" t="inlineStr">
        <is>
          <t>Software Engineer</t>
        </is>
      </c>
      <c r="DJ268" s="53" t="inlineStr">
        <is>
          <t>Engineering &amp; Development</t>
        </is>
      </c>
      <c r="DK268" s="53" t="inlineStr">
        <is>
          <t>Backend Engineering ·.NET</t>
        </is>
      </c>
      <c r="DL268" s="53" t="inlineStr">
        <is>
          <t>Software Engineer</t>
        </is>
      </c>
      <c r="DM268" s="53" t="inlineStr">
        <is>
          <t>L3 – Professional / Associate</t>
        </is>
      </c>
      <c r="DN268" s="53" t="inlineStr">
        <is>
          <t>MCA</t>
        </is>
      </c>
      <c r="DO268" s="53" t="inlineStr">
        <is>
          <t>Manish Chouhan</t>
        </is>
      </c>
      <c r="DP268" s="53" t="inlineStr">
        <is>
          <t>N-4</t>
        </is>
      </c>
      <c r="DQ268" s="53" t="inlineStr">
        <is>
          <t>Individual Contributor</t>
        </is>
      </c>
      <c r="DR268" s="53" t="inlineStr">
        <is>
          <t>1 years, 4 months, 0 days</t>
        </is>
      </c>
      <c r="DS268" s="53" t="inlineStr">
        <is>
          <t>4 years, 0 months, 11 days</t>
        </is>
      </c>
      <c r="DT268" s="53" t="inlineStr">
        <is>
          <t>5 years, 4 months, 11 days</t>
        </is>
      </c>
      <c r="DU268" s="53" t="n"/>
      <c r="DV268" s="53" t="inlineStr">
        <is>
          <t>Suptech</t>
        </is>
      </c>
      <c r="DW268" s="53" t="inlineStr">
        <is>
          <t>iFile</t>
        </is>
      </c>
      <c r="DX268" s="53" t="inlineStr">
        <is>
          <t>Technology</t>
        </is>
      </c>
      <c r="DY268" s="53" t="inlineStr">
        <is>
          <t>Development</t>
        </is>
      </c>
      <c r="DZ268" s="53" t="inlineStr">
        <is>
          <t>Yes</t>
        </is>
      </c>
      <c r="EA268" s="53" t="inlineStr">
        <is>
          <t>Product/Project</t>
        </is>
      </c>
      <c r="EB268" s="53" t="inlineStr">
        <is>
          <t>.NET MVC</t>
        </is>
      </c>
      <c r="EC268" s="53" t="inlineStr">
        <is>
          <t>Technical - Developer</t>
        </is>
      </c>
      <c r="ED268" s="53" t="inlineStr">
        <is>
          <t>Remote- Outside Mumbai</t>
        </is>
      </c>
      <c r="EE268" s="53" t="n"/>
      <c r="EF268" s="53"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EG268" s="53"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EH268" s="53" t="n">
        <v>4</v>
      </c>
      <c r="EI268" s="54" t="n">
        <v>45901</v>
      </c>
      <c r="EJ268" s="53" t="inlineStr">
        <is>
          <t>Software Engineer</t>
        </is>
      </c>
      <c r="EK268" s="53" t="inlineStr">
        <is>
          <t>Yes</t>
        </is>
      </c>
      <c r="EL268" s="53" t="n">
        <v>4.5</v>
      </c>
      <c r="EM268" s="53" t="inlineStr">
        <is>
          <t>Medium</t>
        </is>
      </c>
      <c r="EN268" s="53" t="inlineStr">
        <is>
          <t>Trusted Professional</t>
        </is>
      </c>
      <c r="EO268" s="53" t="n"/>
      <c r="EP268" s="53" t="n"/>
      <c r="EQ268" s="53" t="n"/>
      <c r="ER268" s="53" t="n"/>
      <c r="ES268" s="53" t="inlineStr">
        <is>
          <t>Advanced .NET MVC; secure coding &amp; code-quality practices; unit/automated testing; system design fundamentals</t>
        </is>
      </c>
      <c r="ET268" s="53" t="n"/>
      <c r="EU268" s="53" t="n"/>
      <c r="EV268" s="53" t="n"/>
      <c r="EW268" s="52" t="n"/>
      <c r="EX268" s="53" t="n"/>
      <c r="EY268" s="53" t="n"/>
      <c r="EZ268" s="53" t="n"/>
      <c r="FA268" s="53" t="n"/>
      <c r="FB268" s="53" t="n"/>
      <c r="FC268" s="53" t="n"/>
      <c r="FD268" s="53" t="n"/>
      <c r="FE268" s="57"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FF268" s="56"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FG268" s="56" t="n"/>
      <c r="FH268" s="56" t="inlineStr">
        <is>
          <t>4</t>
        </is>
      </c>
      <c r="FI268" s="56" t="n"/>
      <c r="FJ268" s="56" t="inlineStr">
        <is>
          <t>Received · manager annual, quarterly</t>
        </is>
      </c>
      <c r="FK268" s="56" t="inlineStr">
        <is>
          <t>Talent Mapping · iFile collated</t>
        </is>
      </c>
      <c r="FL268" s="56" t="n">
        <v>20</v>
      </c>
      <c r="FM268" s="32" t="inlineStr">
        <is>
          <t>Full survey answers not in the files received · How We Grow export needed · HR</t>
        </is>
      </c>
      <c r="FN268" s="56" t="inlineStr">
        <is>
          <t>—</t>
        </is>
      </c>
      <c r="FO268" s="56" t="inlineStr">
        <is>
          <t>—</t>
        </is>
      </c>
      <c r="FP268" s="56" t="inlineStr">
        <is>
          <t>—</t>
        </is>
      </c>
      <c r="FQ268" s="56" t="inlineStr">
        <is>
          <t>—</t>
        </is>
      </c>
      <c r="FR268" s="56"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start
Leadership: Evidence reads like A1: No guiding or leading described → matches the start
Business Impact: No survey or manager-mapping signal on criticality: kept at the start point.</t>
        </is>
      </c>
      <c r="FS26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68" s="56" t="inlineStr">
        <is>
          <t>Self-identified: Answered · no common topic
For the next role: Answered · no common topic</t>
        </is>
      </c>
      <c r="FU268" s="32" t="inlineStr">
        <is>
          <t>Full survey answers not in the files received · How We Grow export needed · HR</t>
        </is>
      </c>
    </row>
    <row r="269" ht="90" customHeight="1">
      <c r="A269" s="51" t="inlineStr">
        <is>
          <t>◂ Back</t>
        </is>
      </c>
      <c r="B269" s="29" t="inlineStr">
        <is>
          <t>Mapped</t>
        </is>
      </c>
      <c r="C269" s="28" t="inlineStr">
        <is>
          <t>iFile</t>
        </is>
      </c>
      <c r="D269" s="29" t="inlineStr">
        <is>
          <t>IRIS1550</t>
        </is>
      </c>
      <c r="E269" s="29" t="inlineStr">
        <is>
          <t>Paresh Patil</t>
        </is>
      </c>
      <c r="F269" s="29" t="inlineStr">
        <is>
          <t>Technology</t>
        </is>
      </c>
      <c r="G269" s="29" t="inlineStr">
        <is>
          <t>Senior Software Engineer</t>
        </is>
      </c>
      <c r="H269" s="29" t="inlineStr">
        <is>
          <t>Technical Specialist – POD Lead</t>
        </is>
      </c>
      <c r="I269" s="29" t="inlineStr">
        <is>
          <t>L4 – Senior</t>
        </is>
      </c>
      <c r="J269" s="29" t="inlineStr">
        <is>
          <t>B1</t>
        </is>
      </c>
      <c r="K269" s="29" t="inlineStr">
        <is>
          <t>▲ Up</t>
        </is>
      </c>
      <c r="L269" s="29" t="inlineStr">
        <is>
          <t>Engineering &amp; Development</t>
        </is>
      </c>
      <c r="M269" s="29" t="inlineStr">
        <is>
          <t>Full-Stack Development</t>
        </is>
      </c>
      <c r="N269" s="29" t="n"/>
      <c r="O269" s="29" t="n">
        <v>20</v>
      </c>
      <c r="P269" s="28" t="inlineStr">
        <is>
          <t>P3 / M2</t>
        </is>
      </c>
      <c r="Q269" s="29" t="inlineStr">
        <is>
          <t>Career / · Team Lead</t>
        </is>
      </c>
      <c r="R269" s="29" t="inlineStr">
        <is>
          <t>4 Enable</t>
        </is>
      </c>
      <c r="S269" s="29" t="inlineStr">
        <is>
          <t>4–7 yrs</t>
        </is>
      </c>
      <c r="T269" s="29" t="inlineStr">
        <is>
          <t>5–8 · 4–8</t>
        </is>
      </c>
      <c r="U269" s="29" t="inlineStr">
        <is>
          <t>Senior Software Engineer</t>
        </is>
      </c>
      <c r="V269" s="29" t="inlineStr">
        <is>
          <t>Workiva: SE / Senior SE · Broadridge India: Senior SE · Nasdaq / AxiomSL: Senior SE · Salesforce: MTS · Atlassian: P40 · Freshworks: Senior SE</t>
        </is>
      </c>
      <c r="W269" s="29" t="inlineStr">
        <is>
          <t>SFIA 9 · software development, programming; OWASP secure coding; cloud vendor certifications</t>
        </is>
      </c>
      <c r="X269" s="29" t="inlineStr">
        <is>
          <t>Core 3 · Future 3 · Functional 3 · Leadership 2</t>
        </is>
      </c>
      <c r="Y269" s="52" t="n">
        <v>126</v>
      </c>
      <c r="Z269" s="53" t="inlineStr">
        <is>
          <t>IRIS1550</t>
        </is>
      </c>
      <c r="AA269" s="53" t="inlineStr">
        <is>
          <t>Employee</t>
        </is>
      </c>
      <c r="AB269" s="53" t="inlineStr">
        <is>
          <t>Active</t>
        </is>
      </c>
      <c r="AC269" s="53" t="inlineStr">
        <is>
          <t>Paresh Patil</t>
        </is>
      </c>
      <c r="AD269" s="54" t="n">
        <v>42186</v>
      </c>
      <c r="AE269" s="53" t="inlineStr">
        <is>
          <t>Senior Software Engineer</t>
        </is>
      </c>
      <c r="AF269" s="53" t="inlineStr">
        <is>
          <t>B.E</t>
        </is>
      </c>
      <c r="AG269" s="53" t="inlineStr">
        <is>
          <t>Sharanagouda Patil</t>
        </is>
      </c>
      <c r="AH269" s="53" t="inlineStr">
        <is>
          <t>N-4</t>
        </is>
      </c>
      <c r="AI269" s="53" t="inlineStr">
        <is>
          <t>Manager</t>
        </is>
      </c>
      <c r="AJ269" s="53" t="inlineStr">
        <is>
          <t>0 years, 0 months, 0 days</t>
        </is>
      </c>
      <c r="AK269" s="53" t="inlineStr">
        <is>
          <t>11 years, 1 months, 24 days</t>
        </is>
      </c>
      <c r="AL269" s="53" t="inlineStr">
        <is>
          <t>Suptech</t>
        </is>
      </c>
      <c r="AM269" s="53" t="inlineStr">
        <is>
          <t>iFile</t>
        </is>
      </c>
      <c r="AN269" s="53" t="inlineStr">
        <is>
          <t>Technology</t>
        </is>
      </c>
      <c r="AO269" s="53" t="inlineStr">
        <is>
          <t>Development</t>
        </is>
      </c>
      <c r="AP269" s="53" t="inlineStr">
        <is>
          <t>Yes</t>
        </is>
      </c>
      <c r="AQ269" s="53" t="inlineStr">
        <is>
          <t>Product/Project</t>
        </is>
      </c>
      <c r="AR269" s="53" t="inlineStr">
        <is>
          <t>.NET MVC</t>
        </is>
      </c>
      <c r="AS269" s="53" t="inlineStr">
        <is>
          <t>Technical - Developer</t>
        </is>
      </c>
      <c r="AT269" s="53" t="n">
        <v>20</v>
      </c>
      <c r="AU269" s="53" t="inlineStr">
        <is>
          <t>Covered</t>
        </is>
      </c>
      <c r="AV269" s="53" t="n"/>
      <c r="AW269" s="53" t="n"/>
      <c r="AX269" s="53" t="n"/>
      <c r="AY269" s="53" t="n"/>
      <c r="AZ269" s="53" t="n"/>
      <c r="BA269" s="53" t="n"/>
      <c r="BB269" s="53" t="n"/>
      <c r="BC269" s="53" t="n"/>
      <c r="BD269" s="53" t="n"/>
      <c r="BE269" s="53" t="n"/>
      <c r="BF269" s="53" t="n"/>
      <c r="BG269" s="53" t="n"/>
      <c r="BH269" s="53" t="n"/>
      <c r="BI269" s="53" t="n"/>
      <c r="BJ269" s="53" t="n"/>
      <c r="BK269" s="53" t="n"/>
      <c r="BL269" s="53" t="n"/>
      <c r="BM269" s="53" t="n"/>
      <c r="BN269" s="53" t="n"/>
      <c r="BO269" s="53" t="n"/>
      <c r="BP269" s="53" t="n"/>
      <c r="BQ269" s="53" t="n"/>
      <c r="BR269" s="53" t="n"/>
      <c r="BS269" s="53" t="n"/>
      <c r="BT269" s="53" t="n"/>
      <c r="BU269" s="53" t="n"/>
      <c r="BV269" s="53" t="n"/>
      <c r="BW269" s="53" t="n"/>
      <c r="BX269" s="53" t="n"/>
      <c r="BY269" s="53" t="n"/>
      <c r="BZ269" s="53" t="n"/>
      <c r="CA269" s="53" t="n"/>
      <c r="CB269" s="53" t="n"/>
      <c r="CC269" s="53" t="n"/>
      <c r="CD269" s="53" t="n"/>
      <c r="CE269" s="53" t="n"/>
      <c r="CF269" s="53" t="n"/>
      <c r="CG269" s="53" t="n"/>
      <c r="CH269" s="53" t="n"/>
      <c r="CI269" s="53" t="n"/>
      <c r="CJ269" s="53" t="n"/>
      <c r="CK269" s="53" t="n"/>
      <c r="CL269" s="53" t="n"/>
      <c r="CM269" s="53" t="n"/>
      <c r="CN269" s="53" t="n"/>
      <c r="CO269" s="53" t="n"/>
      <c r="CP269" s="53" t="n"/>
      <c r="CQ269" s="53" t="n"/>
      <c r="CR269" s="53" t="n"/>
      <c r="CS269" s="53" t="n"/>
      <c r="CT269" s="53" t="n"/>
      <c r="CU269" s="53" t="n"/>
      <c r="CV269" s="53" t="n"/>
      <c r="CW269" s="53" t="n"/>
      <c r="CX269" s="53" t="n"/>
      <c r="CY269" s="53" t="n"/>
      <c r="CZ269" s="53" t="n"/>
      <c r="DA269" s="53" t="n"/>
      <c r="DB269" s="53" t="n"/>
      <c r="DC269" s="53" t="n"/>
      <c r="DD269" s="53" t="inlineStr">
        <is>
          <t>IRIS1550</t>
        </is>
      </c>
      <c r="DE269" s="53" t="inlineStr">
        <is>
          <t>Employee</t>
        </is>
      </c>
      <c r="DF269" s="53" t="inlineStr">
        <is>
          <t>Active</t>
        </is>
      </c>
      <c r="DG269" s="53" t="inlineStr">
        <is>
          <t>Paresh Patil</t>
        </is>
      </c>
      <c r="DH269" s="54" t="n">
        <v>42186</v>
      </c>
      <c r="DI269" s="53" t="inlineStr">
        <is>
          <t>Senior Software Engineer</t>
        </is>
      </c>
      <c r="DJ269" s="53" t="inlineStr">
        <is>
          <t>Engineering &amp; Development</t>
        </is>
      </c>
      <c r="DK269" s="53" t="inlineStr">
        <is>
          <t>Backend Engineering ·.NET</t>
        </is>
      </c>
      <c r="DL269" s="53" t="inlineStr">
        <is>
          <t>Senior Software Engineer</t>
        </is>
      </c>
      <c r="DM269" s="53" t="inlineStr">
        <is>
          <t>L4 – Senior</t>
        </is>
      </c>
      <c r="DN269" s="53" t="inlineStr">
        <is>
          <t>B.E</t>
        </is>
      </c>
      <c r="DO269" s="53" t="inlineStr">
        <is>
          <t>Sharanagouda Patil</t>
        </is>
      </c>
      <c r="DP269" s="53" t="inlineStr">
        <is>
          <t>N-3</t>
        </is>
      </c>
      <c r="DQ269" s="53" t="inlineStr">
        <is>
          <t>Manager</t>
        </is>
      </c>
      <c r="DR269" s="53" t="inlineStr">
        <is>
          <t>0 years, 0 months, 0 days</t>
        </is>
      </c>
      <c r="DS269" s="53" t="inlineStr">
        <is>
          <t>10 years, 11 months, 19 days</t>
        </is>
      </c>
      <c r="DT269" s="53" t="inlineStr">
        <is>
          <t>10 years, 11 months, 19 days</t>
        </is>
      </c>
      <c r="DU269" s="53" t="n">
        <v>10.9687214611872</v>
      </c>
      <c r="DV269" s="53" t="inlineStr">
        <is>
          <t>Suptech</t>
        </is>
      </c>
      <c r="DW269" s="53" t="inlineStr">
        <is>
          <t>iFile</t>
        </is>
      </c>
      <c r="DX269" s="53" t="inlineStr">
        <is>
          <t>Technology</t>
        </is>
      </c>
      <c r="DY269" s="53" t="inlineStr">
        <is>
          <t>Development</t>
        </is>
      </c>
      <c r="DZ269" s="53" t="inlineStr">
        <is>
          <t>Yes</t>
        </is>
      </c>
      <c r="EA269" s="53" t="inlineStr">
        <is>
          <t>Product/Project</t>
        </is>
      </c>
      <c r="EB269" s="53" t="inlineStr">
        <is>
          <t>.NET MVC</t>
        </is>
      </c>
      <c r="EC269" s="53" t="inlineStr">
        <is>
          <t>Technical - Developer</t>
        </is>
      </c>
      <c r="ED269" s="53" t="inlineStr">
        <is>
          <t>Remote - Mumbai</t>
        </is>
      </c>
      <c r="EE269" s="53" t="n"/>
      <c r="EF269" s="53" t="n"/>
      <c r="EG269"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9" s="53" t="n">
        <v>4</v>
      </c>
      <c r="EI269" s="54" t="n">
        <v>45901</v>
      </c>
      <c r="EJ269" s="53" t="inlineStr">
        <is>
          <t>Lead Software Engineer · review – mgr scope + tenure</t>
        </is>
      </c>
      <c r="EK269" s="53" t="inlineStr">
        <is>
          <t>Yes</t>
        </is>
      </c>
      <c r="EL269" s="53" t="n">
        <v>4</v>
      </c>
      <c r="EM269" s="53" t="inlineStr">
        <is>
          <t>High</t>
        </is>
      </c>
      <c r="EN269" s="53" t="inlineStr">
        <is>
          <t>High Impact / Growth Talent</t>
        </is>
      </c>
      <c r="EO269" s="53" t="n"/>
      <c r="EP269" s="53" t="n"/>
      <c r="EQ269" s="53" t="n"/>
      <c r="ER269" s="53" t="inlineStr">
        <is>
          <t>Devkumar</t>
        </is>
      </c>
      <c r="ES269" s="53" t="inlineStr">
        <is>
          <t>Taxonomy
AI</t>
        </is>
      </c>
      <c r="ET269" s="53" t="n"/>
      <c r="EU269" s="53" t="n"/>
      <c r="EV269" s="53" t="n"/>
      <c r="EW269" s="52" t="n"/>
      <c r="EX269" s="53" t="n"/>
      <c r="EY269" s="53" t="n"/>
      <c r="EZ269" s="53" t="n"/>
      <c r="FA269" s="53" t="n"/>
      <c r="FB269" s="53" t="n"/>
      <c r="FC269" s="53" t="n"/>
      <c r="FD269" s="53" t="n"/>
      <c r="FE269" s="55" t="inlineStr">
        <is>
          <t>KRAs not received · manager to supply</t>
        </is>
      </c>
      <c r="FF269"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9" s="56" t="n"/>
      <c r="FH269" s="56" t="inlineStr">
        <is>
          <t>4</t>
        </is>
      </c>
      <c r="FI269" s="56" t="n"/>
      <c r="FJ269" s="56" t="inlineStr">
        <is>
          <t>Received · quarterly</t>
        </is>
      </c>
      <c r="FK269" s="56" t="inlineStr">
        <is>
          <t>Talent Mapping · iFile collated</t>
        </is>
      </c>
      <c r="FL269" s="56" t="n">
        <v>20</v>
      </c>
      <c r="FM269" s="32" t="inlineStr">
        <is>
          <t>Full survey answers not in the files received · How We Grow export needed · HR</t>
        </is>
      </c>
      <c r="FN269" s="56" t="inlineStr">
        <is>
          <t>—</t>
        </is>
      </c>
      <c r="FO269" s="56" t="inlineStr">
        <is>
          <t>—</t>
        </is>
      </c>
      <c r="FP269" s="56" t="inlineStr">
        <is>
          <t>—</t>
        </is>
      </c>
      <c r="FQ269" s="56" t="inlineStr">
        <is>
          <t>—</t>
        </is>
      </c>
      <c r="FR269" s="56"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Evidence reads like A3: Production readiness of delivered functionality: XBRL validation/reporting, database changes, deployments → moved down 0.5
Leadership: Evidence reads like A2: No guiding described in survey; KRA asks for guiding team members; 2 reports → moved down 1
Business Impact: No survey or manager-mapping signal on criticality: kept at the start point.</t>
        </is>
      </c>
      <c r="FS269"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69" s="56" t="inlineStr">
        <is>
          <t>Self-identified: Leadership &amp; people management · Technical depth &amp; architecture · Domain, regulatory &amp; XBRL
For the next role: Leadership &amp; people management · Technical depth &amp; architecture · Domain, regulatory &amp; XBRL</t>
        </is>
      </c>
      <c r="FU269" s="32" t="inlineStr">
        <is>
          <t>Full survey answers not in the files received · How We Grow export needed · HR</t>
        </is>
      </c>
    </row>
    <row r="270" ht="90" customHeight="1">
      <c r="A270" s="51" t="inlineStr">
        <is>
          <t>◂ Back</t>
        </is>
      </c>
      <c r="B270" s="29" t="inlineStr">
        <is>
          <t>Mapped</t>
        </is>
      </c>
      <c r="C270" s="28" t="inlineStr">
        <is>
          <t>iFile</t>
        </is>
      </c>
      <c r="D270" s="29" t="inlineStr">
        <is>
          <t>IRIS2185</t>
        </is>
      </c>
      <c r="E270" s="29" t="inlineStr">
        <is>
          <t>Devkumar Nishad</t>
        </is>
      </c>
      <c r="F270" s="29" t="inlineStr">
        <is>
          <t>Technology</t>
        </is>
      </c>
      <c r="G270" s="29" t="inlineStr">
        <is>
          <t>Junior Software Engineer</t>
        </is>
      </c>
      <c r="H270" s="29" t="inlineStr">
        <is>
          <t>Senior Software Engineer</t>
        </is>
      </c>
      <c r="I270" s="29" t="inlineStr">
        <is>
          <t>L3 – Professional / Associate</t>
        </is>
      </c>
      <c r="J270" s="29" t="inlineStr">
        <is>
          <t>A3</t>
        </is>
      </c>
      <c r="K270" s="29" t="inlineStr">
        <is>
          <t>▲ Up</t>
        </is>
      </c>
      <c r="L270" s="29" t="inlineStr">
        <is>
          <t>Engineering &amp; Development</t>
        </is>
      </c>
      <c r="M270" s="29" t="inlineStr">
        <is>
          <t>Full-Stack Development</t>
        </is>
      </c>
      <c r="N270" s="29" t="inlineStr">
        <is>
          <t>• Confirm the reporting line — Manager</t>
        </is>
      </c>
      <c r="O270" s="29" t="n">
        <v>20</v>
      </c>
      <c r="P270" s="28" t="inlineStr">
        <is>
          <t>P2</t>
        </is>
      </c>
      <c r="Q270" s="29" t="inlineStr">
        <is>
          <t>Developing</t>
        </is>
      </c>
      <c r="R270" s="29" t="inlineStr">
        <is>
          <t>3 Apply</t>
        </is>
      </c>
      <c r="S270" s="29" t="inlineStr">
        <is>
          <t>2–4 yrs</t>
        </is>
      </c>
      <c r="T270" s="29" t="inlineStr">
        <is>
          <t>3–5 · 2–5</t>
        </is>
      </c>
      <c r="U270" s="29" t="inlineStr">
        <is>
          <t>Software Engineer</t>
        </is>
      </c>
      <c r="V270" s="29" t="inlineStr">
        <is>
          <t>Workiva: SE · Broadridge India: SE · Nasdaq / AxiomSL: SE · Salesforce: MTS · Atlassian: P40 · 3–7 yrs · Freshworks: Senior SE</t>
        </is>
      </c>
      <c r="W270" s="29" t="inlineStr">
        <is>
          <t>SFIA 9 · software development, programming; OWASP secure coding; cloud vendor certifications</t>
        </is>
      </c>
      <c r="X270" s="29" t="inlineStr">
        <is>
          <t>Core 2 · Future 2 · Functional 3 · Leadership not scored</t>
        </is>
      </c>
      <c r="Y270" s="52" t="n">
        <v>293</v>
      </c>
      <c r="Z270" s="53" t="inlineStr">
        <is>
          <t>IRIS2185</t>
        </is>
      </c>
      <c r="AA270" s="53" t="inlineStr">
        <is>
          <t>Employee</t>
        </is>
      </c>
      <c r="AB270" s="53" t="inlineStr">
        <is>
          <t>Active</t>
        </is>
      </c>
      <c r="AC270" s="53" t="inlineStr">
        <is>
          <t>Devkumar Nishad</t>
        </is>
      </c>
      <c r="AD270" s="54" t="n">
        <v>45180</v>
      </c>
      <c r="AE270" s="53" t="inlineStr">
        <is>
          <t>Junior Software Engineer</t>
        </is>
      </c>
      <c r="AF270" s="53" t="inlineStr">
        <is>
          <t>PG-DAC</t>
        </is>
      </c>
      <c r="AG270" s="53" t="inlineStr">
        <is>
          <t>Paresh Patil</t>
        </is>
      </c>
      <c r="AH270" s="53" t="inlineStr">
        <is>
          <t>N-5</t>
        </is>
      </c>
      <c r="AI270" s="53" t="inlineStr">
        <is>
          <t>Individual Contributor</t>
        </is>
      </c>
      <c r="AJ270" s="53" t="inlineStr">
        <is>
          <t>0 years, 0 months, 0 days</t>
        </is>
      </c>
      <c r="AK270" s="53" t="inlineStr">
        <is>
          <t>2 years, 11 months, 14 days</t>
        </is>
      </c>
      <c r="AL270" s="53" t="inlineStr">
        <is>
          <t>Suptech</t>
        </is>
      </c>
      <c r="AM270" s="53" t="inlineStr">
        <is>
          <t>iFile</t>
        </is>
      </c>
      <c r="AN270" s="53" t="inlineStr">
        <is>
          <t>Technology</t>
        </is>
      </c>
      <c r="AO270" s="53" t="inlineStr">
        <is>
          <t>Development</t>
        </is>
      </c>
      <c r="AP270" s="53" t="inlineStr">
        <is>
          <t>Yes</t>
        </is>
      </c>
      <c r="AQ270" s="53" t="inlineStr">
        <is>
          <t>Product/Project</t>
        </is>
      </c>
      <c r="AR270" s="53" t="inlineStr">
        <is>
          <t>.NET MVC</t>
        </is>
      </c>
      <c r="AS270" s="53" t="inlineStr">
        <is>
          <t>Technical - Developer</t>
        </is>
      </c>
      <c r="AT270" s="53" t="n">
        <v>20</v>
      </c>
      <c r="AU270" s="53" t="inlineStr">
        <is>
          <t>Covered</t>
        </is>
      </c>
      <c r="AV270" s="53" t="n"/>
      <c r="AW270" s="53" t="n"/>
      <c r="AX270" s="53" t="n"/>
      <c r="AY270" s="53" t="n"/>
      <c r="AZ270" s="53" t="n"/>
      <c r="BA270" s="53" t="n"/>
      <c r="BB270" s="53" t="n"/>
      <c r="BC270" s="53" t="n"/>
      <c r="BD270" s="53" t="n"/>
      <c r="BE270" s="53" t="n"/>
      <c r="BF270" s="53" t="n"/>
      <c r="BG270" s="53" t="n"/>
      <c r="BH270" s="53" t="n"/>
      <c r="BI270" s="53" t="n"/>
      <c r="BJ270" s="53" t="n"/>
      <c r="BK270" s="53" t="n"/>
      <c r="BL270" s="53" t="n"/>
      <c r="BM270" s="53" t="n"/>
      <c r="BN270" s="53" t="n"/>
      <c r="BO270" s="53" t="n"/>
      <c r="BP270" s="53" t="n"/>
      <c r="BQ270" s="53" t="n"/>
      <c r="BR270" s="53" t="n"/>
      <c r="BS270" s="53" t="n"/>
      <c r="BT270" s="53" t="n"/>
      <c r="BU270" s="53" t="n"/>
      <c r="BV270" s="53" t="n"/>
      <c r="BW270" s="53" t="n"/>
      <c r="BX270" s="53" t="n"/>
      <c r="BY270" s="53" t="n"/>
      <c r="BZ270" s="53" t="n"/>
      <c r="CA270" s="53" t="n"/>
      <c r="CB270" s="53" t="n"/>
      <c r="CC270" s="53" t="n"/>
      <c r="CD270" s="53" t="n"/>
      <c r="CE270" s="53" t="n"/>
      <c r="CF270" s="53" t="n"/>
      <c r="CG270" s="53" t="n"/>
      <c r="CH270" s="53" t="n"/>
      <c r="CI270" s="53" t="n"/>
      <c r="CJ270" s="53" t="n"/>
      <c r="CK270" s="53" t="n"/>
      <c r="CL270" s="53" t="n"/>
      <c r="CM270" s="53" t="n"/>
      <c r="CN270" s="53" t="n"/>
      <c r="CO270" s="53" t="n"/>
      <c r="CP270" s="53" t="n"/>
      <c r="CQ270" s="53" t="n"/>
      <c r="CR270" s="53" t="n"/>
      <c r="CS270" s="53" t="n"/>
      <c r="CT270" s="53" t="n"/>
      <c r="CU270" s="53" t="n"/>
      <c r="CV270" s="53" t="n"/>
      <c r="CW270" s="53" t="n"/>
      <c r="CX270" s="53" t="n"/>
      <c r="CY270" s="53" t="n"/>
      <c r="CZ270" s="53" t="n"/>
      <c r="DA270" s="53" t="n"/>
      <c r="DB270" s="53" t="n"/>
      <c r="DC270" s="53" t="n"/>
      <c r="DD270" s="53" t="inlineStr">
        <is>
          <t>IRIS2185</t>
        </is>
      </c>
      <c r="DE270" s="53" t="inlineStr">
        <is>
          <t>Employee</t>
        </is>
      </c>
      <c r="DF270" s="53" t="inlineStr">
        <is>
          <t>Active</t>
        </is>
      </c>
      <c r="DG270" s="53" t="inlineStr">
        <is>
          <t>Devkumar Nishad</t>
        </is>
      </c>
      <c r="DH270" s="54" t="n">
        <v>45180</v>
      </c>
      <c r="DI270" s="53" t="inlineStr">
        <is>
          <t>Junior Software Engineer</t>
        </is>
      </c>
      <c r="DJ270" s="53" t="inlineStr">
        <is>
          <t>Engineering &amp; Development</t>
        </is>
      </c>
      <c r="DK270" s="53" t="inlineStr">
        <is>
          <t>Backend Engineering ·.NET</t>
        </is>
      </c>
      <c r="DL270" s="53" t="inlineStr">
        <is>
          <t>Junior Software Engineer</t>
        </is>
      </c>
      <c r="DM270" s="53" t="inlineStr">
        <is>
          <t>L3 – Professional / Associate</t>
        </is>
      </c>
      <c r="DN270" s="53" t="inlineStr">
        <is>
          <t>PG-DAC</t>
        </is>
      </c>
      <c r="DO270" s="53" t="inlineStr">
        <is>
          <t>Paresh Patil</t>
        </is>
      </c>
      <c r="DP270" s="53" t="inlineStr">
        <is>
          <t>N-4</t>
        </is>
      </c>
      <c r="DQ270" s="53" t="inlineStr">
        <is>
          <t>Individual Contributor</t>
        </is>
      </c>
      <c r="DR270" s="53" t="inlineStr">
        <is>
          <t>0 years, 0 months, 0 days</t>
        </is>
      </c>
      <c r="DS270" s="53" t="inlineStr">
        <is>
          <t>2 years, 9 months, 9 days</t>
        </is>
      </c>
      <c r="DT270" s="53" t="inlineStr">
        <is>
          <t>2 years, 9 months, 9 days</t>
        </is>
      </c>
      <c r="DU270" s="53" t="n"/>
      <c r="DV270" s="53" t="inlineStr">
        <is>
          <t>Suptech</t>
        </is>
      </c>
      <c r="DW270" s="53" t="inlineStr">
        <is>
          <t>iFile</t>
        </is>
      </c>
      <c r="DX270" s="53" t="inlineStr">
        <is>
          <t>Technology</t>
        </is>
      </c>
      <c r="DY270" s="53" t="inlineStr">
        <is>
          <t>Development</t>
        </is>
      </c>
      <c r="DZ270" s="53" t="inlineStr">
        <is>
          <t>Yes</t>
        </is>
      </c>
      <c r="EA270" s="53" t="inlineStr">
        <is>
          <t>Product/Project</t>
        </is>
      </c>
      <c r="EB270" s="53" t="inlineStr">
        <is>
          <t>.NET MVC</t>
        </is>
      </c>
      <c r="EC270" s="53" t="inlineStr">
        <is>
          <t>Technical - Developer</t>
        </is>
      </c>
      <c r="ED270" s="53" t="inlineStr">
        <is>
          <t>Remote - Mumbai</t>
        </is>
      </c>
      <c r="EE270" s="53" t="n"/>
      <c r="EF270" s="53" t="n"/>
      <c r="EG270"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0" s="53" t="n">
        <v>4</v>
      </c>
      <c r="EI270" s="54" t="n">
        <v>45901</v>
      </c>
      <c r="EJ270" s="53" t="inlineStr">
        <is>
          <t>Junior Software Engineer</t>
        </is>
      </c>
      <c r="EK270" s="53" t="inlineStr">
        <is>
          <t>Yes</t>
        </is>
      </c>
      <c r="EL270" s="53" t="n">
        <v>4</v>
      </c>
      <c r="EM270" s="53" t="inlineStr">
        <is>
          <t>Medium</t>
        </is>
      </c>
      <c r="EN270" s="53" t="inlineStr">
        <is>
          <t>Trusted Professional</t>
        </is>
      </c>
      <c r="EO270" s="53" t="n"/>
      <c r="EP270" s="53" t="n"/>
      <c r="EQ270" s="53" t="n"/>
      <c r="ER270" s="53" t="n"/>
      <c r="ES270" s="53" t="inlineStr">
        <is>
          <t>Taxonomy
AI</t>
        </is>
      </c>
      <c r="ET270" s="53" t="n"/>
      <c r="EU270" s="53" t="n"/>
      <c r="EV270" s="53" t="n"/>
      <c r="EW270" s="52" t="n"/>
      <c r="EX270" s="53" t="n"/>
      <c r="EY270" s="53" t="n"/>
      <c r="EZ270" s="53" t="n"/>
      <c r="FA270" s="53" t="n"/>
      <c r="FB270" s="53" t="n"/>
      <c r="FC270" s="53" t="n"/>
      <c r="FD270" s="53" t="n"/>
      <c r="FE270" s="55" t="inlineStr">
        <is>
          <t>KRAs not received · manager to supply</t>
        </is>
      </c>
      <c r="FF270"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0" s="56" t="n"/>
      <c r="FH270" s="56" t="inlineStr">
        <is>
          <t>4</t>
        </is>
      </c>
      <c r="FI270" s="56" t="n"/>
      <c r="FJ270" s="56" t="inlineStr">
        <is>
          <t>Received · quarterly</t>
        </is>
      </c>
      <c r="FK270" s="56" t="inlineStr">
        <is>
          <t>Talent Mapping · iFile collated</t>
        </is>
      </c>
      <c r="FL270" s="56" t="n">
        <v>20</v>
      </c>
      <c r="FM270" s="32" t="inlineStr">
        <is>
          <t>Full survey answers not in the files received · How We Grow export needed · HR</t>
        </is>
      </c>
      <c r="FN270" s="56" t="inlineStr">
        <is>
          <t>—</t>
        </is>
      </c>
      <c r="FO270" s="56" t="inlineStr">
        <is>
          <t>—</t>
        </is>
      </c>
      <c r="FP270" s="56" t="inlineStr">
        <is>
          <t>—</t>
        </is>
      </c>
      <c r="FQ270" s="56" t="inlineStr">
        <is>
          <t>—</t>
        </is>
      </c>
      <c r="FR270" s="56"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implementation for webform on two projects; delay shifts QA and delivery dates → moved up 0.5
Leadership: Evidence reads like A3: Acts as webform lead on IFSCA and GTA; trains and mentors assigned intern → moved up 1
Business Impact: No survey or manager-mapping signal on criticality: kept at the start point.</t>
        </is>
      </c>
      <c r="FS27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70" s="56" t="inlineStr">
        <is>
          <t>Self-identified: Project / programme management
For the next role: Project / programme management</t>
        </is>
      </c>
      <c r="FU270" s="32" t="inlineStr">
        <is>
          <t>Full survey answers not in the files received · How We Grow export needed · HR</t>
        </is>
      </c>
    </row>
    <row r="271" ht="90" customHeight="1">
      <c r="A271" s="51" t="inlineStr">
        <is>
          <t>◂ Back</t>
        </is>
      </c>
      <c r="B271" s="29" t="inlineStr">
        <is>
          <t>Mapped</t>
        </is>
      </c>
      <c r="C271" s="28" t="inlineStr">
        <is>
          <t>iFile</t>
        </is>
      </c>
      <c r="D271" s="29" t="inlineStr">
        <is>
          <t>IRIS2525</t>
        </is>
      </c>
      <c r="E271" s="29" t="inlineStr">
        <is>
          <t>Rajeev Gupta</t>
        </is>
      </c>
      <c r="F271" s="29" t="inlineStr">
        <is>
          <t>Technology</t>
        </is>
      </c>
      <c r="G271" s="29" t="inlineStr">
        <is>
          <t>Software Engineer</t>
        </is>
      </c>
      <c r="H271" s="29" t="inlineStr">
        <is>
          <t>UI Developer</t>
        </is>
      </c>
      <c r="I271" s="29" t="inlineStr">
        <is>
          <t>L3 – Professional / Associate</t>
        </is>
      </c>
      <c r="J271" s="29" t="inlineStr">
        <is>
          <t>A2</t>
        </is>
      </c>
      <c r="K271" s="29" t="inlineStr">
        <is>
          <t>• Same level</t>
        </is>
      </c>
      <c r="L271" s="29" t="inlineStr">
        <is>
          <t>Engineering &amp; Development</t>
        </is>
      </c>
      <c r="M271" s="29" t="inlineStr">
        <is>
          <t>Front-End / UI Development</t>
        </is>
      </c>
      <c r="N271" s="29" t="n"/>
      <c r="O271" s="29" t="n">
        <v>20</v>
      </c>
      <c r="P271" s="28" t="inlineStr">
        <is>
          <t>P1–P2</t>
        </is>
      </c>
      <c r="Q271" s="29" t="inlineStr">
        <is>
          <t>Entry / Developing</t>
        </is>
      </c>
      <c r="R271" s="29" t="inlineStr">
        <is>
          <t>2 Assist</t>
        </is>
      </c>
      <c r="S271" s="29" t="inlineStr">
        <is>
          <t>0–2 yrs</t>
        </is>
      </c>
      <c r="T271" s="29" t="inlineStr">
        <is>
          <t>1–3 · 0–3</t>
        </is>
      </c>
      <c r="U271" s="29" t="inlineStr">
        <is>
          <t>Associate Software Engineer / Software Engineer</t>
        </is>
      </c>
      <c r="V271" s="29" t="inlineStr">
        <is>
          <t>Workiva: Associate SE · Broadridge India: SE · Nasdaq / AxiomSL: SE · Salesforce: AMTS · Atlassian: P30 Junior · 0–2 yrs · Freshworks: SE</t>
        </is>
      </c>
      <c r="W271" s="29" t="inlineStr">
        <is>
          <t>SFIA 9 · software development, programming; OWASP secure coding; cloud vendor certifications</t>
        </is>
      </c>
      <c r="X271" s="29" t="inlineStr">
        <is>
          <t>Core 2 · Future 2 · Functional 2 · Leadership not scored</t>
        </is>
      </c>
      <c r="Y271" s="52" t="n">
        <v>495</v>
      </c>
      <c r="Z271" s="53" t="inlineStr">
        <is>
          <t>IRIS2525</t>
        </is>
      </c>
      <c r="AA271" s="53" t="inlineStr">
        <is>
          <t>Employee</t>
        </is>
      </c>
      <c r="AB271" s="53" t="inlineStr">
        <is>
          <t>Active</t>
        </is>
      </c>
      <c r="AC271" s="53" t="inlineStr">
        <is>
          <t>Rajeev Gupta</t>
        </is>
      </c>
      <c r="AD271" s="54" t="n">
        <v>46135</v>
      </c>
      <c r="AE271" s="53" t="inlineStr">
        <is>
          <t>Software Engineer</t>
        </is>
      </c>
      <c r="AF271" s="53" t="inlineStr">
        <is>
          <t>B.Tech</t>
        </is>
      </c>
      <c r="AG271" s="53" t="inlineStr">
        <is>
          <t>Paresh Patil</t>
        </is>
      </c>
      <c r="AH271" s="53" t="inlineStr">
        <is>
          <t>N-5</t>
        </is>
      </c>
      <c r="AI271" s="53" t="inlineStr">
        <is>
          <t>Individual Contributor</t>
        </is>
      </c>
      <c r="AJ271" s="53" t="inlineStr">
        <is>
          <t>1 years, 4 months, 0 days</t>
        </is>
      </c>
      <c r="AK271" s="53" t="inlineStr">
        <is>
          <t>0 years, 4 months, 2 days</t>
        </is>
      </c>
      <c r="AL271" s="53" t="inlineStr">
        <is>
          <t>Suptech</t>
        </is>
      </c>
      <c r="AM271" s="53" t="inlineStr">
        <is>
          <t>iFile</t>
        </is>
      </c>
      <c r="AN271" s="53" t="inlineStr">
        <is>
          <t>Technology</t>
        </is>
      </c>
      <c r="AO271" s="53" t="inlineStr">
        <is>
          <t>Development</t>
        </is>
      </c>
      <c r="AP271" s="53" t="inlineStr">
        <is>
          <t>Yes</t>
        </is>
      </c>
      <c r="AQ271" s="53" t="inlineStr">
        <is>
          <t>Product/Project</t>
        </is>
      </c>
      <c r="AR271" s="53" t="inlineStr">
        <is>
          <t>Angular + Node.js</t>
        </is>
      </c>
      <c r="AS271" s="53" t="inlineStr">
        <is>
          <t>Technical - Developer</t>
        </is>
      </c>
      <c r="AT271" s="53" t="n">
        <v>20</v>
      </c>
      <c r="AU271" s="53" t="inlineStr">
        <is>
          <t>Covered</t>
        </is>
      </c>
      <c r="AV271" s="53" t="n"/>
      <c r="AW271" s="53" t="n"/>
      <c r="AX271" s="53" t="n"/>
      <c r="AY271" s="53" t="n"/>
      <c r="AZ271" s="53" t="n"/>
      <c r="BA271" s="53" t="n"/>
      <c r="BB271" s="53" t="n"/>
      <c r="BC271" s="53" t="n"/>
      <c r="BD271" s="53" t="n"/>
      <c r="BE271" s="53" t="n"/>
      <c r="BF271" s="53" t="n"/>
      <c r="BG271" s="53" t="n"/>
      <c r="BH271" s="53" t="n"/>
      <c r="BI271" s="53" t="n"/>
      <c r="BJ271" s="53" t="n"/>
      <c r="BK271" s="53" t="n"/>
      <c r="BL271" s="53" t="n"/>
      <c r="BM271" s="53" t="n"/>
      <c r="BN271" s="53" t="n"/>
      <c r="BO271" s="53" t="n"/>
      <c r="BP271" s="53" t="n"/>
      <c r="BQ271" s="53" t="n"/>
      <c r="BR271" s="53" t="n"/>
      <c r="BS271" s="53" t="n"/>
      <c r="BT271" s="53" t="n"/>
      <c r="BU271" s="53" t="n"/>
      <c r="BV271" s="53" t="n"/>
      <c r="BW271" s="53" t="n"/>
      <c r="BX271" s="53" t="n"/>
      <c r="BY271" s="53" t="n"/>
      <c r="BZ271" s="53" t="n"/>
      <c r="CA271" s="53" t="n"/>
      <c r="CB271" s="53" t="n"/>
      <c r="CC271" s="53" t="n"/>
      <c r="CD271" s="53" t="n"/>
      <c r="CE271" s="53" t="n"/>
      <c r="CF271" s="53" t="n"/>
      <c r="CG271" s="53" t="n"/>
      <c r="CH271" s="53" t="n"/>
      <c r="CI271" s="53" t="n"/>
      <c r="CJ271" s="53" t="n"/>
      <c r="CK271" s="53" t="n"/>
      <c r="CL271" s="53" t="n"/>
      <c r="CM271" s="53" t="n"/>
      <c r="CN271" s="53" t="n"/>
      <c r="CO271" s="53" t="n"/>
      <c r="CP271" s="53" t="n"/>
      <c r="CQ271" s="53" t="n"/>
      <c r="CR271" s="53" t="n"/>
      <c r="CS271" s="53" t="n"/>
      <c r="CT271" s="53" t="n"/>
      <c r="CU271" s="53" t="n"/>
      <c r="CV271" s="53" t="n"/>
      <c r="CW271" s="53" t="n"/>
      <c r="CX271" s="53" t="n"/>
      <c r="CY271" s="53" t="n"/>
      <c r="CZ271" s="53" t="n"/>
      <c r="DA271" s="53" t="n"/>
      <c r="DB271" s="53" t="n"/>
      <c r="DC271" s="53" t="n"/>
      <c r="DD271" s="53" t="inlineStr">
        <is>
          <t>IRIS2525</t>
        </is>
      </c>
      <c r="DE271" s="53" t="inlineStr">
        <is>
          <t>Employee</t>
        </is>
      </c>
      <c r="DF271" s="53" t="inlineStr">
        <is>
          <t>Active</t>
        </is>
      </c>
      <c r="DG271" s="53" t="inlineStr">
        <is>
          <t>Rajeev Gupta</t>
        </is>
      </c>
      <c r="DH271" s="54" t="n">
        <v>46135</v>
      </c>
      <c r="DI271" s="53" t="inlineStr">
        <is>
          <t>Software Engineer</t>
        </is>
      </c>
      <c r="DJ271" s="53" t="inlineStr">
        <is>
          <t>Engineering &amp; Development</t>
        </is>
      </c>
      <c r="DK271" s="53" t="inlineStr">
        <is>
          <t>Software Engineering</t>
        </is>
      </c>
      <c r="DL271" s="53" t="inlineStr">
        <is>
          <t>Software Engineer</t>
        </is>
      </c>
      <c r="DM271" s="53" t="inlineStr">
        <is>
          <t>L3 – Professional / Associate</t>
        </is>
      </c>
      <c r="DN271" s="53" t="inlineStr">
        <is>
          <t>B.Tech</t>
        </is>
      </c>
      <c r="DO271" s="53" t="inlineStr">
        <is>
          <t>Paresh Patil</t>
        </is>
      </c>
      <c r="DP271" s="53" t="inlineStr">
        <is>
          <t>N-4</t>
        </is>
      </c>
      <c r="DQ271" s="53" t="inlineStr">
        <is>
          <t>Individual Contributor</t>
        </is>
      </c>
      <c r="DR271" s="53" t="inlineStr">
        <is>
          <t>1 years, 4 months, 0 days</t>
        </is>
      </c>
      <c r="DS271" s="53" t="inlineStr">
        <is>
          <t>0 years, 1 months, 28 days</t>
        </is>
      </c>
      <c r="DT271" s="53" t="inlineStr">
        <is>
          <t>1 years, 5 months, 28 days</t>
        </is>
      </c>
      <c r="DU271" s="53" t="n"/>
      <c r="DV271" s="53" t="inlineStr">
        <is>
          <t>Suptech</t>
        </is>
      </c>
      <c r="DW271" s="53" t="inlineStr">
        <is>
          <t>iFile</t>
        </is>
      </c>
      <c r="DX271" s="53" t="inlineStr">
        <is>
          <t>Technology</t>
        </is>
      </c>
      <c r="DY271" s="53" t="inlineStr">
        <is>
          <t>Development</t>
        </is>
      </c>
      <c r="DZ271" s="53" t="inlineStr">
        <is>
          <t>Yes</t>
        </is>
      </c>
      <c r="EA271" s="53" t="inlineStr">
        <is>
          <t>Product/Project</t>
        </is>
      </c>
      <c r="EB271" s="53" t="inlineStr">
        <is>
          <t>Angular + Node.js</t>
        </is>
      </c>
      <c r="EC271" s="53" t="inlineStr">
        <is>
          <t>Technical - Developer</t>
        </is>
      </c>
      <c r="ED271" s="53" t="inlineStr">
        <is>
          <t>Work From Office - Turbhe</t>
        </is>
      </c>
      <c r="EE271" s="53" t="n"/>
      <c r="EF271" s="53" t="n"/>
      <c r="EG271"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1" s="53" t="n">
        <v>3</v>
      </c>
      <c r="EI271" s="53" t="n"/>
      <c r="EJ271" s="53" t="inlineStr">
        <is>
          <t>Software Engineer</t>
        </is>
      </c>
      <c r="EK271" s="53" t="inlineStr">
        <is>
          <t>Yes</t>
        </is>
      </c>
      <c r="EL271" s="53" t="n">
        <v>3</v>
      </c>
      <c r="EM271" s="53" t="inlineStr">
        <is>
          <t>Medium</t>
        </is>
      </c>
      <c r="EN271" s="53" t="inlineStr">
        <is>
          <t>Trusted Professional</t>
        </is>
      </c>
      <c r="EO271" s="53" t="n"/>
      <c r="EP271" s="53" t="n"/>
      <c r="EQ271" s="53" t="n"/>
      <c r="ER271" s="53" t="n"/>
      <c r="ES271" s="53" t="inlineStr">
        <is>
          <t>Taxonomy
AI</t>
        </is>
      </c>
      <c r="ET271" s="53" t="n"/>
      <c r="EU271" s="53" t="n"/>
      <c r="EV271" s="53" t="n"/>
      <c r="EW271" s="52" t="n"/>
      <c r="EX271" s="53" t="n"/>
      <c r="EY271" s="53" t="n"/>
      <c r="EZ271" s="53" t="n"/>
      <c r="FA271" s="53" t="n"/>
      <c r="FB271" s="53" t="n"/>
      <c r="FC271" s="53" t="n"/>
      <c r="FD271" s="53" t="n"/>
      <c r="FE271" s="55" t="inlineStr">
        <is>
          <t>KRAs not received · manager to supply</t>
        </is>
      </c>
      <c r="FF271"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1" s="56" t="n"/>
      <c r="FH271" s="56" t="inlineStr">
        <is>
          <t>3</t>
        </is>
      </c>
      <c r="FI271" s="56" t="n"/>
      <c r="FJ271" s="56" t="inlineStr">
        <is>
          <t>Received · quarterly</t>
        </is>
      </c>
      <c r="FK271" s="56" t="inlineStr">
        <is>
          <t>Talent Mapping · iFile collated</t>
        </is>
      </c>
      <c r="FL271" s="56" t="n">
        <v>20</v>
      </c>
      <c r="FM271" s="32" t="inlineStr">
        <is>
          <t>Full survey answers not in the files received · How We Grow export needed · HR</t>
        </is>
      </c>
      <c r="FN271" s="56" t="inlineStr">
        <is>
          <t>—</t>
        </is>
      </c>
      <c r="FO271" s="56" t="inlineStr">
        <is>
          <t>—</t>
        </is>
      </c>
      <c r="FP271" s="56" t="inlineStr">
        <is>
          <t>—</t>
        </is>
      </c>
      <c r="FQ271" s="56" t="inlineStr">
        <is>
          <t>—</t>
        </is>
      </c>
      <c r="FR271" s="56"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within the timeframe → matches the start
Leadership: Evidence reads like A2: KRA expects guiding team members; survey describes none → moved up 0.5
Business Impact: No survey or manager-mapping signal on criticality: kept at the start point.</t>
        </is>
      </c>
      <c r="FS27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271" s="56" t="inlineStr">
        <is>
          <t>Self-identified: Answered · no common topic
For the next role: Answered · no common topic</t>
        </is>
      </c>
      <c r="FU271" s="32" t="inlineStr">
        <is>
          <t>Full survey answers not in the files received · How We Grow export needed · HR</t>
        </is>
      </c>
    </row>
    <row r="272" ht="90" customHeight="1">
      <c r="A272" s="51" t="inlineStr">
        <is>
          <t>◂ Back</t>
        </is>
      </c>
      <c r="B272" s="29" t="inlineStr">
        <is>
          <t>Mapped</t>
        </is>
      </c>
      <c r="C272" s="28" t="inlineStr">
        <is>
          <t>iFile</t>
        </is>
      </c>
      <c r="D272" s="29" t="inlineStr">
        <is>
          <t>IRIS1470</t>
        </is>
      </c>
      <c r="E272" s="29" t="inlineStr">
        <is>
          <t>Rajneesh Patel</t>
        </is>
      </c>
      <c r="F272" s="29" t="inlineStr">
        <is>
          <t>Technology</t>
        </is>
      </c>
      <c r="G272" s="29" t="inlineStr">
        <is>
          <t>Senior Software Engineer</t>
        </is>
      </c>
      <c r="H272" s="29" t="inlineStr">
        <is>
          <t>Technical Specialist – POD Lead</t>
        </is>
      </c>
      <c r="I272" s="29" t="inlineStr">
        <is>
          <t>L4 – Senior</t>
        </is>
      </c>
      <c r="J272" s="29" t="inlineStr">
        <is>
          <t>B1</t>
        </is>
      </c>
      <c r="K272" s="29" t="inlineStr">
        <is>
          <t>▲ Up</t>
        </is>
      </c>
      <c r="L272" s="29" t="inlineStr">
        <is>
          <t>Engineering &amp; Development</t>
        </is>
      </c>
      <c r="M272" s="29" t="inlineStr">
        <is>
          <t>Full-Stack Development</t>
        </is>
      </c>
      <c r="N272" s="29" t="n"/>
      <c r="O272" s="29" t="n">
        <v>20</v>
      </c>
      <c r="P272" s="28" t="inlineStr">
        <is>
          <t>P3 / M2</t>
        </is>
      </c>
      <c r="Q272" s="29" t="inlineStr">
        <is>
          <t>Career / · Team Lead</t>
        </is>
      </c>
      <c r="R272" s="29" t="inlineStr">
        <is>
          <t>4 Enable</t>
        </is>
      </c>
      <c r="S272" s="29" t="inlineStr">
        <is>
          <t>4–7 yrs</t>
        </is>
      </c>
      <c r="T272" s="29" t="inlineStr">
        <is>
          <t>5–8 · 4–8</t>
        </is>
      </c>
      <c r="U272" s="29" t="inlineStr">
        <is>
          <t>Senior Software Engineer</t>
        </is>
      </c>
      <c r="V272" s="29" t="inlineStr">
        <is>
          <t>Workiva: SE / Senior SE · Broadridge India: Senior SE · Nasdaq / AxiomSL: Senior SE · Salesforce: MTS · Atlassian: P40 · Freshworks: Senior SE</t>
        </is>
      </c>
      <c r="W272" s="29" t="inlineStr">
        <is>
          <t>SFIA 9 · software development, programming; OWASP secure coding; cloud vendor certifications</t>
        </is>
      </c>
      <c r="X272" s="29" t="inlineStr">
        <is>
          <t>Core 3 · Future 3 · Functional 3 · Leadership 2</t>
        </is>
      </c>
      <c r="Y272" s="52" t="n">
        <v>120</v>
      </c>
      <c r="Z272" s="53" t="inlineStr">
        <is>
          <t>IRIS1470</t>
        </is>
      </c>
      <c r="AA272" s="53" t="inlineStr">
        <is>
          <t>Employee</t>
        </is>
      </c>
      <c r="AB272" s="53" t="inlineStr">
        <is>
          <t>Active</t>
        </is>
      </c>
      <c r="AC272" s="53" t="inlineStr">
        <is>
          <t>Rajneesh Patel</t>
        </is>
      </c>
      <c r="AD272" s="54" t="n">
        <v>41855</v>
      </c>
      <c r="AE272" s="53" t="inlineStr">
        <is>
          <t>Senior Software Engineer</t>
        </is>
      </c>
      <c r="AF272" s="53" t="inlineStr">
        <is>
          <t>MCA</t>
        </is>
      </c>
      <c r="AG272" s="53" t="inlineStr">
        <is>
          <t>Sharanagouda Patil</t>
        </is>
      </c>
      <c r="AH272" s="53" t="inlineStr">
        <is>
          <t>N-4</t>
        </is>
      </c>
      <c r="AI272" s="53" t="inlineStr">
        <is>
          <t>Manager</t>
        </is>
      </c>
      <c r="AJ272" s="53" t="inlineStr">
        <is>
          <t>6 years, 6 months, 0 days</t>
        </is>
      </c>
      <c r="AK272" s="53" t="inlineStr">
        <is>
          <t>12 years, 0 months, 21 days</t>
        </is>
      </c>
      <c r="AL272" s="53" t="inlineStr">
        <is>
          <t>Suptech</t>
        </is>
      </c>
      <c r="AM272" s="53" t="inlineStr">
        <is>
          <t>iFile</t>
        </is>
      </c>
      <c r="AN272" s="53" t="inlineStr">
        <is>
          <t>Technology</t>
        </is>
      </c>
      <c r="AO272" s="53" t="inlineStr">
        <is>
          <t>Development</t>
        </is>
      </c>
      <c r="AP272" s="53" t="inlineStr">
        <is>
          <t>Yes</t>
        </is>
      </c>
      <c r="AQ272" s="53" t="inlineStr">
        <is>
          <t>Product/Project</t>
        </is>
      </c>
      <c r="AR272" s="53" t="inlineStr">
        <is>
          <t>.NET MVC</t>
        </is>
      </c>
      <c r="AS272" s="53" t="inlineStr">
        <is>
          <t>Technical - Developer</t>
        </is>
      </c>
      <c r="AT272" s="53" t="n">
        <v>20</v>
      </c>
      <c r="AU272" s="53" t="inlineStr">
        <is>
          <t>Covered</t>
        </is>
      </c>
      <c r="AV272" s="53" t="n"/>
      <c r="AW272" s="53" t="n"/>
      <c r="AX272" s="53" t="n"/>
      <c r="AY272" s="53" t="n"/>
      <c r="AZ272" s="53" t="n"/>
      <c r="BA272" s="53" t="n"/>
      <c r="BB272" s="53" t="n"/>
      <c r="BC272" s="53" t="n"/>
      <c r="BD272" s="53" t="n"/>
      <c r="BE272" s="53" t="n"/>
      <c r="BF272" s="53" t="n"/>
      <c r="BG272" s="53" t="n"/>
      <c r="BH272" s="53" t="n"/>
      <c r="BI272" s="53" t="n"/>
      <c r="BJ272" s="53" t="n"/>
      <c r="BK272" s="53" t="n"/>
      <c r="BL272" s="53" t="n"/>
      <c r="BM272" s="53" t="n"/>
      <c r="BN272" s="53" t="n"/>
      <c r="BO272" s="53" t="n"/>
      <c r="BP272" s="53" t="n"/>
      <c r="BQ272" s="53" t="n"/>
      <c r="BR272" s="53" t="n"/>
      <c r="BS272" s="53" t="n"/>
      <c r="BT272" s="53" t="n"/>
      <c r="BU272" s="53" t="n"/>
      <c r="BV272" s="53" t="n"/>
      <c r="BW272" s="53" t="n"/>
      <c r="BX272" s="53" t="n"/>
      <c r="BY272" s="53" t="n"/>
      <c r="BZ272" s="53" t="n"/>
      <c r="CA272" s="53" t="n"/>
      <c r="CB272" s="53" t="n"/>
      <c r="CC272" s="53" t="n"/>
      <c r="CD272" s="53" t="n"/>
      <c r="CE272" s="53" t="n"/>
      <c r="CF272" s="53" t="n"/>
      <c r="CG272" s="53" t="n"/>
      <c r="CH272" s="53" t="n"/>
      <c r="CI272" s="53" t="n"/>
      <c r="CJ272" s="53" t="n"/>
      <c r="CK272" s="53" t="n"/>
      <c r="CL272" s="53" t="n"/>
      <c r="CM272" s="53" t="n"/>
      <c r="CN272" s="53" t="n"/>
      <c r="CO272" s="53" t="n"/>
      <c r="CP272" s="53" t="n"/>
      <c r="CQ272" s="53" t="n"/>
      <c r="CR272" s="53" t="n"/>
      <c r="CS272" s="53" t="n"/>
      <c r="CT272" s="53" t="n"/>
      <c r="CU272" s="53" t="n"/>
      <c r="CV272" s="53" t="n"/>
      <c r="CW272" s="53" t="n"/>
      <c r="CX272" s="53" t="n"/>
      <c r="CY272" s="53" t="n"/>
      <c r="CZ272" s="53" t="n"/>
      <c r="DA272" s="53" t="n"/>
      <c r="DB272" s="53" t="n"/>
      <c r="DC272" s="53" t="n"/>
      <c r="DD272" s="53" t="inlineStr">
        <is>
          <t>IRIS1470</t>
        </is>
      </c>
      <c r="DE272" s="53" t="inlineStr">
        <is>
          <t>Employee</t>
        </is>
      </c>
      <c r="DF272" s="53" t="inlineStr">
        <is>
          <t>Active</t>
        </is>
      </c>
      <c r="DG272" s="53" t="inlineStr">
        <is>
          <t>Rajneesh Patel</t>
        </is>
      </c>
      <c r="DH272" s="54" t="n">
        <v>41855</v>
      </c>
      <c r="DI272" s="53" t="inlineStr">
        <is>
          <t>Senior Software Engineer</t>
        </is>
      </c>
      <c r="DJ272" s="53" t="inlineStr">
        <is>
          <t>Engineering &amp; Development</t>
        </is>
      </c>
      <c r="DK272" s="53" t="inlineStr">
        <is>
          <t>Backend Engineering ·.NET</t>
        </is>
      </c>
      <c r="DL272" s="53" t="inlineStr">
        <is>
          <t>Senior Software Engineer</t>
        </is>
      </c>
      <c r="DM272" s="53" t="inlineStr">
        <is>
          <t>L4 – Senior</t>
        </is>
      </c>
      <c r="DN272" s="53" t="inlineStr">
        <is>
          <t>MCA</t>
        </is>
      </c>
      <c r="DO272" s="53" t="inlineStr">
        <is>
          <t>Sharanagouda Patil</t>
        </is>
      </c>
      <c r="DP272" s="53" t="inlineStr">
        <is>
          <t>N-3</t>
        </is>
      </c>
      <c r="DQ272" s="53" t="inlineStr">
        <is>
          <t>Manager</t>
        </is>
      </c>
      <c r="DR272" s="53" t="inlineStr">
        <is>
          <t>6 years, 6 months, 0 days</t>
        </is>
      </c>
      <c r="DS272" s="53" t="inlineStr">
        <is>
          <t>11 years, 10 months, 16 days</t>
        </is>
      </c>
      <c r="DT272" s="53" t="inlineStr">
        <is>
          <t>18 years, 4 months, 16 days</t>
        </is>
      </c>
      <c r="DU272" s="53" t="n">
        <v>11.8771689497717</v>
      </c>
      <c r="DV272" s="53" t="inlineStr">
        <is>
          <t>Suptech</t>
        </is>
      </c>
      <c r="DW272" s="53" t="inlineStr">
        <is>
          <t>iFile</t>
        </is>
      </c>
      <c r="DX272" s="53" t="inlineStr">
        <is>
          <t>Technology</t>
        </is>
      </c>
      <c r="DY272" s="53" t="inlineStr">
        <is>
          <t>Development</t>
        </is>
      </c>
      <c r="DZ272" s="53" t="inlineStr">
        <is>
          <t>Yes</t>
        </is>
      </c>
      <c r="EA272" s="53" t="inlineStr">
        <is>
          <t>Product/Project</t>
        </is>
      </c>
      <c r="EB272" s="53" t="inlineStr">
        <is>
          <t>.NET MVC</t>
        </is>
      </c>
      <c r="EC272" s="53" t="inlineStr">
        <is>
          <t>Technical - Developer</t>
        </is>
      </c>
      <c r="ED272" s="53" t="inlineStr">
        <is>
          <t>Remote - Mumbai</t>
        </is>
      </c>
      <c r="EE272" s="53" t="n"/>
      <c r="EF272"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72"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272" s="53" t="n"/>
      <c r="EI272" s="53" t="n"/>
      <c r="EJ272" s="53" t="inlineStr">
        <is>
          <t>Lead Software Engineer · review – mgr scope + tenure</t>
        </is>
      </c>
      <c r="EK272" s="53" t="inlineStr">
        <is>
          <t>Yes</t>
        </is>
      </c>
      <c r="EL272" s="53" t="n"/>
      <c r="EM272" s="53" t="n"/>
      <c r="EN272" s="53" t="n"/>
      <c r="EO272" s="53" t="n"/>
      <c r="EP272" s="53" t="n"/>
      <c r="EQ272" s="53" t="n"/>
      <c r="ER272" s="53" t="n"/>
      <c r="ES272" s="53" t="inlineStr">
        <is>
          <t>Advanced .NET MVC; secure coding &amp; code-quality practices; unit/automated testing; system design fundamentals | People management: goal-setting &amp; feedback, 1:1 coaching, performance conversations</t>
        </is>
      </c>
      <c r="ET272" s="53" t="inlineStr">
        <is>
          <t>Leadership development: strategic thinking, cross-functional influence, financial/business acumen, succession &amp; talent development, change management, executive communication</t>
        </is>
      </c>
      <c r="EU272" s="53" t="n"/>
      <c r="EV272" s="53" t="n"/>
      <c r="EW272" s="52" t="n"/>
      <c r="EX272" s="53" t="n"/>
      <c r="EY272" s="53" t="n"/>
      <c r="EZ272" s="53" t="n"/>
      <c r="FA272" s="53" t="n"/>
      <c r="FB272" s="53" t="n"/>
      <c r="FC272" s="53" t="n"/>
      <c r="FD272" s="53" t="n"/>
      <c r="FE272"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72"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272" s="56" t="n"/>
      <c r="FH272" s="56" t="n"/>
      <c r="FI272" s="56" t="n"/>
      <c r="FJ272" s="56" t="inlineStr">
        <is>
          <t>Received · manager annual, quarterly</t>
        </is>
      </c>
      <c r="FK272" s="56" t="inlineStr">
        <is>
          <t>Talent Mapping · iFile collated</t>
        </is>
      </c>
      <c r="FL272" s="56" t="n">
        <v>20</v>
      </c>
      <c r="FM272" s="32" t="inlineStr">
        <is>
          <t>Full survey answers not in the files received · How We Grow export needed · HR</t>
        </is>
      </c>
      <c r="FN272" s="56" t="inlineStr">
        <is>
          <t>—</t>
        </is>
      </c>
      <c r="FO272" s="56" t="inlineStr">
        <is>
          <t>—</t>
        </is>
      </c>
      <c r="FP272" s="56" t="inlineStr">
        <is>
          <t>—</t>
        </is>
      </c>
      <c r="FQ272" s="56" t="inlineStr">
        <is>
          <t>—</t>
        </is>
      </c>
      <c r="FR272" s="56"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Production stability, QA/UAT/prod environment health and client issue resolution for the QAWAEM platform → moved up 0.5
Leadership: Evidence reads like B1: Guides and unblocks the team, reviews documentation, reports status to client; 1 report → moved up 0.5
Business Impact: No survey or manager-mapping signal on criticality: kept at the start point.</t>
        </is>
      </c>
      <c r="FS272"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72" s="56" t="inlineStr">
        <is>
          <t>Self-identified: AI / automation · Technical depth &amp; architecture · Domain, regulatory &amp; XBRL · Broader exposure &amp; ownership
For the next role: AI / automation · Technical depth &amp; architecture · Domain, regulatory &amp; XBRL · Client, sales &amp; stakeholders · Broader exposure &amp; ownership</t>
        </is>
      </c>
      <c r="FU272" s="32" t="inlineStr">
        <is>
          <t>Full survey answers not in the files received · How We Grow export needed · HR</t>
        </is>
      </c>
    </row>
    <row r="273" ht="90" customHeight="1">
      <c r="A273" s="51" t="inlineStr">
        <is>
          <t>◂ Back</t>
        </is>
      </c>
      <c r="B273" s="29" t="inlineStr">
        <is>
          <t>Mapped</t>
        </is>
      </c>
      <c r="C273" s="28" t="inlineStr">
        <is>
          <t>iFile</t>
        </is>
      </c>
      <c r="D273" s="29" t="inlineStr">
        <is>
          <t>IRIS2429</t>
        </is>
      </c>
      <c r="E273" s="29" t="inlineStr">
        <is>
          <t>Subham Chakrabertty</t>
        </is>
      </c>
      <c r="F273" s="29" t="inlineStr">
        <is>
          <t>Technology</t>
        </is>
      </c>
      <c r="G273" s="29" t="inlineStr">
        <is>
          <t>Trainee Software Engineer</t>
        </is>
      </c>
      <c r="H273" s="29" t="inlineStr">
        <is>
          <t>Software Engineer</t>
        </is>
      </c>
      <c r="I273" s="29" t="inlineStr">
        <is>
          <t>L2 – Trainee</t>
        </is>
      </c>
      <c r="J273" s="29" t="inlineStr">
        <is>
          <t>A2</t>
        </is>
      </c>
      <c r="K273" s="29" t="inlineStr">
        <is>
          <t>▲ Up</t>
        </is>
      </c>
      <c r="L273" s="29" t="inlineStr">
        <is>
          <t>Engineering &amp; Development</t>
        </is>
      </c>
      <c r="M273" s="29" t="inlineStr">
        <is>
          <t>Backend Development</t>
        </is>
      </c>
      <c r="N273" s="29" t="n"/>
      <c r="O273" s="29" t="n">
        <v>20</v>
      </c>
      <c r="P273" s="28" t="inlineStr">
        <is>
          <t>P1–P2</t>
        </is>
      </c>
      <c r="Q273" s="29" t="inlineStr">
        <is>
          <t>Entry / Developing</t>
        </is>
      </c>
      <c r="R273" s="29" t="inlineStr">
        <is>
          <t>2 Assist</t>
        </is>
      </c>
      <c r="S273" s="29" t="inlineStr">
        <is>
          <t>0–2 yrs</t>
        </is>
      </c>
      <c r="T273" s="29" t="inlineStr">
        <is>
          <t>1–3 · 0–3</t>
        </is>
      </c>
      <c r="U273" s="29" t="inlineStr">
        <is>
          <t>Associate Software Engineer / Software Engineer</t>
        </is>
      </c>
      <c r="V273" s="29" t="inlineStr">
        <is>
          <t>Workiva: Associate SE · Broadridge India: SE · Nasdaq / AxiomSL: SE · Salesforce: AMTS · Atlassian: P30 Junior · 0–2 yrs · Freshworks: SE</t>
        </is>
      </c>
      <c r="W273" s="29" t="inlineStr">
        <is>
          <t>SFIA 9 · software development, programming; OWASP secure coding; cloud vendor certifications</t>
        </is>
      </c>
      <c r="X273" s="29" t="inlineStr">
        <is>
          <t>Core 2 · Future 2 · Functional 2 · Leadership not scored</t>
        </is>
      </c>
      <c r="Y273" s="52" t="n">
        <v>399</v>
      </c>
      <c r="Z273" s="53" t="inlineStr">
        <is>
          <t>IRIS2429</t>
        </is>
      </c>
      <c r="AA273" s="53" t="inlineStr">
        <is>
          <t>Employee</t>
        </is>
      </c>
      <c r="AB273" s="53" t="inlineStr">
        <is>
          <t>Active</t>
        </is>
      </c>
      <c r="AC273" s="53" t="inlineStr">
        <is>
          <t>Subham Chakrabertty</t>
        </is>
      </c>
      <c r="AD273" s="54" t="n">
        <v>45904</v>
      </c>
      <c r="AE273" s="53" t="inlineStr">
        <is>
          <t>Trainee Software Engineer</t>
        </is>
      </c>
      <c r="AF273" s="53" t="inlineStr">
        <is>
          <t>MCA</t>
        </is>
      </c>
      <c r="AG273" s="53" t="inlineStr">
        <is>
          <t>Rajneesh Patel</t>
        </is>
      </c>
      <c r="AH273" s="53" t="inlineStr">
        <is>
          <t>N-5</t>
        </is>
      </c>
      <c r="AI273" s="53" t="inlineStr">
        <is>
          <t>Individual Contributor</t>
        </is>
      </c>
      <c r="AJ273" s="53" t="inlineStr">
        <is>
          <t>0 years, 0 months, 0 days</t>
        </is>
      </c>
      <c r="AK273" s="53" t="inlineStr">
        <is>
          <t>0 years, 11 months, 21 days</t>
        </is>
      </c>
      <c r="AL273" s="53" t="inlineStr">
        <is>
          <t>Suptech</t>
        </is>
      </c>
      <c r="AM273" s="53" t="inlineStr">
        <is>
          <t>iFile</t>
        </is>
      </c>
      <c r="AN273" s="53" t="inlineStr">
        <is>
          <t>Technology</t>
        </is>
      </c>
      <c r="AO273" s="53" t="inlineStr">
        <is>
          <t>Development</t>
        </is>
      </c>
      <c r="AP273" s="53" t="inlineStr">
        <is>
          <t>Yes</t>
        </is>
      </c>
      <c r="AQ273" s="53" t="inlineStr">
        <is>
          <t>Product/Project</t>
        </is>
      </c>
      <c r="AR273" s="53" t="inlineStr">
        <is>
          <t>.NET MVC</t>
        </is>
      </c>
      <c r="AS273" s="53" t="inlineStr">
        <is>
          <t>Technical - Developer</t>
        </is>
      </c>
      <c r="AT273" s="53" t="n">
        <v>20</v>
      </c>
      <c r="AU273" s="53" t="inlineStr">
        <is>
          <t>Covered</t>
        </is>
      </c>
      <c r="AV273" s="53" t="n"/>
      <c r="AW273" s="53" t="n"/>
      <c r="AX273" s="53" t="n"/>
      <c r="AY273" s="53" t="n"/>
      <c r="AZ273" s="53" t="n"/>
      <c r="BA273" s="53" t="n"/>
      <c r="BB273" s="53" t="n"/>
      <c r="BC273" s="53" t="n"/>
      <c r="BD273" s="53" t="n"/>
      <c r="BE273" s="53" t="n"/>
      <c r="BF273" s="53" t="n"/>
      <c r="BG273" s="53" t="n"/>
      <c r="BH273" s="53" t="n"/>
      <c r="BI273" s="53" t="n"/>
      <c r="BJ273" s="53" t="n"/>
      <c r="BK273" s="53" t="n"/>
      <c r="BL273" s="53" t="n"/>
      <c r="BM273" s="53" t="n"/>
      <c r="BN273" s="53" t="n"/>
      <c r="BO273" s="53" t="n"/>
      <c r="BP273" s="53" t="n"/>
      <c r="BQ273" s="53" t="n"/>
      <c r="BR273" s="53" t="n"/>
      <c r="BS273" s="53" t="n"/>
      <c r="BT273" s="53" t="n"/>
      <c r="BU273" s="53" t="n"/>
      <c r="BV273" s="53" t="n"/>
      <c r="BW273" s="53" t="n"/>
      <c r="BX273" s="53" t="n"/>
      <c r="BY273" s="53" t="n"/>
      <c r="BZ273" s="53" t="n"/>
      <c r="CA273" s="53" t="n"/>
      <c r="CB273" s="53" t="n"/>
      <c r="CC273" s="53" t="n"/>
      <c r="CD273" s="53" t="n"/>
      <c r="CE273" s="53" t="n"/>
      <c r="CF273" s="53" t="n"/>
      <c r="CG273" s="53" t="n"/>
      <c r="CH273" s="53" t="n"/>
      <c r="CI273" s="53" t="n"/>
      <c r="CJ273" s="53" t="n"/>
      <c r="CK273" s="53" t="n"/>
      <c r="CL273" s="53" t="n"/>
      <c r="CM273" s="53" t="n"/>
      <c r="CN273" s="53" t="n"/>
      <c r="CO273" s="53" t="n"/>
      <c r="CP273" s="53" t="n"/>
      <c r="CQ273" s="53" t="n"/>
      <c r="CR273" s="53" t="n"/>
      <c r="CS273" s="53" t="n"/>
      <c r="CT273" s="53" t="n"/>
      <c r="CU273" s="53" t="n"/>
      <c r="CV273" s="53" t="n"/>
      <c r="CW273" s="53" t="n"/>
      <c r="CX273" s="53" t="n"/>
      <c r="CY273" s="53" t="n"/>
      <c r="CZ273" s="53" t="n"/>
      <c r="DA273" s="53" t="n"/>
      <c r="DB273" s="53" t="n"/>
      <c r="DC273" s="53" t="n"/>
      <c r="DD273" s="53" t="inlineStr">
        <is>
          <t>IRIS2429</t>
        </is>
      </c>
      <c r="DE273" s="53" t="inlineStr">
        <is>
          <t>Employee</t>
        </is>
      </c>
      <c r="DF273" s="53" t="inlineStr">
        <is>
          <t>Active</t>
        </is>
      </c>
      <c r="DG273" s="53" t="inlineStr">
        <is>
          <t>Subham Chakrabertty</t>
        </is>
      </c>
      <c r="DH273" s="54" t="n">
        <v>45904</v>
      </c>
      <c r="DI273" s="53" t="inlineStr">
        <is>
          <t>Trainee Software Engineer</t>
        </is>
      </c>
      <c r="DJ273" s="53" t="inlineStr">
        <is>
          <t>Engineering &amp; Development</t>
        </is>
      </c>
      <c r="DK273" s="53" t="inlineStr">
        <is>
          <t>Backend Engineering ·.NET</t>
        </is>
      </c>
      <c r="DL273" s="53" t="inlineStr">
        <is>
          <t>Trainee Software Engineer</t>
        </is>
      </c>
      <c r="DM273" s="53" t="inlineStr">
        <is>
          <t>L2 – Trainee</t>
        </is>
      </c>
      <c r="DN273" s="53" t="inlineStr">
        <is>
          <t>MCA</t>
        </is>
      </c>
      <c r="DO273" s="53" t="inlineStr">
        <is>
          <t>Rajneesh Patel</t>
        </is>
      </c>
      <c r="DP273" s="53" t="inlineStr">
        <is>
          <t>N-4</t>
        </is>
      </c>
      <c r="DQ273" s="53" t="inlineStr">
        <is>
          <t>Individual Contributor</t>
        </is>
      </c>
      <c r="DR273" s="53" t="inlineStr">
        <is>
          <t>0 years, 0 months, 0 days</t>
        </is>
      </c>
      <c r="DS273" s="53" t="inlineStr">
        <is>
          <t>0 years, 9 months, 16 days</t>
        </is>
      </c>
      <c r="DT273" s="53" t="inlineStr">
        <is>
          <t>0 years, 9 months, 16 days</t>
        </is>
      </c>
      <c r="DU273" s="53" t="n"/>
      <c r="DV273" s="53" t="inlineStr">
        <is>
          <t>Suptech</t>
        </is>
      </c>
      <c r="DW273" s="53" t="inlineStr">
        <is>
          <t>iFile</t>
        </is>
      </c>
      <c r="DX273" s="53" t="inlineStr">
        <is>
          <t>Technology</t>
        </is>
      </c>
      <c r="DY273" s="53" t="inlineStr">
        <is>
          <t>Development</t>
        </is>
      </c>
      <c r="DZ273" s="53" t="inlineStr">
        <is>
          <t>Yes</t>
        </is>
      </c>
      <c r="EA273" s="53" t="inlineStr">
        <is>
          <t>Product/Project</t>
        </is>
      </c>
      <c r="EB273" s="53" t="inlineStr">
        <is>
          <t>.NET MVC</t>
        </is>
      </c>
      <c r="EC273" s="53" t="inlineStr">
        <is>
          <t>Technical - Developer</t>
        </is>
      </c>
      <c r="ED273" s="53" t="inlineStr">
        <is>
          <t>Work From Office - Turbhe</t>
        </is>
      </c>
      <c r="EE273" s="53" t="n"/>
      <c r="EF273" s="53" t="n"/>
      <c r="EG273"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3" s="53" t="n">
        <v>4</v>
      </c>
      <c r="EI273" s="54" t="n">
        <v>45901</v>
      </c>
      <c r="EJ273" s="53" t="inlineStr">
        <is>
          <t>Trainee Software Engineer</t>
        </is>
      </c>
      <c r="EK273" s="53" t="inlineStr">
        <is>
          <t>Yes</t>
        </is>
      </c>
      <c r="EL273" s="53" t="n">
        <v>4</v>
      </c>
      <c r="EM273" s="53" t="inlineStr">
        <is>
          <t>Medium</t>
        </is>
      </c>
      <c r="EN273" s="53" t="inlineStr">
        <is>
          <t>Trusted Professional</t>
        </is>
      </c>
      <c r="EO273" s="53" t="n"/>
      <c r="EP273" s="53" t="n"/>
      <c r="EQ273" s="53" t="n"/>
      <c r="ER273" s="53" t="n"/>
      <c r="ES273" s="53" t="inlineStr">
        <is>
          <t>Taxonomy
AI</t>
        </is>
      </c>
      <c r="ET273" s="53" t="n"/>
      <c r="EU273" s="53" t="n"/>
      <c r="EV273" s="53" t="n"/>
      <c r="EW273" s="52" t="n"/>
      <c r="EX273" s="53" t="n"/>
      <c r="EY273" s="53" t="n"/>
      <c r="EZ273" s="53" t="n"/>
      <c r="FA273" s="53" t="n"/>
      <c r="FB273" s="53" t="n"/>
      <c r="FC273" s="53" t="n"/>
      <c r="FD273" s="53" t="n"/>
      <c r="FE273" s="55" t="inlineStr">
        <is>
          <t>KRAs not received · manager to supply</t>
        </is>
      </c>
      <c r="FF273"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3" s="56" t="n"/>
      <c r="FH273" s="56" t="inlineStr">
        <is>
          <t>4</t>
        </is>
      </c>
      <c r="FI273" s="56" t="n"/>
      <c r="FJ273" s="56" t="inlineStr">
        <is>
          <t>Received · quarterly</t>
        </is>
      </c>
      <c r="FK273" s="56" t="inlineStr">
        <is>
          <t>Talent Mapping · iFile collated</t>
        </is>
      </c>
      <c r="FL273" s="56" t="n">
        <v>20</v>
      </c>
      <c r="FM273" s="32" t="inlineStr">
        <is>
          <t>Full survey answers not in the files received · How We Grow export needed · HR</t>
        </is>
      </c>
      <c r="FN273" s="56" t="inlineStr">
        <is>
          <t>—</t>
        </is>
      </c>
      <c r="FO273" s="56" t="inlineStr">
        <is>
          <t>—</t>
        </is>
      </c>
      <c r="FP273" s="56" t="inlineStr">
        <is>
          <t>—</t>
        </is>
      </c>
      <c r="FQ273" s="56" t="inlineStr">
        <is>
          <t>—</t>
        </is>
      </c>
      <c r="FR273" s="56" t="inlineStr">
        <is>
          <t>Business Impact: No survey or manager-mapping signal on criticality: kept at the start point.</t>
        </is>
      </c>
      <c r="FS273"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73" s="56" t="inlineStr">
        <is>
          <t>Self-identified: Technical depth &amp; architecture · Broader exposure &amp; ownership
For the next role: Technical depth &amp; architecture · Product &amp; tool knowledge · Broader exposure &amp; ownership</t>
        </is>
      </c>
      <c r="FU273" s="32" t="inlineStr">
        <is>
          <t>Full survey answers not in the files received · How We Grow export needed · HR</t>
        </is>
      </c>
    </row>
    <row r="274" ht="90" customHeight="1">
      <c r="A274" s="51" t="inlineStr">
        <is>
          <t>◂ Back</t>
        </is>
      </c>
      <c r="B274" s="29" t="inlineStr">
        <is>
          <t>Mapped</t>
        </is>
      </c>
      <c r="C274" s="28" t="inlineStr">
        <is>
          <t>iFile</t>
        </is>
      </c>
      <c r="D274" s="29" t="inlineStr">
        <is>
          <t>IRIS2256</t>
        </is>
      </c>
      <c r="E274" s="29" t="inlineStr">
        <is>
          <t>Prajwal Chitode</t>
        </is>
      </c>
      <c r="F274" s="29" t="inlineStr">
        <is>
          <t>Technology</t>
        </is>
      </c>
      <c r="G274" s="29" t="inlineStr">
        <is>
          <t>Software Engineer</t>
        </is>
      </c>
      <c r="H274" s="29" t="inlineStr">
        <is>
          <t>Senior Software Engineer</t>
        </is>
      </c>
      <c r="I274" s="29" t="inlineStr">
        <is>
          <t>L2 – Trainee</t>
        </is>
      </c>
      <c r="J274" s="29" t="inlineStr">
        <is>
          <t>A3</t>
        </is>
      </c>
      <c r="K274" s="29" t="inlineStr">
        <is>
          <t>▲ Up</t>
        </is>
      </c>
      <c r="L274" s="29" t="inlineStr">
        <is>
          <t>Engineering &amp; Development</t>
        </is>
      </c>
      <c r="M274" s="29" t="inlineStr">
        <is>
          <t>Full-Stack Development</t>
        </is>
      </c>
      <c r="N274" s="29" t="n"/>
      <c r="O274" s="29" t="n">
        <v>19</v>
      </c>
      <c r="P274" s="28" t="inlineStr">
        <is>
          <t>P2</t>
        </is>
      </c>
      <c r="Q274" s="29" t="inlineStr">
        <is>
          <t>Developing</t>
        </is>
      </c>
      <c r="R274" s="29" t="inlineStr">
        <is>
          <t>3 Apply</t>
        </is>
      </c>
      <c r="S274" s="29" t="inlineStr">
        <is>
          <t>2–4 yrs</t>
        </is>
      </c>
      <c r="T274" s="29" t="inlineStr">
        <is>
          <t>3–5 · 2–5</t>
        </is>
      </c>
      <c r="U274" s="29" t="inlineStr">
        <is>
          <t>Software Engineer</t>
        </is>
      </c>
      <c r="V274" s="29" t="inlineStr">
        <is>
          <t>Workiva: SE · Broadridge India: SE · Nasdaq / AxiomSL: SE · Salesforce: MTS · Atlassian: P40 · 3–7 yrs · Freshworks: Senior SE</t>
        </is>
      </c>
      <c r="W274" s="29" t="inlineStr">
        <is>
          <t>SFIA 9 · software development, programming; OWASP secure coding; cloud vendor certifications</t>
        </is>
      </c>
      <c r="X274" s="29" t="inlineStr">
        <is>
          <t>Core 2 · Future 2 · Functional 3 · Leadership not scored</t>
        </is>
      </c>
      <c r="Y274" s="52" t="n">
        <v>319</v>
      </c>
      <c r="Z274" s="53" t="inlineStr">
        <is>
          <t>IRIS2256</t>
        </is>
      </c>
      <c r="AA274" s="53" t="inlineStr">
        <is>
          <t>Employee</t>
        </is>
      </c>
      <c r="AB274" s="53" t="inlineStr">
        <is>
          <t>Active</t>
        </is>
      </c>
      <c r="AC274" s="53" t="inlineStr">
        <is>
          <t>Prajwal Chitode</t>
        </is>
      </c>
      <c r="AD274" s="54" t="n">
        <v>45446</v>
      </c>
      <c r="AE274" s="53" t="inlineStr">
        <is>
          <t>Software Engineer</t>
        </is>
      </c>
      <c r="AF274" s="53" t="inlineStr">
        <is>
          <t>B.E</t>
        </is>
      </c>
      <c r="AG274" s="53" t="inlineStr">
        <is>
          <t>Sharanagouda Patil</t>
        </is>
      </c>
      <c r="AH274" s="53" t="inlineStr">
        <is>
          <t>N-4</t>
        </is>
      </c>
      <c r="AI274" s="53" t="inlineStr">
        <is>
          <t>Individual Contributor</t>
        </is>
      </c>
      <c r="AJ274" s="53" t="inlineStr">
        <is>
          <t>0 years, 0 months, 0 days</t>
        </is>
      </c>
      <c r="AK274" s="53" t="inlineStr">
        <is>
          <t>2 years, 2 months, 22 days</t>
        </is>
      </c>
      <c r="AL274" s="53" t="inlineStr">
        <is>
          <t>Suptech</t>
        </is>
      </c>
      <c r="AM274" s="53" t="inlineStr">
        <is>
          <t>iFile</t>
        </is>
      </c>
      <c r="AN274" s="53" t="inlineStr">
        <is>
          <t>Technology</t>
        </is>
      </c>
      <c r="AO274" s="53" t="inlineStr">
        <is>
          <t>Development</t>
        </is>
      </c>
      <c r="AP274" s="53" t="inlineStr">
        <is>
          <t>Yes</t>
        </is>
      </c>
      <c r="AQ274" s="53" t="inlineStr">
        <is>
          <t>Product/Project</t>
        </is>
      </c>
      <c r="AR274" s="53" t="inlineStr">
        <is>
          <t>Java + Angular</t>
        </is>
      </c>
      <c r="AS274" s="53" t="inlineStr">
        <is>
          <t>Technical - Developer</t>
        </is>
      </c>
      <c r="AT274" s="53" t="n">
        <v>20</v>
      </c>
      <c r="AU274" s="53" t="inlineStr">
        <is>
          <t>Covered</t>
        </is>
      </c>
      <c r="AV274" s="53" t="n"/>
      <c r="AW274" s="53" t="n"/>
      <c r="AX274" s="53" t="n"/>
      <c r="AY274" s="53" t="n"/>
      <c r="AZ274" s="53" t="n"/>
      <c r="BA274" s="53" t="n"/>
      <c r="BB274" s="53" t="n"/>
      <c r="BC274" s="53" t="n"/>
      <c r="BD274" s="53" t="n"/>
      <c r="BE274" s="53" t="n"/>
      <c r="BF274" s="53" t="n"/>
      <c r="BG274" s="53" t="n"/>
      <c r="BH274" s="53" t="n"/>
      <c r="BI274" s="53" t="n"/>
      <c r="BJ274" s="53" t="n"/>
      <c r="BK274" s="53" t="n"/>
      <c r="BL274" s="53" t="n"/>
      <c r="BM274" s="53" t="n"/>
      <c r="BN274" s="53" t="n"/>
      <c r="BO274" s="53" t="n"/>
      <c r="BP274" s="53" t="n"/>
      <c r="BQ274" s="53" t="n"/>
      <c r="BR274" s="53" t="n"/>
      <c r="BS274" s="53" t="n"/>
      <c r="BT274" s="53" t="n"/>
      <c r="BU274" s="53" t="n"/>
      <c r="BV274" s="53" t="n"/>
      <c r="BW274" s="53" t="n"/>
      <c r="BX274" s="53" t="n"/>
      <c r="BY274" s="53" t="n"/>
      <c r="BZ274" s="53" t="n"/>
      <c r="CA274" s="53" t="n"/>
      <c r="CB274" s="53" t="n"/>
      <c r="CC274" s="53" t="n"/>
      <c r="CD274" s="53" t="n"/>
      <c r="CE274" s="53" t="n"/>
      <c r="CF274" s="53" t="n"/>
      <c r="CG274" s="53" t="n"/>
      <c r="CH274" s="53" t="n"/>
      <c r="CI274" s="53" t="n"/>
      <c r="CJ274" s="53" t="n"/>
      <c r="CK274" s="53" t="n"/>
      <c r="CL274" s="53" t="n"/>
      <c r="CM274" s="53" t="n"/>
      <c r="CN274" s="53" t="n"/>
      <c r="CO274" s="53" t="n"/>
      <c r="CP274" s="53" t="n"/>
      <c r="CQ274" s="53" t="n"/>
      <c r="CR274" s="53" t="n"/>
      <c r="CS274" s="53" t="n"/>
      <c r="CT274" s="53" t="n"/>
      <c r="CU274" s="53" t="n"/>
      <c r="CV274" s="53" t="n"/>
      <c r="CW274" s="53" t="n"/>
      <c r="CX274" s="53" t="n"/>
      <c r="CY274" s="53" t="n"/>
      <c r="CZ274" s="53" t="n"/>
      <c r="DA274" s="53" t="n"/>
      <c r="DB274" s="53" t="n"/>
      <c r="DC274" s="53" t="n"/>
      <c r="DD274" s="53" t="inlineStr">
        <is>
          <t>IRIS2256</t>
        </is>
      </c>
      <c r="DE274" s="53" t="inlineStr">
        <is>
          <t>Employee</t>
        </is>
      </c>
      <c r="DF274" s="53" t="inlineStr">
        <is>
          <t>Active</t>
        </is>
      </c>
      <c r="DG274" s="53" t="inlineStr">
        <is>
          <t>Prajwal Chitode</t>
        </is>
      </c>
      <c r="DH274" s="54" t="n">
        <v>45446</v>
      </c>
      <c r="DI274" s="53" t="inlineStr">
        <is>
          <t>Trainee Software Engineer</t>
        </is>
      </c>
      <c r="DJ274" s="53" t="inlineStr">
        <is>
          <t>Engineering &amp; Development</t>
        </is>
      </c>
      <c r="DK274" s="53" t="inlineStr">
        <is>
          <t>Backend Engineering · Java</t>
        </is>
      </c>
      <c r="DL274" s="53" t="inlineStr">
        <is>
          <t>Trainee Software Engineer</t>
        </is>
      </c>
      <c r="DM274" s="53" t="inlineStr">
        <is>
          <t>L2 – Trainee</t>
        </is>
      </c>
      <c r="DN274" s="53" t="inlineStr">
        <is>
          <t>B.E</t>
        </is>
      </c>
      <c r="DO274" s="53" t="inlineStr">
        <is>
          <t>Sharanagouda Patil</t>
        </is>
      </c>
      <c r="DP274" s="53" t="inlineStr">
        <is>
          <t>N-3</t>
        </is>
      </c>
      <c r="DQ274" s="53" t="inlineStr">
        <is>
          <t>Individual Contributor</t>
        </is>
      </c>
      <c r="DR274" s="53" t="inlineStr">
        <is>
          <t>0 years, 0 months, 0 days</t>
        </is>
      </c>
      <c r="DS274" s="53" t="inlineStr">
        <is>
          <t>2 years, 0 months, 17 days</t>
        </is>
      </c>
      <c r="DT274" s="53" t="inlineStr">
        <is>
          <t>2 years, 0 months, 17 days</t>
        </is>
      </c>
      <c r="DU274" s="53" t="n"/>
      <c r="DV274" s="53" t="inlineStr">
        <is>
          <t>Suptech</t>
        </is>
      </c>
      <c r="DW274" s="53" t="inlineStr">
        <is>
          <t>iFile</t>
        </is>
      </c>
      <c r="DX274" s="53" t="inlineStr">
        <is>
          <t>Technology</t>
        </is>
      </c>
      <c r="DY274" s="53" t="inlineStr">
        <is>
          <t>Development</t>
        </is>
      </c>
      <c r="DZ274" s="53" t="inlineStr">
        <is>
          <t>Yes</t>
        </is>
      </c>
      <c r="EA274" s="53" t="inlineStr">
        <is>
          <t>Product/Project</t>
        </is>
      </c>
      <c r="EB274" s="53" t="inlineStr">
        <is>
          <t>Java + Angular</t>
        </is>
      </c>
      <c r="EC274" s="53" t="inlineStr">
        <is>
          <t>Technical - Developer</t>
        </is>
      </c>
      <c r="ED274" s="53" t="inlineStr">
        <is>
          <t>Remote - Mumbai</t>
        </is>
      </c>
      <c r="EE274" s="53" t="n"/>
      <c r="EF274" s="53" t="n"/>
      <c r="EG274"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4" s="53" t="n">
        <v>3</v>
      </c>
      <c r="EI274" s="54" t="n">
        <v>45901</v>
      </c>
      <c r="EJ274" s="53" t="inlineStr">
        <is>
          <t>Trainee Software Engineer</t>
        </is>
      </c>
      <c r="EK274" s="53" t="inlineStr">
        <is>
          <t>Yes</t>
        </is>
      </c>
      <c r="EL274" s="53" t="n">
        <v>3</v>
      </c>
      <c r="EM274" s="53" t="inlineStr">
        <is>
          <t>Medium</t>
        </is>
      </c>
      <c r="EN274" s="53" t="inlineStr">
        <is>
          <t>Trusted Professional</t>
        </is>
      </c>
      <c r="EO274" s="53" t="n"/>
      <c r="EP274" s="53" t="n"/>
      <c r="EQ274" s="53" t="n"/>
      <c r="ER274" s="53" t="n"/>
      <c r="ES274" s="53" t="inlineStr">
        <is>
          <t>Taxonomy
AI</t>
        </is>
      </c>
      <c r="ET274" s="53" t="n"/>
      <c r="EU274" s="53" t="n"/>
      <c r="EV274" s="53" t="n"/>
      <c r="EW274" s="52" t="n"/>
      <c r="EX274" s="53" t="n"/>
      <c r="EY274" s="53" t="n"/>
      <c r="EZ274" s="53" t="n"/>
      <c r="FA274" s="53" t="n"/>
      <c r="FB274" s="53" t="n"/>
      <c r="FC274" s="53" t="n"/>
      <c r="FD274" s="53" t="n"/>
      <c r="FE274" s="55" t="inlineStr">
        <is>
          <t>KRAs not received · manager to supply</t>
        </is>
      </c>
      <c r="FF274"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4" s="56" t="n"/>
      <c r="FH274" s="56" t="inlineStr">
        <is>
          <t>3</t>
        </is>
      </c>
      <c r="FI274" s="56" t="n"/>
      <c r="FJ274" s="56" t="inlineStr">
        <is>
          <t>Received · quarterly</t>
        </is>
      </c>
      <c r="FK274" s="56" t="inlineStr">
        <is>
          <t>Talent Mapping · iFile collated</t>
        </is>
      </c>
      <c r="FL274" s="56" t="n">
        <v>19</v>
      </c>
      <c r="FM274" s="32" t="inlineStr">
        <is>
          <t>Full survey answers not in the files received · How We Grow export needed · HR</t>
        </is>
      </c>
      <c r="FN274" s="56" t="inlineStr">
        <is>
          <t>—</t>
        </is>
      </c>
      <c r="FO274" s="56" t="inlineStr">
        <is>
          <t>—</t>
        </is>
      </c>
      <c r="FP274" s="56" t="inlineStr">
        <is>
          <t>—</t>
        </is>
      </c>
      <c r="FQ274" s="56" t="inlineStr">
        <is>
          <t>—</t>
        </is>
      </c>
      <c r="FR274" s="56"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moved up 0.5
Leadership: Evidence reads like A2: KRA expects guiding team members; survey mentions only keeping the team informed → moved up 0.5
Business Impact: No survey or manager-mapping signal on criticality: kept at the start point.</t>
        </is>
      </c>
      <c r="FS274"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74" s="56" t="inlineStr">
        <is>
          <t>Self-identified: AI / automation
For the next role: AI / automation</t>
        </is>
      </c>
      <c r="FU274" s="32" t="inlineStr">
        <is>
          <t>Full survey answers not in the files received · How We Grow export needed · HR</t>
        </is>
      </c>
    </row>
    <row r="275" ht="90" customHeight="1">
      <c r="A275" s="51" t="inlineStr">
        <is>
          <t>◂ Back</t>
        </is>
      </c>
      <c r="B275" s="29" t="inlineStr">
        <is>
          <t>Mapped</t>
        </is>
      </c>
      <c r="C275" s="28" t="inlineStr">
        <is>
          <t>iFile</t>
        </is>
      </c>
      <c r="D275" s="29" t="inlineStr">
        <is>
          <t>IRIS2451</t>
        </is>
      </c>
      <c r="E275" s="29" t="inlineStr">
        <is>
          <t>Anurag Gupta</t>
        </is>
      </c>
      <c r="F275" s="29" t="inlineStr">
        <is>
          <t>Technology</t>
        </is>
      </c>
      <c r="G275" s="29" t="inlineStr">
        <is>
          <t>Trainee Software Engineer</t>
        </is>
      </c>
      <c r="H275" s="29" t="inlineStr">
        <is>
          <t>UI Developer</t>
        </is>
      </c>
      <c r="I275" s="29" t="inlineStr">
        <is>
          <t>L2 – Trainee</t>
        </is>
      </c>
      <c r="J275" s="29" t="inlineStr">
        <is>
          <t>A2</t>
        </is>
      </c>
      <c r="K275" s="29" t="inlineStr">
        <is>
          <t>▲ Up</t>
        </is>
      </c>
      <c r="L275" s="29" t="inlineStr">
        <is>
          <t>Engineering &amp; Development</t>
        </is>
      </c>
      <c r="M275" s="29" t="inlineStr">
        <is>
          <t>Front-End / UI Development</t>
        </is>
      </c>
      <c r="N275" s="29" t="n"/>
      <c r="O275" s="29" t="n">
        <v>20</v>
      </c>
      <c r="P275" s="28" t="inlineStr">
        <is>
          <t>P1–P2</t>
        </is>
      </c>
      <c r="Q275" s="29" t="inlineStr">
        <is>
          <t>Entry / Developing</t>
        </is>
      </c>
      <c r="R275" s="29" t="inlineStr">
        <is>
          <t>2 Assist</t>
        </is>
      </c>
      <c r="S275" s="29" t="inlineStr">
        <is>
          <t>0–2 yrs</t>
        </is>
      </c>
      <c r="T275" s="29" t="inlineStr">
        <is>
          <t>1–3 · 0–3</t>
        </is>
      </c>
      <c r="U275" s="29" t="inlineStr">
        <is>
          <t>Associate Software Engineer / Software Engineer</t>
        </is>
      </c>
      <c r="V275" s="29" t="inlineStr">
        <is>
          <t>Workiva: Associate SE · Broadridge India: SE · Nasdaq / AxiomSL: SE · Salesforce: AMTS · Atlassian: P30 Junior · 0–2 yrs · Freshworks: SE</t>
        </is>
      </c>
      <c r="W275" s="29" t="inlineStr">
        <is>
          <t>SFIA 9 · software development, programming; OWASP secure coding; cloud vendor certifications</t>
        </is>
      </c>
      <c r="X275" s="29" t="inlineStr">
        <is>
          <t>Core 2 · Future 2 · Functional 2 · Leadership not scored</t>
        </is>
      </c>
      <c r="Y275" s="52" t="n">
        <v>416</v>
      </c>
      <c r="Z275" s="53" t="inlineStr">
        <is>
          <t>IRIS2451</t>
        </is>
      </c>
      <c r="AA275" s="53" t="inlineStr">
        <is>
          <t>Employee</t>
        </is>
      </c>
      <c r="AB275" s="53" t="inlineStr">
        <is>
          <t>Active</t>
        </is>
      </c>
      <c r="AC275" s="53" t="inlineStr">
        <is>
          <t>Anurag Gupta</t>
        </is>
      </c>
      <c r="AD275" s="54" t="n">
        <v>45995</v>
      </c>
      <c r="AE275" s="53" t="inlineStr">
        <is>
          <t>Trainee Software Engineer</t>
        </is>
      </c>
      <c r="AF275" s="53" t="inlineStr">
        <is>
          <t>B.Sc</t>
        </is>
      </c>
      <c r="AG275" s="53" t="inlineStr">
        <is>
          <t>Sharanagouda Patil</t>
        </is>
      </c>
      <c r="AH275" s="53" t="inlineStr">
        <is>
          <t>N-4</t>
        </is>
      </c>
      <c r="AI275" s="53" t="inlineStr">
        <is>
          <t>Individual Contributor</t>
        </is>
      </c>
      <c r="AJ275" s="53" t="inlineStr">
        <is>
          <t>1 years, 2 months, 0 days</t>
        </is>
      </c>
      <c r="AK275" s="53" t="inlineStr">
        <is>
          <t>0 years, 8 months, 21 days</t>
        </is>
      </c>
      <c r="AL275" s="53" t="inlineStr">
        <is>
          <t>Suptech</t>
        </is>
      </c>
      <c r="AM275" s="53" t="inlineStr">
        <is>
          <t>iFile</t>
        </is>
      </c>
      <c r="AN275" s="53" t="inlineStr">
        <is>
          <t>Technology</t>
        </is>
      </c>
      <c r="AO275" s="53" t="inlineStr">
        <is>
          <t>Development</t>
        </is>
      </c>
      <c r="AP275" s="53" t="inlineStr">
        <is>
          <t>Yes</t>
        </is>
      </c>
      <c r="AQ275" s="53" t="inlineStr">
        <is>
          <t>Product/Project</t>
        </is>
      </c>
      <c r="AR275" s="53" t="inlineStr">
        <is>
          <t>Angular</t>
        </is>
      </c>
      <c r="AS275" s="53" t="inlineStr">
        <is>
          <t>Technical - Developer</t>
        </is>
      </c>
      <c r="AT275" s="53" t="n">
        <v>20</v>
      </c>
      <c r="AU275" s="53" t="inlineStr">
        <is>
          <t>Covered</t>
        </is>
      </c>
      <c r="AV275" s="53" t="n"/>
      <c r="AW275" s="53" t="n"/>
      <c r="AX275" s="53" t="n"/>
      <c r="AY275" s="53" t="n"/>
      <c r="AZ275" s="53" t="n"/>
      <c r="BA275" s="53" t="n"/>
      <c r="BB275" s="53" t="n"/>
      <c r="BC275" s="53" t="n"/>
      <c r="BD275" s="53" t="n"/>
      <c r="BE275" s="53" t="n"/>
      <c r="BF275" s="53" t="n"/>
      <c r="BG275" s="53" t="n"/>
      <c r="BH275" s="53" t="n"/>
      <c r="BI275" s="53" t="n"/>
      <c r="BJ275" s="53" t="n"/>
      <c r="BK275" s="53" t="n"/>
      <c r="BL275" s="53" t="n"/>
      <c r="BM275" s="53" t="n"/>
      <c r="BN275" s="53" t="n"/>
      <c r="BO275" s="53" t="n"/>
      <c r="BP275" s="53" t="n"/>
      <c r="BQ275" s="53" t="n"/>
      <c r="BR275" s="53" t="n"/>
      <c r="BS275" s="53" t="n"/>
      <c r="BT275" s="53" t="n"/>
      <c r="BU275" s="53" t="n"/>
      <c r="BV275" s="53" t="n"/>
      <c r="BW275" s="53" t="n"/>
      <c r="BX275" s="53" t="n"/>
      <c r="BY275" s="53" t="n"/>
      <c r="BZ275" s="53" t="n"/>
      <c r="CA275" s="53" t="n"/>
      <c r="CB275" s="53" t="n"/>
      <c r="CC275" s="53" t="n"/>
      <c r="CD275" s="53" t="n"/>
      <c r="CE275" s="53" t="n"/>
      <c r="CF275" s="53" t="n"/>
      <c r="CG275" s="53" t="n"/>
      <c r="CH275" s="53" t="n"/>
      <c r="CI275" s="53" t="n"/>
      <c r="CJ275" s="53" t="n"/>
      <c r="CK275" s="53" t="n"/>
      <c r="CL275" s="53" t="n"/>
      <c r="CM275" s="53" t="n"/>
      <c r="CN275" s="53" t="n"/>
      <c r="CO275" s="53" t="n"/>
      <c r="CP275" s="53" t="n"/>
      <c r="CQ275" s="53" t="n"/>
      <c r="CR275" s="53" t="n"/>
      <c r="CS275" s="53" t="n"/>
      <c r="CT275" s="53" t="n"/>
      <c r="CU275" s="53" t="n"/>
      <c r="CV275" s="53" t="n"/>
      <c r="CW275" s="53" t="n"/>
      <c r="CX275" s="53" t="n"/>
      <c r="CY275" s="53" t="n"/>
      <c r="CZ275" s="53" t="n"/>
      <c r="DA275" s="53" t="n"/>
      <c r="DB275" s="53" t="n"/>
      <c r="DC275" s="53" t="n"/>
      <c r="DD275" s="53" t="inlineStr">
        <is>
          <t>IRIS2451</t>
        </is>
      </c>
      <c r="DE275" s="53" t="inlineStr">
        <is>
          <t>Employee</t>
        </is>
      </c>
      <c r="DF275" s="53" t="inlineStr">
        <is>
          <t>Active</t>
        </is>
      </c>
      <c r="DG275" s="53" t="inlineStr">
        <is>
          <t>Anurag Gupta</t>
        </is>
      </c>
      <c r="DH275" s="54" t="n">
        <v>45995</v>
      </c>
      <c r="DI275" s="53" t="inlineStr">
        <is>
          <t>Trainee Software Engineer</t>
        </is>
      </c>
      <c r="DJ275" s="53" t="inlineStr">
        <is>
          <t>Engineering &amp; Development</t>
        </is>
      </c>
      <c r="DK275" s="53" t="inlineStr">
        <is>
          <t>Software Engineering</t>
        </is>
      </c>
      <c r="DL275" s="53" t="inlineStr">
        <is>
          <t>Trainee Software Engineer</t>
        </is>
      </c>
      <c r="DM275" s="53" t="inlineStr">
        <is>
          <t>L2 – Trainee</t>
        </is>
      </c>
      <c r="DN275" s="53" t="inlineStr">
        <is>
          <t>B.Sc</t>
        </is>
      </c>
      <c r="DO275" s="53" t="inlineStr">
        <is>
          <t>Sharanagouda Patil</t>
        </is>
      </c>
      <c r="DP275" s="53" t="inlineStr">
        <is>
          <t>N-3</t>
        </is>
      </c>
      <c r="DQ275" s="53" t="inlineStr">
        <is>
          <t>Individual Contributor</t>
        </is>
      </c>
      <c r="DR275" s="53" t="inlineStr">
        <is>
          <t>1 years, 2 months, 0 days</t>
        </is>
      </c>
      <c r="DS275" s="53" t="inlineStr">
        <is>
          <t>0 years, 6 months, 16 days</t>
        </is>
      </c>
      <c r="DT275" s="53" t="inlineStr">
        <is>
          <t>1 years, 8 months, 16 days</t>
        </is>
      </c>
      <c r="DU275" s="53" t="n"/>
      <c r="DV275" s="53" t="inlineStr">
        <is>
          <t>Suptech</t>
        </is>
      </c>
      <c r="DW275" s="53" t="inlineStr">
        <is>
          <t>iFile</t>
        </is>
      </c>
      <c r="DX275" s="53" t="inlineStr">
        <is>
          <t>Technology</t>
        </is>
      </c>
      <c r="DY275" s="53" t="inlineStr">
        <is>
          <t>Development</t>
        </is>
      </c>
      <c r="DZ275" s="53" t="inlineStr">
        <is>
          <t>Yes</t>
        </is>
      </c>
      <c r="EA275" s="53" t="inlineStr">
        <is>
          <t>Product/Project</t>
        </is>
      </c>
      <c r="EB275" s="53" t="inlineStr">
        <is>
          <t>Angular</t>
        </is>
      </c>
      <c r="EC275" s="53" t="inlineStr">
        <is>
          <t>Technical - Developer</t>
        </is>
      </c>
      <c r="ED275" s="53" t="inlineStr">
        <is>
          <t>Work From Office - Turbhe</t>
        </is>
      </c>
      <c r="EE275" s="53" t="n"/>
      <c r="EF275" s="53" t="n"/>
      <c r="EG275"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5" s="53" t="n">
        <v>3</v>
      </c>
      <c r="EI275" s="54" t="n">
        <v>45901</v>
      </c>
      <c r="EJ275" s="53" t="inlineStr">
        <is>
          <t>Trainee Software Engineer</t>
        </is>
      </c>
      <c r="EK275" s="53" t="inlineStr">
        <is>
          <t>Yes</t>
        </is>
      </c>
      <c r="EL275" s="53" t="n">
        <v>3</v>
      </c>
      <c r="EM275" s="53" t="inlineStr">
        <is>
          <t>Medium</t>
        </is>
      </c>
      <c r="EN275" s="53" t="inlineStr">
        <is>
          <t>Trusted Professional</t>
        </is>
      </c>
      <c r="EO275" s="53" t="n"/>
      <c r="EP275" s="53" t="n"/>
      <c r="EQ275" s="53" t="n"/>
      <c r="ER275" s="53" t="n"/>
      <c r="ES275" s="53" t="inlineStr">
        <is>
          <t>Taxonomy
AI</t>
        </is>
      </c>
      <c r="ET275" s="53" t="n"/>
      <c r="EU275" s="53" t="n"/>
      <c r="EV275" s="53" t="n"/>
      <c r="EW275" s="52" t="n"/>
      <c r="EX275" s="53" t="n"/>
      <c r="EY275" s="53" t="n"/>
      <c r="EZ275" s="53" t="n"/>
      <c r="FA275" s="53" t="n"/>
      <c r="FB275" s="53" t="n"/>
      <c r="FC275" s="53" t="n"/>
      <c r="FD275" s="53" t="n"/>
      <c r="FE275" s="55" t="inlineStr">
        <is>
          <t>KRAs not received · manager to supply</t>
        </is>
      </c>
      <c r="FF275"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5" s="56" t="n"/>
      <c r="FH275" s="56" t="inlineStr">
        <is>
          <t>3</t>
        </is>
      </c>
      <c r="FI275" s="56" t="n"/>
      <c r="FJ275" s="56" t="inlineStr">
        <is>
          <t>Received · quarterly</t>
        </is>
      </c>
      <c r="FK275" s="56" t="inlineStr">
        <is>
          <t>Talent Mapping · iFile collated</t>
        </is>
      </c>
      <c r="FL275" s="56" t="n">
        <v>20</v>
      </c>
      <c r="FM275" s="32" t="inlineStr">
        <is>
          <t>Full survey answers not in the files received · How We Grow export needed · HR</t>
        </is>
      </c>
      <c r="FN275" s="56" t="inlineStr">
        <is>
          <t>—</t>
        </is>
      </c>
      <c r="FO275" s="56" t="inlineStr">
        <is>
          <t>—</t>
        </is>
      </c>
      <c r="FP275" s="56" t="inlineStr">
        <is>
          <t>—</t>
        </is>
      </c>
      <c r="FQ275" s="56" t="inlineStr">
        <is>
          <t>—</t>
        </is>
      </c>
      <c r="FR275" s="56" t="inlineStr">
        <is>
          <t>Business Impact: No survey or manager-mapping signal on criticality: kept at the start point.</t>
        </is>
      </c>
      <c r="FS275"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275"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275" s="32" t="inlineStr">
        <is>
          <t>Full survey answers not in the files received · How We Grow export needed · HR</t>
        </is>
      </c>
    </row>
    <row r="276" ht="90" customHeight="1">
      <c r="A276" s="51" t="inlineStr">
        <is>
          <t>◂ Back</t>
        </is>
      </c>
      <c r="B276" s="29" t="inlineStr">
        <is>
          <t>Mapped</t>
        </is>
      </c>
      <c r="C276" s="28" t="inlineStr">
        <is>
          <t>iFile</t>
        </is>
      </c>
      <c r="D276" s="29" t="inlineStr">
        <is>
          <t>IRIS2314</t>
        </is>
      </c>
      <c r="E276" s="29" t="inlineStr">
        <is>
          <t>Shubham Nimse</t>
        </is>
      </c>
      <c r="F276" s="29" t="inlineStr">
        <is>
          <t>Technology</t>
        </is>
      </c>
      <c r="G276" s="29" t="inlineStr">
        <is>
          <t>Trainee Software Engineer</t>
        </is>
      </c>
      <c r="H276" s="29" t="inlineStr">
        <is>
          <t>Software Engineer</t>
        </is>
      </c>
      <c r="I276" s="29" t="inlineStr">
        <is>
          <t>L2 – Trainee</t>
        </is>
      </c>
      <c r="J276" s="29" t="inlineStr">
        <is>
          <t>A2</t>
        </is>
      </c>
      <c r="K276" s="29" t="inlineStr">
        <is>
          <t>▲ Up</t>
        </is>
      </c>
      <c r="L276" s="29" t="inlineStr">
        <is>
          <t>Engineering &amp; Development</t>
        </is>
      </c>
      <c r="M276" s="29" t="inlineStr">
        <is>
          <t>Full-Stack Development</t>
        </is>
      </c>
      <c r="N276" s="29" t="n"/>
      <c r="O276" s="29" t="n">
        <v>19</v>
      </c>
      <c r="P276" s="28" t="inlineStr">
        <is>
          <t>P1–P2</t>
        </is>
      </c>
      <c r="Q276" s="29" t="inlineStr">
        <is>
          <t>Entry / Developing</t>
        </is>
      </c>
      <c r="R276" s="29" t="inlineStr">
        <is>
          <t>2 Assist</t>
        </is>
      </c>
      <c r="S276" s="29" t="inlineStr">
        <is>
          <t>0–2 yrs</t>
        </is>
      </c>
      <c r="T276" s="29" t="inlineStr">
        <is>
          <t>1–3 · 0–3</t>
        </is>
      </c>
      <c r="U276" s="29" t="inlineStr">
        <is>
          <t>Associate Software Engineer / Software Engineer</t>
        </is>
      </c>
      <c r="V276" s="29" t="inlineStr">
        <is>
          <t>Workiva: Associate SE · Broadridge India: SE · Nasdaq / AxiomSL: SE · Salesforce: AMTS · Atlassian: P30 Junior · 0–2 yrs · Freshworks: SE</t>
        </is>
      </c>
      <c r="W276" s="29" t="inlineStr">
        <is>
          <t>SFIA 9 · software development, programming; OWASP secure coding; cloud vendor certifications</t>
        </is>
      </c>
      <c r="X276" s="29" t="inlineStr">
        <is>
          <t>Core 2 · Future 2 · Functional 2 · Leadership not scored</t>
        </is>
      </c>
      <c r="Y276" s="52" t="n">
        <v>345</v>
      </c>
      <c r="Z276" s="53" t="inlineStr">
        <is>
          <t>IRIS2314</t>
        </is>
      </c>
      <c r="AA276" s="53" t="inlineStr">
        <is>
          <t>Employee</t>
        </is>
      </c>
      <c r="AB276" s="53" t="inlineStr">
        <is>
          <t>Active</t>
        </is>
      </c>
      <c r="AC276" s="53" t="inlineStr">
        <is>
          <t>Shubham Nimse</t>
        </is>
      </c>
      <c r="AD276" s="54" t="n">
        <v>45568</v>
      </c>
      <c r="AE276" s="53" t="inlineStr">
        <is>
          <t>Trainee Software Engineer</t>
        </is>
      </c>
      <c r="AF276" s="53" t="inlineStr">
        <is>
          <t>B.E</t>
        </is>
      </c>
      <c r="AG276" s="53" t="inlineStr">
        <is>
          <t>Sharanagouda Patil</t>
        </is>
      </c>
      <c r="AH276" s="53" t="inlineStr">
        <is>
          <t>N-4</t>
        </is>
      </c>
      <c r="AI276" s="53" t="inlineStr">
        <is>
          <t>Individual Contributor</t>
        </is>
      </c>
      <c r="AJ276" s="53" t="inlineStr">
        <is>
          <t>0 years, 6 months, 0 days</t>
        </is>
      </c>
      <c r="AK276" s="53" t="inlineStr">
        <is>
          <t>1 years, 10 months, 22 days</t>
        </is>
      </c>
      <c r="AL276" s="53" t="inlineStr">
        <is>
          <t>Suptech</t>
        </is>
      </c>
      <c r="AM276" s="53" t="inlineStr">
        <is>
          <t>iFile</t>
        </is>
      </c>
      <c r="AN276" s="53" t="inlineStr">
        <is>
          <t>Technology</t>
        </is>
      </c>
      <c r="AO276" s="53" t="inlineStr">
        <is>
          <t>Development</t>
        </is>
      </c>
      <c r="AP276" s="53" t="inlineStr">
        <is>
          <t>Yes</t>
        </is>
      </c>
      <c r="AQ276" s="53" t="inlineStr">
        <is>
          <t>Product/Project</t>
        </is>
      </c>
      <c r="AR276" s="53" t="inlineStr">
        <is>
          <t>.NET MVC</t>
        </is>
      </c>
      <c r="AS276" s="53" t="inlineStr">
        <is>
          <t>Technical - Developer</t>
        </is>
      </c>
      <c r="AT276" s="53" t="n">
        <v>20</v>
      </c>
      <c r="AU276" s="53" t="inlineStr">
        <is>
          <t>Covered</t>
        </is>
      </c>
      <c r="AV276" s="53" t="n"/>
      <c r="AW276" s="53" t="n"/>
      <c r="AX276" s="53" t="n"/>
      <c r="AY276" s="53" t="n"/>
      <c r="AZ276" s="53" t="n"/>
      <c r="BA276" s="53" t="n"/>
      <c r="BB276" s="53" t="n"/>
      <c r="BC276" s="53" t="n"/>
      <c r="BD276" s="53" t="n"/>
      <c r="BE276" s="53" t="n"/>
      <c r="BF276" s="53" t="n"/>
      <c r="BG276" s="53" t="n"/>
      <c r="BH276" s="53" t="n"/>
      <c r="BI276" s="53" t="n"/>
      <c r="BJ276" s="53" t="n"/>
      <c r="BK276" s="53" t="n"/>
      <c r="BL276" s="53" t="n"/>
      <c r="BM276" s="53" t="n"/>
      <c r="BN276" s="53" t="n"/>
      <c r="BO276" s="53" t="n"/>
      <c r="BP276" s="53" t="n"/>
      <c r="BQ276" s="53" t="n"/>
      <c r="BR276" s="53" t="n"/>
      <c r="BS276" s="53" t="n"/>
      <c r="BT276" s="53" t="n"/>
      <c r="BU276" s="53" t="n"/>
      <c r="BV276" s="53" t="n"/>
      <c r="BW276" s="53" t="n"/>
      <c r="BX276" s="53" t="n"/>
      <c r="BY276" s="53" t="n"/>
      <c r="BZ276" s="53" t="n"/>
      <c r="CA276" s="53" t="n"/>
      <c r="CB276" s="53" t="n"/>
      <c r="CC276" s="53" t="n"/>
      <c r="CD276" s="53" t="n"/>
      <c r="CE276" s="53" t="n"/>
      <c r="CF276" s="53" t="n"/>
      <c r="CG276" s="53" t="n"/>
      <c r="CH276" s="53" t="n"/>
      <c r="CI276" s="53" t="n"/>
      <c r="CJ276" s="53" t="n"/>
      <c r="CK276" s="53" t="n"/>
      <c r="CL276" s="53" t="n"/>
      <c r="CM276" s="53" t="n"/>
      <c r="CN276" s="53" t="n"/>
      <c r="CO276" s="53" t="n"/>
      <c r="CP276" s="53" t="n"/>
      <c r="CQ276" s="53" t="n"/>
      <c r="CR276" s="53" t="n"/>
      <c r="CS276" s="53" t="n"/>
      <c r="CT276" s="53" t="n"/>
      <c r="CU276" s="53" t="n"/>
      <c r="CV276" s="53" t="n"/>
      <c r="CW276" s="53" t="n"/>
      <c r="CX276" s="53" t="n"/>
      <c r="CY276" s="53" t="n"/>
      <c r="CZ276" s="53" t="n"/>
      <c r="DA276" s="53" t="n"/>
      <c r="DB276" s="53" t="n"/>
      <c r="DC276" s="53" t="n"/>
      <c r="DD276" s="53" t="inlineStr">
        <is>
          <t>IRIS2314</t>
        </is>
      </c>
      <c r="DE276" s="53" t="inlineStr">
        <is>
          <t>Employee</t>
        </is>
      </c>
      <c r="DF276" s="53" t="inlineStr">
        <is>
          <t>Active</t>
        </is>
      </c>
      <c r="DG276" s="53" t="inlineStr">
        <is>
          <t>Shubham Nimse</t>
        </is>
      </c>
      <c r="DH276" s="54" t="n">
        <v>45568</v>
      </c>
      <c r="DI276" s="53" t="inlineStr">
        <is>
          <t>Trainee Software Engineer</t>
        </is>
      </c>
      <c r="DJ276" s="53" t="inlineStr">
        <is>
          <t>Engineering &amp; Development</t>
        </is>
      </c>
      <c r="DK276" s="53" t="inlineStr">
        <is>
          <t>Backend Engineering ·.NET</t>
        </is>
      </c>
      <c r="DL276" s="53" t="inlineStr">
        <is>
          <t>Trainee Software Engineer</t>
        </is>
      </c>
      <c r="DM276" s="53" t="inlineStr">
        <is>
          <t>L2 – Trainee</t>
        </is>
      </c>
      <c r="DN276" s="53" t="inlineStr">
        <is>
          <t>B.E</t>
        </is>
      </c>
      <c r="DO276" s="53" t="inlineStr">
        <is>
          <t>Sharanagouda Patil</t>
        </is>
      </c>
      <c r="DP276" s="53" t="inlineStr">
        <is>
          <t>N-3</t>
        </is>
      </c>
      <c r="DQ276" s="53" t="inlineStr">
        <is>
          <t>Individual Contributor</t>
        </is>
      </c>
      <c r="DR276" s="53" t="inlineStr">
        <is>
          <t>0 years, 6 months, 0 days</t>
        </is>
      </c>
      <c r="DS276" s="53" t="inlineStr">
        <is>
          <t>1 years, 8 months, 17 days</t>
        </is>
      </c>
      <c r="DT276" s="53" t="inlineStr">
        <is>
          <t>2 years, 2 months, 17 days</t>
        </is>
      </c>
      <c r="DU276" s="53" t="n"/>
      <c r="DV276" s="53" t="inlineStr">
        <is>
          <t>Suptech</t>
        </is>
      </c>
      <c r="DW276" s="53" t="inlineStr">
        <is>
          <t>iFile</t>
        </is>
      </c>
      <c r="DX276" s="53" t="inlineStr">
        <is>
          <t>Technology</t>
        </is>
      </c>
      <c r="DY276" s="53" t="inlineStr">
        <is>
          <t>Development</t>
        </is>
      </c>
      <c r="DZ276" s="53" t="inlineStr">
        <is>
          <t>Yes</t>
        </is>
      </c>
      <c r="EA276" s="53" t="inlineStr">
        <is>
          <t>Product/Project</t>
        </is>
      </c>
      <c r="EB276" s="53" t="inlineStr">
        <is>
          <t>.NET MVC</t>
        </is>
      </c>
      <c r="EC276" s="53" t="inlineStr">
        <is>
          <t>Technical - Developer</t>
        </is>
      </c>
      <c r="ED276" s="53" t="inlineStr">
        <is>
          <t>Hybrid</t>
        </is>
      </c>
      <c r="EE276" s="53" t="n"/>
      <c r="EF276" s="53" t="n"/>
      <c r="EG276"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6" s="53" t="n">
        <v>4</v>
      </c>
      <c r="EI276" s="54" t="n">
        <v>45901</v>
      </c>
      <c r="EJ276" s="53" t="inlineStr">
        <is>
          <t>Trainee Software Engineer</t>
        </is>
      </c>
      <c r="EK276" s="53" t="inlineStr">
        <is>
          <t>Yes</t>
        </is>
      </c>
      <c r="EL276" s="53" t="n">
        <v>4</v>
      </c>
      <c r="EM276" s="53" t="inlineStr">
        <is>
          <t>High</t>
        </is>
      </c>
      <c r="EN276" s="53" t="inlineStr">
        <is>
          <t>Trusted Professional</t>
        </is>
      </c>
      <c r="EO276" s="53" t="n"/>
      <c r="EP276" s="53" t="n"/>
      <c r="EQ276" s="53" t="n"/>
      <c r="ER276" s="53" t="n"/>
      <c r="ES276" s="53" t="inlineStr">
        <is>
          <t>Taxonomy
AI</t>
        </is>
      </c>
      <c r="ET276" s="53" t="n"/>
      <c r="EU276" s="53" t="n"/>
      <c r="EV276" s="53" t="n"/>
      <c r="EW276" s="52" t="n"/>
      <c r="EX276" s="53" t="n"/>
      <c r="EY276" s="53" t="n"/>
      <c r="EZ276" s="53" t="n"/>
      <c r="FA276" s="53" t="n"/>
      <c r="FB276" s="53" t="n"/>
      <c r="FC276" s="53" t="n"/>
      <c r="FD276" s="53" t="n"/>
      <c r="FE276" s="55" t="inlineStr">
        <is>
          <t>KRAs not received · manager to supply</t>
        </is>
      </c>
      <c r="FF276"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6" s="56" t="n"/>
      <c r="FH276" s="56" t="inlineStr">
        <is>
          <t>4</t>
        </is>
      </c>
      <c r="FI276" s="56" t="n"/>
      <c r="FJ276" s="56" t="inlineStr">
        <is>
          <t>Received · quarterly</t>
        </is>
      </c>
      <c r="FK276" s="56" t="inlineStr">
        <is>
          <t>Talent Mapping · iFile collated</t>
        </is>
      </c>
      <c r="FL276" s="56" t="n">
        <v>19</v>
      </c>
      <c r="FM276" s="32" t="inlineStr">
        <is>
          <t>Full survey answers not in the files received · How We Grow export needed · HR</t>
        </is>
      </c>
      <c r="FN276" s="56" t="inlineStr">
        <is>
          <t>—</t>
        </is>
      </c>
      <c r="FO276" s="56" t="inlineStr">
        <is>
          <t>—</t>
        </is>
      </c>
      <c r="FP276" s="56" t="inlineStr">
        <is>
          <t>—</t>
        </is>
      </c>
      <c r="FQ276" s="56" t="inlineStr">
        <is>
          <t>—</t>
        </is>
      </c>
      <c r="FR276" s="56"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 moved up 1
Leadership: Evidence reads like A2: Helps new peers with knowledge transfer on projects → moved up 0.5
Business Impact: No survey or manager-mapping signal on criticality: kept at the start point.</t>
        </is>
      </c>
      <c r="FS276"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276" s="56" t="inlineStr">
        <is>
          <t>Self-identified: Project / programme management · Technical depth &amp; architecture
For the next role: Project / programme management · Technical depth &amp; architecture</t>
        </is>
      </c>
      <c r="FU276" s="32" t="inlineStr">
        <is>
          <t>Full survey answers not in the files received · How We Grow export needed · HR</t>
        </is>
      </c>
    </row>
    <row r="277" ht="90" customHeight="1">
      <c r="A277" s="51" t="inlineStr">
        <is>
          <t>◂ Back</t>
        </is>
      </c>
      <c r="B277" s="29" t="inlineStr">
        <is>
          <t>Mapped</t>
        </is>
      </c>
      <c r="C277" s="28" t="inlineStr">
        <is>
          <t>iFile</t>
        </is>
      </c>
      <c r="D277" s="29" t="inlineStr">
        <is>
          <t>INTN0289</t>
        </is>
      </c>
      <c r="E277" s="29" t="inlineStr">
        <is>
          <t>Pradnya Shindhe</t>
        </is>
      </c>
      <c r="F277" s="29" t="inlineStr">
        <is>
          <t>Technology</t>
        </is>
      </c>
      <c r="G277" s="29" t="inlineStr">
        <is>
          <t>Intern</t>
        </is>
      </c>
      <c r="H277" s="29" t="inlineStr">
        <is>
          <t>Intern – Front-End / UI Development</t>
        </is>
      </c>
      <c r="I277" s="29" t="inlineStr">
        <is>
          <t>L1 – Intern</t>
        </is>
      </c>
      <c r="J277" s="29" t="inlineStr">
        <is>
          <t>A1</t>
        </is>
      </c>
      <c r="K277" s="29" t="inlineStr">
        <is>
          <t>• Same level</t>
        </is>
      </c>
      <c r="L277" s="29" t="inlineStr">
        <is>
          <t>Engineering &amp; Development</t>
        </is>
      </c>
      <c r="M277" s="29" t="inlineStr">
        <is>
          <t>Front-End / UI Development</t>
        </is>
      </c>
      <c r="N277" s="29" t="n"/>
      <c r="O277" s="29" t="n">
        <v>20</v>
      </c>
      <c r="P277" s="28" t="inlineStr">
        <is>
          <t>Entry / P1 · intern</t>
        </is>
      </c>
      <c r="Q277" s="29" t="inlineStr">
        <is>
          <t>Entry</t>
        </is>
      </c>
      <c r="R277" s="29" t="inlineStr">
        <is>
          <t>1 Follow</t>
        </is>
      </c>
      <c r="S277" s="29" t="inlineStr">
        <is>
          <t>0 yrs · fresher / intern</t>
        </is>
      </c>
      <c r="T277" s="29" t="inlineStr">
        <is>
          <t>—</t>
        </is>
      </c>
      <c r="U277" s="29" t="inlineStr">
        <is>
          <t>Associate Software Engineer</t>
        </is>
      </c>
      <c r="V277" s="29" t="inlineStr">
        <is>
          <t>—</t>
        </is>
      </c>
      <c r="W277" s="29" t="inlineStr">
        <is>
          <t>SFIA 9 · software development, programming; OWASP secure coding; cloud vendor certifications</t>
        </is>
      </c>
      <c r="X277" s="29" t="inlineStr">
        <is>
          <t>Core 1 · Future 1 · Functional 1 · Leadership not scored</t>
        </is>
      </c>
      <c r="Y277" s="52" t="n">
        <v>436</v>
      </c>
      <c r="Z277" s="53" t="inlineStr">
        <is>
          <t>INTN0289</t>
        </is>
      </c>
      <c r="AA277" s="53" t="inlineStr">
        <is>
          <t>Intern</t>
        </is>
      </c>
      <c r="AB277" s="53" t="inlineStr">
        <is>
          <t>Active</t>
        </is>
      </c>
      <c r="AC277" s="53" t="inlineStr">
        <is>
          <t>Pradnya Shindhe</t>
        </is>
      </c>
      <c r="AD277" s="54" t="n">
        <v>46034</v>
      </c>
      <c r="AE277" s="53" t="inlineStr">
        <is>
          <t>Intern</t>
        </is>
      </c>
      <c r="AF277" s="53" t="inlineStr">
        <is>
          <t>BCA</t>
        </is>
      </c>
      <c r="AG277" s="53" t="inlineStr">
        <is>
          <t>Sharanagouda Patil</t>
        </is>
      </c>
      <c r="AH277" s="53" t="inlineStr">
        <is>
          <t>N-4</t>
        </is>
      </c>
      <c r="AI277" s="53" t="inlineStr">
        <is>
          <t>Individual Contributor</t>
        </is>
      </c>
      <c r="AJ277" s="53" t="inlineStr">
        <is>
          <t>0 years, 0 months, 0 days</t>
        </is>
      </c>
      <c r="AK277" s="53" t="inlineStr">
        <is>
          <t>0 years, 7 months, 13 days</t>
        </is>
      </c>
      <c r="AL277" s="53" t="inlineStr">
        <is>
          <t>Suptech</t>
        </is>
      </c>
      <c r="AM277" s="53" t="inlineStr">
        <is>
          <t>iFile</t>
        </is>
      </c>
      <c r="AN277" s="53" t="inlineStr">
        <is>
          <t>Technology</t>
        </is>
      </c>
      <c r="AO277" s="53" t="inlineStr">
        <is>
          <t>Development</t>
        </is>
      </c>
      <c r="AP277" s="53" t="inlineStr">
        <is>
          <t>Yes</t>
        </is>
      </c>
      <c r="AQ277" s="53" t="inlineStr">
        <is>
          <t>Product/Project</t>
        </is>
      </c>
      <c r="AR277" s="53" t="inlineStr">
        <is>
          <t>Angular</t>
        </is>
      </c>
      <c r="AS277" s="53" t="inlineStr">
        <is>
          <t>Technical - Developer</t>
        </is>
      </c>
      <c r="AT277" s="53" t="n">
        <v>20</v>
      </c>
      <c r="AU277" s="53" t="inlineStr">
        <is>
          <t>Covered</t>
        </is>
      </c>
      <c r="AV277" s="53" t="n"/>
      <c r="AW277" s="53" t="n"/>
      <c r="AX277" s="53" t="n"/>
      <c r="AY277" s="53" t="n"/>
      <c r="AZ277" s="53" t="n"/>
      <c r="BA277" s="53" t="n"/>
      <c r="BB277" s="53" t="n"/>
      <c r="BC277" s="53" t="n"/>
      <c r="BD277" s="53" t="n"/>
      <c r="BE277" s="53" t="n"/>
      <c r="BF277" s="53" t="n"/>
      <c r="BG277" s="53" t="n"/>
      <c r="BH277" s="53" t="n"/>
      <c r="BI277" s="53" t="n"/>
      <c r="BJ277" s="53" t="n"/>
      <c r="BK277" s="53" t="n"/>
      <c r="BL277" s="53" t="n"/>
      <c r="BM277" s="53" t="n"/>
      <c r="BN277" s="53" t="n"/>
      <c r="BO277" s="53" t="n"/>
      <c r="BP277" s="53" t="n"/>
      <c r="BQ277" s="53" t="n"/>
      <c r="BR277" s="53" t="n"/>
      <c r="BS277" s="53" t="n"/>
      <c r="BT277" s="53" t="n"/>
      <c r="BU277" s="53" t="n"/>
      <c r="BV277" s="53" t="n"/>
      <c r="BW277" s="53" t="n"/>
      <c r="BX277" s="53" t="n"/>
      <c r="BY277" s="53" t="n"/>
      <c r="BZ277" s="53" t="n"/>
      <c r="CA277" s="53" t="n"/>
      <c r="CB277" s="53" t="n"/>
      <c r="CC277" s="53" t="n"/>
      <c r="CD277" s="53" t="n"/>
      <c r="CE277" s="53" t="n"/>
      <c r="CF277" s="53" t="n"/>
      <c r="CG277" s="53" t="n"/>
      <c r="CH277" s="53" t="n"/>
      <c r="CI277" s="53" t="n"/>
      <c r="CJ277" s="53" t="n"/>
      <c r="CK277" s="53" t="n"/>
      <c r="CL277" s="53" t="n"/>
      <c r="CM277" s="53" t="n"/>
      <c r="CN277" s="53" t="n"/>
      <c r="CO277" s="53" t="n"/>
      <c r="CP277" s="53" t="n"/>
      <c r="CQ277" s="53" t="n"/>
      <c r="CR277" s="53" t="n"/>
      <c r="CS277" s="53" t="n"/>
      <c r="CT277" s="53" t="n"/>
      <c r="CU277" s="53" t="n"/>
      <c r="CV277" s="53" t="n"/>
      <c r="CW277" s="53" t="n"/>
      <c r="CX277" s="53" t="n"/>
      <c r="CY277" s="53" t="n"/>
      <c r="CZ277" s="53" t="n"/>
      <c r="DA277" s="53" t="n"/>
      <c r="DB277" s="53" t="n"/>
      <c r="DC277" s="53" t="n"/>
      <c r="DD277" s="53" t="inlineStr">
        <is>
          <t>INTN0289</t>
        </is>
      </c>
      <c r="DE277" s="53" t="inlineStr">
        <is>
          <t>Intern</t>
        </is>
      </c>
      <c r="DF277" s="53" t="inlineStr">
        <is>
          <t>Active</t>
        </is>
      </c>
      <c r="DG277" s="53" t="inlineStr">
        <is>
          <t>Pradnya Shindhe</t>
        </is>
      </c>
      <c r="DH277" s="54" t="n">
        <v>46034</v>
      </c>
      <c r="DI277" s="53" t="inlineStr">
        <is>
          <t>Intern</t>
        </is>
      </c>
      <c r="DJ277" s="53" t="inlineStr">
        <is>
          <t>Engineering &amp; Development</t>
        </is>
      </c>
      <c r="DK277" s="53" t="inlineStr">
        <is>
          <t>Software Engineering</t>
        </is>
      </c>
      <c r="DL277" s="53" t="inlineStr">
        <is>
          <t>Intern</t>
        </is>
      </c>
      <c r="DM277" s="53" t="inlineStr">
        <is>
          <t>L1 – Intern</t>
        </is>
      </c>
      <c r="DN277" s="53" t="inlineStr">
        <is>
          <t>BCA</t>
        </is>
      </c>
      <c r="DO277" s="53" t="inlineStr">
        <is>
          <t>Sharanagouda Patil</t>
        </is>
      </c>
      <c r="DP277" s="53" t="inlineStr">
        <is>
          <t>N-3</t>
        </is>
      </c>
      <c r="DQ277" s="53" t="inlineStr">
        <is>
          <t>Individual Contributor</t>
        </is>
      </c>
      <c r="DR277" s="53" t="inlineStr">
        <is>
          <t>0 years, 0 months, 0 days</t>
        </is>
      </c>
      <c r="DS277" s="53" t="inlineStr">
        <is>
          <t>0 years, 5 months, 8 days</t>
        </is>
      </c>
      <c r="DT277" s="53" t="inlineStr">
        <is>
          <t>0 years, 5 months, 8 days</t>
        </is>
      </c>
      <c r="DU277" s="53" t="n"/>
      <c r="DV277" s="53" t="inlineStr">
        <is>
          <t>Suptech</t>
        </is>
      </c>
      <c r="DW277" s="53" t="inlineStr">
        <is>
          <t>iFile</t>
        </is>
      </c>
      <c r="DX277" s="53" t="inlineStr">
        <is>
          <t>Technology</t>
        </is>
      </c>
      <c r="DY277" s="53" t="inlineStr">
        <is>
          <t>Development</t>
        </is>
      </c>
      <c r="DZ277" s="53" t="inlineStr">
        <is>
          <t>Yes</t>
        </is>
      </c>
      <c r="EA277" s="53" t="inlineStr">
        <is>
          <t>Product/Project</t>
        </is>
      </c>
      <c r="EB277" s="53" t="inlineStr">
        <is>
          <t>Angular</t>
        </is>
      </c>
      <c r="EC277" s="53" t="inlineStr">
        <is>
          <t>Technical - Developer</t>
        </is>
      </c>
      <c r="ED277" s="53" t="inlineStr">
        <is>
          <t>Work From Office - Turbhe</t>
        </is>
      </c>
      <c r="EE277" s="53" t="n"/>
      <c r="EF277" s="53" t="n"/>
      <c r="EG277" s="53"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EH277" s="53" t="n">
        <v>3</v>
      </c>
      <c r="EI277" s="53" t="n"/>
      <c r="EJ277" s="53" t="inlineStr">
        <is>
          <t>Intern</t>
        </is>
      </c>
      <c r="EK277" s="53" t="inlineStr">
        <is>
          <t>Yes</t>
        </is>
      </c>
      <c r="EL277" s="53" t="n">
        <v>3</v>
      </c>
      <c r="EM277" s="53" t="n"/>
      <c r="EN277" s="53" t="inlineStr">
        <is>
          <t>Trusted Professional</t>
        </is>
      </c>
      <c r="EO277" s="53" t="n"/>
      <c r="EP277" s="53" t="n"/>
      <c r="EQ277" s="53" t="n"/>
      <c r="ER277" s="53" t="n"/>
      <c r="ES277" s="53" t="inlineStr">
        <is>
          <t>Taxonomy
AI</t>
        </is>
      </c>
      <c r="ET277" s="53" t="n"/>
      <c r="EU277" s="53" t="n"/>
      <c r="EV277" s="53" t="n"/>
      <c r="EW277" s="52" t="n"/>
      <c r="EX277" s="53" t="n"/>
      <c r="EY277" s="53" t="n"/>
      <c r="EZ277" s="53" t="n"/>
      <c r="FA277" s="53" t="n"/>
      <c r="FB277" s="53" t="n"/>
      <c r="FC277" s="53" t="n"/>
      <c r="FD277" s="53" t="n"/>
      <c r="FE277" s="55" t="inlineStr">
        <is>
          <t>KRAs not received · manager to supply</t>
        </is>
      </c>
      <c r="FF277" s="56"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FG277" s="56" t="n"/>
      <c r="FH277" s="56" t="inlineStr">
        <is>
          <t>3</t>
        </is>
      </c>
      <c r="FI277" s="56" t="n"/>
      <c r="FJ277" s="56" t="inlineStr">
        <is>
          <t>Received · quarterly</t>
        </is>
      </c>
      <c r="FK277" s="56" t="inlineStr">
        <is>
          <t>Talent Mapping · iFile collated</t>
        </is>
      </c>
      <c r="FL277" s="56" t="n">
        <v>20</v>
      </c>
      <c r="FM277" s="32" t="inlineStr">
        <is>
          <t>Full survey answers not in the files received · How We Grow export needed · HR</t>
        </is>
      </c>
      <c r="FN277" s="56" t="inlineStr">
        <is>
          <t>—</t>
        </is>
      </c>
      <c r="FO277" s="56" t="inlineStr">
        <is>
          <t>—</t>
        </is>
      </c>
      <c r="FP277" s="56" t="inlineStr">
        <is>
          <t>—</t>
        </is>
      </c>
      <c r="FQ277" s="56" t="inlineStr">
        <is>
          <t>—</t>
        </is>
      </c>
      <c r="FR277" s="56" t="n"/>
      <c r="FS277" s="56"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FT277" s="56" t="inlineStr">
        <is>
          <t>Self-identified: Answered · no common topic
For the next role: Answered · no common topic</t>
        </is>
      </c>
      <c r="FU277" s="32" t="inlineStr">
        <is>
          <t>Full survey answers not in the files received · How We Grow export needed · HR</t>
        </is>
      </c>
    </row>
    <row r="278" ht="90" customHeight="1">
      <c r="A278" s="51" t="inlineStr">
        <is>
          <t>◂ Back</t>
        </is>
      </c>
      <c r="B278" s="29" t="inlineStr">
        <is>
          <t>Mapped</t>
        </is>
      </c>
      <c r="C278" s="28" t="inlineStr">
        <is>
          <t>iFile</t>
        </is>
      </c>
      <c r="D278" s="29" t="inlineStr">
        <is>
          <t>IRIS0211</t>
        </is>
      </c>
      <c r="E278" s="29" t="inlineStr">
        <is>
          <t>Brij Kishor Singh</t>
        </is>
      </c>
      <c r="F278" s="29" t="inlineStr">
        <is>
          <t>Technology</t>
        </is>
      </c>
      <c r="G278" s="29" t="inlineStr">
        <is>
          <t>Technical Architect</t>
        </is>
      </c>
      <c r="H278" s="29" t="inlineStr">
        <is>
          <t>Practice Lead – Solution &amp; Technical Architecture · Player-Coach</t>
        </is>
      </c>
      <c r="I278" s="29" t="inlineStr">
        <is>
          <t>L3 – Professional / Associate</t>
        </is>
      </c>
      <c r="J278" s="29" t="inlineStr">
        <is>
          <t>B+</t>
        </is>
      </c>
      <c r="K278" s="29" t="inlineStr">
        <is>
          <t>▲ Up</t>
        </is>
      </c>
      <c r="L278" s="29" t="inlineStr">
        <is>
          <t>Engineering &amp; Architecture</t>
        </is>
      </c>
      <c r="M278" s="29" t="inlineStr">
        <is>
          <t>Solution &amp; Technical Architecture</t>
        </is>
      </c>
      <c r="N278" s="29" t="n"/>
      <c r="O278" s="29" t="n">
        <v>20</v>
      </c>
      <c r="P278" s="28" t="inlineStr">
        <is>
          <t>P5–P6 / M4–M5</t>
        </is>
      </c>
      <c r="Q278" s="29" t="inlineStr">
        <is>
          <t>Expert / Senior Manager · player-coach</t>
        </is>
      </c>
      <c r="R278" s="29" t="inlineStr">
        <is>
          <t>5 Ensure, advise</t>
        </is>
      </c>
      <c r="S278" s="29" t="inlineStr">
        <is>
          <t>9–14 yrs</t>
        </is>
      </c>
      <c r="T278" s="29" t="inlineStr">
        <is>
          <t>9–13 · 9–14</t>
        </is>
      </c>
      <c r="U278" s="29" t="inlineStr">
        <is>
          <t>Tech Lead Manager / Practice Lead · player-coach</t>
        </is>
      </c>
      <c r="V278" s="29" t="inlineStr">
        <is>
          <t>Google: Tech Lead Manager · TLM · McKinsey player/coach · 3–5 reports · SaaS: player-coach team lead carrying own work</t>
        </is>
      </c>
      <c r="W278" s="29" t="inlineStr">
        <is>
          <t>SFIA 9 · solution architecture; TOGAF; AWS / Azure architect certifications</t>
        </is>
      </c>
      <c r="X278" s="29" t="inlineStr">
        <is>
          <t>Core 4 · Future 4 · Functional 4 · Leadership 4</t>
        </is>
      </c>
      <c r="Y278" s="52" t="n">
        <v>38</v>
      </c>
      <c r="Z278" s="53" t="inlineStr">
        <is>
          <t>IRIS0211</t>
        </is>
      </c>
      <c r="AA278" s="53" t="inlineStr">
        <is>
          <t>Employee</t>
        </is>
      </c>
      <c r="AB278" s="53" t="inlineStr">
        <is>
          <t>Active</t>
        </is>
      </c>
      <c r="AC278" s="53" t="inlineStr">
        <is>
          <t>Brij Kishor Singh</t>
        </is>
      </c>
      <c r="AD278" s="54" t="n">
        <v>39651</v>
      </c>
      <c r="AE278" s="53" t="inlineStr">
        <is>
          <t>Technical Architect</t>
        </is>
      </c>
      <c r="AF278" s="53" t="inlineStr">
        <is>
          <t>MCA</t>
        </is>
      </c>
      <c r="AG278" s="53" t="inlineStr">
        <is>
          <t>Pradip Dey</t>
        </is>
      </c>
      <c r="AH278" s="53" t="inlineStr">
        <is>
          <t>N-3</t>
        </is>
      </c>
      <c r="AI278" s="53" t="inlineStr">
        <is>
          <t>Manager</t>
        </is>
      </c>
      <c r="AJ278" s="53" t="inlineStr">
        <is>
          <t>0 years, 0 months, 0 days</t>
        </is>
      </c>
      <c r="AK278" s="53" t="inlineStr">
        <is>
          <t>18 years, 1 months, 3 days</t>
        </is>
      </c>
      <c r="AL278" s="53" t="inlineStr">
        <is>
          <t>Suptech</t>
        </is>
      </c>
      <c r="AM278" s="53" t="inlineStr">
        <is>
          <t>iFile</t>
        </is>
      </c>
      <c r="AN278" s="53" t="inlineStr">
        <is>
          <t>Technology</t>
        </is>
      </c>
      <c r="AO278" s="53" t="inlineStr">
        <is>
          <t>Development</t>
        </is>
      </c>
      <c r="AP278" s="53" t="inlineStr">
        <is>
          <t>Yes</t>
        </is>
      </c>
      <c r="AQ278" s="53" t="inlineStr">
        <is>
          <t>Product/Project</t>
        </is>
      </c>
      <c r="AR278" s="53" t="inlineStr">
        <is>
          <t>Java</t>
        </is>
      </c>
      <c r="AS278" s="53" t="inlineStr">
        <is>
          <t>Technical - Developer</t>
        </is>
      </c>
      <c r="AT278" s="53" t="n">
        <v>20</v>
      </c>
      <c r="AU278" s="53" t="inlineStr">
        <is>
          <t>Covered</t>
        </is>
      </c>
      <c r="AV278" s="53" t="n"/>
      <c r="AW278" s="53" t="n"/>
      <c r="AX278" s="53" t="n"/>
      <c r="AY278" s="53" t="n"/>
      <c r="AZ278" s="53" t="n"/>
      <c r="BA278" s="53" t="n"/>
      <c r="BB278" s="53" t="n"/>
      <c r="BC278" s="53" t="n"/>
      <c r="BD278" s="53" t="n"/>
      <c r="BE278" s="53" t="n"/>
      <c r="BF278" s="53" t="n"/>
      <c r="BG278" s="53" t="n"/>
      <c r="BH278" s="53" t="n"/>
      <c r="BI278" s="53" t="n"/>
      <c r="BJ278" s="53" t="n"/>
      <c r="BK278" s="53" t="n"/>
      <c r="BL278" s="53" t="n"/>
      <c r="BM278" s="53" t="n"/>
      <c r="BN278" s="53" t="n"/>
      <c r="BO278" s="53" t="n"/>
      <c r="BP278" s="53" t="n"/>
      <c r="BQ278" s="53" t="n"/>
      <c r="BR278" s="53" t="n"/>
      <c r="BS278" s="53" t="n"/>
      <c r="BT278" s="53" t="n"/>
      <c r="BU278" s="53" t="n"/>
      <c r="BV278" s="53" t="n"/>
      <c r="BW278" s="53" t="n"/>
      <c r="BX278" s="53" t="n"/>
      <c r="BY278" s="53" t="n"/>
      <c r="BZ278" s="53" t="n"/>
      <c r="CA278" s="53" t="n"/>
      <c r="CB278" s="53" t="n"/>
      <c r="CC278" s="53" t="n"/>
      <c r="CD278" s="53" t="n"/>
      <c r="CE278" s="53" t="n"/>
      <c r="CF278" s="53" t="n"/>
      <c r="CG278" s="53" t="n"/>
      <c r="CH278" s="53" t="n"/>
      <c r="CI278" s="53" t="n"/>
      <c r="CJ278" s="53" t="n"/>
      <c r="CK278" s="53" t="n"/>
      <c r="CL278" s="53" t="n"/>
      <c r="CM278" s="53" t="n"/>
      <c r="CN278" s="53" t="n"/>
      <c r="CO278" s="53" t="n"/>
      <c r="CP278" s="53" t="n"/>
      <c r="CQ278" s="53" t="n"/>
      <c r="CR278" s="53" t="n"/>
      <c r="CS278" s="53" t="n"/>
      <c r="CT278" s="53" t="n"/>
      <c r="CU278" s="53" t="n"/>
      <c r="CV278" s="53" t="n"/>
      <c r="CW278" s="53" t="n"/>
      <c r="CX278" s="53" t="n"/>
      <c r="CY278" s="53" t="n"/>
      <c r="CZ278" s="53" t="n"/>
      <c r="DA278" s="53" t="n"/>
      <c r="DB278" s="53" t="n"/>
      <c r="DC278" s="53" t="n"/>
      <c r="DD278" s="53" t="inlineStr">
        <is>
          <t>IRIS0211</t>
        </is>
      </c>
      <c r="DE278" s="53" t="inlineStr">
        <is>
          <t>Employee</t>
        </is>
      </c>
      <c r="DF278" s="53" t="inlineStr">
        <is>
          <t>Active</t>
        </is>
      </c>
      <c r="DG278" s="53" t="inlineStr">
        <is>
          <t>Brij Kishor Singh</t>
        </is>
      </c>
      <c r="DH278" s="54" t="n">
        <v>39651</v>
      </c>
      <c r="DI278" s="53" t="inlineStr">
        <is>
          <t>Technical Architect</t>
        </is>
      </c>
      <c r="DJ278" s="53" t="inlineStr">
        <is>
          <t>Engineering &amp; Architecture</t>
        </is>
      </c>
      <c r="DK278" s="53" t="inlineStr">
        <is>
          <t>Solution / Software Architecture</t>
        </is>
      </c>
      <c r="DL278" s="53" t="inlineStr">
        <is>
          <t>Technical Architect</t>
        </is>
      </c>
      <c r="DM278" s="53" t="inlineStr">
        <is>
          <t>L3 – Professional / Associate</t>
        </is>
      </c>
      <c r="DN278" s="53" t="inlineStr">
        <is>
          <t>MCA</t>
        </is>
      </c>
      <c r="DO278" s="53" t="inlineStr">
        <is>
          <t>Pradip Dey</t>
        </is>
      </c>
      <c r="DP278" s="53" t="inlineStr">
        <is>
          <t>N-2</t>
        </is>
      </c>
      <c r="DQ278" s="53" t="inlineStr">
        <is>
          <t>Manager</t>
        </is>
      </c>
      <c r="DR278" s="53" t="inlineStr">
        <is>
          <t>0 years, 0 months, 0 days</t>
        </is>
      </c>
      <c r="DS278" s="53" t="inlineStr">
        <is>
          <t>17 years, 10 months, 29 days</t>
        </is>
      </c>
      <c r="DT278" s="53" t="inlineStr">
        <is>
          <t>17 years, 10 months, 29 days</t>
        </is>
      </c>
      <c r="DU278" s="53" t="n">
        <v>17.9127853881279</v>
      </c>
      <c r="DV278" s="53" t="inlineStr">
        <is>
          <t>Suptech</t>
        </is>
      </c>
      <c r="DW278" s="53" t="inlineStr">
        <is>
          <t>iFile</t>
        </is>
      </c>
      <c r="DX278" s="53" t="inlineStr">
        <is>
          <t>Technology</t>
        </is>
      </c>
      <c r="DY278" s="53" t="inlineStr">
        <is>
          <t>Development</t>
        </is>
      </c>
      <c r="DZ278" s="53" t="inlineStr">
        <is>
          <t>Yes</t>
        </is>
      </c>
      <c r="EA278" s="53" t="inlineStr">
        <is>
          <t>Product/Project</t>
        </is>
      </c>
      <c r="EB278" s="53" t="inlineStr">
        <is>
          <t>Java</t>
        </is>
      </c>
      <c r="EC278" s="53" t="inlineStr">
        <is>
          <t>Technical - Developer</t>
        </is>
      </c>
      <c r="ED278" s="53" t="inlineStr">
        <is>
          <t>Hybrid</t>
        </is>
      </c>
      <c r="EE278" s="53" t="n"/>
      <c r="EF278" s="53"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EG278" s="53" t="inlineStr">
        <is>
          <t>ADGM POC completion
Process improvements
Initiate PMP/PRINCE Certification
Digital way of working and measurement of metrics through the tools</t>
        </is>
      </c>
      <c r="EH278" s="53" t="inlineStr">
        <is>
          <t>Exceed Expectations</t>
        </is>
      </c>
      <c r="EI278" s="54" t="n">
        <v>45931</v>
      </c>
      <c r="EJ278" s="53" t="inlineStr">
        <is>
          <t>Technical Architect</t>
        </is>
      </c>
      <c r="EK278" s="53" t="n"/>
      <c r="EL278" s="53" t="n">
        <v>4</v>
      </c>
      <c r="EM278" s="53" t="inlineStr">
        <is>
          <t>High</t>
        </is>
      </c>
      <c r="EN278" s="53" t="inlineStr">
        <is>
          <t>Trusted Professional</t>
        </is>
      </c>
      <c r="EO278" s="53" t="n"/>
      <c r="EP278" s="53" t="inlineStr">
        <is>
          <t>Y</t>
        </is>
      </c>
      <c r="EQ278" s="53" t="inlineStr">
        <is>
          <t>Y</t>
        </is>
      </c>
      <c r="ER278" s="53" t="n"/>
      <c r="ES278" s="53" t="inlineStr">
        <is>
          <t>Communications and Soft Skills</t>
        </is>
      </c>
      <c r="ET278" s="53" t="n"/>
      <c r="EU278" s="53" t="inlineStr">
        <is>
          <t>IRIS Instant - MBRS</t>
        </is>
      </c>
      <c r="EV278" s="53" t="n"/>
      <c r="EW278" s="52" t="n"/>
      <c r="EX278" s="53" t="n"/>
      <c r="EY278" s="53" t="n"/>
      <c r="EZ278" s="53" t="n"/>
      <c r="FA278" s="53" t="n"/>
      <c r="FB278" s="53" t="n"/>
      <c r="FC278" s="53" t="n"/>
      <c r="FD278" s="53" t="n"/>
      <c r="FE278" s="57"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FF278" s="56" t="inlineStr">
        <is>
          <t>ADGM POC completion
Process improvements
Initiate PMP/PRINCE Certification
Digital way of working and measurement of metrics through the tools</t>
        </is>
      </c>
      <c r="FG278" s="56" t="n"/>
      <c r="FH278" s="56" t="inlineStr">
        <is>
          <t>Exceed Expectations</t>
        </is>
      </c>
      <c r="FI278" s="56" t="n"/>
      <c r="FJ278" s="56" t="inlineStr">
        <is>
          <t>Received · manager annual, quarterly</t>
        </is>
      </c>
      <c r="FK278" s="56" t="inlineStr">
        <is>
          <t>Talent Mapping · iFile collated</t>
        </is>
      </c>
      <c r="FL278" s="56" t="n">
        <v>20</v>
      </c>
      <c r="FM278" s="32" t="inlineStr">
        <is>
          <t>Full survey answers not in the files received · How We Grow export needed · HR</t>
        </is>
      </c>
      <c r="FN278" s="56" t="inlineStr">
        <is>
          <t>—</t>
        </is>
      </c>
      <c r="FO278" s="56" t="inlineStr">
        <is>
          <t>—</t>
        </is>
      </c>
      <c r="FP278" s="56" t="inlineStr">
        <is>
          <t>—</t>
        </is>
      </c>
      <c r="FQ278" s="56" t="inlineStr">
        <is>
          <t>—</t>
        </is>
      </c>
      <c r="FR278" s="56"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1
Accountability: Evidence reads like B2: Owns solution design, CR impact assessment and estimates across several client accounts → moved down 0.5
Leadership: Evidence reads like B1: Four direct reports; KRA: team building and developing future leaders; survey describes little people leadership → moved down 1
Business Impact: Moved +0.5: the survey / manager mapping marks it business-critical.</t>
        </is>
      </c>
      <c r="FS278"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278" s="56" t="inlineStr">
        <is>
          <t>Self-identified: Leadership &amp; people management · Technical depth &amp; architecture
For the next role: Leadership &amp; people management · Technical depth &amp; architecture</t>
        </is>
      </c>
      <c r="FU278" s="32" t="inlineStr">
        <is>
          <t>Full survey answers not in the files received · How We Grow export needed · HR</t>
        </is>
      </c>
    </row>
    <row r="279" ht="90" customHeight="1">
      <c r="A279" s="51" t="inlineStr">
        <is>
          <t>◂ Back</t>
        </is>
      </c>
      <c r="B279" s="29" t="inlineStr">
        <is>
          <t>Mapped</t>
        </is>
      </c>
      <c r="C279" s="28" t="inlineStr">
        <is>
          <t>iFile</t>
        </is>
      </c>
      <c r="D279" s="29" t="inlineStr">
        <is>
          <t>IRIS2019</t>
        </is>
      </c>
      <c r="E279" s="29" t="inlineStr">
        <is>
          <t>Anup Salve</t>
        </is>
      </c>
      <c r="F279" s="29" t="inlineStr">
        <is>
          <t>Technology</t>
        </is>
      </c>
      <c r="G279" s="29" t="inlineStr">
        <is>
          <t>Lead Software Engineer</t>
        </is>
      </c>
      <c r="H279" s="29" t="inlineStr">
        <is>
          <t>Senior Technical Specialist – POD Lead</t>
        </is>
      </c>
      <c r="I279" s="29" t="inlineStr">
        <is>
          <t>L5 – Lead · IC</t>
        </is>
      </c>
      <c r="J279" s="29" t="inlineStr">
        <is>
          <t>B2</t>
        </is>
      </c>
      <c r="K279" s="29" t="inlineStr">
        <is>
          <t>▼ Down · protected</t>
        </is>
      </c>
      <c r="L279" s="29" t="inlineStr">
        <is>
          <t>Engineering &amp; Development</t>
        </is>
      </c>
      <c r="M279" s="29" t="inlineStr">
        <is>
          <t>Full-Stack Development</t>
        </is>
      </c>
      <c r="N279" s="29" t="n"/>
      <c r="O279" s="29" t="n">
        <v>20</v>
      </c>
      <c r="P279" s="28" t="inlineStr">
        <is>
          <t>P4 / M3</t>
        </is>
      </c>
      <c r="Q279" s="29" t="inlineStr">
        <is>
          <t>Senior / Manager</t>
        </is>
      </c>
      <c r="R279" s="29" t="inlineStr">
        <is>
          <t>4–5</t>
        </is>
      </c>
      <c r="S279" s="29" t="inlineStr">
        <is>
          <t>6–9 yrs</t>
        </is>
      </c>
      <c r="T279" s="29" t="inlineStr">
        <is>
          <t>7–10 · 6–11</t>
        </is>
      </c>
      <c r="U279" s="29" t="inlineStr">
        <is>
          <t>Lead / Staff Engineer</t>
        </is>
      </c>
      <c r="V279" s="29" t="inlineStr">
        <is>
          <t>Workiva: Senior SE · Broadridge India: Lead SE · Nasdaq / AxiomSL: Senior SE · Salesforce: SMTS · Atlassian: P50 Senior · 6–12 yrs · Freshworks: Lead SE</t>
        </is>
      </c>
      <c r="W279" s="29" t="inlineStr">
        <is>
          <t>SFIA 9 · software development, programming; OWASP secure coding; cloud vendor certifications</t>
        </is>
      </c>
      <c r="X279" s="29" t="inlineStr">
        <is>
          <t>Core 3 · Future 3 · Functional 4 · Leadership 3</t>
        </is>
      </c>
      <c r="Y279" s="52" t="n">
        <v>219</v>
      </c>
      <c r="Z279" s="53" t="inlineStr">
        <is>
          <t>IRIS2019</t>
        </is>
      </c>
      <c r="AA279" s="53" t="inlineStr">
        <is>
          <t>Employee</t>
        </is>
      </c>
      <c r="AB279" s="53" t="inlineStr">
        <is>
          <t>Active</t>
        </is>
      </c>
      <c r="AC279" s="53" t="inlineStr">
        <is>
          <t>Anup Salve</t>
        </is>
      </c>
      <c r="AD279" s="54" t="n">
        <v>44713</v>
      </c>
      <c r="AE279" s="53" t="inlineStr">
        <is>
          <t>Lead Software Engineer</t>
        </is>
      </c>
      <c r="AF279" s="53" t="inlineStr">
        <is>
          <t>B.E</t>
        </is>
      </c>
      <c r="AG279" s="53" t="inlineStr">
        <is>
          <t>Brij Kishor Singh</t>
        </is>
      </c>
      <c r="AH279" s="53" t="inlineStr">
        <is>
          <t>N-4</t>
        </is>
      </c>
      <c r="AI279" s="53" t="inlineStr">
        <is>
          <t>Manager</t>
        </is>
      </c>
      <c r="AJ279" s="53" t="inlineStr">
        <is>
          <t>8 years, 0 months, 0 days</t>
        </is>
      </c>
      <c r="AK279" s="53" t="inlineStr">
        <is>
          <t>4 years, 2 months, 24 days</t>
        </is>
      </c>
      <c r="AL279" s="53" t="inlineStr">
        <is>
          <t>Suptech</t>
        </is>
      </c>
      <c r="AM279" s="53" t="inlineStr">
        <is>
          <t>iFile</t>
        </is>
      </c>
      <c r="AN279" s="53" t="inlineStr">
        <is>
          <t>Technology</t>
        </is>
      </c>
      <c r="AO279" s="53" t="inlineStr">
        <is>
          <t>Development</t>
        </is>
      </c>
      <c r="AP279" s="53" t="inlineStr">
        <is>
          <t>Yes</t>
        </is>
      </c>
      <c r="AQ279" s="53" t="inlineStr">
        <is>
          <t>Product/Project</t>
        </is>
      </c>
      <c r="AR279" s="53" t="inlineStr">
        <is>
          <t>Java</t>
        </is>
      </c>
      <c r="AS279" s="53" t="inlineStr">
        <is>
          <t>Technical - Developer</t>
        </is>
      </c>
      <c r="AT279" s="53" t="n">
        <v>20</v>
      </c>
      <c r="AU279" s="53" t="inlineStr">
        <is>
          <t>Covered</t>
        </is>
      </c>
      <c r="AV279" s="53" t="n"/>
      <c r="AW279" s="53" t="n"/>
      <c r="AX279" s="53" t="n"/>
      <c r="AY279" s="53" t="n"/>
      <c r="AZ279" s="53" t="n"/>
      <c r="BA279" s="53" t="n"/>
      <c r="BB279" s="53" t="n"/>
      <c r="BC279" s="53" t="n"/>
      <c r="BD279" s="53" t="n"/>
      <c r="BE279" s="53" t="n"/>
      <c r="BF279" s="53" t="n"/>
      <c r="BG279" s="53" t="n"/>
      <c r="BH279" s="53" t="n"/>
      <c r="BI279" s="53" t="n"/>
      <c r="BJ279" s="53" t="n"/>
      <c r="BK279" s="53" t="n"/>
      <c r="BL279" s="53" t="n"/>
      <c r="BM279" s="53" t="n"/>
      <c r="BN279" s="53" t="n"/>
      <c r="BO279" s="53" t="n"/>
      <c r="BP279" s="53" t="n"/>
      <c r="BQ279" s="53" t="n"/>
      <c r="BR279" s="53" t="n"/>
      <c r="BS279" s="53" t="n"/>
      <c r="BT279" s="53" t="n"/>
      <c r="BU279" s="53" t="n"/>
      <c r="BV279" s="53" t="n"/>
      <c r="BW279" s="53" t="n"/>
      <c r="BX279" s="53" t="n"/>
      <c r="BY279" s="53" t="n"/>
      <c r="BZ279" s="53" t="n"/>
      <c r="CA279" s="53" t="n"/>
      <c r="CB279" s="53" t="n"/>
      <c r="CC279" s="53" t="n"/>
      <c r="CD279" s="53" t="n"/>
      <c r="CE279" s="53" t="n"/>
      <c r="CF279" s="53" t="n"/>
      <c r="CG279" s="53" t="n"/>
      <c r="CH279" s="53" t="n"/>
      <c r="CI279" s="53" t="n"/>
      <c r="CJ279" s="53" t="n"/>
      <c r="CK279" s="53" t="n"/>
      <c r="CL279" s="53" t="n"/>
      <c r="CM279" s="53" t="n"/>
      <c r="CN279" s="53" t="n"/>
      <c r="CO279" s="53" t="n"/>
      <c r="CP279" s="53" t="n"/>
      <c r="CQ279" s="53" t="n"/>
      <c r="CR279" s="53" t="n"/>
      <c r="CS279" s="53" t="n"/>
      <c r="CT279" s="53" t="n"/>
      <c r="CU279" s="53" t="n"/>
      <c r="CV279" s="53" t="n"/>
      <c r="CW279" s="53" t="n"/>
      <c r="CX279" s="53" t="n"/>
      <c r="CY279" s="53" t="n"/>
      <c r="CZ279" s="53" t="n"/>
      <c r="DA279" s="53" t="n"/>
      <c r="DB279" s="53" t="n"/>
      <c r="DC279" s="53" t="n"/>
      <c r="DD279" s="53" t="inlineStr">
        <is>
          <t>IRIS2019</t>
        </is>
      </c>
      <c r="DE279" s="53" t="inlineStr">
        <is>
          <t>Employee</t>
        </is>
      </c>
      <c r="DF279" s="53" t="inlineStr">
        <is>
          <t>Active</t>
        </is>
      </c>
      <c r="DG279" s="53" t="inlineStr">
        <is>
          <t>Anup Salve</t>
        </is>
      </c>
      <c r="DH279" s="54" t="n">
        <v>44713</v>
      </c>
      <c r="DI279" s="53" t="inlineStr">
        <is>
          <t>Lead Software Engineer</t>
        </is>
      </c>
      <c r="DJ279" s="53" t="inlineStr">
        <is>
          <t>Engineering &amp; Development</t>
        </is>
      </c>
      <c r="DK279" s="53" t="inlineStr">
        <is>
          <t>Backend Engineering · Java</t>
        </is>
      </c>
      <c r="DL279" s="53" t="inlineStr">
        <is>
          <t>Lead Software Engineer</t>
        </is>
      </c>
      <c r="DM279" s="53" t="inlineStr">
        <is>
          <t>L5 – Lead · IC</t>
        </is>
      </c>
      <c r="DN279" s="53" t="inlineStr">
        <is>
          <t>B.E</t>
        </is>
      </c>
      <c r="DO279" s="53" t="inlineStr">
        <is>
          <t>Brij Kishor Singh</t>
        </is>
      </c>
      <c r="DP279" s="53" t="inlineStr">
        <is>
          <t>N-3</t>
        </is>
      </c>
      <c r="DQ279" s="53" t="inlineStr">
        <is>
          <t>Manager</t>
        </is>
      </c>
      <c r="DR279" s="53" t="inlineStr">
        <is>
          <t>8 years, 0 months, 0 days</t>
        </is>
      </c>
      <c r="DS279" s="53" t="inlineStr">
        <is>
          <t>4 years, 0 months, 19 days</t>
        </is>
      </c>
      <c r="DT279" s="53" t="inlineStr">
        <is>
          <t>12 years, 0 months, 19 days</t>
        </is>
      </c>
      <c r="DU279" s="53" t="n">
        <v>4.05205479452055</v>
      </c>
      <c r="DV279" s="53" t="inlineStr">
        <is>
          <t>Suptech</t>
        </is>
      </c>
      <c r="DW279" s="53" t="inlineStr">
        <is>
          <t>iFile</t>
        </is>
      </c>
      <c r="DX279" s="53" t="inlineStr">
        <is>
          <t>Technology</t>
        </is>
      </c>
      <c r="DY279" s="53" t="inlineStr">
        <is>
          <t>Development</t>
        </is>
      </c>
      <c r="DZ279" s="53" t="inlineStr">
        <is>
          <t>Yes</t>
        </is>
      </c>
      <c r="EA279" s="53" t="inlineStr">
        <is>
          <t>Product/Project</t>
        </is>
      </c>
      <c r="EB279" s="53" t="inlineStr">
        <is>
          <t>Java</t>
        </is>
      </c>
      <c r="EC279" s="53" t="inlineStr">
        <is>
          <t>Technical - Developer</t>
        </is>
      </c>
      <c r="ED279" s="53" t="inlineStr">
        <is>
          <t>Remote- Outside Mumbai</t>
        </is>
      </c>
      <c r="EE279" s="53" t="inlineStr">
        <is>
          <t>1. Project Delivery &amp; Execution	
2. Application Performance &amp; Reliability	
3. Production Support
4. Team Mentoring &amp; Collaboration	
5. Documentation &amp; Compliance</t>
        </is>
      </c>
      <c r="EF279"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G279" s="53"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EH279" s="53" t="n">
        <v>4</v>
      </c>
      <c r="EI279" s="54" t="n">
        <v>46174</v>
      </c>
      <c r="EJ279" s="53" t="inlineStr">
        <is>
          <t>Lead Software Engineer</t>
        </is>
      </c>
      <c r="EK279" s="53" t="inlineStr">
        <is>
          <t>No</t>
        </is>
      </c>
      <c r="EL279" s="53" t="n">
        <v>4</v>
      </c>
      <c r="EM279" s="53" t="inlineStr">
        <is>
          <t>Medium</t>
        </is>
      </c>
      <c r="EN279" s="53" t="inlineStr">
        <is>
          <t>Core Contributor</t>
        </is>
      </c>
      <c r="EO279" s="53" t="n"/>
      <c r="EP279" s="53" t="n"/>
      <c r="EQ279" s="53" t="n"/>
      <c r="ER279" s="53" t="inlineStr">
        <is>
          <t>Pradnaya Mhatre</t>
        </is>
      </c>
      <c r="ES279" s="53" t="inlineStr">
        <is>
          <t>Advanced Java; secure coding &amp; code-quality practices; unit/automated testing; system design fundamentals</t>
        </is>
      </c>
      <c r="ET279" s="53" t="inlineStr">
        <is>
          <t>strategic thinking, cross-functional influence</t>
        </is>
      </c>
      <c r="EU279" s="53" t="n"/>
      <c r="EV279" s="53" t="n"/>
      <c r="EW279" s="52" t="n"/>
      <c r="EX279" s="53" t="n"/>
      <c r="EY279" s="53" t="n"/>
      <c r="EZ279" s="53" t="n"/>
      <c r="FA279" s="53" t="n"/>
      <c r="FB279" s="53" t="n"/>
      <c r="FC279" s="53" t="n"/>
      <c r="FD279" s="53" t="n"/>
      <c r="FE279"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FF279" s="56"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FG279" s="56" t="inlineStr">
        <is>
          <t>1. Project Delivery &amp; Execution	
2. Application Performance &amp; Reliability	
3. Production Support
4. Team Mentoring &amp; Collaboration	
5. Documentation &amp; Compliance</t>
        </is>
      </c>
      <c r="FH279" s="56" t="inlineStr">
        <is>
          <t>4</t>
        </is>
      </c>
      <c r="FI279" s="56" t="n"/>
      <c r="FJ279" s="56" t="inlineStr">
        <is>
          <t>Received · manager annual, quarterly, self</t>
        </is>
      </c>
      <c r="FK279" s="56" t="inlineStr">
        <is>
          <t>Talent Mapping · iFile collated</t>
        </is>
      </c>
      <c r="FL279" s="56" t="n">
        <v>20</v>
      </c>
      <c r="FM279" s="32" t="inlineStr">
        <is>
          <t>Full survey answers not in the files received · How We Grow export needed · HR</t>
        </is>
      </c>
      <c r="FN279" s="56" t="inlineStr">
        <is>
          <t>—</t>
        </is>
      </c>
      <c r="FO279" s="56" t="inlineStr">
        <is>
          <t>—</t>
        </is>
      </c>
      <c r="FP279" s="56" t="inlineStr">
        <is>
          <t>—</t>
        </is>
      </c>
      <c r="FQ279" s="56" t="inlineStr">
        <is>
          <t>—</t>
        </is>
      </c>
      <c r="FR279" s="56"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 KRA answers · summarised by the rater; not quoted → moved down 0.5
Leadership: Evidence reads like B1: Handles and guides a team; 3 direct reports; code review and merging → moved down 0.5
Business Impact: No survey or manager-mapping signal on criticality: kept at the start point.</t>
        </is>
      </c>
      <c r="FS279"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279" s="56" t="inlineStr">
        <is>
          <t>Self-identified: Technical depth &amp; architecture · Broader exposure &amp; ownership
For the next role: Leadership &amp; people management · Project / programme management · Technical depth &amp; architecture · Strategy &amp; business acumen · Broader exposure &amp; ownership</t>
        </is>
      </c>
      <c r="FU279" s="32" t="inlineStr">
        <is>
          <t>Full survey answers not in the files received · How We Grow export needed · HR</t>
        </is>
      </c>
    </row>
    <row r="280" ht="90" customHeight="1">
      <c r="A280" s="51" t="inlineStr">
        <is>
          <t>◂ Back</t>
        </is>
      </c>
      <c r="B280" s="29" t="inlineStr">
        <is>
          <t>Mapped</t>
        </is>
      </c>
      <c r="C280" s="28" t="inlineStr">
        <is>
          <t>iFile</t>
        </is>
      </c>
      <c r="D280" s="29" t="inlineStr">
        <is>
          <t>IRIS2508</t>
        </is>
      </c>
      <c r="E280" s="29" t="inlineStr">
        <is>
          <t>Ayush Saurkar</t>
        </is>
      </c>
      <c r="F280" s="29" t="inlineStr">
        <is>
          <t>Quality Assurance</t>
        </is>
      </c>
      <c r="G280" s="29" t="inlineStr">
        <is>
          <t>QA Engineer</t>
        </is>
      </c>
      <c r="H280" s="29" t="inlineStr">
        <is>
          <t>Senior QA Engineer</t>
        </is>
      </c>
      <c r="I280" s="29" t="inlineStr">
        <is>
          <t>L3 – Professional / Associate</t>
        </is>
      </c>
      <c r="J280" s="29" t="inlineStr">
        <is>
          <t>A3</t>
        </is>
      </c>
      <c r="K280" s="29" t="inlineStr">
        <is>
          <t>▲ Up</t>
        </is>
      </c>
      <c r="L280" s="29" t="inlineStr">
        <is>
          <t>Quality Assurance</t>
        </is>
      </c>
      <c r="M280" s="29" t="inlineStr">
        <is>
          <t>Functional &amp; Domain Testing</t>
        </is>
      </c>
      <c r="N280" s="29" t="n"/>
      <c r="O280" s="29" t="n">
        <v>19</v>
      </c>
      <c r="P280" s="28" t="inlineStr">
        <is>
          <t>P2</t>
        </is>
      </c>
      <c r="Q280" s="29" t="inlineStr">
        <is>
          <t>Developing</t>
        </is>
      </c>
      <c r="R280" s="29" t="inlineStr">
        <is>
          <t>3 Apply</t>
        </is>
      </c>
      <c r="S280" s="29" t="inlineStr">
        <is>
          <t>2–4 yrs</t>
        </is>
      </c>
      <c r="T280" s="29" t="inlineStr">
        <is>
          <t>3–5 · 2–5</t>
        </is>
      </c>
      <c r="U280" s="29" t="inlineStr">
        <is>
          <t>QA Engineer</t>
        </is>
      </c>
      <c r="V280" s="29" t="inlineStr">
        <is>
          <t>Workiva: SE · Broadridge India: SE · Nasdaq / AxiomSL: SE · IRIS Vs Market Benchmark — ISTQB certification pathway: Foundation</t>
        </is>
      </c>
      <c r="W280" s="29" t="inlineStr">
        <is>
          <t>ISTQB Foundation → Advanced → Expert; SFIA testing</t>
        </is>
      </c>
      <c r="X280" s="29" t="inlineStr">
        <is>
          <t>Core 2 · Future 2 · Functional 3 · Leadership not scored</t>
        </is>
      </c>
      <c r="Y280" s="52" t="n">
        <v>478</v>
      </c>
      <c r="Z280" s="53" t="inlineStr">
        <is>
          <t>IRIS2508</t>
        </is>
      </c>
      <c r="AA280" s="53" t="inlineStr">
        <is>
          <t>Employee</t>
        </is>
      </c>
      <c r="AB280" s="53" t="inlineStr">
        <is>
          <t>Active</t>
        </is>
      </c>
      <c r="AC280" s="53" t="inlineStr">
        <is>
          <t>Ayush Saurkar</t>
        </is>
      </c>
      <c r="AD280" s="54" t="n">
        <v>46118</v>
      </c>
      <c r="AE280" s="53" t="inlineStr">
        <is>
          <t>QA Engineer</t>
        </is>
      </c>
      <c r="AF280" s="53" t="inlineStr">
        <is>
          <t>B.Tech</t>
        </is>
      </c>
      <c r="AG280" s="53" t="inlineStr">
        <is>
          <t>Anup Salve</t>
        </is>
      </c>
      <c r="AH280" s="53" t="inlineStr">
        <is>
          <t>N-5</t>
        </is>
      </c>
      <c r="AI280" s="53" t="inlineStr">
        <is>
          <t>Individual Contributor</t>
        </is>
      </c>
      <c r="AJ280" s="53" t="inlineStr">
        <is>
          <t>2 years, 2 months, 0 days</t>
        </is>
      </c>
      <c r="AK280" s="53" t="inlineStr">
        <is>
          <t>0 years, 4 months, 19 days</t>
        </is>
      </c>
      <c r="AL280" s="53" t="inlineStr">
        <is>
          <t>Suptech</t>
        </is>
      </c>
      <c r="AM280" s="53" t="inlineStr">
        <is>
          <t>iFile</t>
        </is>
      </c>
      <c r="AN280" s="53" t="inlineStr">
        <is>
          <t>Quality Assurance</t>
        </is>
      </c>
      <c r="AO280" s="53" t="inlineStr">
        <is>
          <t>Quality Assurance</t>
        </is>
      </c>
      <c r="AP280" s="53" t="inlineStr">
        <is>
          <t>No</t>
        </is>
      </c>
      <c r="AQ280" s="53" t="inlineStr">
        <is>
          <t>Product/Project</t>
        </is>
      </c>
      <c r="AR280" s="53" t="inlineStr">
        <is>
          <t>Software Testing</t>
        </is>
      </c>
      <c r="AS280" s="53" t="inlineStr">
        <is>
          <t>Technical · BA, PM and QA</t>
        </is>
      </c>
      <c r="AT280" s="53" t="n">
        <v>20</v>
      </c>
      <c r="AU280" s="53" t="inlineStr">
        <is>
          <t>Covered</t>
        </is>
      </c>
      <c r="AV280" s="53" t="n"/>
      <c r="AW280" s="53" t="n"/>
      <c r="AX280" s="53" t="n"/>
      <c r="AY280" s="53" t="n"/>
      <c r="AZ280" s="53" t="n"/>
      <c r="BA280" s="53" t="n"/>
      <c r="BB280" s="53" t="n"/>
      <c r="BC280" s="53" t="n"/>
      <c r="BD280" s="53" t="n"/>
      <c r="BE280" s="53" t="n"/>
      <c r="BF280" s="53" t="n"/>
      <c r="BG280" s="53" t="n"/>
      <c r="BH280" s="53" t="n"/>
      <c r="BI280" s="53" t="n"/>
      <c r="BJ280" s="53" t="n"/>
      <c r="BK280" s="53" t="n"/>
      <c r="BL280" s="53" t="n"/>
      <c r="BM280" s="53" t="n"/>
      <c r="BN280" s="53" t="n"/>
      <c r="BO280" s="53" t="n"/>
      <c r="BP280" s="53" t="n"/>
      <c r="BQ280" s="53" t="n"/>
      <c r="BR280" s="53" t="n"/>
      <c r="BS280" s="53" t="n"/>
      <c r="BT280" s="53" t="n"/>
      <c r="BU280" s="53" t="n"/>
      <c r="BV280" s="53" t="n"/>
      <c r="BW280" s="53" t="n"/>
      <c r="BX280" s="53" t="n"/>
      <c r="BY280" s="53" t="n"/>
      <c r="BZ280" s="53" t="n"/>
      <c r="CA280" s="53" t="n"/>
      <c r="CB280" s="53" t="n"/>
      <c r="CC280" s="53" t="n"/>
      <c r="CD280" s="53" t="n"/>
      <c r="CE280" s="53" t="n"/>
      <c r="CF280" s="53" t="n"/>
      <c r="CG280" s="53" t="n"/>
      <c r="CH280" s="53" t="n"/>
      <c r="CI280" s="53" t="n"/>
      <c r="CJ280" s="53" t="n"/>
      <c r="CK280" s="53" t="n"/>
      <c r="CL280" s="53" t="n"/>
      <c r="CM280" s="53" t="n"/>
      <c r="CN280" s="53" t="n"/>
      <c r="CO280" s="53" t="n"/>
      <c r="CP280" s="53" t="n"/>
      <c r="CQ280" s="53" t="n"/>
      <c r="CR280" s="53" t="n"/>
      <c r="CS280" s="53" t="n"/>
      <c r="CT280" s="53" t="n"/>
      <c r="CU280" s="53" t="n"/>
      <c r="CV280" s="53" t="n"/>
      <c r="CW280" s="53" t="n"/>
      <c r="CX280" s="53" t="n"/>
      <c r="CY280" s="53" t="n"/>
      <c r="CZ280" s="53" t="n"/>
      <c r="DA280" s="53" t="n"/>
      <c r="DB280" s="53" t="n"/>
      <c r="DC280" s="53" t="n"/>
      <c r="DD280" s="53" t="inlineStr">
        <is>
          <t>IRIS2508</t>
        </is>
      </c>
      <c r="DE280" s="53" t="inlineStr">
        <is>
          <t>Employee</t>
        </is>
      </c>
      <c r="DF280" s="53" t="inlineStr">
        <is>
          <t>Active</t>
        </is>
      </c>
      <c r="DG280" s="53" t="inlineStr">
        <is>
          <t>Ayush Saurkar</t>
        </is>
      </c>
      <c r="DH280" s="54" t="n">
        <v>46118</v>
      </c>
      <c r="DI280" s="53" t="inlineStr">
        <is>
          <t>QA Engineer</t>
        </is>
      </c>
      <c r="DJ280" s="53" t="inlineStr">
        <is>
          <t>Quality Assurance</t>
        </is>
      </c>
      <c r="DK280" s="53" t="inlineStr">
        <is>
          <t>Quality Engineering</t>
        </is>
      </c>
      <c r="DL280" s="53" t="inlineStr">
        <is>
          <t>QA Engineer</t>
        </is>
      </c>
      <c r="DM280" s="53" t="inlineStr">
        <is>
          <t>L3 – Professional / Associate</t>
        </is>
      </c>
      <c r="DN280" s="53" t="inlineStr">
        <is>
          <t>B.Tech</t>
        </is>
      </c>
      <c r="DO280" s="53" t="inlineStr">
        <is>
          <t>Anup Salve</t>
        </is>
      </c>
      <c r="DP280" s="53" t="inlineStr">
        <is>
          <t>N-4</t>
        </is>
      </c>
      <c r="DQ280" s="53" t="inlineStr">
        <is>
          <t>Individual Contributor</t>
        </is>
      </c>
      <c r="DR280" s="53" t="inlineStr">
        <is>
          <t>2 years, 2 months, 0 days</t>
        </is>
      </c>
      <c r="DS280" s="53" t="inlineStr">
        <is>
          <t>0 years, 2 months, 14 days</t>
        </is>
      </c>
      <c r="DT280" s="53" t="inlineStr">
        <is>
          <t>2 years, 4 months, 14 days</t>
        </is>
      </c>
      <c r="DU280" s="53" t="n"/>
      <c r="DV280" s="53" t="inlineStr">
        <is>
          <t>Suptech</t>
        </is>
      </c>
      <c r="DW280" s="53" t="inlineStr">
        <is>
          <t>iFile</t>
        </is>
      </c>
      <c r="DX280" s="53" t="inlineStr">
        <is>
          <t>Quality Assurance</t>
        </is>
      </c>
      <c r="DY280" s="53" t="inlineStr">
        <is>
          <t>Quality Assurance</t>
        </is>
      </c>
      <c r="DZ280" s="53" t="inlineStr">
        <is>
          <t>No</t>
        </is>
      </c>
      <c r="EA280" s="53" t="inlineStr">
        <is>
          <t>Product/Project</t>
        </is>
      </c>
      <c r="EB280" s="53" t="inlineStr">
        <is>
          <t>Software Testing</t>
        </is>
      </c>
      <c r="EC280" s="53" t="inlineStr">
        <is>
          <t>Technical · BA, PM and QA</t>
        </is>
      </c>
      <c r="ED280" s="53" t="inlineStr">
        <is>
          <t>Client Side</t>
        </is>
      </c>
      <c r="EE280" s="53" t="inlineStr">
        <is>
          <t>1. Improve Defect Detection and Reporting
2. Improve Defect Detection and Reporting
3. Support Smooth and Quality Releases
4. Enhance Test Coverage
5. Build Automation Testing Skills</t>
        </is>
      </c>
      <c r="EF280" s="53"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G280" s="5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EH280" s="53" t="n">
        <v>2</v>
      </c>
      <c r="EI280" s="54" t="n">
        <v>46143</v>
      </c>
      <c r="EJ280" s="53" t="inlineStr">
        <is>
          <t>QA Engineer</t>
        </is>
      </c>
      <c r="EK280" s="53" t="inlineStr">
        <is>
          <t>No</t>
        </is>
      </c>
      <c r="EL280" s="53" t="n">
        <v>2</v>
      </c>
      <c r="EM280" s="53" t="inlineStr">
        <is>
          <t>Medium</t>
        </is>
      </c>
      <c r="EN280" s="53" t="inlineStr">
        <is>
          <t>Emerging Talent</t>
        </is>
      </c>
      <c r="EO280" s="53" t="n"/>
      <c r="EP280" s="53" t="n"/>
      <c r="EQ280" s="53" t="n"/>
      <c r="ER280" s="53" t="n"/>
      <c r="ES280" s="53" t="inlineStr">
        <is>
          <t>Test automation frameworks · Selenium/Playwright; API testing; CI/CD test integration; defect analytics</t>
        </is>
      </c>
      <c r="ET280" s="53" t="inlineStr">
        <is>
          <t>Transition to leadership: people management &amp; delegation, mentoring/coaching, project ownership &amp; stakeholder management, prioritisation under ambiguity, presentation &amp; influence skills</t>
        </is>
      </c>
      <c r="EU280" s="53" t="n"/>
      <c r="EV280" s="53" t="n"/>
      <c r="EW280" s="52" t="n"/>
      <c r="EX280" s="53" t="n"/>
      <c r="EY280" s="53" t="n"/>
      <c r="EZ280" s="53" t="n"/>
      <c r="FA280" s="53" t="n"/>
      <c r="FB280" s="53" t="n"/>
      <c r="FC280" s="53" t="n"/>
      <c r="FD280" s="53" t="n"/>
      <c r="FE280" s="57"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FF280" s="56"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FG280" s="56" t="inlineStr">
        <is>
          <t>1. Improve Defect Detection and Reporting
2. Improve Defect Detection and Reporting
3. Support Smooth and Quality Releases
4. Enhance Test Coverage
5. Build Automation Testing Skills</t>
        </is>
      </c>
      <c r="FH280" s="56" t="inlineStr">
        <is>
          <t>2</t>
        </is>
      </c>
      <c r="FI280" s="56" t="n"/>
      <c r="FJ280" s="56" t="inlineStr">
        <is>
          <t>Received · manager annual, quarterly, self</t>
        </is>
      </c>
      <c r="FK280" s="56" t="inlineStr">
        <is>
          <t>Talent Mapping · iFile collated</t>
        </is>
      </c>
      <c r="FL280" s="56" t="n">
        <v>19</v>
      </c>
      <c r="FM280" s="32" t="inlineStr">
        <is>
          <t>Full survey answers not in the files received · How We Grow export needed · HR</t>
        </is>
      </c>
      <c r="FN280" s="56" t="inlineStr">
        <is>
          <t>—</t>
        </is>
      </c>
      <c r="FO280" s="56" t="inlineStr">
        <is>
          <t>—</t>
        </is>
      </c>
      <c r="FP280" s="56" t="inlineStr">
        <is>
          <t>—</t>
        </is>
      </c>
      <c r="FQ280" s="56" t="inlineStr">
        <is>
          <t>—</t>
        </is>
      </c>
      <c r="FR280" s="56"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reads like A1: No guiding or leading of others described → matches the start
Business Impact: No survey or manager-mapping signal on criticality: kept at the start point.</t>
        </is>
      </c>
      <c r="FS28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280" s="56" t="inlineStr">
        <is>
          <t>Self-identified: AI / automation · Testing &amp; quality
For the next role: AI / automation · Testing &amp; quality</t>
        </is>
      </c>
      <c r="FU280" s="32" t="inlineStr">
        <is>
          <t>Full survey answers not in the files received · How We Grow export needed · HR</t>
        </is>
      </c>
    </row>
    <row r="281" ht="90" customHeight="1">
      <c r="A281" s="51" t="inlineStr">
        <is>
          <t>◂ Back</t>
        </is>
      </c>
      <c r="B281" s="29" t="inlineStr">
        <is>
          <t>Mapped</t>
        </is>
      </c>
      <c r="C281" s="28" t="inlineStr">
        <is>
          <t>iFile</t>
        </is>
      </c>
      <c r="D281" s="29" t="inlineStr">
        <is>
          <t>IRIS2524</t>
        </is>
      </c>
      <c r="E281" s="29" t="inlineStr">
        <is>
          <t>Chetna Vijay Nile</t>
        </is>
      </c>
      <c r="F281" s="29" t="inlineStr">
        <is>
          <t>Technology</t>
        </is>
      </c>
      <c r="G281" s="29" t="inlineStr">
        <is>
          <t>Software Engineer</t>
        </is>
      </c>
      <c r="H281" s="29" t="inlineStr">
        <is>
          <t>Software Engineer</t>
        </is>
      </c>
      <c r="I281" s="29" t="inlineStr">
        <is>
          <t>L3 – Professional / Associate</t>
        </is>
      </c>
      <c r="J281" s="29" t="inlineStr">
        <is>
          <t>A2</t>
        </is>
      </c>
      <c r="K281" s="29" t="inlineStr">
        <is>
          <t>• Same level</t>
        </is>
      </c>
      <c r="L281" s="29" t="inlineStr">
        <is>
          <t>Engineering &amp; Development</t>
        </is>
      </c>
      <c r="M281" s="29" t="inlineStr">
        <is>
          <t>Full-Stack Development</t>
        </is>
      </c>
      <c r="N281" s="29" t="n"/>
      <c r="O281" s="29" t="n">
        <v>19</v>
      </c>
      <c r="P281" s="28" t="inlineStr">
        <is>
          <t>P1–P2</t>
        </is>
      </c>
      <c r="Q281" s="29" t="inlineStr">
        <is>
          <t>Entry / Developing</t>
        </is>
      </c>
      <c r="R281" s="29" t="inlineStr">
        <is>
          <t>2 Assist</t>
        </is>
      </c>
      <c r="S281" s="29" t="inlineStr">
        <is>
          <t>0–2 yrs</t>
        </is>
      </c>
      <c r="T281" s="29" t="inlineStr">
        <is>
          <t>1–3 · 0–3</t>
        </is>
      </c>
      <c r="U281" s="29" t="inlineStr">
        <is>
          <t>Associate Software Engineer / Software Engineer</t>
        </is>
      </c>
      <c r="V281" s="29" t="inlineStr">
        <is>
          <t>Workiva: Associate SE · Broadridge India: SE · Nasdaq / AxiomSL: SE · Salesforce: AMTS · Atlassian: P30 Junior · 0–2 yrs · Freshworks: SE</t>
        </is>
      </c>
      <c r="W281" s="29" t="inlineStr">
        <is>
          <t>SFIA 9 · software development, programming; OWASP secure coding; cloud vendor certifications</t>
        </is>
      </c>
      <c r="X281" s="29" t="inlineStr">
        <is>
          <t>Core 2 · Future 2 · Functional 2 · Leadership not scored</t>
        </is>
      </c>
      <c r="Y281" s="52" t="n">
        <v>494</v>
      </c>
      <c r="Z281" s="53" t="inlineStr">
        <is>
          <t>IRIS2524</t>
        </is>
      </c>
      <c r="AA281" s="53" t="inlineStr">
        <is>
          <t>Employee</t>
        </is>
      </c>
      <c r="AB281" s="53" t="inlineStr">
        <is>
          <t>Active</t>
        </is>
      </c>
      <c r="AC281" s="53" t="inlineStr">
        <is>
          <t>Chetna Vijay Nile</t>
        </is>
      </c>
      <c r="AD281" s="54" t="n">
        <v>46135</v>
      </c>
      <c r="AE281" s="53" t="inlineStr">
        <is>
          <t>Software Engineer</t>
        </is>
      </c>
      <c r="AF281" s="53" t="inlineStr">
        <is>
          <t>PGDM</t>
        </is>
      </c>
      <c r="AG281" s="53" t="inlineStr">
        <is>
          <t>Anup Salve</t>
        </is>
      </c>
      <c r="AH281" s="53" t="inlineStr">
        <is>
          <t>N-5</t>
        </is>
      </c>
      <c r="AI281" s="53" t="inlineStr">
        <is>
          <t>Individual Contributor</t>
        </is>
      </c>
      <c r="AJ281" s="53" t="inlineStr">
        <is>
          <t>0 years, 0 months, 0 days</t>
        </is>
      </c>
      <c r="AK281" s="53" t="inlineStr">
        <is>
          <t>0 years, 4 months, 2 days</t>
        </is>
      </c>
      <c r="AL281" s="53" t="inlineStr">
        <is>
          <t>Suptech</t>
        </is>
      </c>
      <c r="AM281" s="53" t="inlineStr">
        <is>
          <t>iFile</t>
        </is>
      </c>
      <c r="AN281" s="53" t="inlineStr">
        <is>
          <t>Technology</t>
        </is>
      </c>
      <c r="AO281" s="53" t="inlineStr">
        <is>
          <t>Development</t>
        </is>
      </c>
      <c r="AP281" s="53" t="inlineStr">
        <is>
          <t>Yes</t>
        </is>
      </c>
      <c r="AQ281" s="53" t="inlineStr">
        <is>
          <t>Product/Project</t>
        </is>
      </c>
      <c r="AR281" s="53" t="inlineStr">
        <is>
          <t>Java + Angular</t>
        </is>
      </c>
      <c r="AS281" s="53" t="inlineStr">
        <is>
          <t>Technical - Developer</t>
        </is>
      </c>
      <c r="AT281" s="53" t="n">
        <v>20</v>
      </c>
      <c r="AU281" s="53" t="inlineStr">
        <is>
          <t>Covered</t>
        </is>
      </c>
      <c r="AV281" s="53" t="n"/>
      <c r="AW281" s="53" t="n"/>
      <c r="AX281" s="53" t="n"/>
      <c r="AY281" s="53" t="n"/>
      <c r="AZ281" s="53" t="n"/>
      <c r="BA281" s="53" t="n"/>
      <c r="BB281" s="53" t="n"/>
      <c r="BC281" s="53" t="n"/>
      <c r="BD281" s="53" t="n"/>
      <c r="BE281" s="53" t="n"/>
      <c r="BF281" s="53" t="n"/>
      <c r="BG281" s="53" t="n"/>
      <c r="BH281" s="53" t="n"/>
      <c r="BI281" s="53" t="n"/>
      <c r="BJ281" s="53" t="n"/>
      <c r="BK281" s="53" t="n"/>
      <c r="BL281" s="53" t="n"/>
      <c r="BM281" s="53" t="n"/>
      <c r="BN281" s="53" t="n"/>
      <c r="BO281" s="53" t="n"/>
      <c r="BP281" s="53" t="n"/>
      <c r="BQ281" s="53" t="n"/>
      <c r="BR281" s="53" t="n"/>
      <c r="BS281" s="53" t="n"/>
      <c r="BT281" s="53" t="n"/>
      <c r="BU281" s="53" t="n"/>
      <c r="BV281" s="53" t="n"/>
      <c r="BW281" s="53" t="n"/>
      <c r="BX281" s="53" t="n"/>
      <c r="BY281" s="53" t="n"/>
      <c r="BZ281" s="53" t="n"/>
      <c r="CA281" s="53" t="n"/>
      <c r="CB281" s="53" t="n"/>
      <c r="CC281" s="53" t="n"/>
      <c r="CD281" s="53" t="n"/>
      <c r="CE281" s="53" t="n"/>
      <c r="CF281" s="53" t="n"/>
      <c r="CG281" s="53" t="n"/>
      <c r="CH281" s="53" t="n"/>
      <c r="CI281" s="53" t="n"/>
      <c r="CJ281" s="53" t="n"/>
      <c r="CK281" s="53" t="n"/>
      <c r="CL281" s="53" t="n"/>
      <c r="CM281" s="53" t="n"/>
      <c r="CN281" s="53" t="n"/>
      <c r="CO281" s="53" t="n"/>
      <c r="CP281" s="53" t="n"/>
      <c r="CQ281" s="53" t="n"/>
      <c r="CR281" s="53" t="n"/>
      <c r="CS281" s="53" t="n"/>
      <c r="CT281" s="53" t="n"/>
      <c r="CU281" s="53" t="n"/>
      <c r="CV281" s="53" t="n"/>
      <c r="CW281" s="53" t="n"/>
      <c r="CX281" s="53" t="n"/>
      <c r="CY281" s="53" t="n"/>
      <c r="CZ281" s="53" t="n"/>
      <c r="DA281" s="53" t="n"/>
      <c r="DB281" s="53" t="n"/>
      <c r="DC281" s="53" t="n"/>
      <c r="DD281" s="53" t="inlineStr">
        <is>
          <t>IRIS2524</t>
        </is>
      </c>
      <c r="DE281" s="53" t="inlineStr">
        <is>
          <t>Employee</t>
        </is>
      </c>
      <c r="DF281" s="53" t="inlineStr">
        <is>
          <t>Active</t>
        </is>
      </c>
      <c r="DG281" s="53" t="inlineStr">
        <is>
          <t>Chetna Vijay Nile</t>
        </is>
      </c>
      <c r="DH281" s="54" t="n">
        <v>46135</v>
      </c>
      <c r="DI281" s="53" t="inlineStr">
        <is>
          <t>Software Engineer</t>
        </is>
      </c>
      <c r="DJ281" s="53" t="inlineStr">
        <is>
          <t>Engineering &amp; Development</t>
        </is>
      </c>
      <c r="DK281" s="53" t="inlineStr">
        <is>
          <t>Backend Engineering · Java</t>
        </is>
      </c>
      <c r="DL281" s="53" t="inlineStr">
        <is>
          <t>Software Engineer</t>
        </is>
      </c>
      <c r="DM281" s="53" t="inlineStr">
        <is>
          <t>L3 – Professional / Associate</t>
        </is>
      </c>
      <c r="DN281" s="53" t="inlineStr">
        <is>
          <t>PGDM</t>
        </is>
      </c>
      <c r="DO281" s="53" t="inlineStr">
        <is>
          <t>Anup Salve</t>
        </is>
      </c>
      <c r="DP281" s="53" t="inlineStr">
        <is>
          <t>N-4</t>
        </is>
      </c>
      <c r="DQ281" s="53" t="inlineStr">
        <is>
          <t>Individual Contributor</t>
        </is>
      </c>
      <c r="DR281" s="53" t="inlineStr">
        <is>
          <t>0 years, 0 months, 0 days</t>
        </is>
      </c>
      <c r="DS281" s="53" t="inlineStr">
        <is>
          <t>0 years, 1 months, 28 days</t>
        </is>
      </c>
      <c r="DT281" s="53" t="inlineStr">
        <is>
          <t>0 years, 1 months, 28 days</t>
        </is>
      </c>
      <c r="DU281" s="53" t="n"/>
      <c r="DV281" s="53" t="inlineStr">
        <is>
          <t>Suptech</t>
        </is>
      </c>
      <c r="DW281" s="53" t="inlineStr">
        <is>
          <t>iFile</t>
        </is>
      </c>
      <c r="DX281" s="53" t="inlineStr">
        <is>
          <t>Technology</t>
        </is>
      </c>
      <c r="DY281" s="53" t="inlineStr">
        <is>
          <t>Development</t>
        </is>
      </c>
      <c r="DZ281" s="53" t="inlineStr">
        <is>
          <t>Yes</t>
        </is>
      </c>
      <c r="EA281" s="53" t="inlineStr">
        <is>
          <t>Product/Project</t>
        </is>
      </c>
      <c r="EB281" s="53" t="inlineStr">
        <is>
          <t>Java + Angular</t>
        </is>
      </c>
      <c r="EC281" s="53" t="inlineStr">
        <is>
          <t>Technical - Developer</t>
        </is>
      </c>
      <c r="ED281" s="53" t="inlineStr">
        <is>
          <t>Client Side</t>
        </is>
      </c>
      <c r="EE281" s="53" t="inlineStr">
        <is>
          <t>1. Learn complete teapot codebase
2. Understance the teapot development work flow
3. Understande the teapot services
4. Sove assigned bug in agreed timeline
5. Be ready to take ownership of any new development module</t>
        </is>
      </c>
      <c r="EF281" s="53"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EG281" s="53"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EH281" s="53" t="n">
        <v>2</v>
      </c>
      <c r="EI281" s="54" t="n">
        <v>46143</v>
      </c>
      <c r="EJ281" s="53" t="inlineStr">
        <is>
          <t>Software Engineer</t>
        </is>
      </c>
      <c r="EK281" s="53" t="inlineStr">
        <is>
          <t>No</t>
        </is>
      </c>
      <c r="EL281" s="53" t="n">
        <v>2</v>
      </c>
      <c r="EM281" s="53" t="inlineStr">
        <is>
          <t>Low</t>
        </is>
      </c>
      <c r="EN281" s="53" t="inlineStr">
        <is>
          <t>Emerging Talent</t>
        </is>
      </c>
      <c r="EO281" s="53" t="n"/>
      <c r="EP281" s="53" t="n"/>
      <c r="EQ281" s="53" t="n"/>
      <c r="ER281" s="53" t="n"/>
      <c r="ES281" s="53" t="inlineStr">
        <is>
          <t>Advanced Java + Angular; secure coding &amp; code-quality practices; unit/automated testing; system design fundamentals</t>
        </is>
      </c>
      <c r="ET281" s="53" t="inlineStr">
        <is>
          <t>Transition to leadership: people management &amp; delegation, mentoring/coaching, project ownership &amp; stakeholder management, prioritisation under ambiguity, presentation &amp; influence skills</t>
        </is>
      </c>
      <c r="EU281" s="53" t="n"/>
      <c r="EV281" s="53" t="n"/>
      <c r="EW281" s="52" t="n"/>
      <c r="EX281" s="53" t="n"/>
      <c r="EY281" s="53" t="n"/>
      <c r="EZ281" s="53" t="n"/>
      <c r="FA281" s="53" t="n"/>
      <c r="FB281" s="53" t="n"/>
      <c r="FC281" s="53" t="n"/>
      <c r="FD281" s="53" t="n"/>
      <c r="FE281" s="57"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FF281" s="56"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FG281" s="56" t="inlineStr">
        <is>
          <t>1. Learn complete teapot codebase
2. Understance the teapot development work flow
3. Understande the teapot services
4. Sove assigned bug in agreed timeline
5. Be ready to take ownership of any new development module</t>
        </is>
      </c>
      <c r="FH281" s="56" t="inlineStr">
        <is>
          <t>2</t>
        </is>
      </c>
      <c r="FI281" s="56" t="n"/>
      <c r="FJ281" s="56" t="inlineStr">
        <is>
          <t>Received · manager annual, quarterly, self</t>
        </is>
      </c>
      <c r="FK281" s="56" t="inlineStr">
        <is>
          <t>Talent Mapping · iFile collated</t>
        </is>
      </c>
      <c r="FL281" s="56" t="n">
        <v>19</v>
      </c>
      <c r="FM281" s="32" t="inlineStr">
        <is>
          <t>Full survey answers not in the files received · How We Grow export needed · HR</t>
        </is>
      </c>
      <c r="FN281" s="56" t="inlineStr">
        <is>
          <t>—</t>
        </is>
      </c>
      <c r="FO281" s="56" t="inlineStr">
        <is>
          <t>—</t>
        </is>
      </c>
      <c r="FP281" s="56" t="inlineStr">
        <is>
          <t>—</t>
        </is>
      </c>
      <c r="FQ281" s="56" t="inlineStr">
        <is>
          <t>—</t>
        </is>
      </c>
      <c r="FR281" s="56" t="inlineStr">
        <is>
          <t>Business Impact: No survey or manager-mapping signal on criticality: kept at the start point.</t>
        </is>
      </c>
      <c r="FS281"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281" s="56" t="inlineStr">
        <is>
          <t>Self-identified: Leadership &amp; people management · Project / programme management · Technical depth &amp; architecture
For the next role: Leadership &amp; people management · Project / programme management · Technical depth &amp; architecture</t>
        </is>
      </c>
      <c r="FU281" s="32" t="inlineStr">
        <is>
          <t>Full survey answers not in the files received · How We Grow export needed · HR</t>
        </is>
      </c>
    </row>
    <row r="282" ht="90" customHeight="1">
      <c r="A282" s="51" t="inlineStr">
        <is>
          <t>◂ Back</t>
        </is>
      </c>
      <c r="B282" s="29" t="inlineStr">
        <is>
          <t>Mapped</t>
        </is>
      </c>
      <c r="C282" s="28" t="inlineStr">
        <is>
          <t>iFile</t>
        </is>
      </c>
      <c r="D282" s="29" t="inlineStr">
        <is>
          <t>IRIS2562</t>
        </is>
      </c>
      <c r="E282" s="29" t="inlineStr">
        <is>
          <t>Sanskruti Varade</t>
        </is>
      </c>
      <c r="F282" s="29" t="inlineStr">
        <is>
          <t>Quality Assurance</t>
        </is>
      </c>
      <c r="G282" s="29" t="inlineStr">
        <is>
          <t>QA Engineer</t>
        </is>
      </c>
      <c r="H282" s="29" t="inlineStr">
        <is>
          <t>QA Engineer</t>
        </is>
      </c>
      <c r="I282" s="29" t="inlineStr">
        <is>
          <t>Not in current mapping files</t>
        </is>
      </c>
      <c r="J282" s="29" t="inlineStr">
        <is>
          <t>A2</t>
        </is>
      </c>
      <c r="K282" s="29" t="inlineStr">
        <is>
          <t>● Newly mapped</t>
        </is>
      </c>
      <c r="L282" s="29" t="inlineStr">
        <is>
          <t>Quality Assurance</t>
        </is>
      </c>
      <c r="M282" s="29" t="inlineStr">
        <is>
          <t>Functional &amp; Domain Testing</t>
        </is>
      </c>
      <c r="N282" s="29" t="inlineStr">
        <is>
          <t>• Total experience · outside + at IRIS — HR — HRIS
• Confirm prior experience · provisional placement — HR</t>
        </is>
      </c>
      <c r="O282" s="29" t="n">
        <v>20</v>
      </c>
      <c r="P282" s="28" t="inlineStr">
        <is>
          <t>P1–P2</t>
        </is>
      </c>
      <c r="Q282" s="29" t="inlineStr">
        <is>
          <t>Entry / Developing</t>
        </is>
      </c>
      <c r="R282" s="29" t="inlineStr">
        <is>
          <t>2 Assist</t>
        </is>
      </c>
      <c r="S282" s="29" t="inlineStr">
        <is>
          <t>0–2 yrs</t>
        </is>
      </c>
      <c r="T282" s="29" t="inlineStr">
        <is>
          <t>1–3 · 0–3</t>
        </is>
      </c>
      <c r="U282" s="29" t="inlineStr">
        <is>
          <t>Associate QA Engineer / QA Engineer</t>
        </is>
      </c>
      <c r="V282" s="29" t="inlineStr">
        <is>
          <t>Workiva: Associate SE · Broadridge India: SE · Nasdaq / AxiomSL: SE · IRIS Vs Market Benchmark — ISTQB certification pathway: Foundation</t>
        </is>
      </c>
      <c r="W282" s="29" t="inlineStr">
        <is>
          <t>ISTQB Foundation → Advanced → Expert; SFIA testing</t>
        </is>
      </c>
      <c r="X282" s="29" t="inlineStr">
        <is>
          <t>Core 2 · Future 2 · Functional 2 · Leadership not scored</t>
        </is>
      </c>
      <c r="Y282" s="52" t="n">
        <v>535</v>
      </c>
      <c r="Z282" s="53" t="inlineStr">
        <is>
          <t>IRIS2562</t>
        </is>
      </c>
      <c r="AA282" s="53" t="inlineStr">
        <is>
          <t>Employee</t>
        </is>
      </c>
      <c r="AB282" s="53" t="inlineStr">
        <is>
          <t>Active</t>
        </is>
      </c>
      <c r="AC282" s="53" t="inlineStr">
        <is>
          <t>Sanskruti Varade</t>
        </is>
      </c>
      <c r="AD282" s="54" t="n">
        <v>46272</v>
      </c>
      <c r="AE282" s="53" t="inlineStr">
        <is>
          <t>QA Engineer</t>
        </is>
      </c>
      <c r="AF282" s="53" t="inlineStr">
        <is>
          <t>B.Sc</t>
        </is>
      </c>
      <c r="AG282" s="53" t="inlineStr">
        <is>
          <t>Anup Salve</t>
        </is>
      </c>
      <c r="AH282" s="53" t="inlineStr">
        <is>
          <t>N-5</t>
        </is>
      </c>
      <c r="AI282" s="53" t="inlineStr">
        <is>
          <t>Individual Contributor</t>
        </is>
      </c>
      <c r="AJ282" s="53" t="n"/>
      <c r="AK282" s="53" t="n"/>
      <c r="AL282" s="53" t="inlineStr">
        <is>
          <t>Suptech</t>
        </is>
      </c>
      <c r="AM282" s="53" t="inlineStr">
        <is>
          <t>iFile</t>
        </is>
      </c>
      <c r="AN282" s="53" t="inlineStr">
        <is>
          <t>Quality Assurance</t>
        </is>
      </c>
      <c r="AO282" s="53" t="inlineStr">
        <is>
          <t>Quality Assurance</t>
        </is>
      </c>
      <c r="AP282" s="53" t="inlineStr">
        <is>
          <t>No</t>
        </is>
      </c>
      <c r="AQ282" s="53" t="inlineStr">
        <is>
          <t>Product/Project</t>
        </is>
      </c>
      <c r="AR282" s="53" t="inlineStr">
        <is>
          <t>Software Testing</t>
        </is>
      </c>
      <c r="AS282" s="53" t="inlineStr">
        <is>
          <t>Technical · BA, PM and QA</t>
        </is>
      </c>
      <c r="AT282" s="53" t="n">
        <v>20</v>
      </c>
      <c r="AU282" s="53" t="inlineStr">
        <is>
          <t>Covered</t>
        </is>
      </c>
      <c r="AV282" s="53" t="n"/>
      <c r="AW282" s="53" t="n"/>
      <c r="AX282" s="53" t="n"/>
      <c r="AY282" s="53" t="n"/>
      <c r="AZ282" s="53" t="n"/>
      <c r="BA282" s="53" t="n"/>
      <c r="BB282" s="53" t="n"/>
      <c r="BC282" s="53" t="n"/>
      <c r="BD282" s="53" t="n"/>
      <c r="BE282" s="53" t="n"/>
      <c r="BF282" s="53" t="n"/>
      <c r="BG282" s="53" t="n"/>
      <c r="BH282" s="53" t="n"/>
      <c r="BI282" s="53" t="n"/>
      <c r="BJ282" s="53" t="n"/>
      <c r="BK282" s="53" t="n"/>
      <c r="BL282" s="53" t="n"/>
      <c r="BM282" s="53" t="n"/>
      <c r="BN282" s="53" t="n"/>
      <c r="BO282" s="53" t="n"/>
      <c r="BP282" s="53" t="n"/>
      <c r="BQ282" s="53" t="n"/>
      <c r="BR282" s="53" t="n"/>
      <c r="BS282" s="53" t="n"/>
      <c r="BT282" s="53" t="n"/>
      <c r="BU282" s="53" t="n"/>
      <c r="BV282" s="53" t="n"/>
      <c r="BW282" s="53" t="n"/>
      <c r="BX282" s="53" t="n"/>
      <c r="BY282" s="53" t="n"/>
      <c r="BZ282" s="53" t="n"/>
      <c r="CA282" s="53" t="n"/>
      <c r="CB282" s="53" t="n"/>
      <c r="CC282" s="53" t="n"/>
      <c r="CD282" s="53" t="n"/>
      <c r="CE282" s="53" t="n"/>
      <c r="CF282" s="53" t="n"/>
      <c r="CG282" s="53" t="n"/>
      <c r="CH282" s="53" t="n"/>
      <c r="CI282" s="53" t="n"/>
      <c r="CJ282" s="53" t="n"/>
      <c r="CK282" s="53" t="n"/>
      <c r="CL282" s="53" t="n"/>
      <c r="CM282" s="53" t="n"/>
      <c r="CN282" s="53" t="n"/>
      <c r="CO282" s="53" t="n"/>
      <c r="CP282" s="53" t="n"/>
      <c r="CQ282" s="53" t="n"/>
      <c r="CR282" s="53" t="n"/>
      <c r="CS282" s="53" t="n"/>
      <c r="CT282" s="53" t="n"/>
      <c r="CU282" s="53" t="n"/>
      <c r="CV282" s="53" t="n"/>
      <c r="CW282" s="53" t="n"/>
      <c r="CX282" s="53" t="n"/>
      <c r="CY282" s="53" t="n"/>
      <c r="CZ282" s="53" t="n"/>
      <c r="DA282" s="53" t="n"/>
      <c r="DB282" s="53" t="n"/>
      <c r="DC282" s="53" t="n"/>
      <c r="DD282" s="53" t="n"/>
      <c r="DE282" s="53" t="n"/>
      <c r="DF282" s="53" t="n"/>
      <c r="DG282" s="53" t="n"/>
      <c r="DH282" s="53" t="n"/>
      <c r="DI282" s="53" t="n"/>
      <c r="DJ282" s="53" t="n"/>
      <c r="DK282" s="53" t="n"/>
      <c r="DL282" s="53" t="n"/>
      <c r="DM282" s="53" t="n"/>
      <c r="DN282" s="53" t="n"/>
      <c r="DO282" s="53" t="n"/>
      <c r="DP282" s="53" t="n"/>
      <c r="DQ282" s="53" t="n"/>
      <c r="DR282" s="53" t="n"/>
      <c r="DS282" s="53" t="n"/>
      <c r="DT282" s="53" t="n"/>
      <c r="DU282" s="53" t="n"/>
      <c r="DV282" s="53" t="n"/>
      <c r="DW282" s="53" t="n"/>
      <c r="DX282" s="53" t="n"/>
      <c r="DY282" s="53" t="n"/>
      <c r="DZ282" s="53" t="n"/>
      <c r="EA282" s="53" t="n"/>
      <c r="EB282" s="53" t="n"/>
      <c r="EC282" s="53" t="n"/>
      <c r="ED282" s="53" t="n"/>
      <c r="EE282" s="53" t="n"/>
      <c r="EF282" s="53" t="n"/>
      <c r="EG282" s="53" t="n"/>
      <c r="EH282" s="53" t="n"/>
      <c r="EI282" s="53" t="n"/>
      <c r="EJ282" s="53" t="n"/>
      <c r="EK282" s="53" t="n"/>
      <c r="EL282" s="53" t="n"/>
      <c r="EM282" s="53" t="n"/>
      <c r="EN282" s="53" t="n"/>
      <c r="EO282" s="53" t="n"/>
      <c r="EP282" s="53" t="n"/>
      <c r="EQ282" s="53" t="n"/>
      <c r="ER282" s="53" t="n"/>
      <c r="ES282" s="53" t="n"/>
      <c r="ET282" s="53" t="n"/>
      <c r="EU282" s="53" t="n"/>
      <c r="EV282" s="53" t="n"/>
      <c r="EW282" s="52" t="n"/>
      <c r="EX282" s="53" t="n"/>
      <c r="EY282" s="53" t="n"/>
      <c r="EZ282" s="53" t="n"/>
      <c r="FA282" s="53" t="n"/>
      <c r="FB282" s="53" t="n"/>
      <c r="FC282" s="53" t="n"/>
      <c r="FD282" s="53" t="n"/>
      <c r="FE282" s="55" t="inlineStr">
        <is>
          <t>KRAs not received · manager to supply</t>
        </is>
      </c>
      <c r="FF282" s="56" t="n"/>
      <c r="FG282" s="56" t="n"/>
      <c r="FH282" s="56" t="n"/>
      <c r="FI282" s="56" t="n"/>
      <c r="FJ282" s="32" t="inlineStr">
        <is>
          <t>KRAs not received · manager to supply</t>
        </is>
      </c>
      <c r="FK282" s="56" t="n"/>
      <c r="FL282" s="56" t="n">
        <v>20</v>
      </c>
      <c r="FM282" s="32" t="inlineStr">
        <is>
          <t>Full survey answers not in the files received · How We Grow export needed · HR</t>
        </is>
      </c>
      <c r="FN282" s="56" t="inlineStr">
        <is>
          <t>—</t>
        </is>
      </c>
      <c r="FO282" s="56" t="inlineStr">
        <is>
          <t>—</t>
        </is>
      </c>
      <c r="FP282" s="56" t="inlineStr">
        <is>
          <t>—</t>
        </is>
      </c>
      <c r="FQ282" s="56" t="inlineStr">
        <is>
          <t>—</t>
        </is>
      </c>
      <c r="FR282" s="56" t="inlineStr">
        <is>
          <t>Business Impact: No survey or manager-mapping signal on criticality: kept at the start point.</t>
        </is>
      </c>
      <c r="FS282"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282" s="56" t="inlineStr">
        <is>
          <t>Self-identified: Communication &amp; presentation · Broader exposure &amp; ownership
For the next role: Communication &amp; presentation · Broader exposure &amp; ownership</t>
        </is>
      </c>
      <c r="FU282" s="32" t="inlineStr">
        <is>
          <t>Full survey answers not in the files received · How We Grow export needed · HR</t>
        </is>
      </c>
    </row>
    <row r="283" ht="90" customHeight="1">
      <c r="A283" s="51" t="inlineStr">
        <is>
          <t>◂ Back</t>
        </is>
      </c>
      <c r="B283" s="29" t="inlineStr">
        <is>
          <t>Mapped</t>
        </is>
      </c>
      <c r="C283" s="28" t="inlineStr">
        <is>
          <t>iFile</t>
        </is>
      </c>
      <c r="D283" s="29" t="inlineStr">
        <is>
          <t>IRIS1860</t>
        </is>
      </c>
      <c r="E283" s="29" t="inlineStr">
        <is>
          <t>Pradnya Mhatre</t>
        </is>
      </c>
      <c r="F283" s="29" t="inlineStr">
        <is>
          <t>Technology</t>
        </is>
      </c>
      <c r="G283" s="29" t="inlineStr">
        <is>
          <t>Senior Software Engineer</t>
        </is>
      </c>
      <c r="H283" s="29" t="inlineStr">
        <is>
          <t>Technical Specialist – POD Lead</t>
        </is>
      </c>
      <c r="I283" s="29" t="inlineStr">
        <is>
          <t>L4 – Senior</t>
        </is>
      </c>
      <c r="J283" s="29" t="inlineStr">
        <is>
          <t>B1</t>
        </is>
      </c>
      <c r="K283" s="29" t="inlineStr">
        <is>
          <t>▲ Up</t>
        </is>
      </c>
      <c r="L283" s="29" t="inlineStr">
        <is>
          <t>Engineering &amp; Development</t>
        </is>
      </c>
      <c r="M283" s="29" t="inlineStr">
        <is>
          <t>Backend Development</t>
        </is>
      </c>
      <c r="N283" s="29" t="n"/>
      <c r="O283" s="29" t="n">
        <v>20</v>
      </c>
      <c r="P283" s="28" t="inlineStr">
        <is>
          <t>P3 / M2</t>
        </is>
      </c>
      <c r="Q283" s="29" t="inlineStr">
        <is>
          <t>Career / · Team Lead</t>
        </is>
      </c>
      <c r="R283" s="29" t="inlineStr">
        <is>
          <t>4 Enable</t>
        </is>
      </c>
      <c r="S283" s="29" t="inlineStr">
        <is>
          <t>4–7 yrs</t>
        </is>
      </c>
      <c r="T283" s="29" t="inlineStr">
        <is>
          <t>5–8 · 4–8</t>
        </is>
      </c>
      <c r="U283" s="29" t="inlineStr">
        <is>
          <t>Senior Software Engineer</t>
        </is>
      </c>
      <c r="V283" s="29" t="inlineStr">
        <is>
          <t>Workiva: SE / Senior SE · Broadridge India: Senior SE · Nasdaq / AxiomSL: Senior SE · Salesforce: MTS · Atlassian: P40 · Freshworks: Senior SE</t>
        </is>
      </c>
      <c r="W283" s="29" t="inlineStr">
        <is>
          <t>SFIA 9 · software development, programming; OWASP secure coding; cloud vendor certifications</t>
        </is>
      </c>
      <c r="X283" s="29" t="inlineStr">
        <is>
          <t>Core 3 · Future 3 · Functional 3 · Leadership 2</t>
        </is>
      </c>
      <c r="Y283" s="52" t="n">
        <v>168</v>
      </c>
      <c r="Z283" s="53" t="inlineStr">
        <is>
          <t>IRIS1860</t>
        </is>
      </c>
      <c r="AA283" s="53" t="inlineStr">
        <is>
          <t>Employee</t>
        </is>
      </c>
      <c r="AB283" s="53" t="inlineStr">
        <is>
          <t>Active</t>
        </is>
      </c>
      <c r="AC283" s="53" t="inlineStr">
        <is>
          <t>Pradnya Mhatre</t>
        </is>
      </c>
      <c r="AD283" s="54" t="n">
        <v>44025</v>
      </c>
      <c r="AE283" s="53" t="inlineStr">
        <is>
          <t>Senior Software Engineer</t>
        </is>
      </c>
      <c r="AF283" s="53" t="inlineStr">
        <is>
          <t>MSc</t>
        </is>
      </c>
      <c r="AG283" s="53" t="inlineStr">
        <is>
          <t>Brij Kishor Singh</t>
        </is>
      </c>
      <c r="AH283" s="53" t="inlineStr">
        <is>
          <t>N-4</t>
        </is>
      </c>
      <c r="AI283" s="53" t="inlineStr">
        <is>
          <t>Manager</t>
        </is>
      </c>
      <c r="AJ283" s="53" t="inlineStr">
        <is>
          <t>6 years, 0 months, 0 days</t>
        </is>
      </c>
      <c r="AK283" s="53" t="inlineStr">
        <is>
          <t>6 years, 1 months, 12 days</t>
        </is>
      </c>
      <c r="AL283" s="53" t="inlineStr">
        <is>
          <t>Suptech</t>
        </is>
      </c>
      <c r="AM283" s="53" t="inlineStr">
        <is>
          <t>iFile</t>
        </is>
      </c>
      <c r="AN283" s="53" t="inlineStr">
        <is>
          <t>Technology</t>
        </is>
      </c>
      <c r="AO283" s="53" t="inlineStr">
        <is>
          <t>Development</t>
        </is>
      </c>
      <c r="AP283" s="53" t="inlineStr">
        <is>
          <t>Yes</t>
        </is>
      </c>
      <c r="AQ283" s="53" t="inlineStr">
        <is>
          <t>Product/Project</t>
        </is>
      </c>
      <c r="AR283" s="53" t="inlineStr">
        <is>
          <t>Java</t>
        </is>
      </c>
      <c r="AS283" s="53" t="inlineStr">
        <is>
          <t>Technical - Developer</t>
        </is>
      </c>
      <c r="AT283" s="53" t="n">
        <v>20</v>
      </c>
      <c r="AU283" s="53" t="inlineStr">
        <is>
          <t>Covered</t>
        </is>
      </c>
      <c r="AV283" s="53" t="n"/>
      <c r="AW283" s="53" t="n"/>
      <c r="AX283" s="53" t="n"/>
      <c r="AY283" s="53" t="n"/>
      <c r="AZ283" s="53" t="n"/>
      <c r="BA283" s="53" t="n"/>
      <c r="BB283" s="53" t="n"/>
      <c r="BC283" s="53" t="n"/>
      <c r="BD283" s="53" t="n"/>
      <c r="BE283" s="53" t="n"/>
      <c r="BF283" s="53" t="n"/>
      <c r="BG283" s="53" t="n"/>
      <c r="BH283" s="53" t="n"/>
      <c r="BI283" s="53" t="n"/>
      <c r="BJ283" s="53" t="n"/>
      <c r="BK283" s="53" t="n"/>
      <c r="BL283" s="53" t="n"/>
      <c r="BM283" s="53" t="n"/>
      <c r="BN283" s="53" t="n"/>
      <c r="BO283" s="53" t="n"/>
      <c r="BP283" s="53" t="n"/>
      <c r="BQ283" s="53" t="n"/>
      <c r="BR283" s="53" t="n"/>
      <c r="BS283" s="53" t="n"/>
      <c r="BT283" s="53" t="n"/>
      <c r="BU283" s="53" t="n"/>
      <c r="BV283" s="53" t="n"/>
      <c r="BW283" s="53" t="n"/>
      <c r="BX283" s="53" t="n"/>
      <c r="BY283" s="53" t="n"/>
      <c r="BZ283" s="53" t="n"/>
      <c r="CA283" s="53" t="n"/>
      <c r="CB283" s="53" t="n"/>
      <c r="CC283" s="53" t="n"/>
      <c r="CD283" s="53" t="n"/>
      <c r="CE283" s="53" t="n"/>
      <c r="CF283" s="53" t="n"/>
      <c r="CG283" s="53" t="n"/>
      <c r="CH283" s="53" t="n"/>
      <c r="CI283" s="53" t="n"/>
      <c r="CJ283" s="53" t="n"/>
      <c r="CK283" s="53" t="n"/>
      <c r="CL283" s="53" t="n"/>
      <c r="CM283" s="53" t="n"/>
      <c r="CN283" s="53" t="n"/>
      <c r="CO283" s="53" t="n"/>
      <c r="CP283" s="53" t="n"/>
      <c r="CQ283" s="53" t="n"/>
      <c r="CR283" s="53" t="n"/>
      <c r="CS283" s="53" t="n"/>
      <c r="CT283" s="53" t="n"/>
      <c r="CU283" s="53" t="n"/>
      <c r="CV283" s="53" t="n"/>
      <c r="CW283" s="53" t="n"/>
      <c r="CX283" s="53" t="n"/>
      <c r="CY283" s="53" t="n"/>
      <c r="CZ283" s="53" t="n"/>
      <c r="DA283" s="53" t="n"/>
      <c r="DB283" s="53" t="n"/>
      <c r="DC283" s="53" t="n"/>
      <c r="DD283" s="53" t="inlineStr">
        <is>
          <t>IRIS1860</t>
        </is>
      </c>
      <c r="DE283" s="53" t="inlineStr">
        <is>
          <t>Employee</t>
        </is>
      </c>
      <c r="DF283" s="53" t="inlineStr">
        <is>
          <t>Active</t>
        </is>
      </c>
      <c r="DG283" s="53" t="inlineStr">
        <is>
          <t>Pradnya Mhatre</t>
        </is>
      </c>
      <c r="DH283" s="54" t="n">
        <v>44025</v>
      </c>
      <c r="DI283" s="53" t="inlineStr">
        <is>
          <t>Senior Software Engineer</t>
        </is>
      </c>
      <c r="DJ283" s="53" t="inlineStr">
        <is>
          <t>Engineering &amp; Development</t>
        </is>
      </c>
      <c r="DK283" s="53" t="inlineStr">
        <is>
          <t>Backend Engineering · Java</t>
        </is>
      </c>
      <c r="DL283" s="53" t="inlineStr">
        <is>
          <t>Senior Software Engineer</t>
        </is>
      </c>
      <c r="DM283" s="53" t="inlineStr">
        <is>
          <t>L4 – Senior</t>
        </is>
      </c>
      <c r="DN283" s="53" t="inlineStr">
        <is>
          <t>MSc</t>
        </is>
      </c>
      <c r="DO283" s="53" t="inlineStr">
        <is>
          <t>Brij Kishor Singh</t>
        </is>
      </c>
      <c r="DP283" s="53" t="inlineStr">
        <is>
          <t>N-3</t>
        </is>
      </c>
      <c r="DQ283" s="53" t="inlineStr">
        <is>
          <t>Manager</t>
        </is>
      </c>
      <c r="DR283" s="53" t="inlineStr">
        <is>
          <t>6 years, 0 months, 0 days</t>
        </is>
      </c>
      <c r="DS283" s="53" t="inlineStr">
        <is>
          <t>5 years, 11 months, 7 days</t>
        </is>
      </c>
      <c r="DT283" s="53" t="inlineStr">
        <is>
          <t>11 years, 11 months, 7 days</t>
        </is>
      </c>
      <c r="DU283" s="53" t="n">
        <v>5.93584474885845</v>
      </c>
      <c r="DV283" s="53" t="inlineStr">
        <is>
          <t>Suptech</t>
        </is>
      </c>
      <c r="DW283" s="53" t="inlineStr">
        <is>
          <t>iFile</t>
        </is>
      </c>
      <c r="DX283" s="53" t="inlineStr">
        <is>
          <t>Technology</t>
        </is>
      </c>
      <c r="DY283" s="53" t="inlineStr">
        <is>
          <t>Development</t>
        </is>
      </c>
      <c r="DZ283" s="53" t="inlineStr">
        <is>
          <t>Yes</t>
        </is>
      </c>
      <c r="EA283" s="53" t="inlineStr">
        <is>
          <t>Product/Project</t>
        </is>
      </c>
      <c r="EB283" s="53" t="inlineStr">
        <is>
          <t>Java</t>
        </is>
      </c>
      <c r="EC283" s="53" t="inlineStr">
        <is>
          <t>Technical - Developer</t>
        </is>
      </c>
      <c r="ED283" s="53" t="inlineStr">
        <is>
          <t>Remote - Mumbai</t>
        </is>
      </c>
      <c r="EE283" s="53" t="inlineStr">
        <is>
          <t>1. DFERM Automatation
2. DMRS Automatation
3. Deliver all changes on scheduled timeline
4. Upgrade the codebase
5. Integrate webform with MBRS</t>
        </is>
      </c>
      <c r="EF283"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G283" s="53" t="inlineStr">
        <is>
          <t>Q1: Loan leadger automation
Q1: Deposit ledger automation
Q1: VAPT Completion
Q1: Reduce module-level tech debt by &gt;=15% via refactoring / reusable components 
Q2: DMRS API Integration
Q2: DFRM API Integration
Q2: Jquery Upgradation</t>
        </is>
      </c>
      <c r="EH283" s="53" t="n">
        <v>3</v>
      </c>
      <c r="EI283" s="54" t="n">
        <v>46174</v>
      </c>
      <c r="EJ283" s="53" t="inlineStr">
        <is>
          <t>Lead Software Engineer · review – mgr scope + tenure</t>
        </is>
      </c>
      <c r="EK283" s="53" t="inlineStr">
        <is>
          <t>NO</t>
        </is>
      </c>
      <c r="EL283" s="53" t="n">
        <v>3</v>
      </c>
      <c r="EM283" s="53" t="inlineStr">
        <is>
          <t>Medium</t>
        </is>
      </c>
      <c r="EN283" s="53" t="inlineStr">
        <is>
          <t>Core Contributor</t>
        </is>
      </c>
      <c r="EO283" s="53" t="n"/>
      <c r="EP283" s="53" t="n"/>
      <c r="EQ283" s="53" t="n"/>
      <c r="ER283" s="53" t="inlineStr">
        <is>
          <t>Anup Salve</t>
        </is>
      </c>
      <c r="ES283" s="53" t="inlineStr">
        <is>
          <t>Advanced Java; secure coding &amp; code-quality practices; unit/automated testing; system design fundamentals | People management: goal-setting &amp; feedback, 1:1 coaching, performance conversations</t>
        </is>
      </c>
      <c r="ET283" s="53" t="inlineStr">
        <is>
          <t>Leadership development: strategic thinking, cross-functional influence, financial/business acumen, succession &amp; talent development, change management, executive communication</t>
        </is>
      </c>
      <c r="EU283" s="53" t="n"/>
      <c r="EV283" s="53" t="n"/>
      <c r="EW283" s="52" t="n"/>
      <c r="EX283" s="53" t="n"/>
      <c r="EY283" s="53" t="n"/>
      <c r="EZ283" s="53" t="n"/>
      <c r="FA283" s="53" t="n"/>
      <c r="FB283" s="53" t="n"/>
      <c r="FC283" s="53" t="n"/>
      <c r="FD283" s="53" t="n"/>
      <c r="FE283"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FF283" s="56" t="inlineStr">
        <is>
          <t>Q1: Loan leadger automation
Q1: Deposit ledger automation
Q1: VAPT Completion
Q1: Reduce module-level tech debt by &gt;=15% via refactoring / reusable components 
Q2: DMRS API Integration
Q2: DFRM API Integration
Q2: Jquery Upgradation</t>
        </is>
      </c>
      <c r="FG283" s="56" t="inlineStr">
        <is>
          <t>1. DFERM Automatation
2. DMRS Automatation
3. Deliver all changes on scheduled timeline
4. Upgrade the codebase
5. Integrate webform with MBRS</t>
        </is>
      </c>
      <c r="FH283" s="56" t="inlineStr">
        <is>
          <t>3</t>
        </is>
      </c>
      <c r="FI283" s="56" t="n"/>
      <c r="FJ283" s="56" t="inlineStr">
        <is>
          <t>Received · manager annual, quarterly, self</t>
        </is>
      </c>
      <c r="FK283" s="56" t="inlineStr">
        <is>
          <t>Talent Mapping · iFile collated</t>
        </is>
      </c>
      <c r="FL283" s="56" t="n">
        <v>20</v>
      </c>
      <c r="FM283" s="32" t="inlineStr">
        <is>
          <t>Full survey answers not in the files received · How We Grow export needed · HR</t>
        </is>
      </c>
      <c r="FN283" s="56" t="inlineStr">
        <is>
          <t>—</t>
        </is>
      </c>
      <c r="FO283" s="56" t="inlineStr">
        <is>
          <t>—</t>
        </is>
      </c>
      <c r="FP283" s="56" t="inlineStr">
        <is>
          <t>—</t>
        </is>
      </c>
      <c r="FQ283" s="56" t="inlineStr">
        <is>
          <t>—</t>
        </is>
      </c>
      <c r="FR283" s="56"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fixes and data reports → moved down 0.5
Leadership: Evidence reads like A2: No team duties in survey despite 3 reports; only the team-level KRA template → moved down 1
Business Impact: No survey or manager-mapping signal on criticality: kept at the start point.</t>
        </is>
      </c>
      <c r="FS283"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83" s="56" t="inlineStr">
        <is>
          <t>Self-identified: AI / automation · Project / programme management
For the next role: AI / automation · Project / programme management</t>
        </is>
      </c>
      <c r="FU283" s="32" t="inlineStr">
        <is>
          <t>Full survey answers not in the files received · How We Grow export needed · HR</t>
        </is>
      </c>
    </row>
    <row r="284" ht="90" customHeight="1">
      <c r="A284" s="51" t="inlineStr">
        <is>
          <t>◂ Back</t>
        </is>
      </c>
      <c r="B284" s="29" t="inlineStr">
        <is>
          <t>Mapped</t>
        </is>
      </c>
      <c r="C284" s="28" t="inlineStr">
        <is>
          <t>iFile</t>
        </is>
      </c>
      <c r="D284" s="29" t="inlineStr">
        <is>
          <t>IRIS2532</t>
        </is>
      </c>
      <c r="E284" s="29" t="inlineStr">
        <is>
          <t>Abhishek Patil</t>
        </is>
      </c>
      <c r="F284" s="29" t="inlineStr">
        <is>
          <t>Technology</t>
        </is>
      </c>
      <c r="G284" s="29" t="inlineStr">
        <is>
          <t>Software Engineer</t>
        </is>
      </c>
      <c r="H284" s="29" t="inlineStr">
        <is>
          <t>Senior Software Engineer</t>
        </is>
      </c>
      <c r="I284" s="29" t="inlineStr">
        <is>
          <t>L3 – Professional / Associate</t>
        </is>
      </c>
      <c r="J284" s="29" t="inlineStr">
        <is>
          <t>A3</t>
        </is>
      </c>
      <c r="K284" s="29" t="inlineStr">
        <is>
          <t>▲ Up</t>
        </is>
      </c>
      <c r="L284" s="29" t="inlineStr">
        <is>
          <t>Engineering &amp; Development</t>
        </is>
      </c>
      <c r="M284" s="29" t="inlineStr">
        <is>
          <t>Full-Stack Development</t>
        </is>
      </c>
      <c r="N284" s="29" t="n"/>
      <c r="O284" s="29" t="n">
        <v>20</v>
      </c>
      <c r="P284" s="28" t="inlineStr">
        <is>
          <t>P2</t>
        </is>
      </c>
      <c r="Q284" s="29" t="inlineStr">
        <is>
          <t>Developing</t>
        </is>
      </c>
      <c r="R284" s="29" t="inlineStr">
        <is>
          <t>3 Apply</t>
        </is>
      </c>
      <c r="S284" s="29" t="inlineStr">
        <is>
          <t>2–4 yrs</t>
        </is>
      </c>
      <c r="T284" s="29" t="inlineStr">
        <is>
          <t>3–5 · 2–5</t>
        </is>
      </c>
      <c r="U284" s="29" t="inlineStr">
        <is>
          <t>Software Engineer</t>
        </is>
      </c>
      <c r="V284" s="29" t="inlineStr">
        <is>
          <t>Workiva: SE · Broadridge India: SE · Nasdaq / AxiomSL: SE · Salesforce: MTS · Atlassian: P40 · 3–7 yrs · Freshworks: Senior SE</t>
        </is>
      </c>
      <c r="W284" s="29" t="inlineStr">
        <is>
          <t>SFIA 9 · software development, programming; OWASP secure coding; cloud vendor certifications</t>
        </is>
      </c>
      <c r="X284" s="29" t="inlineStr">
        <is>
          <t>Core 2 · Future 2 · Functional 3 · Leadership not scored</t>
        </is>
      </c>
      <c r="Y284" s="52" t="n">
        <v>504</v>
      </c>
      <c r="Z284" s="53" t="inlineStr">
        <is>
          <t>IRIS2532</t>
        </is>
      </c>
      <c r="AA284" s="53" t="inlineStr">
        <is>
          <t>Employee</t>
        </is>
      </c>
      <c r="AB284" s="53" t="inlineStr">
        <is>
          <t>Active</t>
        </is>
      </c>
      <c r="AC284" s="53" t="inlineStr">
        <is>
          <t>Abhishek Patil</t>
        </is>
      </c>
      <c r="AD284" s="54" t="n">
        <v>46167</v>
      </c>
      <c r="AE284" s="53" t="inlineStr">
        <is>
          <t>Software Engineer</t>
        </is>
      </c>
      <c r="AF284" s="53" t="inlineStr">
        <is>
          <t>BCA</t>
        </is>
      </c>
      <c r="AG284" s="53" t="inlineStr">
        <is>
          <t>Pradnya Mhatre</t>
        </is>
      </c>
      <c r="AH284" s="53" t="inlineStr">
        <is>
          <t>N-5</t>
        </is>
      </c>
      <c r="AI284" s="53" t="inlineStr">
        <is>
          <t>Individual Contributor</t>
        </is>
      </c>
      <c r="AJ284" s="53" t="inlineStr">
        <is>
          <t>3 years, 7 months, 0 days</t>
        </is>
      </c>
      <c r="AK284" s="53" t="inlineStr">
        <is>
          <t>0 years, 3 months, 0 days</t>
        </is>
      </c>
      <c r="AL284" s="53" t="inlineStr">
        <is>
          <t>Suptech</t>
        </is>
      </c>
      <c r="AM284" s="53" t="inlineStr">
        <is>
          <t>iFile</t>
        </is>
      </c>
      <c r="AN284" s="53" t="inlineStr">
        <is>
          <t>Technology</t>
        </is>
      </c>
      <c r="AO284" s="53" t="inlineStr">
        <is>
          <t>Development</t>
        </is>
      </c>
      <c r="AP284" s="53" t="inlineStr">
        <is>
          <t>Yes</t>
        </is>
      </c>
      <c r="AQ284" s="53" t="inlineStr">
        <is>
          <t>Product/Project</t>
        </is>
      </c>
      <c r="AR284" s="53" t="inlineStr">
        <is>
          <t>Java + Angular</t>
        </is>
      </c>
      <c r="AS284" s="53" t="inlineStr">
        <is>
          <t>Technical - Developer</t>
        </is>
      </c>
      <c r="AT284" s="53" t="n">
        <v>20</v>
      </c>
      <c r="AU284" s="53" t="inlineStr">
        <is>
          <t>Covered</t>
        </is>
      </c>
      <c r="AV284" s="53" t="n"/>
      <c r="AW284" s="53" t="n"/>
      <c r="AX284" s="53" t="n"/>
      <c r="AY284" s="53" t="n"/>
      <c r="AZ284" s="53" t="n"/>
      <c r="BA284" s="53" t="n"/>
      <c r="BB284" s="53" t="n"/>
      <c r="BC284" s="53" t="n"/>
      <c r="BD284" s="53" t="n"/>
      <c r="BE284" s="53" t="n"/>
      <c r="BF284" s="53" t="n"/>
      <c r="BG284" s="53" t="n"/>
      <c r="BH284" s="53" t="n"/>
      <c r="BI284" s="53" t="n"/>
      <c r="BJ284" s="53" t="n"/>
      <c r="BK284" s="53" t="n"/>
      <c r="BL284" s="53" t="n"/>
      <c r="BM284" s="53" t="n"/>
      <c r="BN284" s="53" t="n"/>
      <c r="BO284" s="53" t="n"/>
      <c r="BP284" s="53" t="n"/>
      <c r="BQ284" s="53" t="n"/>
      <c r="BR284" s="53" t="n"/>
      <c r="BS284" s="53" t="n"/>
      <c r="BT284" s="53" t="n"/>
      <c r="BU284" s="53" t="n"/>
      <c r="BV284" s="53" t="n"/>
      <c r="BW284" s="53" t="n"/>
      <c r="BX284" s="53" t="n"/>
      <c r="BY284" s="53" t="n"/>
      <c r="BZ284" s="53" t="n"/>
      <c r="CA284" s="53" t="n"/>
      <c r="CB284" s="53" t="n"/>
      <c r="CC284" s="53" t="n"/>
      <c r="CD284" s="53" t="n"/>
      <c r="CE284" s="53" t="n"/>
      <c r="CF284" s="53" t="n"/>
      <c r="CG284" s="53" t="n"/>
      <c r="CH284" s="53" t="n"/>
      <c r="CI284" s="53" t="n"/>
      <c r="CJ284" s="53" t="n"/>
      <c r="CK284" s="53" t="n"/>
      <c r="CL284" s="53" t="n"/>
      <c r="CM284" s="53" t="n"/>
      <c r="CN284" s="53" t="n"/>
      <c r="CO284" s="53" t="n"/>
      <c r="CP284" s="53" t="n"/>
      <c r="CQ284" s="53" t="n"/>
      <c r="CR284" s="53" t="n"/>
      <c r="CS284" s="53" t="n"/>
      <c r="CT284" s="53" t="n"/>
      <c r="CU284" s="53" t="n"/>
      <c r="CV284" s="53" t="n"/>
      <c r="CW284" s="53" t="n"/>
      <c r="CX284" s="53" t="n"/>
      <c r="CY284" s="53" t="n"/>
      <c r="CZ284" s="53" t="n"/>
      <c r="DA284" s="53" t="n"/>
      <c r="DB284" s="53" t="n"/>
      <c r="DC284" s="53" t="n"/>
      <c r="DD284" s="53" t="inlineStr">
        <is>
          <t>IRIS2532</t>
        </is>
      </c>
      <c r="DE284" s="53" t="inlineStr">
        <is>
          <t>Employee</t>
        </is>
      </c>
      <c r="DF284" s="53" t="inlineStr">
        <is>
          <t>Active</t>
        </is>
      </c>
      <c r="DG284" s="53" t="inlineStr">
        <is>
          <t>Abhishek Patil</t>
        </is>
      </c>
      <c r="DH284" s="54" t="n">
        <v>46167</v>
      </c>
      <c r="DI284" s="53" t="inlineStr">
        <is>
          <t>Software Engineer</t>
        </is>
      </c>
      <c r="DJ284" s="53" t="inlineStr">
        <is>
          <t>Engineering &amp; Development</t>
        </is>
      </c>
      <c r="DK284" s="53" t="inlineStr">
        <is>
          <t>Backend Engineering · Java</t>
        </is>
      </c>
      <c r="DL284" s="53" t="inlineStr">
        <is>
          <t>Software Engineer</t>
        </is>
      </c>
      <c r="DM284" s="53" t="inlineStr">
        <is>
          <t>L3 – Professional / Associate</t>
        </is>
      </c>
      <c r="DN284" s="53" t="inlineStr">
        <is>
          <t>BCA</t>
        </is>
      </c>
      <c r="DO284" s="53" t="inlineStr">
        <is>
          <t>Pradnya Mhatre</t>
        </is>
      </c>
      <c r="DP284" s="53" t="inlineStr">
        <is>
          <t>N-4</t>
        </is>
      </c>
      <c r="DQ284" s="53" t="inlineStr">
        <is>
          <t>Individual Contributor</t>
        </is>
      </c>
      <c r="DR284" s="53" t="inlineStr">
        <is>
          <t>3 years, 7 months, 0 days</t>
        </is>
      </c>
      <c r="DS284" s="53" t="inlineStr">
        <is>
          <t>0 years, 0 months, 26 days</t>
        </is>
      </c>
      <c r="DT284" s="53" t="inlineStr">
        <is>
          <t>3 years, 7 months, 26 days</t>
        </is>
      </c>
      <c r="DU284" s="53" t="n"/>
      <c r="DV284" s="53" t="inlineStr">
        <is>
          <t>Suptech</t>
        </is>
      </c>
      <c r="DW284" s="53" t="inlineStr">
        <is>
          <t>iFile</t>
        </is>
      </c>
      <c r="DX284" s="53" t="inlineStr">
        <is>
          <t>Technology</t>
        </is>
      </c>
      <c r="DY284" s="53" t="inlineStr">
        <is>
          <t>Development</t>
        </is>
      </c>
      <c r="DZ284" s="53" t="inlineStr">
        <is>
          <t>Yes</t>
        </is>
      </c>
      <c r="EA284" s="53" t="inlineStr">
        <is>
          <t>Product/Project</t>
        </is>
      </c>
      <c r="EB284" s="53" t="inlineStr">
        <is>
          <t>Java + Angular</t>
        </is>
      </c>
      <c r="EC284" s="53" t="inlineStr">
        <is>
          <t>Technical - Developer</t>
        </is>
      </c>
      <c r="ED284" s="53" t="inlineStr">
        <is>
          <t>Work From Office - Turbhe</t>
        </is>
      </c>
      <c r="EE284" s="53" t="inlineStr">
        <is>
          <t>5.Batch services development for new taxonomy</t>
        </is>
      </c>
      <c r="EF28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8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84" s="53" t="n"/>
      <c r="EI284" s="53" t="n"/>
      <c r="EJ284" s="53" t="inlineStr">
        <is>
          <t>Software Engineer</t>
        </is>
      </c>
      <c r="EK284" s="53" t="n"/>
      <c r="EL284" s="53" t="n"/>
      <c r="EM284" s="53" t="n"/>
      <c r="EN284" s="53" t="n"/>
      <c r="EO284" s="53" t="n"/>
      <c r="EP284" s="53" t="n"/>
      <c r="EQ284" s="53" t="n"/>
      <c r="ER284" s="53" t="n"/>
      <c r="ES284" s="53" t="inlineStr">
        <is>
          <t>Advanced Java + Angular; secure coding &amp; code-quality practices; unit/automated testing; system design fundamentals</t>
        </is>
      </c>
      <c r="ET284" s="53" t="inlineStr">
        <is>
          <t>Transition to leadership: people management &amp; delegation, mentoring/coaching, project ownership &amp; stakeholder management, prioritisation under ambiguity, presentation &amp; influence skills</t>
        </is>
      </c>
      <c r="EU284" s="53" t="n"/>
      <c r="EV284" s="53" t="n"/>
      <c r="EW284" s="52" t="n"/>
      <c r="EX284" s="53" t="n"/>
      <c r="EY284" s="53" t="n"/>
      <c r="EZ284" s="53" t="n"/>
      <c r="FA284" s="53" t="n"/>
      <c r="FB284" s="53" t="n"/>
      <c r="FC284" s="53" t="n"/>
      <c r="FD284" s="53" t="n"/>
      <c r="FE28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8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84" s="56" t="inlineStr">
        <is>
          <t>5.Batch services development for new taxonomy</t>
        </is>
      </c>
      <c r="FH284" s="56" t="n"/>
      <c r="FI284" s="56" t="n"/>
      <c r="FJ284" s="56" t="inlineStr">
        <is>
          <t>Received · manager annual, quarterly, self</t>
        </is>
      </c>
      <c r="FK284" s="56" t="inlineStr">
        <is>
          <t>Talent Mapping · iFile collated</t>
        </is>
      </c>
      <c r="FL284" s="56" t="n">
        <v>20</v>
      </c>
      <c r="FM284" s="32" t="inlineStr">
        <is>
          <t>Full survey answers not in the files received · How We Grow export needed · HR</t>
        </is>
      </c>
      <c r="FN284" s="56" t="inlineStr">
        <is>
          <t>—</t>
        </is>
      </c>
      <c r="FO284" s="56" t="inlineStr">
        <is>
          <t>—</t>
        </is>
      </c>
      <c r="FP284" s="56" t="inlineStr">
        <is>
          <t>—</t>
        </is>
      </c>
      <c r="FQ284" s="56" t="inlineStr">
        <is>
          <t>—</t>
        </is>
      </c>
      <c r="FR284" s="56"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integrity; wrong filing status blocks bank submissions to regulator → moved up 0.5
Leadership: Evidence reads like A1: No guidance of others described → matches the start
Business Impact: No survey or manager-mapping signal on criticality: kept at the start point.</t>
        </is>
      </c>
      <c r="FS284"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84" s="56" t="inlineStr">
        <is>
          <t>Self-identified: Technical depth &amp; architecture · Strategy &amp; business acumen
For the next role: Technical depth &amp; architecture · Strategy &amp; business acumen</t>
        </is>
      </c>
      <c r="FU284" s="32" t="inlineStr">
        <is>
          <t>Full survey answers not in the files received · How We Grow export needed · HR</t>
        </is>
      </c>
    </row>
    <row r="285" ht="90" customHeight="1">
      <c r="A285" s="51" t="inlineStr">
        <is>
          <t>◂ Back</t>
        </is>
      </c>
      <c r="B285" s="29" t="inlineStr">
        <is>
          <t>Mapped</t>
        </is>
      </c>
      <c r="C285" s="28" t="inlineStr">
        <is>
          <t>iFile</t>
        </is>
      </c>
      <c r="D285" s="29" t="inlineStr">
        <is>
          <t>IRIS2446</t>
        </is>
      </c>
      <c r="E285" s="29" t="inlineStr">
        <is>
          <t>Kunal Sanjay Prasad</t>
        </is>
      </c>
      <c r="F285" s="29" t="inlineStr">
        <is>
          <t>Technology</t>
        </is>
      </c>
      <c r="G285" s="29" t="inlineStr">
        <is>
          <t>Software Engineer</t>
        </is>
      </c>
      <c r="H285" s="29" t="inlineStr">
        <is>
          <t>Senior Software Engineer</t>
        </is>
      </c>
      <c r="I285" s="29" t="inlineStr">
        <is>
          <t>L3 – Professional / Associate</t>
        </is>
      </c>
      <c r="J285" s="29" t="inlineStr">
        <is>
          <t>A3</t>
        </is>
      </c>
      <c r="K285" s="29" t="inlineStr">
        <is>
          <t>▲ Up</t>
        </is>
      </c>
      <c r="L285" s="29" t="inlineStr">
        <is>
          <t>Engineering &amp; Development</t>
        </is>
      </c>
      <c r="M285" s="29" t="inlineStr">
        <is>
          <t>Backend Development</t>
        </is>
      </c>
      <c r="N285" s="29" t="n"/>
      <c r="O285" s="29" t="n">
        <v>20</v>
      </c>
      <c r="P285" s="28" t="inlineStr">
        <is>
          <t>P2</t>
        </is>
      </c>
      <c r="Q285" s="29" t="inlineStr">
        <is>
          <t>Developing</t>
        </is>
      </c>
      <c r="R285" s="29" t="inlineStr">
        <is>
          <t>3 Apply</t>
        </is>
      </c>
      <c r="S285" s="29" t="inlineStr">
        <is>
          <t>2–4 yrs</t>
        </is>
      </c>
      <c r="T285" s="29" t="inlineStr">
        <is>
          <t>3–5 · 2–5</t>
        </is>
      </c>
      <c r="U285" s="29" t="inlineStr">
        <is>
          <t>Software Engineer</t>
        </is>
      </c>
      <c r="V285" s="29" t="inlineStr">
        <is>
          <t>Workiva: SE · Broadridge India: SE · Nasdaq / AxiomSL: SE · Salesforce: MTS · Atlassian: P40 · 3–7 yrs · Freshworks: Senior SE</t>
        </is>
      </c>
      <c r="W285" s="29" t="inlineStr">
        <is>
          <t>SFIA 9 · software development, programming; OWASP secure coding; cloud vendor certifications</t>
        </is>
      </c>
      <c r="X285" s="29" t="inlineStr">
        <is>
          <t>Core 2 · Future 2 · Functional 3 · Leadership not scored</t>
        </is>
      </c>
      <c r="Y285" s="52" t="n">
        <v>413</v>
      </c>
      <c r="Z285" s="53" t="inlineStr">
        <is>
          <t>IRIS2446</t>
        </is>
      </c>
      <c r="AA285" s="53" t="inlineStr">
        <is>
          <t>Employee</t>
        </is>
      </c>
      <c r="AB285" s="53" t="inlineStr">
        <is>
          <t>Active</t>
        </is>
      </c>
      <c r="AC285" s="53" t="inlineStr">
        <is>
          <t>Kunal Sanjay Prasad</t>
        </is>
      </c>
      <c r="AD285" s="54" t="n">
        <v>45992</v>
      </c>
      <c r="AE285" s="53" t="inlineStr">
        <is>
          <t>Software Engineer</t>
        </is>
      </c>
      <c r="AF285" s="53" t="inlineStr">
        <is>
          <t>B.Sc</t>
        </is>
      </c>
      <c r="AG285" s="53" t="inlineStr">
        <is>
          <t>Pradnya Mhatre</t>
        </is>
      </c>
      <c r="AH285" s="53" t="inlineStr">
        <is>
          <t>N-5</t>
        </is>
      </c>
      <c r="AI285" s="53" t="inlineStr">
        <is>
          <t>Individual Contributor</t>
        </is>
      </c>
      <c r="AJ285" s="53" t="inlineStr">
        <is>
          <t>2 years, 7 months, 0 days</t>
        </is>
      </c>
      <c r="AK285" s="53" t="inlineStr">
        <is>
          <t>0 years, 8 months, 24 days</t>
        </is>
      </c>
      <c r="AL285" s="53" t="inlineStr">
        <is>
          <t>Suptech</t>
        </is>
      </c>
      <c r="AM285" s="53" t="inlineStr">
        <is>
          <t>iFile</t>
        </is>
      </c>
      <c r="AN285" s="53" t="inlineStr">
        <is>
          <t>Technology</t>
        </is>
      </c>
      <c r="AO285" s="53" t="inlineStr">
        <is>
          <t>Development</t>
        </is>
      </c>
      <c r="AP285" s="53" t="inlineStr">
        <is>
          <t>Yes</t>
        </is>
      </c>
      <c r="AQ285" s="53" t="inlineStr">
        <is>
          <t>Product/Project</t>
        </is>
      </c>
      <c r="AR285" s="53" t="inlineStr">
        <is>
          <t>Java</t>
        </is>
      </c>
      <c r="AS285" s="53" t="inlineStr">
        <is>
          <t>Technical - Developer</t>
        </is>
      </c>
      <c r="AT285" s="53" t="n">
        <v>20</v>
      </c>
      <c r="AU285" s="53" t="inlineStr">
        <is>
          <t>Covered</t>
        </is>
      </c>
      <c r="AV285" s="53" t="n"/>
      <c r="AW285" s="53" t="n"/>
      <c r="AX285" s="53" t="n"/>
      <c r="AY285" s="53" t="n"/>
      <c r="AZ285" s="53" t="n"/>
      <c r="BA285" s="53" t="n"/>
      <c r="BB285" s="53" t="n"/>
      <c r="BC285" s="53" t="n"/>
      <c r="BD285" s="53" t="n"/>
      <c r="BE285" s="53" t="n"/>
      <c r="BF285" s="53" t="n"/>
      <c r="BG285" s="53" t="n"/>
      <c r="BH285" s="53" t="n"/>
      <c r="BI285" s="53" t="n"/>
      <c r="BJ285" s="53" t="n"/>
      <c r="BK285" s="53" t="n"/>
      <c r="BL285" s="53" t="n"/>
      <c r="BM285" s="53" t="n"/>
      <c r="BN285" s="53" t="n"/>
      <c r="BO285" s="53" t="n"/>
      <c r="BP285" s="53" t="n"/>
      <c r="BQ285" s="53" t="n"/>
      <c r="BR285" s="53" t="n"/>
      <c r="BS285" s="53" t="n"/>
      <c r="BT285" s="53" t="n"/>
      <c r="BU285" s="53" t="n"/>
      <c r="BV285" s="53" t="n"/>
      <c r="BW285" s="53" t="n"/>
      <c r="BX285" s="53" t="n"/>
      <c r="BY285" s="53" t="n"/>
      <c r="BZ285" s="53" t="n"/>
      <c r="CA285" s="53" t="n"/>
      <c r="CB285" s="53" t="n"/>
      <c r="CC285" s="53" t="n"/>
      <c r="CD285" s="53" t="n"/>
      <c r="CE285" s="53" t="n"/>
      <c r="CF285" s="53" t="n"/>
      <c r="CG285" s="53" t="n"/>
      <c r="CH285" s="53" t="n"/>
      <c r="CI285" s="53" t="n"/>
      <c r="CJ285" s="53" t="n"/>
      <c r="CK285" s="53" t="n"/>
      <c r="CL285" s="53" t="n"/>
      <c r="CM285" s="53" t="n"/>
      <c r="CN285" s="53" t="n"/>
      <c r="CO285" s="53" t="n"/>
      <c r="CP285" s="53" t="n"/>
      <c r="CQ285" s="53" t="n"/>
      <c r="CR285" s="53" t="n"/>
      <c r="CS285" s="53" t="n"/>
      <c r="CT285" s="53" t="n"/>
      <c r="CU285" s="53" t="n"/>
      <c r="CV285" s="53" t="n"/>
      <c r="CW285" s="53" t="n"/>
      <c r="CX285" s="53" t="n"/>
      <c r="CY285" s="53" t="n"/>
      <c r="CZ285" s="53" t="n"/>
      <c r="DA285" s="53" t="n"/>
      <c r="DB285" s="53" t="n"/>
      <c r="DC285" s="53" t="n"/>
      <c r="DD285" s="53" t="inlineStr">
        <is>
          <t>IRIS2446</t>
        </is>
      </c>
      <c r="DE285" s="53" t="inlineStr">
        <is>
          <t>Employee</t>
        </is>
      </c>
      <c r="DF285" s="53" t="inlineStr">
        <is>
          <t>Active</t>
        </is>
      </c>
      <c r="DG285" s="53" t="inlineStr">
        <is>
          <t>Kunal Sanjay Prasad</t>
        </is>
      </c>
      <c r="DH285" s="54" t="n">
        <v>45992</v>
      </c>
      <c r="DI285" s="53" t="inlineStr">
        <is>
          <t>Software Engineer</t>
        </is>
      </c>
      <c r="DJ285" s="53" t="inlineStr">
        <is>
          <t>Engineering &amp; Development</t>
        </is>
      </c>
      <c r="DK285" s="53" t="inlineStr">
        <is>
          <t>Backend Engineering · Java</t>
        </is>
      </c>
      <c r="DL285" s="53" t="inlineStr">
        <is>
          <t>Software Engineer</t>
        </is>
      </c>
      <c r="DM285" s="53" t="inlineStr">
        <is>
          <t>L3 – Professional / Associate</t>
        </is>
      </c>
      <c r="DN285" s="53" t="inlineStr">
        <is>
          <t>B.Sc</t>
        </is>
      </c>
      <c r="DO285" s="53" t="inlineStr">
        <is>
          <t>Sarvesh Yadav</t>
        </is>
      </c>
      <c r="DP285" s="53" t="inlineStr">
        <is>
          <t>N-4</t>
        </is>
      </c>
      <c r="DQ285" s="53" t="inlineStr">
        <is>
          <t>Individual Contributor</t>
        </is>
      </c>
      <c r="DR285" s="53" t="inlineStr">
        <is>
          <t>2 years, 7 months, 0 days</t>
        </is>
      </c>
      <c r="DS285" s="53" t="inlineStr">
        <is>
          <t>0 years, 6 months, 19 days</t>
        </is>
      </c>
      <c r="DT285" s="53" t="inlineStr">
        <is>
          <t>3 years, 1 months, 19 days</t>
        </is>
      </c>
      <c r="DU285" s="53" t="n"/>
      <c r="DV285" s="53" t="inlineStr">
        <is>
          <t>Suptech</t>
        </is>
      </c>
      <c r="DW285" s="53" t="inlineStr">
        <is>
          <t>iFile</t>
        </is>
      </c>
      <c r="DX285" s="53" t="inlineStr">
        <is>
          <t>Technology</t>
        </is>
      </c>
      <c r="DY285" s="53" t="inlineStr">
        <is>
          <t>Development</t>
        </is>
      </c>
      <c r="DZ285" s="53" t="inlineStr">
        <is>
          <t>Yes</t>
        </is>
      </c>
      <c r="EA285" s="53" t="inlineStr">
        <is>
          <t>Product/Project</t>
        </is>
      </c>
      <c r="EB285" s="53" t="inlineStr">
        <is>
          <t>Java</t>
        </is>
      </c>
      <c r="EC285" s="53" t="inlineStr">
        <is>
          <t>Technical - Developer</t>
        </is>
      </c>
      <c r="ED285" s="53" t="inlineStr">
        <is>
          <t>Work From Office - Turbhe</t>
        </is>
      </c>
      <c r="EE285" s="53" t="inlineStr">
        <is>
          <t>1. Complete rendering for FS and AR
2. Learn end to end MBRS
3. Development for webform Integration
4.Rendering development for new taxonomy
5.Batch services development for new taxonomy
6. Support related delivery on time</t>
        </is>
      </c>
      <c r="EF28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285" s="53"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H285" s="53" t="n">
        <v>2</v>
      </c>
      <c r="EI285" s="54" t="n">
        <v>46143</v>
      </c>
      <c r="EJ285" s="53" t="inlineStr">
        <is>
          <t>Software Engineer</t>
        </is>
      </c>
      <c r="EK285" s="53" t="inlineStr">
        <is>
          <t>No</t>
        </is>
      </c>
      <c r="EL285" s="53" t="n">
        <v>2</v>
      </c>
      <c r="EM285" s="53" t="inlineStr">
        <is>
          <t>Low</t>
        </is>
      </c>
      <c r="EN285" s="53" t="inlineStr">
        <is>
          <t>Emerging Talent</t>
        </is>
      </c>
      <c r="EO285" s="53" t="n"/>
      <c r="EP285" s="53" t="n"/>
      <c r="EQ285" s="53" t="n"/>
      <c r="ER285" s="53" t="n"/>
      <c r="ES285" s="53" t="inlineStr">
        <is>
          <t>Advanced Java; secure coding &amp; code-quality practices; unit/automated testing; system design fundamentals</t>
        </is>
      </c>
      <c r="ET285" s="53" t="inlineStr">
        <is>
          <t>Transition to leadership: people management &amp; delegation, mentoring/coaching, project ownership &amp; stakeholder management, prioritisation under ambiguity, presentation &amp; influence skills</t>
        </is>
      </c>
      <c r="EU285" s="53" t="n"/>
      <c r="EV285" s="53" t="n"/>
      <c r="EW285" s="52" t="n"/>
      <c r="EX285" s="53" t="n"/>
      <c r="EY285" s="53" t="n"/>
      <c r="EZ285" s="53" t="n"/>
      <c r="FA285" s="53" t="n"/>
      <c r="FB285" s="53" t="n"/>
      <c r="FC285" s="53" t="n"/>
      <c r="FD285" s="53" t="n"/>
      <c r="FE28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285" s="56"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FG285" s="56" t="inlineStr">
        <is>
          <t>1. Complete rendering for FS and AR
2. Learn end to end MBRS
3. Development for webform Integration
4.Rendering development for new taxonomy
5.Batch services development for new taxonomy
6. Support related delivery on time</t>
        </is>
      </c>
      <c r="FH285" s="56" t="inlineStr">
        <is>
          <t>2</t>
        </is>
      </c>
      <c r="FI285" s="56" t="n"/>
      <c r="FJ285" s="56" t="inlineStr">
        <is>
          <t>Received · manager annual, quarterly, self</t>
        </is>
      </c>
      <c r="FK285" s="56" t="inlineStr">
        <is>
          <t>Talent Mapping · iFile collated</t>
        </is>
      </c>
      <c r="FL285" s="56" t="n">
        <v>20</v>
      </c>
      <c r="FM285" s="32" t="inlineStr">
        <is>
          <t>Full survey answers not in the files received · How We Grow export needed · HR</t>
        </is>
      </c>
      <c r="FN285" s="56" t="inlineStr">
        <is>
          <t>—</t>
        </is>
      </c>
      <c r="FO285" s="56" t="inlineStr">
        <is>
          <t>—</t>
        </is>
      </c>
      <c r="FP285" s="56" t="inlineStr">
        <is>
          <t>—</t>
        </is>
      </c>
      <c r="FQ285" s="56" t="inlineStr">
        <is>
          <t>—</t>
        </is>
      </c>
      <c r="FR285" s="56"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quality, accuracy and timeliness of software changes assigned to them → matches the start
Leadership: Evidence reads like A1: No guiding or leading described → matches the start
Business Impact: No survey or manager-mapping signal on criticality: kept at the start point.</t>
        </is>
      </c>
      <c r="FS28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5" s="56" t="inlineStr">
        <is>
          <t>Self-identified: Technical depth &amp; architecture
For the next role: Technical depth &amp; architecture</t>
        </is>
      </c>
      <c r="FU285" s="32" t="inlineStr">
        <is>
          <t>Full survey answers not in the files received · How We Grow export needed · HR</t>
        </is>
      </c>
    </row>
    <row r="286" ht="90" customHeight="1">
      <c r="A286" s="51" t="inlineStr">
        <is>
          <t>◂ Back</t>
        </is>
      </c>
      <c r="B286" s="29" t="inlineStr">
        <is>
          <t>Mapped</t>
        </is>
      </c>
      <c r="C286" s="28" t="inlineStr">
        <is>
          <t>iFile</t>
        </is>
      </c>
      <c r="D286" s="29" t="inlineStr">
        <is>
          <t>IRIS2438</t>
        </is>
      </c>
      <c r="E286" s="29" t="inlineStr">
        <is>
          <t>Pranay Usatkar</t>
        </is>
      </c>
      <c r="F286" s="29" t="inlineStr">
        <is>
          <t>Technology</t>
        </is>
      </c>
      <c r="G286" s="29" t="inlineStr">
        <is>
          <t>Software Engineer</t>
        </is>
      </c>
      <c r="H286" s="29" t="inlineStr">
        <is>
          <t>Senior Software Engineer</t>
        </is>
      </c>
      <c r="I286" s="29" t="inlineStr">
        <is>
          <t>L3 – Professional / Associate</t>
        </is>
      </c>
      <c r="J286" s="29" t="inlineStr">
        <is>
          <t>A3</t>
        </is>
      </c>
      <c r="K286" s="29" t="inlineStr">
        <is>
          <t>▲ Up</t>
        </is>
      </c>
      <c r="L286" s="29" t="inlineStr">
        <is>
          <t>Engineering &amp; Development</t>
        </is>
      </c>
      <c r="M286" s="29" t="inlineStr">
        <is>
          <t>Backend Development</t>
        </is>
      </c>
      <c r="N286" s="29" t="n"/>
      <c r="O286" s="29" t="n">
        <v>10</v>
      </c>
      <c r="P286" s="28" t="inlineStr">
        <is>
          <t>P2</t>
        </is>
      </c>
      <c r="Q286" s="29" t="inlineStr">
        <is>
          <t>Developing</t>
        </is>
      </c>
      <c r="R286" s="29" t="inlineStr">
        <is>
          <t>3 Apply</t>
        </is>
      </c>
      <c r="S286" s="29" t="inlineStr">
        <is>
          <t>2–4 yrs</t>
        </is>
      </c>
      <c r="T286" s="29" t="inlineStr">
        <is>
          <t>3–5 · 2–5</t>
        </is>
      </c>
      <c r="U286" s="29" t="inlineStr">
        <is>
          <t>Software Engineer</t>
        </is>
      </c>
      <c r="V286" s="29" t="inlineStr">
        <is>
          <t>Workiva: SE · Broadridge India: SE · Nasdaq / AxiomSL: SE · Salesforce: MTS · Atlassian: P40 · 3–7 yrs · Freshworks: Senior SE</t>
        </is>
      </c>
      <c r="W286" s="29" t="inlineStr">
        <is>
          <t>SFIA 9 · software development, programming; OWASP secure coding; cloud vendor certifications</t>
        </is>
      </c>
      <c r="X286" s="29" t="inlineStr">
        <is>
          <t>Core 2 · Future 2 · Functional 3 · Leadership not scored</t>
        </is>
      </c>
      <c r="Y286" s="52" t="n">
        <v>406</v>
      </c>
      <c r="Z286" s="53" t="inlineStr">
        <is>
          <t>IRIS2438</t>
        </is>
      </c>
      <c r="AA286" s="53" t="inlineStr">
        <is>
          <t>Employee</t>
        </is>
      </c>
      <c r="AB286" s="53" t="inlineStr">
        <is>
          <t>Active</t>
        </is>
      </c>
      <c r="AC286" s="53" t="inlineStr">
        <is>
          <t>Pranay Usatkar</t>
        </is>
      </c>
      <c r="AD286" s="54" t="n">
        <v>45946</v>
      </c>
      <c r="AE286" s="53" t="inlineStr">
        <is>
          <t>Software Engineer</t>
        </is>
      </c>
      <c r="AF286" s="53" t="inlineStr">
        <is>
          <t>B.E</t>
        </is>
      </c>
      <c r="AG286" s="53" t="inlineStr">
        <is>
          <t>Pradnya Mhatre</t>
        </is>
      </c>
      <c r="AH286" s="53" t="inlineStr">
        <is>
          <t>N-5</t>
        </is>
      </c>
      <c r="AI286" s="53" t="inlineStr">
        <is>
          <t>Individual Contributor</t>
        </is>
      </c>
      <c r="AJ286" s="53" t="inlineStr">
        <is>
          <t>3 years, 2 months, 0 days</t>
        </is>
      </c>
      <c r="AK286" s="53" t="inlineStr">
        <is>
          <t>0 years, 10 months, 9 days</t>
        </is>
      </c>
      <c r="AL286" s="53" t="inlineStr">
        <is>
          <t>Suptech</t>
        </is>
      </c>
      <c r="AM286" s="53" t="inlineStr">
        <is>
          <t>iFile</t>
        </is>
      </c>
      <c r="AN286" s="53" t="inlineStr">
        <is>
          <t>Technology</t>
        </is>
      </c>
      <c r="AO286" s="53" t="inlineStr">
        <is>
          <t>Development</t>
        </is>
      </c>
      <c r="AP286" s="53" t="inlineStr">
        <is>
          <t>Yes</t>
        </is>
      </c>
      <c r="AQ286" s="53" t="inlineStr">
        <is>
          <t>Product/Project</t>
        </is>
      </c>
      <c r="AR286" s="53" t="inlineStr">
        <is>
          <t>Java</t>
        </is>
      </c>
      <c r="AS286" s="53" t="inlineStr">
        <is>
          <t>Technical - Developer</t>
        </is>
      </c>
      <c r="AT286" s="53" t="n">
        <v>20</v>
      </c>
      <c r="AU286" s="53" t="inlineStr">
        <is>
          <t>Covered</t>
        </is>
      </c>
      <c r="AV286" s="53" t="n"/>
      <c r="AW286" s="53" t="n"/>
      <c r="AX286" s="53" t="n"/>
      <c r="AY286" s="53" t="n"/>
      <c r="AZ286" s="53" t="n"/>
      <c r="BA286" s="53" t="n"/>
      <c r="BB286" s="53" t="n"/>
      <c r="BC286" s="53" t="n"/>
      <c r="BD286" s="53" t="n"/>
      <c r="BE286" s="53" t="n"/>
      <c r="BF286" s="53" t="n"/>
      <c r="BG286" s="53" t="n"/>
      <c r="BH286" s="53" t="n"/>
      <c r="BI286" s="53" t="n"/>
      <c r="BJ286" s="53" t="n"/>
      <c r="BK286" s="53" t="n"/>
      <c r="BL286" s="53" t="n"/>
      <c r="BM286" s="53" t="n"/>
      <c r="BN286" s="53" t="n"/>
      <c r="BO286" s="53" t="n"/>
      <c r="BP286" s="53" t="n"/>
      <c r="BQ286" s="53" t="n"/>
      <c r="BR286" s="53" t="n"/>
      <c r="BS286" s="53" t="n"/>
      <c r="BT286" s="53" t="n"/>
      <c r="BU286" s="53" t="n"/>
      <c r="BV286" s="53" t="n"/>
      <c r="BW286" s="53" t="n"/>
      <c r="BX286" s="53" t="n"/>
      <c r="BY286" s="53" t="n"/>
      <c r="BZ286" s="53" t="n"/>
      <c r="CA286" s="53" t="n"/>
      <c r="CB286" s="53" t="n"/>
      <c r="CC286" s="53" t="n"/>
      <c r="CD286" s="53" t="n"/>
      <c r="CE286" s="53" t="n"/>
      <c r="CF286" s="53" t="n"/>
      <c r="CG286" s="53" t="n"/>
      <c r="CH286" s="53" t="n"/>
      <c r="CI286" s="53" t="n"/>
      <c r="CJ286" s="53" t="n"/>
      <c r="CK286" s="53" t="n"/>
      <c r="CL286" s="53" t="n"/>
      <c r="CM286" s="53" t="n"/>
      <c r="CN286" s="53" t="n"/>
      <c r="CO286" s="53" t="n"/>
      <c r="CP286" s="53" t="n"/>
      <c r="CQ286" s="53" t="n"/>
      <c r="CR286" s="53" t="n"/>
      <c r="CS286" s="53" t="n"/>
      <c r="CT286" s="53" t="n"/>
      <c r="CU286" s="53" t="n"/>
      <c r="CV286" s="53" t="n"/>
      <c r="CW286" s="53" t="n"/>
      <c r="CX286" s="53" t="n"/>
      <c r="CY286" s="53" t="n"/>
      <c r="CZ286" s="53" t="n"/>
      <c r="DA286" s="53" t="n"/>
      <c r="DB286" s="53" t="n"/>
      <c r="DC286" s="53" t="n"/>
      <c r="DD286" s="53" t="inlineStr">
        <is>
          <t>IRIS2438</t>
        </is>
      </c>
      <c r="DE286" s="53" t="inlineStr">
        <is>
          <t>Employee</t>
        </is>
      </c>
      <c r="DF286" s="53" t="inlineStr">
        <is>
          <t>Active</t>
        </is>
      </c>
      <c r="DG286" s="53" t="inlineStr">
        <is>
          <t>Pranay Usatkar</t>
        </is>
      </c>
      <c r="DH286" s="54" t="n">
        <v>45946</v>
      </c>
      <c r="DI286" s="53" t="inlineStr">
        <is>
          <t>Software Engineer</t>
        </is>
      </c>
      <c r="DJ286" s="53" t="inlineStr">
        <is>
          <t>Engineering &amp; Development</t>
        </is>
      </c>
      <c r="DK286" s="53" t="inlineStr">
        <is>
          <t>Backend Engineering · Java</t>
        </is>
      </c>
      <c r="DL286" s="53" t="inlineStr">
        <is>
          <t>Software Engineer</t>
        </is>
      </c>
      <c r="DM286" s="53" t="inlineStr">
        <is>
          <t>L3 – Professional / Associate</t>
        </is>
      </c>
      <c r="DN286" s="53" t="inlineStr">
        <is>
          <t>B.E</t>
        </is>
      </c>
      <c r="DO286" s="53" t="inlineStr">
        <is>
          <t>Sarvesh Yadav</t>
        </is>
      </c>
      <c r="DP286" s="53" t="inlineStr">
        <is>
          <t>N-4</t>
        </is>
      </c>
      <c r="DQ286" s="53" t="inlineStr">
        <is>
          <t>Individual Contributor</t>
        </is>
      </c>
      <c r="DR286" s="53" t="inlineStr">
        <is>
          <t>3 years, 2 months, 0 days</t>
        </is>
      </c>
      <c r="DS286" s="53" t="inlineStr">
        <is>
          <t>0 years, 8 months, 4 days</t>
        </is>
      </c>
      <c r="DT286" s="53" t="inlineStr">
        <is>
          <t>3 years, 10 months, 4 days</t>
        </is>
      </c>
      <c r="DU286" s="53" t="n"/>
      <c r="DV286" s="53" t="inlineStr">
        <is>
          <t>Suptech</t>
        </is>
      </c>
      <c r="DW286" s="53" t="inlineStr">
        <is>
          <t>iFile</t>
        </is>
      </c>
      <c r="DX286" s="53" t="inlineStr">
        <is>
          <t>Technology</t>
        </is>
      </c>
      <c r="DY286" s="53" t="inlineStr">
        <is>
          <t>Development</t>
        </is>
      </c>
      <c r="DZ286" s="53" t="inlineStr">
        <is>
          <t>Yes</t>
        </is>
      </c>
      <c r="EA286" s="53" t="inlineStr">
        <is>
          <t>Product/Project</t>
        </is>
      </c>
      <c r="EB286" s="53" t="inlineStr">
        <is>
          <t>Java</t>
        </is>
      </c>
      <c r="EC286" s="53" t="inlineStr">
        <is>
          <t>Technical - Developer</t>
        </is>
      </c>
      <c r="ED286" s="53" t="inlineStr">
        <is>
          <t>Work From Office - Turbhe</t>
        </is>
      </c>
      <c r="EE286" s="53" t="inlineStr">
        <is>
          <t>1. Complete rendering for FS and AR
2. Learn end to end MBRS
3. Development for webform Integration
4.Rendering development for new taxonomy
5.Batch services development for new taxonomy</t>
        </is>
      </c>
      <c r="EF28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286" s="53"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H286" s="53" t="n">
        <v>2</v>
      </c>
      <c r="EI286" s="54" t="n">
        <v>46113</v>
      </c>
      <c r="EJ286" s="53" t="inlineStr">
        <is>
          <t>Software Engineer</t>
        </is>
      </c>
      <c r="EK286" s="53" t="inlineStr">
        <is>
          <t>No</t>
        </is>
      </c>
      <c r="EL286" s="53" t="n">
        <v>2</v>
      </c>
      <c r="EM286" s="53" t="inlineStr">
        <is>
          <t>Low</t>
        </is>
      </c>
      <c r="EN286" s="53" t="inlineStr">
        <is>
          <t>Emerging Talent</t>
        </is>
      </c>
      <c r="EO286" s="53" t="n"/>
      <c r="EP286" s="53" t="n"/>
      <c r="EQ286" s="53" t="n"/>
      <c r="ER286" s="53" t="n"/>
      <c r="ES286" s="53" t="inlineStr">
        <is>
          <t>Advanced Java; secure coding &amp; code-quality practices; unit/automated testing; system design fundamentals</t>
        </is>
      </c>
      <c r="ET286" s="53" t="inlineStr">
        <is>
          <t>Transition to leadership: people management &amp; delegation, mentoring/coaching, project ownership &amp; stakeholder management, prioritisation under ambiguity, presentation &amp; influence skills</t>
        </is>
      </c>
      <c r="EU286" s="53" t="n"/>
      <c r="EV286" s="53" t="n"/>
      <c r="EW286" s="52" t="n"/>
      <c r="EX286" s="53" t="n"/>
      <c r="EY286" s="53" t="n"/>
      <c r="EZ286" s="53" t="n"/>
      <c r="FA286" s="53" t="n"/>
      <c r="FB286" s="53" t="n"/>
      <c r="FC286" s="53" t="n"/>
      <c r="FD286" s="53" t="n"/>
      <c r="FE28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286" s="56"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FG286" s="56" t="inlineStr">
        <is>
          <t>1. Complete rendering for FS and AR
2. Learn end to end MBRS
3. Development for webform Integration
4.Rendering development for new taxonomy
5.Batch services development for new taxonomy</t>
        </is>
      </c>
      <c r="FH286" s="56" t="inlineStr">
        <is>
          <t>2</t>
        </is>
      </c>
      <c r="FI286" s="56" t="n"/>
      <c r="FJ286" s="56" t="inlineStr">
        <is>
          <t>Received · manager annual, quarterly, self</t>
        </is>
      </c>
      <c r="FK286" s="56" t="inlineStr">
        <is>
          <t>Talent Mapping · iFile collated</t>
        </is>
      </c>
      <c r="FL286" s="56" t="n">
        <v>10</v>
      </c>
      <c r="FM286" s="32" t="inlineStr">
        <is>
          <t>Full survey answers not in the files received · How We Grow export needed · HR</t>
        </is>
      </c>
      <c r="FN286" s="56" t="inlineStr">
        <is>
          <t>—</t>
        </is>
      </c>
      <c r="FO286" s="56" t="inlineStr">
        <is>
          <t>—</t>
        </is>
      </c>
      <c r="FP286" s="56" t="inlineStr">
        <is>
          <t>—</t>
        </is>
      </c>
      <c r="FQ286" s="56" t="inlineStr">
        <is>
          <t>—</t>
        </is>
      </c>
      <c r="FR286" s="56"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start
Leadership: Evidence reads like A1: No guiding or leading described → matches the start
Business Impact: No survey or manager-mapping signal on criticality: kept at the start point.</t>
        </is>
      </c>
      <c r="FS28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6" s="56" t="n"/>
      <c r="FU286" s="32" t="inlineStr">
        <is>
          <t>Full survey answers not in the files received · How We Grow export needed · HR</t>
        </is>
      </c>
    </row>
    <row r="287" ht="90" customHeight="1">
      <c r="A287" s="51" t="inlineStr">
        <is>
          <t>◂ Back</t>
        </is>
      </c>
      <c r="B287" s="29" t="inlineStr">
        <is>
          <t>Mapped</t>
        </is>
      </c>
      <c r="C287" s="28" t="inlineStr">
        <is>
          <t>iFile</t>
        </is>
      </c>
      <c r="D287" s="29" t="inlineStr">
        <is>
          <t>IRIS1653</t>
        </is>
      </c>
      <c r="E287" s="29" t="inlineStr">
        <is>
          <t>Sarvesh Yadav</t>
        </is>
      </c>
      <c r="F287" s="29" t="inlineStr">
        <is>
          <t>Technology</t>
        </is>
      </c>
      <c r="G287" s="29" t="inlineStr">
        <is>
          <t>Senior Software Engineer</t>
        </is>
      </c>
      <c r="H287" s="29" t="inlineStr">
        <is>
          <t>Technical Specialist</t>
        </is>
      </c>
      <c r="I287" s="29" t="inlineStr">
        <is>
          <t>L4 – Senior</t>
        </is>
      </c>
      <c r="J287" s="29" t="inlineStr">
        <is>
          <t>B1</t>
        </is>
      </c>
      <c r="K287" s="29" t="inlineStr">
        <is>
          <t>▲ Up</t>
        </is>
      </c>
      <c r="L287" s="29" t="inlineStr">
        <is>
          <t>Engineering &amp; Development</t>
        </is>
      </c>
      <c r="M287" s="29" t="inlineStr">
        <is>
          <t>Backend Development</t>
        </is>
      </c>
      <c r="N287" s="29" t="inlineStr">
        <is>
          <t>• Confirm the reporting line — Manager</t>
        </is>
      </c>
      <c r="O287" s="29" t="n">
        <v>17</v>
      </c>
      <c r="P287" s="28" t="inlineStr">
        <is>
          <t>P3 / M2</t>
        </is>
      </c>
      <c r="Q287" s="29" t="inlineStr">
        <is>
          <t>Career / · Team Lead</t>
        </is>
      </c>
      <c r="R287" s="29" t="inlineStr">
        <is>
          <t>4 Enable</t>
        </is>
      </c>
      <c r="S287" s="29" t="inlineStr">
        <is>
          <t>4–7 yrs</t>
        </is>
      </c>
      <c r="T287" s="29" t="inlineStr">
        <is>
          <t>5–8 · 4–8</t>
        </is>
      </c>
      <c r="U287" s="29" t="inlineStr">
        <is>
          <t>Senior Software Engineer</t>
        </is>
      </c>
      <c r="V287" s="29" t="inlineStr">
        <is>
          <t>Workiva: SE / Senior SE · Broadridge India: Senior SE · Nasdaq / AxiomSL: Senior SE · Salesforce: MTS · Atlassian: P40 · Freshworks: Senior SE</t>
        </is>
      </c>
      <c r="W287" s="29" t="inlineStr">
        <is>
          <t>SFIA 9 · software development, programming; OWASP secure coding; cloud vendor certifications</t>
        </is>
      </c>
      <c r="X287" s="29" t="inlineStr">
        <is>
          <t>Core 3 · Future 3 · Functional 3 · Leadership 1</t>
        </is>
      </c>
      <c r="Y287" s="52" t="n">
        <v>137</v>
      </c>
      <c r="Z287" s="53" t="inlineStr">
        <is>
          <t>IRIS1653</t>
        </is>
      </c>
      <c r="AA287" s="53" t="inlineStr">
        <is>
          <t>Employee</t>
        </is>
      </c>
      <c r="AB287" s="53" t="inlineStr">
        <is>
          <t>Active</t>
        </is>
      </c>
      <c r="AC287" s="53" t="inlineStr">
        <is>
          <t>Sarvesh Yadav</t>
        </is>
      </c>
      <c r="AD287" s="54" t="n">
        <v>42921</v>
      </c>
      <c r="AE287" s="53" t="inlineStr">
        <is>
          <t>Senior Software Engineer</t>
        </is>
      </c>
      <c r="AF287" s="53" t="inlineStr">
        <is>
          <t>MCA</t>
        </is>
      </c>
      <c r="AG287" s="53" t="inlineStr">
        <is>
          <t>Brij Kishor Singh</t>
        </is>
      </c>
      <c r="AH287" s="53" t="inlineStr">
        <is>
          <t>N-4</t>
        </is>
      </c>
      <c r="AI287" s="53" t="inlineStr">
        <is>
          <t>Individual Contributor</t>
        </is>
      </c>
      <c r="AJ287" s="53" t="inlineStr">
        <is>
          <t>5 years, 7 months, 0 days</t>
        </is>
      </c>
      <c r="AK287" s="53" t="inlineStr">
        <is>
          <t>9 years, 1 months, 20 days</t>
        </is>
      </c>
      <c r="AL287" s="53" t="inlineStr">
        <is>
          <t>Suptech</t>
        </is>
      </c>
      <c r="AM287" s="53" t="inlineStr">
        <is>
          <t>iFile</t>
        </is>
      </c>
      <c r="AN287" s="53" t="inlineStr">
        <is>
          <t>Technology</t>
        </is>
      </c>
      <c r="AO287" s="53" t="inlineStr">
        <is>
          <t>Development</t>
        </is>
      </c>
      <c r="AP287" s="53" t="inlineStr">
        <is>
          <t>Yes</t>
        </is>
      </c>
      <c r="AQ287" s="53" t="inlineStr">
        <is>
          <t>Product/Project</t>
        </is>
      </c>
      <c r="AR287" s="53" t="inlineStr">
        <is>
          <t>Java</t>
        </is>
      </c>
      <c r="AS287" s="53" t="inlineStr">
        <is>
          <t>Technical - Developer</t>
        </is>
      </c>
      <c r="AT287" s="53" t="n">
        <v>20</v>
      </c>
      <c r="AU287" s="53" t="inlineStr">
        <is>
          <t>Covered</t>
        </is>
      </c>
      <c r="AV287" s="53" t="n"/>
      <c r="AW287" s="53" t="n"/>
      <c r="AX287" s="53" t="n"/>
      <c r="AY287" s="53" t="n"/>
      <c r="AZ287" s="53" t="n"/>
      <c r="BA287" s="53" t="n"/>
      <c r="BB287" s="53" t="n"/>
      <c r="BC287" s="53" t="n"/>
      <c r="BD287" s="53" t="n"/>
      <c r="BE287" s="53" t="n"/>
      <c r="BF287" s="53" t="n"/>
      <c r="BG287" s="53" t="n"/>
      <c r="BH287" s="53" t="n"/>
      <c r="BI287" s="53" t="n"/>
      <c r="BJ287" s="53" t="n"/>
      <c r="BK287" s="53" t="n"/>
      <c r="BL287" s="53" t="n"/>
      <c r="BM287" s="53" t="n"/>
      <c r="BN287" s="53" t="n"/>
      <c r="BO287" s="53" t="n"/>
      <c r="BP287" s="53" t="n"/>
      <c r="BQ287" s="53" t="n"/>
      <c r="BR287" s="53" t="n"/>
      <c r="BS287" s="53" t="n"/>
      <c r="BT287" s="53" t="n"/>
      <c r="BU287" s="53" t="n"/>
      <c r="BV287" s="53" t="n"/>
      <c r="BW287" s="53" t="n"/>
      <c r="BX287" s="53" t="n"/>
      <c r="BY287" s="53" t="n"/>
      <c r="BZ287" s="53" t="n"/>
      <c r="CA287" s="53" t="n"/>
      <c r="CB287" s="53" t="n"/>
      <c r="CC287" s="53" t="n"/>
      <c r="CD287" s="53" t="n"/>
      <c r="CE287" s="53" t="n"/>
      <c r="CF287" s="53" t="n"/>
      <c r="CG287" s="53" t="n"/>
      <c r="CH287" s="53" t="n"/>
      <c r="CI287" s="53" t="n"/>
      <c r="CJ287" s="53" t="n"/>
      <c r="CK287" s="53" t="n"/>
      <c r="CL287" s="53" t="n"/>
      <c r="CM287" s="53" t="n"/>
      <c r="CN287" s="53" t="n"/>
      <c r="CO287" s="53" t="n"/>
      <c r="CP287" s="53" t="n"/>
      <c r="CQ287" s="53" t="n"/>
      <c r="CR287" s="53" t="n"/>
      <c r="CS287" s="53" t="n"/>
      <c r="CT287" s="53" t="n"/>
      <c r="CU287" s="53" t="n"/>
      <c r="CV287" s="53" t="n"/>
      <c r="CW287" s="53" t="n"/>
      <c r="CX287" s="53" t="n"/>
      <c r="CY287" s="53" t="n"/>
      <c r="CZ287" s="53" t="n"/>
      <c r="DA287" s="53" t="n"/>
      <c r="DB287" s="53" t="n"/>
      <c r="DC287" s="53" t="n"/>
      <c r="DD287" s="53" t="inlineStr">
        <is>
          <t>IRIS1653</t>
        </is>
      </c>
      <c r="DE287" s="53" t="inlineStr">
        <is>
          <t>Employee</t>
        </is>
      </c>
      <c r="DF287" s="53" t="inlineStr">
        <is>
          <t>Active</t>
        </is>
      </c>
      <c r="DG287" s="53" t="inlineStr">
        <is>
          <t>Sarvesh Yadav</t>
        </is>
      </c>
      <c r="DH287" s="54" t="n">
        <v>42921</v>
      </c>
      <c r="DI287" s="53" t="inlineStr">
        <is>
          <t>Senior Software Engineer</t>
        </is>
      </c>
      <c r="DJ287" s="53" t="inlineStr">
        <is>
          <t>Engineering &amp; Development</t>
        </is>
      </c>
      <c r="DK287" s="53" t="inlineStr">
        <is>
          <t>Backend Engineering · Java</t>
        </is>
      </c>
      <c r="DL287" s="53" t="inlineStr">
        <is>
          <t>Senior Software Engineer</t>
        </is>
      </c>
      <c r="DM287" s="53" t="inlineStr">
        <is>
          <t>L4 – Senior</t>
        </is>
      </c>
      <c r="DN287" s="53" t="inlineStr">
        <is>
          <t>MCA</t>
        </is>
      </c>
      <c r="DO287" s="53" t="inlineStr">
        <is>
          <t>Brij Kishor Singh</t>
        </is>
      </c>
      <c r="DP287" s="53" t="inlineStr">
        <is>
          <t>N-3</t>
        </is>
      </c>
      <c r="DQ287" s="53" t="inlineStr">
        <is>
          <t>Manager</t>
        </is>
      </c>
      <c r="DR287" s="53" t="inlineStr">
        <is>
          <t>5 years, 7 months, 0 days</t>
        </is>
      </c>
      <c r="DS287" s="53" t="inlineStr">
        <is>
          <t>8 years, 11 months, 15 days</t>
        </is>
      </c>
      <c r="DT287" s="53" t="inlineStr">
        <is>
          <t>14 years, 6 months, 15 days</t>
        </is>
      </c>
      <c r="DU287" s="53" t="n">
        <v>8.957762557077629</v>
      </c>
      <c r="DV287" s="53" t="inlineStr">
        <is>
          <t>Suptech</t>
        </is>
      </c>
      <c r="DW287" s="53" t="inlineStr">
        <is>
          <t>iFile</t>
        </is>
      </c>
      <c r="DX287" s="53" t="inlineStr">
        <is>
          <t>Technology</t>
        </is>
      </c>
      <c r="DY287" s="53" t="inlineStr">
        <is>
          <t>Development</t>
        </is>
      </c>
      <c r="DZ287" s="53" t="inlineStr">
        <is>
          <t>Yes</t>
        </is>
      </c>
      <c r="EA287" s="53" t="inlineStr">
        <is>
          <t>Product/Project</t>
        </is>
      </c>
      <c r="EB287" s="53" t="inlineStr">
        <is>
          <t>Java</t>
        </is>
      </c>
      <c r="EC287" s="53" t="inlineStr">
        <is>
          <t>Technical - Developer</t>
        </is>
      </c>
      <c r="ED287" s="53" t="inlineStr">
        <is>
          <t>Remote - Mumbai</t>
        </is>
      </c>
      <c r="EE287" s="53" t="inlineStr">
        <is>
          <t>1. Project Delivery &amp; Execution	
2. Application Performance &amp; Reliability	
3. Production Support
4. Team Mentoring &amp; Collaboration	
5. Documentation &amp; Compliance</t>
        </is>
      </c>
      <c r="EF287"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87" s="5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EH287" s="53" t="n">
        <v>2</v>
      </c>
      <c r="EI287" s="54" t="n">
        <v>46204</v>
      </c>
      <c r="EJ287" s="53" t="inlineStr">
        <is>
          <t>Lead Software Engineer · review – mgr scope + tenure</t>
        </is>
      </c>
      <c r="EK287" s="53" t="inlineStr">
        <is>
          <t>Yes</t>
        </is>
      </c>
      <c r="EL287" s="53" t="n">
        <v>2</v>
      </c>
      <c r="EM287" s="53" t="inlineStr">
        <is>
          <t>Low</t>
        </is>
      </c>
      <c r="EN287" s="53" t="inlineStr">
        <is>
          <t>Performance Risk</t>
        </is>
      </c>
      <c r="EO287" s="53" t="n"/>
      <c r="EP287" s="53" t="n"/>
      <c r="EQ287" s="53" t="n"/>
      <c r="ER287" s="53" t="n"/>
      <c r="ES287" s="53" t="inlineStr">
        <is>
          <t>Advanced Java; secure coding &amp; code-quality practices; unit/automated testing; system design fundamentals | People management: goal-setting &amp; feedback, 1:1 coaching, performance conversations</t>
        </is>
      </c>
      <c r="ET287" s="53" t="inlineStr">
        <is>
          <t>Leadership development: strategic thinking, cross-functional influence, financial/business acumen, succession &amp; talent development, change management, executive communication</t>
        </is>
      </c>
      <c r="EU287" s="53" t="n"/>
      <c r="EV287" s="53" t="n"/>
      <c r="EW287" s="52" t="n"/>
      <c r="EX287" s="53" t="n"/>
      <c r="EY287" s="53" t="n"/>
      <c r="EZ287" s="53" t="n"/>
      <c r="FA287" s="53" t="n"/>
      <c r="FB287" s="53" t="n"/>
      <c r="FC287" s="53" t="inlineStr">
        <is>
          <t>Quarterly KRAs</t>
        </is>
      </c>
      <c r="FD287" s="53" t="n"/>
      <c r="FE287"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87"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FG287" s="56" t="inlineStr">
        <is>
          <t>1. Project Delivery &amp; Execution	
2. Application Performance &amp; Reliability	
3. Production Support
4. Team Mentoring &amp; Collaboration	
5. Documentation &amp; Compliance</t>
        </is>
      </c>
      <c r="FH287" s="56" t="inlineStr">
        <is>
          <t>2</t>
        </is>
      </c>
      <c r="FI287" s="56" t="n"/>
      <c r="FJ287" s="56" t="inlineStr">
        <is>
          <t>Received · manager annual, quarterly, self</t>
        </is>
      </c>
      <c r="FK287" s="56" t="inlineStr">
        <is>
          <t>Talent Mapping · iFile collated</t>
        </is>
      </c>
      <c r="FL287" s="56" t="n">
        <v>17</v>
      </c>
      <c r="FM287" s="32" t="inlineStr">
        <is>
          <t>Full survey answers not in the files received · How We Grow export needed · HR</t>
        </is>
      </c>
      <c r="FN287" s="56" t="inlineStr">
        <is>
          <t>—</t>
        </is>
      </c>
      <c r="FO287" s="56" t="inlineStr">
        <is>
          <t>—</t>
        </is>
      </c>
      <c r="FP287" s="56" t="inlineStr">
        <is>
          <t>—</t>
        </is>
      </c>
      <c r="FQ287" s="56" t="inlineStr">
        <is>
          <t>—</t>
        </is>
      </c>
      <c r="FR287" s="56"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answers · summarised by the rater; not quoted → moved up 0.5
Leadership: Evidence reads like B1: Calls self team lead with team management and code reviews; 0 reports in HR data → moved up 0.5
Business Impact: No survey or manager-mapping signal on criticality: kept at the start point.</t>
        </is>
      </c>
      <c r="FS287"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87" s="56" t="inlineStr">
        <is>
          <t>Self-identified: AI / automation · Leadership &amp; people management · Technical depth &amp; architecture · Client, sales &amp; stakeholders · Strategy &amp; business acumen
For the next role: AI / automation · Leadership &amp; people management · Technical depth &amp; architecture · Client, sales &amp; stakeholders · Strategy &amp; business acumen</t>
        </is>
      </c>
      <c r="FU287" s="32" t="inlineStr">
        <is>
          <t>Full survey answers not in the files received · How We Grow export needed · HR</t>
        </is>
      </c>
    </row>
    <row r="288" ht="90" customHeight="1">
      <c r="A288" s="51" t="inlineStr">
        <is>
          <t>◂ Back</t>
        </is>
      </c>
      <c r="B288" s="29" t="inlineStr">
        <is>
          <t>Mapped</t>
        </is>
      </c>
      <c r="C288" s="28" t="inlineStr">
        <is>
          <t>iFile</t>
        </is>
      </c>
      <c r="D288" s="29" t="inlineStr">
        <is>
          <t>IRIS1667</t>
        </is>
      </c>
      <c r="E288" s="29" t="inlineStr">
        <is>
          <t>Arun Kumar</t>
        </is>
      </c>
      <c r="F288" s="29" t="inlineStr">
        <is>
          <t>Technology</t>
        </is>
      </c>
      <c r="G288" s="29" t="inlineStr">
        <is>
          <t>Senior Software Engineer</t>
        </is>
      </c>
      <c r="H288" s="29" t="inlineStr">
        <is>
          <t>Technical Specialist</t>
        </is>
      </c>
      <c r="I288" s="29" t="inlineStr">
        <is>
          <t>L4 – Senior</t>
        </is>
      </c>
      <c r="J288" s="29" t="inlineStr">
        <is>
          <t>A3</t>
        </is>
      </c>
      <c r="K288" s="29" t="inlineStr">
        <is>
          <t>▲ Up</t>
        </is>
      </c>
      <c r="L288" s="29" t="inlineStr">
        <is>
          <t>Engineering &amp; Development</t>
        </is>
      </c>
      <c r="M288" s="29" t="inlineStr">
        <is>
          <t>Backend Development</t>
        </is>
      </c>
      <c r="N288" s="29" t="inlineStr">
        <is>
          <t>• Confirm the reporting line — Manager</t>
        </is>
      </c>
      <c r="O288" s="29" t="n">
        <v>20</v>
      </c>
      <c r="P288" s="28" t="inlineStr">
        <is>
          <t>P2</t>
        </is>
      </c>
      <c r="Q288" s="29" t="inlineStr">
        <is>
          <t>Developing</t>
        </is>
      </c>
      <c r="R288" s="29" t="inlineStr">
        <is>
          <t>3 Apply</t>
        </is>
      </c>
      <c r="S288" s="29" t="inlineStr">
        <is>
          <t>2–4 yrs</t>
        </is>
      </c>
      <c r="T288" s="29" t="inlineStr">
        <is>
          <t>3–5 · 2–5</t>
        </is>
      </c>
      <c r="U288" s="29" t="inlineStr">
        <is>
          <t>Senior Software Engineer</t>
        </is>
      </c>
      <c r="V288" s="29" t="inlineStr">
        <is>
          <t>Workiva: SE · Broadridge India: SE · Nasdaq / AxiomSL: SE · Salesforce: MTS · Atlassian: P40 · 3–7 yrs · Freshworks: Senior SE</t>
        </is>
      </c>
      <c r="W288" s="29" t="inlineStr">
        <is>
          <t>SFIA 9 · software development, programming; OWASP secure coding; cloud vendor certifications</t>
        </is>
      </c>
      <c r="X288" s="29" t="inlineStr">
        <is>
          <t>Core 2 · Future 2 · Functional 3 · Leadership not scored</t>
        </is>
      </c>
      <c r="Y288" s="52" t="n">
        <v>138</v>
      </c>
      <c r="Z288" s="53" t="inlineStr">
        <is>
          <t>IRIS1667</t>
        </is>
      </c>
      <c r="AA288" s="53" t="inlineStr">
        <is>
          <t>Employee</t>
        </is>
      </c>
      <c r="AB288" s="53" t="inlineStr">
        <is>
          <t>Active</t>
        </is>
      </c>
      <c r="AC288" s="53" t="inlineStr">
        <is>
          <t>Arun Kumar</t>
        </is>
      </c>
      <c r="AD288" s="54" t="n">
        <v>43011</v>
      </c>
      <c r="AE288" s="53" t="inlineStr">
        <is>
          <t>Senior Software Engineer</t>
        </is>
      </c>
      <c r="AF288" s="53" t="inlineStr">
        <is>
          <t>MCA</t>
        </is>
      </c>
      <c r="AG288" s="53" t="inlineStr">
        <is>
          <t>Brij Kishor Singh</t>
        </is>
      </c>
      <c r="AH288" s="53" t="inlineStr">
        <is>
          <t>N-4</t>
        </is>
      </c>
      <c r="AI288" s="53" t="inlineStr">
        <is>
          <t>Individual Contributor</t>
        </is>
      </c>
      <c r="AJ288" s="53" t="inlineStr">
        <is>
          <t>3 years, 3 months, 0 days</t>
        </is>
      </c>
      <c r="AK288" s="53" t="inlineStr">
        <is>
          <t>8 years, 10 months, 22 days</t>
        </is>
      </c>
      <c r="AL288" s="53" t="inlineStr">
        <is>
          <t>Suptech</t>
        </is>
      </c>
      <c r="AM288" s="53" t="inlineStr">
        <is>
          <t>iFile</t>
        </is>
      </c>
      <c r="AN288" s="53" t="inlineStr">
        <is>
          <t>Technology</t>
        </is>
      </c>
      <c r="AO288" s="53" t="inlineStr">
        <is>
          <t>Development</t>
        </is>
      </c>
      <c r="AP288" s="53" t="inlineStr">
        <is>
          <t>Yes</t>
        </is>
      </c>
      <c r="AQ288" s="53" t="inlineStr">
        <is>
          <t>Product/Project</t>
        </is>
      </c>
      <c r="AR288" s="53" t="inlineStr">
        <is>
          <t>Java</t>
        </is>
      </c>
      <c r="AS288" s="53" t="inlineStr">
        <is>
          <t>Technical - Developer</t>
        </is>
      </c>
      <c r="AT288" s="53" t="n">
        <v>20</v>
      </c>
      <c r="AU288" s="53" t="inlineStr">
        <is>
          <t>Covered</t>
        </is>
      </c>
      <c r="AV288" s="53" t="n"/>
      <c r="AW288" s="53" t="n"/>
      <c r="AX288" s="53" t="n"/>
      <c r="AY288" s="53" t="n"/>
      <c r="AZ288" s="53" t="n"/>
      <c r="BA288" s="53" t="n"/>
      <c r="BB288" s="53" t="n"/>
      <c r="BC288" s="53" t="n"/>
      <c r="BD288" s="53" t="n"/>
      <c r="BE288" s="53" t="n"/>
      <c r="BF288" s="53" t="n"/>
      <c r="BG288" s="53" t="n"/>
      <c r="BH288" s="53" t="n"/>
      <c r="BI288" s="53" t="n"/>
      <c r="BJ288" s="53" t="n"/>
      <c r="BK288" s="53" t="n"/>
      <c r="BL288" s="53" t="n"/>
      <c r="BM288" s="53" t="n"/>
      <c r="BN288" s="53" t="n"/>
      <c r="BO288" s="53" t="n"/>
      <c r="BP288" s="53" t="n"/>
      <c r="BQ288" s="53" t="n"/>
      <c r="BR288" s="53" t="n"/>
      <c r="BS288" s="53" t="n"/>
      <c r="BT288" s="53" t="n"/>
      <c r="BU288" s="53" t="n"/>
      <c r="BV288" s="53" t="n"/>
      <c r="BW288" s="53" t="n"/>
      <c r="BX288" s="53" t="n"/>
      <c r="BY288" s="53" t="n"/>
      <c r="BZ288" s="53" t="n"/>
      <c r="CA288" s="53" t="n"/>
      <c r="CB288" s="53" t="n"/>
      <c r="CC288" s="53" t="n"/>
      <c r="CD288" s="53" t="n"/>
      <c r="CE288" s="53" t="n"/>
      <c r="CF288" s="53" t="n"/>
      <c r="CG288" s="53" t="n"/>
      <c r="CH288" s="53" t="n"/>
      <c r="CI288" s="53" t="n"/>
      <c r="CJ288" s="53" t="n"/>
      <c r="CK288" s="53" t="n"/>
      <c r="CL288" s="53" t="n"/>
      <c r="CM288" s="53" t="n"/>
      <c r="CN288" s="53" t="n"/>
      <c r="CO288" s="53" t="n"/>
      <c r="CP288" s="53" t="n"/>
      <c r="CQ288" s="53" t="n"/>
      <c r="CR288" s="53" t="n"/>
      <c r="CS288" s="53" t="n"/>
      <c r="CT288" s="53" t="n"/>
      <c r="CU288" s="53" t="n"/>
      <c r="CV288" s="53" t="n"/>
      <c r="CW288" s="53" t="n"/>
      <c r="CX288" s="53" t="n"/>
      <c r="CY288" s="53" t="n"/>
      <c r="CZ288" s="53" t="n"/>
      <c r="DA288" s="53" t="n"/>
      <c r="DB288" s="53" t="n"/>
      <c r="DC288" s="53" t="n"/>
      <c r="DD288" s="53" t="inlineStr">
        <is>
          <t>IRIS1667</t>
        </is>
      </c>
      <c r="DE288" s="53" t="inlineStr">
        <is>
          <t>Employee</t>
        </is>
      </c>
      <c r="DF288" s="53" t="inlineStr">
        <is>
          <t>Active</t>
        </is>
      </c>
      <c r="DG288" s="53" t="inlineStr">
        <is>
          <t>Arun Kumar</t>
        </is>
      </c>
      <c r="DH288" s="54" t="n">
        <v>43011</v>
      </c>
      <c r="DI288" s="53" t="inlineStr">
        <is>
          <t>Senior Software Engineer</t>
        </is>
      </c>
      <c r="DJ288" s="53" t="inlineStr">
        <is>
          <t>Engineering &amp; Development</t>
        </is>
      </c>
      <c r="DK288" s="53" t="inlineStr">
        <is>
          <t>Backend Engineering · Java</t>
        </is>
      </c>
      <c r="DL288" s="53" t="inlineStr">
        <is>
          <t>Senior Software Engineer</t>
        </is>
      </c>
      <c r="DM288" s="53" t="inlineStr">
        <is>
          <t>L4 – Senior</t>
        </is>
      </c>
      <c r="DN288" s="53" t="inlineStr">
        <is>
          <t>MCA</t>
        </is>
      </c>
      <c r="DO288" s="53" t="inlineStr">
        <is>
          <t>Nikhil Nalawade</t>
        </is>
      </c>
      <c r="DP288" s="53" t="inlineStr">
        <is>
          <t>N-3</t>
        </is>
      </c>
      <c r="DQ288" s="53" t="inlineStr">
        <is>
          <t>Individual Contributor</t>
        </is>
      </c>
      <c r="DR288" s="53" t="inlineStr">
        <is>
          <t>3 years, 3 months, 0 days</t>
        </is>
      </c>
      <c r="DS288" s="53" t="inlineStr">
        <is>
          <t>8 years, 8 months, 17 days</t>
        </is>
      </c>
      <c r="DT288" s="53" t="inlineStr">
        <is>
          <t>11 years, 11 months, 17 days</t>
        </is>
      </c>
      <c r="DU288" s="53" t="n"/>
      <c r="DV288" s="53" t="inlineStr">
        <is>
          <t>Suptech</t>
        </is>
      </c>
      <c r="DW288" s="53" t="inlineStr">
        <is>
          <t>iFile</t>
        </is>
      </c>
      <c r="DX288" s="53" t="inlineStr">
        <is>
          <t>Technology</t>
        </is>
      </c>
      <c r="DY288" s="53" t="inlineStr">
        <is>
          <t>Development</t>
        </is>
      </c>
      <c r="DZ288" s="53" t="inlineStr">
        <is>
          <t>Yes</t>
        </is>
      </c>
      <c r="EA288" s="53" t="inlineStr">
        <is>
          <t>Product/Project</t>
        </is>
      </c>
      <c r="EB288" s="53" t="inlineStr">
        <is>
          <t>Java</t>
        </is>
      </c>
      <c r="EC288" s="53" t="inlineStr">
        <is>
          <t>Technical - Developer</t>
        </is>
      </c>
      <c r="ED288" s="53" t="inlineStr">
        <is>
          <t>Remote- Outside Mumbai</t>
        </is>
      </c>
      <c r="EE288" s="5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F28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8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88" s="53" t="n">
        <v>4</v>
      </c>
      <c r="EI288" s="53" t="inlineStr">
        <is>
          <t>Pending</t>
        </is>
      </c>
      <c r="EJ288" s="53" t="inlineStr">
        <is>
          <t>Senior Software Engineer</t>
        </is>
      </c>
      <c r="EK288" s="53" t="inlineStr">
        <is>
          <t>No</t>
        </is>
      </c>
      <c r="EL288" s="53" t="n">
        <v>4</v>
      </c>
      <c r="EM288" s="53" t="n"/>
      <c r="EN288" s="53" t="inlineStr">
        <is>
          <t>Trusted Professional</t>
        </is>
      </c>
      <c r="EO288" s="53" t="inlineStr">
        <is>
          <t>No</t>
        </is>
      </c>
      <c r="EP288" s="53" t="inlineStr">
        <is>
          <t>No</t>
        </is>
      </c>
      <c r="EQ288" s="53" t="inlineStr">
        <is>
          <t>Yes</t>
        </is>
      </c>
      <c r="ER288" s="53" t="n"/>
      <c r="ES288" s="53"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T288" s="53" t="n"/>
      <c r="EU288" s="53" t="inlineStr">
        <is>
          <t>Need to improve communication</t>
        </is>
      </c>
      <c r="EV288" s="53" t="n"/>
      <c r="EW288" s="52" t="n"/>
      <c r="EX288" s="53" t="n"/>
      <c r="EY288" s="53" t="n"/>
      <c r="EZ288" s="53" t="n"/>
      <c r="FA288" s="53" t="n"/>
      <c r="FB288" s="53" t="n"/>
      <c r="FC288" s="53" t="n"/>
      <c r="FD288" s="53" t="n"/>
      <c r="FE28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8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88" s="56"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FH288" s="56" t="inlineStr">
        <is>
          <t>4</t>
        </is>
      </c>
      <c r="FI288" s="56" t="n"/>
      <c r="FJ288" s="56" t="inlineStr">
        <is>
          <t>Received · manager annual, quarterly, self</t>
        </is>
      </c>
      <c r="FK288" s="56" t="inlineStr">
        <is>
          <t>Talent Mapping · iFile collated</t>
        </is>
      </c>
      <c r="FL288" s="56" t="n">
        <v>20</v>
      </c>
      <c r="FM288" s="32" t="inlineStr">
        <is>
          <t>Full survey answers not in the files received · How We Grow export needed · HR</t>
        </is>
      </c>
      <c r="FN288" s="56" t="inlineStr">
        <is>
          <t>—</t>
        </is>
      </c>
      <c r="FO288" s="56" t="inlineStr">
        <is>
          <t>—</t>
        </is>
      </c>
      <c r="FP288" s="56" t="inlineStr">
        <is>
          <t>—</t>
        </is>
      </c>
      <c r="FQ288" s="56" t="inlineStr">
        <is>
          <t>—</t>
        </is>
      </c>
      <c r="FR288" s="56" t="inlineStr">
        <is>
          <t>Business Impact: Moved +0.5: the survey / manager mapping marks it business-critical.</t>
        </is>
      </c>
      <c r="FS28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8" s="56" t="inlineStr">
        <is>
          <t>Self-identified: Technical depth &amp; architecture
For the next role: Technical depth &amp; architecture</t>
        </is>
      </c>
      <c r="FU288" s="32" t="inlineStr">
        <is>
          <t>Full survey answers not in the files received · How We Grow export needed · HR</t>
        </is>
      </c>
    </row>
    <row r="289" ht="90" customHeight="1">
      <c r="A289" s="51" t="inlineStr">
        <is>
          <t>◂ Back</t>
        </is>
      </c>
      <c r="B289" s="29" t="inlineStr">
        <is>
          <t>Mapped</t>
        </is>
      </c>
      <c r="C289" s="28" t="inlineStr">
        <is>
          <t>iFile</t>
        </is>
      </c>
      <c r="D289" s="29" t="inlineStr">
        <is>
          <t>IRIS0217</t>
        </is>
      </c>
      <c r="E289" s="29" t="inlineStr">
        <is>
          <t>Hemant Trivedi</t>
        </is>
      </c>
      <c r="F289" s="29" t="inlineStr">
        <is>
          <t>Technology</t>
        </is>
      </c>
      <c r="G289" s="29" t="inlineStr">
        <is>
          <t>Technical Architect</t>
        </is>
      </c>
      <c r="H289" s="29" t="inlineStr">
        <is>
          <t>Practice Lead – Solution &amp; Technical Architecture · Player-Coach</t>
        </is>
      </c>
      <c r="I289" s="29" t="inlineStr">
        <is>
          <t>L3 – Professional / Associate</t>
        </is>
      </c>
      <c r="J289" s="29" t="inlineStr">
        <is>
          <t>B+</t>
        </is>
      </c>
      <c r="K289" s="29" t="inlineStr">
        <is>
          <t>▲ Up</t>
        </is>
      </c>
      <c r="L289" s="29" t="inlineStr">
        <is>
          <t>Engineering &amp; Architecture</t>
        </is>
      </c>
      <c r="M289" s="29" t="inlineStr">
        <is>
          <t>Solution &amp; Technical Architecture</t>
        </is>
      </c>
      <c r="N289" s="29" t="n"/>
      <c r="O289" s="29" t="n">
        <v>20</v>
      </c>
      <c r="P289" s="28" t="inlineStr">
        <is>
          <t>P5–P6 / M4–M5</t>
        </is>
      </c>
      <c r="Q289" s="29" t="inlineStr">
        <is>
          <t>Expert / Senior Manager · player-coach</t>
        </is>
      </c>
      <c r="R289" s="29" t="inlineStr">
        <is>
          <t>5 Ensure, advise</t>
        </is>
      </c>
      <c r="S289" s="29" t="inlineStr">
        <is>
          <t>9–14 yrs</t>
        </is>
      </c>
      <c r="T289" s="29" t="inlineStr">
        <is>
          <t>9–13 · 9–14</t>
        </is>
      </c>
      <c r="U289" s="29" t="inlineStr">
        <is>
          <t>Tech Lead Manager / Practice Lead · player-coach</t>
        </is>
      </c>
      <c r="V289" s="29" t="inlineStr">
        <is>
          <t>Google: Tech Lead Manager · TLM · McKinsey player/coach · 3–5 reports · SaaS: player-coach team lead carrying own work</t>
        </is>
      </c>
      <c r="W289" s="29" t="inlineStr">
        <is>
          <t>SFIA 9 · solution architecture; TOGAF; AWS / Azure architect certifications</t>
        </is>
      </c>
      <c r="X289" s="29" t="inlineStr">
        <is>
          <t>Core 4 · Future 4 · Functional 4 · Leadership 4</t>
        </is>
      </c>
      <c r="Y289" s="52" t="n">
        <v>39</v>
      </c>
      <c r="Z289" s="53" t="inlineStr">
        <is>
          <t>IRIS0217</t>
        </is>
      </c>
      <c r="AA289" s="53" t="inlineStr">
        <is>
          <t>Employee</t>
        </is>
      </c>
      <c r="AB289" s="53" t="inlineStr">
        <is>
          <t>Active</t>
        </is>
      </c>
      <c r="AC289" s="53" t="inlineStr">
        <is>
          <t>Hemant Trivedi</t>
        </is>
      </c>
      <c r="AD289" s="54" t="n">
        <v>39667</v>
      </c>
      <c r="AE289" s="53" t="inlineStr">
        <is>
          <t>Technical Architect</t>
        </is>
      </c>
      <c r="AF289" s="53" t="inlineStr">
        <is>
          <t>B.E</t>
        </is>
      </c>
      <c r="AG289" s="53" t="inlineStr">
        <is>
          <t>Pradip Dey</t>
        </is>
      </c>
      <c r="AH289" s="53" t="inlineStr">
        <is>
          <t>N-3</t>
        </is>
      </c>
      <c r="AI289" s="53" t="inlineStr">
        <is>
          <t>Manager</t>
        </is>
      </c>
      <c r="AJ289" s="53" t="inlineStr">
        <is>
          <t>1 years, 0 months, 0 days</t>
        </is>
      </c>
      <c r="AK289" s="53" t="inlineStr">
        <is>
          <t>18 years, 0 months, 18 days</t>
        </is>
      </c>
      <c r="AL289" s="53" t="inlineStr">
        <is>
          <t>Suptech</t>
        </is>
      </c>
      <c r="AM289" s="53" t="inlineStr">
        <is>
          <t>iFile</t>
        </is>
      </c>
      <c r="AN289" s="53" t="inlineStr">
        <is>
          <t>Technology</t>
        </is>
      </c>
      <c r="AO289" s="53" t="inlineStr">
        <is>
          <t>Development</t>
        </is>
      </c>
      <c r="AP289" s="53" t="inlineStr">
        <is>
          <t>Yes</t>
        </is>
      </c>
      <c r="AQ289" s="53" t="inlineStr">
        <is>
          <t>Product/Project</t>
        </is>
      </c>
      <c r="AR289" s="53" t="inlineStr">
        <is>
          <t>.NET MVC</t>
        </is>
      </c>
      <c r="AS289" s="53" t="inlineStr">
        <is>
          <t>Technical - Developer</t>
        </is>
      </c>
      <c r="AT289" s="53" t="n">
        <v>20</v>
      </c>
      <c r="AU289" s="53" t="inlineStr">
        <is>
          <t>Covered</t>
        </is>
      </c>
      <c r="AV289" s="53" t="n"/>
      <c r="AW289" s="53" t="n"/>
      <c r="AX289" s="53" t="n"/>
      <c r="AY289" s="53" t="n"/>
      <c r="AZ289" s="53" t="n"/>
      <c r="BA289" s="53" t="n"/>
      <c r="BB289" s="53" t="n"/>
      <c r="BC289" s="53" t="n"/>
      <c r="BD289" s="53" t="n"/>
      <c r="BE289" s="53" t="n"/>
      <c r="BF289" s="53" t="n"/>
      <c r="BG289" s="53" t="n"/>
      <c r="BH289" s="53" t="n"/>
      <c r="BI289" s="53" t="n"/>
      <c r="BJ289" s="53" t="n"/>
      <c r="BK289" s="53" t="n"/>
      <c r="BL289" s="53" t="n"/>
      <c r="BM289" s="53" t="n"/>
      <c r="BN289" s="53" t="n"/>
      <c r="BO289" s="53" t="n"/>
      <c r="BP289" s="53" t="n"/>
      <c r="BQ289" s="53" t="n"/>
      <c r="BR289" s="53" t="n"/>
      <c r="BS289" s="53" t="n"/>
      <c r="BT289" s="53" t="n"/>
      <c r="BU289" s="53" t="n"/>
      <c r="BV289" s="53" t="n"/>
      <c r="BW289" s="53" t="n"/>
      <c r="BX289" s="53" t="n"/>
      <c r="BY289" s="53" t="n"/>
      <c r="BZ289" s="53" t="n"/>
      <c r="CA289" s="53" t="n"/>
      <c r="CB289" s="53" t="n"/>
      <c r="CC289" s="53" t="n"/>
      <c r="CD289" s="53" t="n"/>
      <c r="CE289" s="53" t="n"/>
      <c r="CF289" s="53" t="n"/>
      <c r="CG289" s="53" t="n"/>
      <c r="CH289" s="53" t="n"/>
      <c r="CI289" s="53" t="n"/>
      <c r="CJ289" s="53" t="n"/>
      <c r="CK289" s="53" t="n"/>
      <c r="CL289" s="53" t="n"/>
      <c r="CM289" s="53" t="n"/>
      <c r="CN289" s="53" t="n"/>
      <c r="CO289" s="53" t="n"/>
      <c r="CP289" s="53" t="n"/>
      <c r="CQ289" s="53" t="n"/>
      <c r="CR289" s="53" t="n"/>
      <c r="CS289" s="53" t="n"/>
      <c r="CT289" s="53" t="n"/>
      <c r="CU289" s="53" t="n"/>
      <c r="CV289" s="53" t="n"/>
      <c r="CW289" s="53" t="n"/>
      <c r="CX289" s="53" t="n"/>
      <c r="CY289" s="53" t="n"/>
      <c r="CZ289" s="53" t="n"/>
      <c r="DA289" s="53" t="n"/>
      <c r="DB289" s="53" t="n"/>
      <c r="DC289" s="53" t="n"/>
      <c r="DD289" s="53" t="inlineStr">
        <is>
          <t>IRIS0217</t>
        </is>
      </c>
      <c r="DE289" s="53" t="inlineStr">
        <is>
          <t>Employee</t>
        </is>
      </c>
      <c r="DF289" s="53" t="inlineStr">
        <is>
          <t>Active</t>
        </is>
      </c>
      <c r="DG289" s="53" t="inlineStr">
        <is>
          <t>Hemant Trivedi</t>
        </is>
      </c>
      <c r="DH289" s="54" t="n">
        <v>39667</v>
      </c>
      <c r="DI289" s="53" t="inlineStr">
        <is>
          <t>Technical Architect</t>
        </is>
      </c>
      <c r="DJ289" s="53" t="inlineStr">
        <is>
          <t>Engineering &amp; Architecture</t>
        </is>
      </c>
      <c r="DK289" s="53" t="inlineStr">
        <is>
          <t>Solution / Software Architecture</t>
        </is>
      </c>
      <c r="DL289" s="53" t="inlineStr">
        <is>
          <t>Technical Architect</t>
        </is>
      </c>
      <c r="DM289" s="53" t="inlineStr">
        <is>
          <t>L3 – Professional / Associate</t>
        </is>
      </c>
      <c r="DN289" s="53" t="inlineStr">
        <is>
          <t>B.E</t>
        </is>
      </c>
      <c r="DO289" s="53" t="inlineStr">
        <is>
          <t>Pradip Dey</t>
        </is>
      </c>
      <c r="DP289" s="53" t="inlineStr">
        <is>
          <t>N-2</t>
        </is>
      </c>
      <c r="DQ289" s="53" t="inlineStr">
        <is>
          <t>Manager</t>
        </is>
      </c>
      <c r="DR289" s="53" t="inlineStr">
        <is>
          <t>1 years, 0 months, 0 days</t>
        </is>
      </c>
      <c r="DS289" s="53" t="inlineStr">
        <is>
          <t>17 years, 10 months, 13 days</t>
        </is>
      </c>
      <c r="DT289" s="53" t="inlineStr">
        <is>
          <t>18 years, 10 months, 13 days</t>
        </is>
      </c>
      <c r="DU289" s="53" t="n">
        <v>17.8689497716895</v>
      </c>
      <c r="DV289" s="53" t="inlineStr">
        <is>
          <t>Suptech</t>
        </is>
      </c>
      <c r="DW289" s="53" t="inlineStr">
        <is>
          <t>iFile</t>
        </is>
      </c>
      <c r="DX289" s="53" t="inlineStr">
        <is>
          <t>Technology</t>
        </is>
      </c>
      <c r="DY289" s="53" t="inlineStr">
        <is>
          <t>Development</t>
        </is>
      </c>
      <c r="DZ289" s="53" t="inlineStr">
        <is>
          <t>Yes</t>
        </is>
      </c>
      <c r="EA289" s="53" t="inlineStr">
        <is>
          <t>Product/Project</t>
        </is>
      </c>
      <c r="EB289" s="53" t="inlineStr">
        <is>
          <t>.NET MVC</t>
        </is>
      </c>
      <c r="EC289" s="53" t="inlineStr">
        <is>
          <t>Technical - Developer</t>
        </is>
      </c>
      <c r="ED289" s="53" t="inlineStr">
        <is>
          <t>Work From Office - Turbhe</t>
        </is>
      </c>
      <c r="EE289" s="53" t="n"/>
      <c r="EF289" s="53"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EG289" s="53" t="inlineStr">
        <is>
          <t>QFCRA project completion
NOAH Roadmap completion</t>
        </is>
      </c>
      <c r="EH289" s="53" t="inlineStr">
        <is>
          <t>Meets Expectations</t>
        </is>
      </c>
      <c r="EI289" s="54" t="n">
        <v>45931</v>
      </c>
      <c r="EJ289" s="53" t="inlineStr">
        <is>
          <t>Technical Architect</t>
        </is>
      </c>
      <c r="EK289" s="53" t="n"/>
      <c r="EL289" s="53" t="n">
        <v>4</v>
      </c>
      <c r="EM289" s="53" t="inlineStr">
        <is>
          <t>High</t>
        </is>
      </c>
      <c r="EN289" s="53" t="inlineStr">
        <is>
          <t>Trusted Professional</t>
        </is>
      </c>
      <c r="EO289" s="53" t="n"/>
      <c r="EP289" s="53" t="inlineStr">
        <is>
          <t>Y</t>
        </is>
      </c>
      <c r="EQ289" s="53" t="inlineStr">
        <is>
          <t>Y</t>
        </is>
      </c>
      <c r="ER289" s="53" t="n"/>
      <c r="ES289" s="53" t="inlineStr">
        <is>
          <t>Communications and Soft Skills</t>
        </is>
      </c>
      <c r="ET289" s="53" t="n"/>
      <c r="EU289" s="53" t="inlineStr">
        <is>
          <t>Leadership development: strategic thinking, cross-functional influence, financial/business acumen, succession &amp; talent development, change management, executive communication</t>
        </is>
      </c>
      <c r="EV289" s="53" t="n"/>
      <c r="EW289" s="52" t="n"/>
      <c r="EX289" s="53" t="n"/>
      <c r="EY289" s="53" t="n"/>
      <c r="EZ289" s="53" t="n"/>
      <c r="FA289" s="53" t="n"/>
      <c r="FB289" s="53" t="n"/>
      <c r="FC289" s="53" t="n"/>
      <c r="FD289" s="53" t="n"/>
      <c r="FE289" s="57"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FF289" s="56" t="inlineStr">
        <is>
          <t>QFCRA project completion
NOAH Roadmap completion</t>
        </is>
      </c>
      <c r="FG289" s="56" t="n"/>
      <c r="FH289" s="56" t="inlineStr">
        <is>
          <t>Meets Expectations</t>
        </is>
      </c>
      <c r="FI289" s="56" t="n"/>
      <c r="FJ289" s="56" t="inlineStr">
        <is>
          <t>Received · manager annual, quarterly</t>
        </is>
      </c>
      <c r="FK289" s="56" t="inlineStr">
        <is>
          <t>Talent Mapping · iFile collated</t>
        </is>
      </c>
      <c r="FL289" s="56" t="n">
        <v>20</v>
      </c>
      <c r="FM289" s="32" t="inlineStr">
        <is>
          <t>Full survey answers not in the files received · How We Grow export needed · HR</t>
        </is>
      </c>
      <c r="FN289" s="56" t="inlineStr">
        <is>
          <t>—</t>
        </is>
      </c>
      <c r="FO289" s="56" t="inlineStr">
        <is>
          <t>—</t>
        </is>
      </c>
      <c r="FP289" s="56" t="inlineStr">
        <is>
          <t>—</t>
        </is>
      </c>
      <c r="FQ289" s="56" t="inlineStr">
        <is>
          <t>—</t>
        </is>
      </c>
      <c r="FR289" s="56"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product/project releases via CI/CD; KRA names him SPOC for QSE account → moved down 0.5
Leadership: Evidence reads like B1: KT to the team; 3 direct reports; KRA expects coaching and mentoring of the team → moved down 0.5
Business Impact: Moved +1: the survey / manager mapping marks it business-critical and it does work no one else does.</t>
        </is>
      </c>
      <c r="FS289"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289" s="56" t="inlineStr">
        <is>
          <t>Self-identified: Certification / formal course · Broader exposure &amp; ownership
For the next role: Certification / formal course · Broader exposure &amp; ownership</t>
        </is>
      </c>
      <c r="FU289" s="32" t="inlineStr">
        <is>
          <t>Full survey answers not in the files received · How We Grow export needed · HR</t>
        </is>
      </c>
    </row>
    <row r="290" ht="90" customHeight="1">
      <c r="A290" s="51" t="inlineStr">
        <is>
          <t>◂ Back</t>
        </is>
      </c>
      <c r="B290" s="29" t="inlineStr">
        <is>
          <t>Mapped</t>
        </is>
      </c>
      <c r="C290" s="28" t="inlineStr">
        <is>
          <t>iFile</t>
        </is>
      </c>
      <c r="D290" s="29" t="inlineStr">
        <is>
          <t>IRIS1150</t>
        </is>
      </c>
      <c r="E290" s="29" t="inlineStr">
        <is>
          <t>Pragati Raskar</t>
        </is>
      </c>
      <c r="F290" s="29" t="inlineStr">
        <is>
          <t>Technology</t>
        </is>
      </c>
      <c r="G290" s="29" t="inlineStr">
        <is>
          <t>Senior Software Engineer</t>
        </is>
      </c>
      <c r="H290" s="29" t="inlineStr">
        <is>
          <t>Technical Specialist – POD Lead</t>
        </is>
      </c>
      <c r="I290" s="29" t="inlineStr">
        <is>
          <t>L4 – Senior</t>
        </is>
      </c>
      <c r="J290" s="29" t="inlineStr">
        <is>
          <t>B1</t>
        </is>
      </c>
      <c r="K290" s="29" t="inlineStr">
        <is>
          <t>▲ Up</t>
        </is>
      </c>
      <c r="L290" s="29" t="inlineStr">
        <is>
          <t>Engineering &amp; Development</t>
        </is>
      </c>
      <c r="M290" s="29" t="inlineStr">
        <is>
          <t>Backend Development</t>
        </is>
      </c>
      <c r="N290" s="29" t="n"/>
      <c r="O290" s="29" t="n">
        <v>20</v>
      </c>
      <c r="P290" s="28" t="inlineStr">
        <is>
          <t>P3 / M2</t>
        </is>
      </c>
      <c r="Q290" s="29" t="inlineStr">
        <is>
          <t>Career / · Team Lead</t>
        </is>
      </c>
      <c r="R290" s="29" t="inlineStr">
        <is>
          <t>4 Enable</t>
        </is>
      </c>
      <c r="S290" s="29" t="inlineStr">
        <is>
          <t>4–7 yrs</t>
        </is>
      </c>
      <c r="T290" s="29" t="inlineStr">
        <is>
          <t>5–8 · 4–8</t>
        </is>
      </c>
      <c r="U290" s="29" t="inlineStr">
        <is>
          <t>Senior Software Engineer</t>
        </is>
      </c>
      <c r="V290" s="29" t="inlineStr">
        <is>
          <t>Workiva: SE / Senior SE · Broadridge India: Senior SE · Nasdaq / AxiomSL: Senior SE · Salesforce: MTS · Atlassian: P40 · Freshworks: Senior SE</t>
        </is>
      </c>
      <c r="W290" s="29" t="inlineStr">
        <is>
          <t>SFIA 9 · software development, programming; OWASP secure coding; cloud vendor certifications</t>
        </is>
      </c>
      <c r="X290" s="29" t="inlineStr">
        <is>
          <t>Core 3 · Future 3 · Functional 3 · Leadership 2</t>
        </is>
      </c>
      <c r="Y290" s="52" t="n">
        <v>109</v>
      </c>
      <c r="Z290" s="53" t="inlineStr">
        <is>
          <t>IRIS1150</t>
        </is>
      </c>
      <c r="AA290" s="53" t="inlineStr">
        <is>
          <t>Employee</t>
        </is>
      </c>
      <c r="AB290" s="53" t="inlineStr">
        <is>
          <t>Active</t>
        </is>
      </c>
      <c r="AC290" s="53" t="inlineStr">
        <is>
          <t>Pragati Raskar</t>
        </is>
      </c>
      <c r="AD290" s="54" t="n">
        <v>41071</v>
      </c>
      <c r="AE290" s="53" t="inlineStr">
        <is>
          <t>Senior Software Engineer</t>
        </is>
      </c>
      <c r="AF290" s="53" t="inlineStr">
        <is>
          <t>B.E</t>
        </is>
      </c>
      <c r="AG290" s="53" t="inlineStr">
        <is>
          <t>Hemant Trivedi</t>
        </is>
      </c>
      <c r="AH290" s="53" t="inlineStr">
        <is>
          <t>N-4</t>
        </is>
      </c>
      <c r="AI290" s="53" t="inlineStr">
        <is>
          <t>Manager</t>
        </is>
      </c>
      <c r="AJ290" s="53" t="inlineStr">
        <is>
          <t>2 years, 0 months, 0 days</t>
        </is>
      </c>
      <c r="AK290" s="53" t="inlineStr">
        <is>
          <t>14 years, 2 months, 14 days</t>
        </is>
      </c>
      <c r="AL290" s="53" t="inlineStr">
        <is>
          <t>Suptech</t>
        </is>
      </c>
      <c r="AM290" s="53" t="inlineStr">
        <is>
          <t>iFile</t>
        </is>
      </c>
      <c r="AN290" s="53" t="inlineStr">
        <is>
          <t>Technology</t>
        </is>
      </c>
      <c r="AO290" s="53" t="inlineStr">
        <is>
          <t>Development</t>
        </is>
      </c>
      <c r="AP290" s="53" t="inlineStr">
        <is>
          <t>Yes</t>
        </is>
      </c>
      <c r="AQ290" s="53" t="inlineStr">
        <is>
          <t>Product/Project</t>
        </is>
      </c>
      <c r="AR290" s="53" t="inlineStr">
        <is>
          <t>.NET MVC</t>
        </is>
      </c>
      <c r="AS290" s="53" t="inlineStr">
        <is>
          <t>Technical - Developer</t>
        </is>
      </c>
      <c r="AT290" s="53" t="n">
        <v>20</v>
      </c>
      <c r="AU290" s="53" t="inlineStr">
        <is>
          <t>Covered</t>
        </is>
      </c>
      <c r="AV290" s="53" t="n"/>
      <c r="AW290" s="53" t="n"/>
      <c r="AX290" s="53" t="n"/>
      <c r="AY290" s="53" t="n"/>
      <c r="AZ290" s="53" t="n"/>
      <c r="BA290" s="53" t="n"/>
      <c r="BB290" s="53" t="n"/>
      <c r="BC290" s="53" t="n"/>
      <c r="BD290" s="53" t="n"/>
      <c r="BE290" s="53" t="n"/>
      <c r="BF290" s="53" t="n"/>
      <c r="BG290" s="53" t="n"/>
      <c r="BH290" s="53" t="n"/>
      <c r="BI290" s="53" t="n"/>
      <c r="BJ290" s="53" t="n"/>
      <c r="BK290" s="53" t="n"/>
      <c r="BL290" s="53" t="n"/>
      <c r="BM290" s="53" t="n"/>
      <c r="BN290" s="53" t="n"/>
      <c r="BO290" s="53" t="n"/>
      <c r="BP290" s="53" t="n"/>
      <c r="BQ290" s="53" t="n"/>
      <c r="BR290" s="53" t="n"/>
      <c r="BS290" s="53" t="n"/>
      <c r="BT290" s="53" t="n"/>
      <c r="BU290" s="53" t="n"/>
      <c r="BV290" s="53" t="n"/>
      <c r="BW290" s="53" t="n"/>
      <c r="BX290" s="53" t="n"/>
      <c r="BY290" s="53" t="n"/>
      <c r="BZ290" s="53" t="n"/>
      <c r="CA290" s="53" t="n"/>
      <c r="CB290" s="53" t="n"/>
      <c r="CC290" s="53" t="n"/>
      <c r="CD290" s="53" t="n"/>
      <c r="CE290" s="53" t="n"/>
      <c r="CF290" s="53" t="n"/>
      <c r="CG290" s="53" t="n"/>
      <c r="CH290" s="53" t="n"/>
      <c r="CI290" s="53" t="n"/>
      <c r="CJ290" s="53" t="n"/>
      <c r="CK290" s="53" t="n"/>
      <c r="CL290" s="53" t="n"/>
      <c r="CM290" s="53" t="n"/>
      <c r="CN290" s="53" t="n"/>
      <c r="CO290" s="53" t="n"/>
      <c r="CP290" s="53" t="n"/>
      <c r="CQ290" s="53" t="n"/>
      <c r="CR290" s="53" t="n"/>
      <c r="CS290" s="53" t="n"/>
      <c r="CT290" s="53" t="n"/>
      <c r="CU290" s="53" t="n"/>
      <c r="CV290" s="53" t="n"/>
      <c r="CW290" s="53" t="n"/>
      <c r="CX290" s="53" t="n"/>
      <c r="CY290" s="53" t="n"/>
      <c r="CZ290" s="53" t="n"/>
      <c r="DA290" s="53" t="n"/>
      <c r="DB290" s="53" t="n"/>
      <c r="DC290" s="53" t="n"/>
      <c r="DD290" s="53" t="inlineStr">
        <is>
          <t>IRIS1150</t>
        </is>
      </c>
      <c r="DE290" s="53" t="inlineStr">
        <is>
          <t>Employee</t>
        </is>
      </c>
      <c r="DF290" s="53" t="inlineStr">
        <is>
          <t>Active</t>
        </is>
      </c>
      <c r="DG290" s="53" t="inlineStr">
        <is>
          <t>Pragati Raskar</t>
        </is>
      </c>
      <c r="DH290" s="54" t="n">
        <v>41071</v>
      </c>
      <c r="DI290" s="53" t="inlineStr">
        <is>
          <t>Senior Software Engineer</t>
        </is>
      </c>
      <c r="DJ290" s="53" t="inlineStr">
        <is>
          <t>Engineering &amp; Development</t>
        </is>
      </c>
      <c r="DK290" s="53" t="inlineStr">
        <is>
          <t>Backend Engineering ·.NET</t>
        </is>
      </c>
      <c r="DL290" s="53" t="inlineStr">
        <is>
          <t>Senior Software Engineer</t>
        </is>
      </c>
      <c r="DM290" s="53" t="inlineStr">
        <is>
          <t>L4 – Senior</t>
        </is>
      </c>
      <c r="DN290" s="53" t="inlineStr">
        <is>
          <t>B.E</t>
        </is>
      </c>
      <c r="DO290" s="53" t="inlineStr">
        <is>
          <t>Hemant Trivedi</t>
        </is>
      </c>
      <c r="DP290" s="53" t="inlineStr">
        <is>
          <t>N-3</t>
        </is>
      </c>
      <c r="DQ290" s="53" t="inlineStr">
        <is>
          <t>Manager</t>
        </is>
      </c>
      <c r="DR290" s="53" t="inlineStr">
        <is>
          <t>2 years, 0 months, 0 days</t>
        </is>
      </c>
      <c r="DS290" s="53" t="inlineStr">
        <is>
          <t>14 years, 0 months, 9 days</t>
        </is>
      </c>
      <c r="DT290" s="53" t="inlineStr">
        <is>
          <t>16 years, 0 months, 9 days</t>
        </is>
      </c>
      <c r="DU290" s="53" t="n"/>
      <c r="DV290" s="53" t="inlineStr">
        <is>
          <t>Suptech</t>
        </is>
      </c>
      <c r="DW290" s="53" t="inlineStr">
        <is>
          <t>iFile</t>
        </is>
      </c>
      <c r="DX290" s="53" t="inlineStr">
        <is>
          <t>Technology</t>
        </is>
      </c>
      <c r="DY290" s="53" t="inlineStr">
        <is>
          <t>Development</t>
        </is>
      </c>
      <c r="DZ290" s="53" t="inlineStr">
        <is>
          <t>Yes</t>
        </is>
      </c>
      <c r="EA290" s="53" t="inlineStr">
        <is>
          <t>Product/Project</t>
        </is>
      </c>
      <c r="EB290" s="53" t="inlineStr">
        <is>
          <t>.NET MVC</t>
        </is>
      </c>
      <c r="EC290" s="53" t="inlineStr">
        <is>
          <t>Technical - Developer</t>
        </is>
      </c>
      <c r="ED290" s="53" t="inlineStr">
        <is>
          <t>Hybrid</t>
        </is>
      </c>
      <c r="EE290" s="53" t="inlineStr">
        <is>
          <t>.NET Tasks, XBRL Tasks, Aiusage, Document Tasks, Requirement Analyis Tasks</t>
        </is>
      </c>
      <c r="EF290"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90"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290" s="53" t="n">
        <v>4</v>
      </c>
      <c r="EI290" s="54" t="n">
        <v>46203</v>
      </c>
      <c r="EJ290" s="53" t="inlineStr">
        <is>
          <t>Lead Software Engineer · review – mgr scope + tenure</t>
        </is>
      </c>
      <c r="EK290" s="53" t="inlineStr">
        <is>
          <t>NO COMMENT</t>
        </is>
      </c>
      <c r="EL290" s="53" t="n">
        <v>4</v>
      </c>
      <c r="EM290" s="53" t="inlineStr">
        <is>
          <t>High</t>
        </is>
      </c>
      <c r="EN290" s="53" t="inlineStr">
        <is>
          <t>Trusted Professional</t>
        </is>
      </c>
      <c r="EO290" s="53" t="inlineStr">
        <is>
          <t>Yes</t>
        </is>
      </c>
      <c r="EP290" s="53" t="inlineStr">
        <is>
          <t>Yes</t>
        </is>
      </c>
      <c r="EQ290" s="53" t="inlineStr">
        <is>
          <t>Yes</t>
        </is>
      </c>
      <c r="ER290" s="53" t="inlineStr">
        <is>
          <t>NO</t>
        </is>
      </c>
      <c r="ES290" s="53" t="inlineStr">
        <is>
          <t>Advanced .NET MVC; secure coding &amp; code-quality practices; unit/automated testing; system design fundamentals | People management: goal-setting &amp; feedback, 1:1 coaching, performance conversations</t>
        </is>
      </c>
      <c r="ET290" s="53" t="inlineStr">
        <is>
          <t>Leadership development: strategic thinking, cross-functional influence, financial/business acumen, succession &amp; talent development, change management, executive communication</t>
        </is>
      </c>
      <c r="EU290" s="53" t="inlineStr">
        <is>
          <t>NO</t>
        </is>
      </c>
      <c r="EV290" s="53" t="n"/>
      <c r="EW290" s="52" t="n"/>
      <c r="EX290" s="53" t="n"/>
      <c r="EY290" s="53" t="n"/>
      <c r="EZ290" s="53" t="n"/>
      <c r="FA290" s="53" t="n"/>
      <c r="FB290" s="53" t="n"/>
      <c r="FC290" s="53" t="n"/>
      <c r="FD290" s="53" t="n"/>
      <c r="FE290"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90"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290" s="56" t="inlineStr">
        <is>
          <t>.NET Tasks, XBRL Tasks, Aiusage, Document Tasks, Requirement Analyis Tasks</t>
        </is>
      </c>
      <c r="FH290" s="56" t="inlineStr">
        <is>
          <t>4</t>
        </is>
      </c>
      <c r="FI290" s="56" t="n"/>
      <c r="FJ290" s="56" t="inlineStr">
        <is>
          <t>Received · manager annual, quarterly, self</t>
        </is>
      </c>
      <c r="FK290" s="56" t="inlineStr">
        <is>
          <t>Talent Mapping · iFile collated</t>
        </is>
      </c>
      <c r="FL290" s="56" t="n">
        <v>20</v>
      </c>
      <c r="FM290" s="32" t="inlineStr">
        <is>
          <t>Full survey answers not in the files received · How We Grow export needed · HR</t>
        </is>
      </c>
      <c r="FN290" s="56" t="inlineStr">
        <is>
          <t>—</t>
        </is>
      </c>
      <c r="FO290" s="56" t="inlineStr">
        <is>
          <t>—</t>
        </is>
      </c>
      <c r="FP290" s="56" t="inlineStr">
        <is>
          <t>—</t>
        </is>
      </c>
      <c r="FQ290" s="56" t="inlineStr">
        <is>
          <t>—</t>
        </is>
      </c>
      <c r="FR290" s="56"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moved down 0.5
Leadership: Evidence reads like B1: Lists team management and training as main duties; has 3 reports → matches the start
Business Impact: Moved +0.5: the survey / manager mapping marks it business-critical.</t>
        </is>
      </c>
      <c r="FS290"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90" s="56" t="inlineStr">
        <is>
          <t>Self-identified: Client, sales &amp; stakeholders
For the next role: Client, sales &amp; stakeholders</t>
        </is>
      </c>
      <c r="FU290" s="32" t="inlineStr">
        <is>
          <t>Full survey answers not in the files received · How We Grow export needed · HR</t>
        </is>
      </c>
    </row>
    <row r="291" ht="90" customHeight="1">
      <c r="A291" s="51" t="inlineStr">
        <is>
          <t>◂ Back</t>
        </is>
      </c>
      <c r="B291" s="29" t="inlineStr">
        <is>
          <t>Mapped</t>
        </is>
      </c>
      <c r="C291" s="28" t="inlineStr">
        <is>
          <t>iFile</t>
        </is>
      </c>
      <c r="D291" s="29" t="inlineStr">
        <is>
          <t>IRIS2186</t>
        </is>
      </c>
      <c r="E291" s="29" t="inlineStr">
        <is>
          <t>Harshal Chaudhari</t>
        </is>
      </c>
      <c r="F291" s="29" t="inlineStr">
        <is>
          <t>Technology</t>
        </is>
      </c>
      <c r="G291" s="29" t="inlineStr">
        <is>
          <t>Junior Software Engineer</t>
        </is>
      </c>
      <c r="H291" s="29" t="inlineStr">
        <is>
          <t>Senior Software Engineer</t>
        </is>
      </c>
      <c r="I291" s="29" t="inlineStr">
        <is>
          <t>L3 – Professional / Associate</t>
        </is>
      </c>
      <c r="J291" s="29" t="inlineStr">
        <is>
          <t>A3</t>
        </is>
      </c>
      <c r="K291" s="29" t="inlineStr">
        <is>
          <t>▲ Up</t>
        </is>
      </c>
      <c r="L291" s="29" t="inlineStr">
        <is>
          <t>Engineering &amp; Development</t>
        </is>
      </c>
      <c r="M291" s="29" t="inlineStr">
        <is>
          <t>Backend Development</t>
        </is>
      </c>
      <c r="N291" s="29" t="n"/>
      <c r="O291" s="29" t="n">
        <v>20</v>
      </c>
      <c r="P291" s="28" t="inlineStr">
        <is>
          <t>P2</t>
        </is>
      </c>
      <c r="Q291" s="29" t="inlineStr">
        <is>
          <t>Developing</t>
        </is>
      </c>
      <c r="R291" s="29" t="inlineStr">
        <is>
          <t>3 Apply</t>
        </is>
      </c>
      <c r="S291" s="29" t="inlineStr">
        <is>
          <t>2–4 yrs</t>
        </is>
      </c>
      <c r="T291" s="29" t="inlineStr">
        <is>
          <t>3–5 · 2–5</t>
        </is>
      </c>
      <c r="U291" s="29" t="inlineStr">
        <is>
          <t>Software Engineer</t>
        </is>
      </c>
      <c r="V291" s="29" t="inlineStr">
        <is>
          <t>Workiva: SE · Broadridge India: SE · Nasdaq / AxiomSL: SE · Salesforce: MTS · Atlassian: P40 · 3–7 yrs · Freshworks: Senior SE</t>
        </is>
      </c>
      <c r="W291" s="29" t="inlineStr">
        <is>
          <t>SFIA 9 · software development, programming; OWASP secure coding; cloud vendor certifications</t>
        </is>
      </c>
      <c r="X291" s="29" t="inlineStr">
        <is>
          <t>Core 2 · Future 2 · Functional 3 · Leadership not scored</t>
        </is>
      </c>
      <c r="Y291" s="52" t="n">
        <v>294</v>
      </c>
      <c r="Z291" s="53" t="inlineStr">
        <is>
          <t>IRIS2186</t>
        </is>
      </c>
      <c r="AA291" s="53" t="inlineStr">
        <is>
          <t>Employee</t>
        </is>
      </c>
      <c r="AB291" s="53" t="inlineStr">
        <is>
          <t>Active</t>
        </is>
      </c>
      <c r="AC291" s="53" t="inlineStr">
        <is>
          <t>Harshal Chaudhari</t>
        </is>
      </c>
      <c r="AD291" s="54" t="n">
        <v>45180</v>
      </c>
      <c r="AE291" s="53" t="inlineStr">
        <is>
          <t>Junior Software Engineer</t>
        </is>
      </c>
      <c r="AF291" s="53" t="inlineStr">
        <is>
          <t>PG-DAC</t>
        </is>
      </c>
      <c r="AG291" s="53" t="inlineStr">
        <is>
          <t>Pragati Raskar</t>
        </is>
      </c>
      <c r="AH291" s="53" t="inlineStr">
        <is>
          <t>N-5</t>
        </is>
      </c>
      <c r="AI291" s="53" t="inlineStr">
        <is>
          <t>Individual Contributor</t>
        </is>
      </c>
      <c r="AJ291" s="53" t="inlineStr">
        <is>
          <t>0 years, 0 months, 0 days</t>
        </is>
      </c>
      <c r="AK291" s="53" t="inlineStr">
        <is>
          <t>2 years, 11 months, 14 days</t>
        </is>
      </c>
      <c r="AL291" s="53" t="inlineStr">
        <is>
          <t>Suptech</t>
        </is>
      </c>
      <c r="AM291" s="53" t="inlineStr">
        <is>
          <t>iFile</t>
        </is>
      </c>
      <c r="AN291" s="53" t="inlineStr">
        <is>
          <t>Technology</t>
        </is>
      </c>
      <c r="AO291" s="53" t="inlineStr">
        <is>
          <t>Development</t>
        </is>
      </c>
      <c r="AP291" s="53" t="inlineStr">
        <is>
          <t>Yes</t>
        </is>
      </c>
      <c r="AQ291" s="53" t="inlineStr">
        <is>
          <t>Product/Project</t>
        </is>
      </c>
      <c r="AR291" s="53" t="inlineStr">
        <is>
          <t>.NET MVC</t>
        </is>
      </c>
      <c r="AS291" s="53" t="inlineStr">
        <is>
          <t>Technical - Developer</t>
        </is>
      </c>
      <c r="AT291" s="53" t="n">
        <v>20</v>
      </c>
      <c r="AU291" s="53" t="inlineStr">
        <is>
          <t>Covered</t>
        </is>
      </c>
      <c r="AV291" s="53" t="n"/>
      <c r="AW291" s="53" t="n"/>
      <c r="AX291" s="53" t="n"/>
      <c r="AY291" s="53" t="n"/>
      <c r="AZ291" s="53" t="n"/>
      <c r="BA291" s="53" t="n"/>
      <c r="BB291" s="53" t="n"/>
      <c r="BC291" s="53" t="n"/>
      <c r="BD291" s="53" t="n"/>
      <c r="BE291" s="53" t="n"/>
      <c r="BF291" s="53" t="n"/>
      <c r="BG291" s="53" t="n"/>
      <c r="BH291" s="53" t="n"/>
      <c r="BI291" s="53" t="n"/>
      <c r="BJ291" s="53" t="n"/>
      <c r="BK291" s="53" t="n"/>
      <c r="BL291" s="53" t="n"/>
      <c r="BM291" s="53" t="n"/>
      <c r="BN291" s="53" t="n"/>
      <c r="BO291" s="53" t="n"/>
      <c r="BP291" s="53" t="n"/>
      <c r="BQ291" s="53" t="n"/>
      <c r="BR291" s="53" t="n"/>
      <c r="BS291" s="53" t="n"/>
      <c r="BT291" s="53" t="n"/>
      <c r="BU291" s="53" t="n"/>
      <c r="BV291" s="53" t="n"/>
      <c r="BW291" s="53" t="n"/>
      <c r="BX291" s="53" t="n"/>
      <c r="BY291" s="53" t="n"/>
      <c r="BZ291" s="53" t="n"/>
      <c r="CA291" s="53" t="n"/>
      <c r="CB291" s="53" t="n"/>
      <c r="CC291" s="53" t="n"/>
      <c r="CD291" s="53" t="n"/>
      <c r="CE291" s="53" t="n"/>
      <c r="CF291" s="53" t="n"/>
      <c r="CG291" s="53" t="n"/>
      <c r="CH291" s="53" t="n"/>
      <c r="CI291" s="53" t="n"/>
      <c r="CJ291" s="53" t="n"/>
      <c r="CK291" s="53" t="n"/>
      <c r="CL291" s="53" t="n"/>
      <c r="CM291" s="53" t="n"/>
      <c r="CN291" s="53" t="n"/>
      <c r="CO291" s="53" t="n"/>
      <c r="CP291" s="53" t="n"/>
      <c r="CQ291" s="53" t="n"/>
      <c r="CR291" s="53" t="n"/>
      <c r="CS291" s="53" t="n"/>
      <c r="CT291" s="53" t="n"/>
      <c r="CU291" s="53" t="n"/>
      <c r="CV291" s="53" t="n"/>
      <c r="CW291" s="53" t="n"/>
      <c r="CX291" s="53" t="n"/>
      <c r="CY291" s="53" t="n"/>
      <c r="CZ291" s="53" t="n"/>
      <c r="DA291" s="53" t="n"/>
      <c r="DB291" s="53" t="n"/>
      <c r="DC291" s="53" t="n"/>
      <c r="DD291" s="53" t="inlineStr">
        <is>
          <t>IRIS2186</t>
        </is>
      </c>
      <c r="DE291" s="53" t="inlineStr">
        <is>
          <t>Employee</t>
        </is>
      </c>
      <c r="DF291" s="53" t="inlineStr">
        <is>
          <t>Active</t>
        </is>
      </c>
      <c r="DG291" s="53" t="inlineStr">
        <is>
          <t>Harshal Chaudhari</t>
        </is>
      </c>
      <c r="DH291" s="54" t="n">
        <v>45180</v>
      </c>
      <c r="DI291" s="53" t="inlineStr">
        <is>
          <t>Junior Software Engineer</t>
        </is>
      </c>
      <c r="DJ291" s="53" t="inlineStr">
        <is>
          <t>Engineering &amp; Development</t>
        </is>
      </c>
      <c r="DK291" s="53" t="inlineStr">
        <is>
          <t>Backend Engineering ·.NET</t>
        </is>
      </c>
      <c r="DL291" s="53" t="inlineStr">
        <is>
          <t>Junior Software Engineer</t>
        </is>
      </c>
      <c r="DM291" s="53" t="inlineStr">
        <is>
          <t>L3 – Professional / Associate</t>
        </is>
      </c>
      <c r="DN291" s="53" t="inlineStr">
        <is>
          <t>PG-DAC</t>
        </is>
      </c>
      <c r="DO291" s="53" t="inlineStr">
        <is>
          <t>Pragati Raskar</t>
        </is>
      </c>
      <c r="DP291" s="53" t="inlineStr">
        <is>
          <t>N-4</t>
        </is>
      </c>
      <c r="DQ291" s="53" t="inlineStr">
        <is>
          <t>Individual Contributor</t>
        </is>
      </c>
      <c r="DR291" s="53" t="inlineStr">
        <is>
          <t>0 years, 0 months, 0 days</t>
        </is>
      </c>
      <c r="DS291" s="53" t="inlineStr">
        <is>
          <t>2 years, 9 months, 9 days</t>
        </is>
      </c>
      <c r="DT291" s="53" t="inlineStr">
        <is>
          <t>2 years, 9 months, 9 days</t>
        </is>
      </c>
      <c r="DU291" s="53" t="n"/>
      <c r="DV291" s="53" t="inlineStr">
        <is>
          <t>Suptech</t>
        </is>
      </c>
      <c r="DW291" s="53" t="inlineStr">
        <is>
          <t>iFile</t>
        </is>
      </c>
      <c r="DX291" s="53" t="inlineStr">
        <is>
          <t>Technology</t>
        </is>
      </c>
      <c r="DY291" s="53" t="inlineStr">
        <is>
          <t>Development</t>
        </is>
      </c>
      <c r="DZ291" s="53" t="inlineStr">
        <is>
          <t>Yes</t>
        </is>
      </c>
      <c r="EA291" s="53" t="inlineStr">
        <is>
          <t>Product/Project</t>
        </is>
      </c>
      <c r="EB291" s="53" t="inlineStr">
        <is>
          <t>.NET MVC</t>
        </is>
      </c>
      <c r="EC291" s="53" t="inlineStr">
        <is>
          <t>Technical - Developer</t>
        </is>
      </c>
      <c r="ED291" s="53" t="inlineStr">
        <is>
          <t>Hybrid</t>
        </is>
      </c>
      <c r="EE291" s="53" t="inlineStr">
        <is>
          <t>.NET Tasks, XBRL Tasks, Aiusage, Document Tasks, Requirement Analyis Tasks</t>
        </is>
      </c>
      <c r="EF29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1" s="53" t="n">
        <v>4</v>
      </c>
      <c r="EI291" s="54" t="n">
        <v>46203</v>
      </c>
      <c r="EJ291" s="53" t="inlineStr">
        <is>
          <t>Junior Software Engineer</t>
        </is>
      </c>
      <c r="EK291" s="53" t="inlineStr">
        <is>
          <t>NO COMMENT</t>
        </is>
      </c>
      <c r="EL291" s="53" t="n">
        <v>4</v>
      </c>
      <c r="EM291" s="53" t="inlineStr">
        <is>
          <t>Medium</t>
        </is>
      </c>
      <c r="EN291" s="53" t="inlineStr">
        <is>
          <t>Emerging Talent</t>
        </is>
      </c>
      <c r="EO291" s="53" t="inlineStr">
        <is>
          <t>Yes</t>
        </is>
      </c>
      <c r="EP291" s="53" t="inlineStr">
        <is>
          <t>Yes</t>
        </is>
      </c>
      <c r="EQ291" s="53" t="inlineStr">
        <is>
          <t>Yes</t>
        </is>
      </c>
      <c r="ER291" s="53" t="inlineStr">
        <is>
          <t>NO</t>
        </is>
      </c>
      <c r="ES291" s="53" t="inlineStr">
        <is>
          <t>Advanced .NET MVC; secure coding &amp; code-quality practices; unit/automated testing; system design fundamentals</t>
        </is>
      </c>
      <c r="ET291" s="53" t="inlineStr">
        <is>
          <t>Transition to leadership: people management &amp; delegation, mentoring/coaching, project ownership &amp; stakeholder management, prioritisation under ambiguity, presentation &amp; influence skills</t>
        </is>
      </c>
      <c r="EU291" s="53" t="inlineStr">
        <is>
          <t>NO</t>
        </is>
      </c>
      <c r="EV291" s="53" t="n"/>
      <c r="EW291" s="52" t="n"/>
      <c r="EX291" s="53" t="n"/>
      <c r="EY291" s="53" t="n"/>
      <c r="EZ291" s="53" t="n"/>
      <c r="FA291" s="53" t="n"/>
      <c r="FB291" s="53" t="n"/>
      <c r="FC291" s="53" t="n"/>
      <c r="FD291" s="53" t="n"/>
      <c r="FE29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1" s="56" t="inlineStr">
        <is>
          <t>.NET Tasks, XBRL Tasks, Aiusage, Document Tasks, Requirement Analyis Tasks</t>
        </is>
      </c>
      <c r="FH291" s="56" t="inlineStr">
        <is>
          <t>4</t>
        </is>
      </c>
      <c r="FI291" s="56" t="n"/>
      <c r="FJ291" s="56" t="inlineStr">
        <is>
          <t>Received · manager annual, quarterly, self</t>
        </is>
      </c>
      <c r="FK291" s="56" t="inlineStr">
        <is>
          <t>Talent Mapping · iFile collated</t>
        </is>
      </c>
      <c r="FL291" s="56" t="n">
        <v>20</v>
      </c>
      <c r="FM291" s="32" t="inlineStr">
        <is>
          <t>Full survey answers not in the files received · How We Grow export needed · HR</t>
        </is>
      </c>
      <c r="FN291" s="56" t="inlineStr">
        <is>
          <t>—</t>
        </is>
      </c>
      <c r="FO291" s="56" t="inlineStr">
        <is>
          <t>—</t>
        </is>
      </c>
      <c r="FP291" s="56" t="inlineStr">
        <is>
          <t>—</t>
        </is>
      </c>
      <c r="FQ291" s="56" t="inlineStr">
        <is>
          <t>—</t>
        </is>
      </c>
      <c r="FR291" s="56"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start
Leadership: Evidence reads like A1: No guidance of others described → matches the start
Business Impact: Moved +0.5: the survey / manager mapping marks it business-critical.</t>
        </is>
      </c>
      <c r="FS29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1" s="56" t="inlineStr">
        <is>
          <t>Self-identified: Leadership &amp; people management · Project / programme management · Broader exposure &amp; ownership
For the next role: Leadership &amp; people management · Project / programme management · Broader exposure &amp; ownership</t>
        </is>
      </c>
      <c r="FU291" s="32" t="inlineStr">
        <is>
          <t>Full survey answers not in the files received · How We Grow export needed · HR</t>
        </is>
      </c>
    </row>
    <row r="292" ht="90" customHeight="1">
      <c r="A292" s="51" t="inlineStr">
        <is>
          <t>◂ Back</t>
        </is>
      </c>
      <c r="B292" s="29" t="inlineStr">
        <is>
          <t>Mapped</t>
        </is>
      </c>
      <c r="C292" s="28" t="inlineStr">
        <is>
          <t>iFile</t>
        </is>
      </c>
      <c r="D292" s="29" t="inlineStr">
        <is>
          <t>IRIS1945</t>
        </is>
      </c>
      <c r="E292" s="29" t="inlineStr">
        <is>
          <t>Priyadarshini Naidu</t>
        </is>
      </c>
      <c r="F292" s="29" t="inlineStr">
        <is>
          <t>Technology</t>
        </is>
      </c>
      <c r="G292" s="29" t="inlineStr">
        <is>
          <t>Software Engineer</t>
        </is>
      </c>
      <c r="H292" s="29" t="inlineStr">
        <is>
          <t>Senior Software Engineer</t>
        </is>
      </c>
      <c r="I292" s="29" t="inlineStr">
        <is>
          <t>L3 – Professional / Associate</t>
        </is>
      </c>
      <c r="J292" s="29" t="inlineStr">
        <is>
          <t>A3</t>
        </is>
      </c>
      <c r="K292" s="29" t="inlineStr">
        <is>
          <t>▲ Up</t>
        </is>
      </c>
      <c r="L292" s="29" t="inlineStr">
        <is>
          <t>Engineering &amp; Development</t>
        </is>
      </c>
      <c r="M292" s="29" t="inlineStr">
        <is>
          <t>Backend Development</t>
        </is>
      </c>
      <c r="N292" s="29" t="n"/>
      <c r="O292" s="29" t="n">
        <v>20</v>
      </c>
      <c r="P292" s="28" t="inlineStr">
        <is>
          <t>P2</t>
        </is>
      </c>
      <c r="Q292" s="29" t="inlineStr">
        <is>
          <t>Developing</t>
        </is>
      </c>
      <c r="R292" s="29" t="inlineStr">
        <is>
          <t>3 Apply</t>
        </is>
      </c>
      <c r="S292" s="29" t="inlineStr">
        <is>
          <t>2–4 yrs</t>
        </is>
      </c>
      <c r="T292" s="29" t="inlineStr">
        <is>
          <t>3–5 · 2–5</t>
        </is>
      </c>
      <c r="U292" s="29" t="inlineStr">
        <is>
          <t>Software Engineer</t>
        </is>
      </c>
      <c r="V292" s="29" t="inlineStr">
        <is>
          <t>Workiva: SE · Broadridge India: SE · Nasdaq / AxiomSL: SE · Salesforce: MTS · Atlassian: P40 · 3–7 yrs · Freshworks: Senior SE</t>
        </is>
      </c>
      <c r="W292" s="29" t="inlineStr">
        <is>
          <t>SFIA 9 · software development, programming; OWASP secure coding; cloud vendor certifications</t>
        </is>
      </c>
      <c r="X292" s="29" t="inlineStr">
        <is>
          <t>Core 2 · Future 2 · Functional 3 · Leadership not scored</t>
        </is>
      </c>
      <c r="Y292" s="52" t="n">
        <v>194</v>
      </c>
      <c r="Z292" s="53" t="inlineStr">
        <is>
          <t>IRIS1945</t>
        </is>
      </c>
      <c r="AA292" s="53" t="inlineStr">
        <is>
          <t>Employee</t>
        </is>
      </c>
      <c r="AB292" s="53" t="inlineStr">
        <is>
          <t>Active</t>
        </is>
      </c>
      <c r="AC292" s="53" t="inlineStr">
        <is>
          <t>Priyadarshini Naidu</t>
        </is>
      </c>
      <c r="AD292" s="54" t="n">
        <v>44424</v>
      </c>
      <c r="AE292" s="53" t="inlineStr">
        <is>
          <t>Software Engineer</t>
        </is>
      </c>
      <c r="AF292" s="53" t="inlineStr">
        <is>
          <t>BCA</t>
        </is>
      </c>
      <c r="AG292" s="53" t="inlineStr">
        <is>
          <t>Pragati Raskar</t>
        </is>
      </c>
      <c r="AH292" s="53" t="inlineStr">
        <is>
          <t>N-5</t>
        </is>
      </c>
      <c r="AI292" s="53" t="inlineStr">
        <is>
          <t>Individual Contributor</t>
        </is>
      </c>
      <c r="AJ292" s="53" t="inlineStr">
        <is>
          <t>2 years, 0 months, 0 days</t>
        </is>
      </c>
      <c r="AK292" s="53" t="inlineStr">
        <is>
          <t>5 years, 0 months, 9 days</t>
        </is>
      </c>
      <c r="AL292" s="53" t="inlineStr">
        <is>
          <t>Suptech</t>
        </is>
      </c>
      <c r="AM292" s="53" t="inlineStr">
        <is>
          <t>iFile</t>
        </is>
      </c>
      <c r="AN292" s="53" t="inlineStr">
        <is>
          <t>Technology</t>
        </is>
      </c>
      <c r="AO292" s="53" t="inlineStr">
        <is>
          <t>Development</t>
        </is>
      </c>
      <c r="AP292" s="53" t="inlineStr">
        <is>
          <t>Yes</t>
        </is>
      </c>
      <c r="AQ292" s="53" t="inlineStr">
        <is>
          <t>Product/Project</t>
        </is>
      </c>
      <c r="AR292" s="53" t="inlineStr">
        <is>
          <t>.NET MVC</t>
        </is>
      </c>
      <c r="AS292" s="53" t="inlineStr">
        <is>
          <t>Technical - Developer</t>
        </is>
      </c>
      <c r="AT292" s="53" t="n">
        <v>20</v>
      </c>
      <c r="AU292" s="53" t="inlineStr">
        <is>
          <t>Covered</t>
        </is>
      </c>
      <c r="AV292" s="53" t="n"/>
      <c r="AW292" s="53" t="n"/>
      <c r="AX292" s="53" t="n"/>
      <c r="AY292" s="53" t="n"/>
      <c r="AZ292" s="53" t="n"/>
      <c r="BA292" s="53" t="n"/>
      <c r="BB292" s="53" t="n"/>
      <c r="BC292" s="53" t="n"/>
      <c r="BD292" s="53" t="n"/>
      <c r="BE292" s="53" t="n"/>
      <c r="BF292" s="53" t="n"/>
      <c r="BG292" s="53" t="n"/>
      <c r="BH292" s="53" t="n"/>
      <c r="BI292" s="53" t="n"/>
      <c r="BJ292" s="53" t="n"/>
      <c r="BK292" s="53" t="n"/>
      <c r="BL292" s="53" t="n"/>
      <c r="BM292" s="53" t="n"/>
      <c r="BN292" s="53" t="n"/>
      <c r="BO292" s="53" t="n"/>
      <c r="BP292" s="53" t="n"/>
      <c r="BQ292" s="53" t="n"/>
      <c r="BR292" s="53" t="n"/>
      <c r="BS292" s="53" t="n"/>
      <c r="BT292" s="53" t="n"/>
      <c r="BU292" s="53" t="n"/>
      <c r="BV292" s="53" t="n"/>
      <c r="BW292" s="53" t="n"/>
      <c r="BX292" s="53" t="n"/>
      <c r="BY292" s="53" t="n"/>
      <c r="BZ292" s="53" t="n"/>
      <c r="CA292" s="53" t="n"/>
      <c r="CB292" s="53" t="n"/>
      <c r="CC292" s="53" t="n"/>
      <c r="CD292" s="53" t="n"/>
      <c r="CE292" s="53" t="n"/>
      <c r="CF292" s="53" t="n"/>
      <c r="CG292" s="53" t="n"/>
      <c r="CH292" s="53" t="n"/>
      <c r="CI292" s="53" t="n"/>
      <c r="CJ292" s="53" t="n"/>
      <c r="CK292" s="53" t="n"/>
      <c r="CL292" s="53" t="n"/>
      <c r="CM292" s="53" t="n"/>
      <c r="CN292" s="53" t="n"/>
      <c r="CO292" s="53" t="n"/>
      <c r="CP292" s="53" t="n"/>
      <c r="CQ292" s="53" t="n"/>
      <c r="CR292" s="53" t="n"/>
      <c r="CS292" s="53" t="n"/>
      <c r="CT292" s="53" t="n"/>
      <c r="CU292" s="53" t="n"/>
      <c r="CV292" s="53" t="n"/>
      <c r="CW292" s="53" t="n"/>
      <c r="CX292" s="53" t="n"/>
      <c r="CY292" s="53" t="n"/>
      <c r="CZ292" s="53" t="n"/>
      <c r="DA292" s="53" t="n"/>
      <c r="DB292" s="53" t="n"/>
      <c r="DC292" s="53" t="n"/>
      <c r="DD292" s="53" t="inlineStr">
        <is>
          <t>IRIS1945</t>
        </is>
      </c>
      <c r="DE292" s="53" t="inlineStr">
        <is>
          <t>Employee</t>
        </is>
      </c>
      <c r="DF292" s="53" t="inlineStr">
        <is>
          <t>Active</t>
        </is>
      </c>
      <c r="DG292" s="53" t="inlineStr">
        <is>
          <t>Priyadarshini Naidu</t>
        </is>
      </c>
      <c r="DH292" s="54" t="n">
        <v>44424</v>
      </c>
      <c r="DI292" s="53" t="inlineStr">
        <is>
          <t>Software Engineer</t>
        </is>
      </c>
      <c r="DJ292" s="53" t="inlineStr">
        <is>
          <t>Engineering &amp; Development</t>
        </is>
      </c>
      <c r="DK292" s="53" t="inlineStr">
        <is>
          <t>Backend Engineering ·.NET</t>
        </is>
      </c>
      <c r="DL292" s="53" t="inlineStr">
        <is>
          <t>Software Engineer</t>
        </is>
      </c>
      <c r="DM292" s="53" t="inlineStr">
        <is>
          <t>L3 – Professional / Associate</t>
        </is>
      </c>
      <c r="DN292" s="53" t="inlineStr">
        <is>
          <t>BCA</t>
        </is>
      </c>
      <c r="DO292" s="53" t="inlineStr">
        <is>
          <t>Pragati Raskar</t>
        </is>
      </c>
      <c r="DP292" s="53" t="inlineStr">
        <is>
          <t>N-4</t>
        </is>
      </c>
      <c r="DQ292" s="53" t="inlineStr">
        <is>
          <t>Individual Contributor</t>
        </is>
      </c>
      <c r="DR292" s="53" t="inlineStr">
        <is>
          <t>2 years, 0 months, 0 days</t>
        </is>
      </c>
      <c r="DS292" s="53" t="inlineStr">
        <is>
          <t>4 years, 10 months, 4 days</t>
        </is>
      </c>
      <c r="DT292" s="53" t="inlineStr">
        <is>
          <t>6 years, 10 months, 4 days</t>
        </is>
      </c>
      <c r="DU292" s="53" t="n"/>
      <c r="DV292" s="53" t="inlineStr">
        <is>
          <t>Suptech</t>
        </is>
      </c>
      <c r="DW292" s="53" t="inlineStr">
        <is>
          <t>iFile</t>
        </is>
      </c>
      <c r="DX292" s="53" t="inlineStr">
        <is>
          <t>Technology</t>
        </is>
      </c>
      <c r="DY292" s="53" t="inlineStr">
        <is>
          <t>Development</t>
        </is>
      </c>
      <c r="DZ292" s="53" t="inlineStr">
        <is>
          <t>Yes</t>
        </is>
      </c>
      <c r="EA292" s="53" t="inlineStr">
        <is>
          <t>Product/Project</t>
        </is>
      </c>
      <c r="EB292" s="53" t="inlineStr">
        <is>
          <t>.NET MVC</t>
        </is>
      </c>
      <c r="EC292" s="53" t="inlineStr">
        <is>
          <t>Technical - Developer</t>
        </is>
      </c>
      <c r="ED292" s="53" t="inlineStr">
        <is>
          <t>Hybrid</t>
        </is>
      </c>
      <c r="EE292" s="53" t="inlineStr">
        <is>
          <t>.NET Tasks, XBRL Tasks, Aiusage, Document Tasks, Requirement Analyis Tasks</t>
        </is>
      </c>
      <c r="EF29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2" s="53" t="n">
        <v>4</v>
      </c>
      <c r="EI292" s="54" t="n">
        <v>46203</v>
      </c>
      <c r="EJ292" s="53" t="inlineStr">
        <is>
          <t>Senior Software Engineer · review – experience supports senior band</t>
        </is>
      </c>
      <c r="EK292" s="53" t="inlineStr">
        <is>
          <t>NO COMMENT</t>
        </is>
      </c>
      <c r="EL292" s="53" t="n">
        <v>4</v>
      </c>
      <c r="EM292" s="53" t="inlineStr">
        <is>
          <t>High</t>
        </is>
      </c>
      <c r="EN292" s="53" t="inlineStr">
        <is>
          <t>Emerging Talent</t>
        </is>
      </c>
      <c r="EO292" s="53" t="inlineStr">
        <is>
          <t>Yes</t>
        </is>
      </c>
      <c r="EP292" s="53" t="inlineStr">
        <is>
          <t>Yes</t>
        </is>
      </c>
      <c r="EQ292" s="53" t="inlineStr">
        <is>
          <t>Yes</t>
        </is>
      </c>
      <c r="ER292" s="53" t="inlineStr">
        <is>
          <t>NO</t>
        </is>
      </c>
      <c r="ES292" s="53" t="inlineStr">
        <is>
          <t>Advanced .NET MVC; secure coding &amp; code-quality practices; unit/automated testing; system design fundamentals</t>
        </is>
      </c>
      <c r="ET292" s="53" t="inlineStr">
        <is>
          <t>Transition to leadership: people management &amp; delegation, mentoring/coaching, project ownership &amp; stakeholder management, prioritisation under ambiguity, presentation &amp; influence skills</t>
        </is>
      </c>
      <c r="EU292" s="53" t="inlineStr">
        <is>
          <t>NO</t>
        </is>
      </c>
      <c r="EV292" s="53" t="n"/>
      <c r="EW292" s="52" t="n"/>
      <c r="EX292" s="53" t="n"/>
      <c r="EY292" s="53" t="n"/>
      <c r="EZ292" s="53" t="n"/>
      <c r="FA292" s="53" t="n"/>
      <c r="FB292" s="53" t="n"/>
      <c r="FC292" s="53" t="n"/>
      <c r="FD292" s="53" t="n"/>
      <c r="FE29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2" s="56" t="inlineStr">
        <is>
          <t>.NET Tasks, XBRL Tasks, Aiusage, Document Tasks, Requirement Analyis Tasks</t>
        </is>
      </c>
      <c r="FH292" s="56" t="inlineStr">
        <is>
          <t>4</t>
        </is>
      </c>
      <c r="FI292" s="56" t="n"/>
      <c r="FJ292" s="56" t="inlineStr">
        <is>
          <t>Received · manager annual, quarterly, self</t>
        </is>
      </c>
      <c r="FK292" s="56" t="inlineStr">
        <is>
          <t>Talent Mapping · iFile collated</t>
        </is>
      </c>
      <c r="FL292" s="56" t="n">
        <v>20</v>
      </c>
      <c r="FM292" s="32" t="inlineStr">
        <is>
          <t>Full survey answers not in the files received · How We Grow export needed · HR</t>
        </is>
      </c>
      <c r="FN292" s="56" t="inlineStr">
        <is>
          <t>—</t>
        </is>
      </c>
      <c r="FO292" s="56" t="inlineStr">
        <is>
          <t>—</t>
        </is>
      </c>
      <c r="FP292" s="56" t="inlineStr">
        <is>
          <t>—</t>
        </is>
      </c>
      <c r="FQ292" s="56" t="inlineStr">
        <is>
          <t>—</t>
        </is>
      </c>
      <c r="FR292" s="56"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ownership' not tied to anything specific → matches the start
Leadership: Evidence reads like A1: No guiding or leading described → matches the start
Business Impact: Moved +0.5: the survey / manager mapping marks it business-critical.</t>
        </is>
      </c>
      <c r="FS29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2" s="56" t="inlineStr">
        <is>
          <t>Self-identified: Project / programme management · Technical depth &amp; architecture
For the next role: Project / programme management · Technical depth &amp; architecture</t>
        </is>
      </c>
      <c r="FU292" s="32" t="inlineStr">
        <is>
          <t>Full survey answers not in the files received · How We Grow export needed · HR</t>
        </is>
      </c>
    </row>
    <row r="293" ht="90" customHeight="1">
      <c r="A293" s="51" t="inlineStr">
        <is>
          <t>◂ Back</t>
        </is>
      </c>
      <c r="B293" s="29" t="inlineStr">
        <is>
          <t>Mapped</t>
        </is>
      </c>
      <c r="C293" s="28" t="inlineStr">
        <is>
          <t>iFile</t>
        </is>
      </c>
      <c r="D293" s="29" t="inlineStr">
        <is>
          <t>IRIS2030</t>
        </is>
      </c>
      <c r="E293" s="29" t="inlineStr">
        <is>
          <t>Ritesh Gadekar</t>
        </is>
      </c>
      <c r="F293" s="29" t="inlineStr">
        <is>
          <t>Technology</t>
        </is>
      </c>
      <c r="G293" s="29" t="inlineStr">
        <is>
          <t>Software Engineer</t>
        </is>
      </c>
      <c r="H293" s="29" t="inlineStr">
        <is>
          <t>Senior Software Engineer</t>
        </is>
      </c>
      <c r="I293" s="29" t="inlineStr">
        <is>
          <t>L3 – Professional / Associate</t>
        </is>
      </c>
      <c r="J293" s="29" t="inlineStr">
        <is>
          <t>A3</t>
        </is>
      </c>
      <c r="K293" s="29" t="inlineStr">
        <is>
          <t>▲ Up</t>
        </is>
      </c>
      <c r="L293" s="29" t="inlineStr">
        <is>
          <t>Engineering &amp; Development</t>
        </is>
      </c>
      <c r="M293" s="29" t="inlineStr">
        <is>
          <t>Backend Development</t>
        </is>
      </c>
      <c r="N293" s="29" t="n"/>
      <c r="O293" s="29" t="n">
        <v>20</v>
      </c>
      <c r="P293" s="28" t="inlineStr">
        <is>
          <t>P2</t>
        </is>
      </c>
      <c r="Q293" s="29" t="inlineStr">
        <is>
          <t>Developing</t>
        </is>
      </c>
      <c r="R293" s="29" t="inlineStr">
        <is>
          <t>3 Apply</t>
        </is>
      </c>
      <c r="S293" s="29" t="inlineStr">
        <is>
          <t>2–4 yrs</t>
        </is>
      </c>
      <c r="T293" s="29" t="inlineStr">
        <is>
          <t>3–5 · 2–5</t>
        </is>
      </c>
      <c r="U293" s="29" t="inlineStr">
        <is>
          <t>Software Engineer</t>
        </is>
      </c>
      <c r="V293" s="29" t="inlineStr">
        <is>
          <t>Workiva: SE · Broadridge India: SE · Nasdaq / AxiomSL: SE · Salesforce: MTS · Atlassian: P40 · 3–7 yrs · Freshworks: Senior SE</t>
        </is>
      </c>
      <c r="W293" s="29" t="inlineStr">
        <is>
          <t>SFIA 9 · software development, programming; OWASP secure coding; cloud vendor certifications</t>
        </is>
      </c>
      <c r="X293" s="29" t="inlineStr">
        <is>
          <t>Core 2 · Future 2 · Functional 3 · Leadership not scored</t>
        </is>
      </c>
      <c r="Y293" s="52" t="n">
        <v>224</v>
      </c>
      <c r="Z293" s="53" t="inlineStr">
        <is>
          <t>IRIS2030</t>
        </is>
      </c>
      <c r="AA293" s="53" t="inlineStr">
        <is>
          <t>Employee</t>
        </is>
      </c>
      <c r="AB293" s="53" t="inlineStr">
        <is>
          <t>Active</t>
        </is>
      </c>
      <c r="AC293" s="53" t="inlineStr">
        <is>
          <t>Ritesh Gadekar</t>
        </is>
      </c>
      <c r="AD293" s="54" t="n">
        <v>44735</v>
      </c>
      <c r="AE293" s="53" t="inlineStr">
        <is>
          <t>Software Engineer</t>
        </is>
      </c>
      <c r="AF293" s="53" t="inlineStr">
        <is>
          <t>MSc</t>
        </is>
      </c>
      <c r="AG293" s="53" t="inlineStr">
        <is>
          <t>Pragati Raskar</t>
        </is>
      </c>
      <c r="AH293" s="53" t="inlineStr">
        <is>
          <t>N-5</t>
        </is>
      </c>
      <c r="AI293" s="53" t="inlineStr">
        <is>
          <t>Individual Contributor</t>
        </is>
      </c>
      <c r="AJ293" s="53" t="inlineStr">
        <is>
          <t>0 years, 0 months, 0 days</t>
        </is>
      </c>
      <c r="AK293" s="53" t="inlineStr">
        <is>
          <t>4 years, 2 months, 2 days</t>
        </is>
      </c>
      <c r="AL293" s="53" t="inlineStr">
        <is>
          <t>Suptech</t>
        </is>
      </c>
      <c r="AM293" s="53" t="inlineStr">
        <is>
          <t>iFile</t>
        </is>
      </c>
      <c r="AN293" s="53" t="inlineStr">
        <is>
          <t>Technology</t>
        </is>
      </c>
      <c r="AO293" s="53" t="inlineStr">
        <is>
          <t>Development</t>
        </is>
      </c>
      <c r="AP293" s="53" t="inlineStr">
        <is>
          <t>Yes</t>
        </is>
      </c>
      <c r="AQ293" s="53" t="inlineStr">
        <is>
          <t>Product/Project</t>
        </is>
      </c>
      <c r="AR293" s="53" t="inlineStr">
        <is>
          <t>.NET MVC</t>
        </is>
      </c>
      <c r="AS293" s="53" t="inlineStr">
        <is>
          <t>Technical - Developer</t>
        </is>
      </c>
      <c r="AT293" s="53" t="n">
        <v>20</v>
      </c>
      <c r="AU293" s="53" t="inlineStr">
        <is>
          <t>Covered</t>
        </is>
      </c>
      <c r="AV293" s="53" t="n"/>
      <c r="AW293" s="53" t="n"/>
      <c r="AX293" s="53" t="n"/>
      <c r="AY293" s="53" t="n"/>
      <c r="AZ293" s="53" t="n"/>
      <c r="BA293" s="53" t="n"/>
      <c r="BB293" s="53" t="n"/>
      <c r="BC293" s="53" t="n"/>
      <c r="BD293" s="53" t="n"/>
      <c r="BE293" s="53" t="n"/>
      <c r="BF293" s="53" t="n"/>
      <c r="BG293" s="53" t="n"/>
      <c r="BH293" s="53" t="n"/>
      <c r="BI293" s="53" t="n"/>
      <c r="BJ293" s="53" t="n"/>
      <c r="BK293" s="53" t="n"/>
      <c r="BL293" s="53" t="n"/>
      <c r="BM293" s="53" t="n"/>
      <c r="BN293" s="53" t="n"/>
      <c r="BO293" s="53" t="n"/>
      <c r="BP293" s="53" t="n"/>
      <c r="BQ293" s="53" t="n"/>
      <c r="BR293" s="53" t="n"/>
      <c r="BS293" s="53" t="n"/>
      <c r="BT293" s="53" t="n"/>
      <c r="BU293" s="53" t="n"/>
      <c r="BV293" s="53" t="n"/>
      <c r="BW293" s="53" t="n"/>
      <c r="BX293" s="53" t="n"/>
      <c r="BY293" s="53" t="n"/>
      <c r="BZ293" s="53" t="n"/>
      <c r="CA293" s="53" t="n"/>
      <c r="CB293" s="53" t="n"/>
      <c r="CC293" s="53" t="n"/>
      <c r="CD293" s="53" t="n"/>
      <c r="CE293" s="53" t="n"/>
      <c r="CF293" s="53" t="n"/>
      <c r="CG293" s="53" t="n"/>
      <c r="CH293" s="53" t="n"/>
      <c r="CI293" s="53" t="n"/>
      <c r="CJ293" s="53" t="n"/>
      <c r="CK293" s="53" t="n"/>
      <c r="CL293" s="53" t="n"/>
      <c r="CM293" s="53" t="n"/>
      <c r="CN293" s="53" t="n"/>
      <c r="CO293" s="53" t="n"/>
      <c r="CP293" s="53" t="n"/>
      <c r="CQ293" s="53" t="n"/>
      <c r="CR293" s="53" t="n"/>
      <c r="CS293" s="53" t="n"/>
      <c r="CT293" s="53" t="n"/>
      <c r="CU293" s="53" t="n"/>
      <c r="CV293" s="53" t="n"/>
      <c r="CW293" s="53" t="n"/>
      <c r="CX293" s="53" t="n"/>
      <c r="CY293" s="53" t="n"/>
      <c r="CZ293" s="53" t="n"/>
      <c r="DA293" s="53" t="n"/>
      <c r="DB293" s="53" t="n"/>
      <c r="DC293" s="53" t="n"/>
      <c r="DD293" s="53" t="inlineStr">
        <is>
          <t>IRIS2030</t>
        </is>
      </c>
      <c r="DE293" s="53" t="inlineStr">
        <is>
          <t>Employee</t>
        </is>
      </c>
      <c r="DF293" s="53" t="inlineStr">
        <is>
          <t>Active</t>
        </is>
      </c>
      <c r="DG293" s="53" t="inlineStr">
        <is>
          <t>Ritesh Gadekar</t>
        </is>
      </c>
      <c r="DH293" s="54" t="n">
        <v>44735</v>
      </c>
      <c r="DI293" s="53" t="inlineStr">
        <is>
          <t>Software Engineer</t>
        </is>
      </c>
      <c r="DJ293" s="53" t="inlineStr">
        <is>
          <t>Engineering &amp; Development</t>
        </is>
      </c>
      <c r="DK293" s="53" t="inlineStr">
        <is>
          <t>Backend Engineering ·.NET</t>
        </is>
      </c>
      <c r="DL293" s="53" t="inlineStr">
        <is>
          <t>Software Engineer</t>
        </is>
      </c>
      <c r="DM293" s="53" t="inlineStr">
        <is>
          <t>L3 – Professional / Associate</t>
        </is>
      </c>
      <c r="DN293" s="53" t="inlineStr">
        <is>
          <t>MSc</t>
        </is>
      </c>
      <c r="DO293" s="53" t="inlineStr">
        <is>
          <t>Pragati Raskar</t>
        </is>
      </c>
      <c r="DP293" s="53" t="inlineStr">
        <is>
          <t>N-4</t>
        </is>
      </c>
      <c r="DQ293" s="53" t="inlineStr">
        <is>
          <t>Individual Contributor</t>
        </is>
      </c>
      <c r="DR293" s="53" t="inlineStr">
        <is>
          <t>0 years, 0 months, 0 days</t>
        </is>
      </c>
      <c r="DS293" s="53" t="inlineStr">
        <is>
          <t>3 years, 11 months, 28 days</t>
        </is>
      </c>
      <c r="DT293" s="53" t="inlineStr">
        <is>
          <t>3 years, 11 months, 28 days</t>
        </is>
      </c>
      <c r="DU293" s="53" t="n"/>
      <c r="DV293" s="53" t="inlineStr">
        <is>
          <t>Suptech</t>
        </is>
      </c>
      <c r="DW293" s="53" t="inlineStr">
        <is>
          <t>iFile</t>
        </is>
      </c>
      <c r="DX293" s="53" t="inlineStr">
        <is>
          <t>Technology</t>
        </is>
      </c>
      <c r="DY293" s="53" t="inlineStr">
        <is>
          <t>Development</t>
        </is>
      </c>
      <c r="DZ293" s="53" t="inlineStr">
        <is>
          <t>Yes</t>
        </is>
      </c>
      <c r="EA293" s="53" t="inlineStr">
        <is>
          <t>Product/Project</t>
        </is>
      </c>
      <c r="EB293" s="53" t="inlineStr">
        <is>
          <t>.NET MVC</t>
        </is>
      </c>
      <c r="EC293" s="53" t="inlineStr">
        <is>
          <t>Technical - Developer</t>
        </is>
      </c>
      <c r="ED293" s="53" t="inlineStr">
        <is>
          <t>Remote - Mumbai</t>
        </is>
      </c>
      <c r="EE293" s="53" t="inlineStr">
        <is>
          <t>.NET Tasks, XBRL Tasks, Aiusage, Document Tasks, Requirement Analyis Tasks</t>
        </is>
      </c>
      <c r="EF29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3" s="53" t="n">
        <v>4</v>
      </c>
      <c r="EI293" s="54" t="n">
        <v>46203</v>
      </c>
      <c r="EJ293" s="53" t="inlineStr">
        <is>
          <t>Software Engineer</t>
        </is>
      </c>
      <c r="EK293" s="53" t="inlineStr">
        <is>
          <t>NO COMMENT</t>
        </is>
      </c>
      <c r="EL293" s="53" t="n">
        <v>4</v>
      </c>
      <c r="EM293" s="53" t="inlineStr">
        <is>
          <t>High</t>
        </is>
      </c>
      <c r="EN293" s="53" t="inlineStr">
        <is>
          <t>Trusted Professional</t>
        </is>
      </c>
      <c r="EO293" s="53" t="inlineStr">
        <is>
          <t>Yes</t>
        </is>
      </c>
      <c r="EP293" s="53" t="inlineStr">
        <is>
          <t>Yes</t>
        </is>
      </c>
      <c r="EQ293" s="53" t="inlineStr">
        <is>
          <t>Yes</t>
        </is>
      </c>
      <c r="ER293" s="53" t="inlineStr">
        <is>
          <t>NO</t>
        </is>
      </c>
      <c r="ES293" s="53" t="inlineStr">
        <is>
          <t>Advanced .NET MVC; secure coding &amp; code-quality practices; unit/automated testing; system design fundamentals</t>
        </is>
      </c>
      <c r="ET293" s="53" t="inlineStr">
        <is>
          <t>Transition to leadership: people management &amp; delegation, mentoring/coaching, project ownership &amp; stakeholder management, prioritisation under ambiguity, presentation &amp; influence skills</t>
        </is>
      </c>
      <c r="EU293" s="53" t="inlineStr">
        <is>
          <t>NO</t>
        </is>
      </c>
      <c r="EV293" s="53" t="n"/>
      <c r="EW293" s="52" t="n"/>
      <c r="EX293" s="53" t="n"/>
      <c r="EY293" s="53" t="n"/>
      <c r="EZ293" s="53" t="n"/>
      <c r="FA293" s="53" t="n"/>
      <c r="FB293" s="53" t="n"/>
      <c r="FC293" s="53" t="n"/>
      <c r="FD293" s="53" t="n"/>
      <c r="FE29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3" s="56" t="inlineStr">
        <is>
          <t>.NET Tasks, XBRL Tasks, Aiusage, Document Tasks, Requirement Analyis Tasks</t>
        </is>
      </c>
      <c r="FH293" s="56" t="inlineStr">
        <is>
          <t>4</t>
        </is>
      </c>
      <c r="FI293" s="56" t="n"/>
      <c r="FJ293" s="56" t="inlineStr">
        <is>
          <t>Received · manager annual, quarterly, self</t>
        </is>
      </c>
      <c r="FK293" s="56" t="inlineStr">
        <is>
          <t>Talent Mapping · iFile collated</t>
        </is>
      </c>
      <c r="FL293" s="56" t="n">
        <v>20</v>
      </c>
      <c r="FM293" s="32" t="inlineStr">
        <is>
          <t>Full survey answers not in the files received · How We Grow export needed · HR</t>
        </is>
      </c>
      <c r="FN293" s="56" t="inlineStr">
        <is>
          <t>—</t>
        </is>
      </c>
      <c r="FO293" s="56" t="inlineStr">
        <is>
          <t>—</t>
        </is>
      </c>
      <c r="FP293" s="56" t="inlineStr">
        <is>
          <t>—</t>
        </is>
      </c>
      <c r="FQ293" s="56" t="inlineStr">
        <is>
          <t>—</t>
        </is>
      </c>
      <c r="FR293" s="56" t="inlineStr">
        <is>
          <t>Business Impact: Moved +0.5: the survey / manager mapping marks it business-critical.</t>
        </is>
      </c>
      <c r="FS29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3" s="56" t="inlineStr">
        <is>
          <t>Self-identified: Leadership &amp; people management · Technical depth &amp; architecture · Broader exposure &amp; ownership
For the next role: Leadership &amp; people management · Project / programme management · Technical depth &amp; architecture · Broader exposure &amp; ownership</t>
        </is>
      </c>
      <c r="FU293" s="32" t="inlineStr">
        <is>
          <t>Full survey answers not in the files received · How We Grow export needed · HR</t>
        </is>
      </c>
    </row>
    <row r="294" ht="90" customHeight="1">
      <c r="A294" s="51" t="inlineStr">
        <is>
          <t>◂ Back</t>
        </is>
      </c>
      <c r="B294" s="29" t="inlineStr">
        <is>
          <t>Mapped</t>
        </is>
      </c>
      <c r="C294" s="28" t="inlineStr">
        <is>
          <t>iFile</t>
        </is>
      </c>
      <c r="D294" s="29" t="inlineStr">
        <is>
          <t>IRIS2162</t>
        </is>
      </c>
      <c r="E294" s="29" t="inlineStr">
        <is>
          <t>Vikash Gupta</t>
        </is>
      </c>
      <c r="F294" s="29" t="inlineStr">
        <is>
          <t>Technology</t>
        </is>
      </c>
      <c r="G294" s="29" t="inlineStr">
        <is>
          <t>Senior Software Engineer</t>
        </is>
      </c>
      <c r="H294" s="29" t="inlineStr">
        <is>
          <t>Technical Specialist</t>
        </is>
      </c>
      <c r="I294" s="29" t="inlineStr">
        <is>
          <t>L4 – Senior</t>
        </is>
      </c>
      <c r="J294" s="29" t="inlineStr">
        <is>
          <t>B1</t>
        </is>
      </c>
      <c r="K294" s="29" t="inlineStr">
        <is>
          <t>▲ Up</t>
        </is>
      </c>
      <c r="L294" s="29" t="inlineStr">
        <is>
          <t>Engineering &amp; Development</t>
        </is>
      </c>
      <c r="M294" s="29" t="inlineStr">
        <is>
          <t>Full-Stack Development</t>
        </is>
      </c>
      <c r="N294" s="29" t="n"/>
      <c r="O294" s="29" t="n">
        <v>20</v>
      </c>
      <c r="P294" s="28" t="inlineStr">
        <is>
          <t>P3 / M2</t>
        </is>
      </c>
      <c r="Q294" s="29" t="inlineStr">
        <is>
          <t>Career / · Team Lead</t>
        </is>
      </c>
      <c r="R294" s="29" t="inlineStr">
        <is>
          <t>4 Enable</t>
        </is>
      </c>
      <c r="S294" s="29" t="inlineStr">
        <is>
          <t>4–7 yrs</t>
        </is>
      </c>
      <c r="T294" s="29" t="inlineStr">
        <is>
          <t>5–8 · 4–8</t>
        </is>
      </c>
      <c r="U294" s="29" t="inlineStr">
        <is>
          <t>Senior Software Engineer</t>
        </is>
      </c>
      <c r="V294" s="29" t="inlineStr">
        <is>
          <t>Workiva: SE / Senior SE · Broadridge India: Senior SE · Nasdaq / AxiomSL: Senior SE · Salesforce: MTS · Atlassian: P40 · Freshworks: Senior SE</t>
        </is>
      </c>
      <c r="W294" s="29" t="inlineStr">
        <is>
          <t>SFIA 9 · software development, programming; OWASP secure coding; cloud vendor certifications</t>
        </is>
      </c>
      <c r="X294" s="29" t="inlineStr">
        <is>
          <t>Core 3 · Future 3 · Functional 3 · Leadership 1</t>
        </is>
      </c>
      <c r="Y294" s="52" t="n">
        <v>286</v>
      </c>
      <c r="Z294" s="53" t="inlineStr">
        <is>
          <t>IRIS2162</t>
        </is>
      </c>
      <c r="AA294" s="53" t="inlineStr">
        <is>
          <t>Employee</t>
        </is>
      </c>
      <c r="AB294" s="53" t="inlineStr">
        <is>
          <t>Active</t>
        </is>
      </c>
      <c r="AC294" s="53" t="inlineStr">
        <is>
          <t>Vikash Gupta</t>
        </is>
      </c>
      <c r="AD294" s="54" t="n">
        <v>45133</v>
      </c>
      <c r="AE294" s="53" t="inlineStr">
        <is>
          <t>Senior Software Engineer</t>
        </is>
      </c>
      <c r="AF294" s="53" t="inlineStr">
        <is>
          <t>MCA</t>
        </is>
      </c>
      <c r="AG294" s="53" t="inlineStr">
        <is>
          <t>Hemant Trivedi</t>
        </is>
      </c>
      <c r="AH294" s="53" t="inlineStr">
        <is>
          <t>N-4</t>
        </is>
      </c>
      <c r="AI294" s="53" t="inlineStr">
        <is>
          <t>Individual Contributor</t>
        </is>
      </c>
      <c r="AJ294" s="53" t="inlineStr">
        <is>
          <t>12 years, 0 months, 0 days</t>
        </is>
      </c>
      <c r="AK294" s="53" t="inlineStr">
        <is>
          <t>3 years, 0 months, 30 days</t>
        </is>
      </c>
      <c r="AL294" s="53" t="inlineStr">
        <is>
          <t>Suptech</t>
        </is>
      </c>
      <c r="AM294" s="53" t="inlineStr">
        <is>
          <t>iFile</t>
        </is>
      </c>
      <c r="AN294" s="53" t="inlineStr">
        <is>
          <t>Technology</t>
        </is>
      </c>
      <c r="AO294" s="53" t="inlineStr">
        <is>
          <t>Development</t>
        </is>
      </c>
      <c r="AP294" s="53" t="inlineStr">
        <is>
          <t>Yes</t>
        </is>
      </c>
      <c r="AQ294" s="53" t="inlineStr">
        <is>
          <t>Product/Project</t>
        </is>
      </c>
      <c r="AR294" s="53" t="inlineStr">
        <is>
          <t>.NET MVC + Angular</t>
        </is>
      </c>
      <c r="AS294" s="53" t="inlineStr">
        <is>
          <t>Technical - Developer</t>
        </is>
      </c>
      <c r="AT294" s="53" t="n">
        <v>20</v>
      </c>
      <c r="AU294" s="53" t="inlineStr">
        <is>
          <t>Covered</t>
        </is>
      </c>
      <c r="AV294" s="53" t="n"/>
      <c r="AW294" s="53" t="n"/>
      <c r="AX294" s="53" t="n"/>
      <c r="AY294" s="53" t="n"/>
      <c r="AZ294" s="53" t="n"/>
      <c r="BA294" s="53" t="n"/>
      <c r="BB294" s="53" t="n"/>
      <c r="BC294" s="53" t="n"/>
      <c r="BD294" s="53" t="n"/>
      <c r="BE294" s="53" t="n"/>
      <c r="BF294" s="53" t="n"/>
      <c r="BG294" s="53" t="n"/>
      <c r="BH294" s="53" t="n"/>
      <c r="BI294" s="53" t="n"/>
      <c r="BJ294" s="53" t="n"/>
      <c r="BK294" s="53" t="n"/>
      <c r="BL294" s="53" t="n"/>
      <c r="BM294" s="53" t="n"/>
      <c r="BN294" s="53" t="n"/>
      <c r="BO294" s="53" t="n"/>
      <c r="BP294" s="53" t="n"/>
      <c r="BQ294" s="53" t="n"/>
      <c r="BR294" s="53" t="n"/>
      <c r="BS294" s="53" t="n"/>
      <c r="BT294" s="53" t="n"/>
      <c r="BU294" s="53" t="n"/>
      <c r="BV294" s="53" t="n"/>
      <c r="BW294" s="53" t="n"/>
      <c r="BX294" s="53" t="n"/>
      <c r="BY294" s="53" t="n"/>
      <c r="BZ294" s="53" t="n"/>
      <c r="CA294" s="53" t="n"/>
      <c r="CB294" s="53" t="n"/>
      <c r="CC294" s="53" t="n"/>
      <c r="CD294" s="53" t="n"/>
      <c r="CE294" s="53" t="n"/>
      <c r="CF294" s="53" t="n"/>
      <c r="CG294" s="53" t="n"/>
      <c r="CH294" s="53" t="n"/>
      <c r="CI294" s="53" t="n"/>
      <c r="CJ294" s="53" t="n"/>
      <c r="CK294" s="53" t="n"/>
      <c r="CL294" s="53" t="n"/>
      <c r="CM294" s="53" t="n"/>
      <c r="CN294" s="53" t="n"/>
      <c r="CO294" s="53" t="n"/>
      <c r="CP294" s="53" t="n"/>
      <c r="CQ294" s="53" t="n"/>
      <c r="CR294" s="53" t="n"/>
      <c r="CS294" s="53" t="n"/>
      <c r="CT294" s="53" t="n"/>
      <c r="CU294" s="53" t="n"/>
      <c r="CV294" s="53" t="n"/>
      <c r="CW294" s="53" t="n"/>
      <c r="CX294" s="53" t="n"/>
      <c r="CY294" s="53" t="n"/>
      <c r="CZ294" s="53" t="n"/>
      <c r="DA294" s="53" t="n"/>
      <c r="DB294" s="53" t="n"/>
      <c r="DC294" s="53" t="n"/>
      <c r="DD294" s="53" t="inlineStr">
        <is>
          <t>IRIS2162</t>
        </is>
      </c>
      <c r="DE294" s="53" t="inlineStr">
        <is>
          <t>Employee</t>
        </is>
      </c>
      <c r="DF294" s="53" t="inlineStr">
        <is>
          <t>Active</t>
        </is>
      </c>
      <c r="DG294" s="53" t="inlineStr">
        <is>
          <t>Vikash Gupta</t>
        </is>
      </c>
      <c r="DH294" s="54" t="n">
        <v>45133</v>
      </c>
      <c r="DI294" s="53" t="inlineStr">
        <is>
          <t>Senior Software Engineer</t>
        </is>
      </c>
      <c r="DJ294" s="53" t="inlineStr">
        <is>
          <t>Engineering &amp; Development</t>
        </is>
      </c>
      <c r="DK294" s="53" t="inlineStr">
        <is>
          <t>Backend Engineering ·.NET</t>
        </is>
      </c>
      <c r="DL294" s="53" t="inlineStr">
        <is>
          <t>Senior Software Engineer</t>
        </is>
      </c>
      <c r="DM294" s="53" t="inlineStr">
        <is>
          <t>L4 – Senior</t>
        </is>
      </c>
      <c r="DN294" s="53" t="inlineStr">
        <is>
          <t>MCA</t>
        </is>
      </c>
      <c r="DO294" s="53" t="inlineStr">
        <is>
          <t>Hemant Trivedi</t>
        </is>
      </c>
      <c r="DP294" s="53" t="inlineStr">
        <is>
          <t>N-3</t>
        </is>
      </c>
      <c r="DQ294" s="53" t="inlineStr">
        <is>
          <t>Individual Contributor</t>
        </is>
      </c>
      <c r="DR294" s="53" t="inlineStr">
        <is>
          <t>12 years, 0 months, 0 days</t>
        </is>
      </c>
      <c r="DS294" s="53" t="inlineStr">
        <is>
          <t>2 years, 10 months, 25 days</t>
        </is>
      </c>
      <c r="DT294" s="53" t="inlineStr">
        <is>
          <t>14 years, 10 months, 25 days</t>
        </is>
      </c>
      <c r="DU294" s="53" t="n"/>
      <c r="DV294" s="53" t="inlineStr">
        <is>
          <t>Suptech</t>
        </is>
      </c>
      <c r="DW294" s="53" t="inlineStr">
        <is>
          <t>iFile</t>
        </is>
      </c>
      <c r="DX294" s="53" t="inlineStr">
        <is>
          <t>Technology</t>
        </is>
      </c>
      <c r="DY294" s="53" t="inlineStr">
        <is>
          <t>Development</t>
        </is>
      </c>
      <c r="DZ294" s="53" t="inlineStr">
        <is>
          <t>Yes</t>
        </is>
      </c>
      <c r="EA294" s="53" t="inlineStr">
        <is>
          <t>Product/Project</t>
        </is>
      </c>
      <c r="EB294" s="53" t="inlineStr">
        <is>
          <t>.NET MVC + Angular</t>
        </is>
      </c>
      <c r="EC294" s="53" t="inlineStr">
        <is>
          <t>Technical - Developer</t>
        </is>
      </c>
      <c r="ED294" s="53" t="inlineStr">
        <is>
          <t>Hybrid</t>
        </is>
      </c>
      <c r="EE294" s="53" t="inlineStr">
        <is>
          <t>.NET Tasks, XBRL Tasks, Aiusage, Document Tasks, Requirement Analyis Tasks</t>
        </is>
      </c>
      <c r="EF29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4" s="53" t="n">
        <v>4</v>
      </c>
      <c r="EI294" s="54" t="n">
        <v>46203</v>
      </c>
      <c r="EJ294" s="53" t="inlineStr">
        <is>
          <t>Senior Software Engineer</t>
        </is>
      </c>
      <c r="EK294" s="53" t="inlineStr">
        <is>
          <t>NO COMMENT</t>
        </is>
      </c>
      <c r="EL294" s="53" t="n">
        <v>4</v>
      </c>
      <c r="EM294" s="53" t="inlineStr">
        <is>
          <t>High</t>
        </is>
      </c>
      <c r="EN294" s="53" t="inlineStr">
        <is>
          <t>Trusted Professional</t>
        </is>
      </c>
      <c r="EO294" s="53" t="inlineStr">
        <is>
          <t>Yes</t>
        </is>
      </c>
      <c r="EP294" s="53" t="inlineStr">
        <is>
          <t>Yes</t>
        </is>
      </c>
      <c r="EQ294" s="53" t="inlineStr">
        <is>
          <t>Yes</t>
        </is>
      </c>
      <c r="ER294" s="53" t="inlineStr">
        <is>
          <t>NO</t>
        </is>
      </c>
      <c r="ES294" s="53" t="inlineStr">
        <is>
          <t>Advanced .NET MVC + Angular; secure coding &amp; code-quality practices; unit/automated testing; system design fundamentals</t>
        </is>
      </c>
      <c r="ET294" s="53" t="inlineStr">
        <is>
          <t>Transition to leadership: people management &amp; delegation, mentoring/coaching, project ownership &amp; stakeholder management, prioritisation under ambiguity, presentation &amp; influence skills</t>
        </is>
      </c>
      <c r="EU294" s="53" t="inlineStr">
        <is>
          <t>NO</t>
        </is>
      </c>
      <c r="EV294" s="53" t="n"/>
      <c r="EW294" s="52" t="n"/>
      <c r="EX294" s="53" t="n"/>
      <c r="EY294" s="53" t="n"/>
      <c r="EZ294" s="53" t="n"/>
      <c r="FA294" s="53" t="n"/>
      <c r="FB294" s="53" t="n"/>
      <c r="FC294" s="53" t="n"/>
      <c r="FD294" s="53" t="n"/>
      <c r="FE29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4" s="56" t="inlineStr">
        <is>
          <t>.NET Tasks, XBRL Tasks, Aiusage, Document Tasks, Requirement Analyis Tasks</t>
        </is>
      </c>
      <c r="FH294" s="56" t="inlineStr">
        <is>
          <t>4</t>
        </is>
      </c>
      <c r="FI294" s="56" t="n"/>
      <c r="FJ294" s="56" t="inlineStr">
        <is>
          <t>Received · manager annual, quarterly, self</t>
        </is>
      </c>
      <c r="FK294" s="56" t="inlineStr">
        <is>
          <t>Talent Mapping · iFile collated</t>
        </is>
      </c>
      <c r="FL294" s="56" t="n">
        <v>20</v>
      </c>
      <c r="FM294" s="32" t="inlineStr">
        <is>
          <t>Full survey answers not in the files received · How We Grow export needed · HR</t>
        </is>
      </c>
      <c r="FN294" s="56" t="inlineStr">
        <is>
          <t>—</t>
        </is>
      </c>
      <c r="FO294" s="56" t="inlineStr">
        <is>
          <t>—</t>
        </is>
      </c>
      <c r="FP294" s="56" t="inlineStr">
        <is>
          <t>—</t>
        </is>
      </c>
      <c r="FQ294" s="56" t="inlineStr">
        <is>
          <t>—</t>
        </is>
      </c>
      <c r="FR294" s="56" t="inlineStr">
        <is>
          <t>Business Impact: Moved +0.5: the survey / manager mapping marks it business-critical.</t>
        </is>
      </c>
      <c r="FS294"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94" s="56" t="inlineStr">
        <is>
          <t>Self-identified: Project / programme management · Technical depth &amp; architecture · Strategy &amp; business acumen · Broader exposure &amp; ownership
For the next role: Leadership &amp; people management · Project / programme management · Technical depth &amp; architecture · Communication &amp; presentation · Strategy &amp; business acumen · Broader exposure &amp; ownership</t>
        </is>
      </c>
      <c r="FU294" s="32" t="inlineStr">
        <is>
          <t>Full survey answers not in the files received · How We Grow export needed · HR</t>
        </is>
      </c>
    </row>
    <row r="295" ht="90" customHeight="1">
      <c r="A295" s="51" t="inlineStr">
        <is>
          <t>◂ Back</t>
        </is>
      </c>
      <c r="B295" s="29" t="inlineStr">
        <is>
          <t>Mapped</t>
        </is>
      </c>
      <c r="C295" s="28" t="inlineStr">
        <is>
          <t>iFile</t>
        </is>
      </c>
      <c r="D295" s="29" t="inlineStr">
        <is>
          <t>IRIS2299</t>
        </is>
      </c>
      <c r="E295" s="29" t="inlineStr">
        <is>
          <t>Mukesh Babulal Suthar</t>
        </is>
      </c>
      <c r="F295" s="29" t="inlineStr">
        <is>
          <t>Technology</t>
        </is>
      </c>
      <c r="G295" s="29" t="inlineStr">
        <is>
          <t>Senior Software Engineer</t>
        </is>
      </c>
      <c r="H295" s="29" t="inlineStr">
        <is>
          <t>Senior Software Engineer</t>
        </is>
      </c>
      <c r="I295" s="29" t="inlineStr">
        <is>
          <t>L4 – Senior</t>
        </is>
      </c>
      <c r="J295" s="29" t="inlineStr">
        <is>
          <t>A3</t>
        </is>
      </c>
      <c r="K295" s="29" t="inlineStr">
        <is>
          <t>• Same level</t>
        </is>
      </c>
      <c r="L295" s="29" t="inlineStr">
        <is>
          <t>Engineering &amp; Development</t>
        </is>
      </c>
      <c r="M295" s="29" t="inlineStr">
        <is>
          <t>Backend Development</t>
        </is>
      </c>
      <c r="N295" s="29" t="n"/>
      <c r="O295" s="29" t="n">
        <v>20</v>
      </c>
      <c r="P295" s="28" t="inlineStr">
        <is>
          <t>P2</t>
        </is>
      </c>
      <c r="Q295" s="29" t="inlineStr">
        <is>
          <t>Developing</t>
        </is>
      </c>
      <c r="R295" s="29" t="inlineStr">
        <is>
          <t>3 Apply</t>
        </is>
      </c>
      <c r="S295" s="29" t="inlineStr">
        <is>
          <t>2–4 yrs</t>
        </is>
      </c>
      <c r="T295" s="29" t="inlineStr">
        <is>
          <t>3–5 · 2–5</t>
        </is>
      </c>
      <c r="U295" s="29" t="inlineStr">
        <is>
          <t>Software Engineer</t>
        </is>
      </c>
      <c r="V295" s="29" t="inlineStr">
        <is>
          <t>Workiva: SE · Broadridge India: SE · Nasdaq / AxiomSL: SE · Salesforce: MTS · Atlassian: P40 · 3–7 yrs · Freshworks: Senior SE</t>
        </is>
      </c>
      <c r="W295" s="29" t="inlineStr">
        <is>
          <t>SFIA 9 · software development, programming; OWASP secure coding; cloud vendor certifications</t>
        </is>
      </c>
      <c r="X295" s="29" t="inlineStr">
        <is>
          <t>Core 2 · Future 2 · Functional 3 · Leadership not scored</t>
        </is>
      </c>
      <c r="Y295" s="52" t="n">
        <v>337</v>
      </c>
      <c r="Z295" s="53" t="inlineStr">
        <is>
          <t>IRIS2299</t>
        </is>
      </c>
      <c r="AA295" s="53" t="inlineStr">
        <is>
          <t>Employee</t>
        </is>
      </c>
      <c r="AB295" s="53" t="inlineStr">
        <is>
          <t>Active</t>
        </is>
      </c>
      <c r="AC295" s="53" t="inlineStr">
        <is>
          <t>Mukesh Babulal Suthar</t>
        </is>
      </c>
      <c r="AD295" s="54" t="n">
        <v>45512</v>
      </c>
      <c r="AE295" s="53" t="inlineStr">
        <is>
          <t>Senior Software Engineer</t>
        </is>
      </c>
      <c r="AF295" s="53" t="inlineStr">
        <is>
          <t>B.E</t>
        </is>
      </c>
      <c r="AG295" s="53" t="inlineStr">
        <is>
          <t>Hemant Trivedi</t>
        </is>
      </c>
      <c r="AH295" s="53" t="inlineStr">
        <is>
          <t>N-4</t>
        </is>
      </c>
      <c r="AI295" s="53" t="inlineStr">
        <is>
          <t>Individual Contributor</t>
        </is>
      </c>
      <c r="AJ295" s="53" t="inlineStr">
        <is>
          <t>9 years, 0 months, 0 days</t>
        </is>
      </c>
      <c r="AK295" s="53" t="inlineStr">
        <is>
          <t>2 years, 0 months, 17 days</t>
        </is>
      </c>
      <c r="AL295" s="53" t="inlineStr">
        <is>
          <t>Suptech</t>
        </is>
      </c>
      <c r="AM295" s="53" t="inlineStr">
        <is>
          <t>iFile</t>
        </is>
      </c>
      <c r="AN295" s="53" t="inlineStr">
        <is>
          <t>Technology</t>
        </is>
      </c>
      <c r="AO295" s="53" t="inlineStr">
        <is>
          <t>Development</t>
        </is>
      </c>
      <c r="AP295" s="53" t="inlineStr">
        <is>
          <t>Yes</t>
        </is>
      </c>
      <c r="AQ295" s="53" t="inlineStr">
        <is>
          <t>Product/Project</t>
        </is>
      </c>
      <c r="AR295" s="53" t="inlineStr">
        <is>
          <t>.NET MVC</t>
        </is>
      </c>
      <c r="AS295" s="53" t="inlineStr">
        <is>
          <t>Technical - Developer</t>
        </is>
      </c>
      <c r="AT295" s="53" t="n">
        <v>20</v>
      </c>
      <c r="AU295" s="53" t="inlineStr">
        <is>
          <t>Covered</t>
        </is>
      </c>
      <c r="AV295" s="53" t="n"/>
      <c r="AW295" s="53" t="n"/>
      <c r="AX295" s="53" t="n"/>
      <c r="AY295" s="53" t="n"/>
      <c r="AZ295" s="53" t="n"/>
      <c r="BA295" s="53" t="n"/>
      <c r="BB295" s="53" t="n"/>
      <c r="BC295" s="53" t="n"/>
      <c r="BD295" s="53" t="n"/>
      <c r="BE295" s="53" t="n"/>
      <c r="BF295" s="53" t="n"/>
      <c r="BG295" s="53" t="n"/>
      <c r="BH295" s="53" t="n"/>
      <c r="BI295" s="53" t="n"/>
      <c r="BJ295" s="53" t="n"/>
      <c r="BK295" s="53" t="n"/>
      <c r="BL295" s="53" t="n"/>
      <c r="BM295" s="53" t="n"/>
      <c r="BN295" s="53" t="n"/>
      <c r="BO295" s="53" t="n"/>
      <c r="BP295" s="53" t="n"/>
      <c r="BQ295" s="53" t="n"/>
      <c r="BR295" s="53" t="n"/>
      <c r="BS295" s="53" t="n"/>
      <c r="BT295" s="53" t="n"/>
      <c r="BU295" s="53" t="n"/>
      <c r="BV295" s="53" t="n"/>
      <c r="BW295" s="53" t="n"/>
      <c r="BX295" s="53" t="n"/>
      <c r="BY295" s="53" t="n"/>
      <c r="BZ295" s="53" t="n"/>
      <c r="CA295" s="53" t="n"/>
      <c r="CB295" s="53" t="n"/>
      <c r="CC295" s="53" t="n"/>
      <c r="CD295" s="53" t="n"/>
      <c r="CE295" s="53" t="n"/>
      <c r="CF295" s="53" t="n"/>
      <c r="CG295" s="53" t="n"/>
      <c r="CH295" s="53" t="n"/>
      <c r="CI295" s="53" t="n"/>
      <c r="CJ295" s="53" t="n"/>
      <c r="CK295" s="53" t="n"/>
      <c r="CL295" s="53" t="n"/>
      <c r="CM295" s="53" t="n"/>
      <c r="CN295" s="53" t="n"/>
      <c r="CO295" s="53" t="n"/>
      <c r="CP295" s="53" t="n"/>
      <c r="CQ295" s="53" t="n"/>
      <c r="CR295" s="53" t="n"/>
      <c r="CS295" s="53" t="n"/>
      <c r="CT295" s="53" t="n"/>
      <c r="CU295" s="53" t="n"/>
      <c r="CV295" s="53" t="n"/>
      <c r="CW295" s="53" t="n"/>
      <c r="CX295" s="53" t="n"/>
      <c r="CY295" s="53" t="n"/>
      <c r="CZ295" s="53" t="n"/>
      <c r="DA295" s="53" t="n"/>
      <c r="DB295" s="53" t="n"/>
      <c r="DC295" s="53" t="n"/>
      <c r="DD295" s="53" t="inlineStr">
        <is>
          <t>IRIS2299</t>
        </is>
      </c>
      <c r="DE295" s="53" t="inlineStr">
        <is>
          <t>Employee</t>
        </is>
      </c>
      <c r="DF295" s="53" t="inlineStr">
        <is>
          <t>Active</t>
        </is>
      </c>
      <c r="DG295" s="53" t="inlineStr">
        <is>
          <t>Mukesh Babulal Suthar</t>
        </is>
      </c>
      <c r="DH295" s="54" t="n">
        <v>45512</v>
      </c>
      <c r="DI295" s="53" t="inlineStr">
        <is>
          <t>Senior Software Engineer</t>
        </is>
      </c>
      <c r="DJ295" s="53" t="inlineStr">
        <is>
          <t>Engineering &amp; Development</t>
        </is>
      </c>
      <c r="DK295" s="53" t="inlineStr">
        <is>
          <t>Backend Engineering ·.NET</t>
        </is>
      </c>
      <c r="DL295" s="53" t="inlineStr">
        <is>
          <t>Senior Software Engineer</t>
        </is>
      </c>
      <c r="DM295" s="53" t="inlineStr">
        <is>
          <t>L4 – Senior</t>
        </is>
      </c>
      <c r="DN295" s="53" t="inlineStr">
        <is>
          <t>B.E</t>
        </is>
      </c>
      <c r="DO295" s="53" t="inlineStr">
        <is>
          <t>Hemant Trivedi</t>
        </is>
      </c>
      <c r="DP295" s="53" t="inlineStr">
        <is>
          <t>N-3</t>
        </is>
      </c>
      <c r="DQ295" s="53" t="inlineStr">
        <is>
          <t>Individual Contributor</t>
        </is>
      </c>
      <c r="DR295" s="53" t="inlineStr">
        <is>
          <t>9 years, 0 months, 0 days</t>
        </is>
      </c>
      <c r="DS295" s="53" t="inlineStr">
        <is>
          <t>1 years, 10 months, 12 days</t>
        </is>
      </c>
      <c r="DT295" s="53" t="inlineStr">
        <is>
          <t>10 years, 10 months, 12 days</t>
        </is>
      </c>
      <c r="DU295" s="53" t="n"/>
      <c r="DV295" s="53" t="inlineStr">
        <is>
          <t>Suptech</t>
        </is>
      </c>
      <c r="DW295" s="53" t="inlineStr">
        <is>
          <t>iFile</t>
        </is>
      </c>
      <c r="DX295" s="53" t="inlineStr">
        <is>
          <t>Technology</t>
        </is>
      </c>
      <c r="DY295" s="53" t="inlineStr">
        <is>
          <t>Development</t>
        </is>
      </c>
      <c r="DZ295" s="53" t="inlineStr">
        <is>
          <t>Yes</t>
        </is>
      </c>
      <c r="EA295" s="53" t="inlineStr">
        <is>
          <t>Product/Project</t>
        </is>
      </c>
      <c r="EB295" s="53" t="inlineStr">
        <is>
          <t>.NET MVC</t>
        </is>
      </c>
      <c r="EC295" s="53" t="inlineStr">
        <is>
          <t>Technical - Developer</t>
        </is>
      </c>
      <c r="ED295" s="53" t="inlineStr">
        <is>
          <t>Hybrid</t>
        </is>
      </c>
      <c r="EE295" s="53" t="inlineStr">
        <is>
          <t>.NET Tasks, XBRL Tasks, Aiusage, Document Tasks, Requirement Analyis Tasks</t>
        </is>
      </c>
      <c r="EF29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5" s="53" t="n">
        <v>4</v>
      </c>
      <c r="EI295" s="54" t="n">
        <v>46203</v>
      </c>
      <c r="EJ295" s="53" t="inlineStr">
        <is>
          <t>Senior Software Engineer</t>
        </is>
      </c>
      <c r="EK295" s="53" t="inlineStr">
        <is>
          <t>NO COMMENT</t>
        </is>
      </c>
      <c r="EL295" s="53" t="n">
        <v>4</v>
      </c>
      <c r="EM295" s="53" t="inlineStr">
        <is>
          <t>High</t>
        </is>
      </c>
      <c r="EN295" s="53" t="inlineStr">
        <is>
          <t>Trusted Professional</t>
        </is>
      </c>
      <c r="EO295" s="53" t="inlineStr">
        <is>
          <t>Yes</t>
        </is>
      </c>
      <c r="EP295" s="53" t="inlineStr">
        <is>
          <t>Yes</t>
        </is>
      </c>
      <c r="EQ295" s="53" t="inlineStr">
        <is>
          <t>Yes</t>
        </is>
      </c>
      <c r="ER295" s="53" t="inlineStr">
        <is>
          <t>NO</t>
        </is>
      </c>
      <c r="ES295" s="53" t="inlineStr">
        <is>
          <t>Advanced .NET MVC; secure coding &amp; code-quality practices; unit/automated testing; system design fundamentals</t>
        </is>
      </c>
      <c r="ET295" s="53" t="inlineStr">
        <is>
          <t>Transition to leadership: people management &amp; delegation, mentoring/coaching, project ownership &amp; stakeholder management, prioritisation under ambiguity, presentation &amp; influence skills</t>
        </is>
      </c>
      <c r="EU295" s="53" t="inlineStr">
        <is>
          <t>NO</t>
        </is>
      </c>
      <c r="EV295" s="53" t="n"/>
      <c r="EW295" s="52" t="n"/>
      <c r="EX295" s="53" t="n"/>
      <c r="EY295" s="53" t="n"/>
      <c r="EZ295" s="53" t="n"/>
      <c r="FA295" s="53" t="n"/>
      <c r="FB295" s="53" t="n"/>
      <c r="FC295" s="53" t="n"/>
      <c r="FD295" s="53" t="n"/>
      <c r="FE29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5" s="56" t="inlineStr">
        <is>
          <t>.NET Tasks, XBRL Tasks, Aiusage, Document Tasks, Requirement Analyis Tasks</t>
        </is>
      </c>
      <c r="FH295" s="56" t="inlineStr">
        <is>
          <t>4</t>
        </is>
      </c>
      <c r="FI295" s="56" t="n"/>
      <c r="FJ295" s="56" t="inlineStr">
        <is>
          <t>Received · manager annual, quarterly, self</t>
        </is>
      </c>
      <c r="FK295" s="56" t="inlineStr">
        <is>
          <t>Talent Mapping · iFile collated</t>
        </is>
      </c>
      <c r="FL295" s="56" t="n">
        <v>20</v>
      </c>
      <c r="FM295" s="32" t="inlineStr">
        <is>
          <t>Full survey answers not in the files received · How We Grow export needed · HR</t>
        </is>
      </c>
      <c r="FN295" s="56" t="inlineStr">
        <is>
          <t>—</t>
        </is>
      </c>
      <c r="FO295" s="56" t="inlineStr">
        <is>
          <t>—</t>
        </is>
      </c>
      <c r="FP295" s="56" t="inlineStr">
        <is>
          <t>—</t>
        </is>
      </c>
      <c r="FQ295" s="56" t="inlineStr">
        <is>
          <t>—</t>
        </is>
      </c>
      <c r="FR295" s="56"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Evidence reads like A1: No guiding or reviewing of others described → moved down 0.5
Business Impact: Moved +0.5: the survey / manager mapping marks it business-critical.</t>
        </is>
      </c>
      <c r="FS29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5" s="56" t="inlineStr">
        <is>
          <t>Self-identified: Answered · no common topic
For the next role: Answered · no common topic</t>
        </is>
      </c>
      <c r="FU295" s="32" t="inlineStr">
        <is>
          <t>Full survey answers not in the files received · How We Grow export needed · HR</t>
        </is>
      </c>
    </row>
    <row r="296" ht="90" customHeight="1">
      <c r="A296" s="51" t="inlineStr">
        <is>
          <t>◂ Back</t>
        </is>
      </c>
      <c r="B296" s="29" t="inlineStr">
        <is>
          <t>Mapped</t>
        </is>
      </c>
      <c r="C296" s="28" t="inlineStr">
        <is>
          <t>iFile</t>
        </is>
      </c>
      <c r="D296" s="29" t="inlineStr">
        <is>
          <t>IRIS1712</t>
        </is>
      </c>
      <c r="E296" s="29" t="inlineStr">
        <is>
          <t>Izharuddin Shaikh</t>
        </is>
      </c>
      <c r="F296" s="29" t="inlineStr">
        <is>
          <t>Technology</t>
        </is>
      </c>
      <c r="G296" s="29" t="inlineStr">
        <is>
          <t>Program Manager</t>
        </is>
      </c>
      <c r="H296" s="29" t="inlineStr">
        <is>
          <t>Practice Lead – Project &amp; Program Delivery · Player-Coach</t>
        </is>
      </c>
      <c r="I296" s="29" t="inlineStr">
        <is>
          <t>L5 – Manager</t>
        </is>
      </c>
      <c r="J296" s="29" t="inlineStr">
        <is>
          <t>B+</t>
        </is>
      </c>
      <c r="K296" s="29" t="inlineStr">
        <is>
          <t>▲ Up</t>
        </is>
      </c>
      <c r="L296" s="29" t="inlineStr">
        <is>
          <t>Project &amp; Program Management</t>
        </is>
      </c>
      <c r="M296" s="29" t="inlineStr">
        <is>
          <t>Project &amp; Program Delivery</t>
        </is>
      </c>
      <c r="N296" s="29" t="n"/>
      <c r="O296" s="29" t="n">
        <v>20</v>
      </c>
      <c r="P296" s="28" t="inlineStr">
        <is>
          <t>P5–P6 / M4–M5</t>
        </is>
      </c>
      <c r="Q296" s="29" t="inlineStr">
        <is>
          <t>Expert / Senior Manager · player-coach</t>
        </is>
      </c>
      <c r="R296" s="29" t="inlineStr">
        <is>
          <t>5 Ensure, advise</t>
        </is>
      </c>
      <c r="S296" s="29" t="inlineStr">
        <is>
          <t>9–14 yrs</t>
        </is>
      </c>
      <c r="T296" s="29" t="inlineStr">
        <is>
          <t>9–13 · 9–14</t>
        </is>
      </c>
      <c r="U296" s="29" t="inlineStr">
        <is>
          <t>Tech Lead Manager / Practice Lead · player-coach</t>
        </is>
      </c>
      <c r="V296" s="29" t="inlineStr">
        <is>
          <t>Google: Tech Lead Manager · TLM · McKinsey player/coach · 3–5 reports · SaaS: player-coach team lead carrying own work</t>
        </is>
      </c>
      <c r="W296" s="29" t="inlineStr">
        <is>
          <t>PMI PMBOK and Talent Triangle; CAPM · entry → PMP → PgMP; Scrum / SAFe</t>
        </is>
      </c>
      <c r="X296" s="29" t="inlineStr">
        <is>
          <t>Core 4 · Future 4 · Functional 4 · Leadership 4</t>
        </is>
      </c>
      <c r="Y296" s="52" t="n">
        <v>147</v>
      </c>
      <c r="Z296" s="53" t="inlineStr">
        <is>
          <t>IRIS1712</t>
        </is>
      </c>
      <c r="AA296" s="53" t="inlineStr">
        <is>
          <t>Employee</t>
        </is>
      </c>
      <c r="AB296" s="53" t="inlineStr">
        <is>
          <t>Active</t>
        </is>
      </c>
      <c r="AC296" s="53" t="inlineStr">
        <is>
          <t>Izharuddin Shaikh</t>
        </is>
      </c>
      <c r="AD296" s="54" t="n">
        <v>43188</v>
      </c>
      <c r="AE296" s="53" t="inlineStr">
        <is>
          <t>Program Manager</t>
        </is>
      </c>
      <c r="AF296" s="53" t="inlineStr">
        <is>
          <t>MBA</t>
        </is>
      </c>
      <c r="AG296" s="53" t="inlineStr">
        <is>
          <t>Pradip Dey</t>
        </is>
      </c>
      <c r="AH296" s="53" t="inlineStr">
        <is>
          <t>N-3</t>
        </is>
      </c>
      <c r="AI296" s="53" t="inlineStr">
        <is>
          <t>Manager</t>
        </is>
      </c>
      <c r="AJ296" s="53" t="inlineStr">
        <is>
          <t>12 years, 1 months, 0 days</t>
        </is>
      </c>
      <c r="AK296" s="53" t="inlineStr">
        <is>
          <t>8 years, 4 months, 27 days</t>
        </is>
      </c>
      <c r="AL296" s="53" t="inlineStr">
        <is>
          <t>Suptech</t>
        </is>
      </c>
      <c r="AM296" s="53" t="inlineStr">
        <is>
          <t>iFile</t>
        </is>
      </c>
      <c r="AN296" s="53" t="inlineStr">
        <is>
          <t>Technology</t>
        </is>
      </c>
      <c r="AO296" s="53" t="inlineStr">
        <is>
          <t>Project Management</t>
        </is>
      </c>
      <c r="AP296" s="53" t="inlineStr">
        <is>
          <t>Yes</t>
        </is>
      </c>
      <c r="AQ296" s="53" t="inlineStr">
        <is>
          <t>Product/Project</t>
        </is>
      </c>
      <c r="AR296" s="53" t="inlineStr">
        <is>
          <t>Project Management</t>
        </is>
      </c>
      <c r="AS296" s="53" t="inlineStr">
        <is>
          <t>Technical · BA, PM and QA</t>
        </is>
      </c>
      <c r="AT296" s="53" t="n">
        <v>20</v>
      </c>
      <c r="AU296" s="53" t="inlineStr">
        <is>
          <t>Covered</t>
        </is>
      </c>
      <c r="AV296" s="53" t="n"/>
      <c r="AW296" s="53" t="n"/>
      <c r="AX296" s="53" t="n"/>
      <c r="AY296" s="53" t="n"/>
      <c r="AZ296" s="53" t="n"/>
      <c r="BA296" s="53" t="n"/>
      <c r="BB296" s="53" t="n"/>
      <c r="BC296" s="53" t="n"/>
      <c r="BD296" s="53" t="n"/>
      <c r="BE296" s="53" t="n"/>
      <c r="BF296" s="53" t="n"/>
      <c r="BG296" s="53" t="n"/>
      <c r="BH296" s="53" t="n"/>
      <c r="BI296" s="53" t="n"/>
      <c r="BJ296" s="53" t="n"/>
      <c r="BK296" s="53" t="n"/>
      <c r="BL296" s="53" t="n"/>
      <c r="BM296" s="53" t="n"/>
      <c r="BN296" s="53" t="n"/>
      <c r="BO296" s="53" t="n"/>
      <c r="BP296" s="53" t="n"/>
      <c r="BQ296" s="53" t="n"/>
      <c r="BR296" s="53" t="n"/>
      <c r="BS296" s="53" t="n"/>
      <c r="BT296" s="53" t="n"/>
      <c r="BU296" s="53" t="n"/>
      <c r="BV296" s="53" t="n"/>
      <c r="BW296" s="53" t="n"/>
      <c r="BX296" s="53" t="n"/>
      <c r="BY296" s="53" t="n"/>
      <c r="BZ296" s="53" t="n"/>
      <c r="CA296" s="53" t="n"/>
      <c r="CB296" s="53" t="n"/>
      <c r="CC296" s="53" t="n"/>
      <c r="CD296" s="53" t="n"/>
      <c r="CE296" s="53" t="n"/>
      <c r="CF296" s="53" t="n"/>
      <c r="CG296" s="53" t="n"/>
      <c r="CH296" s="53" t="n"/>
      <c r="CI296" s="53" t="n"/>
      <c r="CJ296" s="53" t="n"/>
      <c r="CK296" s="53" t="n"/>
      <c r="CL296" s="53" t="n"/>
      <c r="CM296" s="53" t="n"/>
      <c r="CN296" s="53" t="n"/>
      <c r="CO296" s="53" t="n"/>
      <c r="CP296" s="53" t="n"/>
      <c r="CQ296" s="53" t="n"/>
      <c r="CR296" s="53" t="n"/>
      <c r="CS296" s="53" t="n"/>
      <c r="CT296" s="53" t="n"/>
      <c r="CU296" s="53" t="n"/>
      <c r="CV296" s="53" t="n"/>
      <c r="CW296" s="53" t="n"/>
      <c r="CX296" s="53" t="n"/>
      <c r="CY296" s="53" t="n"/>
      <c r="CZ296" s="53" t="n"/>
      <c r="DA296" s="53" t="n"/>
      <c r="DB296" s="53" t="n"/>
      <c r="DC296" s="53" t="n"/>
      <c r="DD296" s="53" t="inlineStr">
        <is>
          <t>IRIS1712</t>
        </is>
      </c>
      <c r="DE296" s="53" t="inlineStr">
        <is>
          <t>Employee</t>
        </is>
      </c>
      <c r="DF296" s="53" t="inlineStr">
        <is>
          <t>Active</t>
        </is>
      </c>
      <c r="DG296" s="53" t="inlineStr">
        <is>
          <t>Izharuddin Shaikh</t>
        </is>
      </c>
      <c r="DH296" s="54" t="n">
        <v>43188</v>
      </c>
      <c r="DI296" s="53" t="inlineStr">
        <is>
          <t>Program Manager</t>
        </is>
      </c>
      <c r="DJ296" s="53" t="inlineStr">
        <is>
          <t>Project &amp; Program Management</t>
        </is>
      </c>
      <c r="DK296" s="53" t="inlineStr">
        <is>
          <t>Program Management</t>
        </is>
      </c>
      <c r="DL296" s="53" t="inlineStr">
        <is>
          <t>Program Manager</t>
        </is>
      </c>
      <c r="DM296" s="53" t="inlineStr">
        <is>
          <t>L5 – Manager</t>
        </is>
      </c>
      <c r="DN296" s="53" t="inlineStr">
        <is>
          <t>MBA</t>
        </is>
      </c>
      <c r="DO296" s="53" t="inlineStr">
        <is>
          <t>Pradip Dey</t>
        </is>
      </c>
      <c r="DP296" s="53" t="inlineStr">
        <is>
          <t>N-2</t>
        </is>
      </c>
      <c r="DQ296" s="53" t="inlineStr">
        <is>
          <t>Manager</t>
        </is>
      </c>
      <c r="DR296" s="53" t="inlineStr">
        <is>
          <t>12 years, 1 months, 0 days</t>
        </is>
      </c>
      <c r="DS296" s="53" t="inlineStr">
        <is>
          <t>8 years, 2 months, 22 days</t>
        </is>
      </c>
      <c r="DT296" s="53" t="inlineStr">
        <is>
          <t>20 years, 3 months, 22 days</t>
        </is>
      </c>
      <c r="DU296" s="53" t="n">
        <v>8.22694063926941</v>
      </c>
      <c r="DV296" s="53" t="inlineStr">
        <is>
          <t>Suptech</t>
        </is>
      </c>
      <c r="DW296" s="53" t="inlineStr">
        <is>
          <t>iFile</t>
        </is>
      </c>
      <c r="DX296" s="53" t="inlineStr">
        <is>
          <t>Technology</t>
        </is>
      </c>
      <c r="DY296" s="53" t="inlineStr">
        <is>
          <t>Project Management</t>
        </is>
      </c>
      <c r="DZ296" s="53" t="inlineStr">
        <is>
          <t>Yes</t>
        </is>
      </c>
      <c r="EA296" s="53" t="inlineStr">
        <is>
          <t>Product/Project</t>
        </is>
      </c>
      <c r="EB296" s="53" t="inlineStr">
        <is>
          <t>Project Management</t>
        </is>
      </c>
      <c r="EC296" s="53" t="inlineStr">
        <is>
          <t>Technical · BA, PM and QA</t>
        </is>
      </c>
      <c r="ED296" s="53" t="inlineStr">
        <is>
          <t>Hybrid</t>
        </is>
      </c>
      <c r="EE296" s="53" t="n"/>
      <c r="EF296" s="53"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EG296" s="53" t="inlineStr">
        <is>
          <t>DynaForm product release
Process improvements
Initiate TOGAF Certification and AI training
Complete GTA implementation Phase 1
Digital way of working and measurement of metrics through the tools</t>
        </is>
      </c>
      <c r="EH296" s="53" t="inlineStr">
        <is>
          <t>Outstanding</t>
        </is>
      </c>
      <c r="EI296" s="54" t="n">
        <v>45931</v>
      </c>
      <c r="EJ296" s="53" t="inlineStr">
        <is>
          <t>Program Manager</t>
        </is>
      </c>
      <c r="EK296" s="53" t="n"/>
      <c r="EL296" s="53" t="n">
        <v>4</v>
      </c>
      <c r="EM296" s="53" t="inlineStr">
        <is>
          <t>High</t>
        </is>
      </c>
      <c r="EN296" s="53" t="inlineStr">
        <is>
          <t>High Impact / Growth Talent</t>
        </is>
      </c>
      <c r="EO296" s="53" t="n"/>
      <c r="EP296" s="53" t="inlineStr">
        <is>
          <t>Y</t>
        </is>
      </c>
      <c r="EQ296" s="53" t="inlineStr">
        <is>
          <t>Y</t>
        </is>
      </c>
      <c r="ER296" s="53" t="n"/>
      <c r="ES296" s="53" t="inlineStr">
        <is>
          <t>TOGAF, Tax Domain</t>
        </is>
      </c>
      <c r="ET296" s="53" t="n"/>
      <c r="EU296" s="53" t="inlineStr">
        <is>
          <t>IRIS Instant - MBRS</t>
        </is>
      </c>
      <c r="EV296" s="53" t="n"/>
      <c r="EW296" s="52" t="n"/>
      <c r="EX296" s="53" t="n"/>
      <c r="EY296" s="53" t="n"/>
      <c r="EZ296" s="53" t="n"/>
      <c r="FA296" s="53" t="n"/>
      <c r="FB296" s="53" t="n"/>
      <c r="FC296" s="53" t="n"/>
      <c r="FD296" s="53" t="n"/>
      <c r="FE296" s="57"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FF296" s="56" t="inlineStr">
        <is>
          <t>DynaForm product release
Process improvements
Initiate TOGAF Certification and AI training
Complete GTA implementation Phase 1
Digital way of working and measurement of metrics through the tools</t>
        </is>
      </c>
      <c r="FG296" s="56" t="n"/>
      <c r="FH296" s="56" t="inlineStr">
        <is>
          <t>Outstanding</t>
        </is>
      </c>
      <c r="FI296" s="56" t="n"/>
      <c r="FJ296" s="56" t="inlineStr">
        <is>
          <t>Received · manager annual, quarterly</t>
        </is>
      </c>
      <c r="FK296" s="56" t="inlineStr">
        <is>
          <t>Talent Mapping · iFile collated</t>
        </is>
      </c>
      <c r="FL296" s="56" t="n">
        <v>20</v>
      </c>
      <c r="FM296" s="32" t="inlineStr">
        <is>
          <t>Full survey answers not in the files received · How We Grow export needed · HR</t>
        </is>
      </c>
      <c r="FN296" s="56" t="inlineStr">
        <is>
          <t>—</t>
        </is>
      </c>
      <c r="FO296" s="56" t="inlineStr">
        <is>
          <t>—</t>
        </is>
      </c>
      <c r="FP296" s="56" t="inlineStr">
        <is>
          <t>—</t>
        </is>
      </c>
      <c r="FQ296" s="56" t="inlineStr">
        <is>
          <t>—</t>
        </is>
      </c>
      <c r="FR296" s="56"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requirements; manager note adds DynaForm roadmap and Qatar GTA project → moved down 0.5
Leadership: Evidence reads like B1: 5 direct reports; survey itself describes no people leadership → moved down 0.5
Business Impact: Moved +0.5: the survey / manager mapping marks it business-critical.</t>
        </is>
      </c>
      <c r="FS296"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296" s="56" t="inlineStr">
        <is>
          <t>Self-identified: Strategy &amp; business acumen
For the next role: Strategy &amp; business acumen</t>
        </is>
      </c>
      <c r="FU296" s="32" t="inlineStr">
        <is>
          <t>Full survey answers not in the files received · How We Grow export needed · HR</t>
        </is>
      </c>
    </row>
    <row r="297" ht="90" customHeight="1">
      <c r="A297" s="51" t="inlineStr">
        <is>
          <t>◂ Back</t>
        </is>
      </c>
      <c r="B297" s="29" t="inlineStr">
        <is>
          <t>Mapped</t>
        </is>
      </c>
      <c r="C297" s="28" t="inlineStr">
        <is>
          <t>iFile</t>
        </is>
      </c>
      <c r="D297" s="29" t="inlineStr">
        <is>
          <t>IRIS2118</t>
        </is>
      </c>
      <c r="E297" s="29" t="inlineStr">
        <is>
          <t>Kimaya Mundlye</t>
        </is>
      </c>
      <c r="F297" s="29" t="inlineStr">
        <is>
          <t>Technology</t>
        </is>
      </c>
      <c r="G297" s="29" t="inlineStr">
        <is>
          <t>Project Lead</t>
        </is>
      </c>
      <c r="H297" s="29" t="inlineStr">
        <is>
          <t>Delivery Manager</t>
        </is>
      </c>
      <c r="I297" s="29" t="inlineStr">
        <is>
          <t>L5 – Lead · IC</t>
        </is>
      </c>
      <c r="J297" s="29" t="inlineStr">
        <is>
          <t>B2</t>
        </is>
      </c>
      <c r="K297" s="29" t="inlineStr">
        <is>
          <t>• Same level</t>
        </is>
      </c>
      <c r="L297" s="29" t="inlineStr">
        <is>
          <t>Project &amp; Program Management</t>
        </is>
      </c>
      <c r="M297" s="29" t="inlineStr">
        <is>
          <t>Project &amp; Program Delivery</t>
        </is>
      </c>
      <c r="N297" s="29" t="inlineStr">
        <is>
          <t>• Confirm the reporting line — Manager</t>
        </is>
      </c>
      <c r="O297" s="29" t="n">
        <v>19</v>
      </c>
      <c r="P297" s="28" t="inlineStr">
        <is>
          <t>P4 / M3</t>
        </is>
      </c>
      <c r="Q297" s="29" t="inlineStr">
        <is>
          <t>Senior / Manager</t>
        </is>
      </c>
      <c r="R297" s="29" t="inlineStr">
        <is>
          <t>4–5</t>
        </is>
      </c>
      <c r="S297" s="29" t="inlineStr">
        <is>
          <t>6–9 yrs</t>
        </is>
      </c>
      <c r="T297" s="29" t="inlineStr">
        <is>
          <t>7–10 · 6–11</t>
        </is>
      </c>
      <c r="U297" s="29" t="inlineStr">
        <is>
          <t>Senior Manager</t>
        </is>
      </c>
      <c r="V297" s="29" t="inlineStr">
        <is>
          <t>IRIS Vs Competitor Benchmark — PMI pathway + SaaS delivery ladder: Senior PM</t>
        </is>
      </c>
      <c r="W297" s="29" t="inlineStr">
        <is>
          <t>PMI PMBOK and Talent Triangle; CAPM · entry → PMP → PgMP; Scrum / SAFe</t>
        </is>
      </c>
      <c r="X297" s="29" t="inlineStr">
        <is>
          <t>Core 3 · Future 3 · Functional 4 · Leadership 3</t>
        </is>
      </c>
      <c r="Y297" s="52" t="n">
        <v>269</v>
      </c>
      <c r="Z297" s="53" t="inlineStr">
        <is>
          <t>IRIS2118</t>
        </is>
      </c>
      <c r="AA297" s="53" t="inlineStr">
        <is>
          <t>Employee</t>
        </is>
      </c>
      <c r="AB297" s="53" t="inlineStr">
        <is>
          <t>Active</t>
        </is>
      </c>
      <c r="AC297" s="53" t="inlineStr">
        <is>
          <t>Kimaya Mundlye</t>
        </is>
      </c>
      <c r="AD297" s="54" t="n">
        <v>45033</v>
      </c>
      <c r="AE297" s="53" t="inlineStr">
        <is>
          <t>Project Lead</t>
        </is>
      </c>
      <c r="AF297" s="53" t="inlineStr">
        <is>
          <t>BA</t>
        </is>
      </c>
      <c r="AG297" s="53" t="inlineStr">
        <is>
          <t>Izharuddin Shaikh</t>
        </is>
      </c>
      <c r="AH297" s="53" t="inlineStr">
        <is>
          <t>N-4</t>
        </is>
      </c>
      <c r="AI297" s="53" t="inlineStr">
        <is>
          <t>Manager</t>
        </is>
      </c>
      <c r="AJ297" s="53" t="inlineStr">
        <is>
          <t>14 years, 9 months, 0 days</t>
        </is>
      </c>
      <c r="AK297" s="53" t="inlineStr">
        <is>
          <t>3 years, 4 months, 8 days</t>
        </is>
      </c>
      <c r="AL297" s="53" t="inlineStr">
        <is>
          <t>Suptech</t>
        </is>
      </c>
      <c r="AM297" s="53" t="inlineStr">
        <is>
          <t>iFile</t>
        </is>
      </c>
      <c r="AN297" s="53" t="inlineStr">
        <is>
          <t>Technology</t>
        </is>
      </c>
      <c r="AO297" s="53" t="inlineStr">
        <is>
          <t>Project Management</t>
        </is>
      </c>
      <c r="AP297" s="53" t="inlineStr">
        <is>
          <t>No</t>
        </is>
      </c>
      <c r="AQ297" s="53" t="inlineStr">
        <is>
          <t>Product/Project</t>
        </is>
      </c>
      <c r="AR297" s="53" t="inlineStr">
        <is>
          <t>Project Management</t>
        </is>
      </c>
      <c r="AS297" s="53" t="inlineStr">
        <is>
          <t>Technical · BA, PM and QA</t>
        </is>
      </c>
      <c r="AT297" s="53" t="n">
        <v>20</v>
      </c>
      <c r="AU297" s="53" t="inlineStr">
        <is>
          <t>Covered</t>
        </is>
      </c>
      <c r="AV297" s="53" t="n"/>
      <c r="AW297" s="53" t="n"/>
      <c r="AX297" s="53" t="n"/>
      <c r="AY297" s="53" t="n"/>
      <c r="AZ297" s="53" t="n"/>
      <c r="BA297" s="53" t="n"/>
      <c r="BB297" s="53" t="n"/>
      <c r="BC297" s="53" t="n"/>
      <c r="BD297" s="53" t="n"/>
      <c r="BE297" s="53" t="n"/>
      <c r="BF297" s="53" t="n"/>
      <c r="BG297" s="53" t="n"/>
      <c r="BH297" s="53" t="n"/>
      <c r="BI297" s="53" t="n"/>
      <c r="BJ297" s="53" t="n"/>
      <c r="BK297" s="53" t="n"/>
      <c r="BL297" s="53" t="n"/>
      <c r="BM297" s="53" t="n"/>
      <c r="BN297" s="53" t="n"/>
      <c r="BO297" s="53" t="n"/>
      <c r="BP297" s="53" t="n"/>
      <c r="BQ297" s="53" t="n"/>
      <c r="BR297" s="53" t="n"/>
      <c r="BS297" s="53" t="n"/>
      <c r="BT297" s="53" t="n"/>
      <c r="BU297" s="53" t="n"/>
      <c r="BV297" s="53" t="n"/>
      <c r="BW297" s="53" t="n"/>
      <c r="BX297" s="53" t="n"/>
      <c r="BY297" s="53" t="n"/>
      <c r="BZ297" s="53" t="n"/>
      <c r="CA297" s="53" t="n"/>
      <c r="CB297" s="53" t="n"/>
      <c r="CC297" s="53" t="n"/>
      <c r="CD297" s="53" t="n"/>
      <c r="CE297" s="53" t="n"/>
      <c r="CF297" s="53" t="n"/>
      <c r="CG297" s="53" t="n"/>
      <c r="CH297" s="53" t="n"/>
      <c r="CI297" s="53" t="n"/>
      <c r="CJ297" s="53" t="n"/>
      <c r="CK297" s="53" t="n"/>
      <c r="CL297" s="53" t="n"/>
      <c r="CM297" s="53" t="n"/>
      <c r="CN297" s="53" t="n"/>
      <c r="CO297" s="53" t="n"/>
      <c r="CP297" s="53" t="n"/>
      <c r="CQ297" s="53" t="n"/>
      <c r="CR297" s="53" t="n"/>
      <c r="CS297" s="53" t="n"/>
      <c r="CT297" s="53" t="n"/>
      <c r="CU297" s="53" t="n"/>
      <c r="CV297" s="53" t="n"/>
      <c r="CW297" s="53" t="n"/>
      <c r="CX297" s="53" t="n"/>
      <c r="CY297" s="53" t="n"/>
      <c r="CZ297" s="53" t="n"/>
      <c r="DA297" s="53" t="n"/>
      <c r="DB297" s="53" t="n"/>
      <c r="DC297" s="53" t="n"/>
      <c r="DD297" s="53" t="inlineStr">
        <is>
          <t>IRIS2118</t>
        </is>
      </c>
      <c r="DE297" s="53" t="inlineStr">
        <is>
          <t>Employee</t>
        </is>
      </c>
      <c r="DF297" s="53" t="inlineStr">
        <is>
          <t>Active</t>
        </is>
      </c>
      <c r="DG297" s="53" t="inlineStr">
        <is>
          <t>Kimaya Mundlye</t>
        </is>
      </c>
      <c r="DH297" s="54" t="n">
        <v>45033</v>
      </c>
      <c r="DI297" s="53" t="inlineStr">
        <is>
          <t>Project Lead</t>
        </is>
      </c>
      <c r="DJ297" s="53" t="inlineStr">
        <is>
          <t>Project &amp; Program Management</t>
        </is>
      </c>
      <c r="DK297" s="53" t="inlineStr">
        <is>
          <t>Project Management</t>
        </is>
      </c>
      <c r="DL297" s="53" t="inlineStr">
        <is>
          <t>Project Lead</t>
        </is>
      </c>
      <c r="DM297" s="53" t="inlineStr">
        <is>
          <t>L5 – Lead · IC</t>
        </is>
      </c>
      <c r="DN297" s="53" t="inlineStr">
        <is>
          <t>BA</t>
        </is>
      </c>
      <c r="DO297" s="53" t="inlineStr">
        <is>
          <t>Izharuddin Shaikh</t>
        </is>
      </c>
      <c r="DP297" s="53" t="inlineStr">
        <is>
          <t>N-3</t>
        </is>
      </c>
      <c r="DQ297" s="53" t="inlineStr">
        <is>
          <t>Manager</t>
        </is>
      </c>
      <c r="DR297" s="53" t="inlineStr">
        <is>
          <t>14 years, 9 months, 0 days</t>
        </is>
      </c>
      <c r="DS297" s="53" t="inlineStr">
        <is>
          <t>3 years, 2 months, 3 days</t>
        </is>
      </c>
      <c r="DT297" s="53" t="inlineStr">
        <is>
          <t>17 years, 11 months, 3 days</t>
        </is>
      </c>
      <c r="DU297" s="53" t="n">
        <v>3.17488584474886</v>
      </c>
      <c r="DV297" s="53" t="inlineStr">
        <is>
          <t>Suptech</t>
        </is>
      </c>
      <c r="DW297" s="53" t="inlineStr">
        <is>
          <t>iFile</t>
        </is>
      </c>
      <c r="DX297" s="53" t="inlineStr">
        <is>
          <t>Technology</t>
        </is>
      </c>
      <c r="DY297" s="53" t="inlineStr">
        <is>
          <t>Project Management</t>
        </is>
      </c>
      <c r="DZ297" s="53" t="inlineStr">
        <is>
          <t>No</t>
        </is>
      </c>
      <c r="EA297" s="53" t="inlineStr">
        <is>
          <t>Product/Project</t>
        </is>
      </c>
      <c r="EB297" s="53" t="inlineStr">
        <is>
          <t>Project Management</t>
        </is>
      </c>
      <c r="EC297" s="53" t="inlineStr">
        <is>
          <t>Technical · BA, PM and QA</t>
        </is>
      </c>
      <c r="ED297" s="53" t="inlineStr">
        <is>
          <t>Hybrid</t>
        </is>
      </c>
      <c r="EE297" s="53" t="n"/>
      <c r="EF297"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297" s="53"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EH297" s="53" t="n">
        <v>5</v>
      </c>
      <c r="EI297" s="53" t="n"/>
      <c r="EJ297" s="53" t="inlineStr">
        <is>
          <t>Project Manager</t>
        </is>
      </c>
      <c r="EK297" s="53" t="n"/>
      <c r="EL297" s="53" t="n">
        <v>5</v>
      </c>
      <c r="EM297" s="53" t="inlineStr">
        <is>
          <t>High</t>
        </is>
      </c>
      <c r="EN297" s="53" t="inlineStr">
        <is>
          <t>Future Leader</t>
        </is>
      </c>
      <c r="EO297" s="53" t="n"/>
      <c r="EP297" s="53" t="n"/>
      <c r="EQ297" s="53" t="n"/>
      <c r="ER297" s="53" t="n"/>
      <c r="ES297" s="53" t="inlineStr">
        <is>
          <t>Agile/Scrum &amp; PMP fundamentals; risk &amp; stakeholder management; estimation; reporting/governance tools | People management: goal-setting &amp; feedback, 1:1 coaching, performance conversations</t>
        </is>
      </c>
      <c r="ET297" s="53" t="inlineStr">
        <is>
          <t>Leadership development: strategic thinking, cross-functional influence, financial/business acumen, succession &amp; talent development, change management, executive communication</t>
        </is>
      </c>
      <c r="EU297" s="53" t="n"/>
      <c r="EV297" s="53" t="n"/>
      <c r="EW297" s="52" t="n"/>
      <c r="EX297" s="53" t="n"/>
      <c r="EY297" s="53" t="n"/>
      <c r="EZ297" s="53" t="n"/>
      <c r="FA297" s="53" t="n"/>
      <c r="FB297" s="53" t="n"/>
      <c r="FC297" s="53" t="inlineStr">
        <is>
          <t>Annual KRAs · objective Measurable Minimum 5 - set by Manager</t>
        </is>
      </c>
      <c r="FD297" s="53" t="n"/>
      <c r="FE297"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297" s="56"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FG297" s="56" t="n"/>
      <c r="FH297" s="56" t="inlineStr">
        <is>
          <t>5</t>
        </is>
      </c>
      <c r="FI297" s="56" t="n"/>
      <c r="FJ297" s="56" t="inlineStr">
        <is>
          <t>Received · manager annual, quarterly</t>
        </is>
      </c>
      <c r="FK297" s="56" t="inlineStr">
        <is>
          <t>Talent Mapping · iFile collated</t>
        </is>
      </c>
      <c r="FL297" s="56" t="n">
        <v>19</v>
      </c>
      <c r="FM297" s="32" t="inlineStr">
        <is>
          <t>Full survey answers not in the files received · How We Grow export needed · HR</t>
        </is>
      </c>
      <c r="FN297" s="56" t="inlineStr">
        <is>
          <t>—</t>
        </is>
      </c>
      <c r="FO297" s="56" t="inlineStr">
        <is>
          <t>—</t>
        </is>
      </c>
      <c r="FP297" s="56" t="inlineStr">
        <is>
          <t>—</t>
        </is>
      </c>
      <c r="FQ297" s="56" t="inlineStr">
        <is>
          <t>—</t>
        </is>
      </c>
      <c r="FR297" s="56"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approval → moved down 0.5
Leadership: Evidence reads like B2: 6 direct reports; allocates resources and manages the project team → moved down 0.5
Business Impact: No survey or manager-mapping signal on criticality: kept at the start point.</t>
        </is>
      </c>
      <c r="FS297"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297" s="56" t="inlineStr">
        <is>
          <t>Self-identified: Domain, regulatory &amp; XBRL · Product &amp; tool knowledge
For the next role: Domain, regulatory &amp; XBRL · Product &amp; tool knowledge</t>
        </is>
      </c>
      <c r="FU297" s="32" t="inlineStr">
        <is>
          <t>Full survey answers not in the files received · How We Grow export needed · HR</t>
        </is>
      </c>
    </row>
    <row r="298" ht="90" customHeight="1">
      <c r="A298" s="51" t="inlineStr">
        <is>
          <t>◂ Back</t>
        </is>
      </c>
      <c r="B298" s="29" t="inlineStr">
        <is>
          <t>Mapped</t>
        </is>
      </c>
      <c r="C298" s="28" t="inlineStr">
        <is>
          <t>iFile</t>
        </is>
      </c>
      <c r="D298" s="29" t="inlineStr">
        <is>
          <t>IRIS1817</t>
        </is>
      </c>
      <c r="E298" s="29" t="inlineStr">
        <is>
          <t>Arpit Pagaria</t>
        </is>
      </c>
      <c r="F298" s="29" t="inlineStr">
        <is>
          <t>Technology</t>
        </is>
      </c>
      <c r="G298" s="29" t="inlineStr">
        <is>
          <t>Tech Lead</t>
        </is>
      </c>
      <c r="H298" s="29" t="inlineStr">
        <is>
          <t>Senior Technical Specialist – POD Lead</t>
        </is>
      </c>
      <c r="I298" s="29" t="inlineStr">
        <is>
          <t>L5 – Lead · IC</t>
        </is>
      </c>
      <c r="J298" s="29" t="inlineStr">
        <is>
          <t>B2</t>
        </is>
      </c>
      <c r="K298" s="29" t="inlineStr">
        <is>
          <t>▼ Down · protected</t>
        </is>
      </c>
      <c r="L298" s="29" t="inlineStr">
        <is>
          <t>Engineering &amp; Development</t>
        </is>
      </c>
      <c r="M298" s="29" t="inlineStr">
        <is>
          <t>Backend Development</t>
        </is>
      </c>
      <c r="N298" s="29" t="n"/>
      <c r="O298" s="29" t="n">
        <v>20</v>
      </c>
      <c r="P298" s="28" t="inlineStr">
        <is>
          <t>P4 / M3</t>
        </is>
      </c>
      <c r="Q298" s="29" t="inlineStr">
        <is>
          <t>Senior / Manager</t>
        </is>
      </c>
      <c r="R298" s="29" t="inlineStr">
        <is>
          <t>4–5</t>
        </is>
      </c>
      <c r="S298" s="29" t="inlineStr">
        <is>
          <t>6–9 yrs</t>
        </is>
      </c>
      <c r="T298" s="29" t="inlineStr">
        <is>
          <t>7–10 · 6–11</t>
        </is>
      </c>
      <c r="U298" s="29" t="inlineStr">
        <is>
          <t>Lead / Staff Engineer</t>
        </is>
      </c>
      <c r="V298" s="29" t="inlineStr">
        <is>
          <t>Workiva: Senior SE · Broadridge India: Lead SE · Nasdaq / AxiomSL: Senior SE · Salesforce: SMTS · Atlassian: P50 Senior · 6–12 yrs · Freshworks: Lead SE</t>
        </is>
      </c>
      <c r="W298" s="29" t="inlineStr">
        <is>
          <t>SFIA 9 · software development, programming; OWASP secure coding; cloud vendor certifications</t>
        </is>
      </c>
      <c r="X298" s="29" t="inlineStr">
        <is>
          <t>Core 3 · Future 3 · Functional 4 · Leadership 3</t>
        </is>
      </c>
      <c r="Y298" s="52" t="n">
        <v>161</v>
      </c>
      <c r="Z298" s="53" t="inlineStr">
        <is>
          <t>IRIS1817</t>
        </is>
      </c>
      <c r="AA298" s="53" t="inlineStr">
        <is>
          <t>Employee</t>
        </is>
      </c>
      <c r="AB298" s="53" t="inlineStr">
        <is>
          <t>Active</t>
        </is>
      </c>
      <c r="AC298" s="53" t="inlineStr">
        <is>
          <t>Arpit Pagaria</t>
        </is>
      </c>
      <c r="AD298" s="54" t="n">
        <v>43773</v>
      </c>
      <c r="AE298" s="53" t="inlineStr">
        <is>
          <t>Tech Lead</t>
        </is>
      </c>
      <c r="AF298" s="53" t="inlineStr">
        <is>
          <t>B.Tech</t>
        </is>
      </c>
      <c r="AG298" s="53" t="inlineStr">
        <is>
          <t>Kimaya Mundlye</t>
        </is>
      </c>
      <c r="AH298" s="53" t="inlineStr">
        <is>
          <t>N-5</t>
        </is>
      </c>
      <c r="AI298" s="53" t="inlineStr">
        <is>
          <t>Manager</t>
        </is>
      </c>
      <c r="AJ298" s="53" t="inlineStr">
        <is>
          <t>8 years, 4 months, 0 days</t>
        </is>
      </c>
      <c r="AK298" s="53" t="inlineStr">
        <is>
          <t>6 years, 9 months, 21 days</t>
        </is>
      </c>
      <c r="AL298" s="53" t="inlineStr">
        <is>
          <t>Suptech</t>
        </is>
      </c>
      <c r="AM298" s="53" t="inlineStr">
        <is>
          <t>iFile</t>
        </is>
      </c>
      <c r="AN298" s="53" t="inlineStr">
        <is>
          <t>Technology</t>
        </is>
      </c>
      <c r="AO298" s="53" t="inlineStr">
        <is>
          <t>Development</t>
        </is>
      </c>
      <c r="AP298" s="53" t="inlineStr">
        <is>
          <t>Yes</t>
        </is>
      </c>
      <c r="AQ298" s="53" t="inlineStr">
        <is>
          <t>Product/Project</t>
        </is>
      </c>
      <c r="AR298" s="53" t="inlineStr">
        <is>
          <t>Java</t>
        </is>
      </c>
      <c r="AS298" s="53" t="inlineStr">
        <is>
          <t>Technical - Developer</t>
        </is>
      </c>
      <c r="AT298" s="53" t="n">
        <v>20</v>
      </c>
      <c r="AU298" s="53" t="inlineStr">
        <is>
          <t>Covered</t>
        </is>
      </c>
      <c r="AV298" s="53" t="n"/>
      <c r="AW298" s="53" t="n"/>
      <c r="AX298" s="53" t="n"/>
      <c r="AY298" s="53" t="n"/>
      <c r="AZ298" s="53" t="n"/>
      <c r="BA298" s="53" t="n"/>
      <c r="BB298" s="53" t="n"/>
      <c r="BC298" s="53" t="n"/>
      <c r="BD298" s="53" t="n"/>
      <c r="BE298" s="53" t="n"/>
      <c r="BF298" s="53" t="n"/>
      <c r="BG298" s="53" t="n"/>
      <c r="BH298" s="53" t="n"/>
      <c r="BI298" s="53" t="n"/>
      <c r="BJ298" s="53" t="n"/>
      <c r="BK298" s="53" t="n"/>
      <c r="BL298" s="53" t="n"/>
      <c r="BM298" s="53" t="n"/>
      <c r="BN298" s="53" t="n"/>
      <c r="BO298" s="53" t="n"/>
      <c r="BP298" s="53" t="n"/>
      <c r="BQ298" s="53" t="n"/>
      <c r="BR298" s="53" t="n"/>
      <c r="BS298" s="53" t="n"/>
      <c r="BT298" s="53" t="n"/>
      <c r="BU298" s="53" t="n"/>
      <c r="BV298" s="53" t="n"/>
      <c r="BW298" s="53" t="n"/>
      <c r="BX298" s="53" t="n"/>
      <c r="BY298" s="53" t="n"/>
      <c r="BZ298" s="53" t="n"/>
      <c r="CA298" s="53" t="n"/>
      <c r="CB298" s="53" t="n"/>
      <c r="CC298" s="53" t="n"/>
      <c r="CD298" s="53" t="n"/>
      <c r="CE298" s="53" t="n"/>
      <c r="CF298" s="53" t="n"/>
      <c r="CG298" s="53" t="n"/>
      <c r="CH298" s="53" t="n"/>
      <c r="CI298" s="53" t="n"/>
      <c r="CJ298" s="53" t="n"/>
      <c r="CK298" s="53" t="n"/>
      <c r="CL298" s="53" t="n"/>
      <c r="CM298" s="53" t="n"/>
      <c r="CN298" s="53" t="n"/>
      <c r="CO298" s="53" t="n"/>
      <c r="CP298" s="53" t="n"/>
      <c r="CQ298" s="53" t="n"/>
      <c r="CR298" s="53" t="n"/>
      <c r="CS298" s="53" t="n"/>
      <c r="CT298" s="53" t="n"/>
      <c r="CU298" s="53" t="n"/>
      <c r="CV298" s="53" t="n"/>
      <c r="CW298" s="53" t="n"/>
      <c r="CX298" s="53" t="n"/>
      <c r="CY298" s="53" t="n"/>
      <c r="CZ298" s="53" t="n"/>
      <c r="DA298" s="53" t="n"/>
      <c r="DB298" s="53" t="n"/>
      <c r="DC298" s="53" t="n"/>
      <c r="DD298" s="53" t="inlineStr">
        <is>
          <t>IRIS1817</t>
        </is>
      </c>
      <c r="DE298" s="53" t="inlineStr">
        <is>
          <t>Employee</t>
        </is>
      </c>
      <c r="DF298" s="53" t="inlineStr">
        <is>
          <t>Active</t>
        </is>
      </c>
      <c r="DG298" s="53" t="inlineStr">
        <is>
          <t>Arpit Pagaria</t>
        </is>
      </c>
      <c r="DH298" s="54" t="n">
        <v>43773</v>
      </c>
      <c r="DI298" s="53" t="inlineStr">
        <is>
          <t>Tech Lead</t>
        </is>
      </c>
      <c r="DJ298" s="53" t="inlineStr">
        <is>
          <t>Engineering &amp; Development</t>
        </is>
      </c>
      <c r="DK298" s="53" t="inlineStr">
        <is>
          <t>Backend Engineering · Java</t>
        </is>
      </c>
      <c r="DL298" s="53" t="inlineStr">
        <is>
          <t>Tech Lead</t>
        </is>
      </c>
      <c r="DM298" s="53" t="inlineStr">
        <is>
          <t>L5 – Lead · IC</t>
        </is>
      </c>
      <c r="DN298" s="53" t="inlineStr">
        <is>
          <t>B.Tech</t>
        </is>
      </c>
      <c r="DO298" s="53" t="inlineStr">
        <is>
          <t>Kimaya Mundlye</t>
        </is>
      </c>
      <c r="DP298" s="53" t="inlineStr">
        <is>
          <t>N-4</t>
        </is>
      </c>
      <c r="DQ298" s="53" t="inlineStr">
        <is>
          <t>Manager</t>
        </is>
      </c>
      <c r="DR298" s="53" t="inlineStr">
        <is>
          <t>8 years, 4 months, 0 days</t>
        </is>
      </c>
      <c r="DS298" s="53" t="inlineStr">
        <is>
          <t>6 years, 7 months, 16 days</t>
        </is>
      </c>
      <c r="DT298" s="53" t="inlineStr">
        <is>
          <t>14 years, 11 months, 16 days</t>
        </is>
      </c>
      <c r="DU298" s="53" t="n">
        <v>6.62716894977169</v>
      </c>
      <c r="DV298" s="53" t="inlineStr">
        <is>
          <t>Suptech</t>
        </is>
      </c>
      <c r="DW298" s="53" t="inlineStr">
        <is>
          <t>iFile</t>
        </is>
      </c>
      <c r="DX298" s="53" t="inlineStr">
        <is>
          <t>Technology</t>
        </is>
      </c>
      <c r="DY298" s="53" t="inlineStr">
        <is>
          <t>Development</t>
        </is>
      </c>
      <c r="DZ298" s="53" t="inlineStr">
        <is>
          <t>Yes</t>
        </is>
      </c>
      <c r="EA298" s="53" t="inlineStr">
        <is>
          <t>Product/Project</t>
        </is>
      </c>
      <c r="EB298" s="53" t="inlineStr">
        <is>
          <t>Java</t>
        </is>
      </c>
      <c r="EC298" s="53" t="inlineStr">
        <is>
          <t>Technical - Developer</t>
        </is>
      </c>
      <c r="ED298" s="53" t="inlineStr">
        <is>
          <t>Remote- Outside Mumbai</t>
        </is>
      </c>
      <c r="EE298" s="53" t="n"/>
      <c r="EF298"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98" s="53"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EH298" s="53" t="n">
        <v>5</v>
      </c>
      <c r="EI298" s="53" t="n"/>
      <c r="EJ298" s="53" t="inlineStr">
        <is>
          <t>Tech Lead</t>
        </is>
      </c>
      <c r="EK298" s="53" t="inlineStr">
        <is>
          <t>Potential to work as solution architect</t>
        </is>
      </c>
      <c r="EL298" s="53" t="n">
        <v>5</v>
      </c>
      <c r="EM298" s="53" t="inlineStr">
        <is>
          <t>High</t>
        </is>
      </c>
      <c r="EN298" s="53" t="inlineStr">
        <is>
          <t>Future Leader</t>
        </is>
      </c>
      <c r="EO298" s="53" t="n"/>
      <c r="EP298" s="53" t="n"/>
      <c r="EQ298" s="53" t="n"/>
      <c r="ER298" s="53" t="inlineStr">
        <is>
          <t>Sidhharth</t>
        </is>
      </c>
      <c r="ES298" s="53" t="inlineStr">
        <is>
          <t>Advanced Java; secure coding &amp; code-quality practices; unit/automated testing; system design fundamentals | People management: goal-setting &amp; feedback, 1:1 coaching, performance conversations</t>
        </is>
      </c>
      <c r="ET298" s="53" t="inlineStr">
        <is>
          <t>Leadership development: strategic thinking, cross-functional influence, financial/business acumen, succession &amp; talent development, change management, executive communication</t>
        </is>
      </c>
      <c r="EU298" s="53" t="n"/>
      <c r="EV298" s="53" t="n"/>
      <c r="EW298" s="52" t="n"/>
      <c r="EX298" s="53" t="n"/>
      <c r="EY298" s="53" t="n"/>
      <c r="EZ298" s="53" t="n"/>
      <c r="FA298" s="53" t="n"/>
      <c r="FB298" s="53" t="n"/>
      <c r="FC298" s="53" t="n"/>
      <c r="FD298" s="53" t="n"/>
      <c r="FE298"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98" s="56" t="inlineStr">
        <is>
          <t>Q1: Deliver team release roadmap on schedule: &gt;=90% of committed releases on time - Yes Mostly
Q1: Keep team sprint velocity stable · +/-10%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FG298" s="56" t="n"/>
      <c r="FH298" s="56" t="inlineStr">
        <is>
          <t>5</t>
        </is>
      </c>
      <c r="FI298" s="56" t="n"/>
      <c r="FJ298" s="56" t="inlineStr">
        <is>
          <t>Received · manager annual, quarterly</t>
        </is>
      </c>
      <c r="FK298" s="56" t="inlineStr">
        <is>
          <t>Talent Mapping · iFile collated</t>
        </is>
      </c>
      <c r="FL298" s="56" t="n">
        <v>20</v>
      </c>
      <c r="FM298" s="32" t="inlineStr">
        <is>
          <t>Full survey answers not in the files received · How We Grow export needed · HR</t>
        </is>
      </c>
      <c r="FN298" s="56" t="inlineStr">
        <is>
          <t>—</t>
        </is>
      </c>
      <c r="FO298" s="56" t="inlineStr">
        <is>
          <t>—</t>
        </is>
      </c>
      <c r="FP298" s="56" t="inlineStr">
        <is>
          <t>—</t>
        </is>
      </c>
      <c r="FQ298" s="56" t="inlineStr">
        <is>
          <t>—</t>
        </is>
      </c>
      <c r="FR298" s="56"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and outcomes of a three-person team → moved down 0.5
Leadership: Evidence reads like B1: Hands-on lead of three direct reports: team guidance and code review → matches the start
Business Impact: No survey or manager-mapping signal on criticality: kept at the start point.</t>
        </is>
      </c>
      <c r="FS298"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298" s="56" t="inlineStr">
        <is>
          <t>Self-identified: AI / automation · Leadership &amp; people management · Technical depth &amp; architecture · Product &amp; tool knowledge · Strategy &amp; business acumen · Broader exposure &amp; ownership
For the next role: AI / automation · Leadership &amp; people management · Technical depth &amp; architecture · Product &amp; tool knowledge · Strategy &amp; business acumen · Broader exposure &amp; ownership</t>
        </is>
      </c>
      <c r="FU298" s="32" t="inlineStr">
        <is>
          <t>Full survey answers not in the files received · How We Grow export needed · HR</t>
        </is>
      </c>
    </row>
    <row r="299" ht="90" customHeight="1">
      <c r="A299" s="51" t="inlineStr">
        <is>
          <t>◂ Back</t>
        </is>
      </c>
      <c r="B299" s="29" t="inlineStr">
        <is>
          <t>Mapped</t>
        </is>
      </c>
      <c r="C299" s="28" t="inlineStr">
        <is>
          <t>iFile</t>
        </is>
      </c>
      <c r="D299" s="29" t="inlineStr">
        <is>
          <t>IRIS2501</t>
        </is>
      </c>
      <c r="E299" s="29" t="inlineStr">
        <is>
          <t>Abhishek Kadam</t>
        </is>
      </c>
      <c r="F299" s="29" t="inlineStr">
        <is>
          <t>Technology</t>
        </is>
      </c>
      <c r="G299" s="29" t="inlineStr">
        <is>
          <t>Software Engineer</t>
        </is>
      </c>
      <c r="H299" s="29" t="inlineStr">
        <is>
          <t>Senior Software Engineer</t>
        </is>
      </c>
      <c r="I299" s="29" t="inlineStr">
        <is>
          <t>L3 – Professional / Associate</t>
        </is>
      </c>
      <c r="J299" s="29" t="inlineStr">
        <is>
          <t>A3</t>
        </is>
      </c>
      <c r="K299" s="29" t="inlineStr">
        <is>
          <t>▲ Up</t>
        </is>
      </c>
      <c r="L299" s="29" t="inlineStr">
        <is>
          <t>Engineering &amp; Development</t>
        </is>
      </c>
      <c r="M299" s="29" t="inlineStr">
        <is>
          <t>Backend Development</t>
        </is>
      </c>
      <c r="N299" s="29" t="n"/>
      <c r="O299" s="29" t="n">
        <v>20</v>
      </c>
      <c r="P299" s="28" t="inlineStr">
        <is>
          <t>P2</t>
        </is>
      </c>
      <c r="Q299" s="29" t="inlineStr">
        <is>
          <t>Developing</t>
        </is>
      </c>
      <c r="R299" s="29" t="inlineStr">
        <is>
          <t>3 Apply</t>
        </is>
      </c>
      <c r="S299" s="29" t="inlineStr">
        <is>
          <t>2–4 yrs</t>
        </is>
      </c>
      <c r="T299" s="29" t="inlineStr">
        <is>
          <t>3–5 · 2–5</t>
        </is>
      </c>
      <c r="U299" s="29" t="inlineStr">
        <is>
          <t>Software Engineer</t>
        </is>
      </c>
      <c r="V299" s="29" t="inlineStr">
        <is>
          <t>Workiva: SE · Broadridge India: SE · Nasdaq / AxiomSL: SE · Salesforce: MTS · Atlassian: P40 · 3–7 yrs · Freshworks: Senior SE</t>
        </is>
      </c>
      <c r="W299" s="29" t="inlineStr">
        <is>
          <t>SFIA 9 · software development, programming; OWASP secure coding; cloud vendor certifications</t>
        </is>
      </c>
      <c r="X299" s="29" t="inlineStr">
        <is>
          <t>Core 2 · Future 2 · Functional 3 · Leadership not scored</t>
        </is>
      </c>
      <c r="Y299" s="52" t="n">
        <v>472</v>
      </c>
      <c r="Z299" s="53" t="inlineStr">
        <is>
          <t>IRIS2501</t>
        </is>
      </c>
      <c r="AA299" s="53" t="inlineStr">
        <is>
          <t>Employee</t>
        </is>
      </c>
      <c r="AB299" s="53" t="inlineStr">
        <is>
          <t>Active</t>
        </is>
      </c>
      <c r="AC299" s="53" t="inlineStr">
        <is>
          <t>Abhishek Kadam</t>
        </is>
      </c>
      <c r="AD299" s="54" t="n">
        <v>46104</v>
      </c>
      <c r="AE299" s="53" t="inlineStr">
        <is>
          <t>Software Engineer</t>
        </is>
      </c>
      <c r="AF299" s="53" t="inlineStr">
        <is>
          <t>B.Tech</t>
        </is>
      </c>
      <c r="AG299" s="53" t="inlineStr">
        <is>
          <t>Arpit Pagaria</t>
        </is>
      </c>
      <c r="AH299" s="53" t="inlineStr">
        <is>
          <t>N-6</t>
        </is>
      </c>
      <c r="AI299" s="53" t="inlineStr">
        <is>
          <t>Individual Contributor</t>
        </is>
      </c>
      <c r="AJ299" s="53" t="inlineStr">
        <is>
          <t>2 years, 0 months, 0 days</t>
        </is>
      </c>
      <c r="AK299" s="53" t="inlineStr">
        <is>
          <t>0 years, 5 months, 2 days</t>
        </is>
      </c>
      <c r="AL299" s="53" t="inlineStr">
        <is>
          <t>Suptech</t>
        </is>
      </c>
      <c r="AM299" s="53" t="inlineStr">
        <is>
          <t>iFile</t>
        </is>
      </c>
      <c r="AN299" s="53" t="inlineStr">
        <is>
          <t>Technology</t>
        </is>
      </c>
      <c r="AO299" s="53" t="inlineStr">
        <is>
          <t>Development</t>
        </is>
      </c>
      <c r="AP299" s="53" t="inlineStr">
        <is>
          <t>Yes</t>
        </is>
      </c>
      <c r="AQ299" s="53" t="inlineStr">
        <is>
          <t>Product/Project</t>
        </is>
      </c>
      <c r="AR299" s="53" t="inlineStr">
        <is>
          <t>Java</t>
        </is>
      </c>
      <c r="AS299" s="53" t="inlineStr">
        <is>
          <t>Technical - Developer</t>
        </is>
      </c>
      <c r="AT299" s="53" t="n">
        <v>20</v>
      </c>
      <c r="AU299" s="53" t="inlineStr">
        <is>
          <t>Covered</t>
        </is>
      </c>
      <c r="AV299" s="53" t="n"/>
      <c r="AW299" s="53" t="n"/>
      <c r="AX299" s="53" t="n"/>
      <c r="AY299" s="53" t="n"/>
      <c r="AZ299" s="53" t="n"/>
      <c r="BA299" s="53" t="n"/>
      <c r="BB299" s="53" t="n"/>
      <c r="BC299" s="53" t="n"/>
      <c r="BD299" s="53" t="n"/>
      <c r="BE299" s="53" t="n"/>
      <c r="BF299" s="53" t="n"/>
      <c r="BG299" s="53" t="n"/>
      <c r="BH299" s="53" t="n"/>
      <c r="BI299" s="53" t="n"/>
      <c r="BJ299" s="53" t="n"/>
      <c r="BK299" s="53" t="n"/>
      <c r="BL299" s="53" t="n"/>
      <c r="BM299" s="53" t="n"/>
      <c r="BN299" s="53" t="n"/>
      <c r="BO299" s="53" t="n"/>
      <c r="BP299" s="53" t="n"/>
      <c r="BQ299" s="53" t="n"/>
      <c r="BR299" s="53" t="n"/>
      <c r="BS299" s="53" t="n"/>
      <c r="BT299" s="53" t="n"/>
      <c r="BU299" s="53" t="n"/>
      <c r="BV299" s="53" t="n"/>
      <c r="BW299" s="53" t="n"/>
      <c r="BX299" s="53" t="n"/>
      <c r="BY299" s="53" t="n"/>
      <c r="BZ299" s="53" t="n"/>
      <c r="CA299" s="53" t="n"/>
      <c r="CB299" s="53" t="n"/>
      <c r="CC299" s="53" t="n"/>
      <c r="CD299" s="53" t="n"/>
      <c r="CE299" s="53" t="n"/>
      <c r="CF299" s="53" t="n"/>
      <c r="CG299" s="53" t="n"/>
      <c r="CH299" s="53" t="n"/>
      <c r="CI299" s="53" t="n"/>
      <c r="CJ299" s="53" t="n"/>
      <c r="CK299" s="53" t="n"/>
      <c r="CL299" s="53" t="n"/>
      <c r="CM299" s="53" t="n"/>
      <c r="CN299" s="53" t="n"/>
      <c r="CO299" s="53" t="n"/>
      <c r="CP299" s="53" t="n"/>
      <c r="CQ299" s="53" t="n"/>
      <c r="CR299" s="53" t="n"/>
      <c r="CS299" s="53" t="n"/>
      <c r="CT299" s="53" t="n"/>
      <c r="CU299" s="53" t="n"/>
      <c r="CV299" s="53" t="n"/>
      <c r="CW299" s="53" t="n"/>
      <c r="CX299" s="53" t="n"/>
      <c r="CY299" s="53" t="n"/>
      <c r="CZ299" s="53" t="n"/>
      <c r="DA299" s="53" t="n"/>
      <c r="DB299" s="53" t="n"/>
      <c r="DC299" s="53" t="n"/>
      <c r="DD299" s="53" t="inlineStr">
        <is>
          <t>IRIS2501</t>
        </is>
      </c>
      <c r="DE299" s="53" t="inlineStr">
        <is>
          <t>Employee</t>
        </is>
      </c>
      <c r="DF299" s="53" t="inlineStr">
        <is>
          <t>Active</t>
        </is>
      </c>
      <c r="DG299" s="53" t="inlineStr">
        <is>
          <t>Abhishek Kadam</t>
        </is>
      </c>
      <c r="DH299" s="54" t="n">
        <v>46104</v>
      </c>
      <c r="DI299" s="53" t="inlineStr">
        <is>
          <t>Software Engineer</t>
        </is>
      </c>
      <c r="DJ299" s="53" t="inlineStr">
        <is>
          <t>Engineering &amp; Development</t>
        </is>
      </c>
      <c r="DK299" s="53" t="inlineStr">
        <is>
          <t>Backend Engineering · Java</t>
        </is>
      </c>
      <c r="DL299" s="53" t="inlineStr">
        <is>
          <t>Software Engineer</t>
        </is>
      </c>
      <c r="DM299" s="53" t="inlineStr">
        <is>
          <t>L3 – Professional / Associate</t>
        </is>
      </c>
      <c r="DN299" s="53" t="inlineStr">
        <is>
          <t>B.Tech</t>
        </is>
      </c>
      <c r="DO299" s="53" t="inlineStr">
        <is>
          <t>Arpit Pagaria</t>
        </is>
      </c>
      <c r="DP299" s="53" t="inlineStr">
        <is>
          <t>N-5</t>
        </is>
      </c>
      <c r="DQ299" s="53" t="inlineStr">
        <is>
          <t>Individual Contributor</t>
        </is>
      </c>
      <c r="DR299" s="53" t="inlineStr">
        <is>
          <t>2 years, 0 months, 0 days</t>
        </is>
      </c>
      <c r="DS299" s="53" t="inlineStr">
        <is>
          <t>0 years, 2 months, 28 days</t>
        </is>
      </c>
      <c r="DT299" s="53" t="inlineStr">
        <is>
          <t>2 years, 2 months, 28 days</t>
        </is>
      </c>
      <c r="DU299" s="53" t="n"/>
      <c r="DV299" s="53" t="inlineStr">
        <is>
          <t>Suptech</t>
        </is>
      </c>
      <c r="DW299" s="53" t="inlineStr">
        <is>
          <t>iFile</t>
        </is>
      </c>
      <c r="DX299" s="53" t="inlineStr">
        <is>
          <t>Technology</t>
        </is>
      </c>
      <c r="DY299" s="53" t="inlineStr">
        <is>
          <t>Development</t>
        </is>
      </c>
      <c r="DZ299" s="53" t="inlineStr">
        <is>
          <t>Yes</t>
        </is>
      </c>
      <c r="EA299" s="53" t="inlineStr">
        <is>
          <t>Product/Project</t>
        </is>
      </c>
      <c r="EB299" s="53" t="inlineStr">
        <is>
          <t>Java</t>
        </is>
      </c>
      <c r="EC299" s="53" t="inlineStr">
        <is>
          <t>Technical - Developer</t>
        </is>
      </c>
      <c r="ED299" s="53" t="inlineStr">
        <is>
          <t>Work From Office - Turbhe</t>
        </is>
      </c>
      <c r="EE299" s="53" t="n"/>
      <c r="EF29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EH299" s="53" t="n">
        <v>2</v>
      </c>
      <c r="EI299" s="53" t="n"/>
      <c r="EJ299" s="53" t="inlineStr">
        <is>
          <t>Software Engineer</t>
        </is>
      </c>
      <c r="EK299" s="53" t="n"/>
      <c r="EL299" s="53" t="n">
        <v>2</v>
      </c>
      <c r="EM299" s="53" t="inlineStr">
        <is>
          <t>Medium</t>
        </is>
      </c>
      <c r="EN299" s="53" t="inlineStr">
        <is>
          <t>Emerging Talent</t>
        </is>
      </c>
      <c r="EO299" s="53" t="n"/>
      <c r="EP299" s="53" t="n"/>
      <c r="EQ299" s="53" t="n"/>
      <c r="ER299" s="53" t="n"/>
      <c r="ES299" s="53" t="inlineStr">
        <is>
          <t>Advanced Java; secure coding &amp; code-quality practices; unit/automated testing; system design fundamentals</t>
        </is>
      </c>
      <c r="ET299" s="53" t="inlineStr">
        <is>
          <t>Transition to leadership: people management &amp; delegation, mentoring/coaching, project ownership &amp; stakeholder management, prioritisation under ambiguity, presentation &amp; influence skills</t>
        </is>
      </c>
      <c r="EU299" s="53" t="n"/>
      <c r="EV299" s="53" t="n"/>
      <c r="EW299" s="52" t="n"/>
      <c r="EX299" s="53" t="n"/>
      <c r="EY299" s="53" t="n"/>
      <c r="EZ299" s="53" t="n"/>
      <c r="FA299" s="53" t="n"/>
      <c r="FB299" s="53" t="n"/>
      <c r="FC299" s="53" t="n"/>
      <c r="FD299" s="53" t="n"/>
      <c r="FE29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FG299" s="56" t="n"/>
      <c r="FH299" s="56" t="inlineStr">
        <is>
          <t>2</t>
        </is>
      </c>
      <c r="FI299" s="56" t="n"/>
      <c r="FJ299" s="56" t="inlineStr">
        <is>
          <t>Received · manager annual, quarterly</t>
        </is>
      </c>
      <c r="FK299" s="56" t="inlineStr">
        <is>
          <t>Talent Mapping · iFile collated</t>
        </is>
      </c>
      <c r="FL299" s="56" t="n">
        <v>20</v>
      </c>
      <c r="FM299" s="32" t="inlineStr">
        <is>
          <t>Full survey answers not in the files received · How We Grow export needed · HR</t>
        </is>
      </c>
      <c r="FN299" s="56" t="inlineStr">
        <is>
          <t>—</t>
        </is>
      </c>
      <c r="FO299" s="56" t="inlineStr">
        <is>
          <t>—</t>
        </is>
      </c>
      <c r="FP299" s="56" t="inlineStr">
        <is>
          <t>—</t>
        </is>
      </c>
      <c r="FQ299" s="56" t="inlineStr">
        <is>
          <t>—</t>
        </is>
      </c>
      <c r="FR299" s="56"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29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9" s="56" t="inlineStr">
        <is>
          <t>Self-identified: Product &amp; tool knowledge
For the next role: Product &amp; tool knowledge</t>
        </is>
      </c>
      <c r="FU299" s="32" t="inlineStr">
        <is>
          <t>Full survey answers not in the files received · How We Grow export needed · HR</t>
        </is>
      </c>
    </row>
    <row r="300" ht="90" customHeight="1">
      <c r="A300" s="51" t="inlineStr">
        <is>
          <t>◂ Back</t>
        </is>
      </c>
      <c r="B300" s="29" t="inlineStr">
        <is>
          <t>Mapped</t>
        </is>
      </c>
      <c r="C300" s="28" t="inlineStr">
        <is>
          <t>iFile</t>
        </is>
      </c>
      <c r="D300" s="29" t="inlineStr">
        <is>
          <t>IRIS2074</t>
        </is>
      </c>
      <c r="E300" s="29" t="inlineStr">
        <is>
          <t>Govind Chidrawar</t>
        </is>
      </c>
      <c r="F300" s="29" t="inlineStr">
        <is>
          <t>Technology</t>
        </is>
      </c>
      <c r="G300" s="29" t="inlineStr">
        <is>
          <t>Senior Software Engineer</t>
        </is>
      </c>
      <c r="H300" s="29" t="inlineStr">
        <is>
          <t>Senior Software Engineer</t>
        </is>
      </c>
      <c r="I300" s="29" t="inlineStr">
        <is>
          <t>L4 – Senior</t>
        </is>
      </c>
      <c r="J300" s="29" t="inlineStr">
        <is>
          <t>A3</t>
        </is>
      </c>
      <c r="K300" s="29" t="inlineStr">
        <is>
          <t>• Same level</t>
        </is>
      </c>
      <c r="L300" s="29" t="inlineStr">
        <is>
          <t>Engineering &amp; Development</t>
        </is>
      </c>
      <c r="M300" s="29" t="inlineStr">
        <is>
          <t>Backend Development</t>
        </is>
      </c>
      <c r="N300" s="29" t="n"/>
      <c r="O300" s="29" t="n">
        <v>20</v>
      </c>
      <c r="P300" s="28" t="inlineStr">
        <is>
          <t>P2</t>
        </is>
      </c>
      <c r="Q300" s="29" t="inlineStr">
        <is>
          <t>Developing</t>
        </is>
      </c>
      <c r="R300" s="29" t="inlineStr">
        <is>
          <t>3 Apply</t>
        </is>
      </c>
      <c r="S300" s="29" t="inlineStr">
        <is>
          <t>2–4 yrs</t>
        </is>
      </c>
      <c r="T300" s="29" t="inlineStr">
        <is>
          <t>3–5 · 2–5</t>
        </is>
      </c>
      <c r="U300" s="29" t="inlineStr">
        <is>
          <t>Software Engineer</t>
        </is>
      </c>
      <c r="V300" s="29" t="inlineStr">
        <is>
          <t>Workiva: SE · Broadridge India: SE · Nasdaq / AxiomSL: SE · Salesforce: MTS · Atlassian: P40 · 3–7 yrs · Freshworks: Senior SE</t>
        </is>
      </c>
      <c r="W300" s="29" t="inlineStr">
        <is>
          <t>SFIA 9 · software development, programming; OWASP secure coding; cloud vendor certifications</t>
        </is>
      </c>
      <c r="X300" s="29" t="inlineStr">
        <is>
          <t>Core 2 · Future 2 · Functional 3 · Leadership not scored</t>
        </is>
      </c>
      <c r="Y300" s="52" t="n">
        <v>249</v>
      </c>
      <c r="Z300" s="53" t="inlineStr">
        <is>
          <t>IRIS2074</t>
        </is>
      </c>
      <c r="AA300" s="53" t="inlineStr">
        <is>
          <t>Employee</t>
        </is>
      </c>
      <c r="AB300" s="53" t="inlineStr">
        <is>
          <t>Active</t>
        </is>
      </c>
      <c r="AC300" s="53" t="inlineStr">
        <is>
          <t>Govind Chidrawar</t>
        </is>
      </c>
      <c r="AD300" s="54" t="n">
        <v>44866</v>
      </c>
      <c r="AE300" s="53" t="inlineStr">
        <is>
          <t>Senior Software Engineer</t>
        </is>
      </c>
      <c r="AF300" s="53" t="inlineStr">
        <is>
          <t>B.E</t>
        </is>
      </c>
      <c r="AG300" s="53" t="inlineStr">
        <is>
          <t>Arpit Pagaria</t>
        </is>
      </c>
      <c r="AH300" s="53" t="inlineStr">
        <is>
          <t>N-6</t>
        </is>
      </c>
      <c r="AI300" s="53" t="inlineStr">
        <is>
          <t>Individual Contributor</t>
        </is>
      </c>
      <c r="AJ300" s="53" t="inlineStr">
        <is>
          <t>2 years, 2 months, 0 days</t>
        </is>
      </c>
      <c r="AK300" s="53" t="inlineStr">
        <is>
          <t>3 years, 9 months, 24 days</t>
        </is>
      </c>
      <c r="AL300" s="53" t="inlineStr">
        <is>
          <t>Suptech</t>
        </is>
      </c>
      <c r="AM300" s="53" t="inlineStr">
        <is>
          <t>iFile</t>
        </is>
      </c>
      <c r="AN300" s="53" t="inlineStr">
        <is>
          <t>Technology</t>
        </is>
      </c>
      <c r="AO300" s="53" t="inlineStr">
        <is>
          <t>Development</t>
        </is>
      </c>
      <c r="AP300" s="53" t="inlineStr">
        <is>
          <t>Yes</t>
        </is>
      </c>
      <c r="AQ300" s="53" t="inlineStr">
        <is>
          <t>Product/Project</t>
        </is>
      </c>
      <c r="AR300" s="53" t="inlineStr">
        <is>
          <t>Java</t>
        </is>
      </c>
      <c r="AS300" s="53" t="inlineStr">
        <is>
          <t>Technical - Developer</t>
        </is>
      </c>
      <c r="AT300" s="53" t="n">
        <v>20</v>
      </c>
      <c r="AU300" s="53" t="inlineStr">
        <is>
          <t>Covered</t>
        </is>
      </c>
      <c r="AV300" s="53" t="n"/>
      <c r="AW300" s="53" t="n"/>
      <c r="AX300" s="53" t="n"/>
      <c r="AY300" s="53" t="n"/>
      <c r="AZ300" s="53" t="n"/>
      <c r="BA300" s="53" t="n"/>
      <c r="BB300" s="53" t="n"/>
      <c r="BC300" s="53" t="n"/>
      <c r="BD300" s="53" t="n"/>
      <c r="BE300" s="53" t="n"/>
      <c r="BF300" s="53" t="n"/>
      <c r="BG300" s="53" t="n"/>
      <c r="BH300" s="53" t="n"/>
      <c r="BI300" s="53" t="n"/>
      <c r="BJ300" s="53" t="n"/>
      <c r="BK300" s="53" t="n"/>
      <c r="BL300" s="53" t="n"/>
      <c r="BM300" s="53" t="n"/>
      <c r="BN300" s="53" t="n"/>
      <c r="BO300" s="53" t="n"/>
      <c r="BP300" s="53" t="n"/>
      <c r="BQ300" s="53" t="n"/>
      <c r="BR300" s="53" t="n"/>
      <c r="BS300" s="53" t="n"/>
      <c r="BT300" s="53" t="n"/>
      <c r="BU300" s="53" t="n"/>
      <c r="BV300" s="53" t="n"/>
      <c r="BW300" s="53" t="n"/>
      <c r="BX300" s="53" t="n"/>
      <c r="BY300" s="53" t="n"/>
      <c r="BZ300" s="53" t="n"/>
      <c r="CA300" s="53" t="n"/>
      <c r="CB300" s="53" t="n"/>
      <c r="CC300" s="53" t="n"/>
      <c r="CD300" s="53" t="n"/>
      <c r="CE300" s="53" t="n"/>
      <c r="CF300" s="53" t="n"/>
      <c r="CG300" s="53" t="n"/>
      <c r="CH300" s="53" t="n"/>
      <c r="CI300" s="53" t="n"/>
      <c r="CJ300" s="53" t="n"/>
      <c r="CK300" s="53" t="n"/>
      <c r="CL300" s="53" t="n"/>
      <c r="CM300" s="53" t="n"/>
      <c r="CN300" s="53" t="n"/>
      <c r="CO300" s="53" t="n"/>
      <c r="CP300" s="53" t="n"/>
      <c r="CQ300" s="53" t="n"/>
      <c r="CR300" s="53" t="n"/>
      <c r="CS300" s="53" t="n"/>
      <c r="CT300" s="53" t="n"/>
      <c r="CU300" s="53" t="n"/>
      <c r="CV300" s="53" t="n"/>
      <c r="CW300" s="53" t="n"/>
      <c r="CX300" s="53" t="n"/>
      <c r="CY300" s="53" t="n"/>
      <c r="CZ300" s="53" t="n"/>
      <c r="DA300" s="53" t="n"/>
      <c r="DB300" s="53" t="n"/>
      <c r="DC300" s="53" t="n"/>
      <c r="DD300" s="53" t="inlineStr">
        <is>
          <t>IRIS2074</t>
        </is>
      </c>
      <c r="DE300" s="53" t="inlineStr">
        <is>
          <t>Employee</t>
        </is>
      </c>
      <c r="DF300" s="53" t="inlineStr">
        <is>
          <t>Active</t>
        </is>
      </c>
      <c r="DG300" s="53" t="inlineStr">
        <is>
          <t>Govind Chidrawar</t>
        </is>
      </c>
      <c r="DH300" s="54" t="n">
        <v>44866</v>
      </c>
      <c r="DI300" s="53" t="inlineStr">
        <is>
          <t>Senior Software Engineer</t>
        </is>
      </c>
      <c r="DJ300" s="53" t="inlineStr">
        <is>
          <t>Engineering &amp; Development</t>
        </is>
      </c>
      <c r="DK300" s="53" t="inlineStr">
        <is>
          <t>Backend Engineering · Java</t>
        </is>
      </c>
      <c r="DL300" s="53" t="inlineStr">
        <is>
          <t>Senior Software Engineer</t>
        </is>
      </c>
      <c r="DM300" s="53" t="inlineStr">
        <is>
          <t>L4 – Senior</t>
        </is>
      </c>
      <c r="DN300" s="53" t="inlineStr">
        <is>
          <t>B.E</t>
        </is>
      </c>
      <c r="DO300" s="53" t="inlineStr">
        <is>
          <t>Arpit Pagaria</t>
        </is>
      </c>
      <c r="DP300" s="53" t="inlineStr">
        <is>
          <t>N-5</t>
        </is>
      </c>
      <c r="DQ300" s="53" t="inlineStr">
        <is>
          <t>Individual Contributor</t>
        </is>
      </c>
      <c r="DR300" s="53" t="inlineStr">
        <is>
          <t>2 years, 2 months, 0 days</t>
        </is>
      </c>
      <c r="DS300" s="53" t="inlineStr">
        <is>
          <t>3 years, 7 months, 19 days</t>
        </is>
      </c>
      <c r="DT300" s="53" t="inlineStr">
        <is>
          <t>5 years, 9 months, 19 days</t>
        </is>
      </c>
      <c r="DU300" s="53" t="n"/>
      <c r="DV300" s="53" t="inlineStr">
        <is>
          <t>Suptech</t>
        </is>
      </c>
      <c r="DW300" s="53" t="inlineStr">
        <is>
          <t>iFile</t>
        </is>
      </c>
      <c r="DX300" s="53" t="inlineStr">
        <is>
          <t>Technology</t>
        </is>
      </c>
      <c r="DY300" s="53" t="inlineStr">
        <is>
          <t>Development</t>
        </is>
      </c>
      <c r="DZ300" s="53" t="inlineStr">
        <is>
          <t>Yes</t>
        </is>
      </c>
      <c r="EA300" s="53" t="inlineStr">
        <is>
          <t>Product/Project</t>
        </is>
      </c>
      <c r="EB300" s="53" t="inlineStr">
        <is>
          <t>Java</t>
        </is>
      </c>
      <c r="EC300" s="53" t="inlineStr">
        <is>
          <t>Technical - Developer</t>
        </is>
      </c>
      <c r="ED300" s="53" t="inlineStr">
        <is>
          <t>Remote - Mumbai</t>
        </is>
      </c>
      <c r="EE300" s="53" t="n"/>
      <c r="EF30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0" s="53"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EH300" s="53" t="n">
        <v>3</v>
      </c>
      <c r="EI300" s="53" t="n"/>
      <c r="EJ300" s="53" t="inlineStr">
        <is>
          <t>Senior Software Engineer</t>
        </is>
      </c>
      <c r="EK300" s="53" t="n"/>
      <c r="EL300" s="53" t="n">
        <v>4</v>
      </c>
      <c r="EM300" s="53" t="inlineStr">
        <is>
          <t>High</t>
        </is>
      </c>
      <c r="EN300" s="53" t="inlineStr">
        <is>
          <t>High Impact / Growth Talent</t>
        </is>
      </c>
      <c r="EO300" s="53" t="n"/>
      <c r="EP300" s="53" t="n"/>
      <c r="EQ300" s="53" t="n"/>
      <c r="ER300" s="53" t="n"/>
      <c r="ES300" s="53" t="inlineStr">
        <is>
          <t>Advanced Java; secure coding &amp; code-quality practices; unit/automated testing; system design fundamentals</t>
        </is>
      </c>
      <c r="ET300" s="53" t="inlineStr">
        <is>
          <t>Transition to leadership: people management &amp; delegation, mentoring/coaching, project ownership &amp; stakeholder management, prioritisation under ambiguity, presentation &amp; influence skills</t>
        </is>
      </c>
      <c r="EU300" s="53" t="n"/>
      <c r="EV300" s="53" t="n"/>
      <c r="EW300" s="52" t="n"/>
      <c r="EX300" s="53" t="n"/>
      <c r="EY300" s="53" t="n"/>
      <c r="EZ300" s="53" t="n"/>
      <c r="FA300" s="53" t="n"/>
      <c r="FB300" s="53" t="n"/>
      <c r="FC300" s="53" t="n"/>
      <c r="FD300" s="53" t="n"/>
      <c r="FE30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0" s="56"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FG300" s="56" t="n"/>
      <c r="FH300" s="56" t="inlineStr">
        <is>
          <t>3</t>
        </is>
      </c>
      <c r="FI300" s="56" t="n"/>
      <c r="FJ300" s="56" t="inlineStr">
        <is>
          <t>Received · manager annual, quarterly</t>
        </is>
      </c>
      <c r="FK300" s="56" t="inlineStr">
        <is>
          <t>Talent Mapping · iFile collated</t>
        </is>
      </c>
      <c r="FL300" s="56" t="n">
        <v>20</v>
      </c>
      <c r="FM300" s="32" t="inlineStr">
        <is>
          <t>Full survey answers not in the files received · How We Grow export needed · HR</t>
        </is>
      </c>
      <c r="FN300" s="56" t="inlineStr">
        <is>
          <t>—</t>
        </is>
      </c>
      <c r="FO300" s="56" t="inlineStr">
        <is>
          <t>—</t>
        </is>
      </c>
      <c r="FP300" s="56" t="inlineStr">
        <is>
          <t>—</t>
        </is>
      </c>
      <c r="FQ300" s="56" t="inlineStr">
        <is>
          <t>—</t>
        </is>
      </c>
      <c r="FR300" s="56"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quality and timely delivery of the features personally owned → moved down 0.5
Leadership: Evidence reads like A3: Reviewing code and guiding other developers are listed responsibilities → moved up 0.5
Business Impact: No survey or manager-mapping signal on criticality: kept at the start point.</t>
        </is>
      </c>
      <c r="FS30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00" s="56" t="inlineStr">
        <is>
          <t>Self-identified: Technical depth &amp; architecture · Broader exposure &amp; ownership
For the next role: Technical depth &amp; architecture · Broader exposure &amp; ownership</t>
        </is>
      </c>
      <c r="FU300" s="32" t="inlineStr">
        <is>
          <t>Full survey answers not in the files received · How We Grow export needed · HR</t>
        </is>
      </c>
    </row>
    <row r="301" ht="90" customHeight="1">
      <c r="A301" s="51" t="inlineStr">
        <is>
          <t>◂ Back</t>
        </is>
      </c>
      <c r="B301" s="29" t="inlineStr">
        <is>
          <t>Mapped</t>
        </is>
      </c>
      <c r="C301" s="28" t="inlineStr">
        <is>
          <t>iFile</t>
        </is>
      </c>
      <c r="D301" s="29" t="inlineStr">
        <is>
          <t>IRIS2058</t>
        </is>
      </c>
      <c r="E301" s="29" t="inlineStr">
        <is>
          <t>Siddharth Dhone</t>
        </is>
      </c>
      <c r="F301" s="29" t="inlineStr">
        <is>
          <t>Technology</t>
        </is>
      </c>
      <c r="G301" s="29" t="inlineStr">
        <is>
          <t>Senior Software Engineer</t>
        </is>
      </c>
      <c r="H301" s="29" t="inlineStr">
        <is>
          <t>Senior Software Engineer</t>
        </is>
      </c>
      <c r="I301" s="29" t="inlineStr">
        <is>
          <t>L4 – Senior</t>
        </is>
      </c>
      <c r="J301" s="29" t="inlineStr">
        <is>
          <t>A3</t>
        </is>
      </c>
      <c r="K301" s="29" t="inlineStr">
        <is>
          <t>• Same level</t>
        </is>
      </c>
      <c r="L301" s="29" t="inlineStr">
        <is>
          <t>Engineering &amp; Development</t>
        </is>
      </c>
      <c r="M301" s="29" t="inlineStr">
        <is>
          <t>Backend Development</t>
        </is>
      </c>
      <c r="N301" s="29" t="n"/>
      <c r="O301" s="29" t="n">
        <v>20</v>
      </c>
      <c r="P301" s="28" t="inlineStr">
        <is>
          <t>P2</t>
        </is>
      </c>
      <c r="Q301" s="29" t="inlineStr">
        <is>
          <t>Developing</t>
        </is>
      </c>
      <c r="R301" s="29" t="inlineStr">
        <is>
          <t>3 Apply</t>
        </is>
      </c>
      <c r="S301" s="29" t="inlineStr">
        <is>
          <t>2–4 yrs</t>
        </is>
      </c>
      <c r="T301" s="29" t="inlineStr">
        <is>
          <t>3–5 · 2–5</t>
        </is>
      </c>
      <c r="U301" s="29" t="inlineStr">
        <is>
          <t>Software Engineer</t>
        </is>
      </c>
      <c r="V301" s="29" t="inlineStr">
        <is>
          <t>Workiva: SE · Broadridge India: SE · Nasdaq / AxiomSL: SE · Salesforce: MTS · Atlassian: P40 · 3–7 yrs · Freshworks: Senior SE</t>
        </is>
      </c>
      <c r="W301" s="29" t="inlineStr">
        <is>
          <t>SFIA 9 · software development, programming; OWASP secure coding; cloud vendor certifications</t>
        </is>
      </c>
      <c r="X301" s="29" t="inlineStr">
        <is>
          <t>Core 2 · Future 2 · Functional 3 · Leadership not scored</t>
        </is>
      </c>
      <c r="Y301" s="52" t="n">
        <v>239</v>
      </c>
      <c r="Z301" s="53" t="inlineStr">
        <is>
          <t>IRIS2058</t>
        </is>
      </c>
      <c r="AA301" s="53" t="inlineStr">
        <is>
          <t>Employee</t>
        </is>
      </c>
      <c r="AB301" s="53" t="inlineStr">
        <is>
          <t>Active</t>
        </is>
      </c>
      <c r="AC301" s="53" t="inlineStr">
        <is>
          <t>Siddharth Dhone</t>
        </is>
      </c>
      <c r="AD301" s="54" t="n">
        <v>44802</v>
      </c>
      <c r="AE301" s="53" t="inlineStr">
        <is>
          <t>Senior Software Engineer</t>
        </is>
      </c>
      <c r="AF301" s="53" t="inlineStr">
        <is>
          <t>B.E</t>
        </is>
      </c>
      <c r="AG301" s="53" t="inlineStr">
        <is>
          <t>Arpit Pagaria</t>
        </is>
      </c>
      <c r="AH301" s="53" t="inlineStr">
        <is>
          <t>N-6</t>
        </is>
      </c>
      <c r="AI301" s="53" t="inlineStr">
        <is>
          <t>Individual Contributor</t>
        </is>
      </c>
      <c r="AJ301" s="53" t="inlineStr">
        <is>
          <t>3 years, 4 months, 0 days</t>
        </is>
      </c>
      <c r="AK301" s="53" t="inlineStr">
        <is>
          <t>3 years, 11 months, 27 days</t>
        </is>
      </c>
      <c r="AL301" s="53" t="inlineStr">
        <is>
          <t>Suptech</t>
        </is>
      </c>
      <c r="AM301" s="53" t="inlineStr">
        <is>
          <t>iFile</t>
        </is>
      </c>
      <c r="AN301" s="53" t="inlineStr">
        <is>
          <t>Technology</t>
        </is>
      </c>
      <c r="AO301" s="53" t="inlineStr">
        <is>
          <t>Development</t>
        </is>
      </c>
      <c r="AP301" s="53" t="inlineStr">
        <is>
          <t>Yes</t>
        </is>
      </c>
      <c r="AQ301" s="53" t="inlineStr">
        <is>
          <t>Product/Project</t>
        </is>
      </c>
      <c r="AR301" s="53" t="inlineStr">
        <is>
          <t>Java</t>
        </is>
      </c>
      <c r="AS301" s="53" t="inlineStr">
        <is>
          <t>Technical - Developer</t>
        </is>
      </c>
      <c r="AT301" s="53" t="n">
        <v>20</v>
      </c>
      <c r="AU301" s="53" t="inlineStr">
        <is>
          <t>Covered</t>
        </is>
      </c>
      <c r="AV301" s="53" t="n"/>
      <c r="AW301" s="53" t="n"/>
      <c r="AX301" s="53" t="n"/>
      <c r="AY301" s="53" t="n"/>
      <c r="AZ301" s="53" t="n"/>
      <c r="BA301" s="53" t="n"/>
      <c r="BB301" s="53" t="n"/>
      <c r="BC301" s="53" t="n"/>
      <c r="BD301" s="53" t="n"/>
      <c r="BE301" s="53" t="n"/>
      <c r="BF301" s="53" t="n"/>
      <c r="BG301" s="53" t="n"/>
      <c r="BH301" s="53" t="n"/>
      <c r="BI301" s="53" t="n"/>
      <c r="BJ301" s="53" t="n"/>
      <c r="BK301" s="53" t="n"/>
      <c r="BL301" s="53" t="n"/>
      <c r="BM301" s="53" t="n"/>
      <c r="BN301" s="53" t="n"/>
      <c r="BO301" s="53" t="n"/>
      <c r="BP301" s="53" t="n"/>
      <c r="BQ301" s="53" t="n"/>
      <c r="BR301" s="53" t="n"/>
      <c r="BS301" s="53" t="n"/>
      <c r="BT301" s="53" t="n"/>
      <c r="BU301" s="53" t="n"/>
      <c r="BV301" s="53" t="n"/>
      <c r="BW301" s="53" t="n"/>
      <c r="BX301" s="53" t="n"/>
      <c r="BY301" s="53" t="n"/>
      <c r="BZ301" s="53" t="n"/>
      <c r="CA301" s="53" t="n"/>
      <c r="CB301" s="53" t="n"/>
      <c r="CC301" s="53" t="n"/>
      <c r="CD301" s="53" t="n"/>
      <c r="CE301" s="53" t="n"/>
      <c r="CF301" s="53" t="n"/>
      <c r="CG301" s="53" t="n"/>
      <c r="CH301" s="53" t="n"/>
      <c r="CI301" s="53" t="n"/>
      <c r="CJ301" s="53" t="n"/>
      <c r="CK301" s="53" t="n"/>
      <c r="CL301" s="53" t="n"/>
      <c r="CM301" s="53" t="n"/>
      <c r="CN301" s="53" t="n"/>
      <c r="CO301" s="53" t="n"/>
      <c r="CP301" s="53" t="n"/>
      <c r="CQ301" s="53" t="n"/>
      <c r="CR301" s="53" t="n"/>
      <c r="CS301" s="53" t="n"/>
      <c r="CT301" s="53" t="n"/>
      <c r="CU301" s="53" t="n"/>
      <c r="CV301" s="53" t="n"/>
      <c r="CW301" s="53" t="n"/>
      <c r="CX301" s="53" t="n"/>
      <c r="CY301" s="53" t="n"/>
      <c r="CZ301" s="53" t="n"/>
      <c r="DA301" s="53" t="n"/>
      <c r="DB301" s="53" t="n"/>
      <c r="DC301" s="53" t="n"/>
      <c r="DD301" s="53" t="inlineStr">
        <is>
          <t>IRIS2058</t>
        </is>
      </c>
      <c r="DE301" s="53" t="inlineStr">
        <is>
          <t>Employee</t>
        </is>
      </c>
      <c r="DF301" s="53" t="inlineStr">
        <is>
          <t>Active</t>
        </is>
      </c>
      <c r="DG301" s="53" t="inlineStr">
        <is>
          <t>Siddharth Dhone</t>
        </is>
      </c>
      <c r="DH301" s="54" t="n">
        <v>44802</v>
      </c>
      <c r="DI301" s="53" t="inlineStr">
        <is>
          <t>Senior Software Engineer</t>
        </is>
      </c>
      <c r="DJ301" s="53" t="inlineStr">
        <is>
          <t>Engineering &amp; Development</t>
        </is>
      </c>
      <c r="DK301" s="53" t="inlineStr">
        <is>
          <t>Backend Engineering · Java</t>
        </is>
      </c>
      <c r="DL301" s="53" t="inlineStr">
        <is>
          <t>Senior Software Engineer</t>
        </is>
      </c>
      <c r="DM301" s="53" t="inlineStr">
        <is>
          <t>L4 – Senior</t>
        </is>
      </c>
      <c r="DN301" s="53" t="inlineStr">
        <is>
          <t>B.E</t>
        </is>
      </c>
      <c r="DO301" s="53" t="inlineStr">
        <is>
          <t>Arpit Pagaria</t>
        </is>
      </c>
      <c r="DP301" s="53" t="inlineStr">
        <is>
          <t>N-5</t>
        </is>
      </c>
      <c r="DQ301" s="53" t="inlineStr">
        <is>
          <t>Individual Contributor</t>
        </is>
      </c>
      <c r="DR301" s="53" t="inlineStr">
        <is>
          <t>3 years, 4 months, 0 days</t>
        </is>
      </c>
      <c r="DS301" s="53" t="inlineStr">
        <is>
          <t>3 years, 9 months, 22 days</t>
        </is>
      </c>
      <c r="DT301" s="53" t="inlineStr">
        <is>
          <t>7 years, 1 months, 22 days</t>
        </is>
      </c>
      <c r="DU301" s="53" t="n"/>
      <c r="DV301" s="53" t="inlineStr">
        <is>
          <t>Suptech</t>
        </is>
      </c>
      <c r="DW301" s="53" t="inlineStr">
        <is>
          <t>iFile</t>
        </is>
      </c>
      <c r="DX301" s="53" t="inlineStr">
        <is>
          <t>Technology</t>
        </is>
      </c>
      <c r="DY301" s="53" t="inlineStr">
        <is>
          <t>Development</t>
        </is>
      </c>
      <c r="DZ301" s="53" t="inlineStr">
        <is>
          <t>Yes</t>
        </is>
      </c>
      <c r="EA301" s="53" t="inlineStr">
        <is>
          <t>Product/Project</t>
        </is>
      </c>
      <c r="EB301" s="53" t="inlineStr">
        <is>
          <t>Java</t>
        </is>
      </c>
      <c r="EC301" s="53" t="inlineStr">
        <is>
          <t>Technical - Developer</t>
        </is>
      </c>
      <c r="ED301" s="53" t="inlineStr">
        <is>
          <t>Remote- Outside Mumbai</t>
        </is>
      </c>
      <c r="EE301" s="53" t="n"/>
      <c r="EF30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1" s="53"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EH301" s="53" t="n">
        <v>4</v>
      </c>
      <c r="EI301" s="53" t="n"/>
      <c r="EJ301" s="53" t="inlineStr">
        <is>
          <t>Senior Software Engineer</t>
        </is>
      </c>
      <c r="EK301" s="53" t="inlineStr">
        <is>
          <t>Can take responsibilities of Tech Lead. Strong technical skills</t>
        </is>
      </c>
      <c r="EL301" s="53" t="n">
        <v>4</v>
      </c>
      <c r="EM301" s="53" t="inlineStr">
        <is>
          <t>High</t>
        </is>
      </c>
      <c r="EN301" s="53" t="inlineStr">
        <is>
          <t>High Impact / Growth Talent</t>
        </is>
      </c>
      <c r="EO301" s="53" t="n"/>
      <c r="EP301" s="53" t="n"/>
      <c r="EQ301" s="53" t="n"/>
      <c r="ER301" s="53" t="n"/>
      <c r="ES301" s="53" t="inlineStr">
        <is>
          <t>Advanced Java; secure coding &amp; code-quality practices; unit/automated testing; system design fundamentals</t>
        </is>
      </c>
      <c r="ET301" s="53" t="inlineStr">
        <is>
          <t>Transition to leadership: people management &amp; delegation, mentoring/coaching, project ownership &amp; stakeholder management, prioritisation under ambiguity, presentation &amp; influence skills</t>
        </is>
      </c>
      <c r="EU301" s="53" t="n"/>
      <c r="EV301" s="53" t="n"/>
      <c r="EW301" s="52" t="n"/>
      <c r="EX301" s="53" t="n"/>
      <c r="EY301" s="53" t="n"/>
      <c r="EZ301" s="53" t="n"/>
      <c r="FA301" s="53" t="n"/>
      <c r="FB301" s="53" t="n"/>
      <c r="FC301" s="53" t="n"/>
      <c r="FD301" s="53" t="n"/>
      <c r="FE30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1" s="56"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FG301" s="56" t="n"/>
      <c r="FH301" s="56" t="inlineStr">
        <is>
          <t>4</t>
        </is>
      </c>
      <c r="FI301" s="56" t="n"/>
      <c r="FJ301" s="56" t="inlineStr">
        <is>
          <t>Received · manager annual, quarterly</t>
        </is>
      </c>
      <c r="FK301" s="56" t="inlineStr">
        <is>
          <t>Talent Mapping · iFile collated</t>
        </is>
      </c>
      <c r="FL301" s="56" t="n">
        <v>20</v>
      </c>
      <c r="FM301" s="32" t="inlineStr">
        <is>
          <t>Full survey answers not in the files received · How We Grow export needed · HR</t>
        </is>
      </c>
      <c r="FN301" s="56" t="inlineStr">
        <is>
          <t>—</t>
        </is>
      </c>
      <c r="FO301" s="56" t="inlineStr">
        <is>
          <t>—</t>
        </is>
      </c>
      <c r="FP301" s="56" t="inlineStr">
        <is>
          <t>—</t>
        </is>
      </c>
      <c r="FQ301" s="56" t="inlineStr">
        <is>
          <t>—</t>
        </is>
      </c>
      <c r="FR301" s="56"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anything specific → moved down 0.5
Leadership: Evidence reads like A1: Presents POCs to the team; no guiding or reviewing described → moved down 0.5
Business Impact: No survey or manager-mapping signal on criticality: kept at the start point.</t>
        </is>
      </c>
      <c r="FS30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01" s="56" t="inlineStr">
        <is>
          <t>Self-identified: Leadership &amp; people management
For the next role: Leadership &amp; people management</t>
        </is>
      </c>
      <c r="FU301" s="32" t="inlineStr">
        <is>
          <t>Full survey answers not in the files received · How We Grow export needed · HR</t>
        </is>
      </c>
    </row>
    <row r="302" ht="90" customHeight="1">
      <c r="A302" s="51" t="inlineStr">
        <is>
          <t>◂ Back</t>
        </is>
      </c>
      <c r="B302" s="29" t="inlineStr">
        <is>
          <t>Mapped</t>
        </is>
      </c>
      <c r="C302" s="28" t="inlineStr">
        <is>
          <t>iFile</t>
        </is>
      </c>
      <c r="D302" s="29" t="inlineStr">
        <is>
          <t>IRIS1833</t>
        </is>
      </c>
      <c r="E302" s="29" t="inlineStr">
        <is>
          <t>Shraddha Gawali</t>
        </is>
      </c>
      <c r="F302" s="29" t="inlineStr">
        <is>
          <t>Support</t>
        </is>
      </c>
      <c r="G302" s="29" t="inlineStr">
        <is>
          <t>Team Lead / Asst Manager</t>
        </is>
      </c>
      <c r="H302" s="29" t="inlineStr">
        <is>
          <t>Support Specialist</t>
        </is>
      </c>
      <c r="I302" s="29" t="inlineStr">
        <is>
          <t>L5 – Lead · IC</t>
        </is>
      </c>
      <c r="J302" s="29" t="inlineStr">
        <is>
          <t>B1</t>
        </is>
      </c>
      <c r="K302" s="29" t="inlineStr">
        <is>
          <t>▼ Down · protected</t>
        </is>
      </c>
      <c r="L302" s="29" t="inlineStr">
        <is>
          <t>Customer Success &amp; Support</t>
        </is>
      </c>
      <c r="M302" s="29" t="inlineStr">
        <is>
          <t>Application &amp; Product Support</t>
        </is>
      </c>
      <c r="N302" s="29" t="n"/>
      <c r="O302" s="29" t="n">
        <v>20</v>
      </c>
      <c r="P302" s="28" t="inlineStr">
        <is>
          <t>P3 / M2</t>
        </is>
      </c>
      <c r="Q302" s="29" t="inlineStr">
        <is>
          <t>Career / · Team Lead</t>
        </is>
      </c>
      <c r="R302" s="29" t="inlineStr">
        <is>
          <t>4 Enable</t>
        </is>
      </c>
      <c r="S302" s="29" t="inlineStr">
        <is>
          <t>4–7 yrs</t>
        </is>
      </c>
      <c r="T302" s="29" t="inlineStr">
        <is>
          <t>5–8 · 4–8</t>
        </is>
      </c>
      <c r="U302" s="29" t="inlineStr">
        <is>
          <t>Senior Executive / CSM</t>
        </is>
      </c>
      <c r="V302" s="29" t="inlineStr">
        <is>
          <t>Workiva: Customer Success Manager · IRIS Vs Competitor Benchmark — SaaS customer-success ladder: CSM · IRIS Vs Competitor Benchmark — support tiers: L3 / Problem Analyst</t>
        </is>
      </c>
      <c r="W302" s="29" t="inlineStr">
        <is>
          <t>TSIA frameworks and benchmarks; ITIL 4 service desk; Gainsight customer-success practice</t>
        </is>
      </c>
      <c r="X302" s="29" t="inlineStr">
        <is>
          <t>Core 3 · Future 3 · Functional 3 · Leadership 1</t>
        </is>
      </c>
      <c r="Y302" s="52" t="n">
        <v>164</v>
      </c>
      <c r="Z302" s="53" t="inlineStr">
        <is>
          <t>IRIS1833</t>
        </is>
      </c>
      <c r="AA302" s="53" t="inlineStr">
        <is>
          <t>Employee</t>
        </is>
      </c>
      <c r="AB302" s="53" t="inlineStr">
        <is>
          <t>Active</t>
        </is>
      </c>
      <c r="AC302" s="53" t="inlineStr">
        <is>
          <t>Shraddha Gawali</t>
        </is>
      </c>
      <c r="AD302" s="54" t="n">
        <v>43837</v>
      </c>
      <c r="AE302" s="53" t="inlineStr">
        <is>
          <t>Team Lead</t>
        </is>
      </c>
      <c r="AF302" s="53" t="inlineStr">
        <is>
          <t>B.Com</t>
        </is>
      </c>
      <c r="AG302" s="53" t="inlineStr">
        <is>
          <t>Kimaya Mundlye</t>
        </is>
      </c>
      <c r="AH302" s="53" t="inlineStr">
        <is>
          <t>N-5</t>
        </is>
      </c>
      <c r="AI302" s="53" t="inlineStr">
        <is>
          <t>Individual Contributor</t>
        </is>
      </c>
      <c r="AJ302" s="53" t="inlineStr">
        <is>
          <t>0 years, 0 months, 0 days</t>
        </is>
      </c>
      <c r="AK302" s="53" t="inlineStr">
        <is>
          <t>6 years, 7 months, 18 days</t>
        </is>
      </c>
      <c r="AL302" s="53" t="inlineStr">
        <is>
          <t>Suptech</t>
        </is>
      </c>
      <c r="AM302" s="53" t="inlineStr">
        <is>
          <t>iFile</t>
        </is>
      </c>
      <c r="AN302" s="53" t="inlineStr">
        <is>
          <t>Support</t>
        </is>
      </c>
      <c r="AO302" s="53" t="inlineStr">
        <is>
          <t>Product Support</t>
        </is>
      </c>
      <c r="AP302" s="53" t="inlineStr">
        <is>
          <t>No</t>
        </is>
      </c>
      <c r="AQ302" s="53" t="inlineStr">
        <is>
          <t>Product/Project</t>
        </is>
      </c>
      <c r="AR302" s="53" t="inlineStr">
        <is>
          <t>Tech Support</t>
        </is>
      </c>
      <c r="AS302" s="53" t="inlineStr">
        <is>
          <t>Non-technical</t>
        </is>
      </c>
      <c r="AT302" s="53" t="n">
        <v>20</v>
      </c>
      <c r="AU302" s="53" t="inlineStr">
        <is>
          <t>Covered</t>
        </is>
      </c>
      <c r="AV302" s="53" t="n"/>
      <c r="AW302" s="53" t="n"/>
      <c r="AX302" s="53" t="n"/>
      <c r="AY302" s="53" t="n"/>
      <c r="AZ302" s="53" t="n"/>
      <c r="BA302" s="53" t="n"/>
      <c r="BB302" s="53" t="n"/>
      <c r="BC302" s="53" t="n"/>
      <c r="BD302" s="53" t="n"/>
      <c r="BE302" s="53" t="n"/>
      <c r="BF302" s="53" t="n"/>
      <c r="BG302" s="53" t="n"/>
      <c r="BH302" s="53" t="n"/>
      <c r="BI302" s="53" t="n"/>
      <c r="BJ302" s="53" t="n"/>
      <c r="BK302" s="53" t="n"/>
      <c r="BL302" s="53" t="n"/>
      <c r="BM302" s="53" t="n"/>
      <c r="BN302" s="53" t="n"/>
      <c r="BO302" s="53" t="n"/>
      <c r="BP302" s="53" t="n"/>
      <c r="BQ302" s="53" t="n"/>
      <c r="BR302" s="53" t="n"/>
      <c r="BS302" s="53" t="n"/>
      <c r="BT302" s="53" t="n"/>
      <c r="BU302" s="53" t="n"/>
      <c r="BV302" s="53" t="n"/>
      <c r="BW302" s="53" t="n"/>
      <c r="BX302" s="53" t="n"/>
      <c r="BY302" s="53" t="n"/>
      <c r="BZ302" s="53" t="n"/>
      <c r="CA302" s="53" t="n"/>
      <c r="CB302" s="53" t="n"/>
      <c r="CC302" s="53" t="n"/>
      <c r="CD302" s="53" t="n"/>
      <c r="CE302" s="53" t="n"/>
      <c r="CF302" s="53" t="n"/>
      <c r="CG302" s="53" t="n"/>
      <c r="CH302" s="53" t="n"/>
      <c r="CI302" s="53" t="n"/>
      <c r="CJ302" s="53" t="n"/>
      <c r="CK302" s="53" t="n"/>
      <c r="CL302" s="53" t="n"/>
      <c r="CM302" s="53" t="n"/>
      <c r="CN302" s="53" t="n"/>
      <c r="CO302" s="53" t="n"/>
      <c r="CP302" s="53" t="n"/>
      <c r="CQ302" s="53" t="n"/>
      <c r="CR302" s="53" t="n"/>
      <c r="CS302" s="53" t="n"/>
      <c r="CT302" s="53" t="n"/>
      <c r="CU302" s="53" t="n"/>
      <c r="CV302" s="53" t="n"/>
      <c r="CW302" s="53" t="n"/>
      <c r="CX302" s="53" t="n"/>
      <c r="CY302" s="53" t="n"/>
      <c r="CZ302" s="53" t="n"/>
      <c r="DA302" s="53" t="n"/>
      <c r="DB302" s="53" t="n"/>
      <c r="DC302" s="53" t="n"/>
      <c r="DD302" s="53" t="inlineStr">
        <is>
          <t>IRIS1833</t>
        </is>
      </c>
      <c r="DE302" s="53" t="inlineStr">
        <is>
          <t>Employee</t>
        </is>
      </c>
      <c r="DF302" s="53" t="inlineStr">
        <is>
          <t>Active</t>
        </is>
      </c>
      <c r="DG302" s="53" t="inlineStr">
        <is>
          <t>Shraddha Gawali</t>
        </is>
      </c>
      <c r="DH302" s="54" t="n">
        <v>43837</v>
      </c>
      <c r="DI302" s="53" t="inlineStr">
        <is>
          <t>Team Lead</t>
        </is>
      </c>
      <c r="DJ302" s="53" t="inlineStr">
        <is>
          <t>Customer Success &amp; Support</t>
        </is>
      </c>
      <c r="DK302" s="53" t="inlineStr">
        <is>
          <t>Technical Support</t>
        </is>
      </c>
      <c r="DL302" s="53" t="inlineStr">
        <is>
          <t>Team Lead</t>
        </is>
      </c>
      <c r="DM302" s="53" t="inlineStr">
        <is>
          <t>L5 – Lead · IC</t>
        </is>
      </c>
      <c r="DN302" s="53" t="inlineStr">
        <is>
          <t>B.Com</t>
        </is>
      </c>
      <c r="DO302" s="53" t="inlineStr">
        <is>
          <t>Nivedita Wagh</t>
        </is>
      </c>
      <c r="DP302" s="53" t="inlineStr">
        <is>
          <t>N-3</t>
        </is>
      </c>
      <c r="DQ302" s="53" t="inlineStr">
        <is>
          <t>Manager</t>
        </is>
      </c>
      <c r="DR302" s="53" t="inlineStr">
        <is>
          <t>0 years, 0 months, 0 days</t>
        </is>
      </c>
      <c r="DS302" s="53" t="inlineStr">
        <is>
          <t>6 years, 5 months, 13 days</t>
        </is>
      </c>
      <c r="DT302" s="53" t="inlineStr">
        <is>
          <t>6 years, 5 months, 13 days</t>
        </is>
      </c>
      <c r="DU302" s="53" t="n">
        <v>6.45228310502283</v>
      </c>
      <c r="DV302" s="53" t="inlineStr">
        <is>
          <t>Suptech</t>
        </is>
      </c>
      <c r="DW302" s="53" t="inlineStr">
        <is>
          <t>iFile</t>
        </is>
      </c>
      <c r="DX302" s="53" t="inlineStr">
        <is>
          <t>Support</t>
        </is>
      </c>
      <c r="DY302" s="53" t="inlineStr">
        <is>
          <t>Product Support</t>
        </is>
      </c>
      <c r="DZ302" s="53" t="inlineStr">
        <is>
          <t>No</t>
        </is>
      </c>
      <c r="EA302" s="53" t="inlineStr">
        <is>
          <t>Product/Project</t>
        </is>
      </c>
      <c r="EB302" s="53" t="inlineStr">
        <is>
          <t>Tech Support</t>
        </is>
      </c>
      <c r="EC302" s="53" t="inlineStr">
        <is>
          <t>Non-technical</t>
        </is>
      </c>
      <c r="ED302" s="53" t="inlineStr">
        <is>
          <t>Hybrid</t>
        </is>
      </c>
      <c r="EE302" s="53" t="inlineStr">
        <is>
          <t>1.To gain Domain Knowledge, 2. To complate Data Analyst Course, 3. To make process degitize, 4. To maximise use of AI, 5. To achive good communication skills.</t>
        </is>
      </c>
      <c r="EF302" s="53"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EG302" s="53" t="inlineStr">
        <is>
          <t>Q1: Keep team CSAT &gt;=4.2/5 and NPS trending positive
Q1: Ensure &gt;=95% team SLA adherence on resolution &amp; first response
Q1: Drive assigned-portfolio renewal/retention to &gt;=90%
Q1: Reduce repeat/escalated issues across team by &gt;=15%</t>
        </is>
      </c>
      <c r="EH302" s="53" t="n">
        <v>3</v>
      </c>
      <c r="EI302" s="54" t="n">
        <v>45870</v>
      </c>
      <c r="EJ302" s="53" t="inlineStr">
        <is>
          <t>Technical Support Team Lead.</t>
        </is>
      </c>
      <c r="EK302" s="53" t="inlineStr">
        <is>
          <t>No</t>
        </is>
      </c>
      <c r="EL302" s="53" t="n">
        <v>3</v>
      </c>
      <c r="EM302" s="53" t="inlineStr">
        <is>
          <t>Medium</t>
        </is>
      </c>
      <c r="EN302" s="53" t="inlineStr">
        <is>
          <t>Core Contributor</t>
        </is>
      </c>
      <c r="EO302" s="53" t="inlineStr">
        <is>
          <t>No</t>
        </is>
      </c>
      <c r="EP302" s="53" t="inlineStr">
        <is>
          <t>Yes</t>
        </is>
      </c>
      <c r="EQ302" s="53" t="inlineStr">
        <is>
          <t>No</t>
        </is>
      </c>
      <c r="ER302" s="53" t="inlineStr">
        <is>
          <t>Sayed Ibrahim</t>
        </is>
      </c>
      <c r="ES302" s="53" t="inlineStr">
        <is>
          <t>Customer success methods; communication &amp; de-escalation; product/domain depth; ticketing &amp; SLA tools | People management: goal-setting &amp; feedback, 1:1 coaching, performance conversations</t>
        </is>
      </c>
      <c r="ET302" s="53" t="inlineStr">
        <is>
          <t>Leadership development: strategic thinking, cross-functional influence, financial/business acumen, succession &amp; talent development, change management, executive communication</t>
        </is>
      </c>
      <c r="EU302" s="53" t="n"/>
      <c r="EV302" s="53" t="n"/>
      <c r="EW302" s="52" t="n"/>
      <c r="EX302" s="53" t="n"/>
      <c r="EY302" s="53" t="n"/>
      <c r="EZ302" s="53" t="n"/>
      <c r="FA302" s="53" t="n"/>
      <c r="FB302" s="53" t="n"/>
      <c r="FC302" s="53" t="n"/>
      <c r="FD302" s="53" t="n"/>
      <c r="FE302" s="57"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FF302" s="56" t="inlineStr">
        <is>
          <t>Q1: Keep team CSAT &gt;=4.2/5 and NPS trending positive
Q1: Ensure &gt;=95% team SLA adherence on resolution &amp; first response
Q1: Drive assigned-portfolio renewal/retention to &gt;=90%
Q1: Reduce repeat/escalated issues across team by &gt;=15%</t>
        </is>
      </c>
      <c r="FG302" s="56" t="inlineStr">
        <is>
          <t>1.To gain Domain Knowledge, 2. To complate Data Analyst Course, 3. To make process degitize, 4. To maximise use of AI, 5. To achive good communication skills.</t>
        </is>
      </c>
      <c r="FH302" s="56" t="inlineStr">
        <is>
          <t>3</t>
        </is>
      </c>
      <c r="FI302" s="56" t="n"/>
      <c r="FJ302" s="56" t="inlineStr">
        <is>
          <t>Received · manager annual, quarterly, self</t>
        </is>
      </c>
      <c r="FK302" s="56" t="inlineStr">
        <is>
          <t>Talent Mapping · iFile collated</t>
        </is>
      </c>
      <c r="FL302" s="56" t="n">
        <v>20</v>
      </c>
      <c r="FM302" s="32" t="inlineStr">
        <is>
          <t>Full survey answers not in the files received · How We Grow export needed · HR</t>
        </is>
      </c>
      <c r="FN302" s="56" t="inlineStr">
        <is>
          <t>—</t>
        </is>
      </c>
      <c r="FO302" s="56" t="inlineStr">
        <is>
          <t>—</t>
        </is>
      </c>
      <c r="FP302" s="56" t="inlineStr">
        <is>
          <t>—</t>
        </is>
      </c>
      <c r="FQ302" s="56" t="inlineStr">
        <is>
          <t>—</t>
        </is>
      </c>
      <c r="FR302" s="56"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0.5
Leadership: Evidence reads like A1: No team leadership described; self-describes as client solution executive → moved down 0.5
Business Impact: No move: the survey / manager mapping does not mark it business-critical or unique.</t>
        </is>
      </c>
      <c r="FS302"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302" s="56" t="inlineStr">
        <is>
          <t>Self-identified: Product &amp; tool knowledge · Client, sales &amp; stakeholders · Broader exposure &amp; ownership
For the next role: Product &amp; tool knowledge · Client, sales &amp; stakeholders · Broader exposure &amp; ownership</t>
        </is>
      </c>
      <c r="FU302" s="32" t="inlineStr">
        <is>
          <t>Full survey answers not in the files received · How We Grow export needed · HR</t>
        </is>
      </c>
    </row>
    <row r="303" ht="90" customHeight="1">
      <c r="A303" s="51" t="inlineStr">
        <is>
          <t>◂ Back</t>
        </is>
      </c>
      <c r="B303" s="29" t="inlineStr">
        <is>
          <t>Mapped</t>
        </is>
      </c>
      <c r="C303" s="28" t="inlineStr">
        <is>
          <t>iFile</t>
        </is>
      </c>
      <c r="D303" s="29" t="inlineStr">
        <is>
          <t>IRIS2046</t>
        </is>
      </c>
      <c r="E303" s="29" t="inlineStr">
        <is>
          <t>Bhagyashree Bauskar</t>
        </is>
      </c>
      <c r="F303" s="29" t="inlineStr">
        <is>
          <t>Support</t>
        </is>
      </c>
      <c r="G303" s="29" t="inlineStr">
        <is>
          <t>Client Solutions Executive</t>
        </is>
      </c>
      <c r="H303" s="29" t="inlineStr">
        <is>
          <t>Senior Support Executive</t>
        </is>
      </c>
      <c r="I303" s="29" t="inlineStr">
        <is>
          <t>L3 – Professional / Associate</t>
        </is>
      </c>
      <c r="J303" s="29" t="inlineStr">
        <is>
          <t>A3</t>
        </is>
      </c>
      <c r="K303" s="29" t="inlineStr">
        <is>
          <t>▲ Up</t>
        </is>
      </c>
      <c r="L303" s="29" t="inlineStr">
        <is>
          <t>Customer Success &amp; Support</t>
        </is>
      </c>
      <c r="M303" s="29" t="inlineStr">
        <is>
          <t>Application &amp; Product Support</t>
        </is>
      </c>
      <c r="N303" s="29" t="n"/>
      <c r="O303" s="29" t="n">
        <v>20</v>
      </c>
      <c r="P303" s="28" t="inlineStr">
        <is>
          <t>P2</t>
        </is>
      </c>
      <c r="Q303" s="29" t="inlineStr">
        <is>
          <t>Developing</t>
        </is>
      </c>
      <c r="R303" s="29" t="inlineStr">
        <is>
          <t>3 Apply</t>
        </is>
      </c>
      <c r="S303" s="29" t="inlineStr">
        <is>
          <t>2–4 yrs</t>
        </is>
      </c>
      <c r="T303" s="29" t="inlineStr">
        <is>
          <t>3–5 · 2–5</t>
        </is>
      </c>
      <c r="U303" s="29" t="inlineStr">
        <is>
          <t>Support / CS Executive</t>
        </is>
      </c>
      <c r="V303" s="29" t="inlineStr">
        <is>
          <t>IRIS Vs Competitor Benchmark — SaaS customer-success ladder: Associate CSM · Regnology: Product Support Specialist · Reg Reporting · IRIS Vs Competitor Benchmark — support tiers: L2 Application Support</t>
        </is>
      </c>
      <c r="W303" s="29" t="inlineStr">
        <is>
          <t>TSIA frameworks and benchmarks; ITIL 4 service desk; Gainsight customer-success practice</t>
        </is>
      </c>
      <c r="X303" s="29" t="inlineStr">
        <is>
          <t>Core 2 · Future 2 · Functional 3 · Leadership not scored</t>
        </is>
      </c>
      <c r="Y303" s="52" t="n">
        <v>232</v>
      </c>
      <c r="Z303" s="53" t="inlineStr">
        <is>
          <t>IRIS2046</t>
        </is>
      </c>
      <c r="AA303" s="53" t="inlineStr">
        <is>
          <t>Employee</t>
        </is>
      </c>
      <c r="AB303" s="53" t="inlineStr">
        <is>
          <t>Active</t>
        </is>
      </c>
      <c r="AC303" s="53" t="inlineStr">
        <is>
          <t>Bhagyashree Bauskar</t>
        </is>
      </c>
      <c r="AD303" s="54" t="n">
        <v>44774</v>
      </c>
      <c r="AE303" s="53" t="inlineStr">
        <is>
          <t>Client Solutions Executive</t>
        </is>
      </c>
      <c r="AF303" s="53" t="inlineStr">
        <is>
          <t>MBA</t>
        </is>
      </c>
      <c r="AG303" s="53" t="inlineStr">
        <is>
          <t>Kimaya Mundlye</t>
        </is>
      </c>
      <c r="AH303" s="53" t="inlineStr">
        <is>
          <t>N-5</t>
        </is>
      </c>
      <c r="AI303" s="53" t="inlineStr">
        <is>
          <t>Individual Contributor</t>
        </is>
      </c>
      <c r="AJ303" s="53" t="inlineStr">
        <is>
          <t>1 years, 12 months, 0 days</t>
        </is>
      </c>
      <c r="AK303" s="53" t="inlineStr">
        <is>
          <t>4 years, 0 months, 24 days</t>
        </is>
      </c>
      <c r="AL303" s="53" t="inlineStr">
        <is>
          <t>Suptech</t>
        </is>
      </c>
      <c r="AM303" s="53" t="inlineStr">
        <is>
          <t>iFile</t>
        </is>
      </c>
      <c r="AN303" s="53" t="inlineStr">
        <is>
          <t>Support</t>
        </is>
      </c>
      <c r="AO303" s="53" t="inlineStr">
        <is>
          <t>Product Support</t>
        </is>
      </c>
      <c r="AP303" s="53" t="inlineStr">
        <is>
          <t>No</t>
        </is>
      </c>
      <c r="AQ303" s="53" t="inlineStr">
        <is>
          <t>Product/Project</t>
        </is>
      </c>
      <c r="AR303" s="53" t="inlineStr">
        <is>
          <t>Tech Support</t>
        </is>
      </c>
      <c r="AS303" s="53" t="inlineStr">
        <is>
          <t>Non-technical</t>
        </is>
      </c>
      <c r="AT303" s="53" t="n">
        <v>20</v>
      </c>
      <c r="AU303" s="53" t="inlineStr">
        <is>
          <t>Covered</t>
        </is>
      </c>
      <c r="AV303" s="53" t="n"/>
      <c r="AW303" s="53" t="n"/>
      <c r="AX303" s="53" t="n"/>
      <c r="AY303" s="53" t="n"/>
      <c r="AZ303" s="53" t="n"/>
      <c r="BA303" s="53" t="n"/>
      <c r="BB303" s="53" t="n"/>
      <c r="BC303" s="53" t="n"/>
      <c r="BD303" s="53" t="n"/>
      <c r="BE303" s="53" t="n"/>
      <c r="BF303" s="53" t="n"/>
      <c r="BG303" s="53" t="n"/>
      <c r="BH303" s="53" t="n"/>
      <c r="BI303" s="53" t="n"/>
      <c r="BJ303" s="53" t="n"/>
      <c r="BK303" s="53" t="n"/>
      <c r="BL303" s="53" t="n"/>
      <c r="BM303" s="53" t="n"/>
      <c r="BN303" s="53" t="n"/>
      <c r="BO303" s="53" t="n"/>
      <c r="BP303" s="53" t="n"/>
      <c r="BQ303" s="53" t="n"/>
      <c r="BR303" s="53" t="n"/>
      <c r="BS303" s="53" t="n"/>
      <c r="BT303" s="53" t="n"/>
      <c r="BU303" s="53" t="n"/>
      <c r="BV303" s="53" t="n"/>
      <c r="BW303" s="53" t="n"/>
      <c r="BX303" s="53" t="n"/>
      <c r="BY303" s="53" t="n"/>
      <c r="BZ303" s="53" t="n"/>
      <c r="CA303" s="53" t="n"/>
      <c r="CB303" s="53" t="n"/>
      <c r="CC303" s="53" t="n"/>
      <c r="CD303" s="53" t="n"/>
      <c r="CE303" s="53" t="n"/>
      <c r="CF303" s="53" t="n"/>
      <c r="CG303" s="53" t="n"/>
      <c r="CH303" s="53" t="n"/>
      <c r="CI303" s="53" t="n"/>
      <c r="CJ303" s="53" t="n"/>
      <c r="CK303" s="53" t="n"/>
      <c r="CL303" s="53" t="n"/>
      <c r="CM303" s="53" t="n"/>
      <c r="CN303" s="53" t="n"/>
      <c r="CO303" s="53" t="n"/>
      <c r="CP303" s="53" t="n"/>
      <c r="CQ303" s="53" t="n"/>
      <c r="CR303" s="53" t="n"/>
      <c r="CS303" s="53" t="n"/>
      <c r="CT303" s="53" t="n"/>
      <c r="CU303" s="53" t="n"/>
      <c r="CV303" s="53" t="n"/>
      <c r="CW303" s="53" t="n"/>
      <c r="CX303" s="53" t="n"/>
      <c r="CY303" s="53" t="n"/>
      <c r="CZ303" s="53" t="n"/>
      <c r="DA303" s="53" t="n"/>
      <c r="DB303" s="53" t="n"/>
      <c r="DC303" s="53" t="n"/>
      <c r="DD303" s="53" t="inlineStr">
        <is>
          <t>IRIS2046</t>
        </is>
      </c>
      <c r="DE303" s="53" t="inlineStr">
        <is>
          <t>Employee</t>
        </is>
      </c>
      <c r="DF303" s="53" t="inlineStr">
        <is>
          <t>Active</t>
        </is>
      </c>
      <c r="DG303" s="53" t="inlineStr">
        <is>
          <t>Bhagyashree Bauskar</t>
        </is>
      </c>
      <c r="DH303" s="54" t="n">
        <v>44774</v>
      </c>
      <c r="DI303" s="53" t="inlineStr">
        <is>
          <t>Client Solutions Executive</t>
        </is>
      </c>
      <c r="DJ303" s="53" t="inlineStr">
        <is>
          <t>Customer Success &amp; Support</t>
        </is>
      </c>
      <c r="DK303" s="53" t="inlineStr">
        <is>
          <t>Technical Support</t>
        </is>
      </c>
      <c r="DL303" s="53" t="inlineStr">
        <is>
          <t>Client Solutions Executive</t>
        </is>
      </c>
      <c r="DM303" s="53" t="inlineStr">
        <is>
          <t>L3 – Professional / Associate</t>
        </is>
      </c>
      <c r="DN303" s="53" t="inlineStr">
        <is>
          <t>MBA</t>
        </is>
      </c>
      <c r="DO303" s="53" t="inlineStr">
        <is>
          <t>Kimaya Mundlye</t>
        </is>
      </c>
      <c r="DP303" s="53" t="inlineStr">
        <is>
          <t>N-4</t>
        </is>
      </c>
      <c r="DQ303" s="53" t="inlineStr">
        <is>
          <t>Individual Contributor</t>
        </is>
      </c>
      <c r="DR303" s="53" t="inlineStr">
        <is>
          <t>1 years, 12 months, 0 days</t>
        </is>
      </c>
      <c r="DS303" s="53" t="inlineStr">
        <is>
          <t>3 years, 10 months, 19 days</t>
        </is>
      </c>
      <c r="DT303" s="53" t="inlineStr">
        <is>
          <t>5 years, 10 months, 19 days</t>
        </is>
      </c>
      <c r="DU303" s="53" t="n"/>
      <c r="DV303" s="53" t="inlineStr">
        <is>
          <t>Suptech</t>
        </is>
      </c>
      <c r="DW303" s="53" t="inlineStr">
        <is>
          <t>iFile</t>
        </is>
      </c>
      <c r="DX303" s="53" t="inlineStr">
        <is>
          <t>Support</t>
        </is>
      </c>
      <c r="DY303" s="53" t="inlineStr">
        <is>
          <t>Product Support</t>
        </is>
      </c>
      <c r="DZ303" s="53" t="inlineStr">
        <is>
          <t>No</t>
        </is>
      </c>
      <c r="EA303" s="53" t="inlineStr">
        <is>
          <t>Product/Project</t>
        </is>
      </c>
      <c r="EB303" s="53" t="inlineStr">
        <is>
          <t>Tech Support</t>
        </is>
      </c>
      <c r="EC303" s="53" t="inlineStr">
        <is>
          <t>Non-technical</t>
        </is>
      </c>
      <c r="ED303" s="53" t="inlineStr">
        <is>
          <t>Hybrid</t>
        </is>
      </c>
      <c r="EE303" s="53" t="n"/>
      <c r="EF303"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3" s="53"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EH303" s="53" t="n">
        <v>5</v>
      </c>
      <c r="EI303" s="53" t="n"/>
      <c r="EJ303" s="53" t="inlineStr">
        <is>
          <t>Client Solutions Executive</t>
        </is>
      </c>
      <c r="EK303" s="53" t="n"/>
      <c r="EL303" s="53" t="n">
        <v>5</v>
      </c>
      <c r="EM303" s="53" t="inlineStr">
        <is>
          <t>High</t>
        </is>
      </c>
      <c r="EN303" s="53" t="inlineStr">
        <is>
          <t>High Impact / Growth Talent</t>
        </is>
      </c>
      <c r="EO303" s="53" t="n"/>
      <c r="EP303" s="53" t="n"/>
      <c r="EQ303" s="53" t="n"/>
      <c r="ER303" s="53" t="n"/>
      <c r="ES303" s="53" t="inlineStr">
        <is>
          <t>Customer success methods; communication &amp; de-escalation; product/domain depth; ticketing &amp; SLA tools</t>
        </is>
      </c>
      <c r="ET303" s="53" t="inlineStr">
        <is>
          <t>Transition to leadership: people management &amp; delegation, mentoring/coaching, project ownership &amp; stakeholder management, prioritisation under ambiguity, presentation &amp; influence skills</t>
        </is>
      </c>
      <c r="EU303" s="53" t="n"/>
      <c r="EV303" s="53" t="n"/>
      <c r="EW303" s="52" t="n"/>
      <c r="EX303" s="53" t="n"/>
      <c r="EY303" s="53" t="n"/>
      <c r="EZ303" s="53" t="n"/>
      <c r="FA303" s="53" t="n"/>
      <c r="FB303" s="53" t="n"/>
      <c r="FC303" s="53" t="n"/>
      <c r="FD303" s="53" t="n"/>
      <c r="FE303"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3" s="56"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FG303" s="56" t="n"/>
      <c r="FH303" s="56" t="inlineStr">
        <is>
          <t>5</t>
        </is>
      </c>
      <c r="FI303" s="56" t="n"/>
      <c r="FJ303" s="56" t="inlineStr">
        <is>
          <t>Received · manager annual, quarterly</t>
        </is>
      </c>
      <c r="FK303" s="56" t="inlineStr">
        <is>
          <t>Talent Mapping · iFile collated</t>
        </is>
      </c>
      <c r="FL303" s="56" t="n">
        <v>20</v>
      </c>
      <c r="FM303" s="32" t="inlineStr">
        <is>
          <t>Full survey answers not in the files received · How We Grow export needed · HR</t>
        </is>
      </c>
      <c r="FN303" s="56" t="inlineStr">
        <is>
          <t>—</t>
        </is>
      </c>
      <c r="FO303" s="56" t="inlineStr">
        <is>
          <t>—</t>
        </is>
      </c>
      <c r="FP303" s="56" t="inlineStr">
        <is>
          <t>—</t>
        </is>
      </c>
      <c r="FQ303" s="56" t="inlineStr">
        <is>
          <t>—</t>
        </is>
      </c>
      <c r="FR303" s="56"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the start
Leadership: Evidence reads like A2: Lists 'problem solving of team'; no formal guiding role → moved up 0.5
Business Impact: No survey or manager-mapping signal on criticality: kept at the start point.</t>
        </is>
      </c>
      <c r="FS303"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3" s="56" t="inlineStr">
        <is>
          <t>Self-identified: Domain, regulatory &amp; XBRL
For the next role: Domain, regulatory &amp; XBRL</t>
        </is>
      </c>
      <c r="FU303" s="32" t="inlineStr">
        <is>
          <t>Full survey answers not in the files received · How We Grow export needed · HR</t>
        </is>
      </c>
    </row>
    <row r="304" ht="90" customHeight="1">
      <c r="A304" s="51" t="inlineStr">
        <is>
          <t>◂ Back</t>
        </is>
      </c>
      <c r="B304" s="29" t="inlineStr">
        <is>
          <t>Mapped</t>
        </is>
      </c>
      <c r="C304" s="28" t="inlineStr">
        <is>
          <t>iFile</t>
        </is>
      </c>
      <c r="D304" s="29" t="inlineStr">
        <is>
          <t>IRIS2047</t>
        </is>
      </c>
      <c r="E304" s="29" t="inlineStr">
        <is>
          <t>Dipeeka Yewale</t>
        </is>
      </c>
      <c r="F304" s="29" t="inlineStr">
        <is>
          <t>Support</t>
        </is>
      </c>
      <c r="G304" s="29" t="inlineStr">
        <is>
          <t>Client Solutions Executive</t>
        </is>
      </c>
      <c r="H304" s="29" t="inlineStr">
        <is>
          <t>Senior Support Executive</t>
        </is>
      </c>
      <c r="I304" s="29" t="inlineStr">
        <is>
          <t>L3 – Professional / Associate</t>
        </is>
      </c>
      <c r="J304" s="29" t="inlineStr">
        <is>
          <t>A3</t>
        </is>
      </c>
      <c r="K304" s="29" t="inlineStr">
        <is>
          <t>▲ Up</t>
        </is>
      </c>
      <c r="L304" s="29" t="inlineStr">
        <is>
          <t>Customer Success &amp; Support</t>
        </is>
      </c>
      <c r="M304" s="29" t="inlineStr">
        <is>
          <t>Application &amp; Product Support</t>
        </is>
      </c>
      <c r="N304" s="29" t="n"/>
      <c r="O304" s="29" t="n">
        <v>19</v>
      </c>
      <c r="P304" s="28" t="inlineStr">
        <is>
          <t>P2</t>
        </is>
      </c>
      <c r="Q304" s="29" t="inlineStr">
        <is>
          <t>Developing</t>
        </is>
      </c>
      <c r="R304" s="29" t="inlineStr">
        <is>
          <t>3 Apply</t>
        </is>
      </c>
      <c r="S304" s="29" t="inlineStr">
        <is>
          <t>2–4 yrs</t>
        </is>
      </c>
      <c r="T304" s="29" t="inlineStr">
        <is>
          <t>3–5 · 2–5</t>
        </is>
      </c>
      <c r="U304" s="29" t="inlineStr">
        <is>
          <t>Support / CS Executive</t>
        </is>
      </c>
      <c r="V304" s="29" t="inlineStr">
        <is>
          <t>IRIS Vs Competitor Benchmark — SaaS customer-success ladder: Associate CSM · Regnology: Product Support Specialist · Reg Reporting · IRIS Vs Competitor Benchmark — support tiers: L2 Application Support</t>
        </is>
      </c>
      <c r="W304" s="29" t="inlineStr">
        <is>
          <t>TSIA frameworks and benchmarks; ITIL 4 service desk; Gainsight customer-success practice</t>
        </is>
      </c>
      <c r="X304" s="29" t="inlineStr">
        <is>
          <t>Core 2 · Future 2 · Functional 3 · Leadership not scored</t>
        </is>
      </c>
      <c r="Y304" s="52" t="n">
        <v>233</v>
      </c>
      <c r="Z304" s="53" t="inlineStr">
        <is>
          <t>IRIS2047</t>
        </is>
      </c>
      <c r="AA304" s="53" t="inlineStr">
        <is>
          <t>Employee</t>
        </is>
      </c>
      <c r="AB304" s="53" t="inlineStr">
        <is>
          <t>Active</t>
        </is>
      </c>
      <c r="AC304" s="53" t="inlineStr">
        <is>
          <t>Dipeeka Yewale</t>
        </is>
      </c>
      <c r="AD304" s="54" t="n">
        <v>44774</v>
      </c>
      <c r="AE304" s="53" t="inlineStr">
        <is>
          <t>Client Solutions Executive</t>
        </is>
      </c>
      <c r="AF304" s="53" t="inlineStr">
        <is>
          <t>B.Com</t>
        </is>
      </c>
      <c r="AG304" s="53" t="inlineStr">
        <is>
          <t>Kimaya Mundlye</t>
        </is>
      </c>
      <c r="AH304" s="53" t="inlineStr">
        <is>
          <t>N-5</t>
        </is>
      </c>
      <c r="AI304" s="53" t="inlineStr">
        <is>
          <t>Individual Contributor</t>
        </is>
      </c>
      <c r="AJ304" s="53" t="inlineStr">
        <is>
          <t>0 years, 0 months, 0 days</t>
        </is>
      </c>
      <c r="AK304" s="53" t="inlineStr">
        <is>
          <t>4 years, 0 months, 24 days</t>
        </is>
      </c>
      <c r="AL304" s="53" t="inlineStr">
        <is>
          <t>Suptech</t>
        </is>
      </c>
      <c r="AM304" s="53" t="inlineStr">
        <is>
          <t>iFile</t>
        </is>
      </c>
      <c r="AN304" s="53" t="inlineStr">
        <is>
          <t>Support</t>
        </is>
      </c>
      <c r="AO304" s="53" t="inlineStr">
        <is>
          <t>Product Support</t>
        </is>
      </c>
      <c r="AP304" s="53" t="inlineStr">
        <is>
          <t>No</t>
        </is>
      </c>
      <c r="AQ304" s="53" t="inlineStr">
        <is>
          <t>Product/Project</t>
        </is>
      </c>
      <c r="AR304" s="53" t="inlineStr">
        <is>
          <t>Tech Support</t>
        </is>
      </c>
      <c r="AS304" s="53" t="inlineStr">
        <is>
          <t>Non-technical</t>
        </is>
      </c>
      <c r="AT304" s="53" t="n">
        <v>20</v>
      </c>
      <c r="AU304" s="53" t="inlineStr">
        <is>
          <t>Covered</t>
        </is>
      </c>
      <c r="AV304" s="53" t="n"/>
      <c r="AW304" s="53" t="n"/>
      <c r="AX304" s="53" t="n"/>
      <c r="AY304" s="53" t="n"/>
      <c r="AZ304" s="53" t="n"/>
      <c r="BA304" s="53" t="n"/>
      <c r="BB304" s="53" t="n"/>
      <c r="BC304" s="53" t="n"/>
      <c r="BD304" s="53" t="n"/>
      <c r="BE304" s="53" t="n"/>
      <c r="BF304" s="53" t="n"/>
      <c r="BG304" s="53" t="n"/>
      <c r="BH304" s="53" t="n"/>
      <c r="BI304" s="53" t="n"/>
      <c r="BJ304" s="53" t="n"/>
      <c r="BK304" s="53" t="n"/>
      <c r="BL304" s="53" t="n"/>
      <c r="BM304" s="53" t="n"/>
      <c r="BN304" s="53" t="n"/>
      <c r="BO304" s="53" t="n"/>
      <c r="BP304" s="53" t="n"/>
      <c r="BQ304" s="53" t="n"/>
      <c r="BR304" s="53" t="n"/>
      <c r="BS304" s="53" t="n"/>
      <c r="BT304" s="53" t="n"/>
      <c r="BU304" s="53" t="n"/>
      <c r="BV304" s="53" t="n"/>
      <c r="BW304" s="53" t="n"/>
      <c r="BX304" s="53" t="n"/>
      <c r="BY304" s="53" t="n"/>
      <c r="BZ304" s="53" t="n"/>
      <c r="CA304" s="53" t="n"/>
      <c r="CB304" s="53" t="n"/>
      <c r="CC304" s="53" t="n"/>
      <c r="CD304" s="53" t="n"/>
      <c r="CE304" s="53" t="n"/>
      <c r="CF304" s="53" t="n"/>
      <c r="CG304" s="53" t="n"/>
      <c r="CH304" s="53" t="n"/>
      <c r="CI304" s="53" t="n"/>
      <c r="CJ304" s="53" t="n"/>
      <c r="CK304" s="53" t="n"/>
      <c r="CL304" s="53" t="n"/>
      <c r="CM304" s="53" t="n"/>
      <c r="CN304" s="53" t="n"/>
      <c r="CO304" s="53" t="n"/>
      <c r="CP304" s="53" t="n"/>
      <c r="CQ304" s="53" t="n"/>
      <c r="CR304" s="53" t="n"/>
      <c r="CS304" s="53" t="n"/>
      <c r="CT304" s="53" t="n"/>
      <c r="CU304" s="53" t="n"/>
      <c r="CV304" s="53" t="n"/>
      <c r="CW304" s="53" t="n"/>
      <c r="CX304" s="53" t="n"/>
      <c r="CY304" s="53" t="n"/>
      <c r="CZ304" s="53" t="n"/>
      <c r="DA304" s="53" t="n"/>
      <c r="DB304" s="53" t="n"/>
      <c r="DC304" s="53" t="n"/>
      <c r="DD304" s="53" t="inlineStr">
        <is>
          <t>IRIS2047</t>
        </is>
      </c>
      <c r="DE304" s="53" t="inlineStr">
        <is>
          <t>Employee</t>
        </is>
      </c>
      <c r="DF304" s="53" t="inlineStr">
        <is>
          <t>Active</t>
        </is>
      </c>
      <c r="DG304" s="53" t="inlineStr">
        <is>
          <t>Dipeeka Yewale</t>
        </is>
      </c>
      <c r="DH304" s="54" t="n">
        <v>44774</v>
      </c>
      <c r="DI304" s="53" t="inlineStr">
        <is>
          <t>Client Solutions Executive</t>
        </is>
      </c>
      <c r="DJ304" s="53" t="inlineStr">
        <is>
          <t>Customer Success &amp; Support</t>
        </is>
      </c>
      <c r="DK304" s="53" t="inlineStr">
        <is>
          <t>Technical Support</t>
        </is>
      </c>
      <c r="DL304" s="53" t="inlineStr">
        <is>
          <t>Client Solutions Executive</t>
        </is>
      </c>
      <c r="DM304" s="53" t="inlineStr">
        <is>
          <t>L3 – Professional / Associate</t>
        </is>
      </c>
      <c r="DN304" s="53" t="inlineStr">
        <is>
          <t>B.Com</t>
        </is>
      </c>
      <c r="DO304" s="53" t="inlineStr">
        <is>
          <t>Kimaya Mundlye</t>
        </is>
      </c>
      <c r="DP304" s="53" t="inlineStr">
        <is>
          <t>N-4</t>
        </is>
      </c>
      <c r="DQ304" s="53" t="inlineStr">
        <is>
          <t>Individual Contributor</t>
        </is>
      </c>
      <c r="DR304" s="53" t="inlineStr">
        <is>
          <t>0 years, 0 months, 0 days</t>
        </is>
      </c>
      <c r="DS304" s="53" t="inlineStr">
        <is>
          <t>3 years, 10 months, 19 days</t>
        </is>
      </c>
      <c r="DT304" s="53" t="inlineStr">
        <is>
          <t>3 years, 10 months, 19 days</t>
        </is>
      </c>
      <c r="DU304" s="53" t="n"/>
      <c r="DV304" s="53" t="inlineStr">
        <is>
          <t>Suptech</t>
        </is>
      </c>
      <c r="DW304" s="53" t="inlineStr">
        <is>
          <t>iFile</t>
        </is>
      </c>
      <c r="DX304" s="53" t="inlineStr">
        <is>
          <t>Support</t>
        </is>
      </c>
      <c r="DY304" s="53" t="inlineStr">
        <is>
          <t>Product Support</t>
        </is>
      </c>
      <c r="DZ304" s="53" t="inlineStr">
        <is>
          <t>No</t>
        </is>
      </c>
      <c r="EA304" s="53" t="inlineStr">
        <is>
          <t>Product/Project</t>
        </is>
      </c>
      <c r="EB304" s="53" t="inlineStr">
        <is>
          <t>Tech Support</t>
        </is>
      </c>
      <c r="EC304" s="53" t="inlineStr">
        <is>
          <t>Non-technical</t>
        </is>
      </c>
      <c r="ED304" s="53" t="inlineStr">
        <is>
          <t>Remote - Mumbai</t>
        </is>
      </c>
      <c r="EE304" s="53" t="n"/>
      <c r="EF304"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4" s="53"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EH304" s="53" t="n">
        <v>3</v>
      </c>
      <c r="EI304" s="53" t="n"/>
      <c r="EJ304" s="53" t="inlineStr">
        <is>
          <t>Client Solutions Executive</t>
        </is>
      </c>
      <c r="EK304" s="53" t="n"/>
      <c r="EL304" s="53" t="n">
        <v>3</v>
      </c>
      <c r="EM304" s="53" t="inlineStr">
        <is>
          <t>Medium</t>
        </is>
      </c>
      <c r="EN304" s="53" t="inlineStr">
        <is>
          <t>Core Contributor</t>
        </is>
      </c>
      <c r="EO304" s="53" t="n"/>
      <c r="EP304" s="53" t="n"/>
      <c r="EQ304" s="53" t="n"/>
      <c r="ER304" s="53" t="n"/>
      <c r="ES304" s="53" t="inlineStr">
        <is>
          <t>Customer success methods; communication &amp; de-escalation; product/domain depth; ticketing &amp; SLA tools</t>
        </is>
      </c>
      <c r="ET304" s="53" t="inlineStr">
        <is>
          <t>Transition to leadership: people management &amp; delegation, mentoring/coaching, project ownership &amp; stakeholder management, prioritisation under ambiguity, presentation &amp; influence skills</t>
        </is>
      </c>
      <c r="EU304" s="53" t="n"/>
      <c r="EV304" s="53" t="n"/>
      <c r="EW304" s="52" t="n"/>
      <c r="EX304" s="53" t="n"/>
      <c r="EY304" s="53" t="n"/>
      <c r="EZ304" s="53" t="n"/>
      <c r="FA304" s="53" t="n"/>
      <c r="FB304" s="53" t="n"/>
      <c r="FC304" s="53" t="n"/>
      <c r="FD304" s="53" t="n"/>
      <c r="FE304"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4" s="56"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FG304" s="56" t="n"/>
      <c r="FH304" s="56" t="inlineStr">
        <is>
          <t>3</t>
        </is>
      </c>
      <c r="FI304" s="56" t="n"/>
      <c r="FJ304" s="56" t="inlineStr">
        <is>
          <t>Received · manager annual, quarterly</t>
        </is>
      </c>
      <c r="FK304" s="56" t="inlineStr">
        <is>
          <t>Talent Mapping · iFile collated</t>
        </is>
      </c>
      <c r="FL304" s="56" t="n">
        <v>19</v>
      </c>
      <c r="FM304" s="32" t="inlineStr">
        <is>
          <t>Full survey answers not in the files received · How We Grow export needed · HR</t>
        </is>
      </c>
      <c r="FN304" s="56" t="inlineStr">
        <is>
          <t>—</t>
        </is>
      </c>
      <c r="FO304" s="56" t="inlineStr">
        <is>
          <t>—</t>
        </is>
      </c>
      <c r="FP304" s="56" t="inlineStr">
        <is>
          <t>—</t>
        </is>
      </c>
      <c r="FQ304" s="56" t="inlineStr">
        <is>
          <t>—</t>
        </is>
      </c>
      <c r="FR304" s="56"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start
Leadership: Evidence reads like A1: Mentions team coordination only; no guidance described → matches the start
Business Impact: No survey or manager-mapping signal on criticality: kept at the start point.</t>
        </is>
      </c>
      <c r="FS304"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4" s="56" t="inlineStr">
        <is>
          <t>Self-identified: Answered · no common topic
For the next role: Answered · no common topic</t>
        </is>
      </c>
      <c r="FU304" s="32" t="inlineStr">
        <is>
          <t>Full survey answers not in the files received · How We Grow export needed · HR</t>
        </is>
      </c>
    </row>
    <row r="305" ht="90" customHeight="1">
      <c r="A305" s="51" t="inlineStr">
        <is>
          <t>◂ Back</t>
        </is>
      </c>
      <c r="B305" s="29" t="inlineStr">
        <is>
          <t>Mapped</t>
        </is>
      </c>
      <c r="C305" s="28" t="inlineStr">
        <is>
          <t>iFile</t>
        </is>
      </c>
      <c r="D305" s="29" t="inlineStr">
        <is>
          <t>IRIS1931</t>
        </is>
      </c>
      <c r="E305" s="29" t="inlineStr">
        <is>
          <t>Manohar Golbane</t>
        </is>
      </c>
      <c r="F305" s="29" t="inlineStr">
        <is>
          <t>Support</t>
        </is>
      </c>
      <c r="G305" s="29" t="inlineStr">
        <is>
          <t>Analyst</t>
        </is>
      </c>
      <c r="H305" s="29" t="inlineStr">
        <is>
          <t>Senior Support Executive</t>
        </is>
      </c>
      <c r="I305" s="29" t="inlineStr">
        <is>
          <t>L3 – Professional / Associate</t>
        </is>
      </c>
      <c r="J305" s="29" t="inlineStr">
        <is>
          <t>A3</t>
        </is>
      </c>
      <c r="K305" s="29" t="inlineStr">
        <is>
          <t>▲ Up</t>
        </is>
      </c>
      <c r="L305" s="29" t="inlineStr">
        <is>
          <t>Customer Success &amp; Support</t>
        </is>
      </c>
      <c r="M305" s="29" t="inlineStr">
        <is>
          <t>Application &amp; Product Support</t>
        </is>
      </c>
      <c r="N305" s="29" t="n"/>
      <c r="O305" s="29" t="n">
        <v>20</v>
      </c>
      <c r="P305" s="28" t="inlineStr">
        <is>
          <t>P2</t>
        </is>
      </c>
      <c r="Q305" s="29" t="inlineStr">
        <is>
          <t>Developing</t>
        </is>
      </c>
      <c r="R305" s="29" t="inlineStr">
        <is>
          <t>3 Apply</t>
        </is>
      </c>
      <c r="S305" s="29" t="inlineStr">
        <is>
          <t>2–4 yrs</t>
        </is>
      </c>
      <c r="T305" s="29" t="inlineStr">
        <is>
          <t>3–5 · 2–5</t>
        </is>
      </c>
      <c r="U305" s="29" t="inlineStr">
        <is>
          <t>Support / CS Executive</t>
        </is>
      </c>
      <c r="V305" s="29" t="inlineStr">
        <is>
          <t>IRIS Vs Competitor Benchmark — SaaS customer-success ladder: Associate CSM · Regnology: Product Support Specialist · Reg Reporting · IRIS Vs Competitor Benchmark — support tiers: L2 Application Support</t>
        </is>
      </c>
      <c r="W305" s="29" t="inlineStr">
        <is>
          <t>TSIA frameworks and benchmarks; ITIL 4 service desk; Gainsight customer-success practice</t>
        </is>
      </c>
      <c r="X305" s="29" t="inlineStr">
        <is>
          <t>Core 2 · Future 2 · Functional 3 · Leadership not scored</t>
        </is>
      </c>
      <c r="Y305" s="52" t="n">
        <v>189</v>
      </c>
      <c r="Z305" s="53" t="inlineStr">
        <is>
          <t>IRIS1931</t>
        </is>
      </c>
      <c r="AA305" s="53" t="inlineStr">
        <is>
          <t>Employee</t>
        </is>
      </c>
      <c r="AB305" s="53" t="inlineStr">
        <is>
          <t>Active</t>
        </is>
      </c>
      <c r="AC305" s="53" t="inlineStr">
        <is>
          <t>Manohar Golbane</t>
        </is>
      </c>
      <c r="AD305" s="54" t="n">
        <v>44393</v>
      </c>
      <c r="AE305" s="53" t="inlineStr">
        <is>
          <t>Analyst</t>
        </is>
      </c>
      <c r="AF305" s="53" t="inlineStr">
        <is>
          <t>B.Com</t>
        </is>
      </c>
      <c r="AG305" s="53" t="inlineStr">
        <is>
          <t>Kimaya Mundlye</t>
        </is>
      </c>
      <c r="AH305" s="53" t="inlineStr">
        <is>
          <t>N-5</t>
        </is>
      </c>
      <c r="AI305" s="53" t="inlineStr">
        <is>
          <t>Individual Contributor</t>
        </is>
      </c>
      <c r="AJ305" s="53" t="inlineStr">
        <is>
          <t>8 years, 5 months, 0 days</t>
        </is>
      </c>
      <c r="AK305" s="53" t="inlineStr">
        <is>
          <t>5 years, 1 months, 9 days</t>
        </is>
      </c>
      <c r="AL305" s="53" t="inlineStr">
        <is>
          <t>Suptech</t>
        </is>
      </c>
      <c r="AM305" s="53" t="inlineStr">
        <is>
          <t>iFile</t>
        </is>
      </c>
      <c r="AN305" s="53" t="inlineStr">
        <is>
          <t>Support</t>
        </is>
      </c>
      <c r="AO305" s="53" t="inlineStr">
        <is>
          <t>Product Support</t>
        </is>
      </c>
      <c r="AP305" s="53" t="inlineStr">
        <is>
          <t>No</t>
        </is>
      </c>
      <c r="AQ305" s="53" t="inlineStr">
        <is>
          <t>Product/Project</t>
        </is>
      </c>
      <c r="AR305" s="53" t="inlineStr">
        <is>
          <t>Tech Support</t>
        </is>
      </c>
      <c r="AS305" s="53" t="inlineStr">
        <is>
          <t>Non-technical</t>
        </is>
      </c>
      <c r="AT305" s="53" t="n">
        <v>20</v>
      </c>
      <c r="AU305" s="53" t="inlineStr">
        <is>
          <t>Covered</t>
        </is>
      </c>
      <c r="AV305" s="53" t="n"/>
      <c r="AW305" s="53" t="n"/>
      <c r="AX305" s="53" t="n"/>
      <c r="AY305" s="53" t="n"/>
      <c r="AZ305" s="53" t="n"/>
      <c r="BA305" s="53" t="n"/>
      <c r="BB305" s="53" t="n"/>
      <c r="BC305" s="53" t="n"/>
      <c r="BD305" s="53" t="n"/>
      <c r="BE305" s="53" t="n"/>
      <c r="BF305" s="53" t="n"/>
      <c r="BG305" s="53" t="n"/>
      <c r="BH305" s="53" t="n"/>
      <c r="BI305" s="53" t="n"/>
      <c r="BJ305" s="53" t="n"/>
      <c r="BK305" s="53" t="n"/>
      <c r="BL305" s="53" t="n"/>
      <c r="BM305" s="53" t="n"/>
      <c r="BN305" s="53" t="n"/>
      <c r="BO305" s="53" t="n"/>
      <c r="BP305" s="53" t="n"/>
      <c r="BQ305" s="53" t="n"/>
      <c r="BR305" s="53" t="n"/>
      <c r="BS305" s="53" t="n"/>
      <c r="BT305" s="53" t="n"/>
      <c r="BU305" s="53" t="n"/>
      <c r="BV305" s="53" t="n"/>
      <c r="BW305" s="53" t="n"/>
      <c r="BX305" s="53" t="n"/>
      <c r="BY305" s="53" t="n"/>
      <c r="BZ305" s="53" t="n"/>
      <c r="CA305" s="53" t="n"/>
      <c r="CB305" s="53" t="n"/>
      <c r="CC305" s="53" t="n"/>
      <c r="CD305" s="53" t="n"/>
      <c r="CE305" s="53" t="n"/>
      <c r="CF305" s="53" t="n"/>
      <c r="CG305" s="53" t="n"/>
      <c r="CH305" s="53" t="n"/>
      <c r="CI305" s="53" t="n"/>
      <c r="CJ305" s="53" t="n"/>
      <c r="CK305" s="53" t="n"/>
      <c r="CL305" s="53" t="n"/>
      <c r="CM305" s="53" t="n"/>
      <c r="CN305" s="53" t="n"/>
      <c r="CO305" s="53" t="n"/>
      <c r="CP305" s="53" t="n"/>
      <c r="CQ305" s="53" t="n"/>
      <c r="CR305" s="53" t="n"/>
      <c r="CS305" s="53" t="n"/>
      <c r="CT305" s="53" t="n"/>
      <c r="CU305" s="53" t="n"/>
      <c r="CV305" s="53" t="n"/>
      <c r="CW305" s="53" t="n"/>
      <c r="CX305" s="53" t="n"/>
      <c r="CY305" s="53" t="n"/>
      <c r="CZ305" s="53" t="n"/>
      <c r="DA305" s="53" t="n"/>
      <c r="DB305" s="53" t="n"/>
      <c r="DC305" s="53" t="n"/>
      <c r="DD305" s="53" t="inlineStr">
        <is>
          <t>IRIS1931</t>
        </is>
      </c>
      <c r="DE305" s="53" t="inlineStr">
        <is>
          <t>Employee</t>
        </is>
      </c>
      <c r="DF305" s="53" t="inlineStr">
        <is>
          <t>Active</t>
        </is>
      </c>
      <c r="DG305" s="53" t="inlineStr">
        <is>
          <t>Manohar Golbane</t>
        </is>
      </c>
      <c r="DH305" s="54" t="n">
        <v>44393</v>
      </c>
      <c r="DI305" s="53" t="inlineStr">
        <is>
          <t>Analyst</t>
        </is>
      </c>
      <c r="DJ305" s="53" t="inlineStr">
        <is>
          <t>Customer Success &amp; Support</t>
        </is>
      </c>
      <c r="DK305" s="53" t="inlineStr">
        <is>
          <t>Technical Support</t>
        </is>
      </c>
      <c r="DL305" s="53" t="inlineStr">
        <is>
          <t>Analyst</t>
        </is>
      </c>
      <c r="DM305" s="53" t="inlineStr">
        <is>
          <t>L3 – Professional / Associate</t>
        </is>
      </c>
      <c r="DN305" s="53" t="inlineStr">
        <is>
          <t>B.Com</t>
        </is>
      </c>
      <c r="DO305" s="53" t="inlineStr">
        <is>
          <t>Kimaya Mundlye</t>
        </is>
      </c>
      <c r="DP305" s="53" t="inlineStr">
        <is>
          <t>N-4</t>
        </is>
      </c>
      <c r="DQ305" s="53" t="inlineStr">
        <is>
          <t>Individual Contributor</t>
        </is>
      </c>
      <c r="DR305" s="53" t="inlineStr">
        <is>
          <t>8 years, 5 months, 0 days</t>
        </is>
      </c>
      <c r="DS305" s="53" t="inlineStr">
        <is>
          <t>4 years, 11 months, 4 days</t>
        </is>
      </c>
      <c r="DT305" s="53" t="inlineStr">
        <is>
          <t>13 years, 4 months, 4 days</t>
        </is>
      </c>
      <c r="DU305" s="53" t="n"/>
      <c r="DV305" s="53" t="inlineStr">
        <is>
          <t>Suptech</t>
        </is>
      </c>
      <c r="DW305" s="53" t="inlineStr">
        <is>
          <t>iFile</t>
        </is>
      </c>
      <c r="DX305" s="53" t="inlineStr">
        <is>
          <t>Support</t>
        </is>
      </c>
      <c r="DY305" s="53" t="inlineStr">
        <is>
          <t>Product Support</t>
        </is>
      </c>
      <c r="DZ305" s="53" t="inlineStr">
        <is>
          <t>No</t>
        </is>
      </c>
      <c r="EA305" s="53" t="inlineStr">
        <is>
          <t>Product/Project</t>
        </is>
      </c>
      <c r="EB305" s="53" t="inlineStr">
        <is>
          <t>Tech Support</t>
        </is>
      </c>
      <c r="EC305" s="53" t="inlineStr">
        <is>
          <t>Non-technical</t>
        </is>
      </c>
      <c r="ED305" s="53" t="inlineStr">
        <is>
          <t>Client Side</t>
        </is>
      </c>
      <c r="EE305" s="53" t="n"/>
      <c r="EF305"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5" s="53"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EH305" s="53" t="n">
        <v>4</v>
      </c>
      <c r="EI305" s="53" t="n"/>
      <c r="EJ305" s="53" t="inlineStr">
        <is>
          <t>Analyst</t>
        </is>
      </c>
      <c r="EK305" s="53" t="inlineStr">
        <is>
          <t>Additional reponsiblity of QA Role</t>
        </is>
      </c>
      <c r="EL305" s="53" t="n">
        <v>4</v>
      </c>
      <c r="EM305" s="53" t="inlineStr">
        <is>
          <t>High</t>
        </is>
      </c>
      <c r="EN305" s="53" t="inlineStr">
        <is>
          <t>High Impact / Growth Talent</t>
        </is>
      </c>
      <c r="EO305" s="53" t="n"/>
      <c r="EP305" s="53" t="n"/>
      <c r="EQ305" s="53" t="n"/>
      <c r="ER305" s="53" t="n"/>
      <c r="ES305" s="53" t="inlineStr">
        <is>
          <t>Customer success methods; communication &amp; de-escalation; product/domain depth; ticketing &amp; SLA tools</t>
        </is>
      </c>
      <c r="ET305" s="53" t="inlineStr">
        <is>
          <t>Transition to leadership: people management &amp; delegation, mentoring/coaching, project ownership &amp; stakeholder management, prioritisation under ambiguity, presentation &amp; influence skills</t>
        </is>
      </c>
      <c r="EU305" s="53" t="n"/>
      <c r="EV305" s="53" t="n"/>
      <c r="EW305" s="52" t="n"/>
      <c r="EX305" s="53" t="n"/>
      <c r="EY305" s="53" t="n"/>
      <c r="EZ305" s="53" t="n"/>
      <c r="FA305" s="53" t="n"/>
      <c r="FB305" s="53" t="n"/>
      <c r="FC305" s="53" t="n"/>
      <c r="FD305" s="53" t="n"/>
      <c r="FE305"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5" s="56"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FG305" s="56" t="n"/>
      <c r="FH305" s="56" t="inlineStr">
        <is>
          <t>4</t>
        </is>
      </c>
      <c r="FI305" s="56" t="n"/>
      <c r="FJ305" s="56" t="inlineStr">
        <is>
          <t>Received · manager annual, quarterly</t>
        </is>
      </c>
      <c r="FK305" s="56" t="inlineStr">
        <is>
          <t>Talent Mapping · iFile collated</t>
        </is>
      </c>
      <c r="FL305" s="56" t="n">
        <v>20</v>
      </c>
      <c r="FM305" s="32" t="inlineStr">
        <is>
          <t>Full survey answers not in the files received · How We Grow export needed · HR</t>
        </is>
      </c>
      <c r="FN305" s="56" t="inlineStr">
        <is>
          <t>—</t>
        </is>
      </c>
      <c r="FO305" s="56" t="inlineStr">
        <is>
          <t>—</t>
        </is>
      </c>
      <c r="FP305" s="56" t="inlineStr">
        <is>
          <t>—</t>
        </is>
      </c>
      <c r="FQ305" s="56" t="inlineStr">
        <is>
          <t>—</t>
        </is>
      </c>
      <c r="FR305" s="56"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moved up 0.5
Leadership: Evidence reads like A1: No guidance of others described → matches the start
Business Impact: No survey or manager-mapping signal on criticality: kept at the start point.</t>
        </is>
      </c>
      <c r="FS30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5" s="56" t="inlineStr">
        <is>
          <t>Self-identified: Data, SQL &amp; analytics
For the next role: Data, SQL &amp; analytics</t>
        </is>
      </c>
      <c r="FU305" s="32" t="inlineStr">
        <is>
          <t>Full survey answers not in the files received · How We Grow export needed · HR</t>
        </is>
      </c>
    </row>
    <row r="306" ht="90" customHeight="1">
      <c r="A306" s="51" t="inlineStr">
        <is>
          <t>◂ Back</t>
        </is>
      </c>
      <c r="B306" s="29" t="inlineStr">
        <is>
          <t>Mapped</t>
        </is>
      </c>
      <c r="C306" s="28" t="inlineStr">
        <is>
          <t>iFile</t>
        </is>
      </c>
      <c r="D306" s="29" t="inlineStr">
        <is>
          <t>IRIS2203</t>
        </is>
      </c>
      <c r="E306" s="29" t="inlineStr">
        <is>
          <t>Prajakta Mandhare</t>
        </is>
      </c>
      <c r="F306" s="29" t="inlineStr">
        <is>
          <t>Support</t>
        </is>
      </c>
      <c r="G306" s="29" t="inlineStr">
        <is>
          <t>Client Solutions Executive</t>
        </is>
      </c>
      <c r="H306" s="29" t="inlineStr">
        <is>
          <t>Senior Support Executive</t>
        </is>
      </c>
      <c r="I306" s="29" t="inlineStr">
        <is>
          <t>L3 – Professional / Associate</t>
        </is>
      </c>
      <c r="J306" s="29" t="inlineStr">
        <is>
          <t>A3</t>
        </is>
      </c>
      <c r="K306" s="29" t="inlineStr">
        <is>
          <t>▲ Up</t>
        </is>
      </c>
      <c r="L306" s="29" t="inlineStr">
        <is>
          <t>Customer Success &amp; Support</t>
        </is>
      </c>
      <c r="M306" s="29" t="inlineStr">
        <is>
          <t>Application &amp; Product Support</t>
        </is>
      </c>
      <c r="N306" s="29" t="n"/>
      <c r="O306" s="29" t="n">
        <v>20</v>
      </c>
      <c r="P306" s="28" t="inlineStr">
        <is>
          <t>P2</t>
        </is>
      </c>
      <c r="Q306" s="29" t="inlineStr">
        <is>
          <t>Developing</t>
        </is>
      </c>
      <c r="R306" s="29" t="inlineStr">
        <is>
          <t>3 Apply</t>
        </is>
      </c>
      <c r="S306" s="29" t="inlineStr">
        <is>
          <t>2–4 yrs</t>
        </is>
      </c>
      <c r="T306" s="29" t="inlineStr">
        <is>
          <t>3–5 · 2–5</t>
        </is>
      </c>
      <c r="U306" s="29" t="inlineStr">
        <is>
          <t>Support / CS Executive</t>
        </is>
      </c>
      <c r="V306" s="29" t="inlineStr">
        <is>
          <t>IRIS Vs Competitor Benchmark — SaaS customer-success ladder: Associate CSM · Regnology: Product Support Specialist · Reg Reporting · IRIS Vs Competitor Benchmark — support tiers: L2 Application Support</t>
        </is>
      </c>
      <c r="W306" s="29" t="inlineStr">
        <is>
          <t>TSIA frameworks and benchmarks; ITIL 4 service desk; Gainsight customer-success practice</t>
        </is>
      </c>
      <c r="X306" s="29" t="inlineStr">
        <is>
          <t>Core 2 · Future 2 · Functional 3 · Leadership not scored</t>
        </is>
      </c>
      <c r="Y306" s="52" t="n">
        <v>299</v>
      </c>
      <c r="Z306" s="53" t="inlineStr">
        <is>
          <t>IRIS2203</t>
        </is>
      </c>
      <c r="AA306" s="53" t="inlineStr">
        <is>
          <t>Employee</t>
        </is>
      </c>
      <c r="AB306" s="53" t="inlineStr">
        <is>
          <t>Active</t>
        </is>
      </c>
      <c r="AC306" s="53" t="inlineStr">
        <is>
          <t>Prajakta Mandhare</t>
        </is>
      </c>
      <c r="AD306" s="54" t="n">
        <v>45231</v>
      </c>
      <c r="AE306" s="53" t="inlineStr">
        <is>
          <t>Client Solutions Executive</t>
        </is>
      </c>
      <c r="AF306" s="53" t="inlineStr">
        <is>
          <t>B.Com</t>
        </is>
      </c>
      <c r="AG306" s="53" t="inlineStr">
        <is>
          <t>Kimaya Mundlye</t>
        </is>
      </c>
      <c r="AH306" s="53" t="inlineStr">
        <is>
          <t>N-5</t>
        </is>
      </c>
      <c r="AI306" s="53" t="inlineStr">
        <is>
          <t>Individual Contributor</t>
        </is>
      </c>
      <c r="AJ306" s="53" t="inlineStr">
        <is>
          <t>4 years, 3 months, 0 days</t>
        </is>
      </c>
      <c r="AK306" s="53" t="inlineStr">
        <is>
          <t>2 years, 9 months, 24 days</t>
        </is>
      </c>
      <c r="AL306" s="53" t="inlineStr">
        <is>
          <t>Suptech</t>
        </is>
      </c>
      <c r="AM306" s="53" t="inlineStr">
        <is>
          <t>iFile</t>
        </is>
      </c>
      <c r="AN306" s="53" t="inlineStr">
        <is>
          <t>Support</t>
        </is>
      </c>
      <c r="AO306" s="53" t="inlineStr">
        <is>
          <t>Product Support</t>
        </is>
      </c>
      <c r="AP306" s="53" t="inlineStr">
        <is>
          <t>No</t>
        </is>
      </c>
      <c r="AQ306" s="53" t="inlineStr">
        <is>
          <t>Product/Project</t>
        </is>
      </c>
      <c r="AR306" s="53" t="inlineStr">
        <is>
          <t>Tech Support</t>
        </is>
      </c>
      <c r="AS306" s="53" t="inlineStr">
        <is>
          <t>Non-technical</t>
        </is>
      </c>
      <c r="AT306" s="53" t="n">
        <v>20</v>
      </c>
      <c r="AU306" s="53" t="inlineStr">
        <is>
          <t>Covered</t>
        </is>
      </c>
      <c r="AV306" s="53" t="n"/>
      <c r="AW306" s="53" t="n"/>
      <c r="AX306" s="53" t="n"/>
      <c r="AY306" s="53" t="n"/>
      <c r="AZ306" s="53" t="n"/>
      <c r="BA306" s="53" t="n"/>
      <c r="BB306" s="53" t="n"/>
      <c r="BC306" s="53" t="n"/>
      <c r="BD306" s="53" t="n"/>
      <c r="BE306" s="53" t="n"/>
      <c r="BF306" s="53" t="n"/>
      <c r="BG306" s="53" t="n"/>
      <c r="BH306" s="53" t="n"/>
      <c r="BI306" s="53" t="n"/>
      <c r="BJ306" s="53" t="n"/>
      <c r="BK306" s="53" t="n"/>
      <c r="BL306" s="53" t="n"/>
      <c r="BM306" s="53" t="n"/>
      <c r="BN306" s="53" t="n"/>
      <c r="BO306" s="53" t="n"/>
      <c r="BP306" s="53" t="n"/>
      <c r="BQ306" s="53" t="n"/>
      <c r="BR306" s="53" t="n"/>
      <c r="BS306" s="53" t="n"/>
      <c r="BT306" s="53" t="n"/>
      <c r="BU306" s="53" t="n"/>
      <c r="BV306" s="53" t="n"/>
      <c r="BW306" s="53" t="n"/>
      <c r="BX306" s="53" t="n"/>
      <c r="BY306" s="53" t="n"/>
      <c r="BZ306" s="53" t="n"/>
      <c r="CA306" s="53" t="n"/>
      <c r="CB306" s="53" t="n"/>
      <c r="CC306" s="53" t="n"/>
      <c r="CD306" s="53" t="n"/>
      <c r="CE306" s="53" t="n"/>
      <c r="CF306" s="53" t="n"/>
      <c r="CG306" s="53" t="n"/>
      <c r="CH306" s="53" t="n"/>
      <c r="CI306" s="53" t="n"/>
      <c r="CJ306" s="53" t="n"/>
      <c r="CK306" s="53" t="n"/>
      <c r="CL306" s="53" t="n"/>
      <c r="CM306" s="53" t="n"/>
      <c r="CN306" s="53" t="n"/>
      <c r="CO306" s="53" t="n"/>
      <c r="CP306" s="53" t="n"/>
      <c r="CQ306" s="53" t="n"/>
      <c r="CR306" s="53" t="n"/>
      <c r="CS306" s="53" t="n"/>
      <c r="CT306" s="53" t="n"/>
      <c r="CU306" s="53" t="n"/>
      <c r="CV306" s="53" t="n"/>
      <c r="CW306" s="53" t="n"/>
      <c r="CX306" s="53" t="n"/>
      <c r="CY306" s="53" t="n"/>
      <c r="CZ306" s="53" t="n"/>
      <c r="DA306" s="53" t="n"/>
      <c r="DB306" s="53" t="n"/>
      <c r="DC306" s="53" t="n"/>
      <c r="DD306" s="53" t="inlineStr">
        <is>
          <t>IRIS2203</t>
        </is>
      </c>
      <c r="DE306" s="53" t="inlineStr">
        <is>
          <t>Employee</t>
        </is>
      </c>
      <c r="DF306" s="53" t="inlineStr">
        <is>
          <t>Active</t>
        </is>
      </c>
      <c r="DG306" s="53" t="inlineStr">
        <is>
          <t>Prajakta Mandhare</t>
        </is>
      </c>
      <c r="DH306" s="54" t="n">
        <v>45231</v>
      </c>
      <c r="DI306" s="53" t="inlineStr">
        <is>
          <t>Client Solutions Executive</t>
        </is>
      </c>
      <c r="DJ306" s="53" t="inlineStr">
        <is>
          <t>Customer Success &amp; Support</t>
        </is>
      </c>
      <c r="DK306" s="53" t="inlineStr">
        <is>
          <t>Technical Support</t>
        </is>
      </c>
      <c r="DL306" s="53" t="inlineStr">
        <is>
          <t>Client Solutions Executive</t>
        </is>
      </c>
      <c r="DM306" s="53" t="inlineStr">
        <is>
          <t>L3 – Professional / Associate</t>
        </is>
      </c>
      <c r="DN306" s="53" t="inlineStr">
        <is>
          <t>B.Com</t>
        </is>
      </c>
      <c r="DO306" s="53" t="inlineStr">
        <is>
          <t>Kimaya Mundlye</t>
        </is>
      </c>
      <c r="DP306" s="53" t="inlineStr">
        <is>
          <t>N-4</t>
        </is>
      </c>
      <c r="DQ306" s="53" t="inlineStr">
        <is>
          <t>Individual Contributor</t>
        </is>
      </c>
      <c r="DR306" s="53" t="inlineStr">
        <is>
          <t>4 years, 3 months, 0 days</t>
        </is>
      </c>
      <c r="DS306" s="53" t="inlineStr">
        <is>
          <t>2 years, 7 months, 19 days</t>
        </is>
      </c>
      <c r="DT306" s="53" t="inlineStr">
        <is>
          <t>6 years, 10 months, 19 days</t>
        </is>
      </c>
      <c r="DU306" s="53" t="n"/>
      <c r="DV306" s="53" t="inlineStr">
        <is>
          <t>Suptech</t>
        </is>
      </c>
      <c r="DW306" s="53" t="inlineStr">
        <is>
          <t>iFile</t>
        </is>
      </c>
      <c r="DX306" s="53" t="inlineStr">
        <is>
          <t>Support</t>
        </is>
      </c>
      <c r="DY306" s="53" t="inlineStr">
        <is>
          <t>Product Support</t>
        </is>
      </c>
      <c r="DZ306" s="53" t="inlineStr">
        <is>
          <t>No</t>
        </is>
      </c>
      <c r="EA306" s="53" t="inlineStr">
        <is>
          <t>Product/Project</t>
        </is>
      </c>
      <c r="EB306" s="53" t="inlineStr">
        <is>
          <t>Tech Support</t>
        </is>
      </c>
      <c r="EC306" s="53" t="inlineStr">
        <is>
          <t>Non-technical</t>
        </is>
      </c>
      <c r="ED306" s="53" t="inlineStr">
        <is>
          <t>Remote- Outside Mumbai</t>
        </is>
      </c>
      <c r="EE306" s="53" t="n"/>
      <c r="EF30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6" s="53"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EH306" s="53" t="n">
        <v>3</v>
      </c>
      <c r="EI306" s="53" t="n"/>
      <c r="EJ306" s="53" t="inlineStr">
        <is>
          <t>Client Solutions Executive</t>
        </is>
      </c>
      <c r="EK306" s="53" t="n"/>
      <c r="EL306" s="53" t="n">
        <v>3</v>
      </c>
      <c r="EM306" s="53" t="inlineStr">
        <is>
          <t>High</t>
        </is>
      </c>
      <c r="EN306" s="53" t="inlineStr">
        <is>
          <t>Emerging Talent</t>
        </is>
      </c>
      <c r="EO306" s="53" t="n"/>
      <c r="EP306" s="53" t="n"/>
      <c r="EQ306" s="53" t="n"/>
      <c r="ER306" s="53" t="n"/>
      <c r="ES306" s="53" t="inlineStr">
        <is>
          <t>Customer success methods; communication &amp; de-escalation; product/domain depth; ticketing &amp; SLA tools</t>
        </is>
      </c>
      <c r="ET306" s="53" t="inlineStr">
        <is>
          <t>Transition to leadership: people management &amp; delegation, mentoring/coaching, project ownership &amp; stakeholder management, prioritisation under ambiguity, presentation &amp; influence skills</t>
        </is>
      </c>
      <c r="EU306" s="53" t="n"/>
      <c r="EV306" s="53" t="n"/>
      <c r="EW306" s="52" t="n"/>
      <c r="EX306" s="53" t="n"/>
      <c r="EY306" s="53" t="n"/>
      <c r="EZ306" s="53" t="n"/>
      <c r="FA306" s="53" t="n"/>
      <c r="FB306" s="53" t="n"/>
      <c r="FC306" s="53" t="n"/>
      <c r="FD306" s="53" t="n"/>
      <c r="FE30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6" s="56"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FG306" s="56" t="n"/>
      <c r="FH306" s="56" t="inlineStr">
        <is>
          <t>3</t>
        </is>
      </c>
      <c r="FI306" s="56" t="n"/>
      <c r="FJ306" s="56" t="inlineStr">
        <is>
          <t>Received · manager annual, quarterly</t>
        </is>
      </c>
      <c r="FK306" s="56" t="inlineStr">
        <is>
          <t>Talent Mapping · iFile collated</t>
        </is>
      </c>
      <c r="FL306" s="56" t="n">
        <v>20</v>
      </c>
      <c r="FM306" s="32" t="inlineStr">
        <is>
          <t>Full survey answers not in the files received · How We Grow export needed · HR</t>
        </is>
      </c>
      <c r="FN306" s="56" t="inlineStr">
        <is>
          <t>—</t>
        </is>
      </c>
      <c r="FO306" s="56" t="inlineStr">
        <is>
          <t>—</t>
        </is>
      </c>
      <c r="FP306" s="56" t="inlineStr">
        <is>
          <t>—</t>
        </is>
      </c>
      <c r="FQ306" s="56" t="inlineStr">
        <is>
          <t>—</t>
        </is>
      </c>
      <c r="FR306" s="56"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results; wrong resolution leads to escalation → matches the start
Leadership: Evidence reads like A1: No guidance of others described → matches the start
Business Impact: No survey or manager-mapping signal on criticality: kept at the start point.</t>
        </is>
      </c>
      <c r="FS30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6" s="56" t="inlineStr">
        <is>
          <t>Self-identified: Answered · no common topic
For the next role: Answered · no common topic</t>
        </is>
      </c>
      <c r="FU306" s="32" t="inlineStr">
        <is>
          <t>Full survey answers not in the files received · How We Grow export needed · HR</t>
        </is>
      </c>
    </row>
    <row r="307" ht="90" customHeight="1">
      <c r="A307" s="51" t="inlineStr">
        <is>
          <t>◂ Back</t>
        </is>
      </c>
      <c r="B307" s="29" t="inlineStr">
        <is>
          <t>Mapped</t>
        </is>
      </c>
      <c r="C307" s="28" t="inlineStr">
        <is>
          <t>iFile</t>
        </is>
      </c>
      <c r="D307" s="29" t="inlineStr">
        <is>
          <t>IRIS2521</t>
        </is>
      </c>
      <c r="E307" s="29" t="inlineStr">
        <is>
          <t>Prasad Gavhane</t>
        </is>
      </c>
      <c r="F307" s="29" t="inlineStr">
        <is>
          <t>Technology</t>
        </is>
      </c>
      <c r="G307" s="29" t="inlineStr">
        <is>
          <t>Lead Software Engineer</t>
        </is>
      </c>
      <c r="H307" s="29" t="inlineStr">
        <is>
          <t>Lead Software Engineer</t>
        </is>
      </c>
      <c r="I307" s="29" t="inlineStr">
        <is>
          <t>L5 – Lead · IC</t>
        </is>
      </c>
      <c r="J307" s="29" t="inlineStr">
        <is>
          <t>B2</t>
        </is>
      </c>
      <c r="K307" s="29" t="inlineStr">
        <is>
          <t>• Same level</t>
        </is>
      </c>
      <c r="L307" s="29" t="inlineStr">
        <is>
          <t>Engineering &amp; Development</t>
        </is>
      </c>
      <c r="M307" s="29" t="inlineStr">
        <is>
          <t>Backend Development</t>
        </is>
      </c>
      <c r="N307" s="29" t="inlineStr">
        <is>
          <t>• Confirm the reporting line — Manager</t>
        </is>
      </c>
      <c r="O307" s="29" t="n">
        <v>20</v>
      </c>
      <c r="P307" s="28" t="inlineStr">
        <is>
          <t>P4 / M3</t>
        </is>
      </c>
      <c r="Q307" s="29" t="inlineStr">
        <is>
          <t>Senior / Manager</t>
        </is>
      </c>
      <c r="R307" s="29" t="inlineStr">
        <is>
          <t>4–5</t>
        </is>
      </c>
      <c r="S307" s="29" t="inlineStr">
        <is>
          <t>6–9 yrs</t>
        </is>
      </c>
      <c r="T307" s="29" t="inlineStr">
        <is>
          <t>7–10 · 6–11</t>
        </is>
      </c>
      <c r="U307" s="29" t="inlineStr">
        <is>
          <t>Principal Engineer</t>
        </is>
      </c>
      <c r="V307" s="29" t="inlineStr">
        <is>
          <t>Workiva: Senior SE · Broadridge India: Lead SE · Nasdaq / AxiomSL: Senior SE · Salesforce: SMTS · Atlassian: P50 Senior · 6–12 yrs · Freshworks: Lead SE</t>
        </is>
      </c>
      <c r="W307" s="29" t="inlineStr">
        <is>
          <t>SFIA 9 · software development, programming; OWASP secure coding; cloud vendor certifications</t>
        </is>
      </c>
      <c r="X307" s="29" t="inlineStr">
        <is>
          <t>Core 3 · Future 3 · Functional 4 · Leadership 2</t>
        </is>
      </c>
      <c r="Y307" s="52" t="n">
        <v>491</v>
      </c>
      <c r="Z307" s="53" t="inlineStr">
        <is>
          <t>IRIS2521</t>
        </is>
      </c>
      <c r="AA307" s="53" t="inlineStr">
        <is>
          <t>Employee</t>
        </is>
      </c>
      <c r="AB307" s="53" t="inlineStr">
        <is>
          <t>Active</t>
        </is>
      </c>
      <c r="AC307" s="53" t="inlineStr">
        <is>
          <t>Prasad Gavhane</t>
        </is>
      </c>
      <c r="AD307" s="54" t="n">
        <v>46128</v>
      </c>
      <c r="AE307" s="53" t="inlineStr">
        <is>
          <t>Lead Software Engineer</t>
        </is>
      </c>
      <c r="AF307" s="53" t="inlineStr">
        <is>
          <t>B.E</t>
        </is>
      </c>
      <c r="AG307" s="53" t="inlineStr">
        <is>
          <t>Izharuddin Shaikh</t>
        </is>
      </c>
      <c r="AH307" s="53" t="inlineStr">
        <is>
          <t>N-4</t>
        </is>
      </c>
      <c r="AI307" s="53" t="inlineStr">
        <is>
          <t>Individual Contributor</t>
        </is>
      </c>
      <c r="AJ307" s="53" t="inlineStr">
        <is>
          <t>11 years, 6 months, 0 days</t>
        </is>
      </c>
      <c r="AK307" s="53" t="inlineStr">
        <is>
          <t>0 years, 4 months, 9 days</t>
        </is>
      </c>
      <c r="AL307" s="53" t="inlineStr">
        <is>
          <t>Suptech</t>
        </is>
      </c>
      <c r="AM307" s="53" t="inlineStr">
        <is>
          <t>iFile</t>
        </is>
      </c>
      <c r="AN307" s="53" t="inlineStr">
        <is>
          <t>Technology</t>
        </is>
      </c>
      <c r="AO307" s="53" t="inlineStr">
        <is>
          <t>Development</t>
        </is>
      </c>
      <c r="AP307" s="53" t="inlineStr">
        <is>
          <t>Yes</t>
        </is>
      </c>
      <c r="AQ307" s="53" t="inlineStr">
        <is>
          <t>Product/Project</t>
        </is>
      </c>
      <c r="AR307" s="53" t="inlineStr">
        <is>
          <t>Java</t>
        </is>
      </c>
      <c r="AS307" s="53" t="inlineStr">
        <is>
          <t>Technical - Developer</t>
        </is>
      </c>
      <c r="AT307" s="53" t="n">
        <v>20</v>
      </c>
      <c r="AU307" s="53" t="inlineStr">
        <is>
          <t>Covered</t>
        </is>
      </c>
      <c r="AV307" s="53" t="n"/>
      <c r="AW307" s="53" t="n"/>
      <c r="AX307" s="53" t="n"/>
      <c r="AY307" s="53" t="n"/>
      <c r="AZ307" s="53" t="n"/>
      <c r="BA307" s="53" t="n"/>
      <c r="BB307" s="53" t="n"/>
      <c r="BC307" s="53" t="n"/>
      <c r="BD307" s="53" t="n"/>
      <c r="BE307" s="53" t="n"/>
      <c r="BF307" s="53" t="n"/>
      <c r="BG307" s="53" t="n"/>
      <c r="BH307" s="53" t="n"/>
      <c r="BI307" s="53" t="n"/>
      <c r="BJ307" s="53" t="n"/>
      <c r="BK307" s="53" t="n"/>
      <c r="BL307" s="53" t="n"/>
      <c r="BM307" s="53" t="n"/>
      <c r="BN307" s="53" t="n"/>
      <c r="BO307" s="53" t="n"/>
      <c r="BP307" s="53" t="n"/>
      <c r="BQ307" s="53" t="n"/>
      <c r="BR307" s="53" t="n"/>
      <c r="BS307" s="53" t="n"/>
      <c r="BT307" s="53" t="n"/>
      <c r="BU307" s="53" t="n"/>
      <c r="BV307" s="53" t="n"/>
      <c r="BW307" s="53" t="n"/>
      <c r="BX307" s="53" t="n"/>
      <c r="BY307" s="53" t="n"/>
      <c r="BZ307" s="53" t="n"/>
      <c r="CA307" s="53" t="n"/>
      <c r="CB307" s="53" t="n"/>
      <c r="CC307" s="53" t="n"/>
      <c r="CD307" s="53" t="n"/>
      <c r="CE307" s="53" t="n"/>
      <c r="CF307" s="53" t="n"/>
      <c r="CG307" s="53" t="n"/>
      <c r="CH307" s="53" t="n"/>
      <c r="CI307" s="53" t="n"/>
      <c r="CJ307" s="53" t="n"/>
      <c r="CK307" s="53" t="n"/>
      <c r="CL307" s="53" t="n"/>
      <c r="CM307" s="53" t="n"/>
      <c r="CN307" s="53" t="n"/>
      <c r="CO307" s="53" t="n"/>
      <c r="CP307" s="53" t="n"/>
      <c r="CQ307" s="53" t="n"/>
      <c r="CR307" s="53" t="n"/>
      <c r="CS307" s="53" t="n"/>
      <c r="CT307" s="53" t="n"/>
      <c r="CU307" s="53" t="n"/>
      <c r="CV307" s="53" t="n"/>
      <c r="CW307" s="53" t="n"/>
      <c r="CX307" s="53" t="n"/>
      <c r="CY307" s="53" t="n"/>
      <c r="CZ307" s="53" t="n"/>
      <c r="DA307" s="53" t="n"/>
      <c r="DB307" s="53" t="n"/>
      <c r="DC307" s="53" t="n"/>
      <c r="DD307" s="53" t="inlineStr">
        <is>
          <t>IRIS2521</t>
        </is>
      </c>
      <c r="DE307" s="53" t="inlineStr">
        <is>
          <t>Employee</t>
        </is>
      </c>
      <c r="DF307" s="53" t="inlineStr">
        <is>
          <t>Active</t>
        </is>
      </c>
      <c r="DG307" s="53" t="inlineStr">
        <is>
          <t>Prasad Gavhane</t>
        </is>
      </c>
      <c r="DH307" s="54" t="n">
        <v>46128</v>
      </c>
      <c r="DI307" s="53" t="inlineStr">
        <is>
          <t>Lead Software Engineer</t>
        </is>
      </c>
      <c r="DJ307" s="53" t="inlineStr">
        <is>
          <t>Engineering &amp; Development</t>
        </is>
      </c>
      <c r="DK307" s="53" t="inlineStr">
        <is>
          <t>Backend Engineering · Java</t>
        </is>
      </c>
      <c r="DL307" s="53" t="inlineStr">
        <is>
          <t>Lead Software Engineer</t>
        </is>
      </c>
      <c r="DM307" s="53" t="inlineStr">
        <is>
          <t>L5 – Lead · IC</t>
        </is>
      </c>
      <c r="DN307" s="53" t="inlineStr">
        <is>
          <t>B.E</t>
        </is>
      </c>
      <c r="DO307" s="53" t="inlineStr">
        <is>
          <t>Izharuddin Shaikh</t>
        </is>
      </c>
      <c r="DP307" s="53" t="inlineStr">
        <is>
          <t>N-3</t>
        </is>
      </c>
      <c r="DQ307" s="53" t="inlineStr">
        <is>
          <t>Individual Contributor</t>
        </is>
      </c>
      <c r="DR307" s="53" t="inlineStr">
        <is>
          <t>11 years, 6 months, 0 days</t>
        </is>
      </c>
      <c r="DS307" s="53" t="inlineStr">
        <is>
          <t>0 years, 2 months, 4 days</t>
        </is>
      </c>
      <c r="DT307" s="53" t="inlineStr">
        <is>
          <t>11 years, 8 months, 4 days</t>
        </is>
      </c>
      <c r="DU307" s="53" t="n"/>
      <c r="DV307" s="53" t="inlineStr">
        <is>
          <t>Suptech</t>
        </is>
      </c>
      <c r="DW307" s="53" t="inlineStr">
        <is>
          <t>iFile</t>
        </is>
      </c>
      <c r="DX307" s="53" t="inlineStr">
        <is>
          <t>Technology</t>
        </is>
      </c>
      <c r="DY307" s="53" t="inlineStr">
        <is>
          <t>Development</t>
        </is>
      </c>
      <c r="DZ307" s="53" t="inlineStr">
        <is>
          <t>Yes</t>
        </is>
      </c>
      <c r="EA307" s="53" t="inlineStr">
        <is>
          <t>Product/Project</t>
        </is>
      </c>
      <c r="EB307" s="53" t="inlineStr">
        <is>
          <t>Java</t>
        </is>
      </c>
      <c r="EC307" s="53" t="inlineStr">
        <is>
          <t>Technical - Developer</t>
        </is>
      </c>
      <c r="ED307" s="53" t="inlineStr">
        <is>
          <t>Work From Office - Turbhe</t>
        </is>
      </c>
      <c r="EE307" s="53" t="n"/>
      <c r="EF30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EH307" s="53" t="n">
        <v>4</v>
      </c>
      <c r="EI307" s="53" t="n"/>
      <c r="EJ307" s="53" t="inlineStr">
        <is>
          <t>Lead Software Engineer</t>
        </is>
      </c>
      <c r="EK307" s="53" t="inlineStr">
        <is>
          <t>Can plan role of Technical Lead</t>
        </is>
      </c>
      <c r="EL307" s="53" t="n">
        <v>4</v>
      </c>
      <c r="EM307" s="53" t="inlineStr">
        <is>
          <t>High</t>
        </is>
      </c>
      <c r="EN307" s="53" t="inlineStr">
        <is>
          <t>Trusted Professional</t>
        </is>
      </c>
      <c r="EO307" s="53" t="inlineStr">
        <is>
          <t>Yes</t>
        </is>
      </c>
      <c r="EP307" s="53" t="inlineStr">
        <is>
          <t>Yes</t>
        </is>
      </c>
      <c r="EQ307" s="53" t="inlineStr">
        <is>
          <t>Yes</t>
        </is>
      </c>
      <c r="ER307" s="53" t="n"/>
      <c r="ES307" s="53" t="inlineStr">
        <is>
          <t>Advanced Java; secure coding &amp; code-quality practices; unit/automated testing; system design fundamentals</t>
        </is>
      </c>
      <c r="ET307" s="53" t="inlineStr">
        <is>
          <t>Transition to leadership: people management &amp; delegation, mentoring/coaching, project ownership &amp; stakeholder management, prioritisation under ambiguity, presentation &amp; influence skills</t>
        </is>
      </c>
      <c r="EU307" s="53" t="n"/>
      <c r="EV307" s="53" t="n"/>
      <c r="EW307" s="52" t="n"/>
      <c r="EX307" s="53" t="n"/>
      <c r="EY307" s="53" t="n"/>
      <c r="EZ307" s="53" t="n"/>
      <c r="FA307" s="53" t="n"/>
      <c r="FB307" s="53" t="n"/>
      <c r="FC307" s="53" t="n"/>
      <c r="FD307" s="53" t="n"/>
      <c r="FE30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FG307" s="56" t="n"/>
      <c r="FH307" s="56" t="inlineStr">
        <is>
          <t>4</t>
        </is>
      </c>
      <c r="FI307" s="56" t="n"/>
      <c r="FJ307" s="56" t="inlineStr">
        <is>
          <t>Received · manager annual, quarterly</t>
        </is>
      </c>
      <c r="FK307" s="56" t="inlineStr">
        <is>
          <t>Talent Mapping · iFile collated</t>
        </is>
      </c>
      <c r="FL307" s="56" t="n">
        <v>20</v>
      </c>
      <c r="FM307" s="32" t="inlineStr">
        <is>
          <t>Full survey answers not in the files received · How We Grow export needed · HR</t>
        </is>
      </c>
      <c r="FN307" s="56" t="inlineStr">
        <is>
          <t>—</t>
        </is>
      </c>
      <c r="FO307" s="56" t="inlineStr">
        <is>
          <t>—</t>
        </is>
      </c>
      <c r="FP307" s="56" t="inlineStr">
        <is>
          <t>—</t>
        </is>
      </c>
      <c r="FQ307" s="56" t="inlineStr">
        <is>
          <t>—</t>
        </is>
      </c>
      <c r="FR307" s="56"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KRA answers · summarised by the rater; not quoted → moved down 0.5
Leadership: Evidence reads like B1: Leads the RBS product team; 0 reports and manager KRAs list individual sprint work → moved down 0.5
Business Impact: Moved +0.5: the survey / manager mapping marks it business-critical.</t>
        </is>
      </c>
      <c r="FS307"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307" s="56" t="inlineStr">
        <is>
          <t>Self-identified: Project / programme management · Technical depth &amp; architecture · Product &amp; tool knowledge · Certification / formal course
For the next role: Project / programme management · Technical depth &amp; architecture · Product &amp; tool knowledge · Certification / formal course</t>
        </is>
      </c>
      <c r="FU307" s="32" t="inlineStr">
        <is>
          <t>Full survey answers not in the files received · How We Grow export needed · HR</t>
        </is>
      </c>
    </row>
    <row r="308" ht="90" customHeight="1">
      <c r="A308" s="51" t="inlineStr">
        <is>
          <t>◂ Back</t>
        </is>
      </c>
      <c r="B308" s="29" t="inlineStr">
        <is>
          <t>Mapped</t>
        </is>
      </c>
      <c r="C308" s="28" t="inlineStr">
        <is>
          <t>iFile</t>
        </is>
      </c>
      <c r="D308" s="29" t="inlineStr">
        <is>
          <t>IRIS2127</t>
        </is>
      </c>
      <c r="E308" s="29" t="inlineStr">
        <is>
          <t>Yunus Patel</t>
        </is>
      </c>
      <c r="F308" s="29" t="inlineStr">
        <is>
          <t>Technology</t>
        </is>
      </c>
      <c r="G308" s="29" t="inlineStr">
        <is>
          <t>Project Manager</t>
        </is>
      </c>
      <c r="H308" s="29" t="inlineStr">
        <is>
          <t>Delivery Manager</t>
        </is>
      </c>
      <c r="I308" s="29" t="inlineStr">
        <is>
          <t>L5 – Manager</t>
        </is>
      </c>
      <c r="J308" s="29" t="inlineStr">
        <is>
          <t>B2</t>
        </is>
      </c>
      <c r="K308" s="29" t="inlineStr">
        <is>
          <t>▲ Up</t>
        </is>
      </c>
      <c r="L308" s="29" t="inlineStr">
        <is>
          <t>Project &amp; Program Management</t>
        </is>
      </c>
      <c r="M308" s="29" t="inlineStr">
        <is>
          <t>Project &amp; Program Delivery</t>
        </is>
      </c>
      <c r="N308" s="29" t="n"/>
      <c r="O308" s="29" t="n">
        <v>20</v>
      </c>
      <c r="P308" s="28" t="inlineStr">
        <is>
          <t>P4 / M3</t>
        </is>
      </c>
      <c r="Q308" s="29" t="inlineStr">
        <is>
          <t>Senior / Manager</t>
        </is>
      </c>
      <c r="R308" s="29" t="inlineStr">
        <is>
          <t>4–5</t>
        </is>
      </c>
      <c r="S308" s="29" t="inlineStr">
        <is>
          <t>6–9 yrs</t>
        </is>
      </c>
      <c r="T308" s="29" t="inlineStr">
        <is>
          <t>7–10 · 6–11</t>
        </is>
      </c>
      <c r="U308" s="29" t="inlineStr">
        <is>
          <t>Senior Manager</t>
        </is>
      </c>
      <c r="V308" s="29" t="inlineStr">
        <is>
          <t>IRIS Vs Competitor Benchmark — PMI pathway + SaaS delivery ladder: Senior PM</t>
        </is>
      </c>
      <c r="W308" s="29" t="inlineStr">
        <is>
          <t>PMI PMBOK and Talent Triangle; CAPM · entry → PMP → PgMP; Scrum / SAFe</t>
        </is>
      </c>
      <c r="X308" s="29" t="inlineStr">
        <is>
          <t>Core 3 · Future 3 · Functional 4 · Leadership 3</t>
        </is>
      </c>
      <c r="Y308" s="52" t="n">
        <v>272</v>
      </c>
      <c r="Z308" s="53" t="inlineStr">
        <is>
          <t>IRIS2127</t>
        </is>
      </c>
      <c r="AA308" s="53" t="inlineStr">
        <is>
          <t>Employee</t>
        </is>
      </c>
      <c r="AB308" s="53" t="inlineStr">
        <is>
          <t>Active</t>
        </is>
      </c>
      <c r="AC308" s="53" t="inlineStr">
        <is>
          <t>Yunus Patel</t>
        </is>
      </c>
      <c r="AD308" s="54" t="n">
        <v>45050</v>
      </c>
      <c r="AE308" s="53" t="inlineStr">
        <is>
          <t>Project Manager</t>
        </is>
      </c>
      <c r="AF308" s="53" t="inlineStr">
        <is>
          <t>B.Com</t>
        </is>
      </c>
      <c r="AG308" s="53" t="inlineStr">
        <is>
          <t>Izharuddin Shaikh</t>
        </is>
      </c>
      <c r="AH308" s="53" t="inlineStr">
        <is>
          <t>N-4</t>
        </is>
      </c>
      <c r="AI308" s="53" t="inlineStr">
        <is>
          <t>Manager</t>
        </is>
      </c>
      <c r="AJ308" s="53" t="inlineStr">
        <is>
          <t>19 years, 0 months, 0 days</t>
        </is>
      </c>
      <c r="AK308" s="53" t="inlineStr">
        <is>
          <t>3 years, 3 months, 21 days</t>
        </is>
      </c>
      <c r="AL308" s="53" t="inlineStr">
        <is>
          <t>Suptech</t>
        </is>
      </c>
      <c r="AM308" s="53" t="inlineStr">
        <is>
          <t>iFile</t>
        </is>
      </c>
      <c r="AN308" s="53" t="inlineStr">
        <is>
          <t>Technology</t>
        </is>
      </c>
      <c r="AO308" s="53" t="inlineStr">
        <is>
          <t>Project Management</t>
        </is>
      </c>
      <c r="AP308" s="53" t="inlineStr">
        <is>
          <t>No</t>
        </is>
      </c>
      <c r="AQ308" s="53" t="inlineStr">
        <is>
          <t>Product/Project</t>
        </is>
      </c>
      <c r="AR308" s="53" t="inlineStr">
        <is>
          <t>Project Management</t>
        </is>
      </c>
      <c r="AS308" s="53" t="inlineStr">
        <is>
          <t>Technical · BA, PM and QA</t>
        </is>
      </c>
      <c r="AT308" s="53" t="n">
        <v>20</v>
      </c>
      <c r="AU308" s="53" t="inlineStr">
        <is>
          <t>Covered</t>
        </is>
      </c>
      <c r="AV308" s="53" t="n"/>
      <c r="AW308" s="53" t="n"/>
      <c r="AX308" s="53" t="n"/>
      <c r="AY308" s="53" t="n"/>
      <c r="AZ308" s="53" t="n"/>
      <c r="BA308" s="53" t="n"/>
      <c r="BB308" s="53" t="n"/>
      <c r="BC308" s="53" t="n"/>
      <c r="BD308" s="53" t="n"/>
      <c r="BE308" s="53" t="n"/>
      <c r="BF308" s="53" t="n"/>
      <c r="BG308" s="53" t="n"/>
      <c r="BH308" s="53" t="n"/>
      <c r="BI308" s="53" t="n"/>
      <c r="BJ308" s="53" t="n"/>
      <c r="BK308" s="53" t="n"/>
      <c r="BL308" s="53" t="n"/>
      <c r="BM308" s="53" t="n"/>
      <c r="BN308" s="53" t="n"/>
      <c r="BO308" s="53" t="n"/>
      <c r="BP308" s="53" t="n"/>
      <c r="BQ308" s="53" t="n"/>
      <c r="BR308" s="53" t="n"/>
      <c r="BS308" s="53" t="n"/>
      <c r="BT308" s="53" t="n"/>
      <c r="BU308" s="53" t="n"/>
      <c r="BV308" s="53" t="n"/>
      <c r="BW308" s="53" t="n"/>
      <c r="BX308" s="53" t="n"/>
      <c r="BY308" s="53" t="n"/>
      <c r="BZ308" s="53" t="n"/>
      <c r="CA308" s="53" t="n"/>
      <c r="CB308" s="53" t="n"/>
      <c r="CC308" s="53" t="n"/>
      <c r="CD308" s="53" t="n"/>
      <c r="CE308" s="53" t="n"/>
      <c r="CF308" s="53" t="n"/>
      <c r="CG308" s="53" t="n"/>
      <c r="CH308" s="53" t="n"/>
      <c r="CI308" s="53" t="n"/>
      <c r="CJ308" s="53" t="n"/>
      <c r="CK308" s="53" t="n"/>
      <c r="CL308" s="53" t="n"/>
      <c r="CM308" s="53" t="n"/>
      <c r="CN308" s="53" t="n"/>
      <c r="CO308" s="53" t="n"/>
      <c r="CP308" s="53" t="n"/>
      <c r="CQ308" s="53" t="n"/>
      <c r="CR308" s="53" t="n"/>
      <c r="CS308" s="53" t="n"/>
      <c r="CT308" s="53" t="n"/>
      <c r="CU308" s="53" t="n"/>
      <c r="CV308" s="53" t="n"/>
      <c r="CW308" s="53" t="n"/>
      <c r="CX308" s="53" t="n"/>
      <c r="CY308" s="53" t="n"/>
      <c r="CZ308" s="53" t="n"/>
      <c r="DA308" s="53" t="n"/>
      <c r="DB308" s="53" t="n"/>
      <c r="DC308" s="53" t="n"/>
      <c r="DD308" s="53" t="inlineStr">
        <is>
          <t>IRIS2127</t>
        </is>
      </c>
      <c r="DE308" s="53" t="inlineStr">
        <is>
          <t>Employee</t>
        </is>
      </c>
      <c r="DF308" s="53" t="inlineStr">
        <is>
          <t>Active</t>
        </is>
      </c>
      <c r="DG308" s="53" t="inlineStr">
        <is>
          <t>Yunus Patel</t>
        </is>
      </c>
      <c r="DH308" s="54" t="n">
        <v>45050</v>
      </c>
      <c r="DI308" s="53" t="inlineStr">
        <is>
          <t>Project Manager</t>
        </is>
      </c>
      <c r="DJ308" s="53" t="inlineStr">
        <is>
          <t>Project &amp; Program Management</t>
        </is>
      </c>
      <c r="DK308" s="53" t="inlineStr">
        <is>
          <t>Project Management</t>
        </is>
      </c>
      <c r="DL308" s="53" t="inlineStr">
        <is>
          <t>Project Manager</t>
        </is>
      </c>
      <c r="DM308" s="53" t="inlineStr">
        <is>
          <t>L5 – Manager</t>
        </is>
      </c>
      <c r="DN308" s="53" t="inlineStr">
        <is>
          <t>B.Com</t>
        </is>
      </c>
      <c r="DO308" s="53" t="inlineStr">
        <is>
          <t>Izharuddin Shaikh</t>
        </is>
      </c>
      <c r="DP308" s="53" t="inlineStr">
        <is>
          <t>N-3</t>
        </is>
      </c>
      <c r="DQ308" s="53" t="inlineStr">
        <is>
          <t>Manager</t>
        </is>
      </c>
      <c r="DR308" s="53" t="inlineStr">
        <is>
          <t>19 years, 0 months, 0 days</t>
        </is>
      </c>
      <c r="DS308" s="53" t="inlineStr">
        <is>
          <t>3 years, 1 months, 16 days</t>
        </is>
      </c>
      <c r="DT308" s="53" t="inlineStr">
        <is>
          <t>22 years, 1 months, 16 days</t>
        </is>
      </c>
      <c r="DU308" s="53" t="n">
        <v>3.12716894977169</v>
      </c>
      <c r="DV308" s="53" t="inlineStr">
        <is>
          <t>Suptech</t>
        </is>
      </c>
      <c r="DW308" s="53" t="inlineStr">
        <is>
          <t>iFile</t>
        </is>
      </c>
      <c r="DX308" s="53" t="inlineStr">
        <is>
          <t>Technology</t>
        </is>
      </c>
      <c r="DY308" s="53" t="inlineStr">
        <is>
          <t>Project Management</t>
        </is>
      </c>
      <c r="DZ308" s="53" t="inlineStr">
        <is>
          <t>No</t>
        </is>
      </c>
      <c r="EA308" s="53" t="inlineStr">
        <is>
          <t>Product/Project</t>
        </is>
      </c>
      <c r="EB308" s="53" t="inlineStr">
        <is>
          <t>Project Management</t>
        </is>
      </c>
      <c r="EC308" s="53" t="inlineStr">
        <is>
          <t>Technical · BA, PM and QA</t>
        </is>
      </c>
      <c r="ED308" s="53" t="inlineStr">
        <is>
          <t>Client Side</t>
        </is>
      </c>
      <c r="EE308" s="53" t="n"/>
      <c r="EF308"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08" s="5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EH308" s="53" t="n">
        <v>4</v>
      </c>
      <c r="EI308" s="53" t="n"/>
      <c r="EJ308" s="53" t="inlineStr">
        <is>
          <t>Project Manager</t>
        </is>
      </c>
      <c r="EK308" s="53" t="n"/>
      <c r="EL308" s="53" t="n">
        <v>4</v>
      </c>
      <c r="EM308" s="53" t="inlineStr">
        <is>
          <t>High</t>
        </is>
      </c>
      <c r="EN308" s="53" t="inlineStr">
        <is>
          <t>Trusted Professional</t>
        </is>
      </c>
      <c r="EO308" s="53" t="inlineStr">
        <is>
          <t>No</t>
        </is>
      </c>
      <c r="EP308" s="53" t="inlineStr">
        <is>
          <t>No</t>
        </is>
      </c>
      <c r="EQ308" s="53" t="inlineStr">
        <is>
          <t>No</t>
        </is>
      </c>
      <c r="ER308" s="53" t="n"/>
      <c r="ES308" s="53" t="inlineStr">
        <is>
          <t>Agile/Scrum &amp; PMP fundamentals; risk &amp; stakeholder management; estimation; reporting/governance tools | People management: goal-setting &amp; feedback, 1:1 coaching, performance conversations</t>
        </is>
      </c>
      <c r="ET308" s="53" t="inlineStr">
        <is>
          <t>Leadership development: strategic thinking, cross-functional influence, financial/business acumen, succession &amp; talent development, change management, executive communication</t>
        </is>
      </c>
      <c r="EU308" s="53" t="n"/>
      <c r="EV308" s="53" t="n"/>
      <c r="EW308" s="52" t="n"/>
      <c r="EX308" s="53" t="n"/>
      <c r="EY308" s="53" t="n"/>
      <c r="EZ308" s="53" t="n"/>
      <c r="FA308" s="53" t="n"/>
      <c r="FB308" s="53" t="n"/>
      <c r="FC308" s="53" t="inlineStr">
        <is>
          <t>Annual KRAs · objective Measurable Minimum 5 - set by Manager</t>
        </is>
      </c>
      <c r="FD308" s="53" t="n"/>
      <c r="FE308"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08" s="56"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FG308" s="56" t="n"/>
      <c r="FH308" s="56" t="inlineStr">
        <is>
          <t>4</t>
        </is>
      </c>
      <c r="FI308" s="56" t="n"/>
      <c r="FJ308" s="56" t="inlineStr">
        <is>
          <t>Received · manager annual, quarterly</t>
        </is>
      </c>
      <c r="FK308" s="56" t="inlineStr">
        <is>
          <t>Talent Mapping · iFile collated</t>
        </is>
      </c>
      <c r="FL308" s="56" t="n">
        <v>20</v>
      </c>
      <c r="FM308" s="32" t="inlineStr">
        <is>
          <t>Full survey answers not in the files received · How We Grow export needed · HR</t>
        </is>
      </c>
      <c r="FN308" s="56" t="inlineStr">
        <is>
          <t>—</t>
        </is>
      </c>
      <c r="FO308" s="56" t="inlineStr">
        <is>
          <t>—</t>
        </is>
      </c>
      <c r="FP308" s="56" t="inlineStr">
        <is>
          <t>—</t>
        </is>
      </c>
      <c r="FQ308" s="56" t="inlineStr">
        <is>
          <t>—</t>
        </is>
      </c>
      <c r="FR308" s="56"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every delay → moved down 0.5
Leadership: Evidence reads like B1: Team management and coordination; 5 direct reports → moved down 1
Business Impact: No survey or manager-mapping signal on criticality: kept at the start point.</t>
        </is>
      </c>
      <c r="FS308"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08" s="56" t="inlineStr">
        <is>
          <t>Self-identified: Project / programme management · Client, sales &amp; stakeholders
For the next role: Leadership &amp; people management · Project / programme management · Client, sales &amp; stakeholders · Strategy &amp; business acumen</t>
        </is>
      </c>
      <c r="FU308" s="32" t="inlineStr">
        <is>
          <t>Full survey answers not in the files received · How We Grow export needed · HR</t>
        </is>
      </c>
    </row>
    <row r="309" ht="90" customHeight="1">
      <c r="A309" s="51" t="inlineStr">
        <is>
          <t>◂ Back</t>
        </is>
      </c>
      <c r="B309" s="29" t="inlineStr">
        <is>
          <t>Mapped</t>
        </is>
      </c>
      <c r="C309" s="28" t="inlineStr">
        <is>
          <t>iFile</t>
        </is>
      </c>
      <c r="D309" s="29" t="inlineStr">
        <is>
          <t>IRIS1474</t>
        </is>
      </c>
      <c r="E309" s="29" t="inlineStr">
        <is>
          <t>Amruta Kadam</t>
        </is>
      </c>
      <c r="F309" s="29" t="inlineStr">
        <is>
          <t>Technology</t>
        </is>
      </c>
      <c r="G309" s="29" t="inlineStr">
        <is>
          <t>Tech Lead</t>
        </is>
      </c>
      <c r="H309" s="29" t="inlineStr">
        <is>
          <t>Engineering Manager</t>
        </is>
      </c>
      <c r="I309" s="29" t="inlineStr">
        <is>
          <t>L5 – Lead · IC</t>
        </is>
      </c>
      <c r="J309" s="29" t="inlineStr">
        <is>
          <t>B2</t>
        </is>
      </c>
      <c r="K309" s="29" t="inlineStr">
        <is>
          <t>▼ Down · protected</t>
        </is>
      </c>
      <c r="L309" s="29" t="inlineStr">
        <is>
          <t>Engineering &amp; Development</t>
        </is>
      </c>
      <c r="M309" s="29" t="inlineStr">
        <is>
          <t>Backend Development</t>
        </is>
      </c>
      <c r="N309" s="29" t="n"/>
      <c r="O309" s="29" t="n">
        <v>20</v>
      </c>
      <c r="P309" s="28" t="inlineStr">
        <is>
          <t>P4 / M3</t>
        </is>
      </c>
      <c r="Q309" s="29" t="inlineStr">
        <is>
          <t>Senior / Manager</t>
        </is>
      </c>
      <c r="R309" s="29" t="inlineStr">
        <is>
          <t>4–5</t>
        </is>
      </c>
      <c r="S309" s="29" t="inlineStr">
        <is>
          <t>6–9 yrs</t>
        </is>
      </c>
      <c r="T309" s="29" t="inlineStr">
        <is>
          <t>7–10 · 6–11</t>
        </is>
      </c>
      <c r="U309" s="29" t="inlineStr">
        <is>
          <t>Manager</t>
        </is>
      </c>
      <c r="V309" s="29" t="inlineStr">
        <is>
          <t>Workiva: Senior SE · Broadridge India: Lead SE · Nasdaq / AxiomSL: Senior SE · Salesforce: SMTS · Atlassian: P50 Senior · 6–12 yrs · Freshworks: Lead SE</t>
        </is>
      </c>
      <c r="W309" s="29" t="inlineStr">
        <is>
          <t>SFIA 9 · software development, programming; OWASP secure coding; cloud vendor certifications</t>
        </is>
      </c>
      <c r="X309" s="29" t="inlineStr">
        <is>
          <t>Core 3 · Future 3 · Functional 4 · Leadership 3</t>
        </is>
      </c>
      <c r="Y309" s="52" t="n">
        <v>121</v>
      </c>
      <c r="Z309" s="53" t="inlineStr">
        <is>
          <t>IRIS1474</t>
        </is>
      </c>
      <c r="AA309" s="53" t="inlineStr">
        <is>
          <t>Employee</t>
        </is>
      </c>
      <c r="AB309" s="53" t="inlineStr">
        <is>
          <t>Active</t>
        </is>
      </c>
      <c r="AC309" s="53" t="inlineStr">
        <is>
          <t>Amruta Kadam</t>
        </is>
      </c>
      <c r="AD309" s="54" t="n">
        <v>41864</v>
      </c>
      <c r="AE309" s="53" t="inlineStr">
        <is>
          <t>Tech Lead</t>
        </is>
      </c>
      <c r="AF309" s="53" t="inlineStr">
        <is>
          <t>B.E</t>
        </is>
      </c>
      <c r="AG309" s="53" t="inlineStr">
        <is>
          <t>Yunus Patel</t>
        </is>
      </c>
      <c r="AH309" s="53" t="inlineStr">
        <is>
          <t>N-5</t>
        </is>
      </c>
      <c r="AI309" s="53" t="inlineStr">
        <is>
          <t>Manager</t>
        </is>
      </c>
      <c r="AJ309" s="53" t="inlineStr">
        <is>
          <t>0 years, 0 months, 0 days</t>
        </is>
      </c>
      <c r="AK309" s="53" t="inlineStr">
        <is>
          <t>12 years, 0 months, 12 days</t>
        </is>
      </c>
      <c r="AL309" s="53" t="inlineStr">
        <is>
          <t>Suptech</t>
        </is>
      </c>
      <c r="AM309" s="53" t="inlineStr">
        <is>
          <t>iFile</t>
        </is>
      </c>
      <c r="AN309" s="53" t="inlineStr">
        <is>
          <t>Technology</t>
        </is>
      </c>
      <c r="AO309" s="53" t="inlineStr">
        <is>
          <t>Development</t>
        </is>
      </c>
      <c r="AP309" s="53" t="inlineStr">
        <is>
          <t>Yes</t>
        </is>
      </c>
      <c r="AQ309" s="53" t="inlineStr">
        <is>
          <t>Product/Project</t>
        </is>
      </c>
      <c r="AR309" s="53" t="inlineStr">
        <is>
          <t>Java</t>
        </is>
      </c>
      <c r="AS309" s="53" t="inlineStr">
        <is>
          <t>Technical - Developer</t>
        </is>
      </c>
      <c r="AT309" s="53" t="n">
        <v>20</v>
      </c>
      <c r="AU309" s="53" t="inlineStr">
        <is>
          <t>Covered</t>
        </is>
      </c>
      <c r="AV309" s="53" t="n"/>
      <c r="AW309" s="53" t="n"/>
      <c r="AX309" s="53" t="n"/>
      <c r="AY309" s="53" t="n"/>
      <c r="AZ309" s="53" t="n"/>
      <c r="BA309" s="53" t="n"/>
      <c r="BB309" s="53" t="n"/>
      <c r="BC309" s="53" t="n"/>
      <c r="BD309" s="53" t="n"/>
      <c r="BE309" s="53" t="n"/>
      <c r="BF309" s="53" t="n"/>
      <c r="BG309" s="53" t="n"/>
      <c r="BH309" s="53" t="n"/>
      <c r="BI309" s="53" t="n"/>
      <c r="BJ309" s="53" t="n"/>
      <c r="BK309" s="53" t="n"/>
      <c r="BL309" s="53" t="n"/>
      <c r="BM309" s="53" t="n"/>
      <c r="BN309" s="53" t="n"/>
      <c r="BO309" s="53" t="n"/>
      <c r="BP309" s="53" t="n"/>
      <c r="BQ309" s="53" t="n"/>
      <c r="BR309" s="53" t="n"/>
      <c r="BS309" s="53" t="n"/>
      <c r="BT309" s="53" t="n"/>
      <c r="BU309" s="53" t="n"/>
      <c r="BV309" s="53" t="n"/>
      <c r="BW309" s="53" t="n"/>
      <c r="BX309" s="53" t="n"/>
      <c r="BY309" s="53" t="n"/>
      <c r="BZ309" s="53" t="n"/>
      <c r="CA309" s="53" t="n"/>
      <c r="CB309" s="53" t="n"/>
      <c r="CC309" s="53" t="n"/>
      <c r="CD309" s="53" t="n"/>
      <c r="CE309" s="53" t="n"/>
      <c r="CF309" s="53" t="n"/>
      <c r="CG309" s="53" t="n"/>
      <c r="CH309" s="53" t="n"/>
      <c r="CI309" s="53" t="n"/>
      <c r="CJ309" s="53" t="n"/>
      <c r="CK309" s="53" t="n"/>
      <c r="CL309" s="53" t="n"/>
      <c r="CM309" s="53" t="n"/>
      <c r="CN309" s="53" t="n"/>
      <c r="CO309" s="53" t="n"/>
      <c r="CP309" s="53" t="n"/>
      <c r="CQ309" s="53" t="n"/>
      <c r="CR309" s="53" t="n"/>
      <c r="CS309" s="53" t="n"/>
      <c r="CT309" s="53" t="n"/>
      <c r="CU309" s="53" t="n"/>
      <c r="CV309" s="53" t="n"/>
      <c r="CW309" s="53" t="n"/>
      <c r="CX309" s="53" t="n"/>
      <c r="CY309" s="53" t="n"/>
      <c r="CZ309" s="53" t="n"/>
      <c r="DA309" s="53" t="n"/>
      <c r="DB309" s="53" t="n"/>
      <c r="DC309" s="53" t="n"/>
      <c r="DD309" s="53" t="inlineStr">
        <is>
          <t>IRIS1474</t>
        </is>
      </c>
      <c r="DE309" s="53" t="inlineStr">
        <is>
          <t>Employee</t>
        </is>
      </c>
      <c r="DF309" s="53" t="inlineStr">
        <is>
          <t>Active</t>
        </is>
      </c>
      <c r="DG309" s="53" t="inlineStr">
        <is>
          <t>Amruta Kadam</t>
        </is>
      </c>
      <c r="DH309" s="54" t="n">
        <v>41864</v>
      </c>
      <c r="DI309" s="53" t="inlineStr">
        <is>
          <t>Tech Lead</t>
        </is>
      </c>
      <c r="DJ309" s="53" t="inlineStr">
        <is>
          <t>Engineering &amp; Development</t>
        </is>
      </c>
      <c r="DK309" s="53" t="inlineStr">
        <is>
          <t>Backend Engineering · Java</t>
        </is>
      </c>
      <c r="DL309" s="53" t="inlineStr">
        <is>
          <t>Tech Lead</t>
        </is>
      </c>
      <c r="DM309" s="53" t="inlineStr">
        <is>
          <t>L5 – Lead · IC</t>
        </is>
      </c>
      <c r="DN309" s="53" t="inlineStr">
        <is>
          <t>B.E</t>
        </is>
      </c>
      <c r="DO309" s="53" t="inlineStr">
        <is>
          <t>Yunus Patel</t>
        </is>
      </c>
      <c r="DP309" s="53" t="inlineStr">
        <is>
          <t>N-4</t>
        </is>
      </c>
      <c r="DQ309" s="53" t="inlineStr">
        <is>
          <t>Manager</t>
        </is>
      </c>
      <c r="DR309" s="53" t="inlineStr">
        <is>
          <t>0 years, 0 months, 0 days</t>
        </is>
      </c>
      <c r="DS309" s="53" t="inlineStr">
        <is>
          <t>11 years, 10 months, 7 days</t>
        </is>
      </c>
      <c r="DT309" s="53" t="inlineStr">
        <is>
          <t>11 years, 10 months, 7 days</t>
        </is>
      </c>
      <c r="DU309" s="53" t="n">
        <v>11.8525114155251</v>
      </c>
      <c r="DV309" s="53" t="inlineStr">
        <is>
          <t>Suptech</t>
        </is>
      </c>
      <c r="DW309" s="53" t="inlineStr">
        <is>
          <t>iFile</t>
        </is>
      </c>
      <c r="DX309" s="53" t="inlineStr">
        <is>
          <t>Technology</t>
        </is>
      </c>
      <c r="DY309" s="53" t="inlineStr">
        <is>
          <t>Development</t>
        </is>
      </c>
      <c r="DZ309" s="53" t="inlineStr">
        <is>
          <t>Yes</t>
        </is>
      </c>
      <c r="EA309" s="53" t="inlineStr">
        <is>
          <t>Product/Project</t>
        </is>
      </c>
      <c r="EB309" s="53" t="inlineStr">
        <is>
          <t>Java</t>
        </is>
      </c>
      <c r="EC309" s="53" t="inlineStr">
        <is>
          <t>Technical - Developer</t>
        </is>
      </c>
      <c r="ED309" s="53" t="inlineStr">
        <is>
          <t>Remote - Mumbai</t>
        </is>
      </c>
      <c r="EE309" s="53" t="n"/>
      <c r="EF309"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09"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EH309" s="53" t="n">
        <v>4</v>
      </c>
      <c r="EI309" s="53" t="n"/>
      <c r="EJ309" s="53" t="inlineStr">
        <is>
          <t>Tech Lead</t>
        </is>
      </c>
      <c r="EK309" s="53" t="n"/>
      <c r="EL309" s="53" t="n">
        <v>4</v>
      </c>
      <c r="EM309" s="53" t="inlineStr">
        <is>
          <t>High</t>
        </is>
      </c>
      <c r="EN309" s="53" t="inlineStr">
        <is>
          <t>Future Leader</t>
        </is>
      </c>
      <c r="EO309" s="53" t="inlineStr">
        <is>
          <t>No</t>
        </is>
      </c>
      <c r="EP309" s="53" t="inlineStr">
        <is>
          <t>No</t>
        </is>
      </c>
      <c r="EQ309" s="53" t="inlineStr">
        <is>
          <t>No</t>
        </is>
      </c>
      <c r="ER309" s="53" t="n"/>
      <c r="ES309" s="53" t="inlineStr">
        <is>
          <t>Advanced Java; secure coding &amp; code-quality practices; unit/automated testing; system design fundamentals | People management: goal-setting &amp; feedback, 1:1 coaching, performance conversations</t>
        </is>
      </c>
      <c r="ET309" s="53" t="inlineStr">
        <is>
          <t>Leadership development: strategic thinking, cross-functional influence, financial/business acumen, succession &amp; talent development, change management, executive communication</t>
        </is>
      </c>
      <c r="EU309" s="53" t="n"/>
      <c r="EV309" s="53" t="n"/>
      <c r="EW309" s="52" t="n"/>
      <c r="EX309" s="53" t="n"/>
      <c r="EY309" s="53" t="n"/>
      <c r="EZ309" s="53" t="n"/>
      <c r="FA309" s="53" t="n"/>
      <c r="FB309" s="53" t="n"/>
      <c r="FC309" s="53" t="n"/>
      <c r="FD309" s="53" t="n"/>
      <c r="FE309"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09"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FG309" s="56" t="n"/>
      <c r="FH309" s="56" t="inlineStr">
        <is>
          <t>4</t>
        </is>
      </c>
      <c r="FI309" s="56" t="n"/>
      <c r="FJ309" s="56" t="inlineStr">
        <is>
          <t>Received · manager annual, quarterly</t>
        </is>
      </c>
      <c r="FK309" s="56" t="inlineStr">
        <is>
          <t>Talent Mapping · iFile collated</t>
        </is>
      </c>
      <c r="FL309" s="56" t="n">
        <v>20</v>
      </c>
      <c r="FM309" s="32" t="inlineStr">
        <is>
          <t>Full survey answers not in the files received · How We Grow export needed · HR</t>
        </is>
      </c>
      <c r="FN309" s="56" t="inlineStr">
        <is>
          <t>—</t>
        </is>
      </c>
      <c r="FO309" s="56" t="inlineStr">
        <is>
          <t>—</t>
        </is>
      </c>
      <c r="FP309" s="56" t="inlineStr">
        <is>
          <t>—</t>
        </is>
      </c>
      <c r="FQ309" s="56" t="inlineStr">
        <is>
          <t>—</t>
        </is>
      </c>
      <c r="FR309" s="56"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not quoted → matches the start
Leadership: Evidence reads like B2: Technical leadership and guidance for six direct reports; manager notes she handles her team well → matches the start
Business Impact: No survey or manager-mapping signal on criticality: kept at the start point.</t>
        </is>
      </c>
      <c r="FS30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309" s="56" t="inlineStr">
        <is>
          <t>Self-identified: AI / automation · Leadership &amp; people management · Technical depth &amp; architecture · Product &amp; tool knowledge · Strategy &amp; business acumen
For the next role: AI / automation · Leadership &amp; people management · Technical depth &amp; architecture · Product &amp; tool knowledge · Strategy &amp; business acumen</t>
        </is>
      </c>
      <c r="FU309" s="32" t="inlineStr">
        <is>
          <t>Full survey answers not in the files received · How We Grow export needed · HR</t>
        </is>
      </c>
    </row>
    <row r="310" ht="90" customHeight="1">
      <c r="A310" s="51" t="inlineStr">
        <is>
          <t>◂ Back</t>
        </is>
      </c>
      <c r="B310" s="29" t="inlineStr">
        <is>
          <t>Mapped</t>
        </is>
      </c>
      <c r="C310" s="28" t="inlineStr">
        <is>
          <t>iFile</t>
        </is>
      </c>
      <c r="D310" s="29" t="inlineStr">
        <is>
          <t>IRIS2028</t>
        </is>
      </c>
      <c r="E310" s="29" t="inlineStr">
        <is>
          <t>Akhilesh Gore</t>
        </is>
      </c>
      <c r="F310" s="29" t="inlineStr">
        <is>
          <t>Technology</t>
        </is>
      </c>
      <c r="G310" s="29" t="inlineStr">
        <is>
          <t>Software Engineer</t>
        </is>
      </c>
      <c r="H310" s="29" t="inlineStr">
        <is>
          <t>Senior DevOps Engineer</t>
        </is>
      </c>
      <c r="I310" s="29" t="inlineStr">
        <is>
          <t>L3 – Professional / Associate</t>
        </is>
      </c>
      <c r="J310" s="29" t="inlineStr">
        <is>
          <t>A3</t>
        </is>
      </c>
      <c r="K310" s="29" t="inlineStr">
        <is>
          <t>▲ Up</t>
        </is>
      </c>
      <c r="L310" s="29" t="inlineStr">
        <is>
          <t>Engineering &amp; Development</t>
        </is>
      </c>
      <c r="M310" s="29" t="inlineStr">
        <is>
          <t>DevOps &amp; Release Engineering</t>
        </is>
      </c>
      <c r="N310" s="29" t="n"/>
      <c r="O310" s="29" t="n">
        <v>20</v>
      </c>
      <c r="P310" s="28" t="inlineStr">
        <is>
          <t>P2</t>
        </is>
      </c>
      <c r="Q310" s="29" t="inlineStr">
        <is>
          <t>Developing</t>
        </is>
      </c>
      <c r="R310" s="29" t="inlineStr">
        <is>
          <t>3 Apply</t>
        </is>
      </c>
      <c r="S310" s="29" t="inlineStr">
        <is>
          <t>2–4 yrs</t>
        </is>
      </c>
      <c r="T310" s="29" t="inlineStr">
        <is>
          <t>3–5 · 2–5</t>
        </is>
      </c>
      <c r="U310" s="29" t="inlineStr">
        <is>
          <t>Software Engineer</t>
        </is>
      </c>
      <c r="V310" s="29" t="inlineStr">
        <is>
          <t>Workiva: SE · Broadridge India: SE · Nasdaq / AxiomSL: SE · Salesforce: MTS · Atlassian: P40 · 3–7 yrs · Freshworks: Senior SE</t>
        </is>
      </c>
      <c r="W310" s="29" t="inlineStr">
        <is>
          <t>SFIA 9 · software development, programming; OWASP secure coding; cloud vendor certifications</t>
        </is>
      </c>
      <c r="X310" s="29" t="inlineStr">
        <is>
          <t>Core 2 · Future 2 · Functional 3 · Leadership not scored</t>
        </is>
      </c>
      <c r="Y310" s="52" t="n">
        <v>223</v>
      </c>
      <c r="Z310" s="53" t="inlineStr">
        <is>
          <t>IRIS2028</t>
        </is>
      </c>
      <c r="AA310" s="53" t="inlineStr">
        <is>
          <t>Employee</t>
        </is>
      </c>
      <c r="AB310" s="53" t="inlineStr">
        <is>
          <t>Active</t>
        </is>
      </c>
      <c r="AC310" s="53" t="inlineStr">
        <is>
          <t>Akhilesh Gore</t>
        </is>
      </c>
      <c r="AD310" s="54" t="n">
        <v>44728</v>
      </c>
      <c r="AE310" s="53" t="inlineStr">
        <is>
          <t>Software Engineer</t>
        </is>
      </c>
      <c r="AF310" s="53" t="inlineStr">
        <is>
          <t>B.SC</t>
        </is>
      </c>
      <c r="AG310" s="53" t="inlineStr">
        <is>
          <t>Amruta Kadam</t>
        </is>
      </c>
      <c r="AH310" s="53" t="inlineStr">
        <is>
          <t>N-6</t>
        </is>
      </c>
      <c r="AI310" s="53" t="inlineStr">
        <is>
          <t>Individual Contributor</t>
        </is>
      </c>
      <c r="AJ310" s="53" t="inlineStr">
        <is>
          <t>2 years, 5 months, 0 days</t>
        </is>
      </c>
      <c r="AK310" s="53" t="inlineStr">
        <is>
          <t>4 years, 2 months, 9 days</t>
        </is>
      </c>
      <c r="AL310" s="53" t="inlineStr">
        <is>
          <t>Suptech</t>
        </is>
      </c>
      <c r="AM310" s="53" t="inlineStr">
        <is>
          <t>iFile</t>
        </is>
      </c>
      <c r="AN310" s="53" t="inlineStr">
        <is>
          <t>Technology</t>
        </is>
      </c>
      <c r="AO310" s="53" t="inlineStr">
        <is>
          <t>Development</t>
        </is>
      </c>
      <c r="AP310" s="53" t="inlineStr">
        <is>
          <t>Yes</t>
        </is>
      </c>
      <c r="AQ310" s="53" t="inlineStr">
        <is>
          <t>Product/Project</t>
        </is>
      </c>
      <c r="AR310" s="53" t="inlineStr">
        <is>
          <t>Software Deployment</t>
        </is>
      </c>
      <c r="AS310" s="53" t="inlineStr">
        <is>
          <t>Technical - Developer</t>
        </is>
      </c>
      <c r="AT310" s="53" t="n">
        <v>20</v>
      </c>
      <c r="AU310" s="53" t="inlineStr">
        <is>
          <t>Covered</t>
        </is>
      </c>
      <c r="AV310" s="53" t="n"/>
      <c r="AW310" s="53" t="n"/>
      <c r="AX310" s="53" t="n"/>
      <c r="AY310" s="53" t="n"/>
      <c r="AZ310" s="53" t="n"/>
      <c r="BA310" s="53" t="n"/>
      <c r="BB310" s="53" t="n"/>
      <c r="BC310" s="53" t="n"/>
      <c r="BD310" s="53" t="n"/>
      <c r="BE310" s="53" t="n"/>
      <c r="BF310" s="53" t="n"/>
      <c r="BG310" s="53" t="n"/>
      <c r="BH310" s="53" t="n"/>
      <c r="BI310" s="53" t="n"/>
      <c r="BJ310" s="53" t="n"/>
      <c r="BK310" s="53" t="n"/>
      <c r="BL310" s="53" t="n"/>
      <c r="BM310" s="53" t="n"/>
      <c r="BN310" s="53" t="n"/>
      <c r="BO310" s="53" t="n"/>
      <c r="BP310" s="53" t="n"/>
      <c r="BQ310" s="53" t="n"/>
      <c r="BR310" s="53" t="n"/>
      <c r="BS310" s="53" t="n"/>
      <c r="BT310" s="53" t="n"/>
      <c r="BU310" s="53" t="n"/>
      <c r="BV310" s="53" t="n"/>
      <c r="BW310" s="53" t="n"/>
      <c r="BX310" s="53" t="n"/>
      <c r="BY310" s="53" t="n"/>
      <c r="BZ310" s="53" t="n"/>
      <c r="CA310" s="53" t="n"/>
      <c r="CB310" s="53" t="n"/>
      <c r="CC310" s="53" t="n"/>
      <c r="CD310" s="53" t="n"/>
      <c r="CE310" s="53" t="n"/>
      <c r="CF310" s="53" t="n"/>
      <c r="CG310" s="53" t="n"/>
      <c r="CH310" s="53" t="n"/>
      <c r="CI310" s="53" t="n"/>
      <c r="CJ310" s="53" t="n"/>
      <c r="CK310" s="53" t="n"/>
      <c r="CL310" s="53" t="n"/>
      <c r="CM310" s="53" t="n"/>
      <c r="CN310" s="53" t="n"/>
      <c r="CO310" s="53" t="n"/>
      <c r="CP310" s="53" t="n"/>
      <c r="CQ310" s="53" t="n"/>
      <c r="CR310" s="53" t="n"/>
      <c r="CS310" s="53" t="n"/>
      <c r="CT310" s="53" t="n"/>
      <c r="CU310" s="53" t="n"/>
      <c r="CV310" s="53" t="n"/>
      <c r="CW310" s="53" t="n"/>
      <c r="CX310" s="53" t="n"/>
      <c r="CY310" s="53" t="n"/>
      <c r="CZ310" s="53" t="n"/>
      <c r="DA310" s="53" t="n"/>
      <c r="DB310" s="53" t="n"/>
      <c r="DC310" s="53" t="n"/>
      <c r="DD310" s="53" t="inlineStr">
        <is>
          <t>IRIS2028</t>
        </is>
      </c>
      <c r="DE310" s="53" t="inlineStr">
        <is>
          <t>Employee</t>
        </is>
      </c>
      <c r="DF310" s="53" t="inlineStr">
        <is>
          <t>Active</t>
        </is>
      </c>
      <c r="DG310" s="53" t="inlineStr">
        <is>
          <t>Akhilesh Gore</t>
        </is>
      </c>
      <c r="DH310" s="54" t="n">
        <v>44728</v>
      </c>
      <c r="DI310" s="53" t="inlineStr">
        <is>
          <t>Software Engineer</t>
        </is>
      </c>
      <c r="DJ310" s="53" t="inlineStr">
        <is>
          <t>Engineering &amp; Development</t>
        </is>
      </c>
      <c r="DK310" s="53" t="inlineStr">
        <is>
          <t>Software Engineering</t>
        </is>
      </c>
      <c r="DL310" s="53" t="inlineStr">
        <is>
          <t>Software Engineer</t>
        </is>
      </c>
      <c r="DM310" s="53" t="inlineStr">
        <is>
          <t>L3 – Professional / Associate</t>
        </is>
      </c>
      <c r="DN310" s="53" t="inlineStr">
        <is>
          <t>B.SC</t>
        </is>
      </c>
      <c r="DO310" s="53" t="inlineStr">
        <is>
          <t>Amruta Kadam</t>
        </is>
      </c>
      <c r="DP310" s="53" t="inlineStr">
        <is>
          <t>N-5</t>
        </is>
      </c>
      <c r="DQ310" s="53" t="inlineStr">
        <is>
          <t>Individual Contributor</t>
        </is>
      </c>
      <c r="DR310" s="53" t="inlineStr">
        <is>
          <t>2 years, 5 months, 0 days</t>
        </is>
      </c>
      <c r="DS310" s="53" t="inlineStr">
        <is>
          <t>4 years, 0 months, 4 days</t>
        </is>
      </c>
      <c r="DT310" s="53" t="inlineStr">
        <is>
          <t>6 years, 5 months, 4 days</t>
        </is>
      </c>
      <c r="DU310" s="53" t="n"/>
      <c r="DV310" s="53" t="inlineStr">
        <is>
          <t>Suptech</t>
        </is>
      </c>
      <c r="DW310" s="53" t="inlineStr">
        <is>
          <t>iFile</t>
        </is>
      </c>
      <c r="DX310" s="53" t="inlineStr">
        <is>
          <t>Technology</t>
        </is>
      </c>
      <c r="DY310" s="53" t="inlineStr">
        <is>
          <t>Development</t>
        </is>
      </c>
      <c r="DZ310" s="53" t="inlineStr">
        <is>
          <t>Yes</t>
        </is>
      </c>
      <c r="EA310" s="53" t="inlineStr">
        <is>
          <t>Product/Project</t>
        </is>
      </c>
      <c r="EB310" s="53" t="inlineStr">
        <is>
          <t>Software Deployment</t>
        </is>
      </c>
      <c r="EC310" s="53" t="inlineStr">
        <is>
          <t>Technical - Developer</t>
        </is>
      </c>
      <c r="ED310" s="53" t="inlineStr">
        <is>
          <t>Client Side</t>
        </is>
      </c>
      <c r="EE310" s="53" t="n"/>
      <c r="EF31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EH310" s="53" t="n">
        <v>3</v>
      </c>
      <c r="EI310" s="53" t="n"/>
      <c r="EJ310" s="53" t="inlineStr">
        <is>
          <t>Senior Software Engineer · review – experience supports senior band</t>
        </is>
      </c>
      <c r="EK310" s="53" t="n"/>
      <c r="EL310" s="53" t="n">
        <v>3</v>
      </c>
      <c r="EM310" s="53" t="inlineStr">
        <is>
          <t>Low</t>
        </is>
      </c>
      <c r="EN310" s="53" t="inlineStr">
        <is>
          <t>Core Contributor</t>
        </is>
      </c>
      <c r="EO310" s="53" t="inlineStr">
        <is>
          <t>No</t>
        </is>
      </c>
      <c r="EP310" s="53" t="inlineStr">
        <is>
          <t>No</t>
        </is>
      </c>
      <c r="EQ310" s="53" t="inlineStr">
        <is>
          <t>No</t>
        </is>
      </c>
      <c r="ER310" s="53" t="n"/>
      <c r="ES310" s="53" t="inlineStr">
        <is>
          <t>Advanced Software Deployment; secure coding &amp; code-quality practices; unit/automated testing; system design fundamentals</t>
        </is>
      </c>
      <c r="ET310" s="53" t="inlineStr">
        <is>
          <t>Transition to leadership: people management &amp; delegation, mentoring/coaching, project ownership &amp; stakeholder management, prioritisation under ambiguity, presentation &amp; influence skills</t>
        </is>
      </c>
      <c r="EU310" s="53" t="n"/>
      <c r="EV310" s="53" t="n"/>
      <c r="EW310" s="52" t="n"/>
      <c r="EX310" s="53" t="n"/>
      <c r="EY310" s="53" t="n"/>
      <c r="EZ310" s="53" t="n"/>
      <c r="FA310" s="53" t="n"/>
      <c r="FB310" s="53" t="n"/>
      <c r="FC310" s="53" t="n"/>
      <c r="FD310" s="53" t="n"/>
      <c r="FE31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FG310" s="56" t="n"/>
      <c r="FH310" s="56" t="inlineStr">
        <is>
          <t>3</t>
        </is>
      </c>
      <c r="FI310" s="56" t="n"/>
      <c r="FJ310" s="56" t="inlineStr">
        <is>
          <t>Received · manager annual, quarterly</t>
        </is>
      </c>
      <c r="FK310" s="56" t="inlineStr">
        <is>
          <t>Talent Mapping · iFile collated</t>
        </is>
      </c>
      <c r="FL310" s="56" t="n">
        <v>20</v>
      </c>
      <c r="FM310" s="32" t="inlineStr">
        <is>
          <t>Full survey answers not in the files received · How We Grow export needed · HR</t>
        </is>
      </c>
      <c r="FN310" s="56" t="inlineStr">
        <is>
          <t>—</t>
        </is>
      </c>
      <c r="FO310" s="56" t="inlineStr">
        <is>
          <t>—</t>
        </is>
      </c>
      <c r="FP310" s="56" t="inlineStr">
        <is>
          <t>—</t>
        </is>
      </c>
      <c r="FQ310" s="56" t="inlineStr">
        <is>
          <t>—</t>
        </is>
      </c>
      <c r="FR310" s="56"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on live production; outages breach SLAs → moved up 0.5
Leadership: Evidence reads like A1: No guidance of others described → matches the start
Business Impact: No survey or manager-mapping signal on criticality: kept at the start point.</t>
        </is>
      </c>
      <c r="FS310" s="56" t="inlineStr">
        <is>
          <t>Common themes in sub-family holders, all levels' answers: support · devops activities
Common themes in sub-family holders, all levels' answers: application
If the work is missed · role-holders' themes: level.</t>
        </is>
      </c>
      <c r="FT310" s="56" t="inlineStr">
        <is>
          <t>Self-identified: Technical depth &amp; architecture · Product &amp; tool knowledge
For the next role: Technical depth &amp; architecture · Product &amp; tool knowledge</t>
        </is>
      </c>
      <c r="FU310" s="32" t="inlineStr">
        <is>
          <t>Full survey answers not in the files received · How We Grow export needed · HR</t>
        </is>
      </c>
    </row>
    <row r="311" ht="90" customHeight="1">
      <c r="A311" s="51" t="inlineStr">
        <is>
          <t>◂ Back</t>
        </is>
      </c>
      <c r="B311" s="29" t="inlineStr">
        <is>
          <t>Mapped</t>
        </is>
      </c>
      <c r="C311" s="28" t="inlineStr">
        <is>
          <t>iFile</t>
        </is>
      </c>
      <c r="D311" s="29" t="inlineStr">
        <is>
          <t>IRIS2089</t>
        </is>
      </c>
      <c r="E311" s="29" t="inlineStr">
        <is>
          <t>Nilesh Mohite</t>
        </is>
      </c>
      <c r="F311" s="29" t="inlineStr">
        <is>
          <t>Technology</t>
        </is>
      </c>
      <c r="G311" s="29" t="inlineStr">
        <is>
          <t>Software Engineer</t>
        </is>
      </c>
      <c r="H311" s="29" t="inlineStr">
        <is>
          <t>Senior Software Engineer</t>
        </is>
      </c>
      <c r="I311" s="29" t="inlineStr">
        <is>
          <t>L3 – Professional / Associate</t>
        </is>
      </c>
      <c r="J311" s="29" t="inlineStr">
        <is>
          <t>A3</t>
        </is>
      </c>
      <c r="K311" s="29" t="inlineStr">
        <is>
          <t>▲ Up</t>
        </is>
      </c>
      <c r="L311" s="29" t="inlineStr">
        <is>
          <t>Engineering &amp; Development</t>
        </is>
      </c>
      <c r="M311" s="29" t="inlineStr">
        <is>
          <t>Backend Development</t>
        </is>
      </c>
      <c r="N311" s="29" t="n"/>
      <c r="O311" s="29" t="n">
        <v>20</v>
      </c>
      <c r="P311" s="28" t="inlineStr">
        <is>
          <t>P2</t>
        </is>
      </c>
      <c r="Q311" s="29" t="inlineStr">
        <is>
          <t>Developing</t>
        </is>
      </c>
      <c r="R311" s="29" t="inlineStr">
        <is>
          <t>3 Apply</t>
        </is>
      </c>
      <c r="S311" s="29" t="inlineStr">
        <is>
          <t>2–4 yrs</t>
        </is>
      </c>
      <c r="T311" s="29" t="inlineStr">
        <is>
          <t>3–5 · 2–5</t>
        </is>
      </c>
      <c r="U311" s="29" t="inlineStr">
        <is>
          <t>Software Engineer</t>
        </is>
      </c>
      <c r="V311" s="29" t="inlineStr">
        <is>
          <t>Workiva: SE · Broadridge India: SE · Nasdaq / AxiomSL: SE · Salesforce: MTS · Atlassian: P40 · 3–7 yrs · Freshworks: Senior SE</t>
        </is>
      </c>
      <c r="W311" s="29" t="inlineStr">
        <is>
          <t>SFIA 9 · software development, programming; OWASP secure coding; cloud vendor certifications</t>
        </is>
      </c>
      <c r="X311" s="29" t="inlineStr">
        <is>
          <t>Core 2 · Future 2 · Functional 3 · Leadership not scored</t>
        </is>
      </c>
      <c r="Y311" s="52" t="n">
        <v>258</v>
      </c>
      <c r="Z311" s="53" t="inlineStr">
        <is>
          <t>IRIS2089</t>
        </is>
      </c>
      <c r="AA311" s="53" t="inlineStr">
        <is>
          <t>Employee</t>
        </is>
      </c>
      <c r="AB311" s="53" t="inlineStr">
        <is>
          <t>Active</t>
        </is>
      </c>
      <c r="AC311" s="53" t="inlineStr">
        <is>
          <t>Nilesh Mohite</t>
        </is>
      </c>
      <c r="AD311" s="54" t="n">
        <v>44928</v>
      </c>
      <c r="AE311" s="53" t="inlineStr">
        <is>
          <t>Software Engineer</t>
        </is>
      </c>
      <c r="AF311" s="53" t="inlineStr">
        <is>
          <t>B.E</t>
        </is>
      </c>
      <c r="AG311" s="53" t="inlineStr">
        <is>
          <t>Amruta Kadam</t>
        </is>
      </c>
      <c r="AH311" s="53" t="inlineStr">
        <is>
          <t>N-6</t>
        </is>
      </c>
      <c r="AI311" s="53" t="inlineStr">
        <is>
          <t>Individual Contributor</t>
        </is>
      </c>
      <c r="AJ311" s="53" t="inlineStr">
        <is>
          <t>1 years, 6 months, 12 days</t>
        </is>
      </c>
      <c r="AK311" s="53" t="inlineStr">
        <is>
          <t>3 years, 7 months, 23 days</t>
        </is>
      </c>
      <c r="AL311" s="53" t="inlineStr">
        <is>
          <t>Suptech</t>
        </is>
      </c>
      <c r="AM311" s="53" t="inlineStr">
        <is>
          <t>iFile</t>
        </is>
      </c>
      <c r="AN311" s="53" t="inlineStr">
        <is>
          <t>Technology</t>
        </is>
      </c>
      <c r="AO311" s="53" t="inlineStr">
        <is>
          <t>Development</t>
        </is>
      </c>
      <c r="AP311" s="53" t="inlineStr">
        <is>
          <t>Yes</t>
        </is>
      </c>
      <c r="AQ311" s="53" t="inlineStr">
        <is>
          <t>Product/Project</t>
        </is>
      </c>
      <c r="AR311" s="53" t="inlineStr">
        <is>
          <t>Java</t>
        </is>
      </c>
      <c r="AS311" s="53" t="inlineStr">
        <is>
          <t>Technical - Developer</t>
        </is>
      </c>
      <c r="AT311" s="53" t="n">
        <v>20</v>
      </c>
      <c r="AU311" s="53" t="inlineStr">
        <is>
          <t>Covered</t>
        </is>
      </c>
      <c r="AV311" s="53" t="n"/>
      <c r="AW311" s="53" t="n"/>
      <c r="AX311" s="53" t="n"/>
      <c r="AY311" s="53" t="n"/>
      <c r="AZ311" s="53" t="n"/>
      <c r="BA311" s="53" t="n"/>
      <c r="BB311" s="53" t="n"/>
      <c r="BC311" s="53" t="n"/>
      <c r="BD311" s="53" t="n"/>
      <c r="BE311" s="53" t="n"/>
      <c r="BF311" s="53" t="n"/>
      <c r="BG311" s="53" t="n"/>
      <c r="BH311" s="53" t="n"/>
      <c r="BI311" s="53" t="n"/>
      <c r="BJ311" s="53" t="n"/>
      <c r="BK311" s="53" t="n"/>
      <c r="BL311" s="53" t="n"/>
      <c r="BM311" s="53" t="n"/>
      <c r="BN311" s="53" t="n"/>
      <c r="BO311" s="53" t="n"/>
      <c r="BP311" s="53" t="n"/>
      <c r="BQ311" s="53" t="n"/>
      <c r="BR311" s="53" t="n"/>
      <c r="BS311" s="53" t="n"/>
      <c r="BT311" s="53" t="n"/>
      <c r="BU311" s="53" t="n"/>
      <c r="BV311" s="53" t="n"/>
      <c r="BW311" s="53" t="n"/>
      <c r="BX311" s="53" t="n"/>
      <c r="BY311" s="53" t="n"/>
      <c r="BZ311" s="53" t="n"/>
      <c r="CA311" s="53" t="n"/>
      <c r="CB311" s="53" t="n"/>
      <c r="CC311" s="53" t="n"/>
      <c r="CD311" s="53" t="n"/>
      <c r="CE311" s="53" t="n"/>
      <c r="CF311" s="53" t="n"/>
      <c r="CG311" s="53" t="n"/>
      <c r="CH311" s="53" t="n"/>
      <c r="CI311" s="53" t="n"/>
      <c r="CJ311" s="53" t="n"/>
      <c r="CK311" s="53" t="n"/>
      <c r="CL311" s="53" t="n"/>
      <c r="CM311" s="53" t="n"/>
      <c r="CN311" s="53" t="n"/>
      <c r="CO311" s="53" t="n"/>
      <c r="CP311" s="53" t="n"/>
      <c r="CQ311" s="53" t="n"/>
      <c r="CR311" s="53" t="n"/>
      <c r="CS311" s="53" t="n"/>
      <c r="CT311" s="53" t="n"/>
      <c r="CU311" s="53" t="n"/>
      <c r="CV311" s="53" t="n"/>
      <c r="CW311" s="53" t="n"/>
      <c r="CX311" s="53" t="n"/>
      <c r="CY311" s="53" t="n"/>
      <c r="CZ311" s="53" t="n"/>
      <c r="DA311" s="53" t="n"/>
      <c r="DB311" s="53" t="n"/>
      <c r="DC311" s="53" t="n"/>
      <c r="DD311" s="53" t="inlineStr">
        <is>
          <t>IRIS2089</t>
        </is>
      </c>
      <c r="DE311" s="53" t="inlineStr">
        <is>
          <t>Employee</t>
        </is>
      </c>
      <c r="DF311" s="53" t="inlineStr">
        <is>
          <t>Active</t>
        </is>
      </c>
      <c r="DG311" s="53" t="inlineStr">
        <is>
          <t>Nilesh Mohite</t>
        </is>
      </c>
      <c r="DH311" s="54" t="n">
        <v>44928</v>
      </c>
      <c r="DI311" s="53" t="inlineStr">
        <is>
          <t>Software Engineer</t>
        </is>
      </c>
      <c r="DJ311" s="53" t="inlineStr">
        <is>
          <t>Engineering &amp; Development</t>
        </is>
      </c>
      <c r="DK311" s="53" t="inlineStr">
        <is>
          <t>Backend Engineering · Java</t>
        </is>
      </c>
      <c r="DL311" s="53" t="inlineStr">
        <is>
          <t>Software Engineer</t>
        </is>
      </c>
      <c r="DM311" s="53" t="inlineStr">
        <is>
          <t>L3 – Professional / Associate</t>
        </is>
      </c>
      <c r="DN311" s="53" t="inlineStr">
        <is>
          <t>B.E</t>
        </is>
      </c>
      <c r="DO311" s="53" t="inlineStr">
        <is>
          <t>Amruta Kadam</t>
        </is>
      </c>
      <c r="DP311" s="53" t="inlineStr">
        <is>
          <t>N-5</t>
        </is>
      </c>
      <c r="DQ311" s="53" t="inlineStr">
        <is>
          <t>Individual Contributor</t>
        </is>
      </c>
      <c r="DR311" s="53" t="inlineStr">
        <is>
          <t>1 years, 6 months, 12 days</t>
        </is>
      </c>
      <c r="DS311" s="53" t="inlineStr">
        <is>
          <t>3 years, 5 months, 18 days</t>
        </is>
      </c>
      <c r="DT311" s="53" t="inlineStr">
        <is>
          <t>4 years, 11 months, 30 days</t>
        </is>
      </c>
      <c r="DU311" s="53" t="n"/>
      <c r="DV311" s="53" t="inlineStr">
        <is>
          <t>Suptech</t>
        </is>
      </c>
      <c r="DW311" s="53" t="inlineStr">
        <is>
          <t>iFile</t>
        </is>
      </c>
      <c r="DX311" s="53" t="inlineStr">
        <is>
          <t>Technology</t>
        </is>
      </c>
      <c r="DY311" s="53" t="inlineStr">
        <is>
          <t>Development</t>
        </is>
      </c>
      <c r="DZ311" s="53" t="inlineStr">
        <is>
          <t>Yes</t>
        </is>
      </c>
      <c r="EA311" s="53" t="inlineStr">
        <is>
          <t>Product/Project</t>
        </is>
      </c>
      <c r="EB311" s="53" t="inlineStr">
        <is>
          <t>Java</t>
        </is>
      </c>
      <c r="EC311" s="53" t="inlineStr">
        <is>
          <t>Technical - Developer</t>
        </is>
      </c>
      <c r="ED311" s="53" t="inlineStr">
        <is>
          <t>Remote - Mumbai</t>
        </is>
      </c>
      <c r="EE311" s="53" t="n"/>
      <c r="EF31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EH311" s="53" t="n">
        <v>4</v>
      </c>
      <c r="EI311" s="53" t="n"/>
      <c r="EJ311" s="53" t="inlineStr">
        <is>
          <t>Software Engineer</t>
        </is>
      </c>
      <c r="EK311" s="53" t="n"/>
      <c r="EL311" s="53" t="n">
        <v>4</v>
      </c>
      <c r="EM311" s="53" t="inlineStr">
        <is>
          <t>Medium</t>
        </is>
      </c>
      <c r="EN311" s="53" t="inlineStr">
        <is>
          <t>High Impact / Growth Talent</t>
        </is>
      </c>
      <c r="EO311" s="53" t="inlineStr">
        <is>
          <t>No</t>
        </is>
      </c>
      <c r="EP311" s="53" t="inlineStr">
        <is>
          <t>No</t>
        </is>
      </c>
      <c r="EQ311" s="53" t="inlineStr">
        <is>
          <t>No</t>
        </is>
      </c>
      <c r="ER311" s="53" t="n"/>
      <c r="ES311" s="53" t="inlineStr">
        <is>
          <t>Advanced Java; secure coding &amp; code-quality practices; unit/automated testing; system design fundamentals</t>
        </is>
      </c>
      <c r="ET311" s="53" t="inlineStr">
        <is>
          <t>Transition to leadership: people management &amp; delegation, mentoring/coaching, project ownership &amp; stakeholder management, prioritisation under ambiguity, presentation &amp; influence skills</t>
        </is>
      </c>
      <c r="EU311" s="53" t="n"/>
      <c r="EV311" s="53" t="n"/>
      <c r="EW311" s="52" t="n"/>
      <c r="EX311" s="53" t="n"/>
      <c r="EY311" s="53" t="n"/>
      <c r="EZ311" s="53" t="n"/>
      <c r="FA311" s="53" t="n"/>
      <c r="FB311" s="53" t="n"/>
      <c r="FC311" s="53" t="n"/>
      <c r="FD311" s="53" t="n"/>
      <c r="FE31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FG311" s="56" t="n"/>
      <c r="FH311" s="56" t="inlineStr">
        <is>
          <t>4</t>
        </is>
      </c>
      <c r="FI311" s="56" t="n"/>
      <c r="FJ311" s="56" t="inlineStr">
        <is>
          <t>Received · manager annual, quarterly</t>
        </is>
      </c>
      <c r="FK311" s="56" t="inlineStr">
        <is>
          <t>Talent Mapping · iFile collated</t>
        </is>
      </c>
      <c r="FL311" s="56" t="n">
        <v>20</v>
      </c>
      <c r="FM311" s="32" t="inlineStr">
        <is>
          <t>Full survey answers not in the files received · How We Grow export needed · HR</t>
        </is>
      </c>
      <c r="FN311" s="56" t="inlineStr">
        <is>
          <t>—</t>
        </is>
      </c>
      <c r="FO311" s="56" t="inlineStr">
        <is>
          <t>—</t>
        </is>
      </c>
      <c r="FP311" s="56" t="inlineStr">
        <is>
          <t>—</t>
        </is>
      </c>
      <c r="FQ311" s="56" t="inlineStr">
        <is>
          <t>—</t>
        </is>
      </c>
      <c r="FR311" s="56"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start
Leadership: Evidence reads like A1: No guiding or leading described → matches the start
Business Impact: No survey or manager-mapping signal on criticality: kept at the start point.</t>
        </is>
      </c>
      <c r="FS31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1" s="56"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FU311" s="32" t="inlineStr">
        <is>
          <t>Full survey answers not in the files received · How We Grow export needed · HR</t>
        </is>
      </c>
    </row>
    <row r="312" ht="90" customHeight="1">
      <c r="A312" s="51" t="inlineStr">
        <is>
          <t>◂ Back</t>
        </is>
      </c>
      <c r="B312" s="29" t="inlineStr">
        <is>
          <t>Mapped</t>
        </is>
      </c>
      <c r="C312" s="28" t="inlineStr">
        <is>
          <t>iFile</t>
        </is>
      </c>
      <c r="D312" s="29" t="inlineStr">
        <is>
          <t>IRIS2433</t>
        </is>
      </c>
      <c r="E312" s="29" t="inlineStr">
        <is>
          <t>Sadhna Sahu</t>
        </is>
      </c>
      <c r="F312" s="29" t="inlineStr">
        <is>
          <t>Technology</t>
        </is>
      </c>
      <c r="G312" s="29" t="inlineStr">
        <is>
          <t>Software Engineer</t>
        </is>
      </c>
      <c r="H312" s="29" t="inlineStr">
        <is>
          <t>Senior Software Engineer</t>
        </is>
      </c>
      <c r="I312" s="29" t="inlineStr">
        <is>
          <t>Not in current mapping files</t>
        </is>
      </c>
      <c r="J312" s="29" t="inlineStr">
        <is>
          <t>A3</t>
        </is>
      </c>
      <c r="K312" s="29" t="inlineStr">
        <is>
          <t>● Newly mapped</t>
        </is>
      </c>
      <c r="L312" s="29" t="inlineStr">
        <is>
          <t>Engineering &amp; Development</t>
        </is>
      </c>
      <c r="M312" s="29" t="inlineStr">
        <is>
          <t>Backend Development</t>
        </is>
      </c>
      <c r="N312" s="29" t="inlineStr">
        <is>
          <t>• Survey response or KRAs describing the work · nothing on file — Employee + manager</t>
        </is>
      </c>
      <c r="O312" s="29" t="n">
        <v>0</v>
      </c>
      <c r="P312" s="28" t="inlineStr">
        <is>
          <t>P2</t>
        </is>
      </c>
      <c r="Q312" s="29" t="inlineStr">
        <is>
          <t>Developing</t>
        </is>
      </c>
      <c r="R312" s="29" t="inlineStr">
        <is>
          <t>3 Apply</t>
        </is>
      </c>
      <c r="S312" s="29" t="inlineStr">
        <is>
          <t>2–4 yrs</t>
        </is>
      </c>
      <c r="T312" s="29" t="inlineStr">
        <is>
          <t>3–5 · 2–5</t>
        </is>
      </c>
      <c r="U312" s="29" t="inlineStr">
        <is>
          <t>Software Engineer</t>
        </is>
      </c>
      <c r="V312" s="29" t="inlineStr">
        <is>
          <t>Workiva: SE · Broadridge India: SE · Nasdaq / AxiomSL: SE · Salesforce: MTS · Atlassian: P40 · 3–7 yrs · Freshworks: Senior SE</t>
        </is>
      </c>
      <c r="W312" s="29" t="inlineStr">
        <is>
          <t>SFIA 9 · software development, programming; OWASP secure coding; cloud vendor certifications</t>
        </is>
      </c>
      <c r="X312" s="29" t="inlineStr">
        <is>
          <t>Core 2 · Future 2 · Functional 3 · Leadership not scored</t>
        </is>
      </c>
      <c r="Y312" s="52" t="n">
        <v>401</v>
      </c>
      <c r="Z312" s="53" t="inlineStr">
        <is>
          <t>IRIS2433</t>
        </is>
      </c>
      <c r="AA312" s="53" t="inlineStr">
        <is>
          <t>Employee</t>
        </is>
      </c>
      <c r="AB312" s="53" t="inlineStr">
        <is>
          <t>Serving Notice</t>
        </is>
      </c>
      <c r="AC312" s="53" t="inlineStr">
        <is>
          <t>Sadhna Sahu</t>
        </is>
      </c>
      <c r="AD312" s="54" t="n">
        <v>45925</v>
      </c>
      <c r="AE312" s="53" t="inlineStr">
        <is>
          <t>Software Engineer</t>
        </is>
      </c>
      <c r="AF312" s="53" t="inlineStr">
        <is>
          <t>B.Tech</t>
        </is>
      </c>
      <c r="AG312" s="53" t="inlineStr">
        <is>
          <t>Amruta Kadam</t>
        </is>
      </c>
      <c r="AH312" s="53" t="inlineStr">
        <is>
          <t>N-6</t>
        </is>
      </c>
      <c r="AI312" s="53" t="inlineStr">
        <is>
          <t>Individual Contributor</t>
        </is>
      </c>
      <c r="AJ312" s="53" t="inlineStr">
        <is>
          <t>1 years, 6 months, 00 days</t>
        </is>
      </c>
      <c r="AK312" s="53" t="inlineStr">
        <is>
          <t>0 years, 11 months, 0 days</t>
        </is>
      </c>
      <c r="AL312" s="53" t="inlineStr">
        <is>
          <t>Suptech</t>
        </is>
      </c>
      <c r="AM312" s="53" t="inlineStr">
        <is>
          <t>iFile</t>
        </is>
      </c>
      <c r="AN312" s="53" t="inlineStr">
        <is>
          <t>Technology</t>
        </is>
      </c>
      <c r="AO312" s="53" t="inlineStr">
        <is>
          <t>Development</t>
        </is>
      </c>
      <c r="AP312" s="53" t="inlineStr">
        <is>
          <t>Yes</t>
        </is>
      </c>
      <c r="AQ312" s="53" t="inlineStr">
        <is>
          <t>Product/Project</t>
        </is>
      </c>
      <c r="AR312" s="53" t="inlineStr">
        <is>
          <t>Java</t>
        </is>
      </c>
      <c r="AS312" s="53" t="inlineStr">
        <is>
          <t>Technical - Developer</t>
        </is>
      </c>
      <c r="AT312" s="53" t="n">
        <v>0</v>
      </c>
      <c r="AU312" s="53" t="inlineStr">
        <is>
          <t>Excluded</t>
        </is>
      </c>
      <c r="AV312" s="53" t="n"/>
      <c r="AW312" s="53" t="n"/>
      <c r="AX312" s="53" t="n"/>
      <c r="AY312" s="53" t="n"/>
      <c r="AZ312" s="53" t="n"/>
      <c r="BA312" s="53" t="n"/>
      <c r="BB312" s="53" t="n"/>
      <c r="BC312" s="53" t="n"/>
      <c r="BD312" s="53" t="n"/>
      <c r="BE312" s="53" t="n"/>
      <c r="BF312" s="53" t="n"/>
      <c r="BG312" s="53" t="n"/>
      <c r="BH312" s="53" t="n"/>
      <c r="BI312" s="53" t="n"/>
      <c r="BJ312" s="53" t="n"/>
      <c r="BK312" s="53" t="n"/>
      <c r="BL312" s="53" t="n"/>
      <c r="BM312" s="53" t="n"/>
      <c r="BN312" s="53" t="n"/>
      <c r="BO312" s="53" t="n"/>
      <c r="BP312" s="53" t="n"/>
      <c r="BQ312" s="53" t="n"/>
      <c r="BR312" s="53" t="n"/>
      <c r="BS312" s="53" t="n"/>
      <c r="BT312" s="53" t="n"/>
      <c r="BU312" s="53" t="n"/>
      <c r="BV312" s="53" t="n"/>
      <c r="BW312" s="53" t="n"/>
      <c r="BX312" s="53" t="n"/>
      <c r="BY312" s="53" t="n"/>
      <c r="BZ312" s="53" t="n"/>
      <c r="CA312" s="53" t="n"/>
      <c r="CB312" s="53" t="n"/>
      <c r="CC312" s="53" t="n"/>
      <c r="CD312" s="53" t="n"/>
      <c r="CE312" s="53" t="n"/>
      <c r="CF312" s="53" t="n"/>
      <c r="CG312" s="53" t="n"/>
      <c r="CH312" s="53" t="n"/>
      <c r="CI312" s="53" t="n"/>
      <c r="CJ312" s="53" t="n"/>
      <c r="CK312" s="53" t="n"/>
      <c r="CL312" s="53" t="n"/>
      <c r="CM312" s="53" t="n"/>
      <c r="CN312" s="53" t="n"/>
      <c r="CO312" s="53" t="n"/>
      <c r="CP312" s="53" t="n"/>
      <c r="CQ312" s="53" t="n"/>
      <c r="CR312" s="53" t="n"/>
      <c r="CS312" s="53" t="n"/>
      <c r="CT312" s="53" t="n"/>
      <c r="CU312" s="53" t="n"/>
      <c r="CV312" s="53" t="n"/>
      <c r="CW312" s="53" t="n"/>
      <c r="CX312" s="53" t="n"/>
      <c r="CY312" s="53" t="n"/>
      <c r="CZ312" s="53" t="n"/>
      <c r="DA312" s="53" t="n"/>
      <c r="DB312" s="53" t="n"/>
      <c r="DC312" s="53" t="n"/>
      <c r="DD312" s="53" t="n"/>
      <c r="DE312" s="53" t="n"/>
      <c r="DF312" s="53" t="n"/>
      <c r="DG312" s="53" t="n"/>
      <c r="DH312" s="53" t="n"/>
      <c r="DI312" s="53" t="n"/>
      <c r="DJ312" s="53" t="n"/>
      <c r="DK312" s="53" t="n"/>
      <c r="DL312" s="53" t="n"/>
      <c r="DM312" s="53" t="n"/>
      <c r="DN312" s="53" t="n"/>
      <c r="DO312" s="53" t="n"/>
      <c r="DP312" s="53" t="n"/>
      <c r="DQ312" s="53" t="n"/>
      <c r="DR312" s="53" t="n"/>
      <c r="DS312" s="53" t="n"/>
      <c r="DT312" s="53" t="n"/>
      <c r="DU312" s="53" t="n"/>
      <c r="DV312" s="53" t="n"/>
      <c r="DW312" s="53" t="n"/>
      <c r="DX312" s="53" t="n"/>
      <c r="DY312" s="53" t="n"/>
      <c r="DZ312" s="53" t="n"/>
      <c r="EA312" s="53" t="n"/>
      <c r="EB312" s="53" t="n"/>
      <c r="EC312" s="53" t="n"/>
      <c r="ED312" s="53" t="n"/>
      <c r="EE312" s="53" t="n"/>
      <c r="EF312" s="53" t="n"/>
      <c r="EG312" s="53" t="n"/>
      <c r="EH312" s="53" t="n"/>
      <c r="EI312" s="53" t="n"/>
      <c r="EJ312" s="53" t="n"/>
      <c r="EK312" s="53" t="n"/>
      <c r="EL312" s="53" t="n"/>
      <c r="EM312" s="53" t="n"/>
      <c r="EN312" s="53" t="n"/>
      <c r="EO312" s="53" t="n"/>
      <c r="EP312" s="53" t="n"/>
      <c r="EQ312" s="53" t="n"/>
      <c r="ER312" s="53" t="n"/>
      <c r="ES312" s="53" t="n"/>
      <c r="ET312" s="53" t="n"/>
      <c r="EU312" s="53" t="n"/>
      <c r="EV312" s="53" t="n"/>
      <c r="EW312" s="52" t="n"/>
      <c r="EX312" s="53" t="n"/>
      <c r="EY312" s="53" t="n"/>
      <c r="EZ312" s="53" t="n"/>
      <c r="FA312" s="53" t="n"/>
      <c r="FB312" s="53" t="n"/>
      <c r="FC312" s="53" t="n"/>
      <c r="FD312" s="53" t="n"/>
      <c r="FE312" s="55" t="inlineStr">
        <is>
          <t>KRAs not received · manager to supply</t>
        </is>
      </c>
      <c r="FF312" s="56" t="n"/>
      <c r="FG312" s="56" t="n"/>
      <c r="FH312" s="56" t="n"/>
      <c r="FI312" s="56" t="n"/>
      <c r="FJ312" s="32" t="inlineStr">
        <is>
          <t>KRAs not received · manager to supply</t>
        </is>
      </c>
      <c r="FK312" s="56" t="n"/>
      <c r="FL312" s="56" t="n">
        <v>0</v>
      </c>
      <c r="FM312" s="32" t="inlineStr">
        <is>
          <t>No survey response on file</t>
        </is>
      </c>
      <c r="FN312" s="56" t="inlineStr">
        <is>
          <t>—</t>
        </is>
      </c>
      <c r="FO312" s="56" t="inlineStr">
        <is>
          <t>—</t>
        </is>
      </c>
      <c r="FP312" s="56" t="inlineStr">
        <is>
          <t>—</t>
        </is>
      </c>
      <c r="FQ312" s="56" t="inlineStr">
        <is>
          <t>—</t>
        </is>
      </c>
      <c r="FR312" s="56" t="inlineStr">
        <is>
          <t>Business Impact: No survey or manager-mapping signal on criticality: kept at the start point.</t>
        </is>
      </c>
      <c r="FS31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2" s="56" t="n"/>
      <c r="FU312" s="32" t="inlineStr">
        <is>
          <t>No survey response on file</t>
        </is>
      </c>
    </row>
    <row r="313" ht="90" customHeight="1">
      <c r="A313" s="51" t="inlineStr">
        <is>
          <t>◂ Back</t>
        </is>
      </c>
      <c r="B313" s="29" t="inlineStr">
        <is>
          <t>Mapped</t>
        </is>
      </c>
      <c r="C313" s="28" t="inlineStr">
        <is>
          <t>iFile</t>
        </is>
      </c>
      <c r="D313" s="29" t="inlineStr">
        <is>
          <t>IRIS2476</t>
        </is>
      </c>
      <c r="E313" s="29" t="inlineStr">
        <is>
          <t>Sagar Soni</t>
        </is>
      </c>
      <c r="F313" s="29" t="inlineStr">
        <is>
          <t>Technology</t>
        </is>
      </c>
      <c r="G313" s="29" t="inlineStr">
        <is>
          <t>Software Engineer</t>
        </is>
      </c>
      <c r="H313" s="29" t="inlineStr">
        <is>
          <t>Senior Software Engineer</t>
        </is>
      </c>
      <c r="I313" s="29" t="inlineStr">
        <is>
          <t>L3 – Professional / Associate</t>
        </is>
      </c>
      <c r="J313" s="29" t="inlineStr">
        <is>
          <t>A3</t>
        </is>
      </c>
      <c r="K313" s="29" t="inlineStr">
        <is>
          <t>▲ Up</t>
        </is>
      </c>
      <c r="L313" s="29" t="inlineStr">
        <is>
          <t>Engineering &amp; Development</t>
        </is>
      </c>
      <c r="M313" s="29" t="inlineStr">
        <is>
          <t>Backend Development</t>
        </is>
      </c>
      <c r="N313" s="29" t="n"/>
      <c r="O313" s="29" t="n">
        <v>20</v>
      </c>
      <c r="P313" s="28" t="inlineStr">
        <is>
          <t>P2</t>
        </is>
      </c>
      <c r="Q313" s="29" t="inlineStr">
        <is>
          <t>Developing</t>
        </is>
      </c>
      <c r="R313" s="29" t="inlineStr">
        <is>
          <t>3 Apply</t>
        </is>
      </c>
      <c r="S313" s="29" t="inlineStr">
        <is>
          <t>2–4 yrs</t>
        </is>
      </c>
      <c r="T313" s="29" t="inlineStr">
        <is>
          <t>3–5 · 2–5</t>
        </is>
      </c>
      <c r="U313" s="29" t="inlineStr">
        <is>
          <t>Software Engineer</t>
        </is>
      </c>
      <c r="V313" s="29" t="inlineStr">
        <is>
          <t>Workiva: SE · Broadridge India: SE · Nasdaq / AxiomSL: SE · Salesforce: MTS · Atlassian: P40 · 3–7 yrs · Freshworks: Senior SE</t>
        </is>
      </c>
      <c r="W313" s="29" t="inlineStr">
        <is>
          <t>SFIA 9 · software development, programming; OWASP secure coding; cloud vendor certifications</t>
        </is>
      </c>
      <c r="X313" s="29" t="inlineStr">
        <is>
          <t>Core 2 · Future 2 · Functional 3 · Leadership not scored</t>
        </is>
      </c>
      <c r="Y313" s="52" t="n">
        <v>452</v>
      </c>
      <c r="Z313" s="53" t="inlineStr">
        <is>
          <t>IRIS2476</t>
        </is>
      </c>
      <c r="AA313" s="53" t="inlineStr">
        <is>
          <t>Employee</t>
        </is>
      </c>
      <c r="AB313" s="53" t="inlineStr">
        <is>
          <t>Active</t>
        </is>
      </c>
      <c r="AC313" s="53" t="inlineStr">
        <is>
          <t>Sagar Soni</t>
        </is>
      </c>
      <c r="AD313" s="54" t="n">
        <v>46065</v>
      </c>
      <c r="AE313" s="53" t="inlineStr">
        <is>
          <t>Software Engineer</t>
        </is>
      </c>
      <c r="AF313" s="53" t="inlineStr">
        <is>
          <t>B.E</t>
        </is>
      </c>
      <c r="AG313" s="53" t="inlineStr">
        <is>
          <t>Amruta Kadam</t>
        </is>
      </c>
      <c r="AH313" s="53" t="inlineStr">
        <is>
          <t>N-6</t>
        </is>
      </c>
      <c r="AI313" s="53" t="inlineStr">
        <is>
          <t>Individual Contributor</t>
        </is>
      </c>
      <c r="AJ313" s="53" t="inlineStr">
        <is>
          <t>4 years, 4 months, 0 days</t>
        </is>
      </c>
      <c r="AK313" s="53" t="inlineStr">
        <is>
          <t>0 years, 6 months, 13 days</t>
        </is>
      </c>
      <c r="AL313" s="53" t="inlineStr">
        <is>
          <t>Suptech</t>
        </is>
      </c>
      <c r="AM313" s="53" t="inlineStr">
        <is>
          <t>iFile</t>
        </is>
      </c>
      <c r="AN313" s="53" t="inlineStr">
        <is>
          <t>Technology</t>
        </is>
      </c>
      <c r="AO313" s="53" t="inlineStr">
        <is>
          <t>Development</t>
        </is>
      </c>
      <c r="AP313" s="53" t="inlineStr">
        <is>
          <t>Yes</t>
        </is>
      </c>
      <c r="AQ313" s="53" t="inlineStr">
        <is>
          <t>Product/Project</t>
        </is>
      </c>
      <c r="AR313" s="53" t="inlineStr">
        <is>
          <t>Java</t>
        </is>
      </c>
      <c r="AS313" s="53" t="inlineStr">
        <is>
          <t>Technical - Developer</t>
        </is>
      </c>
      <c r="AT313" s="53" t="n">
        <v>20</v>
      </c>
      <c r="AU313" s="53" t="inlineStr">
        <is>
          <t>Covered</t>
        </is>
      </c>
      <c r="AV313" s="53" t="n"/>
      <c r="AW313" s="53" t="n"/>
      <c r="AX313" s="53" t="n"/>
      <c r="AY313" s="53" t="n"/>
      <c r="AZ313" s="53" t="n"/>
      <c r="BA313" s="53" t="n"/>
      <c r="BB313" s="53" t="n"/>
      <c r="BC313" s="53" t="n"/>
      <c r="BD313" s="53" t="n"/>
      <c r="BE313" s="53" t="n"/>
      <c r="BF313" s="53" t="n"/>
      <c r="BG313" s="53" t="n"/>
      <c r="BH313" s="53" t="n"/>
      <c r="BI313" s="53" t="n"/>
      <c r="BJ313" s="53" t="n"/>
      <c r="BK313" s="53" t="n"/>
      <c r="BL313" s="53" t="n"/>
      <c r="BM313" s="53" t="n"/>
      <c r="BN313" s="53" t="n"/>
      <c r="BO313" s="53" t="n"/>
      <c r="BP313" s="53" t="n"/>
      <c r="BQ313" s="53" t="n"/>
      <c r="BR313" s="53" t="n"/>
      <c r="BS313" s="53" t="n"/>
      <c r="BT313" s="53" t="n"/>
      <c r="BU313" s="53" t="n"/>
      <c r="BV313" s="53" t="n"/>
      <c r="BW313" s="53" t="n"/>
      <c r="BX313" s="53" t="n"/>
      <c r="BY313" s="53" t="n"/>
      <c r="BZ313" s="53" t="n"/>
      <c r="CA313" s="53" t="n"/>
      <c r="CB313" s="53" t="n"/>
      <c r="CC313" s="53" t="n"/>
      <c r="CD313" s="53" t="n"/>
      <c r="CE313" s="53" t="n"/>
      <c r="CF313" s="53" t="n"/>
      <c r="CG313" s="53" t="n"/>
      <c r="CH313" s="53" t="n"/>
      <c r="CI313" s="53" t="n"/>
      <c r="CJ313" s="53" t="n"/>
      <c r="CK313" s="53" t="n"/>
      <c r="CL313" s="53" t="n"/>
      <c r="CM313" s="53" t="n"/>
      <c r="CN313" s="53" t="n"/>
      <c r="CO313" s="53" t="n"/>
      <c r="CP313" s="53" t="n"/>
      <c r="CQ313" s="53" t="n"/>
      <c r="CR313" s="53" t="n"/>
      <c r="CS313" s="53" t="n"/>
      <c r="CT313" s="53" t="n"/>
      <c r="CU313" s="53" t="n"/>
      <c r="CV313" s="53" t="n"/>
      <c r="CW313" s="53" t="n"/>
      <c r="CX313" s="53" t="n"/>
      <c r="CY313" s="53" t="n"/>
      <c r="CZ313" s="53" t="n"/>
      <c r="DA313" s="53" t="n"/>
      <c r="DB313" s="53" t="n"/>
      <c r="DC313" s="53" t="n"/>
      <c r="DD313" s="53" t="inlineStr">
        <is>
          <t>IRIS2476</t>
        </is>
      </c>
      <c r="DE313" s="53" t="inlineStr">
        <is>
          <t>Employee</t>
        </is>
      </c>
      <c r="DF313" s="53" t="inlineStr">
        <is>
          <t>Active</t>
        </is>
      </c>
      <c r="DG313" s="53" t="inlineStr">
        <is>
          <t>Sagar Soni</t>
        </is>
      </c>
      <c r="DH313" s="54" t="n">
        <v>46065</v>
      </c>
      <c r="DI313" s="53" t="inlineStr">
        <is>
          <t>Software Engineer</t>
        </is>
      </c>
      <c r="DJ313" s="53" t="inlineStr">
        <is>
          <t>Engineering &amp; Development</t>
        </is>
      </c>
      <c r="DK313" s="53" t="inlineStr">
        <is>
          <t>Backend Engineering · Java</t>
        </is>
      </c>
      <c r="DL313" s="53" t="inlineStr">
        <is>
          <t>Software Engineer</t>
        </is>
      </c>
      <c r="DM313" s="53" t="inlineStr">
        <is>
          <t>L3 – Professional / Associate</t>
        </is>
      </c>
      <c r="DN313" s="53" t="inlineStr">
        <is>
          <t>B.E</t>
        </is>
      </c>
      <c r="DO313" s="53" t="inlineStr">
        <is>
          <t>Amruta Kadam</t>
        </is>
      </c>
      <c r="DP313" s="53" t="inlineStr">
        <is>
          <t>N-5</t>
        </is>
      </c>
      <c r="DQ313" s="53" t="inlineStr">
        <is>
          <t>Individual Contributor</t>
        </is>
      </c>
      <c r="DR313" s="53" t="inlineStr">
        <is>
          <t>4 years, 4 months, 0 days</t>
        </is>
      </c>
      <c r="DS313" s="53" t="inlineStr">
        <is>
          <t>0 years, 4 months, 8 days</t>
        </is>
      </c>
      <c r="DT313" s="53" t="inlineStr">
        <is>
          <t>4 years, 8 months, 8 days</t>
        </is>
      </c>
      <c r="DU313" s="53" t="n"/>
      <c r="DV313" s="53" t="inlineStr">
        <is>
          <t>Suptech</t>
        </is>
      </c>
      <c r="DW313" s="53" t="inlineStr">
        <is>
          <t>iFile</t>
        </is>
      </c>
      <c r="DX313" s="53" t="inlineStr">
        <is>
          <t>Technology</t>
        </is>
      </c>
      <c r="DY313" s="53" t="inlineStr">
        <is>
          <t>Development</t>
        </is>
      </c>
      <c r="DZ313" s="53" t="inlineStr">
        <is>
          <t>Yes</t>
        </is>
      </c>
      <c r="EA313" s="53" t="inlineStr">
        <is>
          <t>Product/Project</t>
        </is>
      </c>
      <c r="EB313" s="53" t="inlineStr">
        <is>
          <t>Java</t>
        </is>
      </c>
      <c r="EC313" s="53" t="inlineStr">
        <is>
          <t>Technical - Developer</t>
        </is>
      </c>
      <c r="ED313" s="53" t="inlineStr">
        <is>
          <t>Client Side</t>
        </is>
      </c>
      <c r="EE313" s="53" t="n"/>
      <c r="EF31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EH313" s="53" t="n">
        <v>3</v>
      </c>
      <c r="EI313" s="53" t="n"/>
      <c r="EJ313" s="53" t="inlineStr">
        <is>
          <t>Software Engineer</t>
        </is>
      </c>
      <c r="EK313" s="53" t="n"/>
      <c r="EL313" s="53" t="n">
        <v>3</v>
      </c>
      <c r="EM313" s="53" t="inlineStr">
        <is>
          <t>Low</t>
        </is>
      </c>
      <c r="EN313" s="53" t="inlineStr">
        <is>
          <t>Core Contributor</t>
        </is>
      </c>
      <c r="EO313" s="53" t="inlineStr">
        <is>
          <t>No</t>
        </is>
      </c>
      <c r="EP313" s="53" t="inlineStr">
        <is>
          <t>No</t>
        </is>
      </c>
      <c r="EQ313" s="53" t="inlineStr">
        <is>
          <t>No</t>
        </is>
      </c>
      <c r="ER313" s="53" t="n"/>
      <c r="ES313" s="53" t="inlineStr">
        <is>
          <t>Advanced Java; secure coding &amp; code-quality practices; unit/automated testing; system design fundamentals</t>
        </is>
      </c>
      <c r="ET313" s="53" t="inlineStr">
        <is>
          <t>Transition to leadership: people management &amp; delegation, mentoring/coaching, project ownership &amp; stakeholder management, prioritisation under ambiguity, presentation &amp; influence skills</t>
        </is>
      </c>
      <c r="EU313" s="53" t="n"/>
      <c r="EV313" s="53" t="n"/>
      <c r="EW313" s="52" t="n"/>
      <c r="EX313" s="53" t="n"/>
      <c r="EY313" s="53" t="n"/>
      <c r="EZ313" s="53" t="n"/>
      <c r="FA313" s="53" t="n"/>
      <c r="FB313" s="53" t="n"/>
      <c r="FC313" s="53" t="n"/>
      <c r="FD313" s="53" t="n"/>
      <c r="FE31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FG313" s="56" t="n"/>
      <c r="FH313" s="56" t="inlineStr">
        <is>
          <t>3</t>
        </is>
      </c>
      <c r="FI313" s="56" t="n"/>
      <c r="FJ313" s="56" t="inlineStr">
        <is>
          <t>Received · manager annual, quarterly</t>
        </is>
      </c>
      <c r="FK313" s="56" t="inlineStr">
        <is>
          <t>Talent Mapping · iFile collated</t>
        </is>
      </c>
      <c r="FL313" s="56" t="n">
        <v>20</v>
      </c>
      <c r="FM313" s="32" t="inlineStr">
        <is>
          <t>Full survey answers not in the files received · How We Grow export needed · HR</t>
        </is>
      </c>
      <c r="FN313" s="56" t="inlineStr">
        <is>
          <t>—</t>
        </is>
      </c>
      <c r="FO313" s="56" t="inlineStr">
        <is>
          <t>—</t>
        </is>
      </c>
      <c r="FP313" s="56" t="inlineStr">
        <is>
          <t>—</t>
        </is>
      </c>
      <c r="FQ313" s="56" t="inlineStr">
        <is>
          <t>—</t>
        </is>
      </c>
      <c r="FR313" s="56"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security fixes and pipeline reliability carry RBI audit and QA/production consequences → moved up 0.5
Leadership: Evidence reads like A1: No guiding or leading described → matches the start
Business Impact: No survey or manager-mapping signal on criticality: kept at the start point.</t>
        </is>
      </c>
      <c r="FS31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3" s="56" t="inlineStr">
        <is>
          <t>Self-identified: Leadership &amp; people management · Technical depth &amp; architecture
For the next role: Leadership &amp; people management · Technical depth &amp; architecture</t>
        </is>
      </c>
      <c r="FU313" s="32" t="inlineStr">
        <is>
          <t>Full survey answers not in the files received · How We Grow export needed · HR</t>
        </is>
      </c>
    </row>
    <row r="314" ht="90" customHeight="1">
      <c r="A314" s="51" t="inlineStr">
        <is>
          <t>◂ Back</t>
        </is>
      </c>
      <c r="B314" s="29" t="inlineStr">
        <is>
          <t>Mapped</t>
        </is>
      </c>
      <c r="C314" s="28" t="inlineStr">
        <is>
          <t>iFile</t>
        </is>
      </c>
      <c r="D314" s="29" t="inlineStr">
        <is>
          <t>IRIS2068</t>
        </is>
      </c>
      <c r="E314" s="29" t="inlineStr">
        <is>
          <t>Sonal Bagul</t>
        </is>
      </c>
      <c r="F314" s="29" t="inlineStr">
        <is>
          <t>Technology</t>
        </is>
      </c>
      <c r="G314" s="29" t="inlineStr">
        <is>
          <t>Senior Software Engineer</t>
        </is>
      </c>
      <c r="H314" s="29" t="inlineStr">
        <is>
          <t>Senior Software Engineer</t>
        </is>
      </c>
      <c r="I314" s="29" t="inlineStr">
        <is>
          <t>L4 – Senior</t>
        </is>
      </c>
      <c r="J314" s="29" t="inlineStr">
        <is>
          <t>A3</t>
        </is>
      </c>
      <c r="K314" s="29" t="inlineStr">
        <is>
          <t>• Same level</t>
        </is>
      </c>
      <c r="L314" s="29" t="inlineStr">
        <is>
          <t>Engineering &amp; Development</t>
        </is>
      </c>
      <c r="M314" s="29" t="inlineStr">
        <is>
          <t>Backend Development</t>
        </is>
      </c>
      <c r="N314" s="29" t="n"/>
      <c r="O314" s="29" t="n">
        <v>20</v>
      </c>
      <c r="P314" s="28" t="inlineStr">
        <is>
          <t>P2</t>
        </is>
      </c>
      <c r="Q314" s="29" t="inlineStr">
        <is>
          <t>Developing</t>
        </is>
      </c>
      <c r="R314" s="29" t="inlineStr">
        <is>
          <t>3 Apply</t>
        </is>
      </c>
      <c r="S314" s="29" t="inlineStr">
        <is>
          <t>2–4 yrs</t>
        </is>
      </c>
      <c r="T314" s="29" t="inlineStr">
        <is>
          <t>3–5 · 2–5</t>
        </is>
      </c>
      <c r="U314" s="29" t="inlineStr">
        <is>
          <t>Software Engineer</t>
        </is>
      </c>
      <c r="V314" s="29" t="inlineStr">
        <is>
          <t>Workiva: SE · Broadridge India: SE · Nasdaq / AxiomSL: SE · Salesforce: MTS · Atlassian: P40 · 3–7 yrs · Freshworks: Senior SE</t>
        </is>
      </c>
      <c r="W314" s="29" t="inlineStr">
        <is>
          <t>SFIA 9 · software development, programming; OWASP secure coding; cloud vendor certifications</t>
        </is>
      </c>
      <c r="X314" s="29" t="inlineStr">
        <is>
          <t>Core 2 · Future 2 · Functional 3 · Leadership not scored</t>
        </is>
      </c>
      <c r="Y314" s="52" t="n">
        <v>244</v>
      </c>
      <c r="Z314" s="53" t="inlineStr">
        <is>
          <t>IRIS2068</t>
        </is>
      </c>
      <c r="AA314" s="53" t="inlineStr">
        <is>
          <t>Employee</t>
        </is>
      </c>
      <c r="AB314" s="53" t="inlineStr">
        <is>
          <t>Active</t>
        </is>
      </c>
      <c r="AC314" s="53" t="inlineStr">
        <is>
          <t>Sonal Bagul</t>
        </is>
      </c>
      <c r="AD314" s="54" t="n">
        <v>44844</v>
      </c>
      <c r="AE314" s="53" t="inlineStr">
        <is>
          <t>Senior Software Engineer</t>
        </is>
      </c>
      <c r="AF314" s="53" t="inlineStr">
        <is>
          <t>MCA</t>
        </is>
      </c>
      <c r="AG314" s="53" t="inlineStr">
        <is>
          <t>Amruta Kadam</t>
        </is>
      </c>
      <c r="AH314" s="53" t="inlineStr">
        <is>
          <t>N-6</t>
        </is>
      </c>
      <c r="AI314" s="53" t="inlineStr">
        <is>
          <t>Individual Contributor</t>
        </is>
      </c>
      <c r="AJ314" s="53" t="inlineStr">
        <is>
          <t>6 years, 4 months, 0 days</t>
        </is>
      </c>
      <c r="AK314" s="53" t="inlineStr">
        <is>
          <t>3 years, 10 months, 15 days</t>
        </is>
      </c>
      <c r="AL314" s="53" t="inlineStr">
        <is>
          <t>Suptech</t>
        </is>
      </c>
      <c r="AM314" s="53" t="inlineStr">
        <is>
          <t>iFile</t>
        </is>
      </c>
      <c r="AN314" s="53" t="inlineStr">
        <is>
          <t>Technology</t>
        </is>
      </c>
      <c r="AO314" s="53" t="inlineStr">
        <is>
          <t>Development</t>
        </is>
      </c>
      <c r="AP314" s="53" t="inlineStr">
        <is>
          <t>Yes</t>
        </is>
      </c>
      <c r="AQ314" s="53" t="inlineStr">
        <is>
          <t>Product/Project</t>
        </is>
      </c>
      <c r="AR314" s="53" t="inlineStr">
        <is>
          <t>Java</t>
        </is>
      </c>
      <c r="AS314" s="53" t="inlineStr">
        <is>
          <t>Technical - Developer</t>
        </is>
      </c>
      <c r="AT314" s="53" t="n">
        <v>20</v>
      </c>
      <c r="AU314" s="53" t="inlineStr">
        <is>
          <t>Covered</t>
        </is>
      </c>
      <c r="AV314" s="53" t="n"/>
      <c r="AW314" s="53" t="n"/>
      <c r="AX314" s="53" t="n"/>
      <c r="AY314" s="53" t="n"/>
      <c r="AZ314" s="53" t="n"/>
      <c r="BA314" s="53" t="n"/>
      <c r="BB314" s="53" t="n"/>
      <c r="BC314" s="53" t="n"/>
      <c r="BD314" s="53" t="n"/>
      <c r="BE314" s="53" t="n"/>
      <c r="BF314" s="53" t="n"/>
      <c r="BG314" s="53" t="n"/>
      <c r="BH314" s="53" t="n"/>
      <c r="BI314" s="53" t="n"/>
      <c r="BJ314" s="53" t="n"/>
      <c r="BK314" s="53" t="n"/>
      <c r="BL314" s="53" t="n"/>
      <c r="BM314" s="53" t="n"/>
      <c r="BN314" s="53" t="n"/>
      <c r="BO314" s="53" t="n"/>
      <c r="BP314" s="53" t="n"/>
      <c r="BQ314" s="53" t="n"/>
      <c r="BR314" s="53" t="n"/>
      <c r="BS314" s="53" t="n"/>
      <c r="BT314" s="53" t="n"/>
      <c r="BU314" s="53" t="n"/>
      <c r="BV314" s="53" t="n"/>
      <c r="BW314" s="53" t="n"/>
      <c r="BX314" s="53" t="n"/>
      <c r="BY314" s="53" t="n"/>
      <c r="BZ314" s="53" t="n"/>
      <c r="CA314" s="53" t="n"/>
      <c r="CB314" s="53" t="n"/>
      <c r="CC314" s="53" t="n"/>
      <c r="CD314" s="53" t="n"/>
      <c r="CE314" s="53" t="n"/>
      <c r="CF314" s="53" t="n"/>
      <c r="CG314" s="53" t="n"/>
      <c r="CH314" s="53" t="n"/>
      <c r="CI314" s="53" t="n"/>
      <c r="CJ314" s="53" t="n"/>
      <c r="CK314" s="53" t="n"/>
      <c r="CL314" s="53" t="n"/>
      <c r="CM314" s="53" t="n"/>
      <c r="CN314" s="53" t="n"/>
      <c r="CO314" s="53" t="n"/>
      <c r="CP314" s="53" t="n"/>
      <c r="CQ314" s="53" t="n"/>
      <c r="CR314" s="53" t="n"/>
      <c r="CS314" s="53" t="n"/>
      <c r="CT314" s="53" t="n"/>
      <c r="CU314" s="53" t="n"/>
      <c r="CV314" s="53" t="n"/>
      <c r="CW314" s="53" t="n"/>
      <c r="CX314" s="53" t="n"/>
      <c r="CY314" s="53" t="n"/>
      <c r="CZ314" s="53" t="n"/>
      <c r="DA314" s="53" t="n"/>
      <c r="DB314" s="53" t="n"/>
      <c r="DC314" s="53" t="n"/>
      <c r="DD314" s="53" t="inlineStr">
        <is>
          <t>IRIS2068</t>
        </is>
      </c>
      <c r="DE314" s="53" t="inlineStr">
        <is>
          <t>Employee</t>
        </is>
      </c>
      <c r="DF314" s="53" t="inlineStr">
        <is>
          <t>Active</t>
        </is>
      </c>
      <c r="DG314" s="53" t="inlineStr">
        <is>
          <t>Sonal Bagul</t>
        </is>
      </c>
      <c r="DH314" s="54" t="n">
        <v>44844</v>
      </c>
      <c r="DI314" s="53" t="inlineStr">
        <is>
          <t>Senior Software Engineer</t>
        </is>
      </c>
      <c r="DJ314" s="53" t="inlineStr">
        <is>
          <t>Engineering &amp; Development</t>
        </is>
      </c>
      <c r="DK314" s="53" t="inlineStr">
        <is>
          <t>Backend Engineering · Java</t>
        </is>
      </c>
      <c r="DL314" s="53" t="inlineStr">
        <is>
          <t>Senior Software Engineer</t>
        </is>
      </c>
      <c r="DM314" s="53" t="inlineStr">
        <is>
          <t>L4 – Senior</t>
        </is>
      </c>
      <c r="DN314" s="53" t="inlineStr">
        <is>
          <t>MCA</t>
        </is>
      </c>
      <c r="DO314" s="53" t="inlineStr">
        <is>
          <t>Amruta Kadam</t>
        </is>
      </c>
      <c r="DP314" s="53" t="inlineStr">
        <is>
          <t>N-5</t>
        </is>
      </c>
      <c r="DQ314" s="53" t="inlineStr">
        <is>
          <t>Individual Contributor</t>
        </is>
      </c>
      <c r="DR314" s="53" t="inlineStr">
        <is>
          <t>6 years, 4 months, 0 days</t>
        </is>
      </c>
      <c r="DS314" s="53" t="inlineStr">
        <is>
          <t>3 years, 8 months, 10 days</t>
        </is>
      </c>
      <c r="DT314" s="53" t="inlineStr">
        <is>
          <t>10 years, 0 months, 10 days</t>
        </is>
      </c>
      <c r="DU314" s="53" t="n"/>
      <c r="DV314" s="53" t="inlineStr">
        <is>
          <t>Suptech</t>
        </is>
      </c>
      <c r="DW314" s="53" t="inlineStr">
        <is>
          <t>iFile</t>
        </is>
      </c>
      <c r="DX314" s="53" t="inlineStr">
        <is>
          <t>Technology</t>
        </is>
      </c>
      <c r="DY314" s="53" t="inlineStr">
        <is>
          <t>Development</t>
        </is>
      </c>
      <c r="DZ314" s="53" t="inlineStr">
        <is>
          <t>Yes</t>
        </is>
      </c>
      <c r="EA314" s="53" t="inlineStr">
        <is>
          <t>Product/Project</t>
        </is>
      </c>
      <c r="EB314" s="53" t="inlineStr">
        <is>
          <t>Java</t>
        </is>
      </c>
      <c r="EC314" s="53" t="inlineStr">
        <is>
          <t>Technical - Developer</t>
        </is>
      </c>
      <c r="ED314" s="53" t="inlineStr">
        <is>
          <t>Remote- Outside Mumbai</t>
        </is>
      </c>
      <c r="EE314" s="53" t="n"/>
      <c r="EF31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EH314" s="53" t="n">
        <v>3</v>
      </c>
      <c r="EI314" s="53" t="n"/>
      <c r="EJ314" s="53" t="inlineStr">
        <is>
          <t>Senior Software Engineer</t>
        </is>
      </c>
      <c r="EK314" s="53" t="n"/>
      <c r="EL314" s="53" t="n">
        <v>3</v>
      </c>
      <c r="EM314" s="53" t="inlineStr">
        <is>
          <t>Low</t>
        </is>
      </c>
      <c r="EN314" s="53" t="inlineStr">
        <is>
          <t>Reliable Specialist</t>
        </is>
      </c>
      <c r="EO314" s="53" t="inlineStr">
        <is>
          <t>No</t>
        </is>
      </c>
      <c r="EP314" s="53" t="inlineStr">
        <is>
          <t>No</t>
        </is>
      </c>
      <c r="EQ314" s="53" t="inlineStr">
        <is>
          <t>No</t>
        </is>
      </c>
      <c r="ER314" s="53" t="n"/>
      <c r="ES314" s="53" t="inlineStr">
        <is>
          <t>Advanced Java; secure coding &amp; code-quality practices; unit/automated testing; system design fundamentals</t>
        </is>
      </c>
      <c r="ET314" s="53" t="inlineStr">
        <is>
          <t>Transition to leadership: people management &amp; delegation, mentoring/coaching, project ownership &amp; stakeholder management, prioritisation under ambiguity, presentation &amp; influence skills</t>
        </is>
      </c>
      <c r="EU314" s="53" t="n"/>
      <c r="EV314" s="53" t="n"/>
      <c r="EW314" s="52" t="n"/>
      <c r="EX314" s="53" t="n"/>
      <c r="EY314" s="53" t="n"/>
      <c r="EZ314" s="53" t="n"/>
      <c r="FA314" s="53" t="n"/>
      <c r="FB314" s="53" t="n"/>
      <c r="FC314" s="53" t="n"/>
      <c r="FD314" s="53" t="n"/>
      <c r="FE31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FG314" s="56" t="n"/>
      <c r="FH314" s="56" t="inlineStr">
        <is>
          <t>3</t>
        </is>
      </c>
      <c r="FI314" s="56" t="n"/>
      <c r="FJ314" s="56" t="inlineStr">
        <is>
          <t>Received · manager annual, quarterly</t>
        </is>
      </c>
      <c r="FK314" s="56" t="inlineStr">
        <is>
          <t>Talent Mapping · iFile collated</t>
        </is>
      </c>
      <c r="FL314" s="56" t="n">
        <v>20</v>
      </c>
      <c r="FM314" s="32" t="inlineStr">
        <is>
          <t>Full survey answers not in the files received · How We Grow export needed · HR</t>
        </is>
      </c>
      <c r="FN314" s="56" t="inlineStr">
        <is>
          <t>—</t>
        </is>
      </c>
      <c r="FO314" s="56" t="inlineStr">
        <is>
          <t>—</t>
        </is>
      </c>
      <c r="FP314" s="56" t="inlineStr">
        <is>
          <t>—</t>
        </is>
      </c>
      <c r="FQ314" s="56" t="inlineStr">
        <is>
          <t>—</t>
        </is>
      </c>
      <c r="FR314" s="56"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escalate and need urgent fixing → matches the start
Leadership: Evidence reads like A3: Training new joiners is a listed responsibility → moved up 0.5
Business Impact: No survey or manager-mapping signal on criticality: kept at the start point.</t>
        </is>
      </c>
      <c r="FS31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4" s="56" t="inlineStr">
        <is>
          <t>Self-identified: Project / programme management · Technical depth &amp; architecture
For the next role: Project / programme management · Technical depth &amp; architecture</t>
        </is>
      </c>
      <c r="FU314" s="32" t="inlineStr">
        <is>
          <t>Full survey answers not in the files received · How We Grow export needed · HR</t>
        </is>
      </c>
    </row>
    <row r="315" ht="90" customHeight="1">
      <c r="A315" s="51" t="inlineStr">
        <is>
          <t>◂ Back</t>
        </is>
      </c>
      <c r="B315" s="29" t="inlineStr">
        <is>
          <t>Mapped</t>
        </is>
      </c>
      <c r="C315" s="28" t="inlineStr">
        <is>
          <t>iFile</t>
        </is>
      </c>
      <c r="D315" s="29" t="inlineStr">
        <is>
          <t>IRIS2442</t>
        </is>
      </c>
      <c r="E315" s="29" t="inlineStr">
        <is>
          <t>Rushikesh Shrikhande</t>
        </is>
      </c>
      <c r="F315" s="29" t="inlineStr">
        <is>
          <t>Technology</t>
        </is>
      </c>
      <c r="G315" s="29" t="inlineStr">
        <is>
          <t>Trainee Software Engineer</t>
        </is>
      </c>
      <c r="H315" s="29" t="inlineStr">
        <is>
          <t>Trainee Software Engineer</t>
        </is>
      </c>
      <c r="I315" s="29" t="inlineStr">
        <is>
          <t>L2 – Trainee</t>
        </is>
      </c>
      <c r="J315" s="29" t="inlineStr">
        <is>
          <t>A1</t>
        </is>
      </c>
      <c r="K315" s="29" t="inlineStr">
        <is>
          <t>• Same level</t>
        </is>
      </c>
      <c r="L315" s="29" t="inlineStr">
        <is>
          <t>Engineering &amp; Development</t>
        </is>
      </c>
      <c r="M315" s="29" t="inlineStr">
        <is>
          <t>Backend Development</t>
        </is>
      </c>
      <c r="N315" s="29" t="n"/>
      <c r="O315" s="29" t="n">
        <v>20</v>
      </c>
      <c r="P315" s="28" t="inlineStr">
        <is>
          <t>Entry / P1 · intern</t>
        </is>
      </c>
      <c r="Q315" s="29" t="inlineStr">
        <is>
          <t>Entry</t>
        </is>
      </c>
      <c r="R315" s="29" t="inlineStr">
        <is>
          <t>1 Follow</t>
        </is>
      </c>
      <c r="S315" s="29" t="inlineStr">
        <is>
          <t>0 yrs · fresher / intern</t>
        </is>
      </c>
      <c r="T315" s="29" t="inlineStr">
        <is>
          <t>—</t>
        </is>
      </c>
      <c r="U315" s="29" t="inlineStr">
        <is>
          <t>Associate Software Engineer</t>
        </is>
      </c>
      <c r="V315" s="29" t="inlineStr">
        <is>
          <t>—</t>
        </is>
      </c>
      <c r="W315" s="29" t="inlineStr">
        <is>
          <t>SFIA 9 · software development, programming; OWASP secure coding; cloud vendor certifications</t>
        </is>
      </c>
      <c r="X315" s="29" t="inlineStr">
        <is>
          <t>Core 1 · Future 1 · Functional 1 · Leadership not scored</t>
        </is>
      </c>
      <c r="Y315" s="52" t="n">
        <v>409</v>
      </c>
      <c r="Z315" s="53" t="inlineStr">
        <is>
          <t>IRIS2442</t>
        </is>
      </c>
      <c r="AA315" s="53" t="inlineStr">
        <is>
          <t>Employee</t>
        </is>
      </c>
      <c r="AB315" s="53" t="inlineStr">
        <is>
          <t>Active</t>
        </is>
      </c>
      <c r="AC315" s="53" t="inlineStr">
        <is>
          <t>Rushikesh Shrikhande</t>
        </is>
      </c>
      <c r="AD315" s="54" t="n">
        <v>45964</v>
      </c>
      <c r="AE315" s="53" t="inlineStr">
        <is>
          <t>Trainee Software Engineer</t>
        </is>
      </c>
      <c r="AF315" s="53" t="inlineStr">
        <is>
          <t>B.E</t>
        </is>
      </c>
      <c r="AG315" s="53" t="inlineStr">
        <is>
          <t>Amruta Kadam</t>
        </is>
      </c>
      <c r="AH315" s="53" t="inlineStr">
        <is>
          <t>N-6</t>
        </is>
      </c>
      <c r="AI315" s="53" t="inlineStr">
        <is>
          <t>Individual Contributor</t>
        </is>
      </c>
      <c r="AJ315" s="53" t="inlineStr">
        <is>
          <t>0 years, 0 months, 0 days</t>
        </is>
      </c>
      <c r="AK315" s="53" t="inlineStr">
        <is>
          <t>0 years, 9 months, 22 days</t>
        </is>
      </c>
      <c r="AL315" s="53" t="inlineStr">
        <is>
          <t>Suptech</t>
        </is>
      </c>
      <c r="AM315" s="53" t="inlineStr">
        <is>
          <t>iFile</t>
        </is>
      </c>
      <c r="AN315" s="53" t="inlineStr">
        <is>
          <t>Technology</t>
        </is>
      </c>
      <c r="AO315" s="53" t="inlineStr">
        <is>
          <t>Development</t>
        </is>
      </c>
      <c r="AP315" s="53" t="inlineStr">
        <is>
          <t>Yes</t>
        </is>
      </c>
      <c r="AQ315" s="53" t="inlineStr">
        <is>
          <t>Product/Project</t>
        </is>
      </c>
      <c r="AR315" s="53" t="inlineStr">
        <is>
          <t>Java</t>
        </is>
      </c>
      <c r="AS315" s="53" t="inlineStr">
        <is>
          <t>Technical - Developer</t>
        </is>
      </c>
      <c r="AT315" s="53" t="n">
        <v>20</v>
      </c>
      <c r="AU315" s="53" t="inlineStr">
        <is>
          <t>Covered</t>
        </is>
      </c>
      <c r="AV315" s="53" t="n"/>
      <c r="AW315" s="53" t="n"/>
      <c r="AX315" s="53" t="n"/>
      <c r="AY315" s="53" t="n"/>
      <c r="AZ315" s="53" t="n"/>
      <c r="BA315" s="53" t="n"/>
      <c r="BB315" s="53" t="n"/>
      <c r="BC315" s="53" t="n"/>
      <c r="BD315" s="53" t="n"/>
      <c r="BE315" s="53" t="n"/>
      <c r="BF315" s="53" t="n"/>
      <c r="BG315" s="53" t="n"/>
      <c r="BH315" s="53" t="n"/>
      <c r="BI315" s="53" t="n"/>
      <c r="BJ315" s="53" t="n"/>
      <c r="BK315" s="53" t="n"/>
      <c r="BL315" s="53" t="n"/>
      <c r="BM315" s="53" t="n"/>
      <c r="BN315" s="53" t="n"/>
      <c r="BO315" s="53" t="n"/>
      <c r="BP315" s="53" t="n"/>
      <c r="BQ315" s="53" t="n"/>
      <c r="BR315" s="53" t="n"/>
      <c r="BS315" s="53" t="n"/>
      <c r="BT315" s="53" t="n"/>
      <c r="BU315" s="53" t="n"/>
      <c r="BV315" s="53" t="n"/>
      <c r="BW315" s="53" t="n"/>
      <c r="BX315" s="53" t="n"/>
      <c r="BY315" s="53" t="n"/>
      <c r="BZ315" s="53" t="n"/>
      <c r="CA315" s="53" t="n"/>
      <c r="CB315" s="53" t="n"/>
      <c r="CC315" s="53" t="n"/>
      <c r="CD315" s="53" t="n"/>
      <c r="CE315" s="53" t="n"/>
      <c r="CF315" s="53" t="n"/>
      <c r="CG315" s="53" t="n"/>
      <c r="CH315" s="53" t="n"/>
      <c r="CI315" s="53" t="n"/>
      <c r="CJ315" s="53" t="n"/>
      <c r="CK315" s="53" t="n"/>
      <c r="CL315" s="53" t="n"/>
      <c r="CM315" s="53" t="n"/>
      <c r="CN315" s="53" t="n"/>
      <c r="CO315" s="53" t="n"/>
      <c r="CP315" s="53" t="n"/>
      <c r="CQ315" s="53" t="n"/>
      <c r="CR315" s="53" t="n"/>
      <c r="CS315" s="53" t="n"/>
      <c r="CT315" s="53" t="n"/>
      <c r="CU315" s="53" t="n"/>
      <c r="CV315" s="53" t="n"/>
      <c r="CW315" s="53" t="n"/>
      <c r="CX315" s="53" t="n"/>
      <c r="CY315" s="53" t="n"/>
      <c r="CZ315" s="53" t="n"/>
      <c r="DA315" s="53" t="n"/>
      <c r="DB315" s="53" t="n"/>
      <c r="DC315" s="53" t="n"/>
      <c r="DD315" s="53" t="inlineStr">
        <is>
          <t>IRIS2442</t>
        </is>
      </c>
      <c r="DE315" s="53" t="inlineStr">
        <is>
          <t>Employee</t>
        </is>
      </c>
      <c r="DF315" s="53" t="inlineStr">
        <is>
          <t>Active</t>
        </is>
      </c>
      <c r="DG315" s="53" t="inlineStr">
        <is>
          <t>Rushikesh Shrikhande</t>
        </is>
      </c>
      <c r="DH315" s="54" t="n">
        <v>45964</v>
      </c>
      <c r="DI315" s="53" t="inlineStr">
        <is>
          <t>Trainee Software Engineer</t>
        </is>
      </c>
      <c r="DJ315" s="53" t="inlineStr">
        <is>
          <t>Engineering &amp; Development</t>
        </is>
      </c>
      <c r="DK315" s="53" t="inlineStr">
        <is>
          <t>Backend Engineering · Java</t>
        </is>
      </c>
      <c r="DL315" s="53" t="inlineStr">
        <is>
          <t>Trainee Software Engineer</t>
        </is>
      </c>
      <c r="DM315" s="53" t="inlineStr">
        <is>
          <t>L2 – Trainee</t>
        </is>
      </c>
      <c r="DN315" s="53" t="inlineStr">
        <is>
          <t>B.E</t>
        </is>
      </c>
      <c r="DO315" s="53" t="inlineStr">
        <is>
          <t>Amruta Kadam</t>
        </is>
      </c>
      <c r="DP315" s="53" t="inlineStr">
        <is>
          <t>N-5</t>
        </is>
      </c>
      <c r="DQ315" s="53" t="inlineStr">
        <is>
          <t>Individual Contributor</t>
        </is>
      </c>
      <c r="DR315" s="53" t="inlineStr">
        <is>
          <t>0 years, 0 months, 0 days</t>
        </is>
      </c>
      <c r="DS315" s="53" t="inlineStr">
        <is>
          <t>0 years, 7 months, 17 days</t>
        </is>
      </c>
      <c r="DT315" s="53" t="inlineStr">
        <is>
          <t>0 years, 7 months, 17 days</t>
        </is>
      </c>
      <c r="DU315" s="53" t="n"/>
      <c r="DV315" s="53" t="inlineStr">
        <is>
          <t>Suptech</t>
        </is>
      </c>
      <c r="DW315" s="53" t="inlineStr">
        <is>
          <t>iFile</t>
        </is>
      </c>
      <c r="DX315" s="53" t="inlineStr">
        <is>
          <t>Technology</t>
        </is>
      </c>
      <c r="DY315" s="53" t="inlineStr">
        <is>
          <t>Development</t>
        </is>
      </c>
      <c r="DZ315" s="53" t="inlineStr">
        <is>
          <t>Yes</t>
        </is>
      </c>
      <c r="EA315" s="53" t="inlineStr">
        <is>
          <t>Product/Project</t>
        </is>
      </c>
      <c r="EB315" s="53" t="inlineStr">
        <is>
          <t>Java</t>
        </is>
      </c>
      <c r="EC315" s="53" t="inlineStr">
        <is>
          <t>Technical - Developer</t>
        </is>
      </c>
      <c r="ED315" s="53" t="inlineStr">
        <is>
          <t>Client Side</t>
        </is>
      </c>
      <c r="EE315" s="53" t="n"/>
      <c r="EF31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EH315" s="53" t="n">
        <v>3</v>
      </c>
      <c r="EI315" s="53" t="n"/>
      <c r="EJ315" s="53" t="inlineStr">
        <is>
          <t>Trainee Software Engineer</t>
        </is>
      </c>
      <c r="EK315" s="53" t="n"/>
      <c r="EL315" s="53" t="n">
        <v>3</v>
      </c>
      <c r="EM315" s="53" t="inlineStr">
        <is>
          <t>Low</t>
        </is>
      </c>
      <c r="EN315" s="53" t="inlineStr">
        <is>
          <t>Core Contributor</t>
        </is>
      </c>
      <c r="EO315" s="53" t="inlineStr">
        <is>
          <t>No</t>
        </is>
      </c>
      <c r="EP315" s="53" t="inlineStr">
        <is>
          <t>No</t>
        </is>
      </c>
      <c r="EQ315" s="53" t="inlineStr">
        <is>
          <t>No</t>
        </is>
      </c>
      <c r="ER315" s="53" t="n"/>
      <c r="ES315" s="53" t="inlineStr">
        <is>
          <t>Advanced Java; secure coding &amp; code-quality practices; unit/automated testing; system design fundamentals</t>
        </is>
      </c>
      <c r="ET315" s="53" t="inlineStr">
        <is>
          <t>Transition to leadership: people management &amp; delegation, mentoring/coaching, project ownership &amp; stakeholder management, prioritisation under ambiguity, presentation &amp; influence skills</t>
        </is>
      </c>
      <c r="EU315" s="53" t="n"/>
      <c r="EV315" s="53" t="n"/>
      <c r="EW315" s="52" t="n"/>
      <c r="EX315" s="53" t="n"/>
      <c r="EY315" s="53" t="n"/>
      <c r="EZ315" s="53" t="n"/>
      <c r="FA315" s="53" t="n"/>
      <c r="FB315" s="53" t="n"/>
      <c r="FC315" s="53" t="n"/>
      <c r="FD315" s="53" t="n"/>
      <c r="FE31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FG315" s="56" t="n"/>
      <c r="FH315" s="56" t="inlineStr">
        <is>
          <t>3</t>
        </is>
      </c>
      <c r="FI315" s="56" t="n"/>
      <c r="FJ315" s="56" t="inlineStr">
        <is>
          <t>Received · manager annual, quarterly</t>
        </is>
      </c>
      <c r="FK315" s="56" t="inlineStr">
        <is>
          <t>Talent Mapping · iFile collated</t>
        </is>
      </c>
      <c r="FL315" s="56" t="n">
        <v>20</v>
      </c>
      <c r="FM315" s="32" t="inlineStr">
        <is>
          <t>Full survey answers not in the files received · How We Grow export needed · HR</t>
        </is>
      </c>
      <c r="FN315" s="56" t="inlineStr">
        <is>
          <t>—</t>
        </is>
      </c>
      <c r="FO315" s="56" t="inlineStr">
        <is>
          <t>—</t>
        </is>
      </c>
      <c r="FP315" s="56" t="inlineStr">
        <is>
          <t>—</t>
        </is>
      </c>
      <c r="FQ315" s="56" t="inlineStr">
        <is>
          <t>—</t>
        </is>
      </c>
      <c r="FR315" s="56" t="n"/>
      <c r="FS315"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315" s="56" t="inlineStr">
        <is>
          <t>Self-identified: Leadership &amp; people management · Technical depth &amp; architecture · Data, SQL &amp; analytics · Domain, regulatory &amp; XBRL · Broader exposure &amp; ownership
For the next role: Leadership &amp; people management · Technical depth &amp; architecture · Data, SQL &amp; analytics · Domain, regulatory &amp; XBRL · Client, sales &amp; stakeholders · Broader exposure &amp; ownership</t>
        </is>
      </c>
      <c r="FU315" s="32" t="inlineStr">
        <is>
          <t>Full survey answers not in the files received · How We Grow export needed · HR</t>
        </is>
      </c>
    </row>
    <row r="316" ht="90" customHeight="1">
      <c r="A316" s="51" t="inlineStr">
        <is>
          <t>◂ Back</t>
        </is>
      </c>
      <c r="B316" s="29" t="inlineStr">
        <is>
          <t>Mapped</t>
        </is>
      </c>
      <c r="C316" s="28" t="inlineStr">
        <is>
          <t>iFile</t>
        </is>
      </c>
      <c r="D316" s="29" t="inlineStr">
        <is>
          <t>IRIS1647</t>
        </is>
      </c>
      <c r="E316" s="29" t="inlineStr">
        <is>
          <t>Bhavana Thakare</t>
        </is>
      </c>
      <c r="F316" s="29" t="inlineStr">
        <is>
          <t>Technology</t>
        </is>
      </c>
      <c r="G316" s="29" t="inlineStr">
        <is>
          <t>Tech Lead</t>
        </is>
      </c>
      <c r="H316" s="29" t="inlineStr">
        <is>
          <t>Senior Technical Specialist – POD Lead</t>
        </is>
      </c>
      <c r="I316" s="29" t="inlineStr">
        <is>
          <t>L5 – Lead · IC</t>
        </is>
      </c>
      <c r="J316" s="29" t="inlineStr">
        <is>
          <t>B1</t>
        </is>
      </c>
      <c r="K316" s="29" t="inlineStr">
        <is>
          <t>▼ Down · protected</t>
        </is>
      </c>
      <c r="L316" s="29" t="inlineStr">
        <is>
          <t>Engineering &amp; Development</t>
        </is>
      </c>
      <c r="M316" s="29" t="inlineStr">
        <is>
          <t>Backend Development</t>
        </is>
      </c>
      <c r="N316" s="29" t="n"/>
      <c r="O316" s="29" t="n">
        <v>19</v>
      </c>
      <c r="P316" s="28" t="inlineStr">
        <is>
          <t>P3 / M2</t>
        </is>
      </c>
      <c r="Q316" s="29" t="inlineStr">
        <is>
          <t>Career / · Team Lead</t>
        </is>
      </c>
      <c r="R316" s="29" t="inlineStr">
        <is>
          <t>4 Enable</t>
        </is>
      </c>
      <c r="S316" s="29" t="inlineStr">
        <is>
          <t>4–7 yrs</t>
        </is>
      </c>
      <c r="T316" s="29" t="inlineStr">
        <is>
          <t>5–8 · 4–8</t>
        </is>
      </c>
      <c r="U316" s="29" t="inlineStr">
        <is>
          <t>Lead / Staff Engineer</t>
        </is>
      </c>
      <c r="V316" s="29" t="inlineStr">
        <is>
          <t>Workiva: SE / Senior SE · Broadridge India: Senior SE · Nasdaq / AxiomSL: Senior SE · Salesforce: MTS · Atlassian: P40 · Freshworks: Senior SE</t>
        </is>
      </c>
      <c r="W316" s="29" t="inlineStr">
        <is>
          <t>SFIA 9 · software development, programming; OWASP secure coding; cloud vendor certifications</t>
        </is>
      </c>
      <c r="X316" s="29" t="inlineStr">
        <is>
          <t>Core 3 · Future 3 · Functional 3 · Leadership 2</t>
        </is>
      </c>
      <c r="Y316" s="52" t="n">
        <v>135</v>
      </c>
      <c r="Z316" s="53" t="inlineStr">
        <is>
          <t>IRIS1647</t>
        </is>
      </c>
      <c r="AA316" s="53" t="inlineStr">
        <is>
          <t>Employee</t>
        </is>
      </c>
      <c r="AB316" s="53" t="inlineStr">
        <is>
          <t>Active</t>
        </is>
      </c>
      <c r="AC316" s="53" t="inlineStr">
        <is>
          <t>Bhavana Thakare</t>
        </is>
      </c>
      <c r="AD316" s="54" t="n">
        <v>42895</v>
      </c>
      <c r="AE316" s="53" t="inlineStr">
        <is>
          <t>Tech Lead</t>
        </is>
      </c>
      <c r="AF316" s="53" t="inlineStr">
        <is>
          <t>MSc</t>
        </is>
      </c>
      <c r="AG316" s="53" t="inlineStr">
        <is>
          <t>Yunus Patel</t>
        </is>
      </c>
      <c r="AH316" s="53" t="inlineStr">
        <is>
          <t>N-5</t>
        </is>
      </c>
      <c r="AI316" s="53" t="inlineStr">
        <is>
          <t>Manager</t>
        </is>
      </c>
      <c r="AJ316" s="53" t="inlineStr">
        <is>
          <t>4 years, 0 months, 0 days</t>
        </is>
      </c>
      <c r="AK316" s="53" t="inlineStr">
        <is>
          <t>9 years, 2 months, 16 days</t>
        </is>
      </c>
      <c r="AL316" s="53" t="inlineStr">
        <is>
          <t>Suptech</t>
        </is>
      </c>
      <c r="AM316" s="53" t="inlineStr">
        <is>
          <t>iFile</t>
        </is>
      </c>
      <c r="AN316" s="53" t="inlineStr">
        <is>
          <t>Technology</t>
        </is>
      </c>
      <c r="AO316" s="53" t="inlineStr">
        <is>
          <t>Development</t>
        </is>
      </c>
      <c r="AP316" s="53" t="inlineStr">
        <is>
          <t>Yes</t>
        </is>
      </c>
      <c r="AQ316" s="53" t="inlineStr">
        <is>
          <t>Product/Project</t>
        </is>
      </c>
      <c r="AR316" s="53" t="inlineStr">
        <is>
          <t>Java</t>
        </is>
      </c>
      <c r="AS316" s="53" t="inlineStr">
        <is>
          <t>Technical - Developer</t>
        </is>
      </c>
      <c r="AT316" s="53" t="n">
        <v>20</v>
      </c>
      <c r="AU316" s="53" t="inlineStr">
        <is>
          <t>Covered</t>
        </is>
      </c>
      <c r="AV316" s="53" t="n"/>
      <c r="AW316" s="53" t="n"/>
      <c r="AX316" s="53" t="n"/>
      <c r="AY316" s="53" t="n"/>
      <c r="AZ316" s="53" t="n"/>
      <c r="BA316" s="53" t="n"/>
      <c r="BB316" s="53" t="n"/>
      <c r="BC316" s="53" t="n"/>
      <c r="BD316" s="53" t="n"/>
      <c r="BE316" s="53" t="n"/>
      <c r="BF316" s="53" t="n"/>
      <c r="BG316" s="53" t="n"/>
      <c r="BH316" s="53" t="n"/>
      <c r="BI316" s="53" t="n"/>
      <c r="BJ316" s="53" t="n"/>
      <c r="BK316" s="53" t="n"/>
      <c r="BL316" s="53" t="n"/>
      <c r="BM316" s="53" t="n"/>
      <c r="BN316" s="53" t="n"/>
      <c r="BO316" s="53" t="n"/>
      <c r="BP316" s="53" t="n"/>
      <c r="BQ316" s="53" t="n"/>
      <c r="BR316" s="53" t="n"/>
      <c r="BS316" s="53" t="n"/>
      <c r="BT316" s="53" t="n"/>
      <c r="BU316" s="53" t="n"/>
      <c r="BV316" s="53" t="n"/>
      <c r="BW316" s="53" t="n"/>
      <c r="BX316" s="53" t="n"/>
      <c r="BY316" s="53" t="n"/>
      <c r="BZ316" s="53" t="n"/>
      <c r="CA316" s="53" t="n"/>
      <c r="CB316" s="53" t="n"/>
      <c r="CC316" s="53" t="n"/>
      <c r="CD316" s="53" t="n"/>
      <c r="CE316" s="53" t="n"/>
      <c r="CF316" s="53" t="n"/>
      <c r="CG316" s="53" t="n"/>
      <c r="CH316" s="53" t="n"/>
      <c r="CI316" s="53" t="n"/>
      <c r="CJ316" s="53" t="n"/>
      <c r="CK316" s="53" t="n"/>
      <c r="CL316" s="53" t="n"/>
      <c r="CM316" s="53" t="n"/>
      <c r="CN316" s="53" t="n"/>
      <c r="CO316" s="53" t="n"/>
      <c r="CP316" s="53" t="n"/>
      <c r="CQ316" s="53" t="n"/>
      <c r="CR316" s="53" t="n"/>
      <c r="CS316" s="53" t="n"/>
      <c r="CT316" s="53" t="n"/>
      <c r="CU316" s="53" t="n"/>
      <c r="CV316" s="53" t="n"/>
      <c r="CW316" s="53" t="n"/>
      <c r="CX316" s="53" t="n"/>
      <c r="CY316" s="53" t="n"/>
      <c r="CZ316" s="53" t="n"/>
      <c r="DA316" s="53" t="n"/>
      <c r="DB316" s="53" t="n"/>
      <c r="DC316" s="53" t="n"/>
      <c r="DD316" s="53" t="inlineStr">
        <is>
          <t>IRIS1647</t>
        </is>
      </c>
      <c r="DE316" s="53" t="inlineStr">
        <is>
          <t>Employee</t>
        </is>
      </c>
      <c r="DF316" s="53" t="inlineStr">
        <is>
          <t>Active</t>
        </is>
      </c>
      <c r="DG316" s="53" t="inlineStr">
        <is>
          <t>Bhavana Thakare</t>
        </is>
      </c>
      <c r="DH316" s="54" t="n">
        <v>42895</v>
      </c>
      <c r="DI316" s="53" t="inlineStr">
        <is>
          <t>Tech Lead</t>
        </is>
      </c>
      <c r="DJ316" s="53" t="inlineStr">
        <is>
          <t>Engineering &amp; Development</t>
        </is>
      </c>
      <c r="DK316" s="53" t="inlineStr">
        <is>
          <t>Backend Engineering · Java</t>
        </is>
      </c>
      <c r="DL316" s="53" t="inlineStr">
        <is>
          <t>Tech Lead</t>
        </is>
      </c>
      <c r="DM316" s="53" t="inlineStr">
        <is>
          <t>L5 – Lead · IC</t>
        </is>
      </c>
      <c r="DN316" s="53" t="inlineStr">
        <is>
          <t>MSc</t>
        </is>
      </c>
      <c r="DO316" s="53" t="inlineStr">
        <is>
          <t>Yunus Patel</t>
        </is>
      </c>
      <c r="DP316" s="53" t="inlineStr">
        <is>
          <t>N-4</t>
        </is>
      </c>
      <c r="DQ316" s="53" t="inlineStr">
        <is>
          <t>Manager</t>
        </is>
      </c>
      <c r="DR316" s="53" t="inlineStr">
        <is>
          <t>4 years, 0 months, 0 days</t>
        </is>
      </c>
      <c r="DS316" s="53" t="inlineStr">
        <is>
          <t>9 years, 0 months, 11 days</t>
        </is>
      </c>
      <c r="DT316" s="53" t="inlineStr">
        <is>
          <t>13 years, 0 months, 11 days</t>
        </is>
      </c>
      <c r="DU316" s="53" t="n">
        <v>9.03013698630137</v>
      </c>
      <c r="DV316" s="53" t="inlineStr">
        <is>
          <t>Suptech</t>
        </is>
      </c>
      <c r="DW316" s="53" t="inlineStr">
        <is>
          <t>iFile</t>
        </is>
      </c>
      <c r="DX316" s="53" t="inlineStr">
        <is>
          <t>Technology</t>
        </is>
      </c>
      <c r="DY316" s="53" t="inlineStr">
        <is>
          <t>Development</t>
        </is>
      </c>
      <c r="DZ316" s="53" t="inlineStr">
        <is>
          <t>Yes</t>
        </is>
      </c>
      <c r="EA316" s="53" t="inlineStr">
        <is>
          <t>Product/Project</t>
        </is>
      </c>
      <c r="EB316" s="53" t="inlineStr">
        <is>
          <t>Java</t>
        </is>
      </c>
      <c r="EC316" s="53" t="inlineStr">
        <is>
          <t>Technical - Developer</t>
        </is>
      </c>
      <c r="ED316" s="53" t="inlineStr">
        <is>
          <t>Remote - Mumbai</t>
        </is>
      </c>
      <c r="EE316" s="53" t="n"/>
      <c r="EF316"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16"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EH316" s="53" t="n">
        <v>4</v>
      </c>
      <c r="EI316" s="53" t="n"/>
      <c r="EJ316" s="53" t="inlineStr">
        <is>
          <t>Tech Lead</t>
        </is>
      </c>
      <c r="EK316" s="53" t="n"/>
      <c r="EL316" s="53" t="n">
        <v>4</v>
      </c>
      <c r="EM316" s="53" t="inlineStr">
        <is>
          <t>Medium</t>
        </is>
      </c>
      <c r="EN316" s="53" t="inlineStr">
        <is>
          <t>High Impact / Growth Talent</t>
        </is>
      </c>
      <c r="EO316" s="53" t="inlineStr">
        <is>
          <t>No</t>
        </is>
      </c>
      <c r="EP316" s="53" t="inlineStr">
        <is>
          <t>No</t>
        </is>
      </c>
      <c r="EQ316" s="53" t="inlineStr">
        <is>
          <t>No</t>
        </is>
      </c>
      <c r="ER316" s="53" t="n"/>
      <c r="ES316" s="53" t="inlineStr">
        <is>
          <t>Advanced Java; secure coding &amp; code-quality practices; unit/automated testing; system design fundamentals | People management: goal-setting &amp; feedback, 1:1 coaching, performance conversations</t>
        </is>
      </c>
      <c r="ET316" s="53" t="inlineStr">
        <is>
          <t>Leadership development: strategic thinking, cross-functional influence, financial/business acumen, succession &amp; talent development, change management, executive communication</t>
        </is>
      </c>
      <c r="EU316" s="53" t="n"/>
      <c r="EV316" s="53" t="n"/>
      <c r="EW316" s="52" t="n"/>
      <c r="EX316" s="53" t="n"/>
      <c r="EY316" s="53" t="n"/>
      <c r="EZ316" s="53" t="n"/>
      <c r="FA316" s="53" t="n"/>
      <c r="FB316" s="53" t="n"/>
      <c r="FC316" s="53" t="n"/>
      <c r="FD316" s="53" t="n"/>
      <c r="FE316"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16"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FG316" s="56" t="n"/>
      <c r="FH316" s="56" t="inlineStr">
        <is>
          <t>4</t>
        </is>
      </c>
      <c r="FI316" s="56" t="n"/>
      <c r="FJ316" s="56" t="inlineStr">
        <is>
          <t>Received · manager annual, quarterly</t>
        </is>
      </c>
      <c r="FK316" s="56" t="inlineStr">
        <is>
          <t>Talent Mapping · iFile collated</t>
        </is>
      </c>
      <c r="FL316" s="56" t="n">
        <v>19</v>
      </c>
      <c r="FM316" s="32" t="inlineStr">
        <is>
          <t>Full survey answers not in the files received · How We Grow export needed · HR</t>
        </is>
      </c>
      <c r="FN316" s="56" t="inlineStr">
        <is>
          <t>—</t>
        </is>
      </c>
      <c r="FO316" s="56" t="inlineStr">
        <is>
          <t>—</t>
        </is>
      </c>
      <c r="FP316" s="56" t="inlineStr">
        <is>
          <t>—</t>
        </is>
      </c>
      <c r="FQ316" s="56" t="inlineStr">
        <is>
          <t>—</t>
        </is>
      </c>
      <c r="FR316" s="56"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survey / KRA answers · summarised by the rater; not quoted → moved down 0.5
Leadership: Evidence reads like A3: Survey describes no leadership; manager note says she controls her team; two reports → moved down 0.5
Business Impact: No survey or manager-mapping signal on criticality: kept at the start point.</t>
        </is>
      </c>
      <c r="FS31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316" s="56" t="inlineStr">
        <is>
          <t>Self-identified: Leadership &amp; people management · Technical depth &amp; architecture
For the next role: Leadership &amp; people management · Technical depth &amp; architecture</t>
        </is>
      </c>
      <c r="FU316" s="32" t="inlineStr">
        <is>
          <t>Full survey answers not in the files received · How We Grow export needed · HR</t>
        </is>
      </c>
    </row>
    <row r="317" ht="90" customHeight="1">
      <c r="A317" s="51" t="inlineStr">
        <is>
          <t>◂ Back</t>
        </is>
      </c>
      <c r="B317" s="29" t="inlineStr">
        <is>
          <t>Mapped</t>
        </is>
      </c>
      <c r="C317" s="28" t="inlineStr">
        <is>
          <t>iFile</t>
        </is>
      </c>
      <c r="D317" s="29" t="inlineStr">
        <is>
          <t>IRIS2004</t>
        </is>
      </c>
      <c r="E317" s="29" t="inlineStr">
        <is>
          <t>Swati Patil</t>
        </is>
      </c>
      <c r="F317" s="29" t="inlineStr">
        <is>
          <t>Technology</t>
        </is>
      </c>
      <c r="G317" s="29" t="inlineStr">
        <is>
          <t>Software Engineer</t>
        </is>
      </c>
      <c r="H317" s="29" t="inlineStr">
        <is>
          <t>Senior Software Engineer</t>
        </is>
      </c>
      <c r="I317" s="29" t="inlineStr">
        <is>
          <t>L3 – Professional / Associate</t>
        </is>
      </c>
      <c r="J317" s="29" t="inlineStr">
        <is>
          <t>A3</t>
        </is>
      </c>
      <c r="K317" s="29" t="inlineStr">
        <is>
          <t>▲ Up</t>
        </is>
      </c>
      <c r="L317" s="29" t="inlineStr">
        <is>
          <t>Engineering &amp; Development</t>
        </is>
      </c>
      <c r="M317" s="29" t="inlineStr">
        <is>
          <t>Full-Stack Development</t>
        </is>
      </c>
      <c r="N317" s="29" t="n"/>
      <c r="O317" s="29" t="n">
        <v>20</v>
      </c>
      <c r="P317" s="28" t="inlineStr">
        <is>
          <t>P2</t>
        </is>
      </c>
      <c r="Q317" s="29" t="inlineStr">
        <is>
          <t>Developing</t>
        </is>
      </c>
      <c r="R317" s="29" t="inlineStr">
        <is>
          <t>3 Apply</t>
        </is>
      </c>
      <c r="S317" s="29" t="inlineStr">
        <is>
          <t>2–4 yrs</t>
        </is>
      </c>
      <c r="T317" s="29" t="inlineStr">
        <is>
          <t>3–5 · 2–5</t>
        </is>
      </c>
      <c r="U317" s="29" t="inlineStr">
        <is>
          <t>Software Engineer</t>
        </is>
      </c>
      <c r="V317" s="29" t="inlineStr">
        <is>
          <t>Workiva: SE · Broadridge India: SE · Nasdaq / AxiomSL: SE · Salesforce: MTS · Atlassian: P40 · 3–7 yrs · Freshworks: Senior SE</t>
        </is>
      </c>
      <c r="W317" s="29" t="inlineStr">
        <is>
          <t>SFIA 9 · software development, programming; OWASP secure coding; cloud vendor certifications</t>
        </is>
      </c>
      <c r="X317" s="29" t="inlineStr">
        <is>
          <t>Core 2 · Future 2 · Functional 3 · Leadership not scored</t>
        </is>
      </c>
      <c r="Y317" s="52" t="n">
        <v>214</v>
      </c>
      <c r="Z317" s="53" t="inlineStr">
        <is>
          <t>IRIS2004</t>
        </is>
      </c>
      <c r="AA317" s="53" t="inlineStr">
        <is>
          <t>Employee</t>
        </is>
      </c>
      <c r="AB317" s="53" t="inlineStr">
        <is>
          <t>Active</t>
        </is>
      </c>
      <c r="AC317" s="53" t="inlineStr">
        <is>
          <t>Swati Patil</t>
        </is>
      </c>
      <c r="AD317" s="54" t="n">
        <v>44641</v>
      </c>
      <c r="AE317" s="53" t="inlineStr">
        <is>
          <t>Software Engineer</t>
        </is>
      </c>
      <c r="AF317" s="53" t="inlineStr">
        <is>
          <t>B.E</t>
        </is>
      </c>
      <c r="AG317" s="53" t="inlineStr">
        <is>
          <t>Bhavana Thakare</t>
        </is>
      </c>
      <c r="AH317" s="53" t="inlineStr">
        <is>
          <t>N-6</t>
        </is>
      </c>
      <c r="AI317" s="53" t="inlineStr">
        <is>
          <t>Individual Contributor</t>
        </is>
      </c>
      <c r="AJ317" s="53" t="inlineStr">
        <is>
          <t>0 years, 0 months, 0 days</t>
        </is>
      </c>
      <c r="AK317" s="53" t="inlineStr">
        <is>
          <t>4 years, 5 months, 4 days</t>
        </is>
      </c>
      <c r="AL317" s="53" t="inlineStr">
        <is>
          <t>Suptech</t>
        </is>
      </c>
      <c r="AM317" s="53" t="inlineStr">
        <is>
          <t>iFile</t>
        </is>
      </c>
      <c r="AN317" s="53" t="inlineStr">
        <is>
          <t>Technology</t>
        </is>
      </c>
      <c r="AO317" s="53" t="inlineStr">
        <is>
          <t>Development</t>
        </is>
      </c>
      <c r="AP317" s="53" t="inlineStr">
        <is>
          <t>Yes</t>
        </is>
      </c>
      <c r="AQ317" s="53" t="inlineStr">
        <is>
          <t>Product/Project</t>
        </is>
      </c>
      <c r="AR317" s="53" t="inlineStr">
        <is>
          <t>Java</t>
        </is>
      </c>
      <c r="AS317" s="53" t="inlineStr">
        <is>
          <t>Technical - Developer</t>
        </is>
      </c>
      <c r="AT317" s="53" t="n">
        <v>20</v>
      </c>
      <c r="AU317" s="53" t="inlineStr">
        <is>
          <t>Covered</t>
        </is>
      </c>
      <c r="AV317" s="53" t="n"/>
      <c r="AW317" s="53" t="n"/>
      <c r="AX317" s="53" t="n"/>
      <c r="AY317" s="53" t="n"/>
      <c r="AZ317" s="53" t="n"/>
      <c r="BA317" s="53" t="n"/>
      <c r="BB317" s="53" t="n"/>
      <c r="BC317" s="53" t="n"/>
      <c r="BD317" s="53" t="n"/>
      <c r="BE317" s="53" t="n"/>
      <c r="BF317" s="53" t="n"/>
      <c r="BG317" s="53" t="n"/>
      <c r="BH317" s="53" t="n"/>
      <c r="BI317" s="53" t="n"/>
      <c r="BJ317" s="53" t="n"/>
      <c r="BK317" s="53" t="n"/>
      <c r="BL317" s="53" t="n"/>
      <c r="BM317" s="53" t="n"/>
      <c r="BN317" s="53" t="n"/>
      <c r="BO317" s="53" t="n"/>
      <c r="BP317" s="53" t="n"/>
      <c r="BQ317" s="53" t="n"/>
      <c r="BR317" s="53" t="n"/>
      <c r="BS317" s="53" t="n"/>
      <c r="BT317" s="53" t="n"/>
      <c r="BU317" s="53" t="n"/>
      <c r="BV317" s="53" t="n"/>
      <c r="BW317" s="53" t="n"/>
      <c r="BX317" s="53" t="n"/>
      <c r="BY317" s="53" t="n"/>
      <c r="BZ317" s="53" t="n"/>
      <c r="CA317" s="53" t="n"/>
      <c r="CB317" s="53" t="n"/>
      <c r="CC317" s="53" t="n"/>
      <c r="CD317" s="53" t="n"/>
      <c r="CE317" s="53" t="n"/>
      <c r="CF317" s="53" t="n"/>
      <c r="CG317" s="53" t="n"/>
      <c r="CH317" s="53" t="n"/>
      <c r="CI317" s="53" t="n"/>
      <c r="CJ317" s="53" t="n"/>
      <c r="CK317" s="53" t="n"/>
      <c r="CL317" s="53" t="n"/>
      <c r="CM317" s="53" t="n"/>
      <c r="CN317" s="53" t="n"/>
      <c r="CO317" s="53" t="n"/>
      <c r="CP317" s="53" t="n"/>
      <c r="CQ317" s="53" t="n"/>
      <c r="CR317" s="53" t="n"/>
      <c r="CS317" s="53" t="n"/>
      <c r="CT317" s="53" t="n"/>
      <c r="CU317" s="53" t="n"/>
      <c r="CV317" s="53" t="n"/>
      <c r="CW317" s="53" t="n"/>
      <c r="CX317" s="53" t="n"/>
      <c r="CY317" s="53" t="n"/>
      <c r="CZ317" s="53" t="n"/>
      <c r="DA317" s="53" t="n"/>
      <c r="DB317" s="53" t="n"/>
      <c r="DC317" s="53" t="n"/>
      <c r="DD317" s="53" t="inlineStr">
        <is>
          <t>IRIS2004</t>
        </is>
      </c>
      <c r="DE317" s="53" t="inlineStr">
        <is>
          <t>Employee</t>
        </is>
      </c>
      <c r="DF317" s="53" t="inlineStr">
        <is>
          <t>Active</t>
        </is>
      </c>
      <c r="DG317" s="53" t="inlineStr">
        <is>
          <t>Swati Patil</t>
        </is>
      </c>
      <c r="DH317" s="54" t="n">
        <v>44641</v>
      </c>
      <c r="DI317" s="53" t="inlineStr">
        <is>
          <t>Software Engineer</t>
        </is>
      </c>
      <c r="DJ317" s="53" t="inlineStr">
        <is>
          <t>Engineering &amp; Development</t>
        </is>
      </c>
      <c r="DK317" s="53" t="inlineStr">
        <is>
          <t>Backend Engineering · Java</t>
        </is>
      </c>
      <c r="DL317" s="53" t="inlineStr">
        <is>
          <t>Software Engineer</t>
        </is>
      </c>
      <c r="DM317" s="53" t="inlineStr">
        <is>
          <t>L3 – Professional / Associate</t>
        </is>
      </c>
      <c r="DN317" s="53" t="inlineStr">
        <is>
          <t>B.E</t>
        </is>
      </c>
      <c r="DO317" s="53" t="inlineStr">
        <is>
          <t>Bhavana Thakare</t>
        </is>
      </c>
      <c r="DP317" s="53" t="inlineStr">
        <is>
          <t>N-5</t>
        </is>
      </c>
      <c r="DQ317" s="53" t="inlineStr">
        <is>
          <t>Individual Contributor</t>
        </is>
      </c>
      <c r="DR317" s="53" t="inlineStr">
        <is>
          <t>0 years, 0 months, 0 days</t>
        </is>
      </c>
      <c r="DS317" s="53" t="inlineStr">
        <is>
          <t>4 years, 2 months, 30 days</t>
        </is>
      </c>
      <c r="DT317" s="53" t="inlineStr">
        <is>
          <t>4 years, 2 months, 30 days</t>
        </is>
      </c>
      <c r="DU317" s="53" t="n"/>
      <c r="DV317" s="53" t="inlineStr">
        <is>
          <t>Suptech</t>
        </is>
      </c>
      <c r="DW317" s="53" t="inlineStr">
        <is>
          <t>iFile</t>
        </is>
      </c>
      <c r="DX317" s="53" t="inlineStr">
        <is>
          <t>Technology</t>
        </is>
      </c>
      <c r="DY317" s="53" t="inlineStr">
        <is>
          <t>Development</t>
        </is>
      </c>
      <c r="DZ317" s="53" t="inlineStr">
        <is>
          <t>Yes</t>
        </is>
      </c>
      <c r="EA317" s="53" t="inlineStr">
        <is>
          <t>Product/Project</t>
        </is>
      </c>
      <c r="EB317" s="53" t="inlineStr">
        <is>
          <t>Java</t>
        </is>
      </c>
      <c r="EC317" s="53" t="inlineStr">
        <is>
          <t>Technical - Developer</t>
        </is>
      </c>
      <c r="ED317" s="53" t="inlineStr">
        <is>
          <t>Remote - Mumbai</t>
        </is>
      </c>
      <c r="EE317" s="53" t="n"/>
      <c r="EF31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EH317" s="53" t="n">
        <v>3</v>
      </c>
      <c r="EI317" s="53" t="n"/>
      <c r="EJ317" s="53" t="inlineStr">
        <is>
          <t>Software Engineer</t>
        </is>
      </c>
      <c r="EK317" s="53" t="n"/>
      <c r="EL317" s="53" t="n">
        <v>3</v>
      </c>
      <c r="EM317" s="53" t="inlineStr">
        <is>
          <t>Low</t>
        </is>
      </c>
      <c r="EN317" s="53" t="inlineStr">
        <is>
          <t>Reliable Specialist</t>
        </is>
      </c>
      <c r="EO317" s="53" t="inlineStr">
        <is>
          <t>No</t>
        </is>
      </c>
      <c r="EP317" s="53" t="inlineStr">
        <is>
          <t>No</t>
        </is>
      </c>
      <c r="EQ317" s="53" t="inlineStr">
        <is>
          <t>No</t>
        </is>
      </c>
      <c r="ER317" s="53" t="n"/>
      <c r="ES317" s="53" t="inlineStr">
        <is>
          <t>Advanced Java; secure coding &amp; code-quality practices; unit/automated testing; system design fundamentals</t>
        </is>
      </c>
      <c r="ET317" s="53" t="inlineStr">
        <is>
          <t>Transition to leadership: people management &amp; delegation, mentoring/coaching, project ownership &amp; stakeholder management, prioritisation under ambiguity, presentation &amp; influence skills</t>
        </is>
      </c>
      <c r="EU317" s="53" t="n"/>
      <c r="EV317" s="53" t="n"/>
      <c r="EW317" s="52" t="n"/>
      <c r="EX317" s="53" t="n"/>
      <c r="EY317" s="53" t="n"/>
      <c r="EZ317" s="53" t="n"/>
      <c r="FA317" s="53" t="n"/>
      <c r="FB317" s="53" t="n"/>
      <c r="FC317" s="53" t="n"/>
      <c r="FD317" s="53" t="n"/>
      <c r="FE31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FG317" s="56" t="n"/>
      <c r="FH317" s="56" t="inlineStr">
        <is>
          <t>3</t>
        </is>
      </c>
      <c r="FI317" s="56" t="n"/>
      <c r="FJ317" s="56" t="inlineStr">
        <is>
          <t>Received · manager annual, quarterly</t>
        </is>
      </c>
      <c r="FK317" s="56" t="inlineStr">
        <is>
          <t>Talent Mapping · iFile collated</t>
        </is>
      </c>
      <c r="FL317" s="56" t="n">
        <v>20</v>
      </c>
      <c r="FM317" s="32" t="inlineStr">
        <is>
          <t>Full survey answers not in the files received · How We Grow export needed · HR</t>
        </is>
      </c>
      <c r="FN317" s="56" t="inlineStr">
        <is>
          <t>—</t>
        </is>
      </c>
      <c r="FO317" s="56" t="inlineStr">
        <is>
          <t>—</t>
        </is>
      </c>
      <c r="FP317" s="56" t="inlineStr">
        <is>
          <t>—</t>
        </is>
      </c>
      <c r="FQ317" s="56" t="inlineStr">
        <is>
          <t>—</t>
        </is>
      </c>
      <c r="FR317" s="56"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matches the start
Leadership: Evidence reads like A1: No guiding or leading described → matches the start
Business Impact: No survey or manager-mapping signal on criticality: kept at the start point.</t>
        </is>
      </c>
      <c r="FS317"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17" s="56" t="inlineStr">
        <is>
          <t>Self-identified: Answered · no common topic
For the next role: Answered · no common topic</t>
        </is>
      </c>
      <c r="FU317" s="32" t="inlineStr">
        <is>
          <t>Full survey answers not in the files received · How We Grow export needed · HR</t>
        </is>
      </c>
    </row>
    <row r="318" ht="90" customHeight="1">
      <c r="A318" s="51" t="inlineStr">
        <is>
          <t>◂ Back</t>
        </is>
      </c>
      <c r="B318" s="29" t="inlineStr">
        <is>
          <t>Mapped</t>
        </is>
      </c>
      <c r="C318" s="28" t="inlineStr">
        <is>
          <t>iFile</t>
        </is>
      </c>
      <c r="D318" s="29" t="inlineStr">
        <is>
          <t>IRIS2017</t>
        </is>
      </c>
      <c r="E318" s="29" t="inlineStr">
        <is>
          <t>Jerigan Gracias</t>
        </is>
      </c>
      <c r="F318" s="29" t="inlineStr">
        <is>
          <t>Technology</t>
        </is>
      </c>
      <c r="G318" s="29" t="inlineStr">
        <is>
          <t>Project Lead</t>
        </is>
      </c>
      <c r="H318" s="29" t="inlineStr">
        <is>
          <t>Associate Project Manager – POD Lead</t>
        </is>
      </c>
      <c r="I318" s="29" t="inlineStr">
        <is>
          <t>L5 – Lead · IC</t>
        </is>
      </c>
      <c r="J318" s="29" t="inlineStr">
        <is>
          <t>B1</t>
        </is>
      </c>
      <c r="K318" s="29" t="inlineStr">
        <is>
          <t>▼ Down · protected</t>
        </is>
      </c>
      <c r="L318" s="29" t="inlineStr">
        <is>
          <t>Project &amp; Program Management</t>
        </is>
      </c>
      <c r="M318" s="29" t="inlineStr">
        <is>
          <t>Project &amp; Program Delivery</t>
        </is>
      </c>
      <c r="N318" s="29" t="n"/>
      <c r="O318" s="29" t="n">
        <v>20</v>
      </c>
      <c r="P318" s="28" t="inlineStr">
        <is>
          <t>P3 / M2</t>
        </is>
      </c>
      <c r="Q318" s="29" t="inlineStr">
        <is>
          <t>Career / · Team Lead</t>
        </is>
      </c>
      <c r="R318" s="29" t="inlineStr">
        <is>
          <t>4 Enable</t>
        </is>
      </c>
      <c r="S318" s="29" t="inlineStr">
        <is>
          <t>4–7 yrs</t>
        </is>
      </c>
      <c r="T318" s="29" t="inlineStr">
        <is>
          <t>5–8 · 4–8</t>
        </is>
      </c>
      <c r="U318" s="29" t="inlineStr">
        <is>
          <t>Project Manager</t>
        </is>
      </c>
      <c r="V318" s="29" t="inlineStr">
        <is>
          <t>IRIS Vs Competitor Benchmark — PMI pathway + SaaS delivery ladder: Project Manager · PMP</t>
        </is>
      </c>
      <c r="W318" s="29" t="inlineStr">
        <is>
          <t>PMI PMBOK and Talent Triangle; CAPM · entry → PMP → PgMP; Scrum / SAFe</t>
        </is>
      </c>
      <c r="X318" s="29" t="inlineStr">
        <is>
          <t>Core 3 · Future 3 · Functional 3 · Leadership 2</t>
        </is>
      </c>
      <c r="Y318" s="52" t="n">
        <v>217</v>
      </c>
      <c r="Z318" s="53" t="inlineStr">
        <is>
          <t>IRIS2017</t>
        </is>
      </c>
      <c r="AA318" s="53" t="inlineStr">
        <is>
          <t>Employee</t>
        </is>
      </c>
      <c r="AB318" s="53" t="inlineStr">
        <is>
          <t>Active</t>
        </is>
      </c>
      <c r="AC318" s="53" t="inlineStr">
        <is>
          <t>Jerigan Gracias</t>
        </is>
      </c>
      <c r="AD318" s="54" t="n">
        <v>44698</v>
      </c>
      <c r="AE318" s="53" t="inlineStr">
        <is>
          <t>Project Lead</t>
        </is>
      </c>
      <c r="AF318" s="53" t="inlineStr">
        <is>
          <t>B.SC</t>
        </is>
      </c>
      <c r="AG318" s="53" t="inlineStr">
        <is>
          <t>Yunus Patel</t>
        </is>
      </c>
      <c r="AH318" s="53" t="inlineStr">
        <is>
          <t>N-5</t>
        </is>
      </c>
      <c r="AI318" s="53" t="inlineStr">
        <is>
          <t>Manager</t>
        </is>
      </c>
      <c r="AJ318" s="53" t="inlineStr">
        <is>
          <t>0 years, 0 months, 0 days</t>
        </is>
      </c>
      <c r="AK318" s="53" t="inlineStr">
        <is>
          <t>4 years, 3 months, 8 days</t>
        </is>
      </c>
      <c r="AL318" s="53" t="inlineStr">
        <is>
          <t>Suptech</t>
        </is>
      </c>
      <c r="AM318" s="53" t="inlineStr">
        <is>
          <t>iFile</t>
        </is>
      </c>
      <c r="AN318" s="53" t="inlineStr">
        <is>
          <t>Technology</t>
        </is>
      </c>
      <c r="AO318" s="53" t="inlineStr">
        <is>
          <t>Project Management</t>
        </is>
      </c>
      <c r="AP318" s="53" t="inlineStr">
        <is>
          <t>No</t>
        </is>
      </c>
      <c r="AQ318" s="53" t="inlineStr">
        <is>
          <t>Product/Project</t>
        </is>
      </c>
      <c r="AR318" s="53" t="inlineStr">
        <is>
          <t>Project Management</t>
        </is>
      </c>
      <c r="AS318" s="53" t="inlineStr">
        <is>
          <t>Technical · BA, PM and QA</t>
        </is>
      </c>
      <c r="AT318" s="53" t="n">
        <v>20</v>
      </c>
      <c r="AU318" s="53" t="inlineStr">
        <is>
          <t>Covered</t>
        </is>
      </c>
      <c r="AV318" s="53" t="n"/>
      <c r="AW318" s="53" t="n"/>
      <c r="AX318" s="53" t="n"/>
      <c r="AY318" s="53" t="n"/>
      <c r="AZ318" s="53" t="n"/>
      <c r="BA318" s="53" t="n"/>
      <c r="BB318" s="53" t="n"/>
      <c r="BC318" s="53" t="n"/>
      <c r="BD318" s="53" t="n"/>
      <c r="BE318" s="53" t="n"/>
      <c r="BF318" s="53" t="n"/>
      <c r="BG318" s="53" t="n"/>
      <c r="BH318" s="53" t="n"/>
      <c r="BI318" s="53" t="n"/>
      <c r="BJ318" s="53" t="n"/>
      <c r="BK318" s="53" t="n"/>
      <c r="BL318" s="53" t="n"/>
      <c r="BM318" s="53" t="n"/>
      <c r="BN318" s="53" t="n"/>
      <c r="BO318" s="53" t="n"/>
      <c r="BP318" s="53" t="n"/>
      <c r="BQ318" s="53" t="n"/>
      <c r="BR318" s="53" t="n"/>
      <c r="BS318" s="53" t="n"/>
      <c r="BT318" s="53" t="n"/>
      <c r="BU318" s="53" t="n"/>
      <c r="BV318" s="53" t="n"/>
      <c r="BW318" s="53" t="n"/>
      <c r="BX318" s="53" t="n"/>
      <c r="BY318" s="53" t="n"/>
      <c r="BZ318" s="53" t="n"/>
      <c r="CA318" s="53" t="n"/>
      <c r="CB318" s="53" t="n"/>
      <c r="CC318" s="53" t="n"/>
      <c r="CD318" s="53" t="n"/>
      <c r="CE318" s="53" t="n"/>
      <c r="CF318" s="53" t="n"/>
      <c r="CG318" s="53" t="n"/>
      <c r="CH318" s="53" t="n"/>
      <c r="CI318" s="53" t="n"/>
      <c r="CJ318" s="53" t="n"/>
      <c r="CK318" s="53" t="n"/>
      <c r="CL318" s="53" t="n"/>
      <c r="CM318" s="53" t="n"/>
      <c r="CN318" s="53" t="n"/>
      <c r="CO318" s="53" t="n"/>
      <c r="CP318" s="53" t="n"/>
      <c r="CQ318" s="53" t="n"/>
      <c r="CR318" s="53" t="n"/>
      <c r="CS318" s="53" t="n"/>
      <c r="CT318" s="53" t="n"/>
      <c r="CU318" s="53" t="n"/>
      <c r="CV318" s="53" t="n"/>
      <c r="CW318" s="53" t="n"/>
      <c r="CX318" s="53" t="n"/>
      <c r="CY318" s="53" t="n"/>
      <c r="CZ318" s="53" t="n"/>
      <c r="DA318" s="53" t="n"/>
      <c r="DB318" s="53" t="n"/>
      <c r="DC318" s="53" t="n"/>
      <c r="DD318" s="53" t="inlineStr">
        <is>
          <t>IRIS2017</t>
        </is>
      </c>
      <c r="DE318" s="53" t="inlineStr">
        <is>
          <t>Employee</t>
        </is>
      </c>
      <c r="DF318" s="53" t="inlineStr">
        <is>
          <t>Active</t>
        </is>
      </c>
      <c r="DG318" s="53" t="inlineStr">
        <is>
          <t>Jerigan Gracias</t>
        </is>
      </c>
      <c r="DH318" s="54" t="n">
        <v>44698</v>
      </c>
      <c r="DI318" s="53" t="inlineStr">
        <is>
          <t>Project Lead</t>
        </is>
      </c>
      <c r="DJ318" s="53" t="inlineStr">
        <is>
          <t>Project &amp; Program Management</t>
        </is>
      </c>
      <c r="DK318" s="53" t="inlineStr">
        <is>
          <t>Project Management</t>
        </is>
      </c>
      <c r="DL318" s="53" t="inlineStr">
        <is>
          <t>Project Lead</t>
        </is>
      </c>
      <c r="DM318" s="53" t="inlineStr">
        <is>
          <t>L5 – Lead · IC</t>
        </is>
      </c>
      <c r="DN318" s="53" t="inlineStr">
        <is>
          <t>B.SC</t>
        </is>
      </c>
      <c r="DO318" s="53" t="inlineStr">
        <is>
          <t>Yunus Patel</t>
        </is>
      </c>
      <c r="DP318" s="53" t="inlineStr">
        <is>
          <t>N-4</t>
        </is>
      </c>
      <c r="DQ318" s="53" t="inlineStr">
        <is>
          <t>Manager</t>
        </is>
      </c>
      <c r="DR318" s="53" t="inlineStr">
        <is>
          <t>0 years, 0 months, 0 days</t>
        </is>
      </c>
      <c r="DS318" s="53" t="inlineStr">
        <is>
          <t>4 years, 1 months, 3 days</t>
        </is>
      </c>
      <c r="DT318" s="53" t="inlineStr">
        <is>
          <t>4 years, 1 months, 3 days</t>
        </is>
      </c>
      <c r="DU318" s="53" t="n">
        <v>4.09155251141553</v>
      </c>
      <c r="DV318" s="53" t="inlineStr">
        <is>
          <t>Suptech</t>
        </is>
      </c>
      <c r="DW318" s="53" t="inlineStr">
        <is>
          <t>iFile</t>
        </is>
      </c>
      <c r="DX318" s="53" t="inlineStr">
        <is>
          <t>Technology</t>
        </is>
      </c>
      <c r="DY318" s="53" t="inlineStr">
        <is>
          <t>Project Management</t>
        </is>
      </c>
      <c r="DZ318" s="53" t="inlineStr">
        <is>
          <t>No</t>
        </is>
      </c>
      <c r="EA318" s="53" t="inlineStr">
        <is>
          <t>Product/Project</t>
        </is>
      </c>
      <c r="EB318" s="53" t="inlineStr">
        <is>
          <t>Project Management</t>
        </is>
      </c>
      <c r="EC318" s="53" t="inlineStr">
        <is>
          <t>Technical · BA, PM and QA</t>
        </is>
      </c>
      <c r="ED318" s="53" t="inlineStr">
        <is>
          <t>Client Side</t>
        </is>
      </c>
      <c r="EE318" s="53" t="n"/>
      <c r="EF318"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18" s="5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EH318" s="53" t="n">
        <v>4</v>
      </c>
      <c r="EI318" s="53" t="n"/>
      <c r="EJ318" s="53" t="inlineStr">
        <is>
          <t>Project Lead</t>
        </is>
      </c>
      <c r="EK318" s="53" t="n"/>
      <c r="EL318" s="53" t="n">
        <v>4</v>
      </c>
      <c r="EM318" s="53" t="inlineStr">
        <is>
          <t>Medium</t>
        </is>
      </c>
      <c r="EN318" s="53" t="inlineStr">
        <is>
          <t>Trusted Professional</t>
        </is>
      </c>
      <c r="EO318" s="53" t="inlineStr">
        <is>
          <t>No</t>
        </is>
      </c>
      <c r="EP318" s="53" t="inlineStr">
        <is>
          <t>No</t>
        </is>
      </c>
      <c r="EQ318" s="53" t="inlineStr">
        <is>
          <t>No</t>
        </is>
      </c>
      <c r="ER318" s="53" t="n"/>
      <c r="ES318" s="53" t="inlineStr">
        <is>
          <t>Agile/Scrum &amp; PMP fundamentals; risk &amp; stakeholder management; estimation; reporting/governance tools | People management: goal-setting &amp; feedback, 1:1 coaching, performance conversations</t>
        </is>
      </c>
      <c r="ET318" s="53" t="inlineStr">
        <is>
          <t>Leadership development: strategic thinking, cross-functional influence, financial/business acumen, succession &amp; talent development, change management, executive communication</t>
        </is>
      </c>
      <c r="EU318" s="53" t="n"/>
      <c r="EV318" s="53" t="n"/>
      <c r="EW318" s="52" t="n"/>
      <c r="EX318" s="53" t="n"/>
      <c r="EY318" s="53" t="n"/>
      <c r="EZ318" s="53" t="n"/>
      <c r="FA318" s="53" t="n"/>
      <c r="FB318" s="53" t="n"/>
      <c r="FC318" s="53" t="inlineStr">
        <is>
          <t>Annual KRAs · objective Measurable Minimum 5 - set by Manager</t>
        </is>
      </c>
      <c r="FD318" s="53" t="n"/>
      <c r="FE318"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18" s="56"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FG318" s="56" t="n"/>
      <c r="FH318" s="56" t="inlineStr">
        <is>
          <t>4</t>
        </is>
      </c>
      <c r="FI318" s="56" t="n"/>
      <c r="FJ318" s="56" t="inlineStr">
        <is>
          <t>Received · manager annual, quarterly</t>
        </is>
      </c>
      <c r="FK318" s="56" t="inlineStr">
        <is>
          <t>Talent Mapping · iFile collated</t>
        </is>
      </c>
      <c r="FL318" s="56" t="n">
        <v>20</v>
      </c>
      <c r="FM318" s="32" t="inlineStr">
        <is>
          <t>Full survey answers not in the files received · How We Grow export needed · HR</t>
        </is>
      </c>
      <c r="FN318" s="56" t="inlineStr">
        <is>
          <t>—</t>
        </is>
      </c>
      <c r="FO318" s="56" t="inlineStr">
        <is>
          <t>—</t>
        </is>
      </c>
      <c r="FP318" s="56" t="inlineStr">
        <is>
          <t>—</t>
        </is>
      </c>
      <c r="FQ318" s="56" t="inlineStr">
        <is>
          <t>—</t>
        </is>
      </c>
      <c r="FR31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18"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18" s="56" t="inlineStr">
        <is>
          <t>Self-identified: Leadership &amp; people management · Project / programme management · Technical depth &amp; architecture · Strategy &amp; business acumen
For the next role: Leadership &amp; people management · Project / programme management · Technical depth &amp; architecture · Strategy &amp; business acumen</t>
        </is>
      </c>
      <c r="FU318" s="32" t="inlineStr">
        <is>
          <t>Full survey answers not in the files received · How We Grow export needed · HR</t>
        </is>
      </c>
    </row>
    <row r="319" ht="90" customHeight="1">
      <c r="A319" s="51" t="inlineStr">
        <is>
          <t>◂ Back</t>
        </is>
      </c>
      <c r="B319" s="29" t="inlineStr">
        <is>
          <t>Mapped</t>
        </is>
      </c>
      <c r="C319" s="28" t="inlineStr">
        <is>
          <t>iFile</t>
        </is>
      </c>
      <c r="D319" s="29" t="inlineStr">
        <is>
          <t>IRIS2453</t>
        </is>
      </c>
      <c r="E319" s="29" t="inlineStr">
        <is>
          <t>Mahesh Dhokale</t>
        </is>
      </c>
      <c r="F319" s="29" t="inlineStr">
        <is>
          <t>Quality Assurance</t>
        </is>
      </c>
      <c r="G319" s="29" t="inlineStr">
        <is>
          <t>Trainee QA Engineer</t>
        </is>
      </c>
      <c r="H319" s="29" t="inlineStr">
        <is>
          <t>Trainee QA Automation Engineer</t>
        </is>
      </c>
      <c r="I319" s="29" t="inlineStr">
        <is>
          <t>L2 – Trainee</t>
        </is>
      </c>
      <c r="J319" s="29" t="inlineStr">
        <is>
          <t>A1</t>
        </is>
      </c>
      <c r="K319" s="29" t="inlineStr">
        <is>
          <t>• Same level</t>
        </is>
      </c>
      <c r="L319" s="29" t="inlineStr">
        <is>
          <t>Quality Assurance</t>
        </is>
      </c>
      <c r="M319" s="29" t="inlineStr">
        <is>
          <t>Test Automation</t>
        </is>
      </c>
      <c r="N319" s="29" t="n"/>
      <c r="O319" s="29" t="n">
        <v>20</v>
      </c>
      <c r="P319" s="28" t="inlineStr">
        <is>
          <t>Entry / P1 · intern</t>
        </is>
      </c>
      <c r="Q319" s="29" t="inlineStr">
        <is>
          <t>Entry</t>
        </is>
      </c>
      <c r="R319" s="29" t="inlineStr">
        <is>
          <t>1 Follow</t>
        </is>
      </c>
      <c r="S319" s="29" t="inlineStr">
        <is>
          <t>0 yrs · fresher / intern</t>
        </is>
      </c>
      <c r="T319" s="29" t="inlineStr">
        <is>
          <t>—</t>
        </is>
      </c>
      <c r="U319" s="29" t="inlineStr">
        <is>
          <t>Associate QA Engineer</t>
        </is>
      </c>
      <c r="V319" s="29" t="inlineStr">
        <is>
          <t>—</t>
        </is>
      </c>
      <c r="W319" s="29" t="inlineStr">
        <is>
          <t>ISTQB Foundation → Advanced → Expert; SFIA testing</t>
        </is>
      </c>
      <c r="X319" s="29" t="inlineStr">
        <is>
          <t>Core 1 · Future 1 · Functional 1 · Leadership not scored</t>
        </is>
      </c>
      <c r="Y319" s="52" t="n">
        <v>419</v>
      </c>
      <c r="Z319" s="53" t="inlineStr">
        <is>
          <t>IRIS2453</t>
        </is>
      </c>
      <c r="AA319" s="53" t="inlineStr">
        <is>
          <t>Employee</t>
        </is>
      </c>
      <c r="AB319" s="53" t="inlineStr">
        <is>
          <t>Active</t>
        </is>
      </c>
      <c r="AC319" s="53" t="inlineStr">
        <is>
          <t>Mahesh Dhokale</t>
        </is>
      </c>
      <c r="AD319" s="54" t="n">
        <v>45995</v>
      </c>
      <c r="AE319" s="53" t="inlineStr">
        <is>
          <t>Trainee QA Engineer</t>
        </is>
      </c>
      <c r="AF319" s="53" t="inlineStr">
        <is>
          <t>MCA</t>
        </is>
      </c>
      <c r="AG319" s="53" t="inlineStr">
        <is>
          <t>Jerigan Gracias</t>
        </is>
      </c>
      <c r="AH319" s="53" t="inlineStr">
        <is>
          <t>N-6</t>
        </is>
      </c>
      <c r="AI319" s="53" t="inlineStr">
        <is>
          <t>Individual Contributor</t>
        </is>
      </c>
      <c r="AJ319" s="53" t="inlineStr">
        <is>
          <t>0 years, 0 months, 0 days</t>
        </is>
      </c>
      <c r="AK319" s="53" t="inlineStr">
        <is>
          <t>0 years, 8 months, 21 days</t>
        </is>
      </c>
      <c r="AL319" s="53" t="inlineStr">
        <is>
          <t>Suptech</t>
        </is>
      </c>
      <c r="AM319" s="53" t="inlineStr">
        <is>
          <t>iFile</t>
        </is>
      </c>
      <c r="AN319" s="53" t="inlineStr">
        <is>
          <t>Quality Assurance</t>
        </is>
      </c>
      <c r="AO319" s="53" t="inlineStr">
        <is>
          <t>Quality Assurance</t>
        </is>
      </c>
      <c r="AP319" s="53" t="inlineStr">
        <is>
          <t>No</t>
        </is>
      </c>
      <c r="AQ319" s="53" t="inlineStr">
        <is>
          <t>Product/Project</t>
        </is>
      </c>
      <c r="AR319" s="53" t="inlineStr">
        <is>
          <t>Software Testing</t>
        </is>
      </c>
      <c r="AS319" s="53" t="inlineStr">
        <is>
          <t>Technical · BA, PM and QA</t>
        </is>
      </c>
      <c r="AT319" s="53" t="n">
        <v>20</v>
      </c>
      <c r="AU319" s="53" t="inlineStr">
        <is>
          <t>Covered</t>
        </is>
      </c>
      <c r="AV319" s="53" t="n"/>
      <c r="AW319" s="53" t="n"/>
      <c r="AX319" s="53" t="n"/>
      <c r="AY319" s="53" t="n"/>
      <c r="AZ319" s="53" t="n"/>
      <c r="BA319" s="53" t="n"/>
      <c r="BB319" s="53" t="n"/>
      <c r="BC319" s="53" t="n"/>
      <c r="BD319" s="53" t="n"/>
      <c r="BE319" s="53" t="n"/>
      <c r="BF319" s="53" t="n"/>
      <c r="BG319" s="53" t="n"/>
      <c r="BH319" s="53" t="n"/>
      <c r="BI319" s="53" t="n"/>
      <c r="BJ319" s="53" t="n"/>
      <c r="BK319" s="53" t="n"/>
      <c r="BL319" s="53" t="n"/>
      <c r="BM319" s="53" t="n"/>
      <c r="BN319" s="53" t="n"/>
      <c r="BO319" s="53" t="n"/>
      <c r="BP319" s="53" t="n"/>
      <c r="BQ319" s="53" t="n"/>
      <c r="BR319" s="53" t="n"/>
      <c r="BS319" s="53" t="n"/>
      <c r="BT319" s="53" t="n"/>
      <c r="BU319" s="53" t="n"/>
      <c r="BV319" s="53" t="n"/>
      <c r="BW319" s="53" t="n"/>
      <c r="BX319" s="53" t="n"/>
      <c r="BY319" s="53" t="n"/>
      <c r="BZ319" s="53" t="n"/>
      <c r="CA319" s="53" t="n"/>
      <c r="CB319" s="53" t="n"/>
      <c r="CC319" s="53" t="n"/>
      <c r="CD319" s="53" t="n"/>
      <c r="CE319" s="53" t="n"/>
      <c r="CF319" s="53" t="n"/>
      <c r="CG319" s="53" t="n"/>
      <c r="CH319" s="53" t="n"/>
      <c r="CI319" s="53" t="n"/>
      <c r="CJ319" s="53" t="n"/>
      <c r="CK319" s="53" t="n"/>
      <c r="CL319" s="53" t="n"/>
      <c r="CM319" s="53" t="n"/>
      <c r="CN319" s="53" t="n"/>
      <c r="CO319" s="53" t="n"/>
      <c r="CP319" s="53" t="n"/>
      <c r="CQ319" s="53" t="n"/>
      <c r="CR319" s="53" t="n"/>
      <c r="CS319" s="53" t="n"/>
      <c r="CT319" s="53" t="n"/>
      <c r="CU319" s="53" t="n"/>
      <c r="CV319" s="53" t="n"/>
      <c r="CW319" s="53" t="n"/>
      <c r="CX319" s="53" t="n"/>
      <c r="CY319" s="53" t="n"/>
      <c r="CZ319" s="53" t="n"/>
      <c r="DA319" s="53" t="n"/>
      <c r="DB319" s="53" t="n"/>
      <c r="DC319" s="53" t="n"/>
      <c r="DD319" s="53" t="inlineStr">
        <is>
          <t>IRIS2453</t>
        </is>
      </c>
      <c r="DE319" s="53" t="inlineStr">
        <is>
          <t>Employee</t>
        </is>
      </c>
      <c r="DF319" s="53" t="inlineStr">
        <is>
          <t>Active</t>
        </is>
      </c>
      <c r="DG319" s="53" t="inlineStr">
        <is>
          <t>Mahesh Dhokale</t>
        </is>
      </c>
      <c r="DH319" s="54" t="n">
        <v>45995</v>
      </c>
      <c r="DI319" s="53" t="inlineStr">
        <is>
          <t>Trainee QA Engineer</t>
        </is>
      </c>
      <c r="DJ319" s="53" t="inlineStr">
        <is>
          <t>Quality Assurance</t>
        </is>
      </c>
      <c r="DK319" s="53" t="inlineStr">
        <is>
          <t>Quality Engineering</t>
        </is>
      </c>
      <c r="DL319" s="53" t="inlineStr">
        <is>
          <t>Trainee QA Engineer</t>
        </is>
      </c>
      <c r="DM319" s="53" t="inlineStr">
        <is>
          <t>L2 – Trainee</t>
        </is>
      </c>
      <c r="DN319" s="53" t="inlineStr">
        <is>
          <t>MCA</t>
        </is>
      </c>
      <c r="DO319" s="53" t="inlineStr">
        <is>
          <t>Jerigan Gracias</t>
        </is>
      </c>
      <c r="DP319" s="53" t="inlineStr">
        <is>
          <t>N-5</t>
        </is>
      </c>
      <c r="DQ319" s="53" t="inlineStr">
        <is>
          <t>Individual Contributor</t>
        </is>
      </c>
      <c r="DR319" s="53" t="inlineStr">
        <is>
          <t>0 years, 0 months, 0 days</t>
        </is>
      </c>
      <c r="DS319" s="53" t="inlineStr">
        <is>
          <t>0 years, 6 months, 16 days</t>
        </is>
      </c>
      <c r="DT319" s="53" t="inlineStr">
        <is>
          <t>0 years, 6 months, 16 days</t>
        </is>
      </c>
      <c r="DU319" s="53" t="n"/>
      <c r="DV319" s="53" t="inlineStr">
        <is>
          <t>Suptech</t>
        </is>
      </c>
      <c r="DW319" s="53" t="inlineStr">
        <is>
          <t>iFile</t>
        </is>
      </c>
      <c r="DX319" s="53" t="inlineStr">
        <is>
          <t>Quality Assurance</t>
        </is>
      </c>
      <c r="DY319" s="53" t="inlineStr">
        <is>
          <t>Quality Assurance</t>
        </is>
      </c>
      <c r="DZ319" s="53" t="inlineStr">
        <is>
          <t>No</t>
        </is>
      </c>
      <c r="EA319" s="53" t="inlineStr">
        <is>
          <t>Product/Project</t>
        </is>
      </c>
      <c r="EB319" s="53" t="inlineStr">
        <is>
          <t>Software Testing</t>
        </is>
      </c>
      <c r="EC319" s="53" t="inlineStr">
        <is>
          <t>Technical · BA, PM and QA</t>
        </is>
      </c>
      <c r="ED319" s="53" t="inlineStr">
        <is>
          <t>Client Side</t>
        </is>
      </c>
      <c r="EE319" s="53" t="n"/>
      <c r="EF319" s="53"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G319" s="5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EH319" s="53" t="n">
        <v>3</v>
      </c>
      <c r="EI319" s="53" t="n"/>
      <c r="EJ319" s="53" t="inlineStr">
        <is>
          <t>Trainee QA Engineer</t>
        </is>
      </c>
      <c r="EK319" s="53" t="n"/>
      <c r="EL319" s="53" t="n">
        <v>3</v>
      </c>
      <c r="EM319" s="53" t="inlineStr">
        <is>
          <t>Medium</t>
        </is>
      </c>
      <c r="EN319" s="53" t="inlineStr">
        <is>
          <t>Core Contributor</t>
        </is>
      </c>
      <c r="EO319" s="53" t="inlineStr">
        <is>
          <t>No</t>
        </is>
      </c>
      <c r="EP319" s="53" t="n"/>
      <c r="EQ319" s="53" t="inlineStr">
        <is>
          <t>No</t>
        </is>
      </c>
      <c r="ER319" s="53" t="n"/>
      <c r="ES319" s="53" t="inlineStr">
        <is>
          <t>Test automation frameworks · Selenium/Playwright; API testing; CI/CD test integration; defect analytics</t>
        </is>
      </c>
      <c r="ET319" s="53" t="inlineStr">
        <is>
          <t>Transition to leadership: people management &amp; delegation, mentoring/coaching, project ownership &amp; stakeholder management, prioritisation under ambiguity, presentation &amp; influence skills</t>
        </is>
      </c>
      <c r="EU319" s="53" t="n"/>
      <c r="EV319" s="53" t="n"/>
      <c r="EW319" s="52" t="n"/>
      <c r="EX319" s="53" t="n"/>
      <c r="EY319" s="53" t="n"/>
      <c r="EZ319" s="53" t="n"/>
      <c r="FA319" s="53" t="n"/>
      <c r="FB319" s="53" t="n"/>
      <c r="FC319" s="53" t="n"/>
      <c r="FD319" s="53" t="n"/>
      <c r="FE319" s="57"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FF319" s="56"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FG319" s="56" t="n"/>
      <c r="FH319" s="56" t="inlineStr">
        <is>
          <t>3</t>
        </is>
      </c>
      <c r="FI319" s="56" t="n"/>
      <c r="FJ319" s="56" t="inlineStr">
        <is>
          <t>Received · manager annual, quarterly</t>
        </is>
      </c>
      <c r="FK319" s="56" t="inlineStr">
        <is>
          <t>Talent Mapping · iFile collated</t>
        </is>
      </c>
      <c r="FL319" s="56" t="n">
        <v>20</v>
      </c>
      <c r="FM319" s="32" t="inlineStr">
        <is>
          <t>Full survey answers not in the files received · How We Grow export needed · HR</t>
        </is>
      </c>
      <c r="FN319" s="56" t="inlineStr">
        <is>
          <t>—</t>
        </is>
      </c>
      <c r="FO319" s="56" t="inlineStr">
        <is>
          <t>—</t>
        </is>
      </c>
      <c r="FP319" s="56" t="inlineStr">
        <is>
          <t>—</t>
        </is>
      </c>
      <c r="FQ319" s="56" t="inlineStr">
        <is>
          <t>—</t>
        </is>
      </c>
      <c r="FR319" s="56" t="n"/>
      <c r="FS319" s="56"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FT319" s="56" t="inlineStr">
        <is>
          <t>Self-identified: AI / automation · Leadership &amp; people management · Technical depth &amp; architecture · Testing &amp; quality
For the next role: AI / automation · Leadership &amp; people management · Technical depth &amp; architecture · Testing &amp; quality</t>
        </is>
      </c>
      <c r="FU319" s="32" t="inlineStr">
        <is>
          <t>Full survey answers not in the files received · How We Grow export needed · HR</t>
        </is>
      </c>
    </row>
    <row r="320" ht="90" customHeight="1">
      <c r="A320" s="51" t="inlineStr">
        <is>
          <t>◂ Back</t>
        </is>
      </c>
      <c r="B320" s="29" t="inlineStr">
        <is>
          <t>Mapped</t>
        </is>
      </c>
      <c r="C320" s="28" t="inlineStr">
        <is>
          <t>iFile</t>
        </is>
      </c>
      <c r="D320" s="29" t="inlineStr">
        <is>
          <t>IRIS1728</t>
        </is>
      </c>
      <c r="E320" s="29" t="inlineStr">
        <is>
          <t>Vijay Sakpal</t>
        </is>
      </c>
      <c r="F320" s="29" t="inlineStr">
        <is>
          <t>Support</t>
        </is>
      </c>
      <c r="G320" s="29" t="inlineStr">
        <is>
          <t>Team Lead / Asst Manager</t>
        </is>
      </c>
      <c r="H320" s="29" t="inlineStr">
        <is>
          <t>Support Specialist</t>
        </is>
      </c>
      <c r="I320" s="29" t="inlineStr">
        <is>
          <t>L5 – Lead · IC</t>
        </is>
      </c>
      <c r="J320" s="29" t="inlineStr">
        <is>
          <t>B1</t>
        </is>
      </c>
      <c r="K320" s="29" t="inlineStr">
        <is>
          <t>▼ Down · protected</t>
        </is>
      </c>
      <c r="L320" s="29" t="inlineStr">
        <is>
          <t>Customer Success &amp; Support</t>
        </is>
      </c>
      <c r="M320" s="29" t="inlineStr">
        <is>
          <t>Application &amp; Product Support</t>
        </is>
      </c>
      <c r="N320" s="29" t="n"/>
      <c r="O320" s="29" t="n">
        <v>20</v>
      </c>
      <c r="P320" s="28" t="inlineStr">
        <is>
          <t>P3 / M2</t>
        </is>
      </c>
      <c r="Q320" s="29" t="inlineStr">
        <is>
          <t>Career / · Team Lead</t>
        </is>
      </c>
      <c r="R320" s="29" t="inlineStr">
        <is>
          <t>4 Enable</t>
        </is>
      </c>
      <c r="S320" s="29" t="inlineStr">
        <is>
          <t>4–7 yrs</t>
        </is>
      </c>
      <c r="T320" s="29" t="inlineStr">
        <is>
          <t>5–8 · 4–8</t>
        </is>
      </c>
      <c r="U320" s="29" t="inlineStr">
        <is>
          <t>Senior Executive / CSM</t>
        </is>
      </c>
      <c r="V320" s="29" t="inlineStr">
        <is>
          <t>Workiva: Customer Success Manager · IRIS Vs Competitor Benchmark — SaaS customer-success ladder: CSM · IRIS Vs Competitor Benchmark — support tiers: L3 / Problem Analyst</t>
        </is>
      </c>
      <c r="W320" s="29" t="inlineStr">
        <is>
          <t>TSIA frameworks and benchmarks; ITIL 4 service desk; Gainsight customer-success practice</t>
        </is>
      </c>
      <c r="X320" s="29" t="inlineStr">
        <is>
          <t>Core 3 · Future 3 · Functional 3 · Leadership 1</t>
        </is>
      </c>
      <c r="Y320" s="52" t="n">
        <v>149</v>
      </c>
      <c r="Z320" s="53" t="inlineStr">
        <is>
          <t>IRIS1728</t>
        </is>
      </c>
      <c r="AA320" s="53" t="inlineStr">
        <is>
          <t>Employee</t>
        </is>
      </c>
      <c r="AB320" s="53" t="inlineStr">
        <is>
          <t>Active</t>
        </is>
      </c>
      <c r="AC320" s="53" t="inlineStr">
        <is>
          <t>Vijay Sakpal</t>
        </is>
      </c>
      <c r="AD320" s="54" t="n">
        <v>43290</v>
      </c>
      <c r="AE320" s="53" t="inlineStr">
        <is>
          <t>Team Lead</t>
        </is>
      </c>
      <c r="AF320" s="53" t="inlineStr">
        <is>
          <t>B.SC</t>
        </is>
      </c>
      <c r="AG320" s="53" t="inlineStr">
        <is>
          <t>Yunus Patel</t>
        </is>
      </c>
      <c r="AH320" s="53" t="inlineStr">
        <is>
          <t>N-5</t>
        </is>
      </c>
      <c r="AI320" s="53" t="inlineStr">
        <is>
          <t>Individual Contributor</t>
        </is>
      </c>
      <c r="AJ320" s="53" t="inlineStr">
        <is>
          <t>6 years, 7 months, 0 days</t>
        </is>
      </c>
      <c r="AK320" s="53" t="inlineStr">
        <is>
          <t>8 years, 1 months, 16 days</t>
        </is>
      </c>
      <c r="AL320" s="53" t="inlineStr">
        <is>
          <t>Suptech</t>
        </is>
      </c>
      <c r="AM320" s="53" t="inlineStr">
        <is>
          <t>iFile</t>
        </is>
      </c>
      <c r="AN320" s="53" t="inlineStr">
        <is>
          <t>Support</t>
        </is>
      </c>
      <c r="AO320" s="53" t="inlineStr">
        <is>
          <t>Product Support</t>
        </is>
      </c>
      <c r="AP320" s="53" t="inlineStr">
        <is>
          <t>No</t>
        </is>
      </c>
      <c r="AQ320" s="53" t="inlineStr">
        <is>
          <t>Product/Project</t>
        </is>
      </c>
      <c r="AR320" s="53" t="inlineStr">
        <is>
          <t>Tech Support</t>
        </is>
      </c>
      <c r="AS320" s="53" t="inlineStr">
        <is>
          <t>Non-technical</t>
        </is>
      </c>
      <c r="AT320" s="53" t="n">
        <v>20</v>
      </c>
      <c r="AU320" s="53" t="inlineStr">
        <is>
          <t>Covered</t>
        </is>
      </c>
      <c r="AV320" s="53" t="n"/>
      <c r="AW320" s="53" t="n"/>
      <c r="AX320" s="53" t="n"/>
      <c r="AY320" s="53" t="n"/>
      <c r="AZ320" s="53" t="n"/>
      <c r="BA320" s="53" t="n"/>
      <c r="BB320" s="53" t="n"/>
      <c r="BC320" s="53" t="n"/>
      <c r="BD320" s="53" t="n"/>
      <c r="BE320" s="53" t="n"/>
      <c r="BF320" s="53" t="n"/>
      <c r="BG320" s="53" t="n"/>
      <c r="BH320" s="53" t="n"/>
      <c r="BI320" s="53" t="n"/>
      <c r="BJ320" s="53" t="n"/>
      <c r="BK320" s="53" t="n"/>
      <c r="BL320" s="53" t="n"/>
      <c r="BM320" s="53" t="n"/>
      <c r="BN320" s="53" t="n"/>
      <c r="BO320" s="53" t="n"/>
      <c r="BP320" s="53" t="n"/>
      <c r="BQ320" s="53" t="n"/>
      <c r="BR320" s="53" t="n"/>
      <c r="BS320" s="53" t="n"/>
      <c r="BT320" s="53" t="n"/>
      <c r="BU320" s="53" t="n"/>
      <c r="BV320" s="53" t="n"/>
      <c r="BW320" s="53" t="n"/>
      <c r="BX320" s="53" t="n"/>
      <c r="BY320" s="53" t="n"/>
      <c r="BZ320" s="53" t="n"/>
      <c r="CA320" s="53" t="n"/>
      <c r="CB320" s="53" t="n"/>
      <c r="CC320" s="53" t="n"/>
      <c r="CD320" s="53" t="n"/>
      <c r="CE320" s="53" t="n"/>
      <c r="CF320" s="53" t="n"/>
      <c r="CG320" s="53" t="n"/>
      <c r="CH320" s="53" t="n"/>
      <c r="CI320" s="53" t="n"/>
      <c r="CJ320" s="53" t="n"/>
      <c r="CK320" s="53" t="n"/>
      <c r="CL320" s="53" t="n"/>
      <c r="CM320" s="53" t="n"/>
      <c r="CN320" s="53" t="n"/>
      <c r="CO320" s="53" t="n"/>
      <c r="CP320" s="53" t="n"/>
      <c r="CQ320" s="53" t="n"/>
      <c r="CR320" s="53" t="n"/>
      <c r="CS320" s="53" t="n"/>
      <c r="CT320" s="53" t="n"/>
      <c r="CU320" s="53" t="n"/>
      <c r="CV320" s="53" t="n"/>
      <c r="CW320" s="53" t="n"/>
      <c r="CX320" s="53" t="n"/>
      <c r="CY320" s="53" t="n"/>
      <c r="CZ320" s="53" t="n"/>
      <c r="DA320" s="53" t="n"/>
      <c r="DB320" s="53" t="n"/>
      <c r="DC320" s="53" t="n"/>
      <c r="DD320" s="53" t="inlineStr">
        <is>
          <t>IRIS1728</t>
        </is>
      </c>
      <c r="DE320" s="53" t="inlineStr">
        <is>
          <t>Employee</t>
        </is>
      </c>
      <c r="DF320" s="53" t="inlineStr">
        <is>
          <t>Active</t>
        </is>
      </c>
      <c r="DG320" s="53" t="inlineStr">
        <is>
          <t>Vijay Sakpal</t>
        </is>
      </c>
      <c r="DH320" s="54" t="n">
        <v>43290</v>
      </c>
      <c r="DI320" s="53" t="inlineStr">
        <is>
          <t>Team Lead</t>
        </is>
      </c>
      <c r="DJ320" s="53" t="inlineStr">
        <is>
          <t>Customer Success &amp; Support</t>
        </is>
      </c>
      <c r="DK320" s="53" t="inlineStr">
        <is>
          <t>Technical Support</t>
        </is>
      </c>
      <c r="DL320" s="53" t="inlineStr">
        <is>
          <t>Team Lead</t>
        </is>
      </c>
      <c r="DM320" s="53" t="inlineStr">
        <is>
          <t>L5 – Lead · IC</t>
        </is>
      </c>
      <c r="DN320" s="53" t="inlineStr">
        <is>
          <t>B.SC</t>
        </is>
      </c>
      <c r="DO320" s="53" t="inlineStr">
        <is>
          <t>Yunus Patel</t>
        </is>
      </c>
      <c r="DP320" s="53" t="inlineStr">
        <is>
          <t>N-4</t>
        </is>
      </c>
      <c r="DQ320" s="53" t="inlineStr">
        <is>
          <t>Individual Contributor</t>
        </is>
      </c>
      <c r="DR320" s="53" t="inlineStr">
        <is>
          <t>6 years, 7 months, 0 days</t>
        </is>
      </c>
      <c r="DS320" s="53" t="inlineStr">
        <is>
          <t>7 years, 11 months, 11 days</t>
        </is>
      </c>
      <c r="DT320" s="53" t="inlineStr">
        <is>
          <t>14 years, 6 months, 11 days</t>
        </is>
      </c>
      <c r="DU320" s="53" t="n"/>
      <c r="DV320" s="53" t="inlineStr">
        <is>
          <t>Suptech</t>
        </is>
      </c>
      <c r="DW320" s="53" t="inlineStr">
        <is>
          <t>iFile</t>
        </is>
      </c>
      <c r="DX320" s="53" t="inlineStr">
        <is>
          <t>Support</t>
        </is>
      </c>
      <c r="DY320" s="53" t="inlineStr">
        <is>
          <t>Product Support</t>
        </is>
      </c>
      <c r="DZ320" s="53" t="inlineStr">
        <is>
          <t>No</t>
        </is>
      </c>
      <c r="EA320" s="53" t="inlineStr">
        <is>
          <t>Product/Project</t>
        </is>
      </c>
      <c r="EB320" s="53" t="inlineStr">
        <is>
          <t>Tech Support</t>
        </is>
      </c>
      <c r="EC320" s="53" t="inlineStr">
        <is>
          <t>Non-technical</t>
        </is>
      </c>
      <c r="ED320" s="53" t="inlineStr">
        <is>
          <t>Client Side</t>
        </is>
      </c>
      <c r="EE320" s="53" t="n"/>
      <c r="EF320"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20" s="53"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EH320" s="53" t="n">
        <v>3</v>
      </c>
      <c r="EI320" s="53" t="inlineStr">
        <is>
          <t>Not Available</t>
        </is>
      </c>
      <c r="EJ320" s="53" t="inlineStr">
        <is>
          <t>Team Lead</t>
        </is>
      </c>
      <c r="EK320" s="53" t="n"/>
      <c r="EL320" s="53" t="n">
        <v>3</v>
      </c>
      <c r="EM320" s="53" t="inlineStr">
        <is>
          <t>Low</t>
        </is>
      </c>
      <c r="EN320" s="53" t="inlineStr">
        <is>
          <t>Reliable Specialist</t>
        </is>
      </c>
      <c r="EO320" s="53" t="inlineStr">
        <is>
          <t>No</t>
        </is>
      </c>
      <c r="EP320" s="53" t="inlineStr">
        <is>
          <t>No</t>
        </is>
      </c>
      <c r="EQ320" s="53" t="inlineStr">
        <is>
          <t>No</t>
        </is>
      </c>
      <c r="ER320" s="53" t="n"/>
      <c r="ES320" s="53" t="inlineStr">
        <is>
          <t>Customer success methods; communication &amp; de-escalation; product/domain depth; ticketing &amp; SLA tools</t>
        </is>
      </c>
      <c r="ET320" s="53" t="inlineStr">
        <is>
          <t>Transition to leadership: people management &amp; delegation, mentoring/coaching, project ownership &amp; stakeholder management, prioritisation under ambiguity, presentation &amp; influence skills</t>
        </is>
      </c>
      <c r="EU320" s="53" t="n"/>
      <c r="EV320" s="53" t="n"/>
      <c r="EW320" s="52" t="n"/>
      <c r="EX320" s="53" t="n"/>
      <c r="EY320" s="53" t="n"/>
      <c r="EZ320" s="53" t="n"/>
      <c r="FA320" s="53" t="n"/>
      <c r="FB320" s="53" t="n"/>
      <c r="FC320" s="53" t="n"/>
      <c r="FD320" s="53" t="n"/>
      <c r="FE320"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20" s="56"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FG320" s="56" t="n"/>
      <c r="FH320" s="56" t="inlineStr">
        <is>
          <t>3</t>
        </is>
      </c>
      <c r="FI320" s="56" t="n"/>
      <c r="FJ320" s="56" t="inlineStr">
        <is>
          <t>Received · manager annual, quarterly</t>
        </is>
      </c>
      <c r="FK320" s="56" t="inlineStr">
        <is>
          <t>Talent Mapping · iFile collated</t>
        </is>
      </c>
      <c r="FL320" s="56" t="n">
        <v>20</v>
      </c>
      <c r="FM320" s="32" t="inlineStr">
        <is>
          <t>Full survey answers not in the files received · How We Grow export needed · HR</t>
        </is>
      </c>
      <c r="FN320" s="56" t="inlineStr">
        <is>
          <t>—</t>
        </is>
      </c>
      <c r="FO320" s="56" t="inlineStr">
        <is>
          <t>—</t>
        </is>
      </c>
      <c r="FP320" s="56" t="inlineStr">
        <is>
          <t>—</t>
        </is>
      </c>
      <c r="FQ320" s="56" t="inlineStr">
        <is>
          <t>—</t>
        </is>
      </c>
      <c r="FR320" s="56"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report end to end; breaches bring penalty → moved down 0.5
Leadership: Evidence reads like A1: Coordinates developers but no team guidance described → moved down 1
Business Impact: No survey or manager-mapping signal on criticality: kept at the start point.</t>
        </is>
      </c>
      <c r="FS320"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320" s="56" t="inlineStr">
        <is>
          <t>Self-identified: AI / automation
For the next role: AI / automation</t>
        </is>
      </c>
      <c r="FU320" s="32" t="inlineStr">
        <is>
          <t>Full survey answers not in the files received · How We Grow export needed · HR</t>
        </is>
      </c>
    </row>
    <row r="321" ht="90" customHeight="1">
      <c r="A321" s="51" t="inlineStr">
        <is>
          <t>◂ Back</t>
        </is>
      </c>
      <c r="B321" s="29" t="inlineStr">
        <is>
          <t>Mapped</t>
        </is>
      </c>
      <c r="C321" s="28" t="inlineStr">
        <is>
          <t>iFile</t>
        </is>
      </c>
      <c r="D321" s="29" t="inlineStr">
        <is>
          <t>IRIS1919</t>
        </is>
      </c>
      <c r="E321" s="29" t="inlineStr">
        <is>
          <t>Jyoti Patil</t>
        </is>
      </c>
      <c r="F321" s="29" t="inlineStr">
        <is>
          <t>Support</t>
        </is>
      </c>
      <c r="G321" s="29" t="inlineStr">
        <is>
          <t>Tech Support Executive</t>
        </is>
      </c>
      <c r="H321" s="29" t="inlineStr">
        <is>
          <t>Senior Support Executive</t>
        </is>
      </c>
      <c r="I321" s="29" t="inlineStr">
        <is>
          <t>L3 – Professional / Associate</t>
        </is>
      </c>
      <c r="J321" s="29" t="inlineStr">
        <is>
          <t>A3</t>
        </is>
      </c>
      <c r="K321" s="29" t="inlineStr">
        <is>
          <t>▲ Up</t>
        </is>
      </c>
      <c r="L321" s="29" t="inlineStr">
        <is>
          <t>Customer Success &amp; Support</t>
        </is>
      </c>
      <c r="M321" s="29" t="inlineStr">
        <is>
          <t>Application &amp; Product Support</t>
        </is>
      </c>
      <c r="N321" s="29" t="n"/>
      <c r="O321" s="29" t="n">
        <v>20</v>
      </c>
      <c r="P321" s="28" t="inlineStr">
        <is>
          <t>P2</t>
        </is>
      </c>
      <c r="Q321" s="29" t="inlineStr">
        <is>
          <t>Developing</t>
        </is>
      </c>
      <c r="R321" s="29" t="inlineStr">
        <is>
          <t>3 Apply</t>
        </is>
      </c>
      <c r="S321" s="29" t="inlineStr">
        <is>
          <t>2–4 yrs</t>
        </is>
      </c>
      <c r="T321" s="29" t="inlineStr">
        <is>
          <t>3–5 · 2–5</t>
        </is>
      </c>
      <c r="U321" s="29" t="inlineStr">
        <is>
          <t>Support / CS Executive</t>
        </is>
      </c>
      <c r="V321" s="29" t="inlineStr">
        <is>
          <t>IRIS Vs Competitor Benchmark — SaaS customer-success ladder: Associate CSM · Regnology: Product Support Specialist · Reg Reporting · IRIS Vs Competitor Benchmark — support tiers: L2 Application Support</t>
        </is>
      </c>
      <c r="W321" s="29" t="inlineStr">
        <is>
          <t>TSIA frameworks and benchmarks; ITIL 4 service desk; Gainsight customer-success practice</t>
        </is>
      </c>
      <c r="X321" s="29" t="inlineStr">
        <is>
          <t>Core 2 · Future 2 · Functional 3 · Leadership not scored</t>
        </is>
      </c>
      <c r="Y321" s="52" t="n">
        <v>183</v>
      </c>
      <c r="Z321" s="53" t="inlineStr">
        <is>
          <t>IRIS1919</t>
        </is>
      </c>
      <c r="AA321" s="53" t="inlineStr">
        <is>
          <t>Employee</t>
        </is>
      </c>
      <c r="AB321" s="53" t="inlineStr">
        <is>
          <t>Active</t>
        </is>
      </c>
      <c r="AC321" s="53" t="inlineStr">
        <is>
          <t>Jyoti Patil</t>
        </is>
      </c>
      <c r="AD321" s="54" t="n">
        <v>44357</v>
      </c>
      <c r="AE321" s="53" t="inlineStr">
        <is>
          <t>Tech Support Executive</t>
        </is>
      </c>
      <c r="AF321" s="53" t="inlineStr">
        <is>
          <t>B.E</t>
        </is>
      </c>
      <c r="AG321" s="53" t="inlineStr">
        <is>
          <t>Yunus Patel</t>
        </is>
      </c>
      <c r="AH321" s="53" t="inlineStr">
        <is>
          <t>N-5</t>
        </is>
      </c>
      <c r="AI321" s="53" t="inlineStr">
        <is>
          <t>Individual Contributor</t>
        </is>
      </c>
      <c r="AJ321" s="53" t="inlineStr">
        <is>
          <t>3 years, 0 months, 0 days</t>
        </is>
      </c>
      <c r="AK321" s="53" t="inlineStr">
        <is>
          <t>5 years, 2 months, 15 days</t>
        </is>
      </c>
      <c r="AL321" s="53" t="inlineStr">
        <is>
          <t>Suptech</t>
        </is>
      </c>
      <c r="AM321" s="53" t="inlineStr">
        <is>
          <t>iFile</t>
        </is>
      </c>
      <c r="AN321" s="53" t="inlineStr">
        <is>
          <t>Support</t>
        </is>
      </c>
      <c r="AO321" s="53" t="inlineStr">
        <is>
          <t>Product Support</t>
        </is>
      </c>
      <c r="AP321" s="53" t="inlineStr">
        <is>
          <t>No</t>
        </is>
      </c>
      <c r="AQ321" s="53" t="inlineStr">
        <is>
          <t>Product/Project</t>
        </is>
      </c>
      <c r="AR321" s="53" t="inlineStr">
        <is>
          <t>Tech Support</t>
        </is>
      </c>
      <c r="AS321" s="53" t="inlineStr">
        <is>
          <t>Non-technical</t>
        </is>
      </c>
      <c r="AT321" s="53" t="n">
        <v>20</v>
      </c>
      <c r="AU321" s="53" t="inlineStr">
        <is>
          <t>Covered</t>
        </is>
      </c>
      <c r="AV321" s="53" t="n"/>
      <c r="AW321" s="53" t="n"/>
      <c r="AX321" s="53" t="n"/>
      <c r="AY321" s="53" t="n"/>
      <c r="AZ321" s="53" t="n"/>
      <c r="BA321" s="53" t="n"/>
      <c r="BB321" s="53" t="n"/>
      <c r="BC321" s="53" t="n"/>
      <c r="BD321" s="53" t="n"/>
      <c r="BE321" s="53" t="n"/>
      <c r="BF321" s="53" t="n"/>
      <c r="BG321" s="53" t="n"/>
      <c r="BH321" s="53" t="n"/>
      <c r="BI321" s="53" t="n"/>
      <c r="BJ321" s="53" t="n"/>
      <c r="BK321" s="53" t="n"/>
      <c r="BL321" s="53" t="n"/>
      <c r="BM321" s="53" t="n"/>
      <c r="BN321" s="53" t="n"/>
      <c r="BO321" s="53" t="n"/>
      <c r="BP321" s="53" t="n"/>
      <c r="BQ321" s="53" t="n"/>
      <c r="BR321" s="53" t="n"/>
      <c r="BS321" s="53" t="n"/>
      <c r="BT321" s="53" t="n"/>
      <c r="BU321" s="53" t="n"/>
      <c r="BV321" s="53" t="n"/>
      <c r="BW321" s="53" t="n"/>
      <c r="BX321" s="53" t="n"/>
      <c r="BY321" s="53" t="n"/>
      <c r="BZ321" s="53" t="n"/>
      <c r="CA321" s="53" t="n"/>
      <c r="CB321" s="53" t="n"/>
      <c r="CC321" s="53" t="n"/>
      <c r="CD321" s="53" t="n"/>
      <c r="CE321" s="53" t="n"/>
      <c r="CF321" s="53" t="n"/>
      <c r="CG321" s="53" t="n"/>
      <c r="CH321" s="53" t="n"/>
      <c r="CI321" s="53" t="n"/>
      <c r="CJ321" s="53" t="n"/>
      <c r="CK321" s="53" t="n"/>
      <c r="CL321" s="53" t="n"/>
      <c r="CM321" s="53" t="n"/>
      <c r="CN321" s="53" t="n"/>
      <c r="CO321" s="53" t="n"/>
      <c r="CP321" s="53" t="n"/>
      <c r="CQ321" s="53" t="n"/>
      <c r="CR321" s="53" t="n"/>
      <c r="CS321" s="53" t="n"/>
      <c r="CT321" s="53" t="n"/>
      <c r="CU321" s="53" t="n"/>
      <c r="CV321" s="53" t="n"/>
      <c r="CW321" s="53" t="n"/>
      <c r="CX321" s="53" t="n"/>
      <c r="CY321" s="53" t="n"/>
      <c r="CZ321" s="53" t="n"/>
      <c r="DA321" s="53" t="n"/>
      <c r="DB321" s="53" t="n"/>
      <c r="DC321" s="53" t="n"/>
      <c r="DD321" s="53" t="inlineStr">
        <is>
          <t>IRIS1919</t>
        </is>
      </c>
      <c r="DE321" s="53" t="inlineStr">
        <is>
          <t>Employee</t>
        </is>
      </c>
      <c r="DF321" s="53" t="inlineStr">
        <is>
          <t>Active</t>
        </is>
      </c>
      <c r="DG321" s="53" t="inlineStr">
        <is>
          <t>Jyoti Patil</t>
        </is>
      </c>
      <c r="DH321" s="54" t="n">
        <v>44357</v>
      </c>
      <c r="DI321" s="53" t="inlineStr">
        <is>
          <t>Tech Support Executive</t>
        </is>
      </c>
      <c r="DJ321" s="53" t="inlineStr">
        <is>
          <t>Customer Success &amp; Support</t>
        </is>
      </c>
      <c r="DK321" s="53" t="inlineStr">
        <is>
          <t>Technical Support</t>
        </is>
      </c>
      <c r="DL321" s="53" t="inlineStr">
        <is>
          <t>Tech Support Executive</t>
        </is>
      </c>
      <c r="DM321" s="53" t="inlineStr">
        <is>
          <t>L3 – Professional / Associate</t>
        </is>
      </c>
      <c r="DN321" s="53" t="inlineStr">
        <is>
          <t>B.E</t>
        </is>
      </c>
      <c r="DO321" s="53" t="inlineStr">
        <is>
          <t>Yunus Patel</t>
        </is>
      </c>
      <c r="DP321" s="53" t="inlineStr">
        <is>
          <t>N-4</t>
        </is>
      </c>
      <c r="DQ321" s="53" t="inlineStr">
        <is>
          <t>Individual Contributor</t>
        </is>
      </c>
      <c r="DR321" s="53" t="inlineStr">
        <is>
          <t>3 years, 0 months, 0 days</t>
        </is>
      </c>
      <c r="DS321" s="53" t="inlineStr">
        <is>
          <t>5 years, 0 months, 10 days</t>
        </is>
      </c>
      <c r="DT321" s="53" t="inlineStr">
        <is>
          <t>8 years, 0 months, 10 days</t>
        </is>
      </c>
      <c r="DU321" s="53" t="n"/>
      <c r="DV321" s="53" t="inlineStr">
        <is>
          <t>Suptech</t>
        </is>
      </c>
      <c r="DW321" s="53" t="inlineStr">
        <is>
          <t>iFile</t>
        </is>
      </c>
      <c r="DX321" s="53" t="inlineStr">
        <is>
          <t>Support</t>
        </is>
      </c>
      <c r="DY321" s="53" t="inlineStr">
        <is>
          <t>Product Support</t>
        </is>
      </c>
      <c r="DZ321" s="53" t="inlineStr">
        <is>
          <t>No</t>
        </is>
      </c>
      <c r="EA321" s="53" t="inlineStr">
        <is>
          <t>Product/Project</t>
        </is>
      </c>
      <c r="EB321" s="53" t="inlineStr">
        <is>
          <t>Tech Support</t>
        </is>
      </c>
      <c r="EC321" s="53" t="inlineStr">
        <is>
          <t>Non-technical</t>
        </is>
      </c>
      <c r="ED321" s="53" t="inlineStr">
        <is>
          <t>Remote - Mumbai</t>
        </is>
      </c>
      <c r="EE321" s="53" t="n"/>
      <c r="EF321"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21" s="53"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EH321" s="53" t="n">
        <v>4</v>
      </c>
      <c r="EI321" s="53" t="n"/>
      <c r="EJ321" s="53" t="inlineStr">
        <is>
          <t>Tech Support Executive</t>
        </is>
      </c>
      <c r="EK321" s="53" t="n"/>
      <c r="EL321" s="53" t="n">
        <v>3</v>
      </c>
      <c r="EM321" s="53" t="inlineStr">
        <is>
          <t>Medium</t>
        </is>
      </c>
      <c r="EN321" s="53" t="inlineStr">
        <is>
          <t>Core Contributor</t>
        </is>
      </c>
      <c r="EO321" s="53" t="inlineStr">
        <is>
          <t>No</t>
        </is>
      </c>
      <c r="EP321" s="53" t="inlineStr">
        <is>
          <t>No</t>
        </is>
      </c>
      <c r="EQ321" s="53" t="inlineStr">
        <is>
          <t>No</t>
        </is>
      </c>
      <c r="ER321" s="53" t="n"/>
      <c r="ES321" s="53" t="inlineStr">
        <is>
          <t>Customer success methods; communication &amp; de-escalation; product/domain depth; ticketing &amp; SLA tools</t>
        </is>
      </c>
      <c r="ET321" s="53" t="inlineStr">
        <is>
          <t>Transition to leadership: people management &amp; delegation, mentoring/coaching, project ownership &amp; stakeholder management, prioritisation under ambiguity, presentation &amp; influence skills</t>
        </is>
      </c>
      <c r="EU321" s="53" t="n"/>
      <c r="EV321" s="53" t="n"/>
      <c r="EW321" s="52" t="n"/>
      <c r="EX321" s="53" t="n"/>
      <c r="EY321" s="53" t="n"/>
      <c r="EZ321" s="53" t="n"/>
      <c r="FA321" s="53" t="n"/>
      <c r="FB321" s="53" t="n"/>
      <c r="FC321" s="53" t="n"/>
      <c r="FD321" s="53" t="n"/>
      <c r="FE321"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21" s="56"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FG321" s="56" t="n"/>
      <c r="FH321" s="56" t="inlineStr">
        <is>
          <t>4</t>
        </is>
      </c>
      <c r="FI321" s="56" t="n"/>
      <c r="FJ321" s="56" t="inlineStr">
        <is>
          <t>Received · manager annual, quarterly</t>
        </is>
      </c>
      <c r="FK321" s="56" t="inlineStr">
        <is>
          <t>Talent Mapping · iFile collated</t>
        </is>
      </c>
      <c r="FL321" s="56" t="n">
        <v>20</v>
      </c>
      <c r="FM321" s="32" t="inlineStr">
        <is>
          <t>Full survey answers not in the files received · How We Grow export needed · HR</t>
        </is>
      </c>
      <c r="FN321" s="56" t="inlineStr">
        <is>
          <t>—</t>
        </is>
      </c>
      <c r="FO321" s="56" t="inlineStr">
        <is>
          <t>—</t>
        </is>
      </c>
      <c r="FP321" s="56" t="inlineStr">
        <is>
          <t>—</t>
        </is>
      </c>
      <c r="FQ321" s="56" t="inlineStr">
        <is>
          <t>—</t>
        </is>
      </c>
      <c r="FR321" s="56"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higher environments → matches the start
Leadership: Evidence reads like A1: Mentions team coordination; no guidance of others described → matches the start
Business Impact: No survey or manager-mapping signal on criticality: kept at the start point.</t>
        </is>
      </c>
      <c r="FS321"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21" s="56" t="inlineStr">
        <is>
          <t>Self-identified: Answered · no common topic
For the next role: Answered · no common topic</t>
        </is>
      </c>
      <c r="FU321" s="32" t="inlineStr">
        <is>
          <t>Full survey answers not in the files received · How We Grow export needed · HR</t>
        </is>
      </c>
    </row>
    <row r="322" ht="90" customHeight="1">
      <c r="A322" s="51" t="inlineStr">
        <is>
          <t>◂ Back</t>
        </is>
      </c>
      <c r="B322" s="29" t="inlineStr">
        <is>
          <t>Mapped</t>
        </is>
      </c>
      <c r="C322" s="28" t="inlineStr">
        <is>
          <t>iFile</t>
        </is>
      </c>
      <c r="D322" s="29" t="inlineStr">
        <is>
          <t>IRIS2363</t>
        </is>
      </c>
      <c r="E322" s="29" t="inlineStr">
        <is>
          <t>Aayushi Sharma</t>
        </is>
      </c>
      <c r="F322" s="29" t="inlineStr">
        <is>
          <t>Technology</t>
        </is>
      </c>
      <c r="G322" s="29" t="inlineStr">
        <is>
          <t>Project Manager</t>
        </is>
      </c>
      <c r="H322" s="29" t="inlineStr">
        <is>
          <t>Associate Project Manager</t>
        </is>
      </c>
      <c r="I322" s="29" t="inlineStr">
        <is>
          <t>L5 – Manager</t>
        </is>
      </c>
      <c r="J322" s="29" t="inlineStr">
        <is>
          <t>B1</t>
        </is>
      </c>
      <c r="K322" s="29" t="inlineStr">
        <is>
          <t>▼ Down · protected</t>
        </is>
      </c>
      <c r="L322" s="29" t="inlineStr">
        <is>
          <t>Project &amp; Program Management</t>
        </is>
      </c>
      <c r="M322" s="29" t="inlineStr">
        <is>
          <t>Project &amp; Program Delivery</t>
        </is>
      </c>
      <c r="N322" s="29" t="n"/>
      <c r="O322" s="29" t="n">
        <v>20</v>
      </c>
      <c r="P322" s="28" t="inlineStr">
        <is>
          <t>P3 / M2</t>
        </is>
      </c>
      <c r="Q322" s="29" t="inlineStr">
        <is>
          <t>Career / · Team Lead</t>
        </is>
      </c>
      <c r="R322" s="29" t="inlineStr">
        <is>
          <t>4 Enable</t>
        </is>
      </c>
      <c r="S322" s="29" t="inlineStr">
        <is>
          <t>4–7 yrs</t>
        </is>
      </c>
      <c r="T322" s="29" t="inlineStr">
        <is>
          <t>5–8 · 4–8</t>
        </is>
      </c>
      <c r="U322" s="29" t="inlineStr">
        <is>
          <t>Project Manager</t>
        </is>
      </c>
      <c r="V322" s="29" t="inlineStr">
        <is>
          <t>IRIS Vs Competitor Benchmark — PMI pathway + SaaS delivery ladder: Project Manager · PMP</t>
        </is>
      </c>
      <c r="W322" s="29" t="inlineStr">
        <is>
          <t>PMI PMBOK and Talent Triangle; CAPM · entry → PMP → PgMP; Scrum / SAFe</t>
        </is>
      </c>
      <c r="X322" s="29" t="inlineStr">
        <is>
          <t>Core 3 · Future 3 · Functional 3 · Leadership 1</t>
        </is>
      </c>
      <c r="Y322" s="52" t="n">
        <v>366</v>
      </c>
      <c r="Z322" s="53" t="inlineStr">
        <is>
          <t>IRIS2363</t>
        </is>
      </c>
      <c r="AA322" s="53" t="inlineStr">
        <is>
          <t>Employee</t>
        </is>
      </c>
      <c r="AB322" s="53" t="inlineStr">
        <is>
          <t>Active</t>
        </is>
      </c>
      <c r="AC322" s="53" t="inlineStr">
        <is>
          <t>Aayushi Sharma</t>
        </is>
      </c>
      <c r="AD322" s="54" t="n">
        <v>45754</v>
      </c>
      <c r="AE322" s="53" t="inlineStr">
        <is>
          <t>Project Manager</t>
        </is>
      </c>
      <c r="AF322" s="53" t="inlineStr">
        <is>
          <t>MBA</t>
        </is>
      </c>
      <c r="AG322" s="53" t="inlineStr">
        <is>
          <t>Izharuddin Shaikh</t>
        </is>
      </c>
      <c r="AH322" s="53" t="inlineStr">
        <is>
          <t>N-4</t>
        </is>
      </c>
      <c r="AI322" s="53" t="inlineStr">
        <is>
          <t>Individual Contributor</t>
        </is>
      </c>
      <c r="AJ322" s="53" t="inlineStr">
        <is>
          <t>2 years, 7 months, 0 days</t>
        </is>
      </c>
      <c r="AK322" s="53" t="inlineStr">
        <is>
          <t>1 years, 4 months, 18 days</t>
        </is>
      </c>
      <c r="AL322" s="53" t="inlineStr">
        <is>
          <t>Suptech</t>
        </is>
      </c>
      <c r="AM322" s="53" t="inlineStr">
        <is>
          <t>iFile</t>
        </is>
      </c>
      <c r="AN322" s="53" t="inlineStr">
        <is>
          <t>Technology</t>
        </is>
      </c>
      <c r="AO322" s="53" t="inlineStr">
        <is>
          <t>Project Management</t>
        </is>
      </c>
      <c r="AP322" s="53" t="inlineStr">
        <is>
          <t>No</t>
        </is>
      </c>
      <c r="AQ322" s="53" t="inlineStr">
        <is>
          <t>Product/Project</t>
        </is>
      </c>
      <c r="AR322" s="53" t="inlineStr">
        <is>
          <t>Project Management</t>
        </is>
      </c>
      <c r="AS322" s="53" t="inlineStr">
        <is>
          <t>Technical · BA, PM and QA</t>
        </is>
      </c>
      <c r="AT322" s="53" t="n">
        <v>20</v>
      </c>
      <c r="AU322" s="53" t="inlineStr">
        <is>
          <t>Covered</t>
        </is>
      </c>
      <c r="AV322" s="53" t="n"/>
      <c r="AW322" s="53" t="n"/>
      <c r="AX322" s="53" t="n"/>
      <c r="AY322" s="53" t="n"/>
      <c r="AZ322" s="53" t="n"/>
      <c r="BA322" s="53" t="n"/>
      <c r="BB322" s="53" t="n"/>
      <c r="BC322" s="53" t="n"/>
      <c r="BD322" s="53" t="n"/>
      <c r="BE322" s="53" t="n"/>
      <c r="BF322" s="53" t="n"/>
      <c r="BG322" s="53" t="n"/>
      <c r="BH322" s="53" t="n"/>
      <c r="BI322" s="53" t="n"/>
      <c r="BJ322" s="53" t="n"/>
      <c r="BK322" s="53" t="n"/>
      <c r="BL322" s="53" t="n"/>
      <c r="BM322" s="53" t="n"/>
      <c r="BN322" s="53" t="n"/>
      <c r="BO322" s="53" t="n"/>
      <c r="BP322" s="53" t="n"/>
      <c r="BQ322" s="53" t="n"/>
      <c r="BR322" s="53" t="n"/>
      <c r="BS322" s="53" t="n"/>
      <c r="BT322" s="53" t="n"/>
      <c r="BU322" s="53" t="n"/>
      <c r="BV322" s="53" t="n"/>
      <c r="BW322" s="53" t="n"/>
      <c r="BX322" s="53" t="n"/>
      <c r="BY322" s="53" t="n"/>
      <c r="BZ322" s="53" t="n"/>
      <c r="CA322" s="53" t="n"/>
      <c r="CB322" s="53" t="n"/>
      <c r="CC322" s="53" t="n"/>
      <c r="CD322" s="53" t="n"/>
      <c r="CE322" s="53" t="n"/>
      <c r="CF322" s="53" t="n"/>
      <c r="CG322" s="53" t="n"/>
      <c r="CH322" s="53" t="n"/>
      <c r="CI322" s="53" t="n"/>
      <c r="CJ322" s="53" t="n"/>
      <c r="CK322" s="53" t="n"/>
      <c r="CL322" s="53" t="n"/>
      <c r="CM322" s="53" t="n"/>
      <c r="CN322" s="53" t="n"/>
      <c r="CO322" s="53" t="n"/>
      <c r="CP322" s="53" t="n"/>
      <c r="CQ322" s="53" t="n"/>
      <c r="CR322" s="53" t="n"/>
      <c r="CS322" s="53" t="n"/>
      <c r="CT322" s="53" t="n"/>
      <c r="CU322" s="53" t="n"/>
      <c r="CV322" s="53" t="n"/>
      <c r="CW322" s="53" t="n"/>
      <c r="CX322" s="53" t="n"/>
      <c r="CY322" s="53" t="n"/>
      <c r="CZ322" s="53" t="n"/>
      <c r="DA322" s="53" t="n"/>
      <c r="DB322" s="53" t="n"/>
      <c r="DC322" s="53" t="n"/>
      <c r="DD322" s="53" t="inlineStr">
        <is>
          <t>IRIS2363</t>
        </is>
      </c>
      <c r="DE322" s="53" t="inlineStr">
        <is>
          <t>Employee</t>
        </is>
      </c>
      <c r="DF322" s="53" t="inlineStr">
        <is>
          <t>Active</t>
        </is>
      </c>
      <c r="DG322" s="53" t="inlineStr">
        <is>
          <t>Aayushi Sharma</t>
        </is>
      </c>
      <c r="DH322" s="54" t="n">
        <v>45754</v>
      </c>
      <c r="DI322" s="53" t="inlineStr">
        <is>
          <t>Project Manager</t>
        </is>
      </c>
      <c r="DJ322" s="53" t="inlineStr">
        <is>
          <t>Project &amp; Program Management</t>
        </is>
      </c>
      <c r="DK322" s="53" t="inlineStr">
        <is>
          <t>Project Management</t>
        </is>
      </c>
      <c r="DL322" s="53" t="inlineStr">
        <is>
          <t>Project Manager</t>
        </is>
      </c>
      <c r="DM322" s="53" t="inlineStr">
        <is>
          <t>L5 – Manager</t>
        </is>
      </c>
      <c r="DN322" s="53" t="inlineStr">
        <is>
          <t>MBA</t>
        </is>
      </c>
      <c r="DO322" s="53" t="inlineStr">
        <is>
          <t>Jailesh Bhadra</t>
        </is>
      </c>
      <c r="DP322" s="53" t="inlineStr">
        <is>
          <t>N-3</t>
        </is>
      </c>
      <c r="DQ322" s="53" t="inlineStr">
        <is>
          <t>Individual Contributor</t>
        </is>
      </c>
      <c r="DR322" s="53" t="inlineStr">
        <is>
          <t>2 years, 7 months, 0 days</t>
        </is>
      </c>
      <c r="DS322" s="53" t="inlineStr">
        <is>
          <t>1 years, 2 months, 13 days</t>
        </is>
      </c>
      <c r="DT322" s="53" t="inlineStr">
        <is>
          <t>3 years, 9 months, 13 days</t>
        </is>
      </c>
      <c r="DU322" s="53" t="n"/>
      <c r="DV322" s="53" t="inlineStr">
        <is>
          <t>Suptech</t>
        </is>
      </c>
      <c r="DW322" s="53" t="inlineStr">
        <is>
          <t>iFile</t>
        </is>
      </c>
      <c r="DX322" s="53" t="inlineStr">
        <is>
          <t>Technology</t>
        </is>
      </c>
      <c r="DY322" s="53" t="inlineStr">
        <is>
          <t>Project Management</t>
        </is>
      </c>
      <c r="DZ322" s="53" t="inlineStr">
        <is>
          <t>No</t>
        </is>
      </c>
      <c r="EA322" s="53" t="inlineStr">
        <is>
          <t>Product/Project</t>
        </is>
      </c>
      <c r="EB322" s="53" t="inlineStr">
        <is>
          <t>Project Management</t>
        </is>
      </c>
      <c r="EC322" s="53" t="inlineStr">
        <is>
          <t>Technical · BA, PM and QA</t>
        </is>
      </c>
      <c r="ED322" s="53" t="inlineStr">
        <is>
          <t>Hybrid</t>
        </is>
      </c>
      <c r="EE322" s="53"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EF322" s="53"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EG322" s="53" t="inlineStr">
        <is>
          <t>Q1: Deliver assigned projects on time and within budget
Q1: Maintain RAID log accuracy with high risks actioned within SLA
Q1: Achieve &gt;=4.2/5 stakeholder satisfaction on governance &amp; communication
Q1: Deliver on-time, accurate milestone reporting</t>
        </is>
      </c>
      <c r="EH322" s="53" t="n">
        <v>3</v>
      </c>
      <c r="EI322" s="54" t="n">
        <v>45931</v>
      </c>
      <c r="EJ322" s="53" t="inlineStr">
        <is>
          <t>Project Manager</t>
        </is>
      </c>
      <c r="EK322" s="53" t="inlineStr">
        <is>
          <t>Yes - Her current scope needs a review.</t>
        </is>
      </c>
      <c r="EL322" s="53" t="n">
        <v>3</v>
      </c>
      <c r="EM322" s="53" t="inlineStr">
        <is>
          <t>Medium</t>
        </is>
      </c>
      <c r="EN322" s="53" t="inlineStr">
        <is>
          <t>Core Contributor</t>
        </is>
      </c>
      <c r="EO322" s="53" t="inlineStr">
        <is>
          <t>N</t>
        </is>
      </c>
      <c r="EP322" s="53" t="inlineStr">
        <is>
          <t>N</t>
        </is>
      </c>
      <c r="EQ322" s="53" t="inlineStr">
        <is>
          <t>N</t>
        </is>
      </c>
      <c r="ER322" s="53" t="inlineStr">
        <is>
          <t>No successor needed currently.</t>
        </is>
      </c>
      <c r="ES322" s="53" t="inlineStr">
        <is>
          <t>Agile/Scrum &amp; PMP fundamentals; risk &amp; stakeholder management; estimation; reporting/governance tools; Product visualization</t>
        </is>
      </c>
      <c r="ET322" s="53" t="inlineStr">
        <is>
          <t>-</t>
        </is>
      </c>
      <c r="EU322" s="53" t="inlineStr">
        <is>
          <t>Project Management vs Business Analysis scope needs evaluation.</t>
        </is>
      </c>
      <c r="EV322" s="53" t="n"/>
      <c r="EW322" s="52" t="n"/>
      <c r="EX322" s="53" t="n"/>
      <c r="EY322" s="53" t="n"/>
      <c r="EZ322" s="53" t="n"/>
      <c r="FA322" s="53" t="n"/>
      <c r="FB322" s="53" t="n"/>
      <c r="FC322" s="53" t="n"/>
      <c r="FD322" s="53" t="n"/>
      <c r="FE322" s="57"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FF322" s="56" t="inlineStr">
        <is>
          <t>Q1: Deliver assigned projects on time and within budget
Q1: Maintain RAID log accuracy with high risks actioned within SLA
Q1: Achieve &gt;=4.2/5 stakeholder satisfaction on governance &amp; communication
Q1: Deliver on-time, accurate milestone reporting</t>
        </is>
      </c>
      <c r="FG322" s="56"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FH322" s="56" t="inlineStr">
        <is>
          <t>3</t>
        </is>
      </c>
      <c r="FI322" s="56" t="n"/>
      <c r="FJ322" s="56" t="inlineStr">
        <is>
          <t>Received · manager annual, quarterly, self</t>
        </is>
      </c>
      <c r="FK322" s="56" t="inlineStr">
        <is>
          <t>Talent Mapping · iFile collated</t>
        </is>
      </c>
      <c r="FL322" s="56" t="n">
        <v>20</v>
      </c>
      <c r="FM322" s="32" t="inlineStr">
        <is>
          <t>Full survey answers not in the files received · How We Grow export needed · HR</t>
        </is>
      </c>
      <c r="FN322" s="56" t="inlineStr">
        <is>
          <t>—</t>
        </is>
      </c>
      <c r="FO322" s="56" t="inlineStr">
        <is>
          <t>—</t>
        </is>
      </c>
      <c r="FP322" s="56" t="inlineStr">
        <is>
          <t>—</t>
        </is>
      </c>
      <c r="FQ322" s="56" t="inlineStr">
        <is>
          <t>—</t>
        </is>
      </c>
      <c r="FR322" s="56"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and cost; unaccepted billed effort; DynaForms product duties → moved down 0.5
Leadership: Evidence reads like A2: Mentions resource management and team morale; no reports or guidance described → moved down 1
Business Impact: No move: the survey / manager mapping does not mark it business-critical or unique.</t>
        </is>
      </c>
      <c r="FS322"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22" s="56" t="inlineStr">
        <is>
          <t>Self-identified: Certification / formal course
For the next role: AI / automation · Certification / formal course</t>
        </is>
      </c>
      <c r="FU322" s="32" t="inlineStr">
        <is>
          <t>Full survey answers not in the files received · How We Grow export needed · HR</t>
        </is>
      </c>
    </row>
    <row r="323" ht="90" customHeight="1">
      <c r="A323" s="51" t="inlineStr">
        <is>
          <t>◂ Back</t>
        </is>
      </c>
      <c r="B323" s="29" t="inlineStr">
        <is>
          <t>Mapped</t>
        </is>
      </c>
      <c r="C323" s="28" t="inlineStr">
        <is>
          <t>iFile</t>
        </is>
      </c>
      <c r="D323" s="29" t="inlineStr">
        <is>
          <t>IRIS2529</t>
        </is>
      </c>
      <c r="E323" s="29" t="inlineStr">
        <is>
          <t>Yash Raj</t>
        </is>
      </c>
      <c r="F323" s="29" t="inlineStr">
        <is>
          <t>Technology</t>
        </is>
      </c>
      <c r="G323" s="29" t="inlineStr">
        <is>
          <t>Software Engineer</t>
        </is>
      </c>
      <c r="H323" s="29" t="inlineStr">
        <is>
          <t>Senior Database Engineer</t>
        </is>
      </c>
      <c r="I323" s="29" t="inlineStr">
        <is>
          <t>L3 – Professional / Associate</t>
        </is>
      </c>
      <c r="J323" s="29" t="inlineStr">
        <is>
          <t>A3</t>
        </is>
      </c>
      <c r="K323" s="29" t="inlineStr">
        <is>
          <t>▲ Up</t>
        </is>
      </c>
      <c r="L323" s="29" t="inlineStr">
        <is>
          <t>Engineering &amp; Development</t>
        </is>
      </c>
      <c r="M323" s="29" t="inlineStr">
        <is>
          <t>Data Engineering &amp; Database Development</t>
        </is>
      </c>
      <c r="N323" s="29" t="n"/>
      <c r="O323" s="29" t="n">
        <v>19</v>
      </c>
      <c r="P323" s="28" t="inlineStr">
        <is>
          <t>P2</t>
        </is>
      </c>
      <c r="Q323" s="29" t="inlineStr">
        <is>
          <t>Developing</t>
        </is>
      </c>
      <c r="R323" s="29" t="inlineStr">
        <is>
          <t>3 Apply</t>
        </is>
      </c>
      <c r="S323" s="29" t="inlineStr">
        <is>
          <t>2–4 yrs</t>
        </is>
      </c>
      <c r="T323" s="29" t="inlineStr">
        <is>
          <t>3–5 · 2–5</t>
        </is>
      </c>
      <c r="U323" s="29" t="inlineStr">
        <is>
          <t>Software Engineer</t>
        </is>
      </c>
      <c r="V323" s="29" t="inlineStr">
        <is>
          <t>Workiva: SE · Broadridge India: SE · Nasdaq / AxiomSL: SE · Salesforce: MTS · Atlassian: P40 · 3–7 yrs · Freshworks: Senior SE</t>
        </is>
      </c>
      <c r="W323" s="29" t="inlineStr">
        <is>
          <t>SFIA 9 · software development, programming; OWASP secure coding; cloud vendor certifications</t>
        </is>
      </c>
      <c r="X323" s="29" t="inlineStr">
        <is>
          <t>Core 2 · Future 2 · Functional 3 · Leadership not scored</t>
        </is>
      </c>
      <c r="Y323" s="52" t="n">
        <v>501</v>
      </c>
      <c r="Z323" s="53" t="inlineStr">
        <is>
          <t>IRIS2529</t>
        </is>
      </c>
      <c r="AA323" s="53" t="inlineStr">
        <is>
          <t>Employee</t>
        </is>
      </c>
      <c r="AB323" s="53" t="inlineStr">
        <is>
          <t>Active</t>
        </is>
      </c>
      <c r="AC323" s="53" t="inlineStr">
        <is>
          <t>Yash Raj</t>
        </is>
      </c>
      <c r="AD323" s="54" t="n">
        <v>46149</v>
      </c>
      <c r="AE323" s="53" t="inlineStr">
        <is>
          <t>Software Engineer</t>
        </is>
      </c>
      <c r="AF323" s="53" t="inlineStr">
        <is>
          <t>B.Tech</t>
        </is>
      </c>
      <c r="AG323" s="53" t="inlineStr">
        <is>
          <t>Izharuddin Shaikh</t>
        </is>
      </c>
      <c r="AH323" s="53" t="inlineStr">
        <is>
          <t>N-4</t>
        </is>
      </c>
      <c r="AI323" s="53" t="inlineStr">
        <is>
          <t>Individual Contributor</t>
        </is>
      </c>
      <c r="AJ323" s="53" t="inlineStr">
        <is>
          <t>2 years, 4 months, 0 days</t>
        </is>
      </c>
      <c r="AK323" s="53" t="inlineStr">
        <is>
          <t>0 years, 3 months, 18 days</t>
        </is>
      </c>
      <c r="AL323" s="53" t="inlineStr">
        <is>
          <t>Suptech</t>
        </is>
      </c>
      <c r="AM323" s="53" t="inlineStr">
        <is>
          <t>iFile</t>
        </is>
      </c>
      <c r="AN323" s="53" t="inlineStr">
        <is>
          <t>Technology</t>
        </is>
      </c>
      <c r="AO323" s="53" t="inlineStr">
        <is>
          <t>Development</t>
        </is>
      </c>
      <c r="AP323" s="53" t="inlineStr">
        <is>
          <t>Yes</t>
        </is>
      </c>
      <c r="AQ323" s="53" t="inlineStr">
        <is>
          <t>Product/Project</t>
        </is>
      </c>
      <c r="AR323" s="53" t="inlineStr">
        <is>
          <t>ETL</t>
        </is>
      </c>
      <c r="AS323" s="53" t="inlineStr">
        <is>
          <t>Technical - Developer</t>
        </is>
      </c>
      <c r="AT323" s="53" t="n">
        <v>20</v>
      </c>
      <c r="AU323" s="53" t="inlineStr">
        <is>
          <t>Covered</t>
        </is>
      </c>
      <c r="AV323" s="53" t="n"/>
      <c r="AW323" s="53" t="n"/>
      <c r="AX323" s="53" t="n"/>
      <c r="AY323" s="53" t="n"/>
      <c r="AZ323" s="53" t="n"/>
      <c r="BA323" s="53" t="n"/>
      <c r="BB323" s="53" t="n"/>
      <c r="BC323" s="53" t="n"/>
      <c r="BD323" s="53" t="n"/>
      <c r="BE323" s="53" t="n"/>
      <c r="BF323" s="53" t="n"/>
      <c r="BG323" s="53" t="n"/>
      <c r="BH323" s="53" t="n"/>
      <c r="BI323" s="53" t="n"/>
      <c r="BJ323" s="53" t="n"/>
      <c r="BK323" s="53" t="n"/>
      <c r="BL323" s="53" t="n"/>
      <c r="BM323" s="53" t="n"/>
      <c r="BN323" s="53" t="n"/>
      <c r="BO323" s="53" t="n"/>
      <c r="BP323" s="53" t="n"/>
      <c r="BQ323" s="53" t="n"/>
      <c r="BR323" s="53" t="n"/>
      <c r="BS323" s="53" t="n"/>
      <c r="BT323" s="53" t="n"/>
      <c r="BU323" s="53" t="n"/>
      <c r="BV323" s="53" t="n"/>
      <c r="BW323" s="53" t="n"/>
      <c r="BX323" s="53" t="n"/>
      <c r="BY323" s="53" t="n"/>
      <c r="BZ323" s="53" t="n"/>
      <c r="CA323" s="53" t="n"/>
      <c r="CB323" s="53" t="n"/>
      <c r="CC323" s="53" t="n"/>
      <c r="CD323" s="53" t="n"/>
      <c r="CE323" s="53" t="n"/>
      <c r="CF323" s="53" t="n"/>
      <c r="CG323" s="53" t="n"/>
      <c r="CH323" s="53" t="n"/>
      <c r="CI323" s="53" t="n"/>
      <c r="CJ323" s="53" t="n"/>
      <c r="CK323" s="53" t="n"/>
      <c r="CL323" s="53" t="n"/>
      <c r="CM323" s="53" t="n"/>
      <c r="CN323" s="53" t="n"/>
      <c r="CO323" s="53" t="n"/>
      <c r="CP323" s="53" t="n"/>
      <c r="CQ323" s="53" t="n"/>
      <c r="CR323" s="53" t="n"/>
      <c r="CS323" s="53" t="n"/>
      <c r="CT323" s="53" t="n"/>
      <c r="CU323" s="53" t="n"/>
      <c r="CV323" s="53" t="n"/>
      <c r="CW323" s="53" t="n"/>
      <c r="CX323" s="53" t="n"/>
      <c r="CY323" s="53" t="n"/>
      <c r="CZ323" s="53" t="n"/>
      <c r="DA323" s="53" t="n"/>
      <c r="DB323" s="53" t="n"/>
      <c r="DC323" s="53" t="n"/>
      <c r="DD323" s="53" t="inlineStr">
        <is>
          <t>IRIS2529</t>
        </is>
      </c>
      <c r="DE323" s="53" t="inlineStr">
        <is>
          <t>Employee</t>
        </is>
      </c>
      <c r="DF323" s="53" t="inlineStr">
        <is>
          <t>Active</t>
        </is>
      </c>
      <c r="DG323" s="53" t="inlineStr">
        <is>
          <t>Yash Raj</t>
        </is>
      </c>
      <c r="DH323" s="54" t="n">
        <v>46149</v>
      </c>
      <c r="DI323" s="53" t="inlineStr">
        <is>
          <t>Software Engineer</t>
        </is>
      </c>
      <c r="DJ323" s="53" t="inlineStr">
        <is>
          <t>Engineering &amp; Development</t>
        </is>
      </c>
      <c r="DK323" s="53" t="inlineStr">
        <is>
          <t>Software Engineering</t>
        </is>
      </c>
      <c r="DL323" s="53" t="inlineStr">
        <is>
          <t>Software Engineer</t>
        </is>
      </c>
      <c r="DM323" s="53" t="inlineStr">
        <is>
          <t>L3 – Professional / Associate</t>
        </is>
      </c>
      <c r="DN323" s="53" t="inlineStr">
        <is>
          <t>B.Tech</t>
        </is>
      </c>
      <c r="DO323" s="53" t="inlineStr">
        <is>
          <t>Izharuddin Shaikh</t>
        </is>
      </c>
      <c r="DP323" s="53" t="inlineStr">
        <is>
          <t>N-3</t>
        </is>
      </c>
      <c r="DQ323" s="53" t="inlineStr">
        <is>
          <t>Individual Contributor</t>
        </is>
      </c>
      <c r="DR323" s="53" t="inlineStr">
        <is>
          <t>2 years, 4 months, 0 days</t>
        </is>
      </c>
      <c r="DS323" s="53" t="inlineStr">
        <is>
          <t>0 years, 1 months, 13 days</t>
        </is>
      </c>
      <c r="DT323" s="53" t="inlineStr">
        <is>
          <t>2 years, 5 months, 13 days</t>
        </is>
      </c>
      <c r="DU323" s="53" t="n"/>
      <c r="DV323" s="53" t="inlineStr">
        <is>
          <t>Suptech</t>
        </is>
      </c>
      <c r="DW323" s="53" t="inlineStr">
        <is>
          <t>iFile</t>
        </is>
      </c>
      <c r="DX323" s="53" t="inlineStr">
        <is>
          <t>Technology</t>
        </is>
      </c>
      <c r="DY323" s="53" t="inlineStr">
        <is>
          <t>Development</t>
        </is>
      </c>
      <c r="DZ323" s="53" t="inlineStr">
        <is>
          <t>Yes</t>
        </is>
      </c>
      <c r="EA323" s="53" t="inlineStr">
        <is>
          <t>Product/Project</t>
        </is>
      </c>
      <c r="EB323" s="53" t="n"/>
      <c r="EC323" s="53" t="inlineStr">
        <is>
          <t>Technical - Developer</t>
        </is>
      </c>
      <c r="ED323" s="53" t="inlineStr">
        <is>
          <t>Work From Office - Turbhe</t>
        </is>
      </c>
      <c r="EE323" s="53" t="n"/>
      <c r="EF32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EH323" s="53" t="n">
        <v>3</v>
      </c>
      <c r="EI323" s="53" t="n"/>
      <c r="EJ323" s="53" t="inlineStr">
        <is>
          <t>Software Engineer</t>
        </is>
      </c>
      <c r="EK323" s="53" t="n"/>
      <c r="EL323" s="53" t="n">
        <v>3</v>
      </c>
      <c r="EM323" s="53" t="inlineStr">
        <is>
          <t>Medium</t>
        </is>
      </c>
      <c r="EN323" s="53" t="inlineStr">
        <is>
          <t>Reliable Specialist</t>
        </is>
      </c>
      <c r="EO323" s="53" t="n"/>
      <c r="EP323" s="53" t="n"/>
      <c r="EQ323" s="53" t="n"/>
      <c r="ER323" s="53" t="n"/>
      <c r="ES323" s="53" t="inlineStr">
        <is>
          <t>Advanced technology stack; secure coding &amp; code-quality practices; unit/automated testing; system design fundamentals</t>
        </is>
      </c>
      <c r="ET323" s="53" t="inlineStr">
        <is>
          <t>Transition to leadership: people management &amp; delegation, mentoring/coaching, project ownership &amp; stakeholder management, prioritisation under ambiguity, presentation &amp; influence skills</t>
        </is>
      </c>
      <c r="EU323" s="53" t="n"/>
      <c r="EV323" s="53" t="n"/>
      <c r="EW323" s="52" t="n"/>
      <c r="EX323" s="53" t="n"/>
      <c r="EY323" s="53" t="n"/>
      <c r="EZ323" s="53" t="n"/>
      <c r="FA323" s="53" t="n"/>
      <c r="FB323" s="53" t="n"/>
      <c r="FC323" s="53" t="n"/>
      <c r="FD323" s="53" t="n"/>
      <c r="FE32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FG323" s="56" t="n"/>
      <c r="FH323" s="56" t="inlineStr">
        <is>
          <t>3</t>
        </is>
      </c>
      <c r="FI323" s="56" t="n"/>
      <c r="FJ323" s="56" t="inlineStr">
        <is>
          <t>Received · manager annual, quarterly</t>
        </is>
      </c>
      <c r="FK323" s="56" t="inlineStr">
        <is>
          <t>Talent Mapping · iFile collated</t>
        </is>
      </c>
      <c r="FL323" s="56" t="n">
        <v>19</v>
      </c>
      <c r="FM323" s="32" t="inlineStr">
        <is>
          <t>Full survey answers not in the files received · How We Grow export needed · HR</t>
        </is>
      </c>
      <c r="FN323" s="56" t="inlineStr">
        <is>
          <t>—</t>
        </is>
      </c>
      <c r="FO323" s="56" t="inlineStr">
        <is>
          <t>—</t>
        </is>
      </c>
      <c r="FP323" s="56" t="inlineStr">
        <is>
          <t>—</t>
        </is>
      </c>
      <c r="FQ323" s="56" t="inlineStr">
        <is>
          <t>—</t>
        </is>
      </c>
      <c r="FR323" s="56"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failures hit downstream reporting and analytics teams → moved up 0.5
Leadership: Evidence reads like A1: No guiding or leading described → matches the start
Business Impact: No survey or manager-mapping signal on criticality: kept at the start point.</t>
        </is>
      </c>
      <c r="FS323"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323" s="56" t="inlineStr">
        <is>
          <t>Self-identified: Technical depth &amp; architecture · Data, SQL &amp; analytics · Certification / formal course
For the next role: Technical depth &amp; architecture · Data, SQL &amp; analytics · Certification / formal course</t>
        </is>
      </c>
      <c r="FU323" s="32" t="inlineStr">
        <is>
          <t>Full survey answers not in the files received · How We Grow export needed · HR</t>
        </is>
      </c>
    </row>
    <row r="324" ht="90" customHeight="1">
      <c r="A324" s="51" t="inlineStr">
        <is>
          <t>◂ Back</t>
        </is>
      </c>
      <c r="B324" s="29" t="inlineStr">
        <is>
          <t>Mapped</t>
        </is>
      </c>
      <c r="C324" s="28" t="inlineStr">
        <is>
          <t>iFile</t>
        </is>
      </c>
      <c r="D324" s="29" t="inlineStr">
        <is>
          <t>IRIS2133</t>
        </is>
      </c>
      <c r="E324" s="29" t="inlineStr">
        <is>
          <t>Pushpendra Singh</t>
        </is>
      </c>
      <c r="F324" s="29" t="inlineStr">
        <is>
          <t>Technology</t>
        </is>
      </c>
      <c r="G324" s="29" t="inlineStr">
        <is>
          <t>Technical Architect</t>
        </is>
      </c>
      <c r="H324" s="29" t="inlineStr">
        <is>
          <t>Practice Lead – Solution &amp; Technical Architecture · Player-Coach</t>
        </is>
      </c>
      <c r="I324" s="29" t="inlineStr">
        <is>
          <t>L3 – Professional / Associate</t>
        </is>
      </c>
      <c r="J324" s="29" t="inlineStr">
        <is>
          <t>B+</t>
        </is>
      </c>
      <c r="K324" s="29" t="inlineStr">
        <is>
          <t>▲ Up</t>
        </is>
      </c>
      <c r="L324" s="29" t="inlineStr">
        <is>
          <t>Engineering &amp; Architecture</t>
        </is>
      </c>
      <c r="M324" s="29" t="inlineStr">
        <is>
          <t>Solution &amp; Technical Architecture</t>
        </is>
      </c>
      <c r="N324" s="29" t="n"/>
      <c r="O324" s="29" t="n">
        <v>20</v>
      </c>
      <c r="P324" s="28" t="inlineStr">
        <is>
          <t>P5–P6 / M4–M5</t>
        </is>
      </c>
      <c r="Q324" s="29" t="inlineStr">
        <is>
          <t>Expert / Senior Manager · player-coach</t>
        </is>
      </c>
      <c r="R324" s="29" t="inlineStr">
        <is>
          <t>5 Ensure, advise</t>
        </is>
      </c>
      <c r="S324" s="29" t="inlineStr">
        <is>
          <t>9–14 yrs</t>
        </is>
      </c>
      <c r="T324" s="29" t="inlineStr">
        <is>
          <t>9–13 · 9–14</t>
        </is>
      </c>
      <c r="U324" s="29" t="inlineStr">
        <is>
          <t>Tech Lead Manager / Practice Lead · player-coach</t>
        </is>
      </c>
      <c r="V324" s="29" t="inlineStr">
        <is>
          <t>Google: Tech Lead Manager · TLM · McKinsey player/coach · 3–5 reports · SaaS: player-coach team lead carrying own work</t>
        </is>
      </c>
      <c r="W324" s="29" t="inlineStr">
        <is>
          <t>SFIA 9 · solution architecture; TOGAF; AWS / Azure architect certifications</t>
        </is>
      </c>
      <c r="X324" s="29" t="inlineStr">
        <is>
          <t>Core 4 · Future 4 · Functional 4 · Leadership 4</t>
        </is>
      </c>
      <c r="Y324" s="52" t="n">
        <v>274</v>
      </c>
      <c r="Z324" s="53" t="inlineStr">
        <is>
          <t>IRIS2133</t>
        </is>
      </c>
      <c r="AA324" s="53" t="inlineStr">
        <is>
          <t>Employee</t>
        </is>
      </c>
      <c r="AB324" s="53" t="inlineStr">
        <is>
          <t>Active</t>
        </is>
      </c>
      <c r="AC324" s="53" t="inlineStr">
        <is>
          <t>Pushpendra Singh</t>
        </is>
      </c>
      <c r="AD324" s="54" t="n">
        <v>45071</v>
      </c>
      <c r="AE324" s="53" t="inlineStr">
        <is>
          <t>Technical Architect</t>
        </is>
      </c>
      <c r="AF324" s="53" t="inlineStr">
        <is>
          <t>MBA</t>
        </is>
      </c>
      <c r="AG324" s="53" t="inlineStr">
        <is>
          <t>Pradip Dey</t>
        </is>
      </c>
      <c r="AH324" s="53" t="inlineStr">
        <is>
          <t>N-3</t>
        </is>
      </c>
      <c r="AI324" s="53" t="inlineStr">
        <is>
          <t>Manager</t>
        </is>
      </c>
      <c r="AJ324" s="53" t="inlineStr">
        <is>
          <t>14 years, 0 months, 0 days</t>
        </is>
      </c>
      <c r="AK324" s="53" t="inlineStr">
        <is>
          <t>3 years, 3 months, 0 days</t>
        </is>
      </c>
      <c r="AL324" s="53" t="inlineStr">
        <is>
          <t>Suptech</t>
        </is>
      </c>
      <c r="AM324" s="53" t="inlineStr">
        <is>
          <t>iFile</t>
        </is>
      </c>
      <c r="AN324" s="53" t="inlineStr">
        <is>
          <t>Technology</t>
        </is>
      </c>
      <c r="AO324" s="53" t="inlineStr">
        <is>
          <t>Development</t>
        </is>
      </c>
      <c r="AP324" s="53" t="inlineStr">
        <is>
          <t>Yes</t>
        </is>
      </c>
      <c r="AQ324" s="53" t="inlineStr">
        <is>
          <t>Product/Project</t>
        </is>
      </c>
      <c r="AR324" s="53" t="inlineStr">
        <is>
          <t>Java</t>
        </is>
      </c>
      <c r="AS324" s="53" t="inlineStr">
        <is>
          <t>Technical - Developer</t>
        </is>
      </c>
      <c r="AT324" s="53" t="n">
        <v>20</v>
      </c>
      <c r="AU324" s="53" t="inlineStr">
        <is>
          <t>Covered</t>
        </is>
      </c>
      <c r="AV324" s="53" t="n"/>
      <c r="AW324" s="53" t="n"/>
      <c r="AX324" s="53" t="n"/>
      <c r="AY324" s="53" t="n"/>
      <c r="AZ324" s="53" t="n"/>
      <c r="BA324" s="53" t="n"/>
      <c r="BB324" s="53" t="n"/>
      <c r="BC324" s="53" t="n"/>
      <c r="BD324" s="53" t="n"/>
      <c r="BE324" s="53" t="n"/>
      <c r="BF324" s="53" t="n"/>
      <c r="BG324" s="53" t="n"/>
      <c r="BH324" s="53" t="n"/>
      <c r="BI324" s="53" t="n"/>
      <c r="BJ324" s="53" t="n"/>
      <c r="BK324" s="53" t="n"/>
      <c r="BL324" s="53" t="n"/>
      <c r="BM324" s="53" t="n"/>
      <c r="BN324" s="53" t="n"/>
      <c r="BO324" s="53" t="n"/>
      <c r="BP324" s="53" t="n"/>
      <c r="BQ324" s="53" t="n"/>
      <c r="BR324" s="53" t="n"/>
      <c r="BS324" s="53" t="n"/>
      <c r="BT324" s="53" t="n"/>
      <c r="BU324" s="53" t="n"/>
      <c r="BV324" s="53" t="n"/>
      <c r="BW324" s="53" t="n"/>
      <c r="BX324" s="53" t="n"/>
      <c r="BY324" s="53" t="n"/>
      <c r="BZ324" s="53" t="n"/>
      <c r="CA324" s="53" t="n"/>
      <c r="CB324" s="53" t="n"/>
      <c r="CC324" s="53" t="n"/>
      <c r="CD324" s="53" t="n"/>
      <c r="CE324" s="53" t="n"/>
      <c r="CF324" s="53" t="n"/>
      <c r="CG324" s="53" t="n"/>
      <c r="CH324" s="53" t="n"/>
      <c r="CI324" s="53" t="n"/>
      <c r="CJ324" s="53" t="n"/>
      <c r="CK324" s="53" t="n"/>
      <c r="CL324" s="53" t="n"/>
      <c r="CM324" s="53" t="n"/>
      <c r="CN324" s="53" t="n"/>
      <c r="CO324" s="53" t="n"/>
      <c r="CP324" s="53" t="n"/>
      <c r="CQ324" s="53" t="n"/>
      <c r="CR324" s="53" t="n"/>
      <c r="CS324" s="53" t="n"/>
      <c r="CT324" s="53" t="n"/>
      <c r="CU324" s="53" t="n"/>
      <c r="CV324" s="53" t="n"/>
      <c r="CW324" s="53" t="n"/>
      <c r="CX324" s="53" t="n"/>
      <c r="CY324" s="53" t="n"/>
      <c r="CZ324" s="53" t="n"/>
      <c r="DA324" s="53" t="n"/>
      <c r="DB324" s="53" t="n"/>
      <c r="DC324" s="53" t="n"/>
      <c r="DD324" s="53" t="inlineStr">
        <is>
          <t>IRIS2133</t>
        </is>
      </c>
      <c r="DE324" s="53" t="inlineStr">
        <is>
          <t>Employee</t>
        </is>
      </c>
      <c r="DF324" s="53" t="inlineStr">
        <is>
          <t>Active</t>
        </is>
      </c>
      <c r="DG324" s="53" t="inlineStr">
        <is>
          <t>Pushpendra Singh</t>
        </is>
      </c>
      <c r="DH324" s="54" t="n">
        <v>45071</v>
      </c>
      <c r="DI324" s="53" t="inlineStr">
        <is>
          <t>Technical Architect</t>
        </is>
      </c>
      <c r="DJ324" s="53" t="inlineStr">
        <is>
          <t>Engineering &amp; Architecture</t>
        </is>
      </c>
      <c r="DK324" s="53" t="inlineStr">
        <is>
          <t>Solution / Software Architecture</t>
        </is>
      </c>
      <c r="DL324" s="53" t="inlineStr">
        <is>
          <t>Technical Architect</t>
        </is>
      </c>
      <c r="DM324" s="53" t="inlineStr">
        <is>
          <t>L3 – Professional / Associate</t>
        </is>
      </c>
      <c r="DN324" s="53" t="inlineStr">
        <is>
          <t>MBA</t>
        </is>
      </c>
      <c r="DO324" s="53" t="inlineStr">
        <is>
          <t>Pradip Dey</t>
        </is>
      </c>
      <c r="DP324" s="53" t="inlineStr">
        <is>
          <t>N-2</t>
        </is>
      </c>
      <c r="DQ324" s="53" t="inlineStr">
        <is>
          <t>Manager</t>
        </is>
      </c>
      <c r="DR324" s="53" t="inlineStr">
        <is>
          <t>14 years, 0 months, 0 days</t>
        </is>
      </c>
      <c r="DS324" s="53" t="inlineStr">
        <is>
          <t>3 years, 0 months, 26 days</t>
        </is>
      </c>
      <c r="DT324" s="53" t="inlineStr">
        <is>
          <t>17 years, 0 months, 26 days</t>
        </is>
      </c>
      <c r="DU324" s="53" t="n">
        <v>3.07123287671233</v>
      </c>
      <c r="DV324" s="53" t="inlineStr">
        <is>
          <t>Suptech</t>
        </is>
      </c>
      <c r="DW324" s="53" t="inlineStr">
        <is>
          <t>iFile</t>
        </is>
      </c>
      <c r="DX324" s="53" t="inlineStr">
        <is>
          <t>Technology</t>
        </is>
      </c>
      <c r="DY324" s="53" t="inlineStr">
        <is>
          <t>Development</t>
        </is>
      </c>
      <c r="DZ324" s="53" t="inlineStr">
        <is>
          <t>Yes</t>
        </is>
      </c>
      <c r="EA324" s="53" t="inlineStr">
        <is>
          <t>Product/Project</t>
        </is>
      </c>
      <c r="EB324" s="53" t="inlineStr">
        <is>
          <t>Java</t>
        </is>
      </c>
      <c r="EC324" s="53" t="inlineStr">
        <is>
          <t>Technical - Developer</t>
        </is>
      </c>
      <c r="ED324" s="53" t="inlineStr">
        <is>
          <t>Remote - Mumbai</t>
        </is>
      </c>
      <c r="EE324" s="53" t="n"/>
      <c r="EF324" s="53"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EG324" s="53" t="inlineStr">
        <is>
          <t>Completion of improvements needed for Europe market readiness
Roadmap completion for Validator product for the next year</t>
        </is>
      </c>
      <c r="EH324" s="53" t="inlineStr">
        <is>
          <t>Meets Expectations</t>
        </is>
      </c>
      <c r="EI324" s="54" t="n">
        <v>45931</v>
      </c>
      <c r="EJ324" s="53" t="inlineStr">
        <is>
          <t>Technical Architect</t>
        </is>
      </c>
      <c r="EK324" s="53" t="n"/>
      <c r="EL324" s="53" t="n">
        <v>4</v>
      </c>
      <c r="EM324" s="53" t="inlineStr">
        <is>
          <t>Medium</t>
        </is>
      </c>
      <c r="EN324" s="53" t="inlineStr">
        <is>
          <t>Core Contributor</t>
        </is>
      </c>
      <c r="EO324" s="53" t="n"/>
      <c r="EP324" s="53" t="inlineStr">
        <is>
          <t>N</t>
        </is>
      </c>
      <c r="EQ324" s="53" t="inlineStr">
        <is>
          <t>Y</t>
        </is>
      </c>
      <c r="ER324" s="53" t="n"/>
      <c r="ES324" s="53" t="inlineStr">
        <is>
          <t>TOGAF</t>
        </is>
      </c>
      <c r="ET324" s="53" t="n"/>
      <c r="EU324" s="53" t="inlineStr">
        <is>
          <t>IFSCA</t>
        </is>
      </c>
      <c r="EV324" s="53" t="n"/>
      <c r="EW324" s="52" t="n"/>
      <c r="EX324" s="53" t="n"/>
      <c r="EY324" s="53" t="n"/>
      <c r="EZ324" s="53" t="n"/>
      <c r="FA324" s="53" t="n"/>
      <c r="FB324" s="53" t="n"/>
      <c r="FC324" s="53" t="n"/>
      <c r="FD324" s="53" t="n"/>
      <c r="FE324" s="57"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FF324" s="56" t="inlineStr">
        <is>
          <t>Completion of improvements needed for Europe market readiness
Roadmap completion for Validator product for the next year</t>
        </is>
      </c>
      <c r="FG324" s="56" t="n"/>
      <c r="FH324" s="56" t="inlineStr">
        <is>
          <t>Meets Expectations</t>
        </is>
      </c>
      <c r="FI324" s="56" t="n"/>
      <c r="FJ324" s="56" t="inlineStr">
        <is>
          <t>Received · manager annual, quarterly</t>
        </is>
      </c>
      <c r="FK324" s="56" t="inlineStr">
        <is>
          <t>Talent Mapping · iFile collated</t>
        </is>
      </c>
      <c r="FL324" s="56" t="n">
        <v>20</v>
      </c>
      <c r="FM324" s="32" t="inlineStr">
        <is>
          <t>Full survey answers not in the files received · How We Grow export needed · HR</t>
        </is>
      </c>
      <c r="FN324" s="56" t="inlineStr">
        <is>
          <t>—</t>
        </is>
      </c>
      <c r="FO324" s="56" t="inlineStr">
        <is>
          <t>—</t>
        </is>
      </c>
      <c r="FP324" s="56" t="inlineStr">
        <is>
          <t>—</t>
        </is>
      </c>
      <c r="FQ324" s="56" t="inlineStr">
        <is>
          <t>—</t>
        </is>
      </c>
      <c r="FR324" s="56"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KRA answers · summarised by the rater; not quoted → moved down 0.5
Leadership: Evidence reads like A3: No leadership described; 3 direct reports and KRA expects mentoring of team members → moved down 0.5
Business Impact: Moved +0.5: the survey / manager mapping marks it business-critical.</t>
        </is>
      </c>
      <c r="FS324"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324" s="56" t="inlineStr">
        <is>
          <t>Self-identified: AI / automation · Technical depth &amp; architecture · Product &amp; tool knowledge
For the next role: AI / automation · Technical depth &amp; architecture · Product &amp; tool knowledge</t>
        </is>
      </c>
      <c r="FU324" s="32" t="inlineStr">
        <is>
          <t>Full survey answers not in the files received · How We Grow export needed · HR</t>
        </is>
      </c>
    </row>
    <row r="325" ht="90" customHeight="1">
      <c r="A325" s="51" t="inlineStr">
        <is>
          <t>◂ Back</t>
        </is>
      </c>
      <c r="B325" s="29" t="inlineStr">
        <is>
          <t>Mapped</t>
        </is>
      </c>
      <c r="C325" s="28" t="inlineStr">
        <is>
          <t>iFile</t>
        </is>
      </c>
      <c r="D325" s="29" t="inlineStr">
        <is>
          <t>IRIS2257</t>
        </is>
      </c>
      <c r="E325" s="29" t="inlineStr">
        <is>
          <t>Rudransh Nemade</t>
        </is>
      </c>
      <c r="F325" s="29" t="inlineStr">
        <is>
          <t>Technology</t>
        </is>
      </c>
      <c r="G325" s="29" t="inlineStr">
        <is>
          <t>Trainee Software Engineer</t>
        </is>
      </c>
      <c r="H325" s="29" t="inlineStr">
        <is>
          <t>Senior Software Engineer</t>
        </is>
      </c>
      <c r="I325" s="29" t="inlineStr">
        <is>
          <t>L2 – Trainee</t>
        </is>
      </c>
      <c r="J325" s="29" t="inlineStr">
        <is>
          <t>A3</t>
        </is>
      </c>
      <c r="K325" s="29" t="inlineStr">
        <is>
          <t>▲ Up</t>
        </is>
      </c>
      <c r="L325" s="29" t="inlineStr">
        <is>
          <t>Engineering &amp; Development</t>
        </is>
      </c>
      <c r="M325" s="29" t="inlineStr">
        <is>
          <t>Full-Stack Development</t>
        </is>
      </c>
      <c r="N325" s="29" t="n"/>
      <c r="O325" s="29" t="n">
        <v>20</v>
      </c>
      <c r="P325" s="28" t="inlineStr">
        <is>
          <t>P2</t>
        </is>
      </c>
      <c r="Q325" s="29" t="inlineStr">
        <is>
          <t>Developing</t>
        </is>
      </c>
      <c r="R325" s="29" t="inlineStr">
        <is>
          <t>3 Apply</t>
        </is>
      </c>
      <c r="S325" s="29" t="inlineStr">
        <is>
          <t>2–4 yrs</t>
        </is>
      </c>
      <c r="T325" s="29" t="inlineStr">
        <is>
          <t>3–5 · 2–5</t>
        </is>
      </c>
      <c r="U325" s="29" t="inlineStr">
        <is>
          <t>Software Engineer</t>
        </is>
      </c>
      <c r="V325" s="29" t="inlineStr">
        <is>
          <t>Workiva: SE · Broadridge India: SE · Nasdaq / AxiomSL: SE · Salesforce: MTS · Atlassian: P40 · 3–7 yrs · Freshworks: Senior SE</t>
        </is>
      </c>
      <c r="W325" s="29" t="inlineStr">
        <is>
          <t>SFIA 9 · software development, programming; OWASP secure coding; cloud vendor certifications</t>
        </is>
      </c>
      <c r="X325" s="29" t="inlineStr">
        <is>
          <t>Core 2 · Future 2 · Functional 3 · Leadership not scored</t>
        </is>
      </c>
      <c r="Y325" s="52" t="n">
        <v>320</v>
      </c>
      <c r="Z325" s="53" t="inlineStr">
        <is>
          <t>IRIS2257</t>
        </is>
      </c>
      <c r="AA325" s="53" t="inlineStr">
        <is>
          <t>Employee</t>
        </is>
      </c>
      <c r="AB325" s="53" t="inlineStr">
        <is>
          <t>Active</t>
        </is>
      </c>
      <c r="AC325" s="53" t="inlineStr">
        <is>
          <t>Rudransh Nemade</t>
        </is>
      </c>
      <c r="AD325" s="54" t="n">
        <v>45446</v>
      </c>
      <c r="AE325" s="53" t="inlineStr">
        <is>
          <t>Trainee Software Engineer</t>
        </is>
      </c>
      <c r="AF325" s="53" t="inlineStr">
        <is>
          <t>B.E</t>
        </is>
      </c>
      <c r="AG325" s="53" t="inlineStr">
        <is>
          <t>Pushpendra Singh</t>
        </is>
      </c>
      <c r="AH325" s="53" t="inlineStr">
        <is>
          <t>N-4</t>
        </is>
      </c>
      <c r="AI325" s="53" t="inlineStr">
        <is>
          <t>Individual Contributor</t>
        </is>
      </c>
      <c r="AJ325" s="53" t="inlineStr">
        <is>
          <t>0 years, 0 months, 0 days</t>
        </is>
      </c>
      <c r="AK325" s="53" t="inlineStr">
        <is>
          <t>2 years, 2 months, 22 days</t>
        </is>
      </c>
      <c r="AL325" s="53" t="inlineStr">
        <is>
          <t>Suptech</t>
        </is>
      </c>
      <c r="AM325" s="53" t="inlineStr">
        <is>
          <t>iFile</t>
        </is>
      </c>
      <c r="AN325" s="53" t="inlineStr">
        <is>
          <t>Technology</t>
        </is>
      </c>
      <c r="AO325" s="53" t="inlineStr">
        <is>
          <t>Development</t>
        </is>
      </c>
      <c r="AP325" s="53" t="inlineStr">
        <is>
          <t>Yes</t>
        </is>
      </c>
      <c r="AQ325" s="53" t="inlineStr">
        <is>
          <t>Product/Project</t>
        </is>
      </c>
      <c r="AR325" s="53" t="inlineStr">
        <is>
          <t>Java + Angular</t>
        </is>
      </c>
      <c r="AS325" s="53" t="inlineStr">
        <is>
          <t>Technical - Developer</t>
        </is>
      </c>
      <c r="AT325" s="53" t="n">
        <v>20</v>
      </c>
      <c r="AU325" s="53" t="inlineStr">
        <is>
          <t>Covered</t>
        </is>
      </c>
      <c r="AV325" s="53" t="n"/>
      <c r="AW325" s="53" t="n"/>
      <c r="AX325" s="53" t="n"/>
      <c r="AY325" s="53" t="n"/>
      <c r="AZ325" s="53" t="n"/>
      <c r="BA325" s="53" t="n"/>
      <c r="BB325" s="53" t="n"/>
      <c r="BC325" s="53" t="n"/>
      <c r="BD325" s="53" t="n"/>
      <c r="BE325" s="53" t="n"/>
      <c r="BF325" s="53" t="n"/>
      <c r="BG325" s="53" t="n"/>
      <c r="BH325" s="53" t="n"/>
      <c r="BI325" s="53" t="n"/>
      <c r="BJ325" s="53" t="n"/>
      <c r="BK325" s="53" t="n"/>
      <c r="BL325" s="53" t="n"/>
      <c r="BM325" s="53" t="n"/>
      <c r="BN325" s="53" t="n"/>
      <c r="BO325" s="53" t="n"/>
      <c r="BP325" s="53" t="n"/>
      <c r="BQ325" s="53" t="n"/>
      <c r="BR325" s="53" t="n"/>
      <c r="BS325" s="53" t="n"/>
      <c r="BT325" s="53" t="n"/>
      <c r="BU325" s="53" t="n"/>
      <c r="BV325" s="53" t="n"/>
      <c r="BW325" s="53" t="n"/>
      <c r="BX325" s="53" t="n"/>
      <c r="BY325" s="53" t="n"/>
      <c r="BZ325" s="53" t="n"/>
      <c r="CA325" s="53" t="n"/>
      <c r="CB325" s="53" t="n"/>
      <c r="CC325" s="53" t="n"/>
      <c r="CD325" s="53" t="n"/>
      <c r="CE325" s="53" t="n"/>
      <c r="CF325" s="53" t="n"/>
      <c r="CG325" s="53" t="n"/>
      <c r="CH325" s="53" t="n"/>
      <c r="CI325" s="53" t="n"/>
      <c r="CJ325" s="53" t="n"/>
      <c r="CK325" s="53" t="n"/>
      <c r="CL325" s="53" t="n"/>
      <c r="CM325" s="53" t="n"/>
      <c r="CN325" s="53" t="n"/>
      <c r="CO325" s="53" t="n"/>
      <c r="CP325" s="53" t="n"/>
      <c r="CQ325" s="53" t="n"/>
      <c r="CR325" s="53" t="n"/>
      <c r="CS325" s="53" t="n"/>
      <c r="CT325" s="53" t="n"/>
      <c r="CU325" s="53" t="n"/>
      <c r="CV325" s="53" t="n"/>
      <c r="CW325" s="53" t="n"/>
      <c r="CX325" s="53" t="n"/>
      <c r="CY325" s="53" t="n"/>
      <c r="CZ325" s="53" t="n"/>
      <c r="DA325" s="53" t="n"/>
      <c r="DB325" s="53" t="n"/>
      <c r="DC325" s="53" t="n"/>
      <c r="DD325" s="53" t="inlineStr">
        <is>
          <t>IRIS2257</t>
        </is>
      </c>
      <c r="DE325" s="53" t="inlineStr">
        <is>
          <t>Employee</t>
        </is>
      </c>
      <c r="DF325" s="53" t="inlineStr">
        <is>
          <t>Active</t>
        </is>
      </c>
      <c r="DG325" s="53" t="inlineStr">
        <is>
          <t>Rudransh Nemade</t>
        </is>
      </c>
      <c r="DH325" s="54" t="n">
        <v>45446</v>
      </c>
      <c r="DI325" s="53" t="inlineStr">
        <is>
          <t>Trainee Software Engineer</t>
        </is>
      </c>
      <c r="DJ325" s="53" t="inlineStr">
        <is>
          <t>Engineering &amp; Development</t>
        </is>
      </c>
      <c r="DK325" s="53" t="inlineStr">
        <is>
          <t>Backend Engineering · Java</t>
        </is>
      </c>
      <c r="DL325" s="53" t="inlineStr">
        <is>
          <t>Trainee Software Engineer</t>
        </is>
      </c>
      <c r="DM325" s="53" t="inlineStr">
        <is>
          <t>L2 – Trainee</t>
        </is>
      </c>
      <c r="DN325" s="53" t="inlineStr">
        <is>
          <t>B.E</t>
        </is>
      </c>
      <c r="DO325" s="53" t="inlineStr">
        <is>
          <t>Pushpendra Singh</t>
        </is>
      </c>
      <c r="DP325" s="53" t="inlineStr">
        <is>
          <t>N-3</t>
        </is>
      </c>
      <c r="DQ325" s="53" t="inlineStr">
        <is>
          <t>Individual Contributor</t>
        </is>
      </c>
      <c r="DR325" s="53" t="inlineStr">
        <is>
          <t>0 years, 0 months, 0 days</t>
        </is>
      </c>
      <c r="DS325" s="53" t="inlineStr">
        <is>
          <t>2 years, 0 months, 17 days</t>
        </is>
      </c>
      <c r="DT325" s="53" t="inlineStr">
        <is>
          <t>2 years, 0 months, 17 days</t>
        </is>
      </c>
      <c r="DU325" s="53" t="n"/>
      <c r="DV325" s="53" t="inlineStr">
        <is>
          <t>Suptech</t>
        </is>
      </c>
      <c r="DW325" s="53" t="inlineStr">
        <is>
          <t>iFile</t>
        </is>
      </c>
      <c r="DX325" s="53" t="inlineStr">
        <is>
          <t>Technology</t>
        </is>
      </c>
      <c r="DY325" s="53" t="inlineStr">
        <is>
          <t>Development</t>
        </is>
      </c>
      <c r="DZ325" s="53" t="inlineStr">
        <is>
          <t>Yes</t>
        </is>
      </c>
      <c r="EA325" s="53" t="inlineStr">
        <is>
          <t>Product/Project</t>
        </is>
      </c>
      <c r="EB325" s="53" t="inlineStr">
        <is>
          <t>Java + Angular</t>
        </is>
      </c>
      <c r="EC325" s="53" t="inlineStr">
        <is>
          <t>Technical - Developer</t>
        </is>
      </c>
      <c r="ED325" s="53" t="inlineStr">
        <is>
          <t>Work From Office - Turbhe</t>
        </is>
      </c>
      <c r="EE325" s="53" t="n"/>
      <c r="EF32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5" s="53" t="n">
        <v>3</v>
      </c>
      <c r="EI325" s="54" t="n">
        <v>45918</v>
      </c>
      <c r="EJ325" s="53" t="inlineStr">
        <is>
          <t>Trainee Software Engineer</t>
        </is>
      </c>
      <c r="EK325" s="53" t="n"/>
      <c r="EL325" s="53" t="n">
        <v>4</v>
      </c>
      <c r="EM325" s="53" t="inlineStr">
        <is>
          <t>Medium</t>
        </is>
      </c>
      <c r="EN325" s="53" t="inlineStr">
        <is>
          <t>Emerging Talent</t>
        </is>
      </c>
      <c r="EO325" s="53" t="inlineStr">
        <is>
          <t>No</t>
        </is>
      </c>
      <c r="EP325" s="53" t="inlineStr">
        <is>
          <t>No</t>
        </is>
      </c>
      <c r="EQ325" s="53" t="inlineStr">
        <is>
          <t>No</t>
        </is>
      </c>
      <c r="ER325" s="53" t="n"/>
      <c r="ES325" s="53" t="inlineStr">
        <is>
          <t>Advanced Java ;secure coding &amp; code-quality practices; unit/automated testing; system design fundamentals</t>
        </is>
      </c>
      <c r="ET325" s="53" t="inlineStr">
        <is>
          <t>Transition to leadership: people management &amp; delegation, mentoring/coaching, project ownership &amp; stakeholder management, prioritisation under ambiguity, presentation &amp; influence skills</t>
        </is>
      </c>
      <c r="EU325" s="53" t="n"/>
      <c r="EV325" s="53" t="n"/>
      <c r="EW325" s="52" t="n"/>
      <c r="EX325" s="53" t="n"/>
      <c r="EY325" s="53" t="n"/>
      <c r="EZ325" s="53" t="n"/>
      <c r="FA325" s="53" t="n"/>
      <c r="FB325" s="53" t="n"/>
      <c r="FC325" s="53" t="n"/>
      <c r="FD325" s="53" t="n"/>
      <c r="FE32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5" s="56" t="n"/>
      <c r="FH325" s="56" t="inlineStr">
        <is>
          <t>3</t>
        </is>
      </c>
      <c r="FI325" s="56" t="n"/>
      <c r="FJ325" s="56" t="inlineStr">
        <is>
          <t>Received · manager annual, quarterly</t>
        </is>
      </c>
      <c r="FK325" s="56" t="inlineStr">
        <is>
          <t>Talent Mapping · iFile collated</t>
        </is>
      </c>
      <c r="FL325" s="56" t="n">
        <v>20</v>
      </c>
      <c r="FM325" s="32" t="inlineStr">
        <is>
          <t>Full survey answers not in the files received · How We Grow export needed · HR</t>
        </is>
      </c>
      <c r="FN325" s="56" t="inlineStr">
        <is>
          <t>—</t>
        </is>
      </c>
      <c r="FO325" s="56" t="inlineStr">
        <is>
          <t>—</t>
        </is>
      </c>
      <c r="FP325" s="56" t="inlineStr">
        <is>
          <t>—</t>
        </is>
      </c>
      <c r="FQ325" s="56" t="inlineStr">
        <is>
          <t>—</t>
        </is>
      </c>
      <c r="FR325" s="56"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quoted → moved up 1
Leadership: Evidence reads like A1: None described → matches the start
Business Impact: No survey or manager-mapping signal on criticality: kept at the start point.</t>
        </is>
      </c>
      <c r="FS325"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25" s="56" t="inlineStr">
        <is>
          <t>Self-identified: Answered · no common topic
For the next role: Answered · no common topic</t>
        </is>
      </c>
      <c r="FU325" s="32" t="inlineStr">
        <is>
          <t>Full survey answers not in the files received · How We Grow export needed · HR</t>
        </is>
      </c>
    </row>
    <row r="326" ht="90" customHeight="1">
      <c r="A326" s="51" t="inlineStr">
        <is>
          <t>◂ Back</t>
        </is>
      </c>
      <c r="B326" s="29" t="inlineStr">
        <is>
          <t>Mapped</t>
        </is>
      </c>
      <c r="C326" s="28" t="inlineStr">
        <is>
          <t>iFile</t>
        </is>
      </c>
      <c r="D326" s="29" t="inlineStr">
        <is>
          <t>IRIS2183</t>
        </is>
      </c>
      <c r="E326" s="29" t="inlineStr">
        <is>
          <t>Saikiran Rowlo</t>
        </is>
      </c>
      <c r="F326" s="29" t="inlineStr">
        <is>
          <t>Technology</t>
        </is>
      </c>
      <c r="G326" s="29" t="inlineStr">
        <is>
          <t>Junior Software Engineer</t>
        </is>
      </c>
      <c r="H326" s="29" t="inlineStr">
        <is>
          <t>Senior Software Engineer</t>
        </is>
      </c>
      <c r="I326" s="29" t="inlineStr">
        <is>
          <t>L3 – Professional / Associate</t>
        </is>
      </c>
      <c r="J326" s="29" t="inlineStr">
        <is>
          <t>A3</t>
        </is>
      </c>
      <c r="K326" s="29" t="inlineStr">
        <is>
          <t>▲ Up</t>
        </is>
      </c>
      <c r="L326" s="29" t="inlineStr">
        <is>
          <t>Engineering &amp; Development</t>
        </is>
      </c>
      <c r="M326" s="29" t="inlineStr">
        <is>
          <t>Backend Development</t>
        </is>
      </c>
      <c r="N326" s="29" t="n"/>
      <c r="O326" s="29" t="n">
        <v>17</v>
      </c>
      <c r="P326" s="28" t="inlineStr">
        <is>
          <t>P2</t>
        </is>
      </c>
      <c r="Q326" s="29" t="inlineStr">
        <is>
          <t>Developing</t>
        </is>
      </c>
      <c r="R326" s="29" t="inlineStr">
        <is>
          <t>3 Apply</t>
        </is>
      </c>
      <c r="S326" s="29" t="inlineStr">
        <is>
          <t>2–4 yrs</t>
        </is>
      </c>
      <c r="T326" s="29" t="inlineStr">
        <is>
          <t>3–5 · 2–5</t>
        </is>
      </c>
      <c r="U326" s="29" t="inlineStr">
        <is>
          <t>Software Engineer</t>
        </is>
      </c>
      <c r="V326" s="29" t="inlineStr">
        <is>
          <t>Workiva: SE · Broadridge India: SE · Nasdaq / AxiomSL: SE · Salesforce: MTS · Atlassian: P40 · 3–7 yrs · Freshworks: Senior SE</t>
        </is>
      </c>
      <c r="W326" s="29" t="inlineStr">
        <is>
          <t>SFIA 9 · software development, programming; OWASP secure coding; cloud vendor certifications</t>
        </is>
      </c>
      <c r="X326" s="29" t="inlineStr">
        <is>
          <t>Core 2 · Future 2 · Functional 3 · Leadership not scored</t>
        </is>
      </c>
      <c r="Y326" s="52" t="n">
        <v>292</v>
      </c>
      <c r="Z326" s="53" t="inlineStr">
        <is>
          <t>IRIS2183</t>
        </is>
      </c>
      <c r="AA326" s="53" t="inlineStr">
        <is>
          <t>Employee</t>
        </is>
      </c>
      <c r="AB326" s="53" t="inlineStr">
        <is>
          <t>Active</t>
        </is>
      </c>
      <c r="AC326" s="53" t="inlineStr">
        <is>
          <t>Saikiran Rowlo</t>
        </is>
      </c>
      <c r="AD326" s="54" t="n">
        <v>45180</v>
      </c>
      <c r="AE326" s="53" t="inlineStr">
        <is>
          <t>Junior Software Engineer</t>
        </is>
      </c>
      <c r="AF326" s="53" t="inlineStr">
        <is>
          <t>B.E</t>
        </is>
      </c>
      <c r="AG326" s="53" t="inlineStr">
        <is>
          <t>Pushpendra Singh</t>
        </is>
      </c>
      <c r="AH326" s="53" t="inlineStr">
        <is>
          <t>N-4</t>
        </is>
      </c>
      <c r="AI326" s="53" t="inlineStr">
        <is>
          <t>Individual Contributor</t>
        </is>
      </c>
      <c r="AJ326" s="53" t="inlineStr">
        <is>
          <t>0 years, 0 months, 0 days</t>
        </is>
      </c>
      <c r="AK326" s="53" t="inlineStr">
        <is>
          <t>2 years, 11 months, 14 days</t>
        </is>
      </c>
      <c r="AL326" s="53" t="inlineStr">
        <is>
          <t>Suptech</t>
        </is>
      </c>
      <c r="AM326" s="53" t="inlineStr">
        <is>
          <t>iFile</t>
        </is>
      </c>
      <c r="AN326" s="53" t="inlineStr">
        <is>
          <t>Technology</t>
        </is>
      </c>
      <c r="AO326" s="53" t="inlineStr">
        <is>
          <t>Development</t>
        </is>
      </c>
      <c r="AP326" s="53" t="inlineStr">
        <is>
          <t>Yes</t>
        </is>
      </c>
      <c r="AQ326" s="53" t="inlineStr">
        <is>
          <t>Product/Project</t>
        </is>
      </c>
      <c r="AR326" s="53" t="inlineStr">
        <is>
          <t>Java</t>
        </is>
      </c>
      <c r="AS326" s="53" t="inlineStr">
        <is>
          <t>Technical - Developer</t>
        </is>
      </c>
      <c r="AT326" s="53" t="n">
        <v>20</v>
      </c>
      <c r="AU326" s="53" t="inlineStr">
        <is>
          <t>Covered</t>
        </is>
      </c>
      <c r="AV326" s="53" t="n"/>
      <c r="AW326" s="53" t="n"/>
      <c r="AX326" s="53" t="n"/>
      <c r="AY326" s="53" t="n"/>
      <c r="AZ326" s="53" t="n"/>
      <c r="BA326" s="53" t="n"/>
      <c r="BB326" s="53" t="n"/>
      <c r="BC326" s="53" t="n"/>
      <c r="BD326" s="53" t="n"/>
      <c r="BE326" s="53" t="n"/>
      <c r="BF326" s="53" t="n"/>
      <c r="BG326" s="53" t="n"/>
      <c r="BH326" s="53" t="n"/>
      <c r="BI326" s="53" t="n"/>
      <c r="BJ326" s="53" t="n"/>
      <c r="BK326" s="53" t="n"/>
      <c r="BL326" s="53" t="n"/>
      <c r="BM326" s="53" t="n"/>
      <c r="BN326" s="53" t="n"/>
      <c r="BO326" s="53" t="n"/>
      <c r="BP326" s="53" t="n"/>
      <c r="BQ326" s="53" t="n"/>
      <c r="BR326" s="53" t="n"/>
      <c r="BS326" s="53" t="n"/>
      <c r="BT326" s="53" t="n"/>
      <c r="BU326" s="53" t="n"/>
      <c r="BV326" s="53" t="n"/>
      <c r="BW326" s="53" t="n"/>
      <c r="BX326" s="53" t="n"/>
      <c r="BY326" s="53" t="n"/>
      <c r="BZ326" s="53" t="n"/>
      <c r="CA326" s="53" t="n"/>
      <c r="CB326" s="53" t="n"/>
      <c r="CC326" s="53" t="n"/>
      <c r="CD326" s="53" t="n"/>
      <c r="CE326" s="53" t="n"/>
      <c r="CF326" s="53" t="n"/>
      <c r="CG326" s="53" t="n"/>
      <c r="CH326" s="53" t="n"/>
      <c r="CI326" s="53" t="n"/>
      <c r="CJ326" s="53" t="n"/>
      <c r="CK326" s="53" t="n"/>
      <c r="CL326" s="53" t="n"/>
      <c r="CM326" s="53" t="n"/>
      <c r="CN326" s="53" t="n"/>
      <c r="CO326" s="53" t="n"/>
      <c r="CP326" s="53" t="n"/>
      <c r="CQ326" s="53" t="n"/>
      <c r="CR326" s="53" t="n"/>
      <c r="CS326" s="53" t="n"/>
      <c r="CT326" s="53" t="n"/>
      <c r="CU326" s="53" t="n"/>
      <c r="CV326" s="53" t="n"/>
      <c r="CW326" s="53" t="n"/>
      <c r="CX326" s="53" t="n"/>
      <c r="CY326" s="53" t="n"/>
      <c r="CZ326" s="53" t="n"/>
      <c r="DA326" s="53" t="n"/>
      <c r="DB326" s="53" t="n"/>
      <c r="DC326" s="53" t="n"/>
      <c r="DD326" s="53" t="inlineStr">
        <is>
          <t>IRIS2183</t>
        </is>
      </c>
      <c r="DE326" s="53" t="inlineStr">
        <is>
          <t>Employee</t>
        </is>
      </c>
      <c r="DF326" s="53" t="inlineStr">
        <is>
          <t>Active</t>
        </is>
      </c>
      <c r="DG326" s="53" t="inlineStr">
        <is>
          <t>Saikiran Rowlo</t>
        </is>
      </c>
      <c r="DH326" s="54" t="n">
        <v>45180</v>
      </c>
      <c r="DI326" s="53" t="inlineStr">
        <is>
          <t>Junior Software Engineer</t>
        </is>
      </c>
      <c r="DJ326" s="53" t="inlineStr">
        <is>
          <t>Engineering &amp; Development</t>
        </is>
      </c>
      <c r="DK326" s="53" t="inlineStr">
        <is>
          <t>Backend Engineering · Java</t>
        </is>
      </c>
      <c r="DL326" s="53" t="inlineStr">
        <is>
          <t>Junior Software Engineer</t>
        </is>
      </c>
      <c r="DM326" s="53" t="inlineStr">
        <is>
          <t>L3 – Professional / Associate</t>
        </is>
      </c>
      <c r="DN326" s="53" t="inlineStr">
        <is>
          <t>B.E</t>
        </is>
      </c>
      <c r="DO326" s="53" t="inlineStr">
        <is>
          <t>Pushpendra Singh</t>
        </is>
      </c>
      <c r="DP326" s="53" t="inlineStr">
        <is>
          <t>N-3</t>
        </is>
      </c>
      <c r="DQ326" s="53" t="inlineStr">
        <is>
          <t>Individual Contributor</t>
        </is>
      </c>
      <c r="DR326" s="53" t="inlineStr">
        <is>
          <t>0 years, 0 months, 0 days</t>
        </is>
      </c>
      <c r="DS326" s="53" t="inlineStr">
        <is>
          <t>2 years, 9 months, 9 days</t>
        </is>
      </c>
      <c r="DT326" s="53" t="inlineStr">
        <is>
          <t>2 years, 9 months, 9 days</t>
        </is>
      </c>
      <c r="DU326" s="53" t="n"/>
      <c r="DV326" s="53" t="inlineStr">
        <is>
          <t>Suptech</t>
        </is>
      </c>
      <c r="DW326" s="53" t="inlineStr">
        <is>
          <t>iFile</t>
        </is>
      </c>
      <c r="DX326" s="53" t="inlineStr">
        <is>
          <t>Technology</t>
        </is>
      </c>
      <c r="DY326" s="53" t="inlineStr">
        <is>
          <t>Development</t>
        </is>
      </c>
      <c r="DZ326" s="53" t="inlineStr">
        <is>
          <t>Yes</t>
        </is>
      </c>
      <c r="EA326" s="53" t="inlineStr">
        <is>
          <t>Product/Project</t>
        </is>
      </c>
      <c r="EB326" s="53" t="inlineStr">
        <is>
          <t>Java</t>
        </is>
      </c>
      <c r="EC326" s="53" t="inlineStr">
        <is>
          <t>Technical - Developer</t>
        </is>
      </c>
      <c r="ED326" s="53" t="inlineStr">
        <is>
          <t>Work From Office - Turbhe</t>
        </is>
      </c>
      <c r="EE326" s="53" t="n"/>
      <c r="EF32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6" s="53" t="n">
        <v>3</v>
      </c>
      <c r="EI326" s="54" t="n">
        <v>45917</v>
      </c>
      <c r="EJ326" s="53" t="inlineStr">
        <is>
          <t>Junior Software Engineer</t>
        </is>
      </c>
      <c r="EK326" s="53" t="n"/>
      <c r="EL326" s="53" t="n">
        <v>4</v>
      </c>
      <c r="EM326" s="53" t="inlineStr">
        <is>
          <t>Medium</t>
        </is>
      </c>
      <c r="EN326" s="53" t="inlineStr">
        <is>
          <t>Emerging Talent</t>
        </is>
      </c>
      <c r="EO326" s="53" t="inlineStr">
        <is>
          <t>No</t>
        </is>
      </c>
      <c r="EP326" s="53" t="inlineStr">
        <is>
          <t>No</t>
        </is>
      </c>
      <c r="EQ326" s="53" t="inlineStr">
        <is>
          <t>No</t>
        </is>
      </c>
      <c r="ER326" s="53" t="n"/>
      <c r="ES326" s="53" t="inlineStr">
        <is>
          <t>Advanced Java; secure coding &amp; code-quality practices; unit/automated testing; system design fundamentals</t>
        </is>
      </c>
      <c r="ET326" s="53" t="inlineStr">
        <is>
          <t>Transition to leadership: people management &amp; delegation, mentoring/coaching, project ownership &amp; stakeholder management, prioritisation under ambiguity, presentation &amp; influence skills</t>
        </is>
      </c>
      <c r="EU326" s="53" t="n"/>
      <c r="EV326" s="53" t="n"/>
      <c r="EW326" s="52" t="n"/>
      <c r="EX326" s="53" t="n"/>
      <c r="EY326" s="53" t="n"/>
      <c r="EZ326" s="53" t="n"/>
      <c r="FA326" s="53" t="n"/>
      <c r="FB326" s="53" t="n"/>
      <c r="FC326" s="53" t="n"/>
      <c r="FD326" s="53" t="n"/>
      <c r="FE32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6" s="56" t="n"/>
      <c r="FH326" s="56" t="inlineStr">
        <is>
          <t>3</t>
        </is>
      </c>
      <c r="FI326" s="56" t="n"/>
      <c r="FJ326" s="56" t="inlineStr">
        <is>
          <t>Received · manager annual, quarterly</t>
        </is>
      </c>
      <c r="FK326" s="56" t="inlineStr">
        <is>
          <t>Talent Mapping · iFile collated</t>
        </is>
      </c>
      <c r="FL326" s="56" t="n">
        <v>17</v>
      </c>
      <c r="FM326" s="32" t="inlineStr">
        <is>
          <t>Full survey answers not in the files received · How We Grow export needed · HR</t>
        </is>
      </c>
      <c r="FN326" s="56" t="inlineStr">
        <is>
          <t>—</t>
        </is>
      </c>
      <c r="FO326" s="56" t="inlineStr">
        <is>
          <t>—</t>
        </is>
      </c>
      <c r="FP326" s="56" t="inlineStr">
        <is>
          <t>—</t>
        </is>
      </c>
      <c r="FQ326" s="56" t="inlineStr">
        <is>
          <t>—</t>
        </is>
      </c>
      <c r="FR326" s="56"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quickly → moved up 0.5
Leadership: Evidence reads like A1: No guidance of others described → matches the start
Business Impact: No move: the survey / manager mapping does not mark it business-critical or unique.</t>
        </is>
      </c>
      <c r="FS32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26" s="56" t="inlineStr">
        <is>
          <t>Self-identified: AI / automation
For the next role: AI / automation</t>
        </is>
      </c>
      <c r="FU326" s="32" t="inlineStr">
        <is>
          <t>Full survey answers not in the files received · How We Grow export needed · HR</t>
        </is>
      </c>
    </row>
    <row r="327" ht="90" customHeight="1">
      <c r="A327" s="51" t="inlineStr">
        <is>
          <t>◂ Back</t>
        </is>
      </c>
      <c r="B327" s="29" t="inlineStr">
        <is>
          <t>Mapped</t>
        </is>
      </c>
      <c r="C327" s="28" t="inlineStr">
        <is>
          <t>iFile</t>
        </is>
      </c>
      <c r="D327" s="29" t="inlineStr">
        <is>
          <t>IRIS1871</t>
        </is>
      </c>
      <c r="E327" s="29" t="inlineStr">
        <is>
          <t>Sandeep Mehta</t>
        </is>
      </c>
      <c r="F327" s="29" t="inlineStr">
        <is>
          <t>Technology</t>
        </is>
      </c>
      <c r="G327" s="29" t="inlineStr">
        <is>
          <t>Software Engineer</t>
        </is>
      </c>
      <c r="H327" s="29" t="inlineStr">
        <is>
          <t>Senior Software Engineer</t>
        </is>
      </c>
      <c r="I327" s="29" t="inlineStr">
        <is>
          <t>L3 – Professional / Associate</t>
        </is>
      </c>
      <c r="J327" s="29" t="inlineStr">
        <is>
          <t>A3</t>
        </is>
      </c>
      <c r="K327" s="29" t="inlineStr">
        <is>
          <t>▲ Up</t>
        </is>
      </c>
      <c r="L327" s="29" t="inlineStr">
        <is>
          <t>Engineering &amp; Development</t>
        </is>
      </c>
      <c r="M327" s="29" t="inlineStr">
        <is>
          <t>Backend Development</t>
        </is>
      </c>
      <c r="N327" s="29" t="n"/>
      <c r="O327" s="29" t="n">
        <v>20</v>
      </c>
      <c r="P327" s="28" t="inlineStr">
        <is>
          <t>P2</t>
        </is>
      </c>
      <c r="Q327" s="29" t="inlineStr">
        <is>
          <t>Developing</t>
        </is>
      </c>
      <c r="R327" s="29" t="inlineStr">
        <is>
          <t>3 Apply</t>
        </is>
      </c>
      <c r="S327" s="29" t="inlineStr">
        <is>
          <t>2–4 yrs</t>
        </is>
      </c>
      <c r="T327" s="29" t="inlineStr">
        <is>
          <t>3–5 · 2–5</t>
        </is>
      </c>
      <c r="U327" s="29" t="inlineStr">
        <is>
          <t>Software Engineer</t>
        </is>
      </c>
      <c r="V327" s="29" t="inlineStr">
        <is>
          <t>Workiva: SE · Broadridge India: SE · Nasdaq / AxiomSL: SE · Salesforce: MTS · Atlassian: P40 · 3–7 yrs · Freshworks: Senior SE</t>
        </is>
      </c>
      <c r="W327" s="29" t="inlineStr">
        <is>
          <t>SFIA 9 · software development, programming; OWASP secure coding; cloud vendor certifications</t>
        </is>
      </c>
      <c r="X327" s="29" t="inlineStr">
        <is>
          <t>Core 2 · Future 2 · Functional 3 · Leadership not scored</t>
        </is>
      </c>
      <c r="Y327" s="52" t="n">
        <v>169</v>
      </c>
      <c r="Z327" s="53" t="inlineStr">
        <is>
          <t>IRIS1871</t>
        </is>
      </c>
      <c r="AA327" s="53" t="inlineStr">
        <is>
          <t>Employee</t>
        </is>
      </c>
      <c r="AB327" s="53" t="inlineStr">
        <is>
          <t>Active</t>
        </is>
      </c>
      <c r="AC327" s="53" t="inlineStr">
        <is>
          <t>Sandeep Mehta</t>
        </is>
      </c>
      <c r="AD327" s="54" t="n">
        <v>44081</v>
      </c>
      <c r="AE327" s="53" t="inlineStr">
        <is>
          <t>Software Engineer</t>
        </is>
      </c>
      <c r="AF327" s="53" t="inlineStr">
        <is>
          <t>B.Tech</t>
        </is>
      </c>
      <c r="AG327" s="53" t="inlineStr">
        <is>
          <t>Pushpendra Singh</t>
        </is>
      </c>
      <c r="AH327" s="53" t="inlineStr">
        <is>
          <t>N-4</t>
        </is>
      </c>
      <c r="AI327" s="53" t="inlineStr">
        <is>
          <t>Individual Contributor</t>
        </is>
      </c>
      <c r="AJ327" s="53" t="inlineStr">
        <is>
          <t>0 years, 0 months, 0 days</t>
        </is>
      </c>
      <c r="AK327" s="53" t="inlineStr">
        <is>
          <t>5 years, 11 months, 18 days</t>
        </is>
      </c>
      <c r="AL327" s="53" t="inlineStr">
        <is>
          <t>Suptech</t>
        </is>
      </c>
      <c r="AM327" s="53" t="inlineStr">
        <is>
          <t>iFile</t>
        </is>
      </c>
      <c r="AN327" s="53" t="inlineStr">
        <is>
          <t>Technology</t>
        </is>
      </c>
      <c r="AO327" s="53" t="inlineStr">
        <is>
          <t>Development</t>
        </is>
      </c>
      <c r="AP327" s="53" t="inlineStr">
        <is>
          <t>Yes</t>
        </is>
      </c>
      <c r="AQ327" s="53" t="inlineStr">
        <is>
          <t>Product/Project</t>
        </is>
      </c>
      <c r="AR327" s="53" t="inlineStr">
        <is>
          <t>Java</t>
        </is>
      </c>
      <c r="AS327" s="53" t="inlineStr">
        <is>
          <t>Technical - Developer</t>
        </is>
      </c>
      <c r="AT327" s="53" t="n">
        <v>20</v>
      </c>
      <c r="AU327" s="53" t="inlineStr">
        <is>
          <t>Covered</t>
        </is>
      </c>
      <c r="AV327" s="53" t="n"/>
      <c r="AW327" s="53" t="n"/>
      <c r="AX327" s="53" t="n"/>
      <c r="AY327" s="53" t="n"/>
      <c r="AZ327" s="53" t="n"/>
      <c r="BA327" s="53" t="n"/>
      <c r="BB327" s="53" t="n"/>
      <c r="BC327" s="53" t="n"/>
      <c r="BD327" s="53" t="n"/>
      <c r="BE327" s="53" t="n"/>
      <c r="BF327" s="53" t="n"/>
      <c r="BG327" s="53" t="n"/>
      <c r="BH327" s="53" t="n"/>
      <c r="BI327" s="53" t="n"/>
      <c r="BJ327" s="53" t="n"/>
      <c r="BK327" s="53" t="n"/>
      <c r="BL327" s="53" t="n"/>
      <c r="BM327" s="53" t="n"/>
      <c r="BN327" s="53" t="n"/>
      <c r="BO327" s="53" t="n"/>
      <c r="BP327" s="53" t="n"/>
      <c r="BQ327" s="53" t="n"/>
      <c r="BR327" s="53" t="n"/>
      <c r="BS327" s="53" t="n"/>
      <c r="BT327" s="53" t="n"/>
      <c r="BU327" s="53" t="n"/>
      <c r="BV327" s="53" t="n"/>
      <c r="BW327" s="53" t="n"/>
      <c r="BX327" s="53" t="n"/>
      <c r="BY327" s="53" t="n"/>
      <c r="BZ327" s="53" t="n"/>
      <c r="CA327" s="53" t="n"/>
      <c r="CB327" s="53" t="n"/>
      <c r="CC327" s="53" t="n"/>
      <c r="CD327" s="53" t="n"/>
      <c r="CE327" s="53" t="n"/>
      <c r="CF327" s="53" t="n"/>
      <c r="CG327" s="53" t="n"/>
      <c r="CH327" s="53" t="n"/>
      <c r="CI327" s="53" t="n"/>
      <c r="CJ327" s="53" t="n"/>
      <c r="CK327" s="53" t="n"/>
      <c r="CL327" s="53" t="n"/>
      <c r="CM327" s="53" t="n"/>
      <c r="CN327" s="53" t="n"/>
      <c r="CO327" s="53" t="n"/>
      <c r="CP327" s="53" t="n"/>
      <c r="CQ327" s="53" t="n"/>
      <c r="CR327" s="53" t="n"/>
      <c r="CS327" s="53" t="n"/>
      <c r="CT327" s="53" t="n"/>
      <c r="CU327" s="53" t="n"/>
      <c r="CV327" s="53" t="n"/>
      <c r="CW327" s="53" t="n"/>
      <c r="CX327" s="53" t="n"/>
      <c r="CY327" s="53" t="n"/>
      <c r="CZ327" s="53" t="n"/>
      <c r="DA327" s="53" t="n"/>
      <c r="DB327" s="53" t="n"/>
      <c r="DC327" s="53" t="n"/>
      <c r="DD327" s="53" t="inlineStr">
        <is>
          <t>IRIS1871</t>
        </is>
      </c>
      <c r="DE327" s="53" t="inlineStr">
        <is>
          <t>Employee</t>
        </is>
      </c>
      <c r="DF327" s="53" t="inlineStr">
        <is>
          <t>Active</t>
        </is>
      </c>
      <c r="DG327" s="53" t="inlineStr">
        <is>
          <t>Sandeep Mehta</t>
        </is>
      </c>
      <c r="DH327" s="54" t="n">
        <v>44081</v>
      </c>
      <c r="DI327" s="53" t="inlineStr">
        <is>
          <t>Software Engineer</t>
        </is>
      </c>
      <c r="DJ327" s="53" t="inlineStr">
        <is>
          <t>Engineering &amp; Development</t>
        </is>
      </c>
      <c r="DK327" s="53" t="inlineStr">
        <is>
          <t>Backend Engineering · Java</t>
        </is>
      </c>
      <c r="DL327" s="53" t="inlineStr">
        <is>
          <t>Software Engineer</t>
        </is>
      </c>
      <c r="DM327" s="53" t="inlineStr">
        <is>
          <t>L3 – Professional / Associate</t>
        </is>
      </c>
      <c r="DN327" s="53" t="inlineStr">
        <is>
          <t>B.Tech</t>
        </is>
      </c>
      <c r="DO327" s="53" t="inlineStr">
        <is>
          <t>Pushpendra Singh</t>
        </is>
      </c>
      <c r="DP327" s="53" t="inlineStr">
        <is>
          <t>N-3</t>
        </is>
      </c>
      <c r="DQ327" s="53" t="inlineStr">
        <is>
          <t>Individual Contributor</t>
        </is>
      </c>
      <c r="DR327" s="53" t="inlineStr">
        <is>
          <t>0 years, 0 months, 0 days</t>
        </is>
      </c>
      <c r="DS327" s="53" t="inlineStr">
        <is>
          <t>5 years, 9 months, 13 days</t>
        </is>
      </c>
      <c r="DT327" s="53" t="inlineStr">
        <is>
          <t>5 years, 9 months, 13 days</t>
        </is>
      </c>
      <c r="DU327" s="53" t="n"/>
      <c r="DV327" s="53" t="inlineStr">
        <is>
          <t>Suptech</t>
        </is>
      </c>
      <c r="DW327" s="53" t="inlineStr">
        <is>
          <t>iFile</t>
        </is>
      </c>
      <c r="DX327" s="53" t="inlineStr">
        <is>
          <t>Technology</t>
        </is>
      </c>
      <c r="DY327" s="53" t="inlineStr">
        <is>
          <t>Development</t>
        </is>
      </c>
      <c r="DZ327" s="53" t="inlineStr">
        <is>
          <t>Yes</t>
        </is>
      </c>
      <c r="EA327" s="53" t="inlineStr">
        <is>
          <t>Product/Project</t>
        </is>
      </c>
      <c r="EB327" s="53" t="inlineStr">
        <is>
          <t>Java</t>
        </is>
      </c>
      <c r="EC327" s="53" t="inlineStr">
        <is>
          <t>Technical - Developer</t>
        </is>
      </c>
      <c r="ED327" s="53" t="inlineStr">
        <is>
          <t>Remote- Outside Mumbai</t>
        </is>
      </c>
      <c r="EE327" s="53" t="n"/>
      <c r="EF32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7" s="53" t="n">
        <v>3</v>
      </c>
      <c r="EI327" s="54" t="n">
        <v>45919</v>
      </c>
      <c r="EJ327" s="53" t="inlineStr">
        <is>
          <t>Software Engineer</t>
        </is>
      </c>
      <c r="EK327" s="53" t="n"/>
      <c r="EL327" s="53" t="n">
        <v>4</v>
      </c>
      <c r="EM327" s="53" t="inlineStr">
        <is>
          <t>Medium</t>
        </is>
      </c>
      <c r="EN327" s="53" t="inlineStr">
        <is>
          <t>Trusted Professional</t>
        </is>
      </c>
      <c r="EO327" s="53" t="n"/>
      <c r="EP327" s="53" t="inlineStr">
        <is>
          <t>No</t>
        </is>
      </c>
      <c r="EQ327" s="53" t="inlineStr">
        <is>
          <t>Yes</t>
        </is>
      </c>
      <c r="ER327" s="53" t="n"/>
      <c r="ES327" s="53" t="inlineStr">
        <is>
          <t>Advanced Java; secure coding &amp; code-quality practices; unit/automated testing; system design fundamentals</t>
        </is>
      </c>
      <c r="ET327" s="53" t="inlineStr">
        <is>
          <t>Transition to leadership: people management &amp; delegation, mentoring/coaching, project ownership &amp; stakeholder management, prioritisation under ambiguity, presentation &amp; influence skills</t>
        </is>
      </c>
      <c r="EU327" s="53" t="n"/>
      <c r="EV327" s="53" t="n"/>
      <c r="EW327" s="52" t="n"/>
      <c r="EX327" s="53" t="n"/>
      <c r="EY327" s="53" t="n"/>
      <c r="EZ327" s="53" t="n"/>
      <c r="FA327" s="53" t="n"/>
      <c r="FB327" s="53" t="n"/>
      <c r="FC327" s="53" t="n"/>
      <c r="FD327" s="53" t="n"/>
      <c r="FE32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7" s="56" t="n"/>
      <c r="FH327" s="56" t="inlineStr">
        <is>
          <t>3</t>
        </is>
      </c>
      <c r="FI327" s="56" t="n"/>
      <c r="FJ327" s="56" t="inlineStr">
        <is>
          <t>Received · manager annual, quarterly</t>
        </is>
      </c>
      <c r="FK327" s="56" t="inlineStr">
        <is>
          <t>Talent Mapping · iFile collated</t>
        </is>
      </c>
      <c r="FL327" s="56" t="n">
        <v>20</v>
      </c>
      <c r="FM327" s="32" t="inlineStr">
        <is>
          <t>Full survey answers not in the files received · How We Grow export needed · HR</t>
        </is>
      </c>
      <c r="FN327" s="56" t="inlineStr">
        <is>
          <t>—</t>
        </is>
      </c>
      <c r="FO327" s="56" t="inlineStr">
        <is>
          <t>—</t>
        </is>
      </c>
      <c r="FP327" s="56" t="inlineStr">
        <is>
          <t>—</t>
        </is>
      </c>
      <c r="FQ327" s="56" t="inlineStr">
        <is>
          <t>—</t>
        </is>
      </c>
      <c r="FR327" s="56"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own new features → matches the start
Leadership: Evidence reads like A1: No guiding or leading described → matches the start
Business Impact: Moved +0.5: the survey / manager mapping marks it business-critical.</t>
        </is>
      </c>
      <c r="FS32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27" s="56" t="inlineStr">
        <is>
          <t>Self-identified: Leadership &amp; people management · Technical depth &amp; architecture
For the next role: Leadership &amp; people management · Technical depth &amp; architecture</t>
        </is>
      </c>
      <c r="FU327" s="32" t="inlineStr">
        <is>
          <t>Full survey answers not in the files received · How We Grow export needed · HR</t>
        </is>
      </c>
    </row>
    <row r="328" ht="90" customHeight="1">
      <c r="A328" s="51" t="inlineStr">
        <is>
          <t>◂ Back</t>
        </is>
      </c>
      <c r="B328" s="29" t="inlineStr">
        <is>
          <t>Mapped</t>
        </is>
      </c>
      <c r="C328" s="28" t="inlineStr">
        <is>
          <t>iFile</t>
        </is>
      </c>
      <c r="D328" s="29" t="inlineStr">
        <is>
          <t>IRIS2560</t>
        </is>
      </c>
      <c r="E328" s="29" t="inlineStr">
        <is>
          <t>Sumit Jain</t>
        </is>
      </c>
      <c r="F328" s="29" t="inlineStr">
        <is>
          <t>Product Management</t>
        </is>
      </c>
      <c r="G328" s="29" t="inlineStr">
        <is>
          <t>Senior Product Manager</t>
        </is>
      </c>
      <c r="H328" s="29" t="inlineStr">
        <is>
          <t>Senior Product Manager</t>
        </is>
      </c>
      <c r="I328" s="29" t="inlineStr">
        <is>
          <t>Not in current mapping files</t>
        </is>
      </c>
      <c r="J328" s="29" t="inlineStr">
        <is>
          <t>B3</t>
        </is>
      </c>
      <c r="K328" s="29" t="inlineStr">
        <is>
          <t>● Newly mapped</t>
        </is>
      </c>
      <c r="L328" s="29" t="inlineStr">
        <is>
          <t>Product Management</t>
        </is>
      </c>
      <c r="M328" s="29" t="inlineStr">
        <is>
          <t>Product Management</t>
        </is>
      </c>
      <c r="N328" s="29" t="inlineStr">
        <is>
          <t>• Total experience · outside + at IRIS — HR — HRIS
• Confirm prior experience · provisional placement — HR</t>
        </is>
      </c>
      <c r="O328" s="29" t="n">
        <v>20</v>
      </c>
      <c r="P328" s="28" t="inlineStr">
        <is>
          <t>P5 / M4</t>
        </is>
      </c>
      <c r="Q328" s="29" t="inlineStr">
        <is>
          <t>Expert / Senior Manager</t>
        </is>
      </c>
      <c r="R328" s="29" t="inlineStr">
        <is>
          <t>5 Ensure, advise</t>
        </is>
      </c>
      <c r="S328" s="29" t="inlineStr">
        <is>
          <t>8–12 yrs</t>
        </is>
      </c>
      <c r="T328" s="29" t="inlineStr">
        <is>
          <t>9–13 · 9–14</t>
        </is>
      </c>
      <c r="U328" s="29" t="inlineStr">
        <is>
          <t>Principal / Group Product Manager</t>
        </is>
      </c>
      <c r="V328" s="29" t="inlineStr">
        <is>
          <t>IRIS Vs Competitor Benchmark — SaaS product ladder: Principal / Group PM</t>
        </is>
      </c>
      <c r="W328" s="29" t="inlineStr">
        <is>
          <t>Pragmatic Institute Framework · 37 activities, 7 categories; AIPMM</t>
        </is>
      </c>
      <c r="X328" s="29" t="inlineStr">
        <is>
          <t>Core 4 · Future 3 · Functional 4 · Leadership 3</t>
        </is>
      </c>
      <c r="Y328" s="52" t="n">
        <v>533</v>
      </c>
      <c r="Z328" s="53" t="inlineStr">
        <is>
          <t>IRIS2560</t>
        </is>
      </c>
      <c r="AA328" s="53" t="inlineStr">
        <is>
          <t>Employee</t>
        </is>
      </c>
      <c r="AB328" s="53" t="inlineStr">
        <is>
          <t>Active</t>
        </is>
      </c>
      <c r="AC328" s="53" t="inlineStr">
        <is>
          <t>Sumit Jain</t>
        </is>
      </c>
      <c r="AD328" s="54" t="n">
        <v>46268</v>
      </c>
      <c r="AE328" s="53" t="inlineStr">
        <is>
          <t>Senior Product Manager</t>
        </is>
      </c>
      <c r="AF328" s="53" t="inlineStr">
        <is>
          <t>B.E</t>
        </is>
      </c>
      <c r="AG328" s="53" t="inlineStr">
        <is>
          <t>Pradip Dey</t>
        </is>
      </c>
      <c r="AH328" s="53" t="inlineStr">
        <is>
          <t>N-3</t>
        </is>
      </c>
      <c r="AI328" s="53" t="inlineStr">
        <is>
          <t>Individual Contributor</t>
        </is>
      </c>
      <c r="AJ328" s="53" t="n"/>
      <c r="AK328" s="53" t="n"/>
      <c r="AL328" s="53" t="inlineStr">
        <is>
          <t>Suptech</t>
        </is>
      </c>
      <c r="AM328" s="53" t="inlineStr">
        <is>
          <t>iFile</t>
        </is>
      </c>
      <c r="AN328" s="53" t="inlineStr">
        <is>
          <t>Product Management</t>
        </is>
      </c>
      <c r="AO328" s="53" t="inlineStr">
        <is>
          <t>Client Engagement</t>
        </is>
      </c>
      <c r="AP328" s="53" t="inlineStr">
        <is>
          <t>Yes</t>
        </is>
      </c>
      <c r="AQ328" s="53" t="inlineStr">
        <is>
          <t>Client Engagement</t>
        </is>
      </c>
      <c r="AR328" s="53" t="inlineStr">
        <is>
          <t>Product Management</t>
        </is>
      </c>
      <c r="AS328" s="53" t="inlineStr">
        <is>
          <t>Technical · BA, PM and QA</t>
        </is>
      </c>
      <c r="AT328" s="53" t="n">
        <v>20</v>
      </c>
      <c r="AU328" s="53" t="inlineStr">
        <is>
          <t>Covered</t>
        </is>
      </c>
      <c r="AV328" s="53" t="n"/>
      <c r="AW328" s="53" t="n"/>
      <c r="AX328" s="53" t="n"/>
      <c r="AY328" s="53" t="n"/>
      <c r="AZ328" s="53" t="n"/>
      <c r="BA328" s="53" t="n"/>
      <c r="BB328" s="53" t="n"/>
      <c r="BC328" s="53" t="n"/>
      <c r="BD328" s="53" t="n"/>
      <c r="BE328" s="53" t="n"/>
      <c r="BF328" s="53" t="n"/>
      <c r="BG328" s="53" t="n"/>
      <c r="BH328" s="53" t="n"/>
      <c r="BI328" s="53" t="n"/>
      <c r="BJ328" s="53" t="n"/>
      <c r="BK328" s="53" t="n"/>
      <c r="BL328" s="53" t="n"/>
      <c r="BM328" s="53" t="n"/>
      <c r="BN328" s="53" t="n"/>
      <c r="BO328" s="53" t="n"/>
      <c r="BP328" s="53" t="n"/>
      <c r="BQ328" s="53" t="n"/>
      <c r="BR328" s="53" t="n"/>
      <c r="BS328" s="53" t="n"/>
      <c r="BT328" s="53" t="n"/>
      <c r="BU328" s="53" t="n"/>
      <c r="BV328" s="53" t="n"/>
      <c r="BW328" s="53" t="n"/>
      <c r="BX328" s="53" t="n"/>
      <c r="BY328" s="53" t="n"/>
      <c r="BZ328" s="53" t="n"/>
      <c r="CA328" s="53" t="n"/>
      <c r="CB328" s="53" t="n"/>
      <c r="CC328" s="53" t="n"/>
      <c r="CD328" s="53" t="n"/>
      <c r="CE328" s="53" t="n"/>
      <c r="CF328" s="53" t="n"/>
      <c r="CG328" s="53" t="n"/>
      <c r="CH328" s="53" t="n"/>
      <c r="CI328" s="53" t="n"/>
      <c r="CJ328" s="53" t="n"/>
      <c r="CK328" s="53" t="n"/>
      <c r="CL328" s="53" t="n"/>
      <c r="CM328" s="53" t="n"/>
      <c r="CN328" s="53" t="n"/>
      <c r="CO328" s="53" t="n"/>
      <c r="CP328" s="53" t="n"/>
      <c r="CQ328" s="53" t="n"/>
      <c r="CR328" s="53" t="n"/>
      <c r="CS328" s="53" t="n"/>
      <c r="CT328" s="53" t="n"/>
      <c r="CU328" s="53" t="n"/>
      <c r="CV328" s="53" t="n"/>
      <c r="CW328" s="53" t="n"/>
      <c r="CX328" s="53" t="n"/>
      <c r="CY328" s="53" t="n"/>
      <c r="CZ328" s="53" t="n"/>
      <c r="DA328" s="53" t="n"/>
      <c r="DB328" s="53" t="n"/>
      <c r="DC328" s="53" t="n"/>
      <c r="DD328" s="53" t="n"/>
      <c r="DE328" s="53" t="n"/>
      <c r="DF328" s="53" t="n"/>
      <c r="DG328" s="53" t="n"/>
      <c r="DH328" s="53" t="n"/>
      <c r="DI328" s="53" t="n"/>
      <c r="DJ328" s="53" t="n"/>
      <c r="DK328" s="53" t="n"/>
      <c r="DL328" s="53" t="n"/>
      <c r="DM328" s="53" t="n"/>
      <c r="DN328" s="53" t="n"/>
      <c r="DO328" s="53" t="n"/>
      <c r="DP328" s="53" t="n"/>
      <c r="DQ328" s="53" t="n"/>
      <c r="DR328" s="53" t="n"/>
      <c r="DS328" s="53" t="n"/>
      <c r="DT328" s="53" t="n"/>
      <c r="DU328" s="53" t="n"/>
      <c r="DV328" s="53" t="n"/>
      <c r="DW328" s="53" t="n"/>
      <c r="DX328" s="53" t="n"/>
      <c r="DY328" s="53" t="n"/>
      <c r="DZ328" s="53" t="n"/>
      <c r="EA328" s="53" t="n"/>
      <c r="EB328" s="53" t="n"/>
      <c r="EC328" s="53" t="n"/>
      <c r="ED328" s="53" t="n"/>
      <c r="EE328" s="53" t="n"/>
      <c r="EF328" s="53" t="n"/>
      <c r="EG328" s="53" t="n"/>
      <c r="EH328" s="53" t="n"/>
      <c r="EI328" s="53" t="n"/>
      <c r="EJ328" s="53" t="n"/>
      <c r="EK328" s="53" t="n"/>
      <c r="EL328" s="53" t="n"/>
      <c r="EM328" s="53" t="n"/>
      <c r="EN328" s="53" t="n"/>
      <c r="EO328" s="53" t="n"/>
      <c r="EP328" s="53" t="n"/>
      <c r="EQ328" s="53" t="n"/>
      <c r="ER328" s="53" t="n"/>
      <c r="ES328" s="53" t="n"/>
      <c r="ET328" s="53" t="n"/>
      <c r="EU328" s="53" t="n"/>
      <c r="EV328" s="53" t="n"/>
      <c r="EW328" s="52" t="n"/>
      <c r="EX328" s="53" t="n"/>
      <c r="EY328" s="53" t="n"/>
      <c r="EZ328" s="53" t="n"/>
      <c r="FA328" s="53" t="n"/>
      <c r="FB328" s="53" t="n"/>
      <c r="FC328" s="53" t="n"/>
      <c r="FD328" s="53" t="n"/>
      <c r="FE328" s="55" t="inlineStr">
        <is>
          <t>KRAs not received · manager to supply</t>
        </is>
      </c>
      <c r="FF328" s="56" t="n"/>
      <c r="FG328" s="56" t="n"/>
      <c r="FH328" s="56" t="n"/>
      <c r="FI328" s="56" t="n"/>
      <c r="FJ328" s="32" t="inlineStr">
        <is>
          <t>KRAs not received · manager to supply</t>
        </is>
      </c>
      <c r="FK328" s="56" t="n"/>
      <c r="FL328" s="56" t="n">
        <v>20</v>
      </c>
      <c r="FM328" s="32" t="inlineStr">
        <is>
          <t>Full survey answers not in the files received · How We Grow export needed · HR</t>
        </is>
      </c>
      <c r="FN328" s="56" t="inlineStr">
        <is>
          <t>—</t>
        </is>
      </c>
      <c r="FO328" s="56" t="inlineStr">
        <is>
          <t>—</t>
        </is>
      </c>
      <c r="FP328" s="56" t="inlineStr">
        <is>
          <t>—</t>
        </is>
      </c>
      <c r="FQ328" s="56" t="inlineStr">
        <is>
          <t>—</t>
        </is>
      </c>
      <c r="FR32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28"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328" s="56" t="inlineStr">
        <is>
          <t>Self-identified: Product &amp; tool knowledge · Strategy &amp; business acumen · Broader exposure &amp; ownership
For the next role: Product &amp; tool knowledge · Strategy &amp; business acumen · Broader exposure &amp; ownership</t>
        </is>
      </c>
      <c r="FU328" s="32" t="inlineStr">
        <is>
          <t>Full survey answers not in the files received · How We Grow export needed · HR</t>
        </is>
      </c>
    </row>
    <row r="329" ht="90" customHeight="1">
      <c r="A329" s="51" t="inlineStr">
        <is>
          <t>◂ Back</t>
        </is>
      </c>
      <c r="B329" s="29" t="inlineStr">
        <is>
          <t>Mapped</t>
        </is>
      </c>
      <c r="C329" s="28" t="inlineStr">
        <is>
          <t>iFile</t>
        </is>
      </c>
      <c r="D329" s="29" t="inlineStr">
        <is>
          <t>IRIS2497</t>
        </is>
      </c>
      <c r="E329" s="29" t="inlineStr">
        <is>
          <t>Tarun Kumar Mittal</t>
        </is>
      </c>
      <c r="F329" s="29" t="inlineStr">
        <is>
          <t>Technology</t>
        </is>
      </c>
      <c r="G329" s="29" t="inlineStr">
        <is>
          <t>Senior Project Manager</t>
        </is>
      </c>
      <c r="H329" s="29" t="inlineStr">
        <is>
          <t>Program Manager</t>
        </is>
      </c>
      <c r="I329" s="29" t="inlineStr">
        <is>
          <t>L5 – Manager</t>
        </is>
      </c>
      <c r="J329" s="29" t="inlineStr">
        <is>
          <t>B3</t>
        </is>
      </c>
      <c r="K329" s="29" t="inlineStr">
        <is>
          <t>▲ Up</t>
        </is>
      </c>
      <c r="L329" s="29" t="inlineStr">
        <is>
          <t>Project &amp; Program Management</t>
        </is>
      </c>
      <c r="M329" s="29" t="inlineStr">
        <is>
          <t>Project &amp; Program Delivery</t>
        </is>
      </c>
      <c r="N329" s="29" t="inlineStr">
        <is>
          <t>• Confirm the reporting line — Manager</t>
        </is>
      </c>
      <c r="O329" s="29" t="n">
        <v>0</v>
      </c>
      <c r="P329" s="28" t="inlineStr">
        <is>
          <t>P5 / M4</t>
        </is>
      </c>
      <c r="Q329" s="29" t="inlineStr">
        <is>
          <t>Expert / Senior Manager</t>
        </is>
      </c>
      <c r="R329" s="29" t="inlineStr">
        <is>
          <t>5 Ensure, advise</t>
        </is>
      </c>
      <c r="S329" s="29" t="inlineStr">
        <is>
          <t>8–12 yrs</t>
        </is>
      </c>
      <c r="T329" s="29" t="inlineStr">
        <is>
          <t>9–13 · 9–14</t>
        </is>
      </c>
      <c r="U329" s="29" t="inlineStr">
        <is>
          <t>Senior Program Manager</t>
        </is>
      </c>
      <c r="V329" s="29" t="inlineStr">
        <is>
          <t>IRIS Vs Competitor Benchmark — PMI pathway + SaaS delivery ladder: Program Manager · PgMP · Infosys / Accenture: JL6B Project Manager · L7 Manager</t>
        </is>
      </c>
      <c r="W329" s="29" t="inlineStr">
        <is>
          <t>PMI PMBOK and Talent Triangle; CAPM · entry → PMP → PgMP; Scrum / SAFe</t>
        </is>
      </c>
      <c r="X329" s="29" t="inlineStr">
        <is>
          <t>Core 4 · Future 3 · Functional 4 · Leadership 3</t>
        </is>
      </c>
      <c r="Y329" s="52" t="n">
        <v>470</v>
      </c>
      <c r="Z329" s="53" t="inlineStr">
        <is>
          <t>IRIS2497</t>
        </is>
      </c>
      <c r="AA329" s="53" t="inlineStr">
        <is>
          <t>Employee</t>
        </is>
      </c>
      <c r="AB329" s="53" t="inlineStr">
        <is>
          <t>Active</t>
        </is>
      </c>
      <c r="AC329" s="53" t="inlineStr">
        <is>
          <t>Tarun Kumar Mittal</t>
        </is>
      </c>
      <c r="AD329" s="54" t="n">
        <v>46097</v>
      </c>
      <c r="AE329" s="53" t="inlineStr">
        <is>
          <t>Senior Project Manager</t>
        </is>
      </c>
      <c r="AF329" s="53" t="inlineStr">
        <is>
          <t>B.Tech</t>
        </is>
      </c>
      <c r="AG329" s="53" t="inlineStr">
        <is>
          <t>Pradip Dey</t>
        </is>
      </c>
      <c r="AH329" s="53" t="inlineStr">
        <is>
          <t>N-3</t>
        </is>
      </c>
      <c r="AI329" s="53" t="inlineStr">
        <is>
          <t>Individual Contributor</t>
        </is>
      </c>
      <c r="AJ329" s="53" t="inlineStr">
        <is>
          <t>18 years, 0 months, 0 days</t>
        </is>
      </c>
      <c r="AK329" s="53" t="inlineStr">
        <is>
          <t>0 years, 5 months, 9 days</t>
        </is>
      </c>
      <c r="AL329" s="53" t="inlineStr">
        <is>
          <t>Suptech</t>
        </is>
      </c>
      <c r="AM329" s="53" t="inlineStr">
        <is>
          <t>iFile</t>
        </is>
      </c>
      <c r="AN329" s="53" t="inlineStr">
        <is>
          <t>Technology</t>
        </is>
      </c>
      <c r="AO329" s="53" t="inlineStr">
        <is>
          <t>Project Management</t>
        </is>
      </c>
      <c r="AP329" s="53" t="inlineStr">
        <is>
          <t>No</t>
        </is>
      </c>
      <c r="AQ329" s="53" t="inlineStr">
        <is>
          <t>Product/Project</t>
        </is>
      </c>
      <c r="AR329" s="53" t="inlineStr">
        <is>
          <t>Project Management</t>
        </is>
      </c>
      <c r="AS329" s="53" t="inlineStr">
        <is>
          <t>Technical · BA, PM and QA</t>
        </is>
      </c>
      <c r="AT329" s="53" t="n">
        <v>0</v>
      </c>
      <c r="AU329" s="53" t="inlineStr">
        <is>
          <t>Excluded</t>
        </is>
      </c>
      <c r="AV329" s="53" t="n"/>
      <c r="AW329" s="53" t="n"/>
      <c r="AX329" s="53" t="n"/>
      <c r="AY329" s="53" t="n"/>
      <c r="AZ329" s="53" t="n"/>
      <c r="BA329" s="53" t="n"/>
      <c r="BB329" s="53" t="n"/>
      <c r="BC329" s="53" t="n"/>
      <c r="BD329" s="53" t="n"/>
      <c r="BE329" s="53" t="n"/>
      <c r="BF329" s="53" t="n"/>
      <c r="BG329" s="53" t="n"/>
      <c r="BH329" s="53" t="n"/>
      <c r="BI329" s="53" t="n"/>
      <c r="BJ329" s="53" t="n"/>
      <c r="BK329" s="53" t="n"/>
      <c r="BL329" s="53" t="n"/>
      <c r="BM329" s="53" t="n"/>
      <c r="BN329" s="53" t="n"/>
      <c r="BO329" s="53" t="n"/>
      <c r="BP329" s="53" t="n"/>
      <c r="BQ329" s="53" t="n"/>
      <c r="BR329" s="53" t="n"/>
      <c r="BS329" s="53" t="n"/>
      <c r="BT329" s="53" t="n"/>
      <c r="BU329" s="53" t="n"/>
      <c r="BV329" s="53" t="n"/>
      <c r="BW329" s="53" t="n"/>
      <c r="BX329" s="53" t="n"/>
      <c r="BY329" s="53" t="n"/>
      <c r="BZ329" s="53" t="n"/>
      <c r="CA329" s="53" t="n"/>
      <c r="CB329" s="53" t="n"/>
      <c r="CC329" s="53" t="n"/>
      <c r="CD329" s="53" t="n"/>
      <c r="CE329" s="53" t="n"/>
      <c r="CF329" s="53" t="n"/>
      <c r="CG329" s="53" t="n"/>
      <c r="CH329" s="53" t="n"/>
      <c r="CI329" s="53" t="n"/>
      <c r="CJ329" s="53" t="n"/>
      <c r="CK329" s="53" t="n"/>
      <c r="CL329" s="53" t="n"/>
      <c r="CM329" s="53" t="n"/>
      <c r="CN329" s="53" t="n"/>
      <c r="CO329" s="53" t="n"/>
      <c r="CP329" s="53" t="n"/>
      <c r="CQ329" s="53" t="n"/>
      <c r="CR329" s="53" t="n"/>
      <c r="CS329" s="53" t="n"/>
      <c r="CT329" s="53" t="n"/>
      <c r="CU329" s="53" t="n"/>
      <c r="CV329" s="53" t="n"/>
      <c r="CW329" s="53" t="n"/>
      <c r="CX329" s="53" t="n"/>
      <c r="CY329" s="53" t="n"/>
      <c r="CZ329" s="53" t="n"/>
      <c r="DA329" s="53" t="n"/>
      <c r="DB329" s="53" t="n"/>
      <c r="DC329" s="53" t="inlineStr">
        <is>
          <t>Pradip Dey</t>
        </is>
      </c>
      <c r="DD329" s="53" t="inlineStr">
        <is>
          <t>IRIS2497</t>
        </is>
      </c>
      <c r="DE329" s="53" t="inlineStr">
        <is>
          <t>Employee</t>
        </is>
      </c>
      <c r="DF329" s="53" t="inlineStr">
        <is>
          <t>Active</t>
        </is>
      </c>
      <c r="DG329" s="53" t="inlineStr">
        <is>
          <t>Tarun Kumar Mittal</t>
        </is>
      </c>
      <c r="DH329" s="54" t="n">
        <v>46097</v>
      </c>
      <c r="DI329" s="53" t="inlineStr">
        <is>
          <t>Senior Project Manager</t>
        </is>
      </c>
      <c r="DJ329" s="53" t="inlineStr">
        <is>
          <t>Project &amp; Program Management</t>
        </is>
      </c>
      <c r="DK329" s="53" t="inlineStr">
        <is>
          <t>Project Management</t>
        </is>
      </c>
      <c r="DL329" s="53" t="inlineStr">
        <is>
          <t>Senior Project Manager</t>
        </is>
      </c>
      <c r="DM329" s="53" t="inlineStr">
        <is>
          <t>L5 – Manager</t>
        </is>
      </c>
      <c r="DN329" s="53" t="inlineStr">
        <is>
          <t>B.Tech</t>
        </is>
      </c>
      <c r="DO329" s="53" t="inlineStr">
        <is>
          <t>Pradip Dey</t>
        </is>
      </c>
      <c r="DP329" s="53" t="inlineStr">
        <is>
          <t>N-2</t>
        </is>
      </c>
      <c r="DQ329" s="53" t="inlineStr">
        <is>
          <t>Individual Contributor</t>
        </is>
      </c>
      <c r="DR329" s="53" t="inlineStr">
        <is>
          <t>18 years, 0 months, 0 days</t>
        </is>
      </c>
      <c r="DS329" s="53" t="inlineStr">
        <is>
          <t>0 years, 3 months, 4 days</t>
        </is>
      </c>
      <c r="DT329" s="53" t="inlineStr">
        <is>
          <t>18 years, 3 months, 4 days</t>
        </is>
      </c>
      <c r="DU329" s="53" t="n"/>
      <c r="DV329" s="53" t="inlineStr">
        <is>
          <t>Suptech</t>
        </is>
      </c>
      <c r="DW329" s="53" t="inlineStr">
        <is>
          <t>iFile</t>
        </is>
      </c>
      <c r="DX329" s="53" t="inlineStr">
        <is>
          <t>Technology</t>
        </is>
      </c>
      <c r="DY329" s="53" t="inlineStr">
        <is>
          <t>Project Management</t>
        </is>
      </c>
      <c r="DZ329" s="53" t="inlineStr">
        <is>
          <t>No</t>
        </is>
      </c>
      <c r="EA329" s="53" t="inlineStr">
        <is>
          <t>Product/Project</t>
        </is>
      </c>
      <c r="EB329" s="53" t="inlineStr">
        <is>
          <t>Project Management</t>
        </is>
      </c>
      <c r="EC329" s="53" t="inlineStr">
        <is>
          <t>Technical · BA, PM and QA</t>
        </is>
      </c>
      <c r="ED329" s="53" t="inlineStr">
        <is>
          <t>Work From Office - Turbhe</t>
        </is>
      </c>
      <c r="EE329" s="53" t="n"/>
      <c r="EF329" s="53"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EG329" s="53" t="inlineStr">
        <is>
          <t>TMS/CMS domain research completion
TMS/CMS project plan, user stories development
Initiation of TMS/CMS implementation</t>
        </is>
      </c>
      <c r="EH329" s="53" t="inlineStr">
        <is>
          <t>Meets Expectations</t>
        </is>
      </c>
      <c r="EI329" s="53" t="n"/>
      <c r="EJ329" s="53" t="inlineStr">
        <is>
          <t>Senior Project Manager</t>
        </is>
      </c>
      <c r="EK329" s="53" t="n"/>
      <c r="EL329" s="53" t="n">
        <v>3</v>
      </c>
      <c r="EM329" s="53" t="inlineStr">
        <is>
          <t>Medium</t>
        </is>
      </c>
      <c r="EN329" s="53" t="inlineStr">
        <is>
          <t>Core Contributor</t>
        </is>
      </c>
      <c r="EO329" s="53" t="n"/>
      <c r="EP329" s="53" t="inlineStr">
        <is>
          <t>N</t>
        </is>
      </c>
      <c r="EQ329" s="53" t="inlineStr">
        <is>
          <t>Yes</t>
        </is>
      </c>
      <c r="ER329" s="53" t="n"/>
      <c r="ES329" s="53" t="inlineStr">
        <is>
          <t>SupTech Domain, Tax Domain</t>
        </is>
      </c>
      <c r="ET329" s="53" t="n"/>
      <c r="EU329" s="53" t="inlineStr">
        <is>
          <t>RMA,GTA,PFRDA,IFSCA,NRB,BOM,IRIS Noah,IRIS Bushchat</t>
        </is>
      </c>
      <c r="EV329" s="53" t="n"/>
      <c r="EW329" s="52" t="n"/>
      <c r="EX329" s="53" t="n"/>
      <c r="EY329" s="53" t="n"/>
      <c r="EZ329" s="53" t="n"/>
      <c r="FA329" s="53" t="n"/>
      <c r="FB329" s="53" t="n"/>
      <c r="FC329" s="53" t="n"/>
      <c r="FD329" s="53" t="n"/>
      <c r="FE329" s="57"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FF329" s="56" t="inlineStr">
        <is>
          <t>TMS/CMS domain research completion
TMS/CMS project plan, user stories development
Initiation of TMS/CMS implementation</t>
        </is>
      </c>
      <c r="FG329" s="56" t="n"/>
      <c r="FH329" s="56" t="inlineStr">
        <is>
          <t>Meets Expectations</t>
        </is>
      </c>
      <c r="FI329" s="56" t="n"/>
      <c r="FJ329" s="56" t="inlineStr">
        <is>
          <t>Received · manager annual, quarterly</t>
        </is>
      </c>
      <c r="FK329" s="56" t="inlineStr">
        <is>
          <t>Talent Mapping · iFile collated</t>
        </is>
      </c>
      <c r="FL329" s="56" t="n">
        <v>0</v>
      </c>
      <c r="FM329" s="32" t="inlineStr">
        <is>
          <t>No survey response on file</t>
        </is>
      </c>
      <c r="FN329" s="56" t="inlineStr">
        <is>
          <t>—</t>
        </is>
      </c>
      <c r="FO329" s="56" t="inlineStr">
        <is>
          <t>—</t>
        </is>
      </c>
      <c r="FP329" s="56" t="inlineStr">
        <is>
          <t>—</t>
        </is>
      </c>
      <c r="FQ329" s="56" t="inlineStr">
        <is>
          <t>—</t>
        </is>
      </c>
      <c r="FR329" s="56"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colleagues → moved down 0.5
Leadership: Evidence reads like A3: Manager note: manages product team members jointly with two others; 0 reports → moved down 0.5
Business Impact: Moved +0.5: the survey / manager mapping marks it business-critical.</t>
        </is>
      </c>
      <c r="FS329"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329" s="56" t="n"/>
      <c r="FU329" s="32" t="inlineStr">
        <is>
          <t>No survey response on file</t>
        </is>
      </c>
    </row>
    <row r="330" ht="90" customHeight="1">
      <c r="A330" s="51" t="inlineStr">
        <is>
          <t>◂ Back</t>
        </is>
      </c>
      <c r="B330" s="29" t="inlineStr">
        <is>
          <t>Mapped</t>
        </is>
      </c>
      <c r="C330" s="28" t="inlineStr">
        <is>
          <t>Corporate</t>
        </is>
      </c>
      <c r="D330" s="29" t="inlineStr">
        <is>
          <t>IRISC344</t>
        </is>
      </c>
      <c r="E330" s="29" t="inlineStr">
        <is>
          <t>Vikas Thakur</t>
        </is>
      </c>
      <c r="F330" s="29" t="inlineStr">
        <is>
          <t>Technology</t>
        </is>
      </c>
      <c r="G330" s="29" t="inlineStr">
        <is>
          <t>Agile Coach</t>
        </is>
      </c>
      <c r="H330" s="29" t="inlineStr">
        <is>
          <t>Agile Coach</t>
        </is>
      </c>
      <c r="I330" s="29" t="inlineStr">
        <is>
          <t>Not in current mapping files</t>
        </is>
      </c>
      <c r="J330" s="29" t="inlineStr">
        <is>
          <t>B3</t>
        </is>
      </c>
      <c r="K330" s="29" t="inlineStr">
        <is>
          <t>● Newly mapped</t>
        </is>
      </c>
      <c r="L330" s="29" t="inlineStr">
        <is>
          <t>Project &amp; Program Management</t>
        </is>
      </c>
      <c r="M330" s="29" t="inlineStr">
        <is>
          <t>PMO &amp; Delivery Excellence</t>
        </is>
      </c>
      <c r="N330" s="29" t="inlineStr">
        <is>
          <t>• Survey response or KRAs describing the work · nothing on file — Employee + manager</t>
        </is>
      </c>
      <c r="O330" s="29" t="n">
        <v>0</v>
      </c>
      <c r="P330" s="28" t="inlineStr">
        <is>
          <t>P5 / M4</t>
        </is>
      </c>
      <c r="Q330" s="29" t="inlineStr">
        <is>
          <t>Expert / Senior Manager</t>
        </is>
      </c>
      <c r="R330" s="29" t="inlineStr">
        <is>
          <t>5 Ensure, advise</t>
        </is>
      </c>
      <c r="S330" s="29" t="inlineStr">
        <is>
          <t>8–12 yrs</t>
        </is>
      </c>
      <c r="T330" s="29" t="inlineStr">
        <is>
          <t>9–13 · 9–14</t>
        </is>
      </c>
      <c r="U330" s="29" t="inlineStr">
        <is>
          <t>Senior Program Manager</t>
        </is>
      </c>
      <c r="V330" s="29" t="inlineStr">
        <is>
          <t>IRIS Vs Competitor Benchmark — PMI pathway + SaaS delivery ladder: Program Manager · PgMP · Infosys / Accenture: JL6B Project Manager · L7 Manager</t>
        </is>
      </c>
      <c r="W330" s="29" t="inlineStr">
        <is>
          <t>PMI PMBOK and Talent Triangle; CAPM · entry → PMP → PgMP; Scrum / SAFe</t>
        </is>
      </c>
      <c r="X330" s="29" t="inlineStr">
        <is>
          <t>Core 4 · Future 3 · Functional 4 · Leadership 3</t>
        </is>
      </c>
      <c r="Y330" s="52" t="n">
        <v>474</v>
      </c>
      <c r="Z330" s="53" t="inlineStr">
        <is>
          <t>IRISC344</t>
        </is>
      </c>
      <c r="AA330" s="53" t="inlineStr">
        <is>
          <t>On Contract</t>
        </is>
      </c>
      <c r="AB330" s="53" t="inlineStr">
        <is>
          <t>Active</t>
        </is>
      </c>
      <c r="AC330" s="53" t="inlineStr">
        <is>
          <t>Vikas Thakur</t>
        </is>
      </c>
      <c r="AD330" s="54" t="n">
        <v>46104</v>
      </c>
      <c r="AE330" s="53" t="inlineStr">
        <is>
          <t>Agile Coach</t>
        </is>
      </c>
      <c r="AF330" s="53" t="inlineStr">
        <is>
          <t>B.Tech</t>
        </is>
      </c>
      <c r="AG330" s="53" t="inlineStr">
        <is>
          <t>Pradip Dey</t>
        </is>
      </c>
      <c r="AH330" s="53" t="inlineStr">
        <is>
          <t>N-3</t>
        </is>
      </c>
      <c r="AI330" s="53" t="inlineStr">
        <is>
          <t>Individual Contributor</t>
        </is>
      </c>
      <c r="AJ330" s="53" t="inlineStr">
        <is>
          <t>10 years, 11 months, 0 days</t>
        </is>
      </c>
      <c r="AK330" s="53" t="inlineStr">
        <is>
          <t>0 years, 5 months, 2 days</t>
        </is>
      </c>
      <c r="AL330" s="53" t="inlineStr">
        <is>
          <t>Corporate</t>
        </is>
      </c>
      <c r="AM330" s="53" t="inlineStr">
        <is>
          <t>Corporate</t>
        </is>
      </c>
      <c r="AN330" s="53" t="inlineStr">
        <is>
          <t>Technology</t>
        </is>
      </c>
      <c r="AO330" s="53" t="inlineStr">
        <is>
          <t>Development</t>
        </is>
      </c>
      <c r="AP330" s="53" t="inlineStr">
        <is>
          <t>Yes</t>
        </is>
      </c>
      <c r="AQ330" s="53" t="inlineStr">
        <is>
          <t>Product/Project</t>
        </is>
      </c>
      <c r="AR330" s="53" t="inlineStr">
        <is>
          <t>Agile</t>
        </is>
      </c>
      <c r="AS330" s="53" t="inlineStr">
        <is>
          <t>Technical - Developer</t>
        </is>
      </c>
      <c r="AT330" s="53" t="n">
        <v>0</v>
      </c>
      <c r="AU330" s="53" t="inlineStr">
        <is>
          <t>Excluded</t>
        </is>
      </c>
      <c r="AV330" s="53" t="n"/>
      <c r="AW330" s="53" t="n"/>
      <c r="AX330" s="53" t="n"/>
      <c r="AY330" s="53" t="n"/>
      <c r="AZ330" s="53" t="n"/>
      <c r="BA330" s="53" t="n"/>
      <c r="BB330" s="53" t="n"/>
      <c r="BC330" s="53" t="n"/>
      <c r="BD330" s="53" t="n"/>
      <c r="BE330" s="53" t="n"/>
      <c r="BF330" s="53" t="n"/>
      <c r="BG330" s="53" t="n"/>
      <c r="BH330" s="53" t="n"/>
      <c r="BI330" s="53" t="n"/>
      <c r="BJ330" s="53" t="n"/>
      <c r="BK330" s="53" t="n"/>
      <c r="BL330" s="53" t="n"/>
      <c r="BM330" s="53" t="n"/>
      <c r="BN330" s="53" t="n"/>
      <c r="BO330" s="53" t="n"/>
      <c r="BP330" s="53" t="n"/>
      <c r="BQ330" s="53" t="n"/>
      <c r="BR330" s="53" t="n"/>
      <c r="BS330" s="53" t="n"/>
      <c r="BT330" s="53" t="n"/>
      <c r="BU330" s="53" t="n"/>
      <c r="BV330" s="53" t="n"/>
      <c r="BW330" s="53" t="n"/>
      <c r="BX330" s="53" t="n"/>
      <c r="BY330" s="53" t="n"/>
      <c r="BZ330" s="53" t="n"/>
      <c r="CA330" s="53" t="n"/>
      <c r="CB330" s="53" t="n"/>
      <c r="CC330" s="53" t="n"/>
      <c r="CD330" s="53" t="n"/>
      <c r="CE330" s="53" t="n"/>
      <c r="CF330" s="53" t="n"/>
      <c r="CG330" s="53" t="n"/>
      <c r="CH330" s="53" t="n"/>
      <c r="CI330" s="53" t="n"/>
      <c r="CJ330" s="53" t="n"/>
      <c r="CK330" s="53" t="n"/>
      <c r="CL330" s="53" t="n"/>
      <c r="CM330" s="53" t="n"/>
      <c r="CN330" s="53" t="n"/>
      <c r="CO330" s="53" t="n"/>
      <c r="CP330" s="53" t="n"/>
      <c r="CQ330" s="53" t="n"/>
      <c r="CR330" s="53" t="n"/>
      <c r="CS330" s="53" t="n"/>
      <c r="CT330" s="53" t="n"/>
      <c r="CU330" s="53" t="n"/>
      <c r="CV330" s="53" t="n"/>
      <c r="CW330" s="53" t="n"/>
      <c r="CX330" s="53" t="n"/>
      <c r="CY330" s="53" t="n"/>
      <c r="CZ330" s="53" t="n"/>
      <c r="DA330" s="53" t="n"/>
      <c r="DB330" s="53" t="n"/>
      <c r="DC330" s="53" t="n"/>
      <c r="DD330" s="53" t="n"/>
      <c r="DE330" s="53" t="n"/>
      <c r="DF330" s="53" t="n"/>
      <c r="DG330" s="53" t="n"/>
      <c r="DH330" s="53" t="n"/>
      <c r="DI330" s="53" t="n"/>
      <c r="DJ330" s="53" t="n"/>
      <c r="DK330" s="53" t="n"/>
      <c r="DL330" s="53" t="n"/>
      <c r="DM330" s="53" t="n"/>
      <c r="DN330" s="53" t="n"/>
      <c r="DO330" s="53" t="n"/>
      <c r="DP330" s="53" t="n"/>
      <c r="DQ330" s="53" t="n"/>
      <c r="DR330" s="53" t="n"/>
      <c r="DS330" s="53" t="n"/>
      <c r="DT330" s="53" t="n"/>
      <c r="DU330" s="53" t="n"/>
      <c r="DV330" s="53" t="n"/>
      <c r="DW330" s="53" t="n"/>
      <c r="DX330" s="53" t="n"/>
      <c r="DY330" s="53" t="n"/>
      <c r="DZ330" s="53" t="n"/>
      <c r="EA330" s="53" t="n"/>
      <c r="EB330" s="53" t="n"/>
      <c r="EC330" s="53" t="n"/>
      <c r="ED330" s="53" t="n"/>
      <c r="EE330" s="53" t="n"/>
      <c r="EF330" s="53" t="n"/>
      <c r="EG330" s="53" t="n"/>
      <c r="EH330" s="53" t="n"/>
      <c r="EI330" s="53" t="n"/>
      <c r="EJ330" s="53" t="n"/>
      <c r="EK330" s="53" t="n"/>
      <c r="EL330" s="53" t="n"/>
      <c r="EM330" s="53" t="n"/>
      <c r="EN330" s="53" t="n"/>
      <c r="EO330" s="53" t="n"/>
      <c r="EP330" s="53" t="n"/>
      <c r="EQ330" s="53" t="n"/>
      <c r="ER330" s="53" t="n"/>
      <c r="ES330" s="53" t="n"/>
      <c r="ET330" s="53" t="n"/>
      <c r="EU330" s="53" t="n"/>
      <c r="EV330" s="53" t="n"/>
      <c r="EW330" s="52" t="n"/>
      <c r="EX330" s="53" t="n"/>
      <c r="EY330" s="53" t="n"/>
      <c r="EZ330" s="53" t="n"/>
      <c r="FA330" s="53" t="n"/>
      <c r="FB330" s="53" t="n"/>
      <c r="FC330" s="53" t="n"/>
      <c r="FD330" s="53" t="n"/>
      <c r="FE330" s="55" t="inlineStr">
        <is>
          <t>KRAs not received · manager to supply</t>
        </is>
      </c>
      <c r="FF330" s="56" t="n"/>
      <c r="FG330" s="56" t="n"/>
      <c r="FH330" s="56" t="n"/>
      <c r="FI330" s="56" t="n"/>
      <c r="FJ330" s="32" t="inlineStr">
        <is>
          <t>KRAs not received · manager to supply</t>
        </is>
      </c>
      <c r="FK330" s="56" t="n"/>
      <c r="FL330" s="56" t="n">
        <v>0</v>
      </c>
      <c r="FM330" s="32" t="inlineStr">
        <is>
          <t>No survey response on file</t>
        </is>
      </c>
      <c r="FN330" s="56" t="inlineStr">
        <is>
          <t>—</t>
        </is>
      </c>
      <c r="FO330" s="56" t="inlineStr">
        <is>
          <t>—</t>
        </is>
      </c>
      <c r="FP330" s="56" t="inlineStr">
        <is>
          <t>—</t>
        </is>
      </c>
      <c r="FQ330" s="56" t="inlineStr">
        <is>
          <t>—</t>
        </is>
      </c>
      <c r="FR33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30" s="56" t="n"/>
      <c r="FT330" s="56" t="n"/>
      <c r="FU330" s="32" t="inlineStr">
        <is>
          <t>No survey response on file</t>
        </is>
      </c>
    </row>
    <row r="331" ht="90" customHeight="1">
      <c r="A331" s="51" t="inlineStr">
        <is>
          <t>◂ Back</t>
        </is>
      </c>
      <c r="B331" s="29" t="inlineStr">
        <is>
          <t>Mapped</t>
        </is>
      </c>
      <c r="C331" s="28" t="inlineStr">
        <is>
          <t>iFile</t>
        </is>
      </c>
      <c r="D331" s="29" t="inlineStr">
        <is>
          <t>IRIS1773</t>
        </is>
      </c>
      <c r="E331" s="29" t="inlineStr">
        <is>
          <t>Virendra Kumar Ray</t>
        </is>
      </c>
      <c r="F331" s="29" t="inlineStr">
        <is>
          <t>Technology</t>
        </is>
      </c>
      <c r="G331" s="29" t="inlineStr">
        <is>
          <t>Technical Architect</t>
        </is>
      </c>
      <c r="H331" s="29" t="inlineStr">
        <is>
          <t>Associate Technical Architect</t>
        </is>
      </c>
      <c r="I331" s="29" t="inlineStr">
        <is>
          <t>Not in current mapping files</t>
        </is>
      </c>
      <c r="J331" s="29" t="inlineStr">
        <is>
          <t>B3</t>
        </is>
      </c>
      <c r="K331" s="29" t="inlineStr">
        <is>
          <t>● Newly mapped</t>
        </is>
      </c>
      <c r="L331" s="29" t="inlineStr">
        <is>
          <t>Engineering &amp; Architecture</t>
        </is>
      </c>
      <c r="M331" s="29" t="inlineStr">
        <is>
          <t>Solution &amp; Technical Architecture</t>
        </is>
      </c>
      <c r="N331" s="29" t="inlineStr">
        <is>
          <t>• Confirm the reporting line — Manager</t>
        </is>
      </c>
      <c r="O331" s="29" t="n">
        <v>20</v>
      </c>
      <c r="P331" s="28" t="inlineStr">
        <is>
          <t>P5 / M4</t>
        </is>
      </c>
      <c r="Q331" s="29" t="inlineStr">
        <is>
          <t>Expert / Senior Manager</t>
        </is>
      </c>
      <c r="R331" s="29" t="inlineStr">
        <is>
          <t>5 Ensure, advise</t>
        </is>
      </c>
      <c r="S331" s="29" t="inlineStr">
        <is>
          <t>8–12 yrs</t>
        </is>
      </c>
      <c r="T331" s="29" t="inlineStr">
        <is>
          <t>9–13 · 9–14</t>
        </is>
      </c>
      <c r="U331" s="29" t="inlineStr">
        <is>
          <t>Principal Architect</t>
        </is>
      </c>
      <c r="V331" s="29" t="inlineStr">
        <is>
          <t>Workiva: Staff SE · Broadridge India: Senior Lead SE · Nasdaq / AxiomSL: Lead SE · Salesforce: LMTS · Atlassian: P50 Senior · Freshworks: Staff SE</t>
        </is>
      </c>
      <c r="W331" s="29" t="inlineStr">
        <is>
          <t>SFIA 9 · solution architecture; TOGAF; AWS / Azure architect certifications</t>
        </is>
      </c>
      <c r="X331" s="29" t="inlineStr">
        <is>
          <t>Core 4 · Future 3 · Functional 4 · Leadership 3</t>
        </is>
      </c>
      <c r="Y331" s="52" t="n">
        <v>566</v>
      </c>
      <c r="Z331" s="53" t="inlineStr">
        <is>
          <t>IRIS1773</t>
        </is>
      </c>
      <c r="AA331" s="53" t="inlineStr">
        <is>
          <t>IRIS Singapore</t>
        </is>
      </c>
      <c r="AB331" s="53" t="inlineStr">
        <is>
          <t>Active</t>
        </is>
      </c>
      <c r="AC331" s="53" t="inlineStr">
        <is>
          <t>Virendra Kumar Ray</t>
        </is>
      </c>
      <c r="AD331" s="54" t="n">
        <v>43556</v>
      </c>
      <c r="AE331" s="53" t="inlineStr">
        <is>
          <t>Technical Architect</t>
        </is>
      </c>
      <c r="AF331" s="53" t="inlineStr">
        <is>
          <t>B.E</t>
        </is>
      </c>
      <c r="AG331" s="53" t="inlineStr">
        <is>
          <t>Pradip Dey</t>
        </is>
      </c>
      <c r="AH331" s="53" t="inlineStr">
        <is>
          <t>N-2</t>
        </is>
      </c>
      <c r="AI331" s="53" t="inlineStr">
        <is>
          <t>Manager</t>
        </is>
      </c>
      <c r="AJ331" s="53" t="inlineStr">
        <is>
          <t>11 years, 0 months, 23 days</t>
        </is>
      </c>
      <c r="AK331" s="53" t="inlineStr">
        <is>
          <t>7 years, 5 months, 22 days</t>
        </is>
      </c>
      <c r="AL331" s="53" t="inlineStr">
        <is>
          <t>Suptech</t>
        </is>
      </c>
      <c r="AM331" s="53" t="inlineStr">
        <is>
          <t>iFile</t>
        </is>
      </c>
      <c r="AN331" s="53" t="inlineStr">
        <is>
          <t>Technology</t>
        </is>
      </c>
      <c r="AO331" s="53" t="inlineStr">
        <is>
          <t>Development</t>
        </is>
      </c>
      <c r="AP331" s="53" t="inlineStr">
        <is>
          <t>Yes</t>
        </is>
      </c>
      <c r="AQ331" s="53" t="inlineStr">
        <is>
          <t>Product/Project</t>
        </is>
      </c>
      <c r="AR331" s="53" t="inlineStr">
        <is>
          <t>.NET MVC, Project Management</t>
        </is>
      </c>
      <c r="AS331" s="53" t="inlineStr">
        <is>
          <t>Technical - Developer</t>
        </is>
      </c>
      <c r="AT331" s="53" t="n">
        <v>20</v>
      </c>
      <c r="AU331" s="53" t="inlineStr">
        <is>
          <t>Covered</t>
        </is>
      </c>
      <c r="AV331" s="53" t="n"/>
      <c r="AW331" s="53" t="n"/>
      <c r="AX331" s="53" t="n"/>
      <c r="AY331" s="53" t="n"/>
      <c r="AZ331" s="53" t="n"/>
      <c r="BA331" s="53" t="n"/>
      <c r="BB331" s="53" t="n"/>
      <c r="BC331" s="53" t="n"/>
      <c r="BD331" s="53" t="n"/>
      <c r="BE331" s="53" t="n"/>
      <c r="BF331" s="53" t="n"/>
      <c r="BG331" s="53" t="n"/>
      <c r="BH331" s="53" t="n"/>
      <c r="BI331" s="53" t="n"/>
      <c r="BJ331" s="53" t="n"/>
      <c r="BK331" s="53" t="n"/>
      <c r="BL331" s="53" t="n"/>
      <c r="BM331" s="53" t="n"/>
      <c r="BN331" s="53" t="n"/>
      <c r="BO331" s="53" t="n"/>
      <c r="BP331" s="53" t="n"/>
      <c r="BQ331" s="53" t="n"/>
      <c r="BR331" s="53" t="n"/>
      <c r="BS331" s="53" t="n"/>
      <c r="BT331" s="53" t="n"/>
      <c r="BU331" s="53" t="n"/>
      <c r="BV331" s="53" t="n"/>
      <c r="BW331" s="53" t="n"/>
      <c r="BX331" s="53" t="n"/>
      <c r="BY331" s="53" t="n"/>
      <c r="BZ331" s="53" t="n"/>
      <c r="CA331" s="53" t="n"/>
      <c r="CB331" s="53" t="n"/>
      <c r="CC331" s="53" t="n"/>
      <c r="CD331" s="53" t="n"/>
      <c r="CE331" s="53" t="n"/>
      <c r="CF331" s="53" t="n"/>
      <c r="CG331" s="53" t="n"/>
      <c r="CH331" s="53" t="n"/>
      <c r="CI331" s="53" t="n"/>
      <c r="CJ331" s="53" t="n"/>
      <c r="CK331" s="53" t="n"/>
      <c r="CL331" s="53" t="n"/>
      <c r="CM331" s="53" t="n"/>
      <c r="CN331" s="53" t="n"/>
      <c r="CO331" s="53" t="n"/>
      <c r="CP331" s="53" t="n"/>
      <c r="CQ331" s="53" t="n"/>
      <c r="CR331" s="53" t="n"/>
      <c r="CS331" s="53" t="n"/>
      <c r="CT331" s="53" t="n"/>
      <c r="CU331" s="53" t="n"/>
      <c r="CV331" s="53" t="n"/>
      <c r="CW331" s="53" t="n"/>
      <c r="CX331" s="53" t="n"/>
      <c r="CY331" s="53" t="n"/>
      <c r="CZ331" s="53" t="n"/>
      <c r="DA331" s="53" t="n"/>
      <c r="DB331" s="53" t="n"/>
      <c r="DC331" s="53" t="n"/>
      <c r="DD331" s="53" t="n"/>
      <c r="DE331" s="53" t="n"/>
      <c r="DF331" s="53" t="n"/>
      <c r="DG331" s="53" t="n"/>
      <c r="DH331" s="53" t="n"/>
      <c r="DI331" s="53" t="n"/>
      <c r="DJ331" s="53" t="n"/>
      <c r="DK331" s="53" t="n"/>
      <c r="DL331" s="53" t="n"/>
      <c r="DM331" s="53" t="n"/>
      <c r="DN331" s="53" t="n"/>
      <c r="DO331" s="53" t="n"/>
      <c r="DP331" s="53" t="n"/>
      <c r="DQ331" s="53" t="n"/>
      <c r="DR331" s="53" t="n"/>
      <c r="DS331" s="53" t="n"/>
      <c r="DT331" s="53" t="n"/>
      <c r="DU331" s="53" t="n"/>
      <c r="DV331" s="53" t="n"/>
      <c r="DW331" s="53" t="n"/>
      <c r="DX331" s="53" t="n"/>
      <c r="DY331" s="53" t="n"/>
      <c r="DZ331" s="53" t="n"/>
      <c r="EA331" s="53" t="n"/>
      <c r="EB331" s="53" t="n"/>
      <c r="EC331" s="53" t="n"/>
      <c r="ED331" s="53" t="n"/>
      <c r="EE331" s="53" t="n"/>
      <c r="EF331" s="53" t="n"/>
      <c r="EG331" s="53" t="n"/>
      <c r="EH331" s="53" t="n"/>
      <c r="EI331" s="53" t="n"/>
      <c r="EJ331" s="53" t="n"/>
      <c r="EK331" s="53" t="n"/>
      <c r="EL331" s="53" t="n"/>
      <c r="EM331" s="53" t="n"/>
      <c r="EN331" s="53" t="n"/>
      <c r="EO331" s="53" t="n"/>
      <c r="EP331" s="53" t="n"/>
      <c r="EQ331" s="53" t="n"/>
      <c r="ER331" s="53" t="n"/>
      <c r="ES331" s="53" t="n"/>
      <c r="ET331" s="53" t="n"/>
      <c r="EU331" s="53" t="n"/>
      <c r="EV331" s="53" t="n"/>
      <c r="EW331" s="52" t="n"/>
      <c r="EX331" s="53" t="n"/>
      <c r="EY331" s="53" t="n"/>
      <c r="EZ331" s="53" t="n"/>
      <c r="FA331" s="53" t="n"/>
      <c r="FB331" s="53" t="n"/>
      <c r="FC331" s="53" t="n"/>
      <c r="FD331" s="53" t="n"/>
      <c r="FE331" s="55" t="inlineStr">
        <is>
          <t>KRAs not received · manager to supply</t>
        </is>
      </c>
      <c r="FF331" s="56" t="n"/>
      <c r="FG331" s="56" t="n"/>
      <c r="FH331" s="56" t="n"/>
      <c r="FI331" s="56" t="n"/>
      <c r="FJ331" s="32" t="inlineStr">
        <is>
          <t>KRAs not received · manager to supply</t>
        </is>
      </c>
      <c r="FK331" s="56" t="n"/>
      <c r="FL331" s="56" t="n">
        <v>20</v>
      </c>
      <c r="FM331" s="32" t="inlineStr">
        <is>
          <t>Full survey answers not in the files received · How We Grow export needed · HR</t>
        </is>
      </c>
      <c r="FN331" s="56" t="inlineStr">
        <is>
          <t>—</t>
        </is>
      </c>
      <c r="FO331" s="56" t="inlineStr">
        <is>
          <t>—</t>
        </is>
      </c>
      <c r="FP331" s="56" t="inlineStr">
        <is>
          <t>—</t>
        </is>
      </c>
      <c r="FQ331" s="56" t="inlineStr">
        <is>
          <t>—</t>
        </is>
      </c>
      <c r="FR331" s="56"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B2: own survey / KRA answers · summarised by the rater; not quoted → moved down 1
Leadership: Evidence reads like B1: Approves team leave and manages resource utilisation, though HR shows 0 reports; team size unstated → moved down 1
Business Impact: No survey or manager-mapping signal on criticality: kept at the start point.</t>
        </is>
      </c>
      <c r="FS331"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331" s="56" t="inlineStr">
        <is>
          <t>Self-identified: Project / programme management · Certification / formal course
For the next role: Project / programme management · Certification / formal course</t>
        </is>
      </c>
      <c r="FU331" s="32" t="inlineStr">
        <is>
          <t>Full survey answers not in the files received · How We Grow export needed · HR</t>
        </is>
      </c>
    </row>
    <row r="332" ht="90" customHeight="1">
      <c r="A332" s="51" t="inlineStr">
        <is>
          <t>◂ Back</t>
        </is>
      </c>
      <c r="B332" s="29" t="inlineStr">
        <is>
          <t>Mapped</t>
        </is>
      </c>
      <c r="C332" s="28" t="inlineStr">
        <is>
          <t>iFile</t>
        </is>
      </c>
      <c r="D332" s="29" t="inlineStr">
        <is>
          <t>IRIS0728</t>
        </is>
      </c>
      <c r="E332" s="29" t="inlineStr">
        <is>
          <t>Davinder Pal Singh</t>
        </is>
      </c>
      <c r="F332" s="29" t="inlineStr">
        <is>
          <t>Quality Assurance</t>
        </is>
      </c>
      <c r="G332" s="29" t="inlineStr">
        <is>
          <t>QA Manager</t>
        </is>
      </c>
      <c r="H332" s="29" t="inlineStr">
        <is>
          <t>Senior QA Manager</t>
        </is>
      </c>
      <c r="I332" s="29" t="inlineStr">
        <is>
          <t>L5 – Manager</t>
        </is>
      </c>
      <c r="J332" s="29" t="inlineStr">
        <is>
          <t>B2</t>
        </is>
      </c>
      <c r="K332" s="29" t="inlineStr">
        <is>
          <t>▲ Up</t>
        </is>
      </c>
      <c r="L332" s="29" t="inlineStr">
        <is>
          <t>Quality Assurance</t>
        </is>
      </c>
      <c r="M332" s="29" t="inlineStr">
        <is>
          <t>Test Management &amp; QA Leadership</t>
        </is>
      </c>
      <c r="N332" s="29" t="n"/>
      <c r="O332" s="29" t="n">
        <v>20</v>
      </c>
      <c r="P332" s="28" t="inlineStr">
        <is>
          <t>P4 / M3</t>
        </is>
      </c>
      <c r="Q332" s="29" t="inlineStr">
        <is>
          <t>Senior / Manager</t>
        </is>
      </c>
      <c r="R332" s="29" t="inlineStr">
        <is>
          <t>4–5</t>
        </is>
      </c>
      <c r="S332" s="29" t="inlineStr">
        <is>
          <t>6–9 yrs</t>
        </is>
      </c>
      <c r="T332" s="29" t="inlineStr">
        <is>
          <t>7–10 · 6–11</t>
        </is>
      </c>
      <c r="U332" s="29" t="inlineStr">
        <is>
          <t>Senior Manager</t>
        </is>
      </c>
      <c r="V332" s="29" t="inlineStr">
        <is>
          <t>Workiva: Senior SE · Broadridge India: Lead SE · Nasdaq / AxiomSL: Senior SE · IRIS Vs Market Benchmark — ISTQB certification pathway: Advanced · Test Manager / TAE · IRIS Vs Competitor Benchmark — testing managers: QA Manager</t>
        </is>
      </c>
      <c r="W332" s="29" t="inlineStr">
        <is>
          <t>ISTQB Foundation → Advanced → Expert; SFIA testing</t>
        </is>
      </c>
      <c r="X332" s="29" t="inlineStr">
        <is>
          <t>Core 3 · Future 3 · Functional 4 · Leadership 3</t>
        </is>
      </c>
      <c r="Y332" s="52" t="n">
        <v>89</v>
      </c>
      <c r="Z332" s="53" t="inlineStr">
        <is>
          <t>IRIS0728</t>
        </is>
      </c>
      <c r="AA332" s="53" t="inlineStr">
        <is>
          <t>Employee</t>
        </is>
      </c>
      <c r="AB332" s="53" t="inlineStr">
        <is>
          <t>Active</t>
        </is>
      </c>
      <c r="AC332" s="53" t="inlineStr">
        <is>
          <t>Davinder Pal Singh</t>
        </is>
      </c>
      <c r="AD332" s="54" t="n">
        <v>40695</v>
      </c>
      <c r="AE332" s="53" t="inlineStr">
        <is>
          <t>QA Manager</t>
        </is>
      </c>
      <c r="AF332" s="53" t="inlineStr">
        <is>
          <t>B.Tech</t>
        </is>
      </c>
      <c r="AG332" s="53" t="inlineStr">
        <is>
          <t>Pradip Dey</t>
        </is>
      </c>
      <c r="AH332" s="53" t="inlineStr">
        <is>
          <t>N-3</t>
        </is>
      </c>
      <c r="AI332" s="53" t="inlineStr">
        <is>
          <t>Manager</t>
        </is>
      </c>
      <c r="AJ332" s="53" t="inlineStr">
        <is>
          <t>1 years, 5 months, 0 days</t>
        </is>
      </c>
      <c r="AK332" s="53" t="inlineStr">
        <is>
          <t>15 years, 2 months, 24 days</t>
        </is>
      </c>
      <c r="AL332" s="53" t="inlineStr">
        <is>
          <t>Suptech</t>
        </is>
      </c>
      <c r="AM332" s="53" t="inlineStr">
        <is>
          <t>iFile</t>
        </is>
      </c>
      <c r="AN332" s="53" t="inlineStr">
        <is>
          <t>Quality Assurance</t>
        </is>
      </c>
      <c r="AO332" s="53" t="inlineStr">
        <is>
          <t>Quality Assurance</t>
        </is>
      </c>
      <c r="AP332" s="53" t="inlineStr">
        <is>
          <t>No</t>
        </is>
      </c>
      <c r="AQ332" s="53" t="inlineStr">
        <is>
          <t>Product/Project</t>
        </is>
      </c>
      <c r="AR332" s="53" t="inlineStr">
        <is>
          <t>Software Testing</t>
        </is>
      </c>
      <c r="AS332" s="53" t="inlineStr">
        <is>
          <t>Technical · BA, PM and QA</t>
        </is>
      </c>
      <c r="AT332" s="53" t="n">
        <v>20</v>
      </c>
      <c r="AU332" s="53" t="inlineStr">
        <is>
          <t>Covered</t>
        </is>
      </c>
      <c r="AV332" s="53" t="n"/>
      <c r="AW332" s="53" t="n"/>
      <c r="AX332" s="53" t="n"/>
      <c r="AY332" s="53" t="n"/>
      <c r="AZ332" s="53" t="n"/>
      <c r="BA332" s="53" t="n"/>
      <c r="BB332" s="53" t="n"/>
      <c r="BC332" s="53" t="n"/>
      <c r="BD332" s="53" t="n"/>
      <c r="BE332" s="53" t="n"/>
      <c r="BF332" s="53" t="n"/>
      <c r="BG332" s="53" t="n"/>
      <c r="BH332" s="53" t="n"/>
      <c r="BI332" s="53" t="n"/>
      <c r="BJ332" s="53" t="n"/>
      <c r="BK332" s="53" t="n"/>
      <c r="BL332" s="53" t="n"/>
      <c r="BM332" s="53" t="n"/>
      <c r="BN332" s="53" t="n"/>
      <c r="BO332" s="53" t="n"/>
      <c r="BP332" s="53" t="n"/>
      <c r="BQ332" s="53" t="n"/>
      <c r="BR332" s="53" t="n"/>
      <c r="BS332" s="53" t="n"/>
      <c r="BT332" s="53" t="n"/>
      <c r="BU332" s="53" t="n"/>
      <c r="BV332" s="53" t="n"/>
      <c r="BW332" s="53" t="n"/>
      <c r="BX332" s="53" t="n"/>
      <c r="BY332" s="53" t="n"/>
      <c r="BZ332" s="53" t="n"/>
      <c r="CA332" s="53" t="n"/>
      <c r="CB332" s="53" t="n"/>
      <c r="CC332" s="53" t="n"/>
      <c r="CD332" s="53" t="n"/>
      <c r="CE332" s="53" t="n"/>
      <c r="CF332" s="53" t="n"/>
      <c r="CG332" s="53" t="n"/>
      <c r="CH332" s="53" t="n"/>
      <c r="CI332" s="53" t="n"/>
      <c r="CJ332" s="53" t="n"/>
      <c r="CK332" s="53" t="n"/>
      <c r="CL332" s="53" t="n"/>
      <c r="CM332" s="53" t="n"/>
      <c r="CN332" s="53" t="n"/>
      <c r="CO332" s="53" t="n"/>
      <c r="CP332" s="53" t="n"/>
      <c r="CQ332" s="53" t="n"/>
      <c r="CR332" s="53" t="n"/>
      <c r="CS332" s="53" t="n"/>
      <c r="CT332" s="53" t="n"/>
      <c r="CU332" s="53" t="n"/>
      <c r="CV332" s="53" t="n"/>
      <c r="CW332" s="53" t="n"/>
      <c r="CX332" s="53" t="n"/>
      <c r="CY332" s="53" t="n"/>
      <c r="CZ332" s="53" t="n"/>
      <c r="DA332" s="53" t="n"/>
      <c r="DB332" s="53" t="n"/>
      <c r="DC332" s="53" t="n"/>
      <c r="DD332" s="53" t="inlineStr">
        <is>
          <t>IRIS0728</t>
        </is>
      </c>
      <c r="DE332" s="53" t="inlineStr">
        <is>
          <t>Employee</t>
        </is>
      </c>
      <c r="DF332" s="53" t="inlineStr">
        <is>
          <t>Active</t>
        </is>
      </c>
      <c r="DG332" s="53" t="inlineStr">
        <is>
          <t>Davinder Pal Singh</t>
        </is>
      </c>
      <c r="DH332" s="54" t="n">
        <v>40695</v>
      </c>
      <c r="DI332" s="53" t="inlineStr">
        <is>
          <t>QA Manager</t>
        </is>
      </c>
      <c r="DJ332" s="53" t="inlineStr">
        <is>
          <t>Quality Assurance</t>
        </is>
      </c>
      <c r="DK332" s="53" t="inlineStr">
        <is>
          <t>Quality Engineering</t>
        </is>
      </c>
      <c r="DL332" s="53" t="inlineStr">
        <is>
          <t>QA Manager</t>
        </is>
      </c>
      <c r="DM332" s="53" t="inlineStr">
        <is>
          <t>L5 – Manager</t>
        </is>
      </c>
      <c r="DN332" s="53" t="inlineStr">
        <is>
          <t>B.Tech</t>
        </is>
      </c>
      <c r="DO332" s="53" t="inlineStr">
        <is>
          <t>Pradip Dey</t>
        </is>
      </c>
      <c r="DP332" s="53" t="inlineStr">
        <is>
          <t>N-2</t>
        </is>
      </c>
      <c r="DQ332" s="53" t="inlineStr">
        <is>
          <t>Manager</t>
        </is>
      </c>
      <c r="DR332" s="53" t="inlineStr">
        <is>
          <t>1 years, 5 months, 0 days</t>
        </is>
      </c>
      <c r="DS332" s="53" t="inlineStr">
        <is>
          <t>15 years, 0 months, 19 days</t>
        </is>
      </c>
      <c r="DT332" s="53" t="inlineStr">
        <is>
          <t>16 years, 5 months, 19 days</t>
        </is>
      </c>
      <c r="DU332" s="53" t="n">
        <v>15.0520547945206</v>
      </c>
      <c r="DV332" s="53" t="inlineStr">
        <is>
          <t>Suptech</t>
        </is>
      </c>
      <c r="DW332" s="53" t="inlineStr">
        <is>
          <t>iFile</t>
        </is>
      </c>
      <c r="DX332" s="53" t="inlineStr">
        <is>
          <t>Quality Assurance</t>
        </is>
      </c>
      <c r="DY332" s="53" t="inlineStr">
        <is>
          <t>Quality Assurance</t>
        </is>
      </c>
      <c r="DZ332" s="53" t="inlineStr">
        <is>
          <t>No</t>
        </is>
      </c>
      <c r="EA332" s="53" t="inlineStr">
        <is>
          <t>Product/Project</t>
        </is>
      </c>
      <c r="EB332" s="53" t="inlineStr">
        <is>
          <t>Software Testing</t>
        </is>
      </c>
      <c r="EC332" s="53" t="inlineStr">
        <is>
          <t>Technical · BA, PM and QA</t>
        </is>
      </c>
      <c r="ED332" s="53" t="inlineStr">
        <is>
          <t>Hybrid</t>
        </is>
      </c>
      <c r="EE332" s="53" t="n"/>
      <c r="EF332" s="53"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EG332" s="53" t="inlineStr">
        <is>
          <t>SBC project milestones completion and invoicing
Process improvements
Initiate PMP/PRINCE Certification
Digital way of working and measurement of metrics through the tools</t>
        </is>
      </c>
      <c r="EH332" s="53" t="inlineStr">
        <is>
          <t>Meets Expectations</t>
        </is>
      </c>
      <c r="EI332" s="54" t="n">
        <v>45931</v>
      </c>
      <c r="EJ332" s="53" t="inlineStr">
        <is>
          <t>QA Manager</t>
        </is>
      </c>
      <c r="EK332" s="53" t="n"/>
      <c r="EL332" s="53" t="n">
        <v>4</v>
      </c>
      <c r="EM332" s="53" t="inlineStr">
        <is>
          <t>High</t>
        </is>
      </c>
      <c r="EN332" s="53" t="inlineStr">
        <is>
          <t>Trusted Professional</t>
        </is>
      </c>
      <c r="EO332" s="53" t="n"/>
      <c r="EP332" s="53" t="inlineStr">
        <is>
          <t>Y</t>
        </is>
      </c>
      <c r="EQ332" s="53" t="inlineStr">
        <is>
          <t>N</t>
        </is>
      </c>
      <c r="ER332" s="53" t="n"/>
      <c r="ES332" s="53" t="inlineStr">
        <is>
          <t>Communications and Soft Skills</t>
        </is>
      </c>
      <c r="ET332" s="53" t="n"/>
      <c r="EU332" s="53" t="inlineStr">
        <is>
          <t>IFSCA,CMA-Oman,CMA-Kuwait,ACRA,SBC,ADX/DFM</t>
        </is>
      </c>
      <c r="EV332" s="53" t="n"/>
      <c r="EW332" s="52" t="n"/>
      <c r="EX332" s="53" t="n"/>
      <c r="EY332" s="53" t="n"/>
      <c r="EZ332" s="53" t="n"/>
      <c r="FA332" s="53" t="n"/>
      <c r="FB332" s="53" t="n"/>
      <c r="FC332" s="53" t="n"/>
      <c r="FD332" s="53" t="n"/>
      <c r="FE332" s="57"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FF332" s="56" t="inlineStr">
        <is>
          <t>SBC project milestones completion and invoicing
Process improvements
Initiate PMP/PRINCE Certification
Digital way of working and measurement of metrics through the tools</t>
        </is>
      </c>
      <c r="FG332" s="56" t="n"/>
      <c r="FH332" s="56" t="inlineStr">
        <is>
          <t>Meets Expectations</t>
        </is>
      </c>
      <c r="FI332" s="56" t="n"/>
      <c r="FJ332" s="56" t="inlineStr">
        <is>
          <t>Received · manager annual, quarterly</t>
        </is>
      </c>
      <c r="FK332" s="56" t="inlineStr">
        <is>
          <t>Talent Mapping · iFile collated</t>
        </is>
      </c>
      <c r="FL332" s="56" t="n">
        <v>20</v>
      </c>
      <c r="FM332" s="32" t="inlineStr">
        <is>
          <t>Full survey answers not in the files received · How We Grow export needed · HR</t>
        </is>
      </c>
      <c r="FN332" s="56" t="inlineStr">
        <is>
          <t>—</t>
        </is>
      </c>
      <c r="FO332" s="56" t="inlineStr">
        <is>
          <t>—</t>
        </is>
      </c>
      <c r="FP332" s="56" t="inlineStr">
        <is>
          <t>—</t>
        </is>
      </c>
      <c r="FQ332" s="56" t="inlineStr">
        <is>
          <t>—</t>
        </is>
      </c>
      <c r="FR332" s="56"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SBC project delivery on time, scope and cost; QA outcomes of the iFile team → moved down 0.5
Leadership: Evidence reads like B2: Ten direct reports; KRA covers team building and developing future leaders → moved down 0.5
Business Impact: No move: the survey / manager mapping does not mark it business-critical or unique.</t>
        </is>
      </c>
      <c r="FS332"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332" s="56" t="inlineStr">
        <is>
          <t>Self-identified: AI / automation · Domain, regulatory &amp; XBRL · Client, sales &amp; stakeholders · Communication &amp; presentation · Certification / formal course
For the next role: AI / automation · Domain, regulatory &amp; XBRL · Client, sales &amp; stakeholders · Communication &amp; presentation · Certification / formal course</t>
        </is>
      </c>
      <c r="FU332" s="32" t="inlineStr">
        <is>
          <t>Full survey answers not in the files received · How We Grow export needed · HR</t>
        </is>
      </c>
    </row>
    <row r="333" ht="90" customHeight="1">
      <c r="A333" s="51" t="inlineStr">
        <is>
          <t>◂ Back</t>
        </is>
      </c>
      <c r="B333" s="29" t="inlineStr">
        <is>
          <t>Mapped</t>
        </is>
      </c>
      <c r="C333" s="28" t="inlineStr">
        <is>
          <t>iFile</t>
        </is>
      </c>
      <c r="D333" s="29" t="inlineStr">
        <is>
          <t>IRIS2115</t>
        </is>
      </c>
      <c r="E333" s="29" t="inlineStr">
        <is>
          <t>Sameer Joshi</t>
        </is>
      </c>
      <c r="F333" s="29" t="inlineStr">
        <is>
          <t>Quality Assurance</t>
        </is>
      </c>
      <c r="G333" s="29" t="inlineStr">
        <is>
          <t>QA-Lead</t>
        </is>
      </c>
      <c r="H333" s="29" t="inlineStr">
        <is>
          <t>Senior QA Specialist – POD Lead</t>
        </is>
      </c>
      <c r="I333" s="29" t="inlineStr">
        <is>
          <t>L5 – Lead · IC</t>
        </is>
      </c>
      <c r="J333" s="29" t="inlineStr">
        <is>
          <t>B2</t>
        </is>
      </c>
      <c r="K333" s="29" t="inlineStr">
        <is>
          <t>▼ Down · protected</t>
        </is>
      </c>
      <c r="L333" s="29" t="inlineStr">
        <is>
          <t>Quality Assurance</t>
        </is>
      </c>
      <c r="M333" s="29" t="inlineStr">
        <is>
          <t>Test Management &amp; QA Leadership</t>
        </is>
      </c>
      <c r="N333" s="29" t="n"/>
      <c r="O333" s="29" t="n">
        <v>20</v>
      </c>
      <c r="P333" s="28" t="inlineStr">
        <is>
          <t>P4 / M3</t>
        </is>
      </c>
      <c r="Q333" s="29" t="inlineStr">
        <is>
          <t>Senior / Manager</t>
        </is>
      </c>
      <c r="R333" s="29" t="inlineStr">
        <is>
          <t>4–5</t>
        </is>
      </c>
      <c r="S333" s="29" t="inlineStr">
        <is>
          <t>6–9 yrs</t>
        </is>
      </c>
      <c r="T333" s="29" t="inlineStr">
        <is>
          <t>7–10 · 6–11</t>
        </is>
      </c>
      <c r="U333" s="29" t="inlineStr">
        <is>
          <t>QA Lead / Senior SDET</t>
        </is>
      </c>
      <c r="V333" s="29" t="inlineStr">
        <is>
          <t>Workiva: Senior SE · Broadridge India: Lead SE · Nasdaq / AxiomSL: Senior SE · IRIS Vs Market Benchmark — ISTQB certification pathway: Advanced · Test Manager / TAE · IRIS Vs Competitor Benchmark — testing managers: QA Manager</t>
        </is>
      </c>
      <c r="W333" s="29" t="inlineStr">
        <is>
          <t>ISTQB Foundation → Advanced → Expert; SFIA testing</t>
        </is>
      </c>
      <c r="X333" s="29" t="inlineStr">
        <is>
          <t>Core 3 · Future 3 · Functional 4 · Leadership 3</t>
        </is>
      </c>
      <c r="Y333" s="52" t="n">
        <v>268</v>
      </c>
      <c r="Z333" s="53" t="inlineStr">
        <is>
          <t>IRIS2115</t>
        </is>
      </c>
      <c r="AA333" s="53" t="inlineStr">
        <is>
          <t>Employee</t>
        </is>
      </c>
      <c r="AB333" s="53" t="inlineStr">
        <is>
          <t>Active</t>
        </is>
      </c>
      <c r="AC333" s="53" t="inlineStr">
        <is>
          <t>Sameer Joshi</t>
        </is>
      </c>
      <c r="AD333" s="54" t="n">
        <v>45033</v>
      </c>
      <c r="AE333" s="53" t="inlineStr">
        <is>
          <t>QA-Lead</t>
        </is>
      </c>
      <c r="AF333" s="53" t="inlineStr">
        <is>
          <t>B.SC</t>
        </is>
      </c>
      <c r="AG333" s="53" t="inlineStr">
        <is>
          <t>Davinder Pal Singh</t>
        </is>
      </c>
      <c r="AH333" s="53" t="inlineStr">
        <is>
          <t>N-4</t>
        </is>
      </c>
      <c r="AI333" s="53" t="inlineStr">
        <is>
          <t>Manager</t>
        </is>
      </c>
      <c r="AJ333" s="53" t="inlineStr">
        <is>
          <t>16 years, 0 months, 15 days</t>
        </is>
      </c>
      <c r="AK333" s="53" t="inlineStr">
        <is>
          <t>3 years, 4 months, 8 days</t>
        </is>
      </c>
      <c r="AL333" s="53" t="inlineStr">
        <is>
          <t>Suptech</t>
        </is>
      </c>
      <c r="AM333" s="53" t="inlineStr">
        <is>
          <t>iFile</t>
        </is>
      </c>
      <c r="AN333" s="53" t="inlineStr">
        <is>
          <t>Quality Assurance</t>
        </is>
      </c>
      <c r="AO333" s="53" t="inlineStr">
        <is>
          <t>Quality Assurance</t>
        </is>
      </c>
      <c r="AP333" s="53" t="inlineStr">
        <is>
          <t>No</t>
        </is>
      </c>
      <c r="AQ333" s="53" t="inlineStr">
        <is>
          <t>Product/Project</t>
        </is>
      </c>
      <c r="AR333" s="53" t="inlineStr">
        <is>
          <t>Software Testing</t>
        </is>
      </c>
      <c r="AS333" s="53" t="inlineStr">
        <is>
          <t>Technical · BA, PM and QA</t>
        </is>
      </c>
      <c r="AT333" s="53" t="n">
        <v>20</v>
      </c>
      <c r="AU333" s="53" t="inlineStr">
        <is>
          <t>Covered</t>
        </is>
      </c>
      <c r="AV333" s="53" t="n"/>
      <c r="AW333" s="53" t="n"/>
      <c r="AX333" s="53" t="n"/>
      <c r="AY333" s="53" t="n"/>
      <c r="AZ333" s="53" t="n"/>
      <c r="BA333" s="53" t="n"/>
      <c r="BB333" s="53" t="n"/>
      <c r="BC333" s="53" t="n"/>
      <c r="BD333" s="53" t="n"/>
      <c r="BE333" s="53" t="n"/>
      <c r="BF333" s="53" t="n"/>
      <c r="BG333" s="53" t="n"/>
      <c r="BH333" s="53" t="n"/>
      <c r="BI333" s="53" t="n"/>
      <c r="BJ333" s="53" t="n"/>
      <c r="BK333" s="53" t="n"/>
      <c r="BL333" s="53" t="n"/>
      <c r="BM333" s="53" t="n"/>
      <c r="BN333" s="53" t="n"/>
      <c r="BO333" s="53" t="n"/>
      <c r="BP333" s="53" t="n"/>
      <c r="BQ333" s="53" t="n"/>
      <c r="BR333" s="53" t="n"/>
      <c r="BS333" s="53" t="n"/>
      <c r="BT333" s="53" t="n"/>
      <c r="BU333" s="53" t="n"/>
      <c r="BV333" s="53" t="n"/>
      <c r="BW333" s="53" t="n"/>
      <c r="BX333" s="53" t="n"/>
      <c r="BY333" s="53" t="n"/>
      <c r="BZ333" s="53" t="n"/>
      <c r="CA333" s="53" t="n"/>
      <c r="CB333" s="53" t="n"/>
      <c r="CC333" s="53" t="n"/>
      <c r="CD333" s="53" t="n"/>
      <c r="CE333" s="53" t="n"/>
      <c r="CF333" s="53" t="n"/>
      <c r="CG333" s="53" t="n"/>
      <c r="CH333" s="53" t="n"/>
      <c r="CI333" s="53" t="n"/>
      <c r="CJ333" s="53" t="n"/>
      <c r="CK333" s="53" t="n"/>
      <c r="CL333" s="53" t="n"/>
      <c r="CM333" s="53" t="n"/>
      <c r="CN333" s="53" t="n"/>
      <c r="CO333" s="53" t="n"/>
      <c r="CP333" s="53" t="n"/>
      <c r="CQ333" s="53" t="n"/>
      <c r="CR333" s="53" t="n"/>
      <c r="CS333" s="53" t="n"/>
      <c r="CT333" s="53" t="n"/>
      <c r="CU333" s="53" t="n"/>
      <c r="CV333" s="53" t="n"/>
      <c r="CW333" s="53" t="n"/>
      <c r="CX333" s="53" t="n"/>
      <c r="CY333" s="53" t="n"/>
      <c r="CZ333" s="53" t="n"/>
      <c r="DA333" s="53" t="n"/>
      <c r="DB333" s="53" t="n"/>
      <c r="DC333" s="53" t="n"/>
      <c r="DD333" s="53" t="inlineStr">
        <is>
          <t>IRIS2115</t>
        </is>
      </c>
      <c r="DE333" s="53" t="inlineStr">
        <is>
          <t>Employee</t>
        </is>
      </c>
      <c r="DF333" s="53" t="inlineStr">
        <is>
          <t>Active</t>
        </is>
      </c>
      <c r="DG333" s="53" t="inlineStr">
        <is>
          <t>Sameer Joshi</t>
        </is>
      </c>
      <c r="DH333" s="54" t="n">
        <v>45033</v>
      </c>
      <c r="DI333" s="53" t="inlineStr">
        <is>
          <t>QA-Lead</t>
        </is>
      </c>
      <c r="DJ333" s="53" t="inlineStr">
        <is>
          <t>Quality Assurance</t>
        </is>
      </c>
      <c r="DK333" s="53" t="inlineStr">
        <is>
          <t>Quality Engineering</t>
        </is>
      </c>
      <c r="DL333" s="53" t="inlineStr">
        <is>
          <t>QA-Lead</t>
        </is>
      </c>
      <c r="DM333" s="53" t="inlineStr">
        <is>
          <t>L5 – Lead · IC</t>
        </is>
      </c>
      <c r="DN333" s="53" t="inlineStr">
        <is>
          <t>B.SC</t>
        </is>
      </c>
      <c r="DO333" s="53" t="inlineStr">
        <is>
          <t>Davinder Pal Singh</t>
        </is>
      </c>
      <c r="DP333" s="53" t="inlineStr">
        <is>
          <t>N-3</t>
        </is>
      </c>
      <c r="DQ333" s="53" t="inlineStr">
        <is>
          <t>Manager</t>
        </is>
      </c>
      <c r="DR333" s="53" t="inlineStr">
        <is>
          <t>16 years, 0 months, 15 days</t>
        </is>
      </c>
      <c r="DS333" s="53" t="inlineStr">
        <is>
          <t>3 years, 2 months, 3 days</t>
        </is>
      </c>
      <c r="DT333" s="53" t="inlineStr">
        <is>
          <t>19 years, 2 months, 18 days</t>
        </is>
      </c>
      <c r="DU333" s="53" t="n">
        <v>3.17488584474886</v>
      </c>
      <c r="DV333" s="53" t="inlineStr">
        <is>
          <t>Suptech</t>
        </is>
      </c>
      <c r="DW333" s="53" t="inlineStr">
        <is>
          <t>iFile</t>
        </is>
      </c>
      <c r="DX333" s="53" t="inlineStr">
        <is>
          <t>Quality Assurance</t>
        </is>
      </c>
      <c r="DY333" s="53" t="inlineStr">
        <is>
          <t>Quality Assurance</t>
        </is>
      </c>
      <c r="DZ333" s="53" t="inlineStr">
        <is>
          <t>No</t>
        </is>
      </c>
      <c r="EA333" s="53" t="inlineStr">
        <is>
          <t>Product/Project</t>
        </is>
      </c>
      <c r="EB333" s="53" t="inlineStr">
        <is>
          <t>Software Testing</t>
        </is>
      </c>
      <c r="EC333" s="53" t="inlineStr">
        <is>
          <t>Technical · BA, PM and QA</t>
        </is>
      </c>
      <c r="ED333" s="53" t="inlineStr">
        <is>
          <t>Hybrid</t>
        </is>
      </c>
      <c r="EE333" s="53"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EF333" s="53"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EG333" s="53" t="inlineStr">
        <is>
          <t>Tea pot Automation for First Phase</t>
        </is>
      </c>
      <c r="EH333" s="53" t="n">
        <v>4</v>
      </c>
      <c r="EI333" s="53" t="inlineStr">
        <is>
          <t>15-06-2026</t>
        </is>
      </c>
      <c r="EJ333" s="53" t="inlineStr">
        <is>
          <t>QA Lead</t>
        </is>
      </c>
      <c r="EK333" s="53" t="inlineStr">
        <is>
          <t>No</t>
        </is>
      </c>
      <c r="EL333" s="53" t="n">
        <v>4</v>
      </c>
      <c r="EM333" s="53" t="inlineStr">
        <is>
          <t>High</t>
        </is>
      </c>
      <c r="EN333" s="53" t="inlineStr">
        <is>
          <t>Reliable Specialist</t>
        </is>
      </c>
      <c r="EO333" s="53" t="inlineStr">
        <is>
          <t>No</t>
        </is>
      </c>
      <c r="EP333" s="53" t="inlineStr">
        <is>
          <t>No</t>
        </is>
      </c>
      <c r="EQ333" s="53" t="n"/>
      <c r="ER333" s="53" t="inlineStr">
        <is>
          <t>yet to identify</t>
        </is>
      </c>
      <c r="ES333" s="53" t="n"/>
      <c r="ET333" s="53" t="inlineStr">
        <is>
          <t>AI Knowledge, Ai trainee</t>
        </is>
      </c>
      <c r="EU333" s="53" t="n"/>
      <c r="EV333" s="53" t="n"/>
      <c r="EW333" s="52" t="n"/>
      <c r="EX333" s="53" t="n"/>
      <c r="EY333" s="53" t="n"/>
      <c r="EZ333" s="53" t="n"/>
      <c r="FA333" s="53" t="n"/>
      <c r="FB333" s="53" t="n"/>
      <c r="FC333" s="53" t="n"/>
      <c r="FD333" s="53" t="n"/>
      <c r="FE333" s="57"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FF333" s="56" t="inlineStr">
        <is>
          <t>Tea pot Automation for First Phase</t>
        </is>
      </c>
      <c r="FG333" s="56"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FH333" s="56" t="inlineStr">
        <is>
          <t>4</t>
        </is>
      </c>
      <c r="FI333" s="56" t="n"/>
      <c r="FJ333" s="56" t="inlineStr">
        <is>
          <t>Received · manager annual, quarterly, self</t>
        </is>
      </c>
      <c r="FK333" s="56" t="inlineStr">
        <is>
          <t>Talent Mapping · iFile collated</t>
        </is>
      </c>
      <c r="FL333" s="56" t="n">
        <v>20</v>
      </c>
      <c r="FM333" s="32" t="inlineStr">
        <is>
          <t>Full survey answers not in the files received · How We Grow export needed · HR</t>
        </is>
      </c>
      <c r="FN333" s="56" t="inlineStr">
        <is>
          <t>—</t>
        </is>
      </c>
      <c r="FO333" s="56" t="inlineStr">
        <is>
          <t>—</t>
        </is>
      </c>
      <c r="FP333" s="56" t="inlineStr">
        <is>
          <t>—</t>
        </is>
      </c>
      <c r="FQ333" s="56" t="inlineStr">
        <is>
          <t>—</t>
        </is>
      </c>
      <c r="FR333" s="56"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scripts and result reliability; regression automation targets for Teapot and SARB → matches the start
Leadership: Evidence reads like B1: Leads the automation team; mentors SARB QA engineers with monthly sessions · KRA → matches the start
Business Impact: No survey or manager-mapping signal on criticality: kept at the start point.</t>
        </is>
      </c>
      <c r="FS333"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333" s="56" t="inlineStr">
        <is>
          <t>Self-identified: Technical depth &amp; architecture · Testing &amp; quality · Client, sales &amp; stakeholders · Strategy &amp; business acumen
For the next role: Technical depth &amp; architecture · Testing &amp; quality · Client, sales &amp; stakeholders · Strategy &amp; business acumen</t>
        </is>
      </c>
      <c r="FU333" s="32" t="inlineStr">
        <is>
          <t>Full survey answers not in the files received · How We Grow export needed · HR</t>
        </is>
      </c>
    </row>
    <row r="334" ht="90" customHeight="1">
      <c r="A334" s="51" t="inlineStr">
        <is>
          <t>◂ Back</t>
        </is>
      </c>
      <c r="B334" s="29" t="inlineStr">
        <is>
          <t>Mapped</t>
        </is>
      </c>
      <c r="C334" s="28" t="inlineStr">
        <is>
          <t>iFile</t>
        </is>
      </c>
      <c r="D334" s="29" t="inlineStr">
        <is>
          <t>IRIS2040</t>
        </is>
      </c>
      <c r="E334" s="29" t="inlineStr">
        <is>
          <t>Sandeep Padhi</t>
        </is>
      </c>
      <c r="F334" s="29" t="inlineStr">
        <is>
          <t>Quality Assurance</t>
        </is>
      </c>
      <c r="G334" s="29" t="inlineStr">
        <is>
          <t>QA Engineer</t>
        </is>
      </c>
      <c r="H334" s="29" t="inlineStr">
        <is>
          <t>Senior QA Engineer</t>
        </is>
      </c>
      <c r="I334" s="29" t="inlineStr">
        <is>
          <t>L3 – Professional / Associate</t>
        </is>
      </c>
      <c r="J334" s="29" t="inlineStr">
        <is>
          <t>A3</t>
        </is>
      </c>
      <c r="K334" s="29" t="inlineStr">
        <is>
          <t>▲ Up</t>
        </is>
      </c>
      <c r="L334" s="29" t="inlineStr">
        <is>
          <t>Quality Assurance</t>
        </is>
      </c>
      <c r="M334" s="29" t="inlineStr">
        <is>
          <t>Functional &amp; Domain Testing</t>
        </is>
      </c>
      <c r="N334" s="29" t="n"/>
      <c r="O334" s="29" t="n">
        <v>20</v>
      </c>
      <c r="P334" s="28" t="inlineStr">
        <is>
          <t>P2</t>
        </is>
      </c>
      <c r="Q334" s="29" t="inlineStr">
        <is>
          <t>Developing</t>
        </is>
      </c>
      <c r="R334" s="29" t="inlineStr">
        <is>
          <t>3 Apply</t>
        </is>
      </c>
      <c r="S334" s="29" t="inlineStr">
        <is>
          <t>2–4 yrs</t>
        </is>
      </c>
      <c r="T334" s="29" t="inlineStr">
        <is>
          <t>3–5 · 2–5</t>
        </is>
      </c>
      <c r="U334" s="29" t="inlineStr">
        <is>
          <t>QA Engineer</t>
        </is>
      </c>
      <c r="V334" s="29" t="inlineStr">
        <is>
          <t>Workiva: SE · Broadridge India: SE · Nasdaq / AxiomSL: SE · IRIS Vs Market Benchmark — ISTQB certification pathway: Foundation</t>
        </is>
      </c>
      <c r="W334" s="29" t="inlineStr">
        <is>
          <t>ISTQB Foundation → Advanced → Expert; SFIA testing</t>
        </is>
      </c>
      <c r="X334" s="29" t="inlineStr">
        <is>
          <t>Core 2 · Future 2 · Functional 3 · Leadership not scored</t>
        </is>
      </c>
      <c r="Y334" s="52" t="n">
        <v>229</v>
      </c>
      <c r="Z334" s="53" t="inlineStr">
        <is>
          <t>IRIS2040</t>
        </is>
      </c>
      <c r="AA334" s="53" t="inlineStr">
        <is>
          <t>Employee</t>
        </is>
      </c>
      <c r="AB334" s="53" t="inlineStr">
        <is>
          <t>Active</t>
        </is>
      </c>
      <c r="AC334" s="53" t="inlineStr">
        <is>
          <t>Sandeep Padhi</t>
        </is>
      </c>
      <c r="AD334" s="54" t="n">
        <v>44755</v>
      </c>
      <c r="AE334" s="53" t="inlineStr">
        <is>
          <t>QA Engineer</t>
        </is>
      </c>
      <c r="AF334" s="53" t="inlineStr">
        <is>
          <t>B.Tech</t>
        </is>
      </c>
      <c r="AG334" s="53" t="inlineStr">
        <is>
          <t>Sameer Joshi</t>
        </is>
      </c>
      <c r="AH334" s="53" t="inlineStr">
        <is>
          <t>N-5</t>
        </is>
      </c>
      <c r="AI334" s="53" t="inlineStr">
        <is>
          <t>Individual Contributor</t>
        </is>
      </c>
      <c r="AJ334" s="53" t="inlineStr">
        <is>
          <t>0 years, 9 months, 0 days</t>
        </is>
      </c>
      <c r="AK334" s="53" t="inlineStr">
        <is>
          <t>4 years, 1 months, 12 days</t>
        </is>
      </c>
      <c r="AL334" s="53" t="inlineStr">
        <is>
          <t>Suptech</t>
        </is>
      </c>
      <c r="AM334" s="53" t="inlineStr">
        <is>
          <t>iFile</t>
        </is>
      </c>
      <c r="AN334" s="53" t="inlineStr">
        <is>
          <t>Quality Assurance</t>
        </is>
      </c>
      <c r="AO334" s="53" t="inlineStr">
        <is>
          <t>Quality Assurance</t>
        </is>
      </c>
      <c r="AP334" s="53" t="inlineStr">
        <is>
          <t>No</t>
        </is>
      </c>
      <c r="AQ334" s="53" t="inlineStr">
        <is>
          <t>Product/Project</t>
        </is>
      </c>
      <c r="AR334" s="53" t="inlineStr">
        <is>
          <t>Software Testing</t>
        </is>
      </c>
      <c r="AS334" s="53" t="inlineStr">
        <is>
          <t>Technical · BA, PM and QA</t>
        </is>
      </c>
      <c r="AT334" s="53" t="n">
        <v>20</v>
      </c>
      <c r="AU334" s="53" t="inlineStr">
        <is>
          <t>Covered</t>
        </is>
      </c>
      <c r="AV334" s="53" t="n"/>
      <c r="AW334" s="53" t="n"/>
      <c r="AX334" s="53" t="n"/>
      <c r="AY334" s="53" t="n"/>
      <c r="AZ334" s="53" t="n"/>
      <c r="BA334" s="53" t="n"/>
      <c r="BB334" s="53" t="n"/>
      <c r="BC334" s="53" t="n"/>
      <c r="BD334" s="53" t="n"/>
      <c r="BE334" s="53" t="n"/>
      <c r="BF334" s="53" t="n"/>
      <c r="BG334" s="53" t="n"/>
      <c r="BH334" s="53" t="n"/>
      <c r="BI334" s="53" t="n"/>
      <c r="BJ334" s="53" t="n"/>
      <c r="BK334" s="53" t="n"/>
      <c r="BL334" s="53" t="n"/>
      <c r="BM334" s="53" t="n"/>
      <c r="BN334" s="53" t="n"/>
      <c r="BO334" s="53" t="n"/>
      <c r="BP334" s="53" t="n"/>
      <c r="BQ334" s="53" t="n"/>
      <c r="BR334" s="53" t="n"/>
      <c r="BS334" s="53" t="n"/>
      <c r="BT334" s="53" t="n"/>
      <c r="BU334" s="53" t="n"/>
      <c r="BV334" s="53" t="n"/>
      <c r="BW334" s="53" t="n"/>
      <c r="BX334" s="53" t="n"/>
      <c r="BY334" s="53" t="n"/>
      <c r="BZ334" s="53" t="n"/>
      <c r="CA334" s="53" t="n"/>
      <c r="CB334" s="53" t="n"/>
      <c r="CC334" s="53" t="n"/>
      <c r="CD334" s="53" t="n"/>
      <c r="CE334" s="53" t="n"/>
      <c r="CF334" s="53" t="n"/>
      <c r="CG334" s="53" t="n"/>
      <c r="CH334" s="53" t="n"/>
      <c r="CI334" s="53" t="n"/>
      <c r="CJ334" s="53" t="n"/>
      <c r="CK334" s="53" t="n"/>
      <c r="CL334" s="53" t="n"/>
      <c r="CM334" s="53" t="n"/>
      <c r="CN334" s="53" t="n"/>
      <c r="CO334" s="53" t="n"/>
      <c r="CP334" s="53" t="n"/>
      <c r="CQ334" s="53" t="n"/>
      <c r="CR334" s="53" t="n"/>
      <c r="CS334" s="53" t="n"/>
      <c r="CT334" s="53" t="n"/>
      <c r="CU334" s="53" t="n"/>
      <c r="CV334" s="53" t="n"/>
      <c r="CW334" s="53" t="n"/>
      <c r="CX334" s="53" t="n"/>
      <c r="CY334" s="53" t="n"/>
      <c r="CZ334" s="53" t="n"/>
      <c r="DA334" s="53" t="n"/>
      <c r="DB334" s="53" t="n"/>
      <c r="DC334" s="53" t="n"/>
      <c r="DD334" s="53" t="inlineStr">
        <is>
          <t>IRIS2040</t>
        </is>
      </c>
      <c r="DE334" s="53" t="inlineStr">
        <is>
          <t>Employee</t>
        </is>
      </c>
      <c r="DF334" s="53" t="inlineStr">
        <is>
          <t>Active</t>
        </is>
      </c>
      <c r="DG334" s="53" t="inlineStr">
        <is>
          <t>Sandeep Padhi</t>
        </is>
      </c>
      <c r="DH334" s="54" t="n">
        <v>44755</v>
      </c>
      <c r="DI334" s="53" t="inlineStr">
        <is>
          <t>QA Engineer</t>
        </is>
      </c>
      <c r="DJ334" s="53" t="inlineStr">
        <is>
          <t>Quality Assurance</t>
        </is>
      </c>
      <c r="DK334" s="53" t="inlineStr">
        <is>
          <t>Quality Engineering</t>
        </is>
      </c>
      <c r="DL334" s="53" t="inlineStr">
        <is>
          <t>QA Engineer</t>
        </is>
      </c>
      <c r="DM334" s="53" t="inlineStr">
        <is>
          <t>L3 – Professional / Associate</t>
        </is>
      </c>
      <c r="DN334" s="53" t="inlineStr">
        <is>
          <t>B.Tech</t>
        </is>
      </c>
      <c r="DO334" s="53" t="inlineStr">
        <is>
          <t>Sameer Joshi</t>
        </is>
      </c>
      <c r="DP334" s="53" t="inlineStr">
        <is>
          <t>N-4</t>
        </is>
      </c>
      <c r="DQ334" s="53" t="inlineStr">
        <is>
          <t>Individual Contributor</t>
        </is>
      </c>
      <c r="DR334" s="53" t="inlineStr">
        <is>
          <t>0 years, 9 months, 0 days</t>
        </is>
      </c>
      <c r="DS334" s="53" t="inlineStr">
        <is>
          <t>3 years, 11 months, 7 days</t>
        </is>
      </c>
      <c r="DT334" s="53" t="inlineStr">
        <is>
          <t>4 years, 8 months, 7 days</t>
        </is>
      </c>
      <c r="DU334" s="53" t="n"/>
      <c r="DV334" s="53" t="inlineStr">
        <is>
          <t>Suptech</t>
        </is>
      </c>
      <c r="DW334" s="53" t="inlineStr">
        <is>
          <t>iFile</t>
        </is>
      </c>
      <c r="DX334" s="53" t="inlineStr">
        <is>
          <t>Quality Assurance</t>
        </is>
      </c>
      <c r="DY334" s="53" t="inlineStr">
        <is>
          <t>Quality Assurance</t>
        </is>
      </c>
      <c r="DZ334" s="53" t="inlineStr">
        <is>
          <t>No</t>
        </is>
      </c>
      <c r="EA334" s="53" t="inlineStr">
        <is>
          <t>Product/Project</t>
        </is>
      </c>
      <c r="EB334" s="53" t="inlineStr">
        <is>
          <t>Software Testing</t>
        </is>
      </c>
      <c r="EC334" s="53" t="inlineStr">
        <is>
          <t>Technical · BA, PM and QA</t>
        </is>
      </c>
      <c r="ED334" s="53" t="inlineStr">
        <is>
          <t>Remote- Outside Mumbai</t>
        </is>
      </c>
      <c r="EE334" s="53"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EF334" s="53"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EG334" s="53" t="inlineStr">
        <is>
          <t>1.  Conduct functional demonstrations, collaborate effectively with clients, developers, and internal stakeholders, and share product knowledge to improve feature understanding, user adoption, and project success.</t>
        </is>
      </c>
      <c r="EH334" s="53" t="n">
        <v>4</v>
      </c>
      <c r="EI334" s="54" t="n">
        <v>46149</v>
      </c>
      <c r="EJ334" s="53" t="inlineStr">
        <is>
          <t>QA Engineer</t>
        </is>
      </c>
      <c r="EK334" s="53" t="inlineStr">
        <is>
          <t>no</t>
        </is>
      </c>
      <c r="EL334" s="53" t="n">
        <v>4</v>
      </c>
      <c r="EM334" s="53" t="inlineStr">
        <is>
          <t>Medium</t>
        </is>
      </c>
      <c r="EN334" s="53" t="inlineStr">
        <is>
          <t>High Impact / Growth Talent</t>
        </is>
      </c>
      <c r="EO334" s="53" t="inlineStr">
        <is>
          <t>No</t>
        </is>
      </c>
      <c r="EP334" s="53" t="inlineStr">
        <is>
          <t>No</t>
        </is>
      </c>
      <c r="EQ334" s="53" t="inlineStr">
        <is>
          <t>No</t>
        </is>
      </c>
      <c r="ER334" s="53" t="inlineStr">
        <is>
          <t>yet to identify</t>
        </is>
      </c>
      <c r="ES334" s="53" t="inlineStr">
        <is>
          <t>Automation training</t>
        </is>
      </c>
      <c r="ET334" s="53" t="inlineStr">
        <is>
          <t>Transition to leadership: people management &amp; delegation, mentoring/coaching, project ownership &amp; stakeholder management, prioritisation under ambiguity, presentation &amp; influence skills</t>
        </is>
      </c>
      <c r="EU334" s="53" t="n"/>
      <c r="EV334" s="53" t="n"/>
      <c r="EW334" s="52" t="n"/>
      <c r="EX334" s="53" t="n"/>
      <c r="EY334" s="53" t="n"/>
      <c r="EZ334" s="53" t="n"/>
      <c r="FA334" s="53" t="n"/>
      <c r="FB334" s="53" t="n"/>
      <c r="FC334" s="53" t="n"/>
      <c r="FD334" s="53" t="n"/>
      <c r="FE334" s="57"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FF334" s="56" t="inlineStr">
        <is>
          <t>1.  Conduct functional demonstrations, collaborate effectively with clients, developers, and internal stakeholders, and share product knowledge to improve feature understanding, user adoption, and project success.</t>
        </is>
      </c>
      <c r="FG334" s="56"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FH334" s="56" t="inlineStr">
        <is>
          <t>4</t>
        </is>
      </c>
      <c r="FI334" s="56" t="n"/>
      <c r="FJ334" s="56" t="inlineStr">
        <is>
          <t>Received · manager annual, quarterly, self</t>
        </is>
      </c>
      <c r="FK334" s="56" t="inlineStr">
        <is>
          <t>Talent Mapping · iFile collated</t>
        </is>
      </c>
      <c r="FL334" s="56" t="n">
        <v>20</v>
      </c>
      <c r="FM334" s="32" t="inlineStr">
        <is>
          <t>Full survey answers not in the files received · How We Grow export needed · HR</t>
        </is>
      </c>
      <c r="FN334" s="56" t="inlineStr">
        <is>
          <t>—</t>
        </is>
      </c>
      <c r="FO334" s="56" t="inlineStr">
        <is>
          <t>—</t>
        </is>
      </c>
      <c r="FP334" s="56" t="inlineStr">
        <is>
          <t>—</t>
        </is>
      </c>
      <c r="FQ334" s="56" t="inlineStr">
        <is>
          <t>—</t>
        </is>
      </c>
      <c r="FR334" s="56"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client demonstrations; missed bugs hit production → moved up 0.5
Leadership: Evidence reads like A2: Knowledge-sharing noted in KRA; no team led → moved up 0.5
Business Impact: No survey or manager-mapping signal on criticality: kept at the start point.</t>
        </is>
      </c>
      <c r="FS33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4" s="56" t="inlineStr">
        <is>
          <t>Self-identified: AI / automation · Testing &amp; quality · Data, SQL &amp; analytics · Product &amp; tool knowledge
For the next role: AI / automation · Testing &amp; quality · Data, SQL &amp; analytics · Product &amp; tool knowledge · Strategy &amp; business acumen · Broader exposure &amp; ownership</t>
        </is>
      </c>
      <c r="FU334" s="32" t="inlineStr">
        <is>
          <t>Full survey answers not in the files received · How We Grow export needed · HR</t>
        </is>
      </c>
    </row>
    <row r="335" ht="90" customHeight="1">
      <c r="A335" s="51" t="inlineStr">
        <is>
          <t>◂ Back</t>
        </is>
      </c>
      <c r="B335" s="29" t="inlineStr">
        <is>
          <t>Mapped</t>
        </is>
      </c>
      <c r="C335" s="28" t="inlineStr">
        <is>
          <t>iFile</t>
        </is>
      </c>
      <c r="D335" s="29" t="inlineStr">
        <is>
          <t>IRIS2227</t>
        </is>
      </c>
      <c r="E335" s="29" t="inlineStr">
        <is>
          <t>Suraj Govind Walhekar</t>
        </is>
      </c>
      <c r="F335" s="29" t="inlineStr">
        <is>
          <t>Quality Assurance</t>
        </is>
      </c>
      <c r="G335" s="29" t="inlineStr">
        <is>
          <t>QA Engineer</t>
        </is>
      </c>
      <c r="H335" s="29" t="inlineStr">
        <is>
          <t>Senior QA Engineer</t>
        </is>
      </c>
      <c r="I335" s="29" t="inlineStr">
        <is>
          <t>L3 – Professional / Associate</t>
        </is>
      </c>
      <c r="J335" s="29" t="inlineStr">
        <is>
          <t>A3</t>
        </is>
      </c>
      <c r="K335" s="29" t="inlineStr">
        <is>
          <t>▲ Up</t>
        </is>
      </c>
      <c r="L335" s="29" t="inlineStr">
        <is>
          <t>Quality Assurance</t>
        </is>
      </c>
      <c r="M335" s="29" t="inlineStr">
        <is>
          <t>Functional &amp; Domain Testing</t>
        </is>
      </c>
      <c r="N335" s="29" t="n"/>
      <c r="O335" s="29" t="n">
        <v>20</v>
      </c>
      <c r="P335" s="28" t="inlineStr">
        <is>
          <t>P2</t>
        </is>
      </c>
      <c r="Q335" s="29" t="inlineStr">
        <is>
          <t>Developing</t>
        </is>
      </c>
      <c r="R335" s="29" t="inlineStr">
        <is>
          <t>3 Apply</t>
        </is>
      </c>
      <c r="S335" s="29" t="inlineStr">
        <is>
          <t>2–4 yrs</t>
        </is>
      </c>
      <c r="T335" s="29" t="inlineStr">
        <is>
          <t>3–5 · 2–5</t>
        </is>
      </c>
      <c r="U335" s="29" t="inlineStr">
        <is>
          <t>QA Engineer</t>
        </is>
      </c>
      <c r="V335" s="29" t="inlineStr">
        <is>
          <t>Workiva: SE · Broadridge India: SE · Nasdaq / AxiomSL: SE · IRIS Vs Market Benchmark — ISTQB certification pathway: Foundation</t>
        </is>
      </c>
      <c r="W335" s="29" t="inlineStr">
        <is>
          <t>ISTQB Foundation → Advanced → Expert; SFIA testing</t>
        </is>
      </c>
      <c r="X335" s="29" t="inlineStr">
        <is>
          <t>Core 2 · Future 2 · Functional 3 · Leadership not scored</t>
        </is>
      </c>
      <c r="Y335" s="52" t="n">
        <v>307</v>
      </c>
      <c r="Z335" s="53" t="inlineStr">
        <is>
          <t>IRIS2227</t>
        </is>
      </c>
      <c r="AA335" s="53" t="inlineStr">
        <is>
          <t>Employee</t>
        </is>
      </c>
      <c r="AB335" s="53" t="inlineStr">
        <is>
          <t>Active</t>
        </is>
      </c>
      <c r="AC335" s="53" t="inlineStr">
        <is>
          <t>Suraj Govind Walhekar</t>
        </is>
      </c>
      <c r="AD335" s="54" t="n">
        <v>45343</v>
      </c>
      <c r="AE335" s="53" t="inlineStr">
        <is>
          <t>QA Engineer</t>
        </is>
      </c>
      <c r="AF335" s="53" t="inlineStr">
        <is>
          <t>B.E</t>
        </is>
      </c>
      <c r="AG335" s="53" t="inlineStr">
        <is>
          <t>Sameer Joshi</t>
        </is>
      </c>
      <c r="AH335" s="53" t="inlineStr">
        <is>
          <t>N-5</t>
        </is>
      </c>
      <c r="AI335" s="53" t="inlineStr">
        <is>
          <t>Individual Contributor</t>
        </is>
      </c>
      <c r="AJ335" s="53" t="inlineStr">
        <is>
          <t>2 years, 9 months, 0 days</t>
        </is>
      </c>
      <c r="AK335" s="53" t="inlineStr">
        <is>
          <t>2 years, 6 months, 4 days</t>
        </is>
      </c>
      <c r="AL335" s="53" t="inlineStr">
        <is>
          <t>Suptech</t>
        </is>
      </c>
      <c r="AM335" s="53" t="inlineStr">
        <is>
          <t>iFile</t>
        </is>
      </c>
      <c r="AN335" s="53" t="inlineStr">
        <is>
          <t>Quality Assurance</t>
        </is>
      </c>
      <c r="AO335" s="53" t="inlineStr">
        <is>
          <t>Quality Assurance</t>
        </is>
      </c>
      <c r="AP335" s="53" t="inlineStr">
        <is>
          <t>No</t>
        </is>
      </c>
      <c r="AQ335" s="53" t="inlineStr">
        <is>
          <t>Product/Project</t>
        </is>
      </c>
      <c r="AR335" s="53" t="inlineStr">
        <is>
          <t>Software Testing</t>
        </is>
      </c>
      <c r="AS335" s="53" t="inlineStr">
        <is>
          <t>Technical · BA, PM and QA</t>
        </is>
      </c>
      <c r="AT335" s="53" t="n">
        <v>20</v>
      </c>
      <c r="AU335" s="53" t="inlineStr">
        <is>
          <t>Covered</t>
        </is>
      </c>
      <c r="AV335" s="53" t="n"/>
      <c r="AW335" s="53" t="n"/>
      <c r="AX335" s="53" t="n"/>
      <c r="AY335" s="53" t="n"/>
      <c r="AZ335" s="53" t="n"/>
      <c r="BA335" s="53" t="n"/>
      <c r="BB335" s="53" t="n"/>
      <c r="BC335" s="53" t="n"/>
      <c r="BD335" s="53" t="n"/>
      <c r="BE335" s="53" t="n"/>
      <c r="BF335" s="53" t="n"/>
      <c r="BG335" s="53" t="n"/>
      <c r="BH335" s="53" t="n"/>
      <c r="BI335" s="53" t="n"/>
      <c r="BJ335" s="53" t="n"/>
      <c r="BK335" s="53" t="n"/>
      <c r="BL335" s="53" t="n"/>
      <c r="BM335" s="53" t="n"/>
      <c r="BN335" s="53" t="n"/>
      <c r="BO335" s="53" t="n"/>
      <c r="BP335" s="53" t="n"/>
      <c r="BQ335" s="53" t="n"/>
      <c r="BR335" s="53" t="n"/>
      <c r="BS335" s="53" t="n"/>
      <c r="BT335" s="53" t="n"/>
      <c r="BU335" s="53" t="n"/>
      <c r="BV335" s="53" t="n"/>
      <c r="BW335" s="53" t="n"/>
      <c r="BX335" s="53" t="n"/>
      <c r="BY335" s="53" t="n"/>
      <c r="BZ335" s="53" t="n"/>
      <c r="CA335" s="53" t="n"/>
      <c r="CB335" s="53" t="n"/>
      <c r="CC335" s="53" t="n"/>
      <c r="CD335" s="53" t="n"/>
      <c r="CE335" s="53" t="n"/>
      <c r="CF335" s="53" t="n"/>
      <c r="CG335" s="53" t="n"/>
      <c r="CH335" s="53" t="n"/>
      <c r="CI335" s="53" t="n"/>
      <c r="CJ335" s="53" t="n"/>
      <c r="CK335" s="53" t="n"/>
      <c r="CL335" s="53" t="n"/>
      <c r="CM335" s="53" t="n"/>
      <c r="CN335" s="53" t="n"/>
      <c r="CO335" s="53" t="n"/>
      <c r="CP335" s="53" t="n"/>
      <c r="CQ335" s="53" t="n"/>
      <c r="CR335" s="53" t="n"/>
      <c r="CS335" s="53" t="n"/>
      <c r="CT335" s="53" t="n"/>
      <c r="CU335" s="53" t="n"/>
      <c r="CV335" s="53" t="n"/>
      <c r="CW335" s="53" t="n"/>
      <c r="CX335" s="53" t="n"/>
      <c r="CY335" s="53" t="n"/>
      <c r="CZ335" s="53" t="n"/>
      <c r="DA335" s="53" t="n"/>
      <c r="DB335" s="53" t="n"/>
      <c r="DC335" s="53" t="n"/>
      <c r="DD335" s="53" t="inlineStr">
        <is>
          <t>IRIS2227</t>
        </is>
      </c>
      <c r="DE335" s="53" t="inlineStr">
        <is>
          <t>Employee</t>
        </is>
      </c>
      <c r="DF335" s="53" t="inlineStr">
        <is>
          <t>Active</t>
        </is>
      </c>
      <c r="DG335" s="53" t="inlineStr">
        <is>
          <t>Suraj Govind Walhekar</t>
        </is>
      </c>
      <c r="DH335" s="54" t="n">
        <v>45343</v>
      </c>
      <c r="DI335" s="53" t="inlineStr">
        <is>
          <t>QA Engineer</t>
        </is>
      </c>
      <c r="DJ335" s="53" t="inlineStr">
        <is>
          <t>Quality Assurance</t>
        </is>
      </c>
      <c r="DK335" s="53" t="inlineStr">
        <is>
          <t>Quality Engineering</t>
        </is>
      </c>
      <c r="DL335" s="53" t="inlineStr">
        <is>
          <t>QA Engineer</t>
        </is>
      </c>
      <c r="DM335" s="53" t="inlineStr">
        <is>
          <t>L3 – Professional / Associate</t>
        </is>
      </c>
      <c r="DN335" s="53" t="inlineStr">
        <is>
          <t>B.E</t>
        </is>
      </c>
      <c r="DO335" s="53" t="inlineStr">
        <is>
          <t>Sameer Joshi</t>
        </is>
      </c>
      <c r="DP335" s="53" t="inlineStr">
        <is>
          <t>N-4</t>
        </is>
      </c>
      <c r="DQ335" s="53" t="inlineStr">
        <is>
          <t>Individual Contributor</t>
        </is>
      </c>
      <c r="DR335" s="53" t="inlineStr">
        <is>
          <t>2 years, 9 months, 0 days</t>
        </is>
      </c>
      <c r="DS335" s="53" t="inlineStr">
        <is>
          <t>2 years, 3 months, 30 days</t>
        </is>
      </c>
      <c r="DT335" s="53" t="inlineStr">
        <is>
          <t>5 years, 0 months, 30 days</t>
        </is>
      </c>
      <c r="DU335" s="53" t="n"/>
      <c r="DV335" s="53" t="inlineStr">
        <is>
          <t>Suptech</t>
        </is>
      </c>
      <c r="DW335" s="53" t="inlineStr">
        <is>
          <t>iFile</t>
        </is>
      </c>
      <c r="DX335" s="53" t="inlineStr">
        <is>
          <t>Quality Assurance</t>
        </is>
      </c>
      <c r="DY335" s="53" t="inlineStr">
        <is>
          <t>Quality Assurance</t>
        </is>
      </c>
      <c r="DZ335" s="53" t="inlineStr">
        <is>
          <t>No</t>
        </is>
      </c>
      <c r="EA335" s="53" t="inlineStr">
        <is>
          <t>Product/Project</t>
        </is>
      </c>
      <c r="EB335" s="53" t="inlineStr">
        <is>
          <t>Software Testing</t>
        </is>
      </c>
      <c r="EC335" s="53" t="inlineStr">
        <is>
          <t>Technical · BA, PM and QA</t>
        </is>
      </c>
      <c r="ED335" s="53" t="inlineStr">
        <is>
          <t>Hybrid</t>
        </is>
      </c>
      <c r="EE335" s="53"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EF335" s="53"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EG335" s="53"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EH335" s="53" t="n">
        <v>4</v>
      </c>
      <c r="EI335" s="54" t="n">
        <v>46149</v>
      </c>
      <c r="EJ335" s="53" t="inlineStr">
        <is>
          <t>QA Engineer</t>
        </is>
      </c>
      <c r="EK335" s="53" t="inlineStr">
        <is>
          <t>NO</t>
        </is>
      </c>
      <c r="EL335" s="53" t="n">
        <v>4</v>
      </c>
      <c r="EM335" s="53" t="inlineStr">
        <is>
          <t>Medium</t>
        </is>
      </c>
      <c r="EN335" s="53" t="inlineStr">
        <is>
          <t>High Impact / Growth Talent</t>
        </is>
      </c>
      <c r="EO335" s="53" t="inlineStr">
        <is>
          <t>No</t>
        </is>
      </c>
      <c r="EP335" s="53" t="inlineStr">
        <is>
          <t>No</t>
        </is>
      </c>
      <c r="EQ335" s="53" t="inlineStr">
        <is>
          <t>No</t>
        </is>
      </c>
      <c r="ER335" s="53" t="inlineStr">
        <is>
          <t>yet to identify</t>
        </is>
      </c>
      <c r="ES335" s="53" t="inlineStr">
        <is>
          <t>Automation training</t>
        </is>
      </c>
      <c r="ET335" s="53" t="n"/>
      <c r="EU335" s="53" t="n"/>
      <c r="EV335" s="53" t="n"/>
      <c r="EW335" s="52" t="n"/>
      <c r="EX335" s="53" t="n"/>
      <c r="EY335" s="53" t="n"/>
      <c r="EZ335" s="53" t="n"/>
      <c r="FA335" s="53" t="n"/>
      <c r="FB335" s="53" t="n"/>
      <c r="FC335" s="53" t="n"/>
      <c r="FD335" s="53" t="n"/>
      <c r="FE335" s="57"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FF335" s="56"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FG335" s="56"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FH335" s="56" t="inlineStr">
        <is>
          <t>4</t>
        </is>
      </c>
      <c r="FI335" s="56" t="n"/>
      <c r="FJ335" s="56" t="inlineStr">
        <is>
          <t>Received · manager annual, quarterly, self</t>
        </is>
      </c>
      <c r="FK335" s="56" t="inlineStr">
        <is>
          <t>Talent Mapping · iFile collated</t>
        </is>
      </c>
      <c r="FL335" s="56" t="n">
        <v>20</v>
      </c>
      <c r="FM335" s="32" t="inlineStr">
        <is>
          <t>Full survey answers not in the files received · How We Grow export needed · HR</t>
        </is>
      </c>
      <c r="FN335" s="56" t="inlineStr">
        <is>
          <t>—</t>
        </is>
      </c>
      <c r="FO335" s="56" t="inlineStr">
        <is>
          <t>—</t>
        </is>
      </c>
      <c r="FP335" s="56" t="inlineStr">
        <is>
          <t>—</t>
        </is>
      </c>
      <c r="FQ335" s="56" t="inlineStr">
        <is>
          <t>—</t>
        </is>
      </c>
      <c r="FR335" s="56"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expects QA sign-off on SARB Phase 4 → moved up 0.5
Leadership: Evidence reads like A1: No guiding or leading of others described → matches the start
Business Impact: No survey or manager-mapping signal on criticality: kept at the start point.</t>
        </is>
      </c>
      <c r="FS335"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5" s="56" t="inlineStr">
        <is>
          <t>Self-identified: AI / automation · Technical depth &amp; architecture · Testing &amp; quality
For the next role: AI / automation · Technical depth &amp; architecture · Testing &amp; quality</t>
        </is>
      </c>
      <c r="FU335" s="32" t="inlineStr">
        <is>
          <t>Full survey answers not in the files received · How We Grow export needed · HR</t>
        </is>
      </c>
    </row>
    <row r="336" ht="90" customHeight="1">
      <c r="A336" s="51" t="inlineStr">
        <is>
          <t>◂ Back</t>
        </is>
      </c>
      <c r="B336" s="29" t="inlineStr">
        <is>
          <t>Mapped</t>
        </is>
      </c>
      <c r="C336" s="28" t="inlineStr">
        <is>
          <t>iFile</t>
        </is>
      </c>
      <c r="D336" s="29" t="inlineStr">
        <is>
          <t>IRIS1654</t>
        </is>
      </c>
      <c r="E336" s="29" t="inlineStr">
        <is>
          <t>Pallavi Suryavanshi</t>
        </is>
      </c>
      <c r="F336" s="29" t="inlineStr">
        <is>
          <t>Quality Assurance</t>
        </is>
      </c>
      <c r="G336" s="29" t="inlineStr">
        <is>
          <t>Senior QA - Engineer</t>
        </is>
      </c>
      <c r="H336" s="29" t="inlineStr">
        <is>
          <t>QA Specialist – POD Lead</t>
        </is>
      </c>
      <c r="I336" s="29" t="inlineStr">
        <is>
          <t>L4 – Senior</t>
        </is>
      </c>
      <c r="J336" s="29" t="inlineStr">
        <is>
          <t>B1</t>
        </is>
      </c>
      <c r="K336" s="29" t="inlineStr">
        <is>
          <t>▲ Up</t>
        </is>
      </c>
      <c r="L336" s="29" t="inlineStr">
        <is>
          <t>Quality Assurance</t>
        </is>
      </c>
      <c r="M336" s="29" t="inlineStr">
        <is>
          <t>Functional &amp; Domain Testing</t>
        </is>
      </c>
      <c r="N336" s="29" t="n"/>
      <c r="O336" s="29" t="n">
        <v>20</v>
      </c>
      <c r="P336" s="28" t="inlineStr">
        <is>
          <t>P3 / M2</t>
        </is>
      </c>
      <c r="Q336" s="29" t="inlineStr">
        <is>
          <t>Career / · Team Lead</t>
        </is>
      </c>
      <c r="R336" s="29" t="inlineStr">
        <is>
          <t>4 Enable</t>
        </is>
      </c>
      <c r="S336" s="29" t="inlineStr">
        <is>
          <t>4–7 yrs</t>
        </is>
      </c>
      <c r="T336" s="29" t="inlineStr">
        <is>
          <t>5–8 · 4–8</t>
        </is>
      </c>
      <c r="U336" s="29" t="inlineStr">
        <is>
          <t>Senior QA Engineer</t>
        </is>
      </c>
      <c r="V336" s="29" t="inlineStr">
        <is>
          <t>Workiva: SE / Senior SE · Broadridge India: Senior SE · Nasdaq / AxiomSL: Senior SE · IRIS Vs Market Benchmark — ISTQB certification pathway: Advanced · Test Analyst</t>
        </is>
      </c>
      <c r="W336" s="29" t="inlineStr">
        <is>
          <t>ISTQB Foundation → Advanced → Expert; SFIA testing</t>
        </is>
      </c>
      <c r="X336" s="29" t="inlineStr">
        <is>
          <t>Core 3 · Future 3 · Functional 3 · Leadership 2</t>
        </is>
      </c>
      <c r="Y336" s="52" t="n">
        <v>136</v>
      </c>
      <c r="Z336" s="53" t="inlineStr">
        <is>
          <t>IRIS1654</t>
        </is>
      </c>
      <c r="AA336" s="53" t="inlineStr">
        <is>
          <t>Employee</t>
        </is>
      </c>
      <c r="AB336" s="53" t="inlineStr">
        <is>
          <t>Active</t>
        </is>
      </c>
      <c r="AC336" s="53" t="inlineStr">
        <is>
          <t>Pallavi Suryavanshi</t>
        </is>
      </c>
      <c r="AD336" s="54" t="n">
        <v>42919</v>
      </c>
      <c r="AE336" s="53" t="inlineStr">
        <is>
          <t>Senior QA - Engineer</t>
        </is>
      </c>
      <c r="AF336" s="53" t="inlineStr">
        <is>
          <t>MCA</t>
        </is>
      </c>
      <c r="AG336" s="53" t="inlineStr">
        <is>
          <t>Davinder Pal Singh</t>
        </is>
      </c>
      <c r="AH336" s="53" t="inlineStr">
        <is>
          <t>N-4</t>
        </is>
      </c>
      <c r="AI336" s="53" t="inlineStr">
        <is>
          <t>Manager</t>
        </is>
      </c>
      <c r="AJ336" s="53" t="inlineStr">
        <is>
          <t>2 years, 0 months, 0 days</t>
        </is>
      </c>
      <c r="AK336" s="53" t="inlineStr">
        <is>
          <t>9 years, 1 months, 22 days</t>
        </is>
      </c>
      <c r="AL336" s="53" t="inlineStr">
        <is>
          <t>Suptech</t>
        </is>
      </c>
      <c r="AM336" s="53" t="inlineStr">
        <is>
          <t>iFile</t>
        </is>
      </c>
      <c r="AN336" s="53" t="inlineStr">
        <is>
          <t>Quality Assurance</t>
        </is>
      </c>
      <c r="AO336" s="53" t="inlineStr">
        <is>
          <t>Quality Assurance</t>
        </is>
      </c>
      <c r="AP336" s="53" t="inlineStr">
        <is>
          <t>No</t>
        </is>
      </c>
      <c r="AQ336" s="53" t="inlineStr">
        <is>
          <t>Product/Project</t>
        </is>
      </c>
      <c r="AR336" s="53" t="inlineStr">
        <is>
          <t>Software Testing</t>
        </is>
      </c>
      <c r="AS336" s="53" t="inlineStr">
        <is>
          <t>Technical · BA, PM and QA</t>
        </is>
      </c>
      <c r="AT336" s="53" t="n">
        <v>20</v>
      </c>
      <c r="AU336" s="53" t="inlineStr">
        <is>
          <t>Covered</t>
        </is>
      </c>
      <c r="AV336" s="53" t="n"/>
      <c r="AW336" s="53" t="n"/>
      <c r="AX336" s="53" t="n"/>
      <c r="AY336" s="53" t="n"/>
      <c r="AZ336" s="53" t="n"/>
      <c r="BA336" s="53" t="n"/>
      <c r="BB336" s="53" t="n"/>
      <c r="BC336" s="53" t="n"/>
      <c r="BD336" s="53" t="n"/>
      <c r="BE336" s="53" t="n"/>
      <c r="BF336" s="53" t="n"/>
      <c r="BG336" s="53" t="n"/>
      <c r="BH336" s="53" t="n"/>
      <c r="BI336" s="53" t="n"/>
      <c r="BJ336" s="53" t="n"/>
      <c r="BK336" s="53" t="n"/>
      <c r="BL336" s="53" t="n"/>
      <c r="BM336" s="53" t="n"/>
      <c r="BN336" s="53" t="n"/>
      <c r="BO336" s="53" t="n"/>
      <c r="BP336" s="53" t="n"/>
      <c r="BQ336" s="53" t="n"/>
      <c r="BR336" s="53" t="n"/>
      <c r="BS336" s="53" t="n"/>
      <c r="BT336" s="53" t="n"/>
      <c r="BU336" s="53" t="n"/>
      <c r="BV336" s="53" t="n"/>
      <c r="BW336" s="53" t="n"/>
      <c r="BX336" s="53" t="n"/>
      <c r="BY336" s="53" t="n"/>
      <c r="BZ336" s="53" t="n"/>
      <c r="CA336" s="53" t="n"/>
      <c r="CB336" s="53" t="n"/>
      <c r="CC336" s="53" t="n"/>
      <c r="CD336" s="53" t="n"/>
      <c r="CE336" s="53" t="n"/>
      <c r="CF336" s="53" t="n"/>
      <c r="CG336" s="53" t="n"/>
      <c r="CH336" s="53" t="n"/>
      <c r="CI336" s="53" t="n"/>
      <c r="CJ336" s="53" t="n"/>
      <c r="CK336" s="53" t="n"/>
      <c r="CL336" s="53" t="n"/>
      <c r="CM336" s="53" t="n"/>
      <c r="CN336" s="53" t="n"/>
      <c r="CO336" s="53" t="n"/>
      <c r="CP336" s="53" t="n"/>
      <c r="CQ336" s="53" t="n"/>
      <c r="CR336" s="53" t="n"/>
      <c r="CS336" s="53" t="n"/>
      <c r="CT336" s="53" t="n"/>
      <c r="CU336" s="53" t="n"/>
      <c r="CV336" s="53" t="n"/>
      <c r="CW336" s="53" t="n"/>
      <c r="CX336" s="53" t="n"/>
      <c r="CY336" s="53" t="n"/>
      <c r="CZ336" s="53" t="n"/>
      <c r="DA336" s="53" t="n"/>
      <c r="DB336" s="53" t="n"/>
      <c r="DC336" s="53" t="n"/>
      <c r="DD336" s="53" t="inlineStr">
        <is>
          <t>IRIS1654</t>
        </is>
      </c>
      <c r="DE336" s="53" t="inlineStr">
        <is>
          <t>Employee</t>
        </is>
      </c>
      <c r="DF336" s="53" t="inlineStr">
        <is>
          <t>Active</t>
        </is>
      </c>
      <c r="DG336" s="53" t="inlineStr">
        <is>
          <t>Pallavi Suryavanshi</t>
        </is>
      </c>
      <c r="DH336" s="54" t="n">
        <v>42919</v>
      </c>
      <c r="DI336" s="53" t="inlineStr">
        <is>
          <t>Senior QA - Engineer</t>
        </is>
      </c>
      <c r="DJ336" s="53" t="inlineStr">
        <is>
          <t>Quality Assurance</t>
        </is>
      </c>
      <c r="DK336" s="53" t="inlineStr">
        <is>
          <t>Quality Engineering</t>
        </is>
      </c>
      <c r="DL336" s="53" t="inlineStr">
        <is>
          <t>Senior QA - Engineer</t>
        </is>
      </c>
      <c r="DM336" s="53" t="inlineStr">
        <is>
          <t>L4 – Senior</t>
        </is>
      </c>
      <c r="DN336" s="53" t="inlineStr">
        <is>
          <t>MCA</t>
        </is>
      </c>
      <c r="DO336" s="53" t="inlineStr">
        <is>
          <t>Davinder Pal Singh</t>
        </is>
      </c>
      <c r="DP336" s="53" t="inlineStr">
        <is>
          <t>N-3</t>
        </is>
      </c>
      <c r="DQ336" s="53" t="inlineStr">
        <is>
          <t>Manager</t>
        </is>
      </c>
      <c r="DR336" s="53" t="inlineStr">
        <is>
          <t>2 years, 0 months, 0 days</t>
        </is>
      </c>
      <c r="DS336" s="53" t="inlineStr">
        <is>
          <t>8 years, 11 months, 17 days</t>
        </is>
      </c>
      <c r="DT336" s="53" t="inlineStr">
        <is>
          <t>10 years, 11 months, 17 days</t>
        </is>
      </c>
      <c r="DU336" s="53" t="n">
        <v>8.96324200913242</v>
      </c>
      <c r="DV336" s="53" t="inlineStr">
        <is>
          <t>Suptech</t>
        </is>
      </c>
      <c r="DW336" s="53" t="inlineStr">
        <is>
          <t>iFile</t>
        </is>
      </c>
      <c r="DX336" s="53" t="inlineStr">
        <is>
          <t>Quality Assurance</t>
        </is>
      </c>
      <c r="DY336" s="53" t="inlineStr">
        <is>
          <t>Quality Assurance</t>
        </is>
      </c>
      <c r="DZ336" s="53" t="inlineStr">
        <is>
          <t>No</t>
        </is>
      </c>
      <c r="EA336" s="53" t="inlineStr">
        <is>
          <t>Product/Project</t>
        </is>
      </c>
      <c r="EB336" s="53" t="inlineStr">
        <is>
          <t>Software Testing</t>
        </is>
      </c>
      <c r="EC336" s="53" t="inlineStr">
        <is>
          <t>Technical · BA, PM and QA</t>
        </is>
      </c>
      <c r="ED336" s="53" t="inlineStr">
        <is>
          <t>Hybrid</t>
        </is>
      </c>
      <c r="EE336" s="53"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EF336" s="53"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EG336" s="53"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EH336" s="53" t="n">
        <v>4</v>
      </c>
      <c r="EI336" s="53" t="inlineStr">
        <is>
          <t>15-06-2026</t>
        </is>
      </c>
      <c r="EJ336" s="53" t="inlineStr">
        <is>
          <t>Senior QA - Engineer</t>
        </is>
      </c>
      <c r="EK336" s="53" t="inlineStr">
        <is>
          <t>no</t>
        </is>
      </c>
      <c r="EL336" s="53" t="n">
        <v>4</v>
      </c>
      <c r="EM336" s="53" t="inlineStr">
        <is>
          <t>Medium</t>
        </is>
      </c>
      <c r="EN336" s="53" t="inlineStr">
        <is>
          <t>Trusted Professional</t>
        </is>
      </c>
      <c r="EO336" s="53" t="inlineStr">
        <is>
          <t>No</t>
        </is>
      </c>
      <c r="EP336" s="53" t="inlineStr">
        <is>
          <t>No</t>
        </is>
      </c>
      <c r="EQ336" s="53" t="inlineStr">
        <is>
          <t>No</t>
        </is>
      </c>
      <c r="ER336" s="53" t="inlineStr">
        <is>
          <t>yet to identify</t>
        </is>
      </c>
      <c r="ES336" s="53" t="inlineStr">
        <is>
          <t>Training of Automation,API, load testing</t>
        </is>
      </c>
      <c r="ET336" s="53" t="n"/>
      <c r="EU336" s="53" t="n"/>
      <c r="EV336" s="53" t="n"/>
      <c r="EW336" s="52" t="n"/>
      <c r="EX336" s="53" t="n"/>
      <c r="EY336" s="53" t="n"/>
      <c r="EZ336" s="53" t="n"/>
      <c r="FA336" s="53" t="n"/>
      <c r="FB336" s="53" t="n"/>
      <c r="FC336" s="53" t="n"/>
      <c r="FD336" s="53" t="n"/>
      <c r="FE336" s="57"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FF336" s="56"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FG336" s="56"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FH336" s="56" t="inlineStr">
        <is>
          <t>4</t>
        </is>
      </c>
      <c r="FI336" s="56" t="n"/>
      <c r="FJ336" s="56" t="inlineStr">
        <is>
          <t>Received · manager annual, quarterly, self</t>
        </is>
      </c>
      <c r="FK336" s="56" t="inlineStr">
        <is>
          <t>Talent Mapping · iFile collated</t>
        </is>
      </c>
      <c r="FL336" s="56" t="n">
        <v>20</v>
      </c>
      <c r="FM336" s="32" t="inlineStr">
        <is>
          <t>Full survey answers not in the files received · How We Grow export needed · HR</t>
        </is>
      </c>
      <c r="FN336" s="56" t="inlineStr">
        <is>
          <t>—</t>
        </is>
      </c>
      <c r="FO336" s="56" t="inlineStr">
        <is>
          <t>—</t>
        </is>
      </c>
      <c r="FP336" s="56" t="inlineStr">
        <is>
          <t>—</t>
        </is>
      </c>
      <c r="FQ336" s="56" t="inlineStr">
        <is>
          <t>—</t>
        </is>
      </c>
      <c r="FR336" s="56"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answers · summarised by the rater; not quoted → matches the start
Leadership: Evidence reads like A3: Runs regular knowledge-sharing sessions; two reports; no team direction described → moved down 0.5
Business Impact: No survey or manager-mapping signal on criticality: kept at the start point.</t>
        </is>
      </c>
      <c r="FS336"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36" s="56" t="inlineStr">
        <is>
          <t>Self-identified: AI / automation · Leadership &amp; people management · Testing &amp; quality · Client, sales &amp; stakeholders · Strategy &amp; business acumen · Broader exposure &amp; ownership
For the next role: AI / automation · Leadership &amp; people management · Testing &amp; quality · Client, sales &amp; stakeholders · Strategy &amp; business acumen · Broader exposure &amp; ownership</t>
        </is>
      </c>
      <c r="FU336" s="32" t="inlineStr">
        <is>
          <t>Full survey answers not in the files received · How We Grow export needed · HR</t>
        </is>
      </c>
    </row>
    <row r="337" ht="90" customHeight="1">
      <c r="A337" s="51" t="inlineStr">
        <is>
          <t>◂ Back</t>
        </is>
      </c>
      <c r="B337" s="29" t="inlineStr">
        <is>
          <t>Mapped</t>
        </is>
      </c>
      <c r="C337" s="28" t="inlineStr">
        <is>
          <t>iFile</t>
        </is>
      </c>
      <c r="D337" s="29" t="inlineStr">
        <is>
          <t>IRIS2075</t>
        </is>
      </c>
      <c r="E337" s="29" t="inlineStr">
        <is>
          <t>Deepika Bartwal</t>
        </is>
      </c>
      <c r="F337" s="29" t="inlineStr">
        <is>
          <t>Quality Assurance</t>
        </is>
      </c>
      <c r="G337" s="29" t="inlineStr">
        <is>
          <t>QA Engineer</t>
        </is>
      </c>
      <c r="H337" s="29" t="inlineStr">
        <is>
          <t>Senior QA Engineer</t>
        </is>
      </c>
      <c r="I337" s="29" t="inlineStr">
        <is>
          <t>L3 – Professional / Associate</t>
        </is>
      </c>
      <c r="J337" s="29" t="inlineStr">
        <is>
          <t>A3</t>
        </is>
      </c>
      <c r="K337" s="29" t="inlineStr">
        <is>
          <t>▲ Up</t>
        </is>
      </c>
      <c r="L337" s="29" t="inlineStr">
        <is>
          <t>Quality Assurance</t>
        </is>
      </c>
      <c r="M337" s="29" t="inlineStr">
        <is>
          <t>Functional &amp; Domain Testing</t>
        </is>
      </c>
      <c r="N337" s="29" t="n"/>
      <c r="O337" s="29" t="n">
        <v>20</v>
      </c>
      <c r="P337" s="28" t="inlineStr">
        <is>
          <t>P2</t>
        </is>
      </c>
      <c r="Q337" s="29" t="inlineStr">
        <is>
          <t>Developing</t>
        </is>
      </c>
      <c r="R337" s="29" t="inlineStr">
        <is>
          <t>3 Apply</t>
        </is>
      </c>
      <c r="S337" s="29" t="inlineStr">
        <is>
          <t>2–4 yrs</t>
        </is>
      </c>
      <c r="T337" s="29" t="inlineStr">
        <is>
          <t>3–5 · 2–5</t>
        </is>
      </c>
      <c r="U337" s="29" t="inlineStr">
        <is>
          <t>QA Engineer</t>
        </is>
      </c>
      <c r="V337" s="29" t="inlineStr">
        <is>
          <t>Workiva: SE · Broadridge India: SE · Nasdaq / AxiomSL: SE · IRIS Vs Market Benchmark — ISTQB certification pathway: Foundation</t>
        </is>
      </c>
      <c r="W337" s="29" t="inlineStr">
        <is>
          <t>ISTQB Foundation → Advanced → Expert; SFIA testing</t>
        </is>
      </c>
      <c r="X337" s="29" t="inlineStr">
        <is>
          <t>Core 2 · Future 2 · Functional 3 · Leadership not scored</t>
        </is>
      </c>
      <c r="Y337" s="52" t="n">
        <v>250</v>
      </c>
      <c r="Z337" s="53" t="inlineStr">
        <is>
          <t>IRIS2075</t>
        </is>
      </c>
      <c r="AA337" s="53" t="inlineStr">
        <is>
          <t>Employee</t>
        </is>
      </c>
      <c r="AB337" s="53" t="inlineStr">
        <is>
          <t>Active</t>
        </is>
      </c>
      <c r="AC337" s="53" t="inlineStr">
        <is>
          <t>Deepika Bartwal</t>
        </is>
      </c>
      <c r="AD337" s="54" t="n">
        <v>44866</v>
      </c>
      <c r="AE337" s="53" t="inlineStr">
        <is>
          <t>QA Engineer</t>
        </is>
      </c>
      <c r="AF337" s="53" t="inlineStr">
        <is>
          <t>B.Com</t>
        </is>
      </c>
      <c r="AG337" s="53" t="inlineStr">
        <is>
          <t>Pallavi Suryavanshi</t>
        </is>
      </c>
      <c r="AH337" s="53" t="inlineStr">
        <is>
          <t>N-5</t>
        </is>
      </c>
      <c r="AI337" s="53" t="inlineStr">
        <is>
          <t>Individual Contributor</t>
        </is>
      </c>
      <c r="AJ337" s="53" t="inlineStr">
        <is>
          <t>0 years, 0 months, 0 days</t>
        </is>
      </c>
      <c r="AK337" s="53" t="inlineStr">
        <is>
          <t>3 years, 9 months, 24 days</t>
        </is>
      </c>
      <c r="AL337" s="53" t="inlineStr">
        <is>
          <t>Suptech</t>
        </is>
      </c>
      <c r="AM337" s="53" t="inlineStr">
        <is>
          <t>iFile</t>
        </is>
      </c>
      <c r="AN337" s="53" t="inlineStr">
        <is>
          <t>Quality Assurance</t>
        </is>
      </c>
      <c r="AO337" s="53" t="inlineStr">
        <is>
          <t>Quality Assurance</t>
        </is>
      </c>
      <c r="AP337" s="53" t="inlineStr">
        <is>
          <t>No</t>
        </is>
      </c>
      <c r="AQ337" s="53" t="inlineStr">
        <is>
          <t>Product/Project</t>
        </is>
      </c>
      <c r="AR337" s="53" t="inlineStr">
        <is>
          <t>Software Testing</t>
        </is>
      </c>
      <c r="AS337" s="53" t="inlineStr">
        <is>
          <t>Technical · BA, PM and QA</t>
        </is>
      </c>
      <c r="AT337" s="53" t="n">
        <v>20</v>
      </c>
      <c r="AU337" s="53" t="inlineStr">
        <is>
          <t>Covered</t>
        </is>
      </c>
      <c r="AV337" s="53" t="n"/>
      <c r="AW337" s="53" t="n"/>
      <c r="AX337" s="53" t="n"/>
      <c r="AY337" s="53" t="n"/>
      <c r="AZ337" s="53" t="n"/>
      <c r="BA337" s="53" t="n"/>
      <c r="BB337" s="53" t="n"/>
      <c r="BC337" s="53" t="n"/>
      <c r="BD337" s="53" t="n"/>
      <c r="BE337" s="53" t="n"/>
      <c r="BF337" s="53" t="n"/>
      <c r="BG337" s="53" t="n"/>
      <c r="BH337" s="53" t="n"/>
      <c r="BI337" s="53" t="n"/>
      <c r="BJ337" s="53" t="n"/>
      <c r="BK337" s="53" t="n"/>
      <c r="BL337" s="53" t="n"/>
      <c r="BM337" s="53" t="n"/>
      <c r="BN337" s="53" t="n"/>
      <c r="BO337" s="53" t="n"/>
      <c r="BP337" s="53" t="n"/>
      <c r="BQ337" s="53" t="n"/>
      <c r="BR337" s="53" t="n"/>
      <c r="BS337" s="53" t="n"/>
      <c r="BT337" s="53" t="n"/>
      <c r="BU337" s="53" t="n"/>
      <c r="BV337" s="53" t="n"/>
      <c r="BW337" s="53" t="n"/>
      <c r="BX337" s="53" t="n"/>
      <c r="BY337" s="53" t="n"/>
      <c r="BZ337" s="53" t="n"/>
      <c r="CA337" s="53" t="n"/>
      <c r="CB337" s="53" t="n"/>
      <c r="CC337" s="53" t="n"/>
      <c r="CD337" s="53" t="n"/>
      <c r="CE337" s="53" t="n"/>
      <c r="CF337" s="53" t="n"/>
      <c r="CG337" s="53" t="n"/>
      <c r="CH337" s="53" t="n"/>
      <c r="CI337" s="53" t="n"/>
      <c r="CJ337" s="53" t="n"/>
      <c r="CK337" s="53" t="n"/>
      <c r="CL337" s="53" t="n"/>
      <c r="CM337" s="53" t="n"/>
      <c r="CN337" s="53" t="n"/>
      <c r="CO337" s="53" t="n"/>
      <c r="CP337" s="53" t="n"/>
      <c r="CQ337" s="53" t="n"/>
      <c r="CR337" s="53" t="n"/>
      <c r="CS337" s="53" t="n"/>
      <c r="CT337" s="53" t="n"/>
      <c r="CU337" s="53" t="n"/>
      <c r="CV337" s="53" t="n"/>
      <c r="CW337" s="53" t="n"/>
      <c r="CX337" s="53" t="n"/>
      <c r="CY337" s="53" t="n"/>
      <c r="CZ337" s="53" t="n"/>
      <c r="DA337" s="53" t="n"/>
      <c r="DB337" s="53" t="n"/>
      <c r="DC337" s="53" t="n"/>
      <c r="DD337" s="53" t="inlineStr">
        <is>
          <t>IRIS2075</t>
        </is>
      </c>
      <c r="DE337" s="53" t="inlineStr">
        <is>
          <t>Employee</t>
        </is>
      </c>
      <c r="DF337" s="53" t="inlineStr">
        <is>
          <t>Active</t>
        </is>
      </c>
      <c r="DG337" s="53" t="inlineStr">
        <is>
          <t>Deepika Bartwal</t>
        </is>
      </c>
      <c r="DH337" s="54" t="n">
        <v>44866</v>
      </c>
      <c r="DI337" s="53" t="inlineStr">
        <is>
          <t>QA Engineer</t>
        </is>
      </c>
      <c r="DJ337" s="53" t="inlineStr">
        <is>
          <t>Quality Assurance</t>
        </is>
      </c>
      <c r="DK337" s="53" t="inlineStr">
        <is>
          <t>Quality Engineering</t>
        </is>
      </c>
      <c r="DL337" s="53" t="inlineStr">
        <is>
          <t>QA Engineer</t>
        </is>
      </c>
      <c r="DM337" s="53" t="inlineStr">
        <is>
          <t>L3 – Professional / Associate</t>
        </is>
      </c>
      <c r="DN337" s="53" t="inlineStr">
        <is>
          <t>B.Com</t>
        </is>
      </c>
      <c r="DO337" s="53" t="inlineStr">
        <is>
          <t>Pallavi Suryavanshi</t>
        </is>
      </c>
      <c r="DP337" s="53" t="inlineStr">
        <is>
          <t>N-4</t>
        </is>
      </c>
      <c r="DQ337" s="53" t="inlineStr">
        <is>
          <t>Individual Contributor</t>
        </is>
      </c>
      <c r="DR337" s="53" t="inlineStr">
        <is>
          <t>0 years, 0 months, 0 days</t>
        </is>
      </c>
      <c r="DS337" s="53" t="inlineStr">
        <is>
          <t>3 years, 7 months, 19 days</t>
        </is>
      </c>
      <c r="DT337" s="53" t="inlineStr">
        <is>
          <t>3 years, 7 months, 19 days</t>
        </is>
      </c>
      <c r="DU337" s="53" t="n"/>
      <c r="DV337" s="53" t="inlineStr">
        <is>
          <t>Suptech</t>
        </is>
      </c>
      <c r="DW337" s="53" t="inlineStr">
        <is>
          <t>iFile</t>
        </is>
      </c>
      <c r="DX337" s="53" t="inlineStr">
        <is>
          <t>Quality Assurance</t>
        </is>
      </c>
      <c r="DY337" s="53" t="inlineStr">
        <is>
          <t>Quality Assurance</t>
        </is>
      </c>
      <c r="DZ337" s="53" t="inlineStr">
        <is>
          <t>No</t>
        </is>
      </c>
      <c r="EA337" s="53" t="inlineStr">
        <is>
          <t>Product/Project</t>
        </is>
      </c>
      <c r="EB337" s="53" t="inlineStr">
        <is>
          <t>Software Testing</t>
        </is>
      </c>
      <c r="EC337" s="53" t="inlineStr">
        <is>
          <t>Technical · BA, PM and QA</t>
        </is>
      </c>
      <c r="ED337" s="53" t="inlineStr">
        <is>
          <t>Remote- Outside Mumbai</t>
        </is>
      </c>
      <c r="EE337" s="53"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EF337" s="53"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EG337" s="53" t="inlineStr">
        <is>
          <t>Going forward, continued focus on applying the newly acquired automation and AI skills in live projects will further enhance productivity, increase automation coverage, and support the team's quality engineering initiatives.</t>
        </is>
      </c>
      <c r="EH337" s="53" t="n">
        <v>3</v>
      </c>
      <c r="EI337" s="53" t="inlineStr">
        <is>
          <t>15-06-2026</t>
        </is>
      </c>
      <c r="EJ337" s="53" t="inlineStr">
        <is>
          <t>QA Engineer</t>
        </is>
      </c>
      <c r="EK337" s="53" t="inlineStr">
        <is>
          <t>No</t>
        </is>
      </c>
      <c r="EL337" s="53" t="n">
        <v>3</v>
      </c>
      <c r="EM337" s="53" t="inlineStr">
        <is>
          <t>Medium</t>
        </is>
      </c>
      <c r="EN337" s="53" t="inlineStr">
        <is>
          <t>Trusted Professional</t>
        </is>
      </c>
      <c r="EO337" s="53" t="inlineStr">
        <is>
          <t>No</t>
        </is>
      </c>
      <c r="EP337" s="53" t="inlineStr">
        <is>
          <t>No</t>
        </is>
      </c>
      <c r="EQ337" s="53" t="inlineStr">
        <is>
          <t>No</t>
        </is>
      </c>
      <c r="ER337" s="53" t="inlineStr">
        <is>
          <t>yet to identify</t>
        </is>
      </c>
      <c r="ES337" s="53" t="inlineStr">
        <is>
          <t>Test automation frameworks · Selenium/Playwright; API testing; CI/CD test integration; defect analytics</t>
        </is>
      </c>
      <c r="ET337" s="53" t="inlineStr">
        <is>
          <t>Transition to leadership: people management &amp; delegation, mentoring/coaching, project ownership &amp; stakeholder management, prioritisation under ambiguity, presentation &amp; influence skills</t>
        </is>
      </c>
      <c r="EU337" s="53" t="n"/>
      <c r="EV337" s="53" t="n"/>
      <c r="EW337" s="52" t="n"/>
      <c r="EX337" s="53" t="n"/>
      <c r="EY337" s="53" t="n"/>
      <c r="EZ337" s="53" t="n"/>
      <c r="FA337" s="53" t="n"/>
      <c r="FB337" s="53" t="n"/>
      <c r="FC337" s="53" t="n"/>
      <c r="FD337" s="53" t="n"/>
      <c r="FE337" s="57"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FF337" s="56" t="inlineStr">
        <is>
          <t>Going forward, continued focus on applying the newly acquired automation and AI skills in live projects will further enhance productivity, increase automation coverage, and support the team's quality engineering initiatives.</t>
        </is>
      </c>
      <c r="FG337" s="56"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FH337" s="56" t="inlineStr">
        <is>
          <t>3</t>
        </is>
      </c>
      <c r="FI337" s="56" t="n"/>
      <c r="FJ337" s="56" t="inlineStr">
        <is>
          <t>Received · manager annual, quarterly, self</t>
        </is>
      </c>
      <c r="FK337" s="56" t="inlineStr">
        <is>
          <t>Talent Mapping · iFile collated</t>
        </is>
      </c>
      <c r="FL337" s="56" t="n">
        <v>20</v>
      </c>
      <c r="FM337" s="32" t="inlineStr">
        <is>
          <t>Full survey answers not in the files received · How We Grow export needed · HR</t>
        </is>
      </c>
      <c r="FN337" s="56" t="inlineStr">
        <is>
          <t>—</t>
        </is>
      </c>
      <c r="FO337" s="56" t="inlineStr">
        <is>
          <t>—</t>
        </is>
      </c>
      <c r="FP337" s="56" t="inlineStr">
        <is>
          <t>—</t>
        </is>
      </c>
      <c r="FQ337" s="56" t="inlineStr">
        <is>
          <t>—</t>
        </is>
      </c>
      <c r="FR337" s="56"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start
Leadership: Evidence reads like A1: No guiding or leading of others described → matches the start
Business Impact: No survey or manager-mapping signal on criticality: kept at the start point.</t>
        </is>
      </c>
      <c r="FS337"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7" s="56" t="inlineStr">
        <is>
          <t>Self-identified: AI / automation
For the next role: AI / automation</t>
        </is>
      </c>
      <c r="FU337" s="32" t="inlineStr">
        <is>
          <t>Full survey answers not in the files received · How We Grow export needed · HR</t>
        </is>
      </c>
    </row>
    <row r="338" ht="90" customHeight="1">
      <c r="A338" s="51" t="inlineStr">
        <is>
          <t>◂ Back</t>
        </is>
      </c>
      <c r="B338" s="29" t="inlineStr">
        <is>
          <t>Mapped</t>
        </is>
      </c>
      <c r="C338" s="28" t="inlineStr">
        <is>
          <t>iFile</t>
        </is>
      </c>
      <c r="D338" s="29" t="inlineStr">
        <is>
          <t>IRIS2041</t>
        </is>
      </c>
      <c r="E338" s="29" t="inlineStr">
        <is>
          <t>Sandip Potkule</t>
        </is>
      </c>
      <c r="F338" s="29" t="inlineStr">
        <is>
          <t>Quality Assurance</t>
        </is>
      </c>
      <c r="G338" s="29" t="inlineStr">
        <is>
          <t>QA Engineer</t>
        </is>
      </c>
      <c r="H338" s="29" t="inlineStr">
        <is>
          <t>Senior QA Engineer</t>
        </is>
      </c>
      <c r="I338" s="29" t="inlineStr">
        <is>
          <t>L3 – Professional / Associate</t>
        </is>
      </c>
      <c r="J338" s="29" t="inlineStr">
        <is>
          <t>A3</t>
        </is>
      </c>
      <c r="K338" s="29" t="inlineStr">
        <is>
          <t>▲ Up</t>
        </is>
      </c>
      <c r="L338" s="29" t="inlineStr">
        <is>
          <t>Quality Assurance</t>
        </is>
      </c>
      <c r="M338" s="29" t="inlineStr">
        <is>
          <t>Functional &amp; Domain Testing</t>
        </is>
      </c>
      <c r="N338" s="29" t="n"/>
      <c r="O338" s="29" t="n">
        <v>0</v>
      </c>
      <c r="P338" s="28" t="inlineStr">
        <is>
          <t>P2</t>
        </is>
      </c>
      <c r="Q338" s="29" t="inlineStr">
        <is>
          <t>Developing</t>
        </is>
      </c>
      <c r="R338" s="29" t="inlineStr">
        <is>
          <t>3 Apply</t>
        </is>
      </c>
      <c r="S338" s="29" t="inlineStr">
        <is>
          <t>2–4 yrs</t>
        </is>
      </c>
      <c r="T338" s="29" t="inlineStr">
        <is>
          <t>3–5 · 2–5</t>
        </is>
      </c>
      <c r="U338" s="29" t="inlineStr">
        <is>
          <t>QA Engineer</t>
        </is>
      </c>
      <c r="V338" s="29" t="inlineStr">
        <is>
          <t>Workiva: SE · Broadridge India: SE · Nasdaq / AxiomSL: SE · IRIS Vs Market Benchmark — ISTQB certification pathway: Foundation</t>
        </is>
      </c>
      <c r="W338" s="29" t="inlineStr">
        <is>
          <t>ISTQB Foundation → Advanced → Expert; SFIA testing</t>
        </is>
      </c>
      <c r="X338" s="29" t="inlineStr">
        <is>
          <t>Core 2 · Future 2 · Functional 3 · Leadership not scored</t>
        </is>
      </c>
      <c r="Y338" s="52" t="n">
        <v>230</v>
      </c>
      <c r="Z338" s="53" t="inlineStr">
        <is>
          <t>IRIS2041</t>
        </is>
      </c>
      <c r="AA338" s="53" t="inlineStr">
        <is>
          <t>Employee</t>
        </is>
      </c>
      <c r="AB338" s="53" t="inlineStr">
        <is>
          <t>Serving Notice</t>
        </is>
      </c>
      <c r="AC338" s="53" t="inlineStr">
        <is>
          <t>Sandip Potkule</t>
        </is>
      </c>
      <c r="AD338" s="54" t="n">
        <v>44755</v>
      </c>
      <c r="AE338" s="53" t="inlineStr">
        <is>
          <t>QA Engineer</t>
        </is>
      </c>
      <c r="AF338" s="53" t="inlineStr">
        <is>
          <t>B.E</t>
        </is>
      </c>
      <c r="AG338" s="53" t="inlineStr">
        <is>
          <t>Pallavi Suryavanshi</t>
        </is>
      </c>
      <c r="AH338" s="53" t="inlineStr">
        <is>
          <t>N-5</t>
        </is>
      </c>
      <c r="AI338" s="53" t="inlineStr">
        <is>
          <t>Individual Contributor</t>
        </is>
      </c>
      <c r="AJ338" s="53" t="inlineStr">
        <is>
          <t>0 years, 0 months, 0 days</t>
        </is>
      </c>
      <c r="AK338" s="53" t="inlineStr">
        <is>
          <t>4 years, 1 months, 12 days</t>
        </is>
      </c>
      <c r="AL338" s="53" t="inlineStr">
        <is>
          <t>Suptech</t>
        </is>
      </c>
      <c r="AM338" s="53" t="inlineStr">
        <is>
          <t>iFile</t>
        </is>
      </c>
      <c r="AN338" s="53" t="inlineStr">
        <is>
          <t>Quality Assurance</t>
        </is>
      </c>
      <c r="AO338" s="53" t="inlineStr">
        <is>
          <t>Quality Assurance</t>
        </is>
      </c>
      <c r="AP338" s="53" t="inlineStr">
        <is>
          <t>No</t>
        </is>
      </c>
      <c r="AQ338" s="53" t="inlineStr">
        <is>
          <t>Product/Project</t>
        </is>
      </c>
      <c r="AR338" s="53" t="inlineStr">
        <is>
          <t>Software Testing</t>
        </is>
      </c>
      <c r="AS338" s="53" t="inlineStr">
        <is>
          <t>Technical · BA, PM and QA</t>
        </is>
      </c>
      <c r="AT338" s="53" t="n">
        <v>0</v>
      </c>
      <c r="AU338" s="53" t="inlineStr">
        <is>
          <t>Excluded</t>
        </is>
      </c>
      <c r="AV338" s="53" t="n"/>
      <c r="AW338" s="53" t="n"/>
      <c r="AX338" s="53" t="n"/>
      <c r="AY338" s="53" t="n"/>
      <c r="AZ338" s="53" t="n"/>
      <c r="BA338" s="53" t="n"/>
      <c r="BB338" s="53" t="n"/>
      <c r="BC338" s="53" t="n"/>
      <c r="BD338" s="53" t="n"/>
      <c r="BE338" s="53" t="n"/>
      <c r="BF338" s="53" t="n"/>
      <c r="BG338" s="53" t="n"/>
      <c r="BH338" s="53" t="n"/>
      <c r="BI338" s="53" t="n"/>
      <c r="BJ338" s="53" t="n"/>
      <c r="BK338" s="53" t="n"/>
      <c r="BL338" s="53" t="n"/>
      <c r="BM338" s="53" t="n"/>
      <c r="BN338" s="53" t="n"/>
      <c r="BO338" s="53" t="n"/>
      <c r="BP338" s="53" t="n"/>
      <c r="BQ338" s="53" t="n"/>
      <c r="BR338" s="53" t="n"/>
      <c r="BS338" s="53" t="n"/>
      <c r="BT338" s="53" t="n"/>
      <c r="BU338" s="53" t="n"/>
      <c r="BV338" s="53" t="n"/>
      <c r="BW338" s="53" t="n"/>
      <c r="BX338" s="53" t="n"/>
      <c r="BY338" s="53" t="n"/>
      <c r="BZ338" s="53" t="n"/>
      <c r="CA338" s="53" t="n"/>
      <c r="CB338" s="53" t="n"/>
      <c r="CC338" s="53" t="n"/>
      <c r="CD338" s="53" t="n"/>
      <c r="CE338" s="53" t="n"/>
      <c r="CF338" s="53" t="n"/>
      <c r="CG338" s="53" t="n"/>
      <c r="CH338" s="53" t="n"/>
      <c r="CI338" s="53" t="n"/>
      <c r="CJ338" s="53" t="n"/>
      <c r="CK338" s="53" t="n"/>
      <c r="CL338" s="53" t="n"/>
      <c r="CM338" s="53" t="n"/>
      <c r="CN338" s="53" t="n"/>
      <c r="CO338" s="53" t="n"/>
      <c r="CP338" s="53" t="n"/>
      <c r="CQ338" s="53" t="n"/>
      <c r="CR338" s="53" t="n"/>
      <c r="CS338" s="53" t="n"/>
      <c r="CT338" s="53" t="n"/>
      <c r="CU338" s="53" t="n"/>
      <c r="CV338" s="53" t="n"/>
      <c r="CW338" s="53" t="n"/>
      <c r="CX338" s="53" t="n"/>
      <c r="CY338" s="53" t="n"/>
      <c r="CZ338" s="53" t="n"/>
      <c r="DA338" s="53" t="n"/>
      <c r="DB338" s="53" t="n"/>
      <c r="DC338" s="53" t="n"/>
      <c r="DD338" s="53" t="inlineStr">
        <is>
          <t>IRIS2041</t>
        </is>
      </c>
      <c r="DE338" s="53" t="inlineStr">
        <is>
          <t>Employee</t>
        </is>
      </c>
      <c r="DF338" s="53" t="inlineStr">
        <is>
          <t>Active</t>
        </is>
      </c>
      <c r="DG338" s="53" t="inlineStr">
        <is>
          <t>Sandip Potkule</t>
        </is>
      </c>
      <c r="DH338" s="54" t="n">
        <v>44755</v>
      </c>
      <c r="DI338" s="53" t="inlineStr">
        <is>
          <t>QA Engineer</t>
        </is>
      </c>
      <c r="DJ338" s="53" t="inlineStr">
        <is>
          <t>Quality Assurance</t>
        </is>
      </c>
      <c r="DK338" s="53" t="inlineStr">
        <is>
          <t>Quality Engineering</t>
        </is>
      </c>
      <c r="DL338" s="53" t="inlineStr">
        <is>
          <t>QA Engineer</t>
        </is>
      </c>
      <c r="DM338" s="53" t="inlineStr">
        <is>
          <t>L3 – Professional / Associate</t>
        </is>
      </c>
      <c r="DN338" s="53" t="inlineStr">
        <is>
          <t>B.E</t>
        </is>
      </c>
      <c r="DO338" s="53" t="inlineStr">
        <is>
          <t>Pallavi Suryavanshi</t>
        </is>
      </c>
      <c r="DP338" s="53" t="inlineStr">
        <is>
          <t>N-4</t>
        </is>
      </c>
      <c r="DQ338" s="53" t="inlineStr">
        <is>
          <t>Individual Contributor</t>
        </is>
      </c>
      <c r="DR338" s="53" t="inlineStr">
        <is>
          <t>0 years, 0 months, 0 days</t>
        </is>
      </c>
      <c r="DS338" s="53" t="inlineStr">
        <is>
          <t>3 years, 11 months, 7 days</t>
        </is>
      </c>
      <c r="DT338" s="53" t="inlineStr">
        <is>
          <t>3 years, 11 months, 7 days</t>
        </is>
      </c>
      <c r="DU338" s="53" t="n"/>
      <c r="DV338" s="53" t="inlineStr">
        <is>
          <t>Suptech</t>
        </is>
      </c>
      <c r="DW338" s="53" t="inlineStr">
        <is>
          <t>iFile</t>
        </is>
      </c>
      <c r="DX338" s="53" t="inlineStr">
        <is>
          <t>Quality Assurance</t>
        </is>
      </c>
      <c r="DY338" s="53" t="inlineStr">
        <is>
          <t>Quality Assurance</t>
        </is>
      </c>
      <c r="DZ338" s="53" t="inlineStr">
        <is>
          <t>No</t>
        </is>
      </c>
      <c r="EA338" s="53" t="inlineStr">
        <is>
          <t>Product/Project</t>
        </is>
      </c>
      <c r="EB338" s="53" t="inlineStr">
        <is>
          <t>Software Testing</t>
        </is>
      </c>
      <c r="EC338" s="53" t="inlineStr">
        <is>
          <t>Technical · BA, PM and QA</t>
        </is>
      </c>
      <c r="ED338" s="53" t="inlineStr">
        <is>
          <t>Remote- Outside Mumbai</t>
        </is>
      </c>
      <c r="EE338" s="53" t="inlineStr">
        <is>
          <t>1.QA environment Testing · SBC
2. Test cases writing · SBC
3. Test case execution · SBC
4. API testing · SBC
5. Production issues retesting · SBC</t>
        </is>
      </c>
      <c r="EF338" s="53"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EG338" s="53" t="inlineStr">
        <is>
          <t>SBC Project Completeion till dec</t>
        </is>
      </c>
      <c r="EH338" s="53" t="n">
        <v>4</v>
      </c>
      <c r="EI338" s="53" t="inlineStr">
        <is>
          <t>25-06-2026</t>
        </is>
      </c>
      <c r="EJ338" s="53" t="inlineStr">
        <is>
          <t>QA Engineer</t>
        </is>
      </c>
      <c r="EK338" s="53" t="inlineStr">
        <is>
          <t>No</t>
        </is>
      </c>
      <c r="EL338" s="53" t="n">
        <v>4</v>
      </c>
      <c r="EM338" s="53" t="inlineStr">
        <is>
          <t>Medium</t>
        </is>
      </c>
      <c r="EN338" s="53" t="inlineStr">
        <is>
          <t>Trusted Professional</t>
        </is>
      </c>
      <c r="EO338" s="53" t="inlineStr">
        <is>
          <t>No</t>
        </is>
      </c>
      <c r="EP338" s="53" t="inlineStr">
        <is>
          <t>No</t>
        </is>
      </c>
      <c r="EQ338" s="53" t="inlineStr">
        <is>
          <t>No</t>
        </is>
      </c>
      <c r="ER338" s="53" t="inlineStr">
        <is>
          <t>Adnan</t>
        </is>
      </c>
      <c r="ES338" s="53" t="inlineStr">
        <is>
          <t>Test automation frameworks · Selenium/Playwright; API testing; CI/CD test integration; defect analytics</t>
        </is>
      </c>
      <c r="ET338" s="53" t="inlineStr">
        <is>
          <t>Transition to leadership: people management &amp; delegation, mentoring/coaching, project ownership &amp; stakeholder management, prioritisation under ambiguity, presentation &amp; influence skills</t>
        </is>
      </c>
      <c r="EU338" s="53" t="n"/>
      <c r="EV338" s="53" t="n"/>
      <c r="EW338" s="52" t="n"/>
      <c r="EX338" s="53" t="n"/>
      <c r="EY338" s="53" t="n"/>
      <c r="EZ338" s="53" t="n"/>
      <c r="FA338" s="53" t="n"/>
      <c r="FB338" s="53" t="n"/>
      <c r="FC338" s="53" t="n"/>
      <c r="FD338" s="53" t="n"/>
      <c r="FE338" s="57"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FF338" s="56" t="inlineStr">
        <is>
          <t>SBC Project Completeion till dec</t>
        </is>
      </c>
      <c r="FG338" s="56" t="inlineStr">
        <is>
          <t>1.QA environment Testing · SBC
2. Test cases writing · SBC
3. Test case execution · SBC
4. API testing · SBC
5. Production issues retesting · SBC</t>
        </is>
      </c>
      <c r="FH338" s="56" t="inlineStr">
        <is>
          <t>4</t>
        </is>
      </c>
      <c r="FI338" s="56" t="n"/>
      <c r="FJ338" s="56" t="inlineStr">
        <is>
          <t>Received · manager annual, quarterly, self</t>
        </is>
      </c>
      <c r="FK338" s="56" t="inlineStr">
        <is>
          <t>Talent Mapping · iFile collated</t>
        </is>
      </c>
      <c r="FL338" s="56" t="n">
        <v>0</v>
      </c>
      <c r="FM338" s="32" t="inlineStr">
        <is>
          <t>No survey response on file</t>
        </is>
      </c>
      <c r="FN338" s="56" t="inlineStr">
        <is>
          <t>—</t>
        </is>
      </c>
      <c r="FO338" s="56" t="inlineStr">
        <is>
          <t>—</t>
        </is>
      </c>
      <c r="FP338" s="56" t="inlineStr">
        <is>
          <t>—</t>
        </is>
      </c>
      <c r="FQ338" s="56" t="inlineStr">
        <is>
          <t>—</t>
        </is>
      </c>
      <c r="FR338" s="56"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production deployment on SBC → moved up 0.5
Leadership: Evidence reads like A1: No survey text; KRA describes no people leadership → matches the start
Business Impact: No survey or manager-mapping signal on criticality: kept at the start point.</t>
        </is>
      </c>
      <c r="FS33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8" s="56" t="n"/>
      <c r="FU338" s="32" t="inlineStr">
        <is>
          <t>No survey response on file</t>
        </is>
      </c>
    </row>
    <row r="339" ht="90" customHeight="1">
      <c r="A339" s="51" t="inlineStr">
        <is>
          <t>◂ Back</t>
        </is>
      </c>
      <c r="B339" s="29" t="inlineStr">
        <is>
          <t>Mapped</t>
        </is>
      </c>
      <c r="C339" s="28" t="inlineStr">
        <is>
          <t>iFile</t>
        </is>
      </c>
      <c r="D339" s="29" t="inlineStr">
        <is>
          <t>IRIS1923</t>
        </is>
      </c>
      <c r="E339" s="29" t="inlineStr">
        <is>
          <t>Ruturaj Kadam</t>
        </is>
      </c>
      <c r="F339" s="29" t="inlineStr">
        <is>
          <t>Quality Assurance</t>
        </is>
      </c>
      <c r="G339" s="29" t="inlineStr">
        <is>
          <t>Senior QA - Engineer</t>
        </is>
      </c>
      <c r="H339" s="29" t="inlineStr">
        <is>
          <t>QA Specialist – POD Lead</t>
        </is>
      </c>
      <c r="I339" s="29" t="inlineStr">
        <is>
          <t>L4 – Senior</t>
        </is>
      </c>
      <c r="J339" s="29" t="inlineStr">
        <is>
          <t>B1</t>
        </is>
      </c>
      <c r="K339" s="29" t="inlineStr">
        <is>
          <t>▲ Up</t>
        </is>
      </c>
      <c r="L339" s="29" t="inlineStr">
        <is>
          <t>Quality Assurance</t>
        </is>
      </c>
      <c r="M339" s="29" t="inlineStr">
        <is>
          <t>Functional &amp; Domain Testing</t>
        </is>
      </c>
      <c r="N339" s="29" t="n"/>
      <c r="O339" s="29" t="n">
        <v>20</v>
      </c>
      <c r="P339" s="28" t="inlineStr">
        <is>
          <t>P3 / M2</t>
        </is>
      </c>
      <c r="Q339" s="29" t="inlineStr">
        <is>
          <t>Career / · Team Lead</t>
        </is>
      </c>
      <c r="R339" s="29" t="inlineStr">
        <is>
          <t>4 Enable</t>
        </is>
      </c>
      <c r="S339" s="29" t="inlineStr">
        <is>
          <t>4–7 yrs</t>
        </is>
      </c>
      <c r="T339" s="29" t="inlineStr">
        <is>
          <t>5–8 · 4–8</t>
        </is>
      </c>
      <c r="U339" s="29" t="inlineStr">
        <is>
          <t>Senior QA Engineer</t>
        </is>
      </c>
      <c r="V339" s="29" t="inlineStr">
        <is>
          <t>Workiva: SE / Senior SE · Broadridge India: Senior SE · Nasdaq / AxiomSL: Senior SE · IRIS Vs Market Benchmark — ISTQB certification pathway: Advanced · Test Analyst</t>
        </is>
      </c>
      <c r="W339" s="29" t="inlineStr">
        <is>
          <t>ISTQB Foundation → Advanced → Expert; SFIA testing</t>
        </is>
      </c>
      <c r="X339" s="29" t="inlineStr">
        <is>
          <t>Core 3 · Future 3 · Functional 3 · Leadership 2</t>
        </is>
      </c>
      <c r="Y339" s="52" t="n">
        <v>186</v>
      </c>
      <c r="Z339" s="53" t="inlineStr">
        <is>
          <t>IRIS1923</t>
        </is>
      </c>
      <c r="AA339" s="53" t="inlineStr">
        <is>
          <t>Employee</t>
        </is>
      </c>
      <c r="AB339" s="53" t="inlineStr">
        <is>
          <t>Active</t>
        </is>
      </c>
      <c r="AC339" s="53" t="inlineStr">
        <is>
          <t>Ruturaj Kadam</t>
        </is>
      </c>
      <c r="AD339" s="54" t="n">
        <v>44375</v>
      </c>
      <c r="AE339" s="53" t="inlineStr">
        <is>
          <t>Senior QA - Engineer</t>
        </is>
      </c>
      <c r="AF339" s="53" t="inlineStr">
        <is>
          <t>B.E</t>
        </is>
      </c>
      <c r="AG339" s="53" t="inlineStr">
        <is>
          <t>Davinder Pal Singh</t>
        </is>
      </c>
      <c r="AH339" s="53" t="inlineStr">
        <is>
          <t>N-4</t>
        </is>
      </c>
      <c r="AI339" s="53" t="inlineStr">
        <is>
          <t>Manager</t>
        </is>
      </c>
      <c r="AJ339" s="53" t="inlineStr">
        <is>
          <t>3 years, 2 months, 0 days</t>
        </is>
      </c>
      <c r="AK339" s="53" t="inlineStr">
        <is>
          <t>5 years, 1 months, 28 days</t>
        </is>
      </c>
      <c r="AL339" s="53" t="inlineStr">
        <is>
          <t>Suptech</t>
        </is>
      </c>
      <c r="AM339" s="53" t="inlineStr">
        <is>
          <t>iFile</t>
        </is>
      </c>
      <c r="AN339" s="53" t="inlineStr">
        <is>
          <t>Quality Assurance</t>
        </is>
      </c>
      <c r="AO339" s="53" t="inlineStr">
        <is>
          <t>Quality Assurance</t>
        </is>
      </c>
      <c r="AP339" s="53" t="inlineStr">
        <is>
          <t>No</t>
        </is>
      </c>
      <c r="AQ339" s="53" t="inlineStr">
        <is>
          <t>Product/Project</t>
        </is>
      </c>
      <c r="AR339" s="53" t="inlineStr">
        <is>
          <t>Software Testing</t>
        </is>
      </c>
      <c r="AS339" s="53" t="inlineStr">
        <is>
          <t>Technical · BA, PM and QA</t>
        </is>
      </c>
      <c r="AT339" s="53" t="n">
        <v>20</v>
      </c>
      <c r="AU339" s="53" t="inlineStr">
        <is>
          <t>Covered</t>
        </is>
      </c>
      <c r="AV339" s="53" t="n"/>
      <c r="AW339" s="53" t="n"/>
      <c r="AX339" s="53" t="n"/>
      <c r="AY339" s="53" t="n"/>
      <c r="AZ339" s="53" t="n"/>
      <c r="BA339" s="53" t="n"/>
      <c r="BB339" s="53" t="n"/>
      <c r="BC339" s="53" t="n"/>
      <c r="BD339" s="53" t="n"/>
      <c r="BE339" s="53" t="n"/>
      <c r="BF339" s="53" t="n"/>
      <c r="BG339" s="53" t="n"/>
      <c r="BH339" s="53" t="n"/>
      <c r="BI339" s="53" t="n"/>
      <c r="BJ339" s="53" t="n"/>
      <c r="BK339" s="53" t="n"/>
      <c r="BL339" s="53" t="n"/>
      <c r="BM339" s="53" t="n"/>
      <c r="BN339" s="53" t="n"/>
      <c r="BO339" s="53" t="n"/>
      <c r="BP339" s="53" t="n"/>
      <c r="BQ339" s="53" t="n"/>
      <c r="BR339" s="53" t="n"/>
      <c r="BS339" s="53" t="n"/>
      <c r="BT339" s="53" t="n"/>
      <c r="BU339" s="53" t="n"/>
      <c r="BV339" s="53" t="n"/>
      <c r="BW339" s="53" t="n"/>
      <c r="BX339" s="53" t="n"/>
      <c r="BY339" s="53" t="n"/>
      <c r="BZ339" s="53" t="n"/>
      <c r="CA339" s="53" t="n"/>
      <c r="CB339" s="53" t="n"/>
      <c r="CC339" s="53" t="n"/>
      <c r="CD339" s="53" t="n"/>
      <c r="CE339" s="53" t="n"/>
      <c r="CF339" s="53" t="n"/>
      <c r="CG339" s="53" t="n"/>
      <c r="CH339" s="53" t="n"/>
      <c r="CI339" s="53" t="n"/>
      <c r="CJ339" s="53" t="n"/>
      <c r="CK339" s="53" t="n"/>
      <c r="CL339" s="53" t="n"/>
      <c r="CM339" s="53" t="n"/>
      <c r="CN339" s="53" t="n"/>
      <c r="CO339" s="53" t="n"/>
      <c r="CP339" s="53" t="n"/>
      <c r="CQ339" s="53" t="n"/>
      <c r="CR339" s="53" t="n"/>
      <c r="CS339" s="53" t="n"/>
      <c r="CT339" s="53" t="n"/>
      <c r="CU339" s="53" t="n"/>
      <c r="CV339" s="53" t="n"/>
      <c r="CW339" s="53" t="n"/>
      <c r="CX339" s="53" t="n"/>
      <c r="CY339" s="53" t="n"/>
      <c r="CZ339" s="53" t="n"/>
      <c r="DA339" s="53" t="n"/>
      <c r="DB339" s="53" t="n"/>
      <c r="DC339" s="53" t="n"/>
      <c r="DD339" s="53" t="inlineStr">
        <is>
          <t>IRIS1923</t>
        </is>
      </c>
      <c r="DE339" s="53" t="inlineStr">
        <is>
          <t>Employee</t>
        </is>
      </c>
      <c r="DF339" s="53" t="inlineStr">
        <is>
          <t>Active</t>
        </is>
      </c>
      <c r="DG339" s="53" t="inlineStr">
        <is>
          <t>Ruturaj Kadam</t>
        </is>
      </c>
      <c r="DH339" s="54" t="n">
        <v>44375</v>
      </c>
      <c r="DI339" s="53" t="inlineStr">
        <is>
          <t>Senior QA - Engineer</t>
        </is>
      </c>
      <c r="DJ339" s="53" t="inlineStr">
        <is>
          <t>Quality Assurance</t>
        </is>
      </c>
      <c r="DK339" s="53" t="inlineStr">
        <is>
          <t>Quality Engineering</t>
        </is>
      </c>
      <c r="DL339" s="53" t="inlineStr">
        <is>
          <t>Senior QA - Engineer</t>
        </is>
      </c>
      <c r="DM339" s="53" t="inlineStr">
        <is>
          <t>L4 – Senior</t>
        </is>
      </c>
      <c r="DN339" s="53" t="inlineStr">
        <is>
          <t>B.E</t>
        </is>
      </c>
      <c r="DO339" s="53" t="inlineStr">
        <is>
          <t>Davinder Pal Singh</t>
        </is>
      </c>
      <c r="DP339" s="53" t="inlineStr">
        <is>
          <t>N-3</t>
        </is>
      </c>
      <c r="DQ339" s="53" t="inlineStr">
        <is>
          <t>Manager</t>
        </is>
      </c>
      <c r="DR339" s="53" t="inlineStr">
        <is>
          <t>3 years, 2 months, 0 days</t>
        </is>
      </c>
      <c r="DS339" s="53" t="inlineStr">
        <is>
          <t>4 years, 11 months, 23 days</t>
        </is>
      </c>
      <c r="DT339" s="53" t="inlineStr">
        <is>
          <t>8 years, 1 months, 23 days</t>
        </is>
      </c>
      <c r="DU339" s="53" t="n">
        <v>4.9796803652968</v>
      </c>
      <c r="DV339" s="53" t="inlineStr">
        <is>
          <t>Suptech</t>
        </is>
      </c>
      <c r="DW339" s="53" t="inlineStr">
        <is>
          <t>iFile</t>
        </is>
      </c>
      <c r="DX339" s="53" t="inlineStr">
        <is>
          <t>Quality Assurance</t>
        </is>
      </c>
      <c r="DY339" s="53" t="inlineStr">
        <is>
          <t>Quality Assurance</t>
        </is>
      </c>
      <c r="DZ339" s="53" t="inlineStr">
        <is>
          <t>No</t>
        </is>
      </c>
      <c r="EA339" s="53" t="inlineStr">
        <is>
          <t>Product/Project</t>
        </is>
      </c>
      <c r="EB339" s="53" t="inlineStr">
        <is>
          <t>Software Testing</t>
        </is>
      </c>
      <c r="EC339" s="53" t="inlineStr">
        <is>
          <t>Technical · BA, PM and QA</t>
        </is>
      </c>
      <c r="ED339" s="53" t="inlineStr">
        <is>
          <t>Hybrid</t>
        </is>
      </c>
      <c r="EE339" s="53"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EF339" s="53"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EG339" s="53" t="inlineStr">
        <is>
          <t>Managed the end-to-end testing of the QCB Returns module, completing all QA deliverables on schedule. The client sign-off is currently pending, and continued support is being provided to address client queries and facilitate final approval.</t>
        </is>
      </c>
      <c r="EH339" s="53" t="n">
        <v>4</v>
      </c>
      <c r="EI339" s="53" t="inlineStr">
        <is>
          <t>20-06-2026</t>
        </is>
      </c>
      <c r="EJ339" s="53" t="inlineStr">
        <is>
          <t>Senior QA - Engineer</t>
        </is>
      </c>
      <c r="EK339" s="53" t="inlineStr">
        <is>
          <t>no</t>
        </is>
      </c>
      <c r="EL339" s="53" t="n">
        <v>4</v>
      </c>
      <c r="EM339" s="53" t="inlineStr">
        <is>
          <t>Medium</t>
        </is>
      </c>
      <c r="EN339" s="53" t="inlineStr">
        <is>
          <t>Emerging Talent</t>
        </is>
      </c>
      <c r="EO339" s="53" t="inlineStr">
        <is>
          <t>No</t>
        </is>
      </c>
      <c r="EP339" s="53" t="inlineStr">
        <is>
          <t>No</t>
        </is>
      </c>
      <c r="EQ339" s="53" t="inlineStr">
        <is>
          <t>No</t>
        </is>
      </c>
      <c r="ER339" s="53" t="inlineStr">
        <is>
          <t>yet to identify</t>
        </is>
      </c>
      <c r="ES339" s="53" t="inlineStr">
        <is>
          <t>AI training</t>
        </is>
      </c>
      <c r="ET339" s="53" t="inlineStr">
        <is>
          <t>Leadership development: strategic thinking, cross-functional influence, financial/business acumen, succession &amp; talent development, change management, executive communication</t>
        </is>
      </c>
      <c r="EU339" s="53" t="n"/>
      <c r="EV339" s="53" t="n"/>
      <c r="EW339" s="52" t="n"/>
      <c r="EX339" s="53" t="n"/>
      <c r="EY339" s="53" t="n"/>
      <c r="EZ339" s="53" t="n"/>
      <c r="FA339" s="53" t="n"/>
      <c r="FB339" s="53" t="n"/>
      <c r="FC339" s="53" t="n"/>
      <c r="FD339" s="53" t="n"/>
      <c r="FE339" s="57"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FF339" s="56" t="inlineStr">
        <is>
          <t>Managed the end-to-end testing of the QCB Returns module, completing all QA deliverables on schedule. The client sign-off is currently pending, and continued support is being provided to address client queries and facilitate final approval.</t>
        </is>
      </c>
      <c r="FG339" s="56"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FH339" s="56" t="inlineStr">
        <is>
          <t>4</t>
        </is>
      </c>
      <c r="FI339" s="56" t="n"/>
      <c r="FJ339" s="56" t="inlineStr">
        <is>
          <t>Received · manager annual, quarterly, self</t>
        </is>
      </c>
      <c r="FK339" s="56" t="inlineStr">
        <is>
          <t>Talent Mapping · iFile collated</t>
        </is>
      </c>
      <c r="FL339" s="56" t="n">
        <v>20</v>
      </c>
      <c r="FM339" s="32" t="inlineStr">
        <is>
          <t>Full survey answers not in the files received · How We Grow export needed · HR</t>
        </is>
      </c>
      <c r="FN339" s="56" t="inlineStr">
        <is>
          <t>—</t>
        </is>
      </c>
      <c r="FO339" s="56" t="inlineStr">
        <is>
          <t>—</t>
        </is>
      </c>
      <c r="FP339" s="56" t="inlineStr">
        <is>
          <t>—</t>
        </is>
      </c>
      <c r="FQ339" s="56" t="inlineStr">
        <is>
          <t>—</t>
        </is>
      </c>
      <c r="FR339" s="56"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one team member; release quality ownership → moved up 0.5
Leadership: Evidence reads like A3: Mentors and leads one QA team member; explains impact areas to the team → moved down 0.5
Business Impact: No survey or manager-mapping signal on criticality: kept at the start point.</t>
        </is>
      </c>
      <c r="FS339"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39" s="56" t="inlineStr">
        <is>
          <t>Self-identified: Testing &amp; quality · Strategy &amp; business acumen
For the next role: AI / automation · Testing &amp; quality · Strategy &amp; business acumen</t>
        </is>
      </c>
      <c r="FU339" s="32" t="inlineStr">
        <is>
          <t>Full survey answers not in the files received · How We Grow export needed · HR</t>
        </is>
      </c>
    </row>
    <row r="340" ht="90" customHeight="1">
      <c r="A340" s="51" t="inlineStr">
        <is>
          <t>◂ Back</t>
        </is>
      </c>
      <c r="B340" s="29" t="inlineStr">
        <is>
          <t>Mapped</t>
        </is>
      </c>
      <c r="C340" s="28" t="inlineStr">
        <is>
          <t>iFile</t>
        </is>
      </c>
      <c r="D340" s="29" t="inlineStr">
        <is>
          <t>IRIS2452</t>
        </is>
      </c>
      <c r="E340" s="29" t="inlineStr">
        <is>
          <t>Chinmay Dambe</t>
        </is>
      </c>
      <c r="F340" s="29" t="inlineStr">
        <is>
          <t>Quality Assurance</t>
        </is>
      </c>
      <c r="G340" s="29" t="inlineStr">
        <is>
          <t>Trainee QA Engineer</t>
        </is>
      </c>
      <c r="H340" s="29" t="inlineStr">
        <is>
          <t>Trainee QA Automation Engineer</t>
        </is>
      </c>
      <c r="I340" s="29" t="inlineStr">
        <is>
          <t>L2 – Trainee</t>
        </is>
      </c>
      <c r="J340" s="29" t="inlineStr">
        <is>
          <t>A1</t>
        </is>
      </c>
      <c r="K340" s="29" t="inlineStr">
        <is>
          <t>• Same level</t>
        </is>
      </c>
      <c r="L340" s="29" t="inlineStr">
        <is>
          <t>Quality Assurance</t>
        </is>
      </c>
      <c r="M340" s="29" t="inlineStr">
        <is>
          <t>Test Automation</t>
        </is>
      </c>
      <c r="N340" s="29" t="n"/>
      <c r="O340" s="29" t="n">
        <v>19</v>
      </c>
      <c r="P340" s="28" t="inlineStr">
        <is>
          <t>Entry / P1 · intern</t>
        </is>
      </c>
      <c r="Q340" s="29" t="inlineStr">
        <is>
          <t>Entry</t>
        </is>
      </c>
      <c r="R340" s="29" t="inlineStr">
        <is>
          <t>1 Follow</t>
        </is>
      </c>
      <c r="S340" s="29" t="inlineStr">
        <is>
          <t>0 yrs · fresher / intern</t>
        </is>
      </c>
      <c r="T340" s="29" t="inlineStr">
        <is>
          <t>—</t>
        </is>
      </c>
      <c r="U340" s="29" t="inlineStr">
        <is>
          <t>Associate QA Engineer</t>
        </is>
      </c>
      <c r="V340" s="29" t="inlineStr">
        <is>
          <t>—</t>
        </is>
      </c>
      <c r="W340" s="29" t="inlineStr">
        <is>
          <t>ISTQB Foundation → Advanced → Expert; SFIA testing</t>
        </is>
      </c>
      <c r="X340" s="29" t="inlineStr">
        <is>
          <t>Core 1 · Future 1 · Functional 1 · Leadership not scored</t>
        </is>
      </c>
      <c r="Y340" s="52" t="n">
        <v>418</v>
      </c>
      <c r="Z340" s="53" t="inlineStr">
        <is>
          <t>IRIS2452</t>
        </is>
      </c>
      <c r="AA340" s="53" t="inlineStr">
        <is>
          <t>Employee</t>
        </is>
      </c>
      <c r="AB340" s="53" t="inlineStr">
        <is>
          <t>Active</t>
        </is>
      </c>
      <c r="AC340" s="53" t="inlineStr">
        <is>
          <t>Chinmay Dambe</t>
        </is>
      </c>
      <c r="AD340" s="54" t="n">
        <v>45995</v>
      </c>
      <c r="AE340" s="53" t="inlineStr">
        <is>
          <t>Trainee QA Engineer</t>
        </is>
      </c>
      <c r="AF340" s="53" t="inlineStr">
        <is>
          <t>B.E</t>
        </is>
      </c>
      <c r="AG340" s="53" t="inlineStr">
        <is>
          <t>Ruturaj Kadam</t>
        </is>
      </c>
      <c r="AH340" s="53" t="inlineStr">
        <is>
          <t>N-5</t>
        </is>
      </c>
      <c r="AI340" s="53" t="inlineStr">
        <is>
          <t>Individual Contributor</t>
        </is>
      </c>
      <c r="AJ340" s="53" t="inlineStr">
        <is>
          <t>0 years, 0 months, 0 days</t>
        </is>
      </c>
      <c r="AK340" s="53" t="inlineStr">
        <is>
          <t>0 years, 8 months, 21 days</t>
        </is>
      </c>
      <c r="AL340" s="53" t="inlineStr">
        <is>
          <t>Suptech</t>
        </is>
      </c>
      <c r="AM340" s="53" t="inlineStr">
        <is>
          <t>iFile</t>
        </is>
      </c>
      <c r="AN340" s="53" t="inlineStr">
        <is>
          <t>Quality Assurance</t>
        </is>
      </c>
      <c r="AO340" s="53" t="inlineStr">
        <is>
          <t>Quality Assurance</t>
        </is>
      </c>
      <c r="AP340" s="53" t="inlineStr">
        <is>
          <t>No</t>
        </is>
      </c>
      <c r="AQ340" s="53" t="inlineStr">
        <is>
          <t>Product/Project</t>
        </is>
      </c>
      <c r="AR340" s="53" t="inlineStr">
        <is>
          <t>Software Testing</t>
        </is>
      </c>
      <c r="AS340" s="53" t="inlineStr">
        <is>
          <t>Technical · BA, PM and QA</t>
        </is>
      </c>
      <c r="AT340" s="53" t="n">
        <v>20</v>
      </c>
      <c r="AU340" s="53" t="inlineStr">
        <is>
          <t>Covered</t>
        </is>
      </c>
      <c r="AV340" s="53" t="n"/>
      <c r="AW340" s="53" t="n"/>
      <c r="AX340" s="53" t="n"/>
      <c r="AY340" s="53" t="n"/>
      <c r="AZ340" s="53" t="n"/>
      <c r="BA340" s="53" t="n"/>
      <c r="BB340" s="53" t="n"/>
      <c r="BC340" s="53" t="n"/>
      <c r="BD340" s="53" t="n"/>
      <c r="BE340" s="53" t="n"/>
      <c r="BF340" s="53" t="n"/>
      <c r="BG340" s="53" t="n"/>
      <c r="BH340" s="53" t="n"/>
      <c r="BI340" s="53" t="n"/>
      <c r="BJ340" s="53" t="n"/>
      <c r="BK340" s="53" t="n"/>
      <c r="BL340" s="53" t="n"/>
      <c r="BM340" s="53" t="n"/>
      <c r="BN340" s="53" t="n"/>
      <c r="BO340" s="53" t="n"/>
      <c r="BP340" s="53" t="n"/>
      <c r="BQ340" s="53" t="n"/>
      <c r="BR340" s="53" t="n"/>
      <c r="BS340" s="53" t="n"/>
      <c r="BT340" s="53" t="n"/>
      <c r="BU340" s="53" t="n"/>
      <c r="BV340" s="53" t="n"/>
      <c r="BW340" s="53" t="n"/>
      <c r="BX340" s="53" t="n"/>
      <c r="BY340" s="53" t="n"/>
      <c r="BZ340" s="53" t="n"/>
      <c r="CA340" s="53" t="n"/>
      <c r="CB340" s="53" t="n"/>
      <c r="CC340" s="53" t="n"/>
      <c r="CD340" s="53" t="n"/>
      <c r="CE340" s="53" t="n"/>
      <c r="CF340" s="53" t="n"/>
      <c r="CG340" s="53" t="n"/>
      <c r="CH340" s="53" t="n"/>
      <c r="CI340" s="53" t="n"/>
      <c r="CJ340" s="53" t="n"/>
      <c r="CK340" s="53" t="n"/>
      <c r="CL340" s="53" t="n"/>
      <c r="CM340" s="53" t="n"/>
      <c r="CN340" s="53" t="n"/>
      <c r="CO340" s="53" t="n"/>
      <c r="CP340" s="53" t="n"/>
      <c r="CQ340" s="53" t="n"/>
      <c r="CR340" s="53" t="n"/>
      <c r="CS340" s="53" t="n"/>
      <c r="CT340" s="53" t="n"/>
      <c r="CU340" s="53" t="n"/>
      <c r="CV340" s="53" t="n"/>
      <c r="CW340" s="53" t="n"/>
      <c r="CX340" s="53" t="n"/>
      <c r="CY340" s="53" t="n"/>
      <c r="CZ340" s="53" t="n"/>
      <c r="DA340" s="53" t="n"/>
      <c r="DB340" s="53" t="n"/>
      <c r="DC340" s="53" t="n"/>
      <c r="DD340" s="53" t="inlineStr">
        <is>
          <t>IRIS2452</t>
        </is>
      </c>
      <c r="DE340" s="53" t="inlineStr">
        <is>
          <t>Employee</t>
        </is>
      </c>
      <c r="DF340" s="53" t="inlineStr">
        <is>
          <t>Active</t>
        </is>
      </c>
      <c r="DG340" s="53" t="inlineStr">
        <is>
          <t>Chinmay Dambe</t>
        </is>
      </c>
      <c r="DH340" s="54" t="n">
        <v>45995</v>
      </c>
      <c r="DI340" s="53" t="inlineStr">
        <is>
          <t>Trainee QA Engineer</t>
        </is>
      </c>
      <c r="DJ340" s="53" t="inlineStr">
        <is>
          <t>Quality Assurance</t>
        </is>
      </c>
      <c r="DK340" s="53" t="inlineStr">
        <is>
          <t>Quality Engineering</t>
        </is>
      </c>
      <c r="DL340" s="53" t="inlineStr">
        <is>
          <t>Trainee QA Engineer</t>
        </is>
      </c>
      <c r="DM340" s="53" t="inlineStr">
        <is>
          <t>L2 – Trainee</t>
        </is>
      </c>
      <c r="DN340" s="53" t="inlineStr">
        <is>
          <t>B.E</t>
        </is>
      </c>
      <c r="DO340" s="53" t="inlineStr">
        <is>
          <t>Ruturaj Kadam</t>
        </is>
      </c>
      <c r="DP340" s="53" t="inlineStr">
        <is>
          <t>N-4</t>
        </is>
      </c>
      <c r="DQ340" s="53" t="inlineStr">
        <is>
          <t>Individual Contributor</t>
        </is>
      </c>
      <c r="DR340" s="53" t="inlineStr">
        <is>
          <t>0 years, 0 months, 0 days</t>
        </is>
      </c>
      <c r="DS340" s="53" t="inlineStr">
        <is>
          <t>0 years, 6 months, 16 days</t>
        </is>
      </c>
      <c r="DT340" s="53" t="inlineStr">
        <is>
          <t>0 years, 6 months, 16 days</t>
        </is>
      </c>
      <c r="DU340" s="53" t="n"/>
      <c r="DV340" s="53" t="inlineStr">
        <is>
          <t>Suptech</t>
        </is>
      </c>
      <c r="DW340" s="53" t="inlineStr">
        <is>
          <t>iFile</t>
        </is>
      </c>
      <c r="DX340" s="53" t="inlineStr">
        <is>
          <t>Quality Assurance</t>
        </is>
      </c>
      <c r="DY340" s="53" t="inlineStr">
        <is>
          <t>Quality Assurance</t>
        </is>
      </c>
      <c r="DZ340" s="53" t="inlineStr">
        <is>
          <t>No</t>
        </is>
      </c>
      <c r="EA340" s="53" t="inlineStr">
        <is>
          <t>Product/Project</t>
        </is>
      </c>
      <c r="EB340" s="53" t="inlineStr">
        <is>
          <t>Software Testing</t>
        </is>
      </c>
      <c r="EC340" s="53" t="inlineStr">
        <is>
          <t>Technical · BA, PM and QA</t>
        </is>
      </c>
      <c r="ED340" s="53" t="inlineStr">
        <is>
          <t>Work From Office - Turbhe</t>
        </is>
      </c>
      <c r="EE340" s="53"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EF340" s="53"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EG340" s="53" t="inlineStr">
        <is>
          <t>QCB testing Completion</t>
        </is>
      </c>
      <c r="EH340" s="53" t="n">
        <v>3</v>
      </c>
      <c r="EI340" s="54" t="n">
        <v>46362</v>
      </c>
      <c r="EJ340" s="53" t="inlineStr">
        <is>
          <t>Trainee QA Engineer</t>
        </is>
      </c>
      <c r="EK340" s="53" t="inlineStr">
        <is>
          <t>No</t>
        </is>
      </c>
      <c r="EL340" s="53" t="n">
        <v>3</v>
      </c>
      <c r="EM340" s="53" t="inlineStr">
        <is>
          <t>Medium</t>
        </is>
      </c>
      <c r="EN340" s="53" t="inlineStr">
        <is>
          <t>High Impact / Growth Talent</t>
        </is>
      </c>
      <c r="EO340" s="53" t="inlineStr">
        <is>
          <t>No</t>
        </is>
      </c>
      <c r="EP340" s="53" t="inlineStr">
        <is>
          <t>No</t>
        </is>
      </c>
      <c r="EQ340" s="53" t="inlineStr">
        <is>
          <t>No</t>
        </is>
      </c>
      <c r="ER340" s="53" t="n"/>
      <c r="ES340" s="53" t="inlineStr">
        <is>
          <t>API training andAutoamtion</t>
        </is>
      </c>
      <c r="ET340" s="53" t="n"/>
      <c r="EU340" s="53" t="n"/>
      <c r="EV340" s="53" t="n"/>
      <c r="EW340" s="52" t="n"/>
      <c r="EX340" s="53" t="n"/>
      <c r="EY340" s="53" t="n"/>
      <c r="EZ340" s="53" t="n"/>
      <c r="FA340" s="53" t="n"/>
      <c r="FB340" s="53" t="n"/>
      <c r="FC340" s="53" t="n"/>
      <c r="FD340" s="53" t="n"/>
      <c r="FE340" s="57"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FF340" s="56" t="inlineStr">
        <is>
          <t>QCB testing Completion</t>
        </is>
      </c>
      <c r="FG340" s="56"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FH340" s="56" t="inlineStr">
        <is>
          <t>3</t>
        </is>
      </c>
      <c r="FI340" s="56" t="n"/>
      <c r="FJ340" s="56" t="inlineStr">
        <is>
          <t>Received · manager annual, quarterly, self</t>
        </is>
      </c>
      <c r="FK340" s="56" t="inlineStr">
        <is>
          <t>Talent Mapping · iFile collated</t>
        </is>
      </c>
      <c r="FL340" s="56" t="n">
        <v>19</v>
      </c>
      <c r="FM340" s="32" t="inlineStr">
        <is>
          <t>Full survey answers not in the files received · How We Grow export needed · HR</t>
        </is>
      </c>
      <c r="FN340" s="56" t="inlineStr">
        <is>
          <t>—</t>
        </is>
      </c>
      <c r="FO340" s="56" t="inlineStr">
        <is>
          <t>—</t>
        </is>
      </c>
      <c r="FP340" s="56" t="inlineStr">
        <is>
          <t>—</t>
        </is>
      </c>
      <c r="FQ340" s="56" t="inlineStr">
        <is>
          <t>—</t>
        </is>
      </c>
      <c r="FR340" s="56" t="n"/>
      <c r="FS340" s="56"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FT340" s="56" t="inlineStr">
        <is>
          <t>Self-identified: AI / automation · Testing &amp; quality
For the next role: AI / automation · Testing &amp; quality</t>
        </is>
      </c>
      <c r="FU340" s="32" t="inlineStr">
        <is>
          <t>Full survey answers not in the files received · How We Grow export needed · HR</t>
        </is>
      </c>
    </row>
    <row r="341" ht="90" customHeight="1">
      <c r="A341" s="51" t="inlineStr">
        <is>
          <t>◂ Back</t>
        </is>
      </c>
      <c r="B341" s="29" t="inlineStr">
        <is>
          <t>Mapped</t>
        </is>
      </c>
      <c r="C341" s="28" t="inlineStr">
        <is>
          <t>iFile</t>
        </is>
      </c>
      <c r="D341" s="29" t="inlineStr">
        <is>
          <t>IRIS1827</t>
        </is>
      </c>
      <c r="E341" s="29" t="inlineStr">
        <is>
          <t>Susan Peter</t>
        </is>
      </c>
      <c r="F341" s="29" t="inlineStr">
        <is>
          <t>Quality Assurance</t>
        </is>
      </c>
      <c r="G341" s="29" t="inlineStr">
        <is>
          <t>Senior QA - Engineer</t>
        </is>
      </c>
      <c r="H341" s="29" t="inlineStr">
        <is>
          <t>QA Specialist – POD Lead</t>
        </is>
      </c>
      <c r="I341" s="29" t="inlineStr">
        <is>
          <t>L4 – Senior</t>
        </is>
      </c>
      <c r="J341" s="29" t="inlineStr">
        <is>
          <t>B1</t>
        </is>
      </c>
      <c r="K341" s="29" t="inlineStr">
        <is>
          <t>▲ Up</t>
        </is>
      </c>
      <c r="L341" s="29" t="inlineStr">
        <is>
          <t>Quality Assurance</t>
        </is>
      </c>
      <c r="M341" s="29" t="inlineStr">
        <is>
          <t>Functional &amp; Domain Testing</t>
        </is>
      </c>
      <c r="N341" s="29" t="n"/>
      <c r="O341" s="29" t="n">
        <v>20</v>
      </c>
      <c r="P341" s="28" t="inlineStr">
        <is>
          <t>P3 / M2</t>
        </is>
      </c>
      <c r="Q341" s="29" t="inlineStr">
        <is>
          <t>Career / · Team Lead</t>
        </is>
      </c>
      <c r="R341" s="29" t="inlineStr">
        <is>
          <t>4 Enable</t>
        </is>
      </c>
      <c r="S341" s="29" t="inlineStr">
        <is>
          <t>4–7 yrs</t>
        </is>
      </c>
      <c r="T341" s="29" t="inlineStr">
        <is>
          <t>5–8 · 4–8</t>
        </is>
      </c>
      <c r="U341" s="29" t="inlineStr">
        <is>
          <t>Senior QA Engineer</t>
        </is>
      </c>
      <c r="V341" s="29" t="inlineStr">
        <is>
          <t>Workiva: SE / Senior SE · Broadridge India: Senior SE · Nasdaq / AxiomSL: Senior SE · IRIS Vs Market Benchmark — ISTQB certification pathway: Advanced · Test Analyst</t>
        </is>
      </c>
      <c r="W341" s="29" t="inlineStr">
        <is>
          <t>ISTQB Foundation → Advanced → Expert; SFIA testing</t>
        </is>
      </c>
      <c r="X341" s="29" t="inlineStr">
        <is>
          <t>Core 3 · Future 3 · Functional 3 · Leadership 2</t>
        </is>
      </c>
      <c r="Y341" s="52" t="n">
        <v>162</v>
      </c>
      <c r="Z341" s="53" t="inlineStr">
        <is>
          <t>IRIS1827</t>
        </is>
      </c>
      <c r="AA341" s="53" t="inlineStr">
        <is>
          <t>Employee</t>
        </is>
      </c>
      <c r="AB341" s="53" t="inlineStr">
        <is>
          <t>Active</t>
        </is>
      </c>
      <c r="AC341" s="53" t="inlineStr">
        <is>
          <t>Susan Peter</t>
        </is>
      </c>
      <c r="AD341" s="54" t="n">
        <v>43809</v>
      </c>
      <c r="AE341" s="53" t="inlineStr">
        <is>
          <t>Senior QA - Engineer</t>
        </is>
      </c>
      <c r="AF341" s="53" t="inlineStr">
        <is>
          <t>B.E</t>
        </is>
      </c>
      <c r="AG341" s="53" t="inlineStr">
        <is>
          <t>Davinder Pal Singh</t>
        </is>
      </c>
      <c r="AH341" s="53" t="inlineStr">
        <is>
          <t>N-4</t>
        </is>
      </c>
      <c r="AI341" s="53" t="inlineStr">
        <is>
          <t>Manager</t>
        </is>
      </c>
      <c r="AJ341" s="53" t="inlineStr">
        <is>
          <t>5 years, 4 months, 0 days</t>
        </is>
      </c>
      <c r="AK341" s="53" t="inlineStr">
        <is>
          <t>6 years, 8 months, 15 days</t>
        </is>
      </c>
      <c r="AL341" s="53" t="inlineStr">
        <is>
          <t>Suptech</t>
        </is>
      </c>
      <c r="AM341" s="53" t="inlineStr">
        <is>
          <t>iFile</t>
        </is>
      </c>
      <c r="AN341" s="53" t="inlineStr">
        <is>
          <t>Quality Assurance</t>
        </is>
      </c>
      <c r="AO341" s="53" t="inlineStr">
        <is>
          <t>Quality Assurance</t>
        </is>
      </c>
      <c r="AP341" s="53" t="inlineStr">
        <is>
          <t>No</t>
        </is>
      </c>
      <c r="AQ341" s="53" t="inlineStr">
        <is>
          <t>Product/Project</t>
        </is>
      </c>
      <c r="AR341" s="53" t="inlineStr">
        <is>
          <t>Software Testing</t>
        </is>
      </c>
      <c r="AS341" s="53" t="inlineStr">
        <is>
          <t>Technical · BA, PM and QA</t>
        </is>
      </c>
      <c r="AT341" s="53" t="n">
        <v>20</v>
      </c>
      <c r="AU341" s="53" t="inlineStr">
        <is>
          <t>Covered</t>
        </is>
      </c>
      <c r="AV341" s="53" t="n"/>
      <c r="AW341" s="53" t="n"/>
      <c r="AX341" s="53" t="n"/>
      <c r="AY341" s="53" t="n"/>
      <c r="AZ341" s="53" t="n"/>
      <c r="BA341" s="53" t="n"/>
      <c r="BB341" s="53" t="n"/>
      <c r="BC341" s="53" t="n"/>
      <c r="BD341" s="53" t="n"/>
      <c r="BE341" s="53" t="n"/>
      <c r="BF341" s="53" t="n"/>
      <c r="BG341" s="53" t="n"/>
      <c r="BH341" s="53" t="n"/>
      <c r="BI341" s="53" t="n"/>
      <c r="BJ341" s="53" t="n"/>
      <c r="BK341" s="53" t="n"/>
      <c r="BL341" s="53" t="n"/>
      <c r="BM341" s="53" t="n"/>
      <c r="BN341" s="53" t="n"/>
      <c r="BO341" s="53" t="n"/>
      <c r="BP341" s="53" t="n"/>
      <c r="BQ341" s="53" t="n"/>
      <c r="BR341" s="53" t="n"/>
      <c r="BS341" s="53" t="n"/>
      <c r="BT341" s="53" t="n"/>
      <c r="BU341" s="53" t="n"/>
      <c r="BV341" s="53" t="n"/>
      <c r="BW341" s="53" t="n"/>
      <c r="BX341" s="53" t="n"/>
      <c r="BY341" s="53" t="n"/>
      <c r="BZ341" s="53" t="n"/>
      <c r="CA341" s="53" t="n"/>
      <c r="CB341" s="53" t="n"/>
      <c r="CC341" s="53" t="n"/>
      <c r="CD341" s="53" t="n"/>
      <c r="CE341" s="53" t="n"/>
      <c r="CF341" s="53" t="n"/>
      <c r="CG341" s="53" t="n"/>
      <c r="CH341" s="53" t="n"/>
      <c r="CI341" s="53" t="n"/>
      <c r="CJ341" s="53" t="n"/>
      <c r="CK341" s="53" t="n"/>
      <c r="CL341" s="53" t="n"/>
      <c r="CM341" s="53" t="n"/>
      <c r="CN341" s="53" t="n"/>
      <c r="CO341" s="53" t="n"/>
      <c r="CP341" s="53" t="n"/>
      <c r="CQ341" s="53" t="n"/>
      <c r="CR341" s="53" t="n"/>
      <c r="CS341" s="53" t="n"/>
      <c r="CT341" s="53" t="n"/>
      <c r="CU341" s="53" t="n"/>
      <c r="CV341" s="53" t="n"/>
      <c r="CW341" s="53" t="n"/>
      <c r="CX341" s="53" t="n"/>
      <c r="CY341" s="53" t="n"/>
      <c r="CZ341" s="53" t="n"/>
      <c r="DA341" s="53" t="n"/>
      <c r="DB341" s="53" t="n"/>
      <c r="DC341" s="53" t="n"/>
      <c r="DD341" s="53" t="inlineStr">
        <is>
          <t>IRIS1827</t>
        </is>
      </c>
      <c r="DE341" s="53" t="inlineStr">
        <is>
          <t>Employee</t>
        </is>
      </c>
      <c r="DF341" s="53" t="inlineStr">
        <is>
          <t>Active</t>
        </is>
      </c>
      <c r="DG341" s="53" t="inlineStr">
        <is>
          <t>Susan Peter</t>
        </is>
      </c>
      <c r="DH341" s="54" t="n">
        <v>43809</v>
      </c>
      <c r="DI341" s="53" t="inlineStr">
        <is>
          <t>Senior QA - Engineer</t>
        </is>
      </c>
      <c r="DJ341" s="53" t="inlineStr">
        <is>
          <t>Quality Assurance</t>
        </is>
      </c>
      <c r="DK341" s="53" t="inlineStr">
        <is>
          <t>Quality Engineering</t>
        </is>
      </c>
      <c r="DL341" s="53" t="inlineStr">
        <is>
          <t>Senior QA - Engineer</t>
        </is>
      </c>
      <c r="DM341" s="53" t="inlineStr">
        <is>
          <t>L4 – Senior</t>
        </is>
      </c>
      <c r="DN341" s="53" t="inlineStr">
        <is>
          <t>B.E</t>
        </is>
      </c>
      <c r="DO341" s="53" t="inlineStr">
        <is>
          <t>Davinder Pal Singh</t>
        </is>
      </c>
      <c r="DP341" s="53" t="inlineStr">
        <is>
          <t>N-3</t>
        </is>
      </c>
      <c r="DQ341" s="53" t="inlineStr">
        <is>
          <t>Manager</t>
        </is>
      </c>
      <c r="DR341" s="53" t="inlineStr">
        <is>
          <t>5 years, 4 months, 0 days</t>
        </is>
      </c>
      <c r="DS341" s="53" t="inlineStr">
        <is>
          <t>6 years, 6 months, 10 days</t>
        </is>
      </c>
      <c r="DT341" s="53" t="inlineStr">
        <is>
          <t>11 years, 10 months, 10 days</t>
        </is>
      </c>
      <c r="DU341" s="53" t="n">
        <v>6.52739726027397</v>
      </c>
      <c r="DV341" s="53" t="inlineStr">
        <is>
          <t>Suptech</t>
        </is>
      </c>
      <c r="DW341" s="53" t="inlineStr">
        <is>
          <t>iFile</t>
        </is>
      </c>
      <c r="DX341" s="53" t="inlineStr">
        <is>
          <t>Quality Assurance</t>
        </is>
      </c>
      <c r="DY341" s="53" t="inlineStr">
        <is>
          <t>Quality Assurance</t>
        </is>
      </c>
      <c r="DZ341" s="53" t="inlineStr">
        <is>
          <t>No</t>
        </is>
      </c>
      <c r="EA341" s="53" t="inlineStr">
        <is>
          <t>Product/Project</t>
        </is>
      </c>
      <c r="EB341" s="53" t="inlineStr">
        <is>
          <t>Software Testing</t>
        </is>
      </c>
      <c r="EC341" s="53" t="inlineStr">
        <is>
          <t>Technical · BA, PM and QA</t>
        </is>
      </c>
      <c r="ED341" s="53" t="inlineStr">
        <is>
          <t>Remote - Mumbai</t>
        </is>
      </c>
      <c r="EE341" s="53"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EF341" s="53"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EG341" s="53" t="inlineStr">
        <is>
          <t>Tea pot Automation for First Phase</t>
        </is>
      </c>
      <c r="EH341" s="53" t="n">
        <v>4</v>
      </c>
      <c r="EI341" s="54" t="n">
        <v>46149</v>
      </c>
      <c r="EJ341" s="53" t="inlineStr">
        <is>
          <t>Senior QA - Engineer</t>
        </is>
      </c>
      <c r="EK341" s="53" t="inlineStr">
        <is>
          <t>no</t>
        </is>
      </c>
      <c r="EL341" s="53" t="n"/>
      <c r="EM341" s="53" t="n"/>
      <c r="EN341" s="53" t="n"/>
      <c r="EO341" s="53" t="n"/>
      <c r="EP341" s="53" t="n"/>
      <c r="EQ341" s="53" t="n"/>
      <c r="ER341" s="53" t="inlineStr">
        <is>
          <t>yet to identify</t>
        </is>
      </c>
      <c r="ES341" s="53" t="inlineStr">
        <is>
          <t>Automation training</t>
        </is>
      </c>
      <c r="ET341" s="53" t="inlineStr">
        <is>
          <t>Leadership development: strategic thinking, cross-functional influence, financial/business acumen, succession &amp; talent development, change management, executive communication</t>
        </is>
      </c>
      <c r="EU341" s="53" t="n"/>
      <c r="EV341" s="53" t="n"/>
      <c r="EW341" s="52" t="n"/>
      <c r="EX341" s="53" t="n"/>
      <c r="EY341" s="53" t="n"/>
      <c r="EZ341" s="53" t="n"/>
      <c r="FA341" s="53" t="n"/>
      <c r="FB341" s="53" t="n"/>
      <c r="FC341" s="53" t="n"/>
      <c r="FD341" s="53" t="n"/>
      <c r="FE341" s="57"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FF341" s="56" t="inlineStr">
        <is>
          <t>Tea pot Automation for First Phase</t>
        </is>
      </c>
      <c r="FG341" s="56"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FH341" s="56" t="inlineStr">
        <is>
          <t>4</t>
        </is>
      </c>
      <c r="FI341" s="56" t="n"/>
      <c r="FJ341" s="56" t="inlineStr">
        <is>
          <t>Received · manager annual, quarterly, self</t>
        </is>
      </c>
      <c r="FK341" s="56" t="inlineStr">
        <is>
          <t>Talent Mapping · iFile collated</t>
        </is>
      </c>
      <c r="FL341" s="56" t="n">
        <v>20</v>
      </c>
      <c r="FM341" s="32" t="inlineStr">
        <is>
          <t>Full survey answers not in the files received · How We Grow export needed · HR</t>
        </is>
      </c>
      <c r="FN341" s="56" t="inlineStr">
        <is>
          <t>—</t>
        </is>
      </c>
      <c r="FO341" s="56" t="inlineStr">
        <is>
          <t>—</t>
        </is>
      </c>
      <c r="FP341" s="56" t="inlineStr">
        <is>
          <t>—</t>
        </is>
      </c>
      <c r="FQ341" s="56" t="inlineStr">
        <is>
          <t>—</t>
        </is>
      </c>
      <c r="FR341" s="56"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Test deliverables and sign-off, client query answers, demos, bugs found at UAT → matches the start
Leadership: Evidence reads like B1: Team handling and assignment for two reports; runs KT sessions; reviews test documents → matches the start
Business Impact: No survey or manager-mapping signal on criticality: kept at the start point.</t>
        </is>
      </c>
      <c r="FS341"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41" s="56" t="inlineStr">
        <is>
          <t>Self-identified: AI / automation · Technical depth &amp; architecture · Testing &amp; quality · Data, SQL &amp; analytics
For the next role: AI / automation · Technical depth &amp; architecture · Testing &amp; quality · Data, SQL &amp; analytics</t>
        </is>
      </c>
      <c r="FU341" s="32" t="inlineStr">
        <is>
          <t>Full survey answers not in the files received · How We Grow export needed · HR</t>
        </is>
      </c>
    </row>
    <row r="342" ht="90" customHeight="1">
      <c r="A342" s="51" t="inlineStr">
        <is>
          <t>◂ Back</t>
        </is>
      </c>
      <c r="B342" s="29" t="inlineStr">
        <is>
          <t>Mapped</t>
        </is>
      </c>
      <c r="C342" s="28" t="inlineStr">
        <is>
          <t>iFile</t>
        </is>
      </c>
      <c r="D342" s="29" t="inlineStr">
        <is>
          <t>IRIS2304</t>
        </is>
      </c>
      <c r="E342" s="29" t="inlineStr">
        <is>
          <t>Adnan Yakub Majgaonkar</t>
        </is>
      </c>
      <c r="F342" s="29" t="inlineStr">
        <is>
          <t>Quality Assurance</t>
        </is>
      </c>
      <c r="G342" s="29" t="inlineStr">
        <is>
          <t>QA Engineer</t>
        </is>
      </c>
      <c r="H342" s="29" t="inlineStr">
        <is>
          <t>Senior QA Automation Engineer</t>
        </is>
      </c>
      <c r="I342" s="29" t="inlineStr">
        <is>
          <t>L3 – Professional / Associate</t>
        </is>
      </c>
      <c r="J342" s="29" t="inlineStr">
        <is>
          <t>A3</t>
        </is>
      </c>
      <c r="K342" s="29" t="inlineStr">
        <is>
          <t>▲ Up</t>
        </is>
      </c>
      <c r="L342" s="29" t="inlineStr">
        <is>
          <t>Quality Assurance</t>
        </is>
      </c>
      <c r="M342" s="29" t="inlineStr">
        <is>
          <t>Test Automation</t>
        </is>
      </c>
      <c r="N342" s="29" t="n"/>
      <c r="O342" s="29" t="n">
        <v>20</v>
      </c>
      <c r="P342" s="28" t="inlineStr">
        <is>
          <t>P2</t>
        </is>
      </c>
      <c r="Q342" s="29" t="inlineStr">
        <is>
          <t>Developing</t>
        </is>
      </c>
      <c r="R342" s="29" t="inlineStr">
        <is>
          <t>3 Apply</t>
        </is>
      </c>
      <c r="S342" s="29" t="inlineStr">
        <is>
          <t>2–4 yrs</t>
        </is>
      </c>
      <c r="T342" s="29" t="inlineStr">
        <is>
          <t>3–5 · 2–5</t>
        </is>
      </c>
      <c r="U342" s="29" t="inlineStr">
        <is>
          <t>QA Engineer</t>
        </is>
      </c>
      <c r="V342" s="29" t="inlineStr">
        <is>
          <t>Workiva: SE · Broadridge India: SE · Nasdaq / AxiomSL: SE · IRIS Vs Market Benchmark — ISTQB certification pathway: Foundation</t>
        </is>
      </c>
      <c r="W342" s="29" t="inlineStr">
        <is>
          <t>ISTQB Foundation → Advanced → Expert; SFIA testing</t>
        </is>
      </c>
      <c r="X342" s="29" t="inlineStr">
        <is>
          <t>Core 2 · Future 2 · Functional 3 · Leadership not scored</t>
        </is>
      </c>
      <c r="Y342" s="52" t="n">
        <v>340</v>
      </c>
      <c r="Z342" s="53" t="inlineStr">
        <is>
          <t>IRIS2304</t>
        </is>
      </c>
      <c r="AA342" s="53" t="inlineStr">
        <is>
          <t>Employee</t>
        </is>
      </c>
      <c r="AB342" s="53" t="inlineStr">
        <is>
          <t>Active</t>
        </is>
      </c>
      <c r="AC342" s="53" t="inlineStr">
        <is>
          <t>Adnan Yakub Majgaonkar</t>
        </is>
      </c>
      <c r="AD342" s="54" t="n">
        <v>45544</v>
      </c>
      <c r="AE342" s="53" t="inlineStr">
        <is>
          <t>QA Engineer</t>
        </is>
      </c>
      <c r="AF342" s="53" t="inlineStr">
        <is>
          <t>B.Tech</t>
        </is>
      </c>
      <c r="AG342" s="53" t="inlineStr">
        <is>
          <t>Susan Peter</t>
        </is>
      </c>
      <c r="AH342" s="53" t="inlineStr">
        <is>
          <t>N-5</t>
        </is>
      </c>
      <c r="AI342" s="53" t="inlineStr">
        <is>
          <t>Individual Contributor</t>
        </is>
      </c>
      <c r="AJ342" s="53" t="inlineStr">
        <is>
          <t>2 years, 0 months, 0 days</t>
        </is>
      </c>
      <c r="AK342" s="53" t="inlineStr">
        <is>
          <t>1 years, 11 months, 16 days</t>
        </is>
      </c>
      <c r="AL342" s="53" t="inlineStr">
        <is>
          <t>Suptech</t>
        </is>
      </c>
      <c r="AM342" s="53" t="inlineStr">
        <is>
          <t>iFile</t>
        </is>
      </c>
      <c r="AN342" s="53" t="inlineStr">
        <is>
          <t>Quality Assurance</t>
        </is>
      </c>
      <c r="AO342" s="53" t="inlineStr">
        <is>
          <t>Quality Assurance</t>
        </is>
      </c>
      <c r="AP342" s="53" t="inlineStr">
        <is>
          <t>No</t>
        </is>
      </c>
      <c r="AQ342" s="53" t="inlineStr">
        <is>
          <t>Product/Project</t>
        </is>
      </c>
      <c r="AR342" s="53" t="inlineStr">
        <is>
          <t>Software Testing</t>
        </is>
      </c>
      <c r="AS342" s="53" t="inlineStr">
        <is>
          <t>Technical · BA, PM and QA</t>
        </is>
      </c>
      <c r="AT342" s="53" t="n">
        <v>20</v>
      </c>
      <c r="AU342" s="53" t="inlineStr">
        <is>
          <t>Covered</t>
        </is>
      </c>
      <c r="AV342" s="53" t="n"/>
      <c r="AW342" s="53" t="n"/>
      <c r="AX342" s="53" t="n"/>
      <c r="AY342" s="53" t="n"/>
      <c r="AZ342" s="53" t="n"/>
      <c r="BA342" s="53" t="n"/>
      <c r="BB342" s="53" t="n"/>
      <c r="BC342" s="53" t="n"/>
      <c r="BD342" s="53" t="n"/>
      <c r="BE342" s="53" t="n"/>
      <c r="BF342" s="53" t="n"/>
      <c r="BG342" s="53" t="n"/>
      <c r="BH342" s="53" t="n"/>
      <c r="BI342" s="53" t="n"/>
      <c r="BJ342" s="53" t="n"/>
      <c r="BK342" s="53" t="n"/>
      <c r="BL342" s="53" t="n"/>
      <c r="BM342" s="53" t="n"/>
      <c r="BN342" s="53" t="n"/>
      <c r="BO342" s="53" t="n"/>
      <c r="BP342" s="53" t="n"/>
      <c r="BQ342" s="53" t="n"/>
      <c r="BR342" s="53" t="n"/>
      <c r="BS342" s="53" t="n"/>
      <c r="BT342" s="53" t="n"/>
      <c r="BU342" s="53" t="n"/>
      <c r="BV342" s="53" t="n"/>
      <c r="BW342" s="53" t="n"/>
      <c r="BX342" s="53" t="n"/>
      <c r="BY342" s="53" t="n"/>
      <c r="BZ342" s="53" t="n"/>
      <c r="CA342" s="53" t="n"/>
      <c r="CB342" s="53" t="n"/>
      <c r="CC342" s="53" t="n"/>
      <c r="CD342" s="53" t="n"/>
      <c r="CE342" s="53" t="n"/>
      <c r="CF342" s="53" t="n"/>
      <c r="CG342" s="53" t="n"/>
      <c r="CH342" s="53" t="n"/>
      <c r="CI342" s="53" t="n"/>
      <c r="CJ342" s="53" t="n"/>
      <c r="CK342" s="53" t="n"/>
      <c r="CL342" s="53" t="n"/>
      <c r="CM342" s="53" t="n"/>
      <c r="CN342" s="53" t="n"/>
      <c r="CO342" s="53" t="n"/>
      <c r="CP342" s="53" t="n"/>
      <c r="CQ342" s="53" t="n"/>
      <c r="CR342" s="53" t="n"/>
      <c r="CS342" s="53" t="n"/>
      <c r="CT342" s="53" t="n"/>
      <c r="CU342" s="53" t="n"/>
      <c r="CV342" s="53" t="n"/>
      <c r="CW342" s="53" t="n"/>
      <c r="CX342" s="53" t="n"/>
      <c r="CY342" s="53" t="n"/>
      <c r="CZ342" s="53" t="n"/>
      <c r="DA342" s="53" t="n"/>
      <c r="DB342" s="53" t="n"/>
      <c r="DC342" s="53" t="n"/>
      <c r="DD342" s="53" t="inlineStr">
        <is>
          <t>IRIS2304</t>
        </is>
      </c>
      <c r="DE342" s="53" t="inlineStr">
        <is>
          <t>Employee</t>
        </is>
      </c>
      <c r="DF342" s="53" t="inlineStr">
        <is>
          <t>Active</t>
        </is>
      </c>
      <c r="DG342" s="53" t="inlineStr">
        <is>
          <t>Adnan Yakub Majgaonkar</t>
        </is>
      </c>
      <c r="DH342" s="54" t="n">
        <v>45544</v>
      </c>
      <c r="DI342" s="53" t="inlineStr">
        <is>
          <t>QA Engineer</t>
        </is>
      </c>
      <c r="DJ342" s="53" t="inlineStr">
        <is>
          <t>Quality Assurance</t>
        </is>
      </c>
      <c r="DK342" s="53" t="inlineStr">
        <is>
          <t>Quality Engineering</t>
        </is>
      </c>
      <c r="DL342" s="53" t="inlineStr">
        <is>
          <t>QA Engineer</t>
        </is>
      </c>
      <c r="DM342" s="53" t="inlineStr">
        <is>
          <t>L3 – Professional / Associate</t>
        </is>
      </c>
      <c r="DN342" s="53" t="inlineStr">
        <is>
          <t>B.Tech</t>
        </is>
      </c>
      <c r="DO342" s="53" t="inlineStr">
        <is>
          <t>Susan Peter</t>
        </is>
      </c>
      <c r="DP342" s="53" t="inlineStr">
        <is>
          <t>N-4</t>
        </is>
      </c>
      <c r="DQ342" s="53" t="inlineStr">
        <is>
          <t>Individual Contributor</t>
        </is>
      </c>
      <c r="DR342" s="53" t="inlineStr">
        <is>
          <t>2 years, 0 months, 0 days</t>
        </is>
      </c>
      <c r="DS342" s="53" t="inlineStr">
        <is>
          <t>1 years, 9 months, 11 days</t>
        </is>
      </c>
      <c r="DT342" s="53" t="inlineStr">
        <is>
          <t>3 years, 9 months, 11 days</t>
        </is>
      </c>
      <c r="DU342" s="53" t="n"/>
      <c r="DV342" s="53" t="inlineStr">
        <is>
          <t>Suptech</t>
        </is>
      </c>
      <c r="DW342" s="53" t="inlineStr">
        <is>
          <t>iFile</t>
        </is>
      </c>
      <c r="DX342" s="53" t="inlineStr">
        <is>
          <t>Quality Assurance</t>
        </is>
      </c>
      <c r="DY342" s="53" t="inlineStr">
        <is>
          <t>Quality Assurance</t>
        </is>
      </c>
      <c r="DZ342" s="53" t="inlineStr">
        <is>
          <t>No</t>
        </is>
      </c>
      <c r="EA342" s="53" t="inlineStr">
        <is>
          <t>Product/Project</t>
        </is>
      </c>
      <c r="EB342" s="53" t="inlineStr">
        <is>
          <t>Software Testing</t>
        </is>
      </c>
      <c r="EC342" s="53" t="inlineStr">
        <is>
          <t>Technical · BA, PM and QA</t>
        </is>
      </c>
      <c r="ED342" s="53" t="inlineStr">
        <is>
          <t>Remote- Outside Mumbai</t>
        </is>
      </c>
      <c r="EE342" s="53"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EF342" s="53"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EG342" s="53" t="inlineStr">
        <is>
          <t>SBC Project Completeion till dec</t>
        </is>
      </c>
      <c r="EH342" s="53" t="n">
        <v>4</v>
      </c>
      <c r="EI342" s="54" t="n">
        <v>46362</v>
      </c>
      <c r="EJ342" s="53" t="inlineStr">
        <is>
          <t>QA Engineer</t>
        </is>
      </c>
      <c r="EK342" s="53" t="inlineStr">
        <is>
          <t>No</t>
        </is>
      </c>
      <c r="EL342" s="53" t="n">
        <v>4</v>
      </c>
      <c r="EM342" s="53" t="inlineStr">
        <is>
          <t>Medium</t>
        </is>
      </c>
      <c r="EN342" s="53" t="inlineStr">
        <is>
          <t>Trusted Professional</t>
        </is>
      </c>
      <c r="EO342" s="53" t="inlineStr">
        <is>
          <t>No</t>
        </is>
      </c>
      <c r="EP342" s="53" t="inlineStr">
        <is>
          <t>No</t>
        </is>
      </c>
      <c r="EQ342" s="53" t="inlineStr">
        <is>
          <t>No</t>
        </is>
      </c>
      <c r="ER342" s="53" t="inlineStr">
        <is>
          <t>yet to identify</t>
        </is>
      </c>
      <c r="ES342" s="53" t="inlineStr">
        <is>
          <t>Autoation traianing is required</t>
        </is>
      </c>
      <c r="ET342" s="53" t="n"/>
      <c r="EU342" s="53" t="n"/>
      <c r="EV342" s="53" t="n"/>
      <c r="EW342" s="52" t="n"/>
      <c r="EX342" s="53" t="n"/>
      <c r="EY342" s="53" t="n"/>
      <c r="EZ342" s="53" t="n"/>
      <c r="FA342" s="53" t="n"/>
      <c r="FB342" s="53" t="n"/>
      <c r="FC342" s="53" t="n"/>
      <c r="FD342" s="53" t="n"/>
      <c r="FE342" s="57"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FF342" s="56" t="inlineStr">
        <is>
          <t>SBC Project Completeion till dec</t>
        </is>
      </c>
      <c r="FG342" s="56"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FH342" s="56" t="inlineStr">
        <is>
          <t>4</t>
        </is>
      </c>
      <c r="FI342" s="56" t="n"/>
      <c r="FJ342" s="56" t="inlineStr">
        <is>
          <t>Received · manager annual, quarterly, self</t>
        </is>
      </c>
      <c r="FK342" s="56" t="inlineStr">
        <is>
          <t>Talent Mapping · iFile collated</t>
        </is>
      </c>
      <c r="FL342" s="56" t="n">
        <v>20</v>
      </c>
      <c r="FM342" s="32" t="inlineStr">
        <is>
          <t>Full survey answers not in the files received · How We Grow export needed · HR</t>
        </is>
      </c>
      <c r="FN342" s="56" t="inlineStr">
        <is>
          <t>—</t>
        </is>
      </c>
      <c r="FO342" s="56" t="inlineStr">
        <is>
          <t>—</t>
        </is>
      </c>
      <c r="FP342" s="56" t="inlineStr">
        <is>
          <t>—</t>
        </is>
      </c>
      <c r="FQ342" s="56" t="inlineStr">
        <is>
          <t>—</t>
        </is>
      </c>
      <c r="FR342" s="56"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and validation on assigned SBC portal modules → matches the start
Leadership: Evidence reads like A1: No guiding or leading of others described → matches the start
Business Impact: No survey or manager-mapping signal on criticality: kept at the start point.</t>
        </is>
      </c>
      <c r="FS342"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342" s="56" t="inlineStr">
        <is>
          <t>Self-identified: AI / automation · Leadership &amp; people management · Project / programme management · Testing &amp; quality · Domain, regulatory &amp; XBRL · Broader exposure &amp; ownership
For the next role: AI / automation · Leadership &amp; people management · Project / programme management · Testing &amp; quality · Domain, regulatory &amp; XBRL · Broader exposure &amp; ownership</t>
        </is>
      </c>
      <c r="FU342" s="32" t="inlineStr">
        <is>
          <t>Full survey answers not in the files received · How We Grow export needed · HR</t>
        </is>
      </c>
    </row>
    <row r="343" ht="90" customHeight="1">
      <c r="A343" s="51" t="inlineStr">
        <is>
          <t>◂ Back</t>
        </is>
      </c>
      <c r="B343" s="29" t="inlineStr">
        <is>
          <t>Mapped</t>
        </is>
      </c>
      <c r="C343" s="28" t="inlineStr">
        <is>
          <t>iFile</t>
        </is>
      </c>
      <c r="D343" s="29" t="inlineStr">
        <is>
          <t>INTN0288</t>
        </is>
      </c>
      <c r="E343" s="29" t="inlineStr">
        <is>
          <t>Yugal Kishore Singh</t>
        </is>
      </c>
      <c r="F343" s="29" t="inlineStr">
        <is>
          <t>Quality Assurance</t>
        </is>
      </c>
      <c r="G343" s="29" t="inlineStr">
        <is>
          <t>Intern</t>
        </is>
      </c>
      <c r="H343" s="29" t="inlineStr">
        <is>
          <t>Intern – Functional &amp; Domain Testing</t>
        </is>
      </c>
      <c r="I343" s="29" t="inlineStr">
        <is>
          <t>L1 – Intern</t>
        </is>
      </c>
      <c r="J343" s="29" t="inlineStr">
        <is>
          <t>A1</t>
        </is>
      </c>
      <c r="K343" s="29" t="inlineStr">
        <is>
          <t>• Same level</t>
        </is>
      </c>
      <c r="L343" s="29" t="inlineStr">
        <is>
          <t>Quality Assurance</t>
        </is>
      </c>
      <c r="M343" s="29" t="inlineStr">
        <is>
          <t>Functional &amp; Domain Testing</t>
        </is>
      </c>
      <c r="N343" s="29" t="n"/>
      <c r="O343" s="29" t="n">
        <v>20</v>
      </c>
      <c r="P343" s="28" t="inlineStr">
        <is>
          <t>Entry / P1 · intern</t>
        </is>
      </c>
      <c r="Q343" s="29" t="inlineStr">
        <is>
          <t>Entry</t>
        </is>
      </c>
      <c r="R343" s="29" t="inlineStr">
        <is>
          <t>1 Follow</t>
        </is>
      </c>
      <c r="S343" s="29" t="inlineStr">
        <is>
          <t>0 yrs · fresher / intern</t>
        </is>
      </c>
      <c r="T343" s="29" t="inlineStr">
        <is>
          <t>—</t>
        </is>
      </c>
      <c r="U343" s="29" t="inlineStr">
        <is>
          <t>Associate QA Engineer</t>
        </is>
      </c>
      <c r="V343" s="29" t="inlineStr">
        <is>
          <t>—</t>
        </is>
      </c>
      <c r="W343" s="29" t="inlineStr">
        <is>
          <t>ISTQB Foundation → Advanced → Expert; SFIA testing</t>
        </is>
      </c>
      <c r="X343" s="29" t="inlineStr">
        <is>
          <t>Core 1 · Future 1 · Functional 1 · Leadership not scored</t>
        </is>
      </c>
      <c r="Y343" s="52" t="n">
        <v>434</v>
      </c>
      <c r="Z343" s="53" t="inlineStr">
        <is>
          <t>INTN0288</t>
        </is>
      </c>
      <c r="AA343" s="53" t="inlineStr">
        <is>
          <t>Intern</t>
        </is>
      </c>
      <c r="AB343" s="53" t="inlineStr">
        <is>
          <t>Active</t>
        </is>
      </c>
      <c r="AC343" s="53" t="inlineStr">
        <is>
          <t>Yugal Kishore Singh</t>
        </is>
      </c>
      <c r="AD343" s="54" t="n">
        <v>46027</v>
      </c>
      <c r="AE343" s="53" t="inlineStr">
        <is>
          <t>Intern</t>
        </is>
      </c>
      <c r="AF343" s="53" t="inlineStr">
        <is>
          <t>B.Sc</t>
        </is>
      </c>
      <c r="AG343" s="53" t="inlineStr">
        <is>
          <t>Susan Peter</t>
        </is>
      </c>
      <c r="AH343" s="53" t="inlineStr">
        <is>
          <t>N-5</t>
        </is>
      </c>
      <c r="AI343" s="53" t="inlineStr">
        <is>
          <t>Individual Contributor</t>
        </is>
      </c>
      <c r="AJ343" s="53" t="inlineStr">
        <is>
          <t>3 years, 7 months, 0 days</t>
        </is>
      </c>
      <c r="AK343" s="53" t="inlineStr">
        <is>
          <t>0 years, 7 months, 20 days</t>
        </is>
      </c>
      <c r="AL343" s="53" t="inlineStr">
        <is>
          <t>Suptech</t>
        </is>
      </c>
      <c r="AM343" s="53" t="inlineStr">
        <is>
          <t>iFile</t>
        </is>
      </c>
      <c r="AN343" s="53" t="inlineStr">
        <is>
          <t>Quality Assurance</t>
        </is>
      </c>
      <c r="AO343" s="53" t="inlineStr">
        <is>
          <t>Quality Assurance</t>
        </is>
      </c>
      <c r="AP343" s="53" t="inlineStr">
        <is>
          <t>No</t>
        </is>
      </c>
      <c r="AQ343" s="53" t="inlineStr">
        <is>
          <t>Product/Project</t>
        </is>
      </c>
      <c r="AR343" s="53" t="inlineStr">
        <is>
          <t>Software Testing</t>
        </is>
      </c>
      <c r="AS343" s="53" t="inlineStr">
        <is>
          <t>Technical · BA, PM and QA</t>
        </is>
      </c>
      <c r="AT343" s="53" t="n">
        <v>20</v>
      </c>
      <c r="AU343" s="53" t="inlineStr">
        <is>
          <t>Covered</t>
        </is>
      </c>
      <c r="AV343" s="53" t="n"/>
      <c r="AW343" s="53" t="n"/>
      <c r="AX343" s="53" t="n"/>
      <c r="AY343" s="53" t="n"/>
      <c r="AZ343" s="53" t="n"/>
      <c r="BA343" s="53" t="n"/>
      <c r="BB343" s="53" t="n"/>
      <c r="BC343" s="53" t="n"/>
      <c r="BD343" s="53" t="n"/>
      <c r="BE343" s="53" t="n"/>
      <c r="BF343" s="53" t="n"/>
      <c r="BG343" s="53" t="n"/>
      <c r="BH343" s="53" t="n"/>
      <c r="BI343" s="53" t="n"/>
      <c r="BJ343" s="53" t="n"/>
      <c r="BK343" s="53" t="n"/>
      <c r="BL343" s="53" t="n"/>
      <c r="BM343" s="53" t="n"/>
      <c r="BN343" s="53" t="n"/>
      <c r="BO343" s="53" t="n"/>
      <c r="BP343" s="53" t="n"/>
      <c r="BQ343" s="53" t="n"/>
      <c r="BR343" s="53" t="n"/>
      <c r="BS343" s="53" t="n"/>
      <c r="BT343" s="53" t="n"/>
      <c r="BU343" s="53" t="n"/>
      <c r="BV343" s="53" t="n"/>
      <c r="BW343" s="53" t="n"/>
      <c r="BX343" s="53" t="n"/>
      <c r="BY343" s="53" t="n"/>
      <c r="BZ343" s="53" t="n"/>
      <c r="CA343" s="53" t="n"/>
      <c r="CB343" s="53" t="n"/>
      <c r="CC343" s="53" t="n"/>
      <c r="CD343" s="53" t="n"/>
      <c r="CE343" s="53" t="n"/>
      <c r="CF343" s="53" t="n"/>
      <c r="CG343" s="53" t="n"/>
      <c r="CH343" s="53" t="n"/>
      <c r="CI343" s="53" t="n"/>
      <c r="CJ343" s="53" t="n"/>
      <c r="CK343" s="53" t="n"/>
      <c r="CL343" s="53" t="n"/>
      <c r="CM343" s="53" t="n"/>
      <c r="CN343" s="53" t="n"/>
      <c r="CO343" s="53" t="n"/>
      <c r="CP343" s="53" t="n"/>
      <c r="CQ343" s="53" t="n"/>
      <c r="CR343" s="53" t="n"/>
      <c r="CS343" s="53" t="n"/>
      <c r="CT343" s="53" t="n"/>
      <c r="CU343" s="53" t="n"/>
      <c r="CV343" s="53" t="n"/>
      <c r="CW343" s="53" t="n"/>
      <c r="CX343" s="53" t="n"/>
      <c r="CY343" s="53" t="n"/>
      <c r="CZ343" s="53" t="n"/>
      <c r="DA343" s="53" t="n"/>
      <c r="DB343" s="53" t="n"/>
      <c r="DC343" s="53" t="n"/>
      <c r="DD343" s="53" t="inlineStr">
        <is>
          <t>INTN0288</t>
        </is>
      </c>
      <c r="DE343" s="53" t="inlineStr">
        <is>
          <t>Intern</t>
        </is>
      </c>
      <c r="DF343" s="53" t="inlineStr">
        <is>
          <t>Active</t>
        </is>
      </c>
      <c r="DG343" s="53" t="inlineStr">
        <is>
          <t>Yugal Kishore Singh</t>
        </is>
      </c>
      <c r="DH343" s="54" t="n">
        <v>46027</v>
      </c>
      <c r="DI343" s="53" t="inlineStr">
        <is>
          <t>Intern</t>
        </is>
      </c>
      <c r="DJ343" s="53" t="inlineStr">
        <is>
          <t>Quality Assurance</t>
        </is>
      </c>
      <c r="DK343" s="53" t="inlineStr">
        <is>
          <t>Quality Engineering</t>
        </is>
      </c>
      <c r="DL343" s="53" t="inlineStr">
        <is>
          <t>Intern</t>
        </is>
      </c>
      <c r="DM343" s="53" t="inlineStr">
        <is>
          <t>L1 – Intern</t>
        </is>
      </c>
      <c r="DN343" s="53" t="inlineStr">
        <is>
          <t>B.Sc</t>
        </is>
      </c>
      <c r="DO343" s="53" t="inlineStr">
        <is>
          <t>Susan Peter</t>
        </is>
      </c>
      <c r="DP343" s="53" t="inlineStr">
        <is>
          <t>N-4</t>
        </is>
      </c>
      <c r="DQ343" s="53" t="inlineStr">
        <is>
          <t>Individual Contributor</t>
        </is>
      </c>
      <c r="DR343" s="53" t="inlineStr">
        <is>
          <t>3 years, 7 months, 0 days</t>
        </is>
      </c>
      <c r="DS343" s="53" t="inlineStr">
        <is>
          <t>0 years, 5 months, 15 days</t>
        </is>
      </c>
      <c r="DT343" s="53" t="inlineStr">
        <is>
          <t>4 years, 0 months, 15 days</t>
        </is>
      </c>
      <c r="DU343" s="53" t="n"/>
      <c r="DV343" s="53" t="inlineStr">
        <is>
          <t>Suptech</t>
        </is>
      </c>
      <c r="DW343" s="53" t="inlineStr">
        <is>
          <t>iFile</t>
        </is>
      </c>
      <c r="DX343" s="53" t="inlineStr">
        <is>
          <t>Quality Assurance</t>
        </is>
      </c>
      <c r="DY343" s="53" t="inlineStr">
        <is>
          <t>Quality Assurance</t>
        </is>
      </c>
      <c r="DZ343" s="53" t="inlineStr">
        <is>
          <t>No</t>
        </is>
      </c>
      <c r="EA343" s="53" t="inlineStr">
        <is>
          <t>Product/Project</t>
        </is>
      </c>
      <c r="EB343" s="53" t="inlineStr">
        <is>
          <t>Software Testing</t>
        </is>
      </c>
      <c r="EC343" s="53" t="inlineStr">
        <is>
          <t>Technical · BA, PM and QA</t>
        </is>
      </c>
      <c r="ED343" s="53" t="inlineStr">
        <is>
          <t>Work From Office - Turbhe</t>
        </is>
      </c>
      <c r="EE343" s="53"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EF343" s="53"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EG343" s="53" t="inlineStr">
        <is>
          <t>CTA testing on time for Journal  approach.</t>
        </is>
      </c>
      <c r="EH343" s="53" t="n">
        <v>3</v>
      </c>
      <c r="EI343" s="54" t="n">
        <v>46149</v>
      </c>
      <c r="EJ343" s="53" t="inlineStr">
        <is>
          <t>Intern</t>
        </is>
      </c>
      <c r="EK343" s="53" t="inlineStr">
        <is>
          <t>No</t>
        </is>
      </c>
      <c r="EL343" s="53" t="n">
        <v>3</v>
      </c>
      <c r="EM343" s="53" t="inlineStr">
        <is>
          <t>Medium</t>
        </is>
      </c>
      <c r="EN343" s="53" t="inlineStr">
        <is>
          <t>High Impact / Growth Talent</t>
        </is>
      </c>
      <c r="EO343" s="53" t="inlineStr">
        <is>
          <t>No</t>
        </is>
      </c>
      <c r="EP343" s="53" t="inlineStr">
        <is>
          <t>No</t>
        </is>
      </c>
      <c r="EQ343" s="53" t="inlineStr">
        <is>
          <t>No</t>
        </is>
      </c>
      <c r="ER343" s="53" t="n"/>
      <c r="ES343" s="53" t="inlineStr">
        <is>
          <t>Automation training</t>
        </is>
      </c>
      <c r="ET343" s="53" t="n"/>
      <c r="EU343" s="53" t="n"/>
      <c r="EV343" s="53" t="n"/>
      <c r="EW343" s="52" t="n"/>
      <c r="EX343" s="53" t="n"/>
      <c r="EY343" s="53" t="n"/>
      <c r="EZ343" s="53" t="n"/>
      <c r="FA343" s="53" t="n"/>
      <c r="FB343" s="53" t="n"/>
      <c r="FC343" s="53" t="n"/>
      <c r="FD343" s="53" t="n"/>
      <c r="FE343" s="57"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FF343" s="56" t="inlineStr">
        <is>
          <t>CTA testing on time for Journal  approach.</t>
        </is>
      </c>
      <c r="FG343" s="56"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FH343" s="56" t="inlineStr">
        <is>
          <t>3</t>
        </is>
      </c>
      <c r="FI343" s="56" t="n"/>
      <c r="FJ343" s="56" t="inlineStr">
        <is>
          <t>Received · manager annual, quarterly, self</t>
        </is>
      </c>
      <c r="FK343" s="56" t="inlineStr">
        <is>
          <t>Talent Mapping · iFile collated</t>
        </is>
      </c>
      <c r="FL343" s="56" t="n">
        <v>20</v>
      </c>
      <c r="FM343" s="32" t="inlineStr">
        <is>
          <t>Full survey answers not in the files received · How We Grow export needed · HR</t>
        </is>
      </c>
      <c r="FN343" s="56" t="inlineStr">
        <is>
          <t>—</t>
        </is>
      </c>
      <c r="FO343" s="56" t="inlineStr">
        <is>
          <t>—</t>
        </is>
      </c>
      <c r="FP343" s="56" t="inlineStr">
        <is>
          <t>—</t>
        </is>
      </c>
      <c r="FQ343" s="56" t="inlineStr">
        <is>
          <t>—</t>
        </is>
      </c>
      <c r="FR343" s="56" t="n"/>
      <c r="FS343"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343" s="56" t="inlineStr">
        <is>
          <t>Self-identified: AI / automation · Product &amp; tool knowledge
For the next role: AI / automation · Product &amp; tool knowledge</t>
        </is>
      </c>
      <c r="FU343" s="32" t="inlineStr">
        <is>
          <t>Full survey answers not in the files received · How We Grow export needed · HR</t>
        </is>
      </c>
    </row>
    <row r="344" ht="90" customHeight="1">
      <c r="A344" s="51" t="inlineStr">
        <is>
          <t>◂ Back</t>
        </is>
      </c>
      <c r="B344" s="29" t="inlineStr">
        <is>
          <t>Mapped</t>
        </is>
      </c>
      <c r="C344" s="28" t="inlineStr">
        <is>
          <t>iFile</t>
        </is>
      </c>
      <c r="D344" s="29" t="inlineStr">
        <is>
          <t>IRIS1984</t>
        </is>
      </c>
      <c r="E344" s="29" t="inlineStr">
        <is>
          <t>Bhagyshree Khedkar</t>
        </is>
      </c>
      <c r="F344" s="29" t="inlineStr">
        <is>
          <t>Quality Assurance</t>
        </is>
      </c>
      <c r="G344" s="29" t="inlineStr">
        <is>
          <t>QA Engineer</t>
        </is>
      </c>
      <c r="H344" s="29" t="inlineStr">
        <is>
          <t>Senior QA Engineer</t>
        </is>
      </c>
      <c r="I344" s="29" t="inlineStr">
        <is>
          <t>L3 – Professional / Associate</t>
        </is>
      </c>
      <c r="J344" s="29" t="inlineStr">
        <is>
          <t>A3</t>
        </is>
      </c>
      <c r="K344" s="29" t="inlineStr">
        <is>
          <t>▲ Up</t>
        </is>
      </c>
      <c r="L344" s="29" t="inlineStr">
        <is>
          <t>Quality Assurance</t>
        </is>
      </c>
      <c r="M344" s="29" t="inlineStr">
        <is>
          <t>Functional &amp; Domain Testing</t>
        </is>
      </c>
      <c r="N344" s="29" t="n"/>
      <c r="O344" s="29" t="n">
        <v>20</v>
      </c>
      <c r="P344" s="28" t="inlineStr">
        <is>
          <t>P2</t>
        </is>
      </c>
      <c r="Q344" s="29" t="inlineStr">
        <is>
          <t>Developing</t>
        </is>
      </c>
      <c r="R344" s="29" t="inlineStr">
        <is>
          <t>3 Apply</t>
        </is>
      </c>
      <c r="S344" s="29" t="inlineStr">
        <is>
          <t>2–4 yrs</t>
        </is>
      </c>
      <c r="T344" s="29" t="inlineStr">
        <is>
          <t>3–5 · 2–5</t>
        </is>
      </c>
      <c r="U344" s="29" t="inlineStr">
        <is>
          <t>QA Engineer</t>
        </is>
      </c>
      <c r="V344" s="29" t="inlineStr">
        <is>
          <t>Workiva: SE · Broadridge India: SE · Nasdaq / AxiomSL: SE · IRIS Vs Market Benchmark — ISTQB certification pathway: Foundation</t>
        </is>
      </c>
      <c r="W344" s="29" t="inlineStr">
        <is>
          <t>ISTQB Foundation → Advanced → Expert; SFIA testing</t>
        </is>
      </c>
      <c r="X344" s="29" t="inlineStr">
        <is>
          <t>Core 2 · Future 2 · Functional 3 · Leadership not scored</t>
        </is>
      </c>
      <c r="Y344" s="52" t="n">
        <v>207</v>
      </c>
      <c r="Z344" s="53" t="inlineStr">
        <is>
          <t>IRIS1984</t>
        </is>
      </c>
      <c r="AA344" s="53" t="inlineStr">
        <is>
          <t>Employee</t>
        </is>
      </c>
      <c r="AB344" s="53" t="inlineStr">
        <is>
          <t>Active</t>
        </is>
      </c>
      <c r="AC344" s="53" t="inlineStr">
        <is>
          <t>Bhagyshree Khedkar</t>
        </is>
      </c>
      <c r="AD344" s="54" t="n">
        <v>44585</v>
      </c>
      <c r="AE344" s="53" t="inlineStr">
        <is>
          <t>QA Engineer</t>
        </is>
      </c>
      <c r="AF344" s="53" t="inlineStr">
        <is>
          <t>B.E</t>
        </is>
      </c>
      <c r="AG344" s="53" t="inlineStr">
        <is>
          <t>Davinder Pal Singh</t>
        </is>
      </c>
      <c r="AH344" s="53" t="inlineStr">
        <is>
          <t>N-4</t>
        </is>
      </c>
      <c r="AI344" s="53" t="inlineStr">
        <is>
          <t>Individual Contributor</t>
        </is>
      </c>
      <c r="AJ344" s="53" t="inlineStr">
        <is>
          <t>2 years, 5 months, 0 days</t>
        </is>
      </c>
      <c r="AK344" s="53" t="inlineStr">
        <is>
          <t>4 years, 7 months, 1 days</t>
        </is>
      </c>
      <c r="AL344" s="53" t="inlineStr">
        <is>
          <t>Suptech</t>
        </is>
      </c>
      <c r="AM344" s="53" t="inlineStr">
        <is>
          <t>iFile</t>
        </is>
      </c>
      <c r="AN344" s="53" t="inlineStr">
        <is>
          <t>Quality Assurance</t>
        </is>
      </c>
      <c r="AO344" s="53" t="inlineStr">
        <is>
          <t>Quality Assurance</t>
        </is>
      </c>
      <c r="AP344" s="53" t="inlineStr">
        <is>
          <t>No</t>
        </is>
      </c>
      <c r="AQ344" s="53" t="inlineStr">
        <is>
          <t>Product/Project</t>
        </is>
      </c>
      <c r="AR344" s="53" t="inlineStr">
        <is>
          <t>Software Testing</t>
        </is>
      </c>
      <c r="AS344" s="53" t="inlineStr">
        <is>
          <t>Technical · BA, PM and QA</t>
        </is>
      </c>
      <c r="AT344" s="53" t="n">
        <v>20</v>
      </c>
      <c r="AU344" s="53" t="inlineStr">
        <is>
          <t>Covered</t>
        </is>
      </c>
      <c r="AV344" s="53" t="n"/>
      <c r="AW344" s="53" t="n"/>
      <c r="AX344" s="53" t="n"/>
      <c r="AY344" s="53" t="n"/>
      <c r="AZ344" s="53" t="n"/>
      <c r="BA344" s="53" t="n"/>
      <c r="BB344" s="53" t="n"/>
      <c r="BC344" s="53" t="n"/>
      <c r="BD344" s="53" t="n"/>
      <c r="BE344" s="53" t="n"/>
      <c r="BF344" s="53" t="n"/>
      <c r="BG344" s="53" t="n"/>
      <c r="BH344" s="53" t="n"/>
      <c r="BI344" s="53" t="n"/>
      <c r="BJ344" s="53" t="n"/>
      <c r="BK344" s="53" t="n"/>
      <c r="BL344" s="53" t="n"/>
      <c r="BM344" s="53" t="n"/>
      <c r="BN344" s="53" t="n"/>
      <c r="BO344" s="53" t="n"/>
      <c r="BP344" s="53" t="n"/>
      <c r="BQ344" s="53" t="n"/>
      <c r="BR344" s="53" t="n"/>
      <c r="BS344" s="53" t="n"/>
      <c r="BT344" s="53" t="n"/>
      <c r="BU344" s="53" t="n"/>
      <c r="BV344" s="53" t="n"/>
      <c r="BW344" s="53" t="n"/>
      <c r="BX344" s="53" t="n"/>
      <c r="BY344" s="53" t="n"/>
      <c r="BZ344" s="53" t="n"/>
      <c r="CA344" s="53" t="n"/>
      <c r="CB344" s="53" t="n"/>
      <c r="CC344" s="53" t="n"/>
      <c r="CD344" s="53" t="n"/>
      <c r="CE344" s="53" t="n"/>
      <c r="CF344" s="53" t="n"/>
      <c r="CG344" s="53" t="n"/>
      <c r="CH344" s="53" t="n"/>
      <c r="CI344" s="53" t="n"/>
      <c r="CJ344" s="53" t="n"/>
      <c r="CK344" s="53" t="n"/>
      <c r="CL344" s="53" t="n"/>
      <c r="CM344" s="53" t="n"/>
      <c r="CN344" s="53" t="n"/>
      <c r="CO344" s="53" t="n"/>
      <c r="CP344" s="53" t="n"/>
      <c r="CQ344" s="53" t="n"/>
      <c r="CR344" s="53" t="n"/>
      <c r="CS344" s="53" t="n"/>
      <c r="CT344" s="53" t="n"/>
      <c r="CU344" s="53" t="n"/>
      <c r="CV344" s="53" t="n"/>
      <c r="CW344" s="53" t="n"/>
      <c r="CX344" s="53" t="n"/>
      <c r="CY344" s="53" t="n"/>
      <c r="CZ344" s="53" t="n"/>
      <c r="DA344" s="53" t="n"/>
      <c r="DB344" s="53" t="n"/>
      <c r="DC344" s="53" t="n"/>
      <c r="DD344" s="53" t="inlineStr">
        <is>
          <t>IRIS1984</t>
        </is>
      </c>
      <c r="DE344" s="53" t="inlineStr">
        <is>
          <t>Employee</t>
        </is>
      </c>
      <c r="DF344" s="53" t="inlineStr">
        <is>
          <t>Active</t>
        </is>
      </c>
      <c r="DG344" s="53" t="inlineStr">
        <is>
          <t>Bhagyshree Khedkar</t>
        </is>
      </c>
      <c r="DH344" s="54" t="n">
        <v>44585</v>
      </c>
      <c r="DI344" s="53" t="inlineStr">
        <is>
          <t>QA Engineer</t>
        </is>
      </c>
      <c r="DJ344" s="53" t="inlineStr">
        <is>
          <t>Quality Assurance</t>
        </is>
      </c>
      <c r="DK344" s="53" t="inlineStr">
        <is>
          <t>Quality Engineering</t>
        </is>
      </c>
      <c r="DL344" s="53" t="inlineStr">
        <is>
          <t>QA Engineer</t>
        </is>
      </c>
      <c r="DM344" s="53" t="inlineStr">
        <is>
          <t>L3 – Professional / Associate</t>
        </is>
      </c>
      <c r="DN344" s="53" t="inlineStr">
        <is>
          <t>B.E</t>
        </is>
      </c>
      <c r="DO344" s="53" t="inlineStr">
        <is>
          <t>Davinder Pal Singh</t>
        </is>
      </c>
      <c r="DP344" s="53" t="inlineStr">
        <is>
          <t>N-3</t>
        </is>
      </c>
      <c r="DQ344" s="53" t="inlineStr">
        <is>
          <t>Individual Contributor</t>
        </is>
      </c>
      <c r="DR344" s="53" t="inlineStr">
        <is>
          <t>2 years, 5 months, 0 days</t>
        </is>
      </c>
      <c r="DS344" s="53" t="inlineStr">
        <is>
          <t>4 years, 4 months, 27 days</t>
        </is>
      </c>
      <c r="DT344" s="53" t="inlineStr">
        <is>
          <t>6 years, 9 months, 27 days</t>
        </is>
      </c>
      <c r="DU344" s="53" t="n"/>
      <c r="DV344" s="53" t="inlineStr">
        <is>
          <t>Suptech</t>
        </is>
      </c>
      <c r="DW344" s="53" t="inlineStr">
        <is>
          <t>iFile</t>
        </is>
      </c>
      <c r="DX344" s="53" t="inlineStr">
        <is>
          <t>Quality Assurance</t>
        </is>
      </c>
      <c r="DY344" s="53" t="inlineStr">
        <is>
          <t>Quality Assurance</t>
        </is>
      </c>
      <c r="DZ344" s="53" t="inlineStr">
        <is>
          <t>No</t>
        </is>
      </c>
      <c r="EA344" s="53" t="inlineStr">
        <is>
          <t>Product/Project</t>
        </is>
      </c>
      <c r="EB344" s="53" t="inlineStr">
        <is>
          <t>Software Testing</t>
        </is>
      </c>
      <c r="EC344" s="53" t="inlineStr">
        <is>
          <t>Technical · BA, PM and QA</t>
        </is>
      </c>
      <c r="ED344" s="53" t="inlineStr">
        <is>
          <t>Remote- Outside Mumbai</t>
        </is>
      </c>
      <c r="EE344" s="53"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EF344" s="53"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EG344" s="53" t="inlineStr">
        <is>
          <t>provide the Support to CMA kuwait and now As IFRS 18 coming in both project shee need to manage the CMA kuwait and CMA oman.</t>
        </is>
      </c>
      <c r="EH344" s="53" t="n">
        <v>4</v>
      </c>
      <c r="EI344" s="53" t="inlineStr">
        <is>
          <t>15-06-2026</t>
        </is>
      </c>
      <c r="EJ344" s="53" t="inlineStr">
        <is>
          <t>QA Engineer</t>
        </is>
      </c>
      <c r="EK344" s="53" t="inlineStr">
        <is>
          <t>Yes</t>
        </is>
      </c>
      <c r="EL344" s="53" t="n">
        <v>5</v>
      </c>
      <c r="EM344" s="53" t="inlineStr">
        <is>
          <t>Medium</t>
        </is>
      </c>
      <c r="EN344" s="53" t="inlineStr">
        <is>
          <t>High Impact / Growth Talent</t>
        </is>
      </c>
      <c r="EO344" s="53" t="inlineStr">
        <is>
          <t>No</t>
        </is>
      </c>
      <c r="EP344" s="53" t="inlineStr">
        <is>
          <t>No</t>
        </is>
      </c>
      <c r="EQ344" s="53" t="inlineStr">
        <is>
          <t>No</t>
        </is>
      </c>
      <c r="ER344" s="53" t="inlineStr">
        <is>
          <t>yet to identify</t>
        </is>
      </c>
      <c r="ES344" s="53" t="inlineStr">
        <is>
          <t>Training of Automation,API, load testing</t>
        </is>
      </c>
      <c r="ET344" s="53" t="n"/>
      <c r="EU344" s="53" t="inlineStr">
        <is>
          <t>Yes option is not displayed on AT she can move to senior tester</t>
        </is>
      </c>
      <c r="EV344" s="53" t="n"/>
      <c r="EW344" s="52" t="n"/>
      <c r="EX344" s="53" t="n"/>
      <c r="EY344" s="53" t="n"/>
      <c r="EZ344" s="53" t="n"/>
      <c r="FA344" s="53" t="n"/>
      <c r="FB344" s="53" t="n"/>
      <c r="FC344" s="53" t="n"/>
      <c r="FD344" s="53" t="n"/>
      <c r="FE344" s="57"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FF344" s="56" t="inlineStr">
        <is>
          <t>provide the Support to CMA kuwait and now As IFRS 18 coming in both project shee need to manage the CMA kuwait and CMA oman.</t>
        </is>
      </c>
      <c r="FG344" s="56"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FH344" s="56" t="inlineStr">
        <is>
          <t>4</t>
        </is>
      </c>
      <c r="FI344" s="56" t="n"/>
      <c r="FJ344" s="56" t="inlineStr">
        <is>
          <t>Received · manager annual, quarterly, self</t>
        </is>
      </c>
      <c r="FK344" s="56" t="inlineStr">
        <is>
          <t>Talent Mapping · iFile collated</t>
        </is>
      </c>
      <c r="FL344" s="56" t="n">
        <v>20</v>
      </c>
      <c r="FM344" s="32" t="inlineStr">
        <is>
          <t>Full survey answers not in the files received · How We Grow export needed · HR</t>
        </is>
      </c>
      <c r="FN344" s="56" t="inlineStr">
        <is>
          <t>—</t>
        </is>
      </c>
      <c r="FO344" s="56" t="inlineStr">
        <is>
          <t>—</t>
        </is>
      </c>
      <c r="FP344" s="56" t="inlineStr">
        <is>
          <t>—</t>
        </is>
      </c>
      <c r="FQ344" s="56" t="inlineStr">
        <is>
          <t>—</t>
        </is>
      </c>
      <c r="FR344" s="56"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go-live support → moved up 0.5
Leadership: Evidence reads like A1: No guiding or leading of others described → matches the start
Business Impact: No survey or manager-mapping signal on criticality: kept at the start point.</t>
        </is>
      </c>
      <c r="FS34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4" s="56" t="inlineStr">
        <is>
          <t>Self-identified: AI / automation · Leadership &amp; people management · Testing &amp; quality · Strategy &amp; business acumen · Broader exposure &amp; ownership
For the next role: AI / automation · Leadership &amp; people management · Testing &amp; quality · Strategy &amp; business acumen · Broader exposure &amp; ownership</t>
        </is>
      </c>
      <c r="FU344" s="32" t="inlineStr">
        <is>
          <t>Full survey answers not in the files received · How We Grow export needed · HR</t>
        </is>
      </c>
    </row>
    <row r="345" ht="90" customHeight="1">
      <c r="A345" s="51" t="inlineStr">
        <is>
          <t>◂ Back</t>
        </is>
      </c>
      <c r="B345" s="29" t="inlineStr">
        <is>
          <t>Mapped</t>
        </is>
      </c>
      <c r="C345" s="28" t="inlineStr">
        <is>
          <t>iFile</t>
        </is>
      </c>
      <c r="D345" s="29" t="inlineStr">
        <is>
          <t>IRIS1975</t>
        </is>
      </c>
      <c r="E345" s="29" t="inlineStr">
        <is>
          <t>Rahul Devarkonda</t>
        </is>
      </c>
      <c r="F345" s="29" t="inlineStr">
        <is>
          <t>Quality Assurance</t>
        </is>
      </c>
      <c r="G345" s="29" t="inlineStr">
        <is>
          <t>QA Engineer</t>
        </is>
      </c>
      <c r="H345" s="29" t="inlineStr">
        <is>
          <t>Senior QA Engineer</t>
        </is>
      </c>
      <c r="I345" s="29" t="inlineStr">
        <is>
          <t>L3 – Professional / Associate</t>
        </is>
      </c>
      <c r="J345" s="29" t="inlineStr">
        <is>
          <t>A3</t>
        </is>
      </c>
      <c r="K345" s="29" t="inlineStr">
        <is>
          <t>▲ Up</t>
        </is>
      </c>
      <c r="L345" s="29" t="inlineStr">
        <is>
          <t>Quality Assurance</t>
        </is>
      </c>
      <c r="M345" s="29" t="inlineStr">
        <is>
          <t>Functional &amp; Domain Testing</t>
        </is>
      </c>
      <c r="N345" s="29" t="n"/>
      <c r="O345" s="29" t="n">
        <v>20</v>
      </c>
      <c r="P345" s="28" t="inlineStr">
        <is>
          <t>P2</t>
        </is>
      </c>
      <c r="Q345" s="29" t="inlineStr">
        <is>
          <t>Developing</t>
        </is>
      </c>
      <c r="R345" s="29" t="inlineStr">
        <is>
          <t>3 Apply</t>
        </is>
      </c>
      <c r="S345" s="29" t="inlineStr">
        <is>
          <t>2–4 yrs</t>
        </is>
      </c>
      <c r="T345" s="29" t="inlineStr">
        <is>
          <t>3–5 · 2–5</t>
        </is>
      </c>
      <c r="U345" s="29" t="inlineStr">
        <is>
          <t>QA Engineer</t>
        </is>
      </c>
      <c r="V345" s="29" t="inlineStr">
        <is>
          <t>Workiva: SE · Broadridge India: SE · Nasdaq / AxiomSL: SE · IRIS Vs Market Benchmark — ISTQB certification pathway: Foundation</t>
        </is>
      </c>
      <c r="W345" s="29" t="inlineStr">
        <is>
          <t>ISTQB Foundation → Advanced → Expert; SFIA testing</t>
        </is>
      </c>
      <c r="X345" s="29" t="inlineStr">
        <is>
          <t>Core 2 · Future 2 · Functional 3 · Leadership not scored</t>
        </is>
      </c>
      <c r="Y345" s="52" t="n">
        <v>205</v>
      </c>
      <c r="Z345" s="53" t="inlineStr">
        <is>
          <t>IRIS1975</t>
        </is>
      </c>
      <c r="AA345" s="53" t="inlineStr">
        <is>
          <t>Employee</t>
        </is>
      </c>
      <c r="AB345" s="53" t="inlineStr">
        <is>
          <t>Active</t>
        </is>
      </c>
      <c r="AC345" s="53" t="inlineStr">
        <is>
          <t>Rahul Devarkonda</t>
        </is>
      </c>
      <c r="AD345" s="54" t="n">
        <v>44558</v>
      </c>
      <c r="AE345" s="53" t="inlineStr">
        <is>
          <t>QA Engineer</t>
        </is>
      </c>
      <c r="AF345" s="53" t="inlineStr">
        <is>
          <t>B.SC</t>
        </is>
      </c>
      <c r="AG345" s="53" t="inlineStr">
        <is>
          <t>Davinder Pal Singh</t>
        </is>
      </c>
      <c r="AH345" s="53" t="inlineStr">
        <is>
          <t>N-4</t>
        </is>
      </c>
      <c r="AI345" s="53" t="inlineStr">
        <is>
          <t>Individual Contributor</t>
        </is>
      </c>
      <c r="AJ345" s="53" t="inlineStr">
        <is>
          <t>2 years, 3 months, 0 days</t>
        </is>
      </c>
      <c r="AK345" s="53" t="inlineStr">
        <is>
          <t>4 years, 7 months, 28 days</t>
        </is>
      </c>
      <c r="AL345" s="53" t="inlineStr">
        <is>
          <t>Suptech</t>
        </is>
      </c>
      <c r="AM345" s="53" t="inlineStr">
        <is>
          <t>iFile</t>
        </is>
      </c>
      <c r="AN345" s="53" t="inlineStr">
        <is>
          <t>Quality Assurance</t>
        </is>
      </c>
      <c r="AO345" s="53" t="inlineStr">
        <is>
          <t>Quality Assurance</t>
        </is>
      </c>
      <c r="AP345" s="53" t="inlineStr">
        <is>
          <t>No</t>
        </is>
      </c>
      <c r="AQ345" s="53" t="inlineStr">
        <is>
          <t>Product/Project</t>
        </is>
      </c>
      <c r="AR345" s="53" t="inlineStr">
        <is>
          <t>Software Testing</t>
        </is>
      </c>
      <c r="AS345" s="53" t="inlineStr">
        <is>
          <t>Technical · BA, PM and QA</t>
        </is>
      </c>
      <c r="AT345" s="53" t="n">
        <v>20</v>
      </c>
      <c r="AU345" s="53" t="inlineStr">
        <is>
          <t>Covered</t>
        </is>
      </c>
      <c r="AV345" s="53" t="n"/>
      <c r="AW345" s="53" t="n"/>
      <c r="AX345" s="53" t="n"/>
      <c r="AY345" s="53" t="n"/>
      <c r="AZ345" s="53" t="n"/>
      <c r="BA345" s="53" t="n"/>
      <c r="BB345" s="53" t="n"/>
      <c r="BC345" s="53" t="n"/>
      <c r="BD345" s="53" t="n"/>
      <c r="BE345" s="53" t="n"/>
      <c r="BF345" s="53" t="n"/>
      <c r="BG345" s="53" t="n"/>
      <c r="BH345" s="53" t="n"/>
      <c r="BI345" s="53" t="n"/>
      <c r="BJ345" s="53" t="n"/>
      <c r="BK345" s="53" t="n"/>
      <c r="BL345" s="53" t="n"/>
      <c r="BM345" s="53" t="n"/>
      <c r="BN345" s="53" t="n"/>
      <c r="BO345" s="53" t="n"/>
      <c r="BP345" s="53" t="n"/>
      <c r="BQ345" s="53" t="n"/>
      <c r="BR345" s="53" t="n"/>
      <c r="BS345" s="53" t="n"/>
      <c r="BT345" s="53" t="n"/>
      <c r="BU345" s="53" t="n"/>
      <c r="BV345" s="53" t="n"/>
      <c r="BW345" s="53" t="n"/>
      <c r="BX345" s="53" t="n"/>
      <c r="BY345" s="53" t="n"/>
      <c r="BZ345" s="53" t="n"/>
      <c r="CA345" s="53" t="n"/>
      <c r="CB345" s="53" t="n"/>
      <c r="CC345" s="53" t="n"/>
      <c r="CD345" s="53" t="n"/>
      <c r="CE345" s="53" t="n"/>
      <c r="CF345" s="53" t="n"/>
      <c r="CG345" s="53" t="n"/>
      <c r="CH345" s="53" t="n"/>
      <c r="CI345" s="53" t="n"/>
      <c r="CJ345" s="53" t="n"/>
      <c r="CK345" s="53" t="n"/>
      <c r="CL345" s="53" t="n"/>
      <c r="CM345" s="53" t="n"/>
      <c r="CN345" s="53" t="n"/>
      <c r="CO345" s="53" t="n"/>
      <c r="CP345" s="53" t="n"/>
      <c r="CQ345" s="53" t="n"/>
      <c r="CR345" s="53" t="n"/>
      <c r="CS345" s="53" t="n"/>
      <c r="CT345" s="53" t="n"/>
      <c r="CU345" s="53" t="n"/>
      <c r="CV345" s="53" t="n"/>
      <c r="CW345" s="53" t="n"/>
      <c r="CX345" s="53" t="n"/>
      <c r="CY345" s="53" t="n"/>
      <c r="CZ345" s="53" t="n"/>
      <c r="DA345" s="53" t="n"/>
      <c r="DB345" s="53" t="n"/>
      <c r="DC345" s="53" t="n"/>
      <c r="DD345" s="53" t="inlineStr">
        <is>
          <t>IRIS1975</t>
        </is>
      </c>
      <c r="DE345" s="53" t="inlineStr">
        <is>
          <t>Employee</t>
        </is>
      </c>
      <c r="DF345" s="53" t="inlineStr">
        <is>
          <t>Active</t>
        </is>
      </c>
      <c r="DG345" s="53" t="inlineStr">
        <is>
          <t>Rahul Devarkonda</t>
        </is>
      </c>
      <c r="DH345" s="54" t="n">
        <v>44558</v>
      </c>
      <c r="DI345" s="53" t="inlineStr">
        <is>
          <t>QA Engineer</t>
        </is>
      </c>
      <c r="DJ345" s="53" t="inlineStr">
        <is>
          <t>Quality Assurance</t>
        </is>
      </c>
      <c r="DK345" s="53" t="inlineStr">
        <is>
          <t>Quality Engineering</t>
        </is>
      </c>
      <c r="DL345" s="53" t="inlineStr">
        <is>
          <t>QA Engineer</t>
        </is>
      </c>
      <c r="DM345" s="53" t="inlineStr">
        <is>
          <t>L3 – Professional / Associate</t>
        </is>
      </c>
      <c r="DN345" s="53" t="inlineStr">
        <is>
          <t>B.SC</t>
        </is>
      </c>
      <c r="DO345" s="53" t="inlineStr">
        <is>
          <t>Davinder Pal Singh</t>
        </is>
      </c>
      <c r="DP345" s="53" t="inlineStr">
        <is>
          <t>N-3</t>
        </is>
      </c>
      <c r="DQ345" s="53" t="inlineStr">
        <is>
          <t>Individual Contributor</t>
        </is>
      </c>
      <c r="DR345" s="53" t="inlineStr">
        <is>
          <t>2 years, 3 months, 0 days</t>
        </is>
      </c>
      <c r="DS345" s="53" t="inlineStr">
        <is>
          <t>4 years, 5 months, 23 days</t>
        </is>
      </c>
      <c r="DT345" s="53" t="inlineStr">
        <is>
          <t>6 years, 8 months, 23 days</t>
        </is>
      </c>
      <c r="DU345" s="53" t="n"/>
      <c r="DV345" s="53" t="inlineStr">
        <is>
          <t>Suptech</t>
        </is>
      </c>
      <c r="DW345" s="53" t="inlineStr">
        <is>
          <t>iFile</t>
        </is>
      </c>
      <c r="DX345" s="53" t="inlineStr">
        <is>
          <t>Quality Assurance</t>
        </is>
      </c>
      <c r="DY345" s="53" t="inlineStr">
        <is>
          <t>Quality Assurance</t>
        </is>
      </c>
      <c r="DZ345" s="53" t="inlineStr">
        <is>
          <t>No</t>
        </is>
      </c>
      <c r="EA345" s="53" t="inlineStr">
        <is>
          <t>Product/Project</t>
        </is>
      </c>
      <c r="EB345" s="53" t="inlineStr">
        <is>
          <t>Software Testing</t>
        </is>
      </c>
      <c r="EC345" s="53" t="inlineStr">
        <is>
          <t>Technical · BA, PM and QA</t>
        </is>
      </c>
      <c r="ED345" s="53" t="inlineStr">
        <is>
          <t>Client Side</t>
        </is>
      </c>
      <c r="EE345" s="53"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EF345" s="53"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EG345" s="53" t="inlineStr">
        <is>
          <t>next few monthtry to complete EBR form and come out from BKC</t>
        </is>
      </c>
      <c r="EH345" s="53" t="n">
        <v>5</v>
      </c>
      <c r="EI345" s="53" t="inlineStr">
        <is>
          <t>15-06-2026</t>
        </is>
      </c>
      <c r="EJ345" s="53" t="inlineStr">
        <is>
          <t>QA Engineer</t>
        </is>
      </c>
      <c r="EK345" s="53" t="inlineStr">
        <is>
          <t>no</t>
        </is>
      </c>
      <c r="EL345" s="53" t="n">
        <v>5</v>
      </c>
      <c r="EM345" s="53" t="inlineStr">
        <is>
          <t>High</t>
        </is>
      </c>
      <c r="EN345" s="53" t="inlineStr">
        <is>
          <t>High Impact / Growth Talent</t>
        </is>
      </c>
      <c r="EO345" s="53" t="inlineStr">
        <is>
          <t>No</t>
        </is>
      </c>
      <c r="EP345" s="53" t="inlineStr">
        <is>
          <t>No</t>
        </is>
      </c>
      <c r="EQ345" s="53" t="inlineStr">
        <is>
          <t>No</t>
        </is>
      </c>
      <c r="ER345" s="53" t="inlineStr">
        <is>
          <t>yet to identify</t>
        </is>
      </c>
      <c r="ES345" s="53" t="inlineStr">
        <is>
          <t>Automation and load testingtraining is required as Client location manual test is there but he had skill to learn other Up skill thing</t>
        </is>
      </c>
      <c r="ET345" s="53" t="n"/>
      <c r="EU345" s="53" t="n"/>
      <c r="EV345" s="53" t="n"/>
      <c r="EW345" s="52" t="n"/>
      <c r="EX345" s="53" t="n"/>
      <c r="EY345" s="53" t="n"/>
      <c r="EZ345" s="53" t="n"/>
      <c r="FA345" s="53" t="n"/>
      <c r="FB345" s="53" t="n"/>
      <c r="FC345" s="53" t="n"/>
      <c r="FD345" s="53" t="n"/>
      <c r="FE345" s="57"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FF345" s="56" t="inlineStr">
        <is>
          <t>next few monthtry to complete EBR form and come out from BKC</t>
        </is>
      </c>
      <c r="FG345" s="56"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FH345" s="56" t="inlineStr">
        <is>
          <t>5</t>
        </is>
      </c>
      <c r="FI345" s="56" t="n"/>
      <c r="FJ345" s="56" t="inlineStr">
        <is>
          <t>Received · manager annual, quarterly, self</t>
        </is>
      </c>
      <c r="FK345" s="56" t="inlineStr">
        <is>
          <t>Talent Mapping · iFile collated</t>
        </is>
      </c>
      <c r="FL345" s="56" t="n">
        <v>20</v>
      </c>
      <c r="FM345" s="32" t="inlineStr">
        <is>
          <t>Full survey answers not in the files received · How We Grow export needed · HR</t>
        </is>
      </c>
      <c r="FN345" s="56" t="inlineStr">
        <is>
          <t>—</t>
        </is>
      </c>
      <c r="FO345" s="56" t="inlineStr">
        <is>
          <t>—</t>
        </is>
      </c>
      <c r="FP345" s="56" t="inlineStr">
        <is>
          <t>—</t>
        </is>
      </c>
      <c r="FQ345" s="56" t="inlineStr">
        <is>
          <t>—</t>
        </is>
      </c>
      <c r="FR345" s="56"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gives stakeholder demos; clients escalate misses → moved up 0.5
Leadership: Evidence reads like A1: No guiding or leading of others described → matches the start
Business Impact: No survey or manager-mapping signal on criticality: kept at the start point.</t>
        </is>
      </c>
      <c r="FS345"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5" s="56" t="inlineStr">
        <is>
          <t>Self-identified: AI / automation · Project / programme management
For the next role: AI / automation · Project / programme management</t>
        </is>
      </c>
      <c r="FU345" s="32" t="inlineStr">
        <is>
          <t>Full survey answers not in the files received · How We Grow export needed · HR</t>
        </is>
      </c>
    </row>
    <row r="346" ht="90" customHeight="1">
      <c r="A346" s="51" t="inlineStr">
        <is>
          <t>◂ Back</t>
        </is>
      </c>
      <c r="B346" s="29" t="inlineStr">
        <is>
          <t>Mapped</t>
        </is>
      </c>
      <c r="C346" s="28" t="inlineStr">
        <is>
          <t>iFile</t>
        </is>
      </c>
      <c r="D346" s="29" t="inlineStr">
        <is>
          <t>IRIS0651</t>
        </is>
      </c>
      <c r="E346" s="29" t="inlineStr">
        <is>
          <t>Sakina Rampurawala</t>
        </is>
      </c>
      <c r="F346" s="29" t="inlineStr">
        <is>
          <t>Quality Assurance</t>
        </is>
      </c>
      <c r="G346" s="29" t="inlineStr">
        <is>
          <t>Senior QA - Engineer</t>
        </is>
      </c>
      <c r="H346" s="29" t="inlineStr">
        <is>
          <t>QA Specialist</t>
        </is>
      </c>
      <c r="I346" s="29" t="inlineStr">
        <is>
          <t>L4 – Senior</t>
        </is>
      </c>
      <c r="J346" s="29" t="inlineStr">
        <is>
          <t>A3</t>
        </is>
      </c>
      <c r="K346" s="29" t="inlineStr">
        <is>
          <t>▲ Up</t>
        </is>
      </c>
      <c r="L346" s="29" t="inlineStr">
        <is>
          <t>Quality Assurance</t>
        </is>
      </c>
      <c r="M346" s="29" t="inlineStr">
        <is>
          <t>Functional &amp; Domain Testing</t>
        </is>
      </c>
      <c r="N346" s="29" t="n"/>
      <c r="O346" s="29" t="n">
        <v>20</v>
      </c>
      <c r="P346" s="28" t="inlineStr">
        <is>
          <t>P2</t>
        </is>
      </c>
      <c r="Q346" s="29" t="inlineStr">
        <is>
          <t>Developing</t>
        </is>
      </c>
      <c r="R346" s="29" t="inlineStr">
        <is>
          <t>3 Apply</t>
        </is>
      </c>
      <c r="S346" s="29" t="inlineStr">
        <is>
          <t>2–4 yrs</t>
        </is>
      </c>
      <c r="T346" s="29" t="inlineStr">
        <is>
          <t>3–5 · 2–5</t>
        </is>
      </c>
      <c r="U346" s="29" t="inlineStr">
        <is>
          <t>Senior QA Engineer</t>
        </is>
      </c>
      <c r="V346" s="29" t="inlineStr">
        <is>
          <t>Workiva: SE · Broadridge India: SE · Nasdaq / AxiomSL: SE · IRIS Vs Market Benchmark — ISTQB certification pathway: Foundation</t>
        </is>
      </c>
      <c r="W346" s="29" t="inlineStr">
        <is>
          <t>ISTQB Foundation → Advanced → Expert; SFIA testing</t>
        </is>
      </c>
      <c r="X346" s="29" t="inlineStr">
        <is>
          <t>Core 2 · Future 2 · Functional 3 · Leadership not scored</t>
        </is>
      </c>
      <c r="Y346" s="52" t="n">
        <v>86</v>
      </c>
      <c r="Z346" s="53" t="inlineStr">
        <is>
          <t>IRIS0651</t>
        </is>
      </c>
      <c r="AA346" s="53" t="inlineStr">
        <is>
          <t>Employee</t>
        </is>
      </c>
      <c r="AB346" s="53" t="inlineStr">
        <is>
          <t>Active</t>
        </is>
      </c>
      <c r="AC346" s="53" t="inlineStr">
        <is>
          <t>Sakina Rampurawala</t>
        </is>
      </c>
      <c r="AD346" s="54" t="n">
        <v>40686</v>
      </c>
      <c r="AE346" s="53" t="inlineStr">
        <is>
          <t>Senior QA - Engineer</t>
        </is>
      </c>
      <c r="AF346" s="53" t="inlineStr">
        <is>
          <t>M.Com</t>
        </is>
      </c>
      <c r="AG346" s="53" t="inlineStr">
        <is>
          <t>Davinder Pal Singh</t>
        </is>
      </c>
      <c r="AH346" s="53" t="inlineStr">
        <is>
          <t>N-4</t>
        </is>
      </c>
      <c r="AI346" s="53" t="inlineStr">
        <is>
          <t>Individual Contributor</t>
        </is>
      </c>
      <c r="AJ346" s="53" t="inlineStr">
        <is>
          <t>0 years, 0 months, 0 days</t>
        </is>
      </c>
      <c r="AK346" s="53" t="inlineStr">
        <is>
          <t>15 years, 3 months, 2 days</t>
        </is>
      </c>
      <c r="AL346" s="53" t="inlineStr">
        <is>
          <t>Suptech</t>
        </is>
      </c>
      <c r="AM346" s="53" t="inlineStr">
        <is>
          <t>iFile</t>
        </is>
      </c>
      <c r="AN346" s="53" t="inlineStr">
        <is>
          <t>Quality Assurance</t>
        </is>
      </c>
      <c r="AO346" s="53" t="inlineStr">
        <is>
          <t>Quality Assurance</t>
        </is>
      </c>
      <c r="AP346" s="53" t="inlineStr">
        <is>
          <t>No</t>
        </is>
      </c>
      <c r="AQ346" s="53" t="inlineStr">
        <is>
          <t>Product/Project</t>
        </is>
      </c>
      <c r="AR346" s="53" t="inlineStr">
        <is>
          <t>Software Testing</t>
        </is>
      </c>
      <c r="AS346" s="53" t="inlineStr">
        <is>
          <t>Technical · BA, PM and QA</t>
        </is>
      </c>
      <c r="AT346" s="53" t="n">
        <v>20</v>
      </c>
      <c r="AU346" s="53" t="inlineStr">
        <is>
          <t>Covered</t>
        </is>
      </c>
      <c r="AV346" s="53" t="n"/>
      <c r="AW346" s="53" t="n"/>
      <c r="AX346" s="53" t="n"/>
      <c r="AY346" s="53" t="n"/>
      <c r="AZ346" s="53" t="n"/>
      <c r="BA346" s="53" t="n"/>
      <c r="BB346" s="53" t="n"/>
      <c r="BC346" s="53" t="n"/>
      <c r="BD346" s="53" t="n"/>
      <c r="BE346" s="53" t="n"/>
      <c r="BF346" s="53" t="n"/>
      <c r="BG346" s="53" t="n"/>
      <c r="BH346" s="53" t="n"/>
      <c r="BI346" s="53" t="n"/>
      <c r="BJ346" s="53" t="n"/>
      <c r="BK346" s="53" t="n"/>
      <c r="BL346" s="53" t="n"/>
      <c r="BM346" s="53" t="n"/>
      <c r="BN346" s="53" t="n"/>
      <c r="BO346" s="53" t="n"/>
      <c r="BP346" s="53" t="n"/>
      <c r="BQ346" s="53" t="n"/>
      <c r="BR346" s="53" t="n"/>
      <c r="BS346" s="53" t="n"/>
      <c r="BT346" s="53" t="n"/>
      <c r="BU346" s="53" t="n"/>
      <c r="BV346" s="53" t="n"/>
      <c r="BW346" s="53" t="n"/>
      <c r="BX346" s="53" t="n"/>
      <c r="BY346" s="53" t="n"/>
      <c r="BZ346" s="53" t="n"/>
      <c r="CA346" s="53" t="n"/>
      <c r="CB346" s="53" t="n"/>
      <c r="CC346" s="53" t="n"/>
      <c r="CD346" s="53" t="n"/>
      <c r="CE346" s="53" t="n"/>
      <c r="CF346" s="53" t="n"/>
      <c r="CG346" s="53" t="n"/>
      <c r="CH346" s="53" t="n"/>
      <c r="CI346" s="53" t="n"/>
      <c r="CJ346" s="53" t="n"/>
      <c r="CK346" s="53" t="n"/>
      <c r="CL346" s="53" t="n"/>
      <c r="CM346" s="53" t="n"/>
      <c r="CN346" s="53" t="n"/>
      <c r="CO346" s="53" t="n"/>
      <c r="CP346" s="53" t="n"/>
      <c r="CQ346" s="53" t="n"/>
      <c r="CR346" s="53" t="n"/>
      <c r="CS346" s="53" t="n"/>
      <c r="CT346" s="53" t="n"/>
      <c r="CU346" s="53" t="n"/>
      <c r="CV346" s="53" t="n"/>
      <c r="CW346" s="53" t="n"/>
      <c r="CX346" s="53" t="n"/>
      <c r="CY346" s="53" t="n"/>
      <c r="CZ346" s="53" t="n"/>
      <c r="DA346" s="53" t="n"/>
      <c r="DB346" s="53" t="n"/>
      <c r="DC346" s="53" t="n"/>
      <c r="DD346" s="53" t="inlineStr">
        <is>
          <t>IRIS0651</t>
        </is>
      </c>
      <c r="DE346" s="53" t="inlineStr">
        <is>
          <t>Employee</t>
        </is>
      </c>
      <c r="DF346" s="53" t="inlineStr">
        <is>
          <t>Active</t>
        </is>
      </c>
      <c r="DG346" s="53" t="inlineStr">
        <is>
          <t>Sakina Sanchawala</t>
        </is>
      </c>
      <c r="DH346" s="54" t="n">
        <v>40686</v>
      </c>
      <c r="DI346" s="53" t="inlineStr">
        <is>
          <t>Senior QA - Engineer</t>
        </is>
      </c>
      <c r="DJ346" s="53" t="inlineStr">
        <is>
          <t>Quality Assurance</t>
        </is>
      </c>
      <c r="DK346" s="53" t="inlineStr">
        <is>
          <t>Quality Engineering</t>
        </is>
      </c>
      <c r="DL346" s="53" t="inlineStr">
        <is>
          <t>Senior QA - Engineer</t>
        </is>
      </c>
      <c r="DM346" s="53" t="inlineStr">
        <is>
          <t>L4 – Senior</t>
        </is>
      </c>
      <c r="DN346" s="53" t="inlineStr">
        <is>
          <t>M.Com</t>
        </is>
      </c>
      <c r="DO346" s="53" t="inlineStr">
        <is>
          <t>Davinder Pal Singh</t>
        </is>
      </c>
      <c r="DP346" s="53" t="inlineStr">
        <is>
          <t>N-3</t>
        </is>
      </c>
      <c r="DQ346" s="53" t="inlineStr">
        <is>
          <t>Individual Contributor</t>
        </is>
      </c>
      <c r="DR346" s="53" t="inlineStr">
        <is>
          <t>0 years, 0 months, 0 days</t>
        </is>
      </c>
      <c r="DS346" s="53" t="inlineStr">
        <is>
          <t>15 years, 0 months, 28 days</t>
        </is>
      </c>
      <c r="DT346" s="53" t="inlineStr">
        <is>
          <t>15 years, 0 months, 28 days</t>
        </is>
      </c>
      <c r="DU346" s="53" t="n"/>
      <c r="DV346" s="53" t="inlineStr">
        <is>
          <t>Suptech</t>
        </is>
      </c>
      <c r="DW346" s="53" t="inlineStr">
        <is>
          <t>iFile</t>
        </is>
      </c>
      <c r="DX346" s="53" t="inlineStr">
        <is>
          <t>Quality Assurance</t>
        </is>
      </c>
      <c r="DY346" s="53" t="inlineStr">
        <is>
          <t>Quality Assurance</t>
        </is>
      </c>
      <c r="DZ346" s="53" t="inlineStr">
        <is>
          <t>No</t>
        </is>
      </c>
      <c r="EA346" s="53" t="inlineStr">
        <is>
          <t>Product/Project</t>
        </is>
      </c>
      <c r="EB346" s="53" t="inlineStr">
        <is>
          <t>Software Testing</t>
        </is>
      </c>
      <c r="EC346" s="53" t="inlineStr">
        <is>
          <t>Technical · BA, PM and QA</t>
        </is>
      </c>
      <c r="ED346" s="53" t="inlineStr">
        <is>
          <t>Remote - Mumbai</t>
        </is>
      </c>
      <c r="EE346" s="53"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EF346" s="53"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EG346" s="53" t="inlineStr">
        <is>
          <t>Deliver a bug-free application to the client and obtain sign-off for both the SBC and Tadawul projects.</t>
        </is>
      </c>
      <c r="EH346" s="53" t="n">
        <v>4</v>
      </c>
      <c r="EI346" s="54" t="n">
        <v>46362</v>
      </c>
      <c r="EJ346" s="53" t="inlineStr">
        <is>
          <t>Senior QA - Engineer</t>
        </is>
      </c>
      <c r="EK346" s="53" t="inlineStr">
        <is>
          <t>No</t>
        </is>
      </c>
      <c r="EL346" s="53" t="n">
        <v>4</v>
      </c>
      <c r="EM346" s="53" t="inlineStr">
        <is>
          <t>Medium</t>
        </is>
      </c>
      <c r="EN346" s="53" t="inlineStr">
        <is>
          <t>Trusted Professional</t>
        </is>
      </c>
      <c r="EO346" s="53" t="inlineStr">
        <is>
          <t>No</t>
        </is>
      </c>
      <c r="EP346" s="53" t="inlineStr">
        <is>
          <t>No</t>
        </is>
      </c>
      <c r="EQ346" s="53" t="n"/>
      <c r="ER346" s="53" t="inlineStr">
        <is>
          <t>yet to identify</t>
        </is>
      </c>
      <c r="ES346" s="53" t="n"/>
      <c r="ET346" s="53" t="inlineStr">
        <is>
          <t>BA trainee required, she lready create Webform gudie book</t>
        </is>
      </c>
      <c r="EU346" s="53" t="n"/>
      <c r="EV346" s="53" t="n"/>
      <c r="EW346" s="52" t="n"/>
      <c r="EX346" s="53" t="n"/>
      <c r="EY346" s="53" t="n"/>
      <c r="EZ346" s="53" t="n"/>
      <c r="FA346" s="53" t="n"/>
      <c r="FB346" s="53" t="n"/>
      <c r="FC346" s="53" t="inlineStr">
        <is>
          <t>Annual KRAs · objective Measurable Minimum 5 - Self</t>
        </is>
      </c>
      <c r="FD346" s="53" t="n"/>
      <c r="FE346" s="57"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FF346" s="56" t="inlineStr">
        <is>
          <t>Deliver a bug-free application to the client and obtain sign-off for both the SBC and Tadawul projects.</t>
        </is>
      </c>
      <c r="FG346" s="56"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FH346" s="56" t="inlineStr">
        <is>
          <t>4</t>
        </is>
      </c>
      <c r="FI346" s="56" t="n"/>
      <c r="FJ346" s="56" t="inlineStr">
        <is>
          <t>Received · manager annual, quarterly, self</t>
        </is>
      </c>
      <c r="FK346" s="56" t="inlineStr">
        <is>
          <t>Talent Mapping · iFile collated</t>
        </is>
      </c>
      <c r="FL346" s="56" t="n">
        <v>20</v>
      </c>
      <c r="FM346" s="32" t="inlineStr">
        <is>
          <t>Full survey answers not in the files received · How We Grow export needed · HR</t>
        </is>
      </c>
      <c r="FN346" s="56" t="inlineStr">
        <is>
          <t>—</t>
        </is>
      </c>
      <c r="FO346" s="56" t="inlineStr">
        <is>
          <t>—</t>
        </is>
      </c>
      <c r="FP346" s="56" t="inlineStr">
        <is>
          <t>—</t>
        </is>
      </c>
      <c r="FQ346" s="56" t="inlineStr">
        <is>
          <t>—</t>
        </is>
      </c>
      <c r="FR346" s="56"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KRA answers · summarised by the rater; not quoted → matches the start
Leadership: Evidence reads like A1: No guiding of others described; user manual only aids onboarding → moved down 0.5
Business Impact: No survey or manager-mapping signal on criticality: kept at the start point.</t>
        </is>
      </c>
      <c r="FS346"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6" s="56" t="inlineStr">
        <is>
          <t>Self-identified: Broader exposure &amp; ownership
For the next role: Broader exposure &amp; ownership</t>
        </is>
      </c>
      <c r="FU346" s="32" t="inlineStr">
        <is>
          <t>Full survey answers not in the files received · How We Grow export needed · HR</t>
        </is>
      </c>
    </row>
    <row r="347" ht="90" customHeight="1">
      <c r="A347" s="51" t="inlineStr">
        <is>
          <t>◂ Back</t>
        </is>
      </c>
      <c r="B347" s="29" t="inlineStr">
        <is>
          <t>Mapped</t>
        </is>
      </c>
      <c r="C347" s="28" t="inlineStr">
        <is>
          <t>iFile</t>
        </is>
      </c>
      <c r="D347" s="29" t="inlineStr">
        <is>
          <t>IRIS1762</t>
        </is>
      </c>
      <c r="E347" s="29" t="inlineStr">
        <is>
          <t>Sanchi Pawaskar</t>
        </is>
      </c>
      <c r="F347" s="29" t="inlineStr">
        <is>
          <t>Quality Assurance</t>
        </is>
      </c>
      <c r="G347" s="29" t="inlineStr">
        <is>
          <t>QA Engineer</t>
        </is>
      </c>
      <c r="H347" s="29" t="inlineStr">
        <is>
          <t>Senior QA Engineer</t>
        </is>
      </c>
      <c r="I347" s="29" t="inlineStr">
        <is>
          <t>L3 – Professional / Associate</t>
        </is>
      </c>
      <c r="J347" s="29" t="inlineStr">
        <is>
          <t>A3</t>
        </is>
      </c>
      <c r="K347" s="29" t="inlineStr">
        <is>
          <t>▲ Up</t>
        </is>
      </c>
      <c r="L347" s="29" t="inlineStr">
        <is>
          <t>Quality Assurance</t>
        </is>
      </c>
      <c r="M347" s="29" t="inlineStr">
        <is>
          <t>Functional &amp; Domain Testing</t>
        </is>
      </c>
      <c r="N347" s="29" t="n"/>
      <c r="O347" s="29" t="n">
        <v>20</v>
      </c>
      <c r="P347" s="28" t="inlineStr">
        <is>
          <t>P2</t>
        </is>
      </c>
      <c r="Q347" s="29" t="inlineStr">
        <is>
          <t>Developing</t>
        </is>
      </c>
      <c r="R347" s="29" t="inlineStr">
        <is>
          <t>3 Apply</t>
        </is>
      </c>
      <c r="S347" s="29" t="inlineStr">
        <is>
          <t>2–4 yrs</t>
        </is>
      </c>
      <c r="T347" s="29" t="inlineStr">
        <is>
          <t>3–5 · 2–5</t>
        </is>
      </c>
      <c r="U347" s="29" t="inlineStr">
        <is>
          <t>QA Engineer</t>
        </is>
      </c>
      <c r="V347" s="29" t="inlineStr">
        <is>
          <t>Workiva: SE · Broadridge India: SE · Nasdaq / AxiomSL: SE · IRIS Vs Market Benchmark — ISTQB certification pathway: Foundation</t>
        </is>
      </c>
      <c r="W347" s="29" t="inlineStr">
        <is>
          <t>ISTQB Foundation → Advanced → Expert; SFIA testing</t>
        </is>
      </c>
      <c r="X347" s="29" t="inlineStr">
        <is>
          <t>Core 2 · Future 2 · Functional 3 · Leadership not scored</t>
        </is>
      </c>
      <c r="Y347" s="52" t="n">
        <v>153</v>
      </c>
      <c r="Z347" s="53" t="inlineStr">
        <is>
          <t>IRIS1762</t>
        </is>
      </c>
      <c r="AA347" s="53" t="inlineStr">
        <is>
          <t>Employee</t>
        </is>
      </c>
      <c r="AB347" s="53" t="inlineStr">
        <is>
          <t>Active</t>
        </is>
      </c>
      <c r="AC347" s="53" t="inlineStr">
        <is>
          <t>Manali Tendulkar</t>
        </is>
      </c>
      <c r="AD347" s="54" t="n">
        <v>43473</v>
      </c>
      <c r="AE347" s="53" t="inlineStr">
        <is>
          <t>QA Engineer</t>
        </is>
      </c>
      <c r="AF347" s="53" t="inlineStr">
        <is>
          <t>B.SC</t>
        </is>
      </c>
      <c r="AG347" s="53" t="inlineStr">
        <is>
          <t>Davinder Pal Singh</t>
        </is>
      </c>
      <c r="AH347" s="53" t="inlineStr">
        <is>
          <t>N-4</t>
        </is>
      </c>
      <c r="AI347" s="53" t="inlineStr">
        <is>
          <t>Individual Contributor</t>
        </is>
      </c>
      <c r="AJ347" s="53" t="inlineStr">
        <is>
          <t>0 years, 6 months, 0 days</t>
        </is>
      </c>
      <c r="AK347" s="53" t="inlineStr">
        <is>
          <t>7 years, 7 months, 17 days</t>
        </is>
      </c>
      <c r="AL347" s="53" t="inlineStr">
        <is>
          <t>Suptech</t>
        </is>
      </c>
      <c r="AM347" s="53" t="inlineStr">
        <is>
          <t>iFile</t>
        </is>
      </c>
      <c r="AN347" s="53" t="inlineStr">
        <is>
          <t>Quality Assurance</t>
        </is>
      </c>
      <c r="AO347" s="53" t="inlineStr">
        <is>
          <t>Quality Assurance</t>
        </is>
      </c>
      <c r="AP347" s="53" t="inlineStr">
        <is>
          <t>No</t>
        </is>
      </c>
      <c r="AQ347" s="53" t="inlineStr">
        <is>
          <t>Product/Project</t>
        </is>
      </c>
      <c r="AR347" s="53" t="inlineStr">
        <is>
          <t>Software Testing</t>
        </is>
      </c>
      <c r="AS347" s="53" t="inlineStr">
        <is>
          <t>Technical · BA, PM and QA</t>
        </is>
      </c>
      <c r="AT347" s="53" t="n">
        <v>20</v>
      </c>
      <c r="AU347" s="53" t="inlineStr">
        <is>
          <t>Covered</t>
        </is>
      </c>
      <c r="AV347" s="53" t="n"/>
      <c r="AW347" s="53" t="n"/>
      <c r="AX347" s="53" t="n"/>
      <c r="AY347" s="53" t="n"/>
      <c r="AZ347" s="53" t="n"/>
      <c r="BA347" s="53" t="n"/>
      <c r="BB347" s="53" t="n"/>
      <c r="BC347" s="53" t="n"/>
      <c r="BD347" s="53" t="n"/>
      <c r="BE347" s="53" t="n"/>
      <c r="BF347" s="53" t="n"/>
      <c r="BG347" s="53" t="n"/>
      <c r="BH347" s="53" t="n"/>
      <c r="BI347" s="53" t="n"/>
      <c r="BJ347" s="53" t="n"/>
      <c r="BK347" s="53" t="n"/>
      <c r="BL347" s="53" t="n"/>
      <c r="BM347" s="53" t="n"/>
      <c r="BN347" s="53" t="n"/>
      <c r="BO347" s="53" t="n"/>
      <c r="BP347" s="53" t="n"/>
      <c r="BQ347" s="53" t="n"/>
      <c r="BR347" s="53" t="n"/>
      <c r="BS347" s="53" t="n"/>
      <c r="BT347" s="53" t="n"/>
      <c r="BU347" s="53" t="n"/>
      <c r="BV347" s="53" t="n"/>
      <c r="BW347" s="53" t="n"/>
      <c r="BX347" s="53" t="n"/>
      <c r="BY347" s="53" t="n"/>
      <c r="BZ347" s="53" t="n"/>
      <c r="CA347" s="53" t="n"/>
      <c r="CB347" s="53" t="n"/>
      <c r="CC347" s="53" t="n"/>
      <c r="CD347" s="53" t="n"/>
      <c r="CE347" s="53" t="n"/>
      <c r="CF347" s="53" t="n"/>
      <c r="CG347" s="53" t="n"/>
      <c r="CH347" s="53" t="n"/>
      <c r="CI347" s="53" t="n"/>
      <c r="CJ347" s="53" t="n"/>
      <c r="CK347" s="53" t="n"/>
      <c r="CL347" s="53" t="n"/>
      <c r="CM347" s="53" t="n"/>
      <c r="CN347" s="53" t="n"/>
      <c r="CO347" s="53" t="n"/>
      <c r="CP347" s="53" t="n"/>
      <c r="CQ347" s="53" t="n"/>
      <c r="CR347" s="53" t="n"/>
      <c r="CS347" s="53" t="n"/>
      <c r="CT347" s="53" t="n"/>
      <c r="CU347" s="53" t="n"/>
      <c r="CV347" s="53" t="n"/>
      <c r="CW347" s="53" t="n"/>
      <c r="CX347" s="53" t="n"/>
      <c r="CY347" s="53" t="n"/>
      <c r="CZ347" s="53" t="n"/>
      <c r="DA347" s="53" t="n"/>
      <c r="DB347" s="53" t="n"/>
      <c r="DC347" s="53" t="n"/>
      <c r="DD347" s="53" t="inlineStr">
        <is>
          <t>IRIS1762</t>
        </is>
      </c>
      <c r="DE347" s="53" t="inlineStr">
        <is>
          <t>Employee</t>
        </is>
      </c>
      <c r="DF347" s="53" t="inlineStr">
        <is>
          <t>Active</t>
        </is>
      </c>
      <c r="DG347" s="53" t="inlineStr">
        <is>
          <t>Sanchi Pawaskar</t>
        </is>
      </c>
      <c r="DH347" s="54" t="n">
        <v>43473</v>
      </c>
      <c r="DI347" s="53" t="inlineStr">
        <is>
          <t>QA Engineer</t>
        </is>
      </c>
      <c r="DJ347" s="53" t="inlineStr">
        <is>
          <t>Quality Assurance</t>
        </is>
      </c>
      <c r="DK347" s="53" t="inlineStr">
        <is>
          <t>Quality Engineering</t>
        </is>
      </c>
      <c r="DL347" s="53" t="inlineStr">
        <is>
          <t>QA Engineer</t>
        </is>
      </c>
      <c r="DM347" s="53" t="inlineStr">
        <is>
          <t>L3 – Professional / Associate</t>
        </is>
      </c>
      <c r="DN347" s="53" t="inlineStr">
        <is>
          <t>B.SC</t>
        </is>
      </c>
      <c r="DO347" s="53" t="inlineStr">
        <is>
          <t>Davinder Pal Singh</t>
        </is>
      </c>
      <c r="DP347" s="53" t="inlineStr">
        <is>
          <t>N-3</t>
        </is>
      </c>
      <c r="DQ347" s="53" t="inlineStr">
        <is>
          <t>Individual Contributor</t>
        </is>
      </c>
      <c r="DR347" s="53" t="inlineStr">
        <is>
          <t>0 years, 6 months, 0 days</t>
        </is>
      </c>
      <c r="DS347" s="53" t="inlineStr">
        <is>
          <t>7 years, 5 months, 12 days</t>
        </is>
      </c>
      <c r="DT347" s="53" t="inlineStr">
        <is>
          <t>7 years, 11 months, 12 days</t>
        </is>
      </c>
      <c r="DU347" s="53" t="n"/>
      <c r="DV347" s="53" t="inlineStr">
        <is>
          <t>Suptech</t>
        </is>
      </c>
      <c r="DW347" s="53" t="inlineStr">
        <is>
          <t>iFile</t>
        </is>
      </c>
      <c r="DX347" s="53" t="inlineStr">
        <is>
          <t>Quality Assurance</t>
        </is>
      </c>
      <c r="DY347" s="53" t="inlineStr">
        <is>
          <t>Quality Assurance</t>
        </is>
      </c>
      <c r="DZ347" s="53" t="inlineStr">
        <is>
          <t>No</t>
        </is>
      </c>
      <c r="EA347" s="53" t="inlineStr">
        <is>
          <t>Product/Project</t>
        </is>
      </c>
      <c r="EB347" s="53" t="inlineStr">
        <is>
          <t>Software Testing</t>
        </is>
      </c>
      <c r="EC347" s="53" t="inlineStr">
        <is>
          <t>Technical · BA, PM and QA</t>
        </is>
      </c>
      <c r="ED347" s="53" t="inlineStr">
        <is>
          <t>Remote- Outside Mumbai</t>
        </is>
      </c>
      <c r="EE347" s="53"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EF347" s="53"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EG347" s="53" t="inlineStr">
        <is>
          <t>Continuously upskill by completing relevant technical certifications or training in QA automation, AI-assisted testing, or API testing, and apply the acquired knowledge to improve testing efficiency and quality across projects.</t>
        </is>
      </c>
      <c r="EH347" s="53" t="n">
        <v>3</v>
      </c>
      <c r="EI347" s="53" t="inlineStr">
        <is>
          <t>20-06-2026</t>
        </is>
      </c>
      <c r="EJ347" s="53" t="inlineStr">
        <is>
          <t>QA Engineer</t>
        </is>
      </c>
      <c r="EK347" s="53" t="inlineStr">
        <is>
          <t>no</t>
        </is>
      </c>
      <c r="EL347" s="53" t="n">
        <v>3</v>
      </c>
      <c r="EM347" s="53" t="n"/>
      <c r="EN347" s="53" t="inlineStr">
        <is>
          <t>Trusted Professional</t>
        </is>
      </c>
      <c r="EO347" s="53" t="inlineStr">
        <is>
          <t>No</t>
        </is>
      </c>
      <c r="EP347" s="53" t="inlineStr">
        <is>
          <t>No</t>
        </is>
      </c>
      <c r="EQ347" s="53" t="inlineStr">
        <is>
          <t>No</t>
        </is>
      </c>
      <c r="ER347" s="53" t="inlineStr">
        <is>
          <t>yet to identify</t>
        </is>
      </c>
      <c r="ES347" s="53" t="inlineStr">
        <is>
          <t>AI training</t>
        </is>
      </c>
      <c r="ET347" s="53" t="inlineStr">
        <is>
          <t>Transition to leadership: people management &amp; delegation, mentoring/coaching, project ownership &amp; stakeholder management, prioritisation under ambiguity, presentation &amp; influence skills</t>
        </is>
      </c>
      <c r="EU347" s="53" t="n"/>
      <c r="EV347" s="53" t="n"/>
      <c r="EW347" s="52" t="n"/>
      <c r="EX347" s="53" t="n"/>
      <c r="EY347" s="53" t="n"/>
      <c r="EZ347" s="53" t="n"/>
      <c r="FA347" s="53" t="n"/>
      <c r="FB347" s="53" t="n"/>
      <c r="FC347" s="53" t="n"/>
      <c r="FD347" s="53" t="n"/>
      <c r="FE347" s="57"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FF347" s="56" t="inlineStr">
        <is>
          <t>Continuously upskill by completing relevant technical certifications or training in QA automation, AI-assisted testing, or API testing, and apply the acquired knowledge to improve testing efficiency and quality across projects.</t>
        </is>
      </c>
      <c r="FG347" s="56"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FH347" s="56" t="inlineStr">
        <is>
          <t>3</t>
        </is>
      </c>
      <c r="FI347" s="56" t="n"/>
      <c r="FJ347" s="56" t="inlineStr">
        <is>
          <t>Received · manager annual, quarterly, self</t>
        </is>
      </c>
      <c r="FK347" s="56" t="inlineStr">
        <is>
          <t>Talent Mapping · iFile collated</t>
        </is>
      </c>
      <c r="FL347" s="56" t="n">
        <v>20</v>
      </c>
      <c r="FM347" s="32" t="inlineStr">
        <is>
          <t>Full survey answers not in the files received · How We Grow export needed · HR</t>
        </is>
      </c>
      <c r="FN347" s="56" t="inlineStr">
        <is>
          <t>—</t>
        </is>
      </c>
      <c r="FO347" s="56" t="inlineStr">
        <is>
          <t>—</t>
        </is>
      </c>
      <c r="FP347" s="56" t="inlineStr">
        <is>
          <t>—</t>
        </is>
      </c>
      <c r="FQ347" s="56" t="inlineStr">
        <is>
          <t>—</t>
        </is>
      </c>
      <c r="FR347" s="56" t="inlineStr">
        <is>
          <t>Business Impact: No survey or manager-mapping signal on criticality: kept at the start point.</t>
        </is>
      </c>
      <c r="FS347"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7" s="56" t="inlineStr">
        <is>
          <t>Self-identified: Leadership &amp; people management · Strategy &amp; business acumen · Broader exposure &amp; ownership
For the next role: Leadership &amp; people management · Client, sales &amp; stakeholders · Strategy &amp; business acumen · Broader exposure &amp; ownership</t>
        </is>
      </c>
      <c r="FU347" s="32" t="inlineStr">
        <is>
          <t>Full survey answers not in the files received · How We Grow export needed · HR</t>
        </is>
      </c>
    </row>
    <row r="348" ht="90" customHeight="1">
      <c r="A348" s="51" t="inlineStr">
        <is>
          <t>◂ Back</t>
        </is>
      </c>
      <c r="B348" s="29" t="inlineStr">
        <is>
          <t>Mapped</t>
        </is>
      </c>
      <c r="C348" s="28" t="inlineStr">
        <is>
          <t>iFile</t>
        </is>
      </c>
      <c r="D348" s="29" t="inlineStr">
        <is>
          <t>IRIS2496</t>
        </is>
      </c>
      <c r="E348" s="29" t="inlineStr">
        <is>
          <t>Tejas Rane</t>
        </is>
      </c>
      <c r="F348" s="29" t="inlineStr">
        <is>
          <t>Quality Assurance</t>
        </is>
      </c>
      <c r="G348" s="29" t="inlineStr">
        <is>
          <t>QA Engineer</t>
        </is>
      </c>
      <c r="H348" s="29" t="inlineStr">
        <is>
          <t>Senior QA Engineer</t>
        </is>
      </c>
      <c r="I348" s="29" t="inlineStr">
        <is>
          <t>L3 – Professional / Associate</t>
        </is>
      </c>
      <c r="J348" s="29" t="inlineStr">
        <is>
          <t>A3</t>
        </is>
      </c>
      <c r="K348" s="29" t="inlineStr">
        <is>
          <t>▲ Up</t>
        </is>
      </c>
      <c r="L348" s="29" t="inlineStr">
        <is>
          <t>Quality Assurance</t>
        </is>
      </c>
      <c r="M348" s="29" t="inlineStr">
        <is>
          <t>Functional &amp; Domain Testing</t>
        </is>
      </c>
      <c r="N348" s="29" t="n"/>
      <c r="O348" s="29" t="n">
        <v>20</v>
      </c>
      <c r="P348" s="28" t="inlineStr">
        <is>
          <t>P2</t>
        </is>
      </c>
      <c r="Q348" s="29" t="inlineStr">
        <is>
          <t>Developing</t>
        </is>
      </c>
      <c r="R348" s="29" t="inlineStr">
        <is>
          <t>3 Apply</t>
        </is>
      </c>
      <c r="S348" s="29" t="inlineStr">
        <is>
          <t>2–4 yrs</t>
        </is>
      </c>
      <c r="T348" s="29" t="inlineStr">
        <is>
          <t>3–5 · 2–5</t>
        </is>
      </c>
      <c r="U348" s="29" t="inlineStr">
        <is>
          <t>QA Engineer</t>
        </is>
      </c>
      <c r="V348" s="29" t="inlineStr">
        <is>
          <t>Workiva: SE · Broadridge India: SE · Nasdaq / AxiomSL: SE · IRIS Vs Market Benchmark — ISTQB certification pathway: Foundation</t>
        </is>
      </c>
      <c r="W348" s="29" t="inlineStr">
        <is>
          <t>ISTQB Foundation → Advanced → Expert; SFIA testing</t>
        </is>
      </c>
      <c r="X348" s="29" t="inlineStr">
        <is>
          <t>Core 2 · Future 2 · Functional 3 · Leadership not scored</t>
        </is>
      </c>
      <c r="Y348" s="52" t="n">
        <v>469</v>
      </c>
      <c r="Z348" s="53" t="inlineStr">
        <is>
          <t>IRIS2496</t>
        </is>
      </c>
      <c r="AA348" s="53" t="inlineStr">
        <is>
          <t>Employee</t>
        </is>
      </c>
      <c r="AB348" s="53" t="inlineStr">
        <is>
          <t>Active</t>
        </is>
      </c>
      <c r="AC348" s="53" t="inlineStr">
        <is>
          <t>Tejas Rane</t>
        </is>
      </c>
      <c r="AD348" s="54" t="n">
        <v>46097</v>
      </c>
      <c r="AE348" s="53" t="inlineStr">
        <is>
          <t>QA Engineer</t>
        </is>
      </c>
      <c r="AF348" s="53" t="inlineStr">
        <is>
          <t>PG-DAC</t>
        </is>
      </c>
      <c r="AG348" s="53" t="inlineStr">
        <is>
          <t>Davinder Pal Singh</t>
        </is>
      </c>
      <c r="AH348" s="53" t="inlineStr">
        <is>
          <t>N-4</t>
        </is>
      </c>
      <c r="AI348" s="53" t="inlineStr">
        <is>
          <t>Individual Contributor</t>
        </is>
      </c>
      <c r="AJ348" s="53" t="inlineStr">
        <is>
          <t>4 years, 5 months, 0 days</t>
        </is>
      </c>
      <c r="AK348" s="53" t="inlineStr">
        <is>
          <t>0 years, 5 months, 9 days</t>
        </is>
      </c>
      <c r="AL348" s="53" t="inlineStr">
        <is>
          <t>Suptech</t>
        </is>
      </c>
      <c r="AM348" s="53" t="inlineStr">
        <is>
          <t>iFile</t>
        </is>
      </c>
      <c r="AN348" s="53" t="inlineStr">
        <is>
          <t>Quality Assurance</t>
        </is>
      </c>
      <c r="AO348" s="53" t="inlineStr">
        <is>
          <t>Quality Assurance</t>
        </is>
      </c>
      <c r="AP348" s="53" t="inlineStr">
        <is>
          <t>No</t>
        </is>
      </c>
      <c r="AQ348" s="53" t="inlineStr">
        <is>
          <t>Product/Project</t>
        </is>
      </c>
      <c r="AR348" s="53" t="inlineStr">
        <is>
          <t>Software Testing</t>
        </is>
      </c>
      <c r="AS348" s="53" t="inlineStr">
        <is>
          <t>Technical · BA, PM and QA</t>
        </is>
      </c>
      <c r="AT348" s="53" t="n">
        <v>20</v>
      </c>
      <c r="AU348" s="53" t="inlineStr">
        <is>
          <t>Covered</t>
        </is>
      </c>
      <c r="AV348" s="53" t="n"/>
      <c r="AW348" s="53" t="n"/>
      <c r="AX348" s="53" t="n"/>
      <c r="AY348" s="53" t="n"/>
      <c r="AZ348" s="53" t="n"/>
      <c r="BA348" s="53" t="n"/>
      <c r="BB348" s="53" t="n"/>
      <c r="BC348" s="53" t="n"/>
      <c r="BD348" s="53" t="n"/>
      <c r="BE348" s="53" t="n"/>
      <c r="BF348" s="53" t="n"/>
      <c r="BG348" s="53" t="n"/>
      <c r="BH348" s="53" t="n"/>
      <c r="BI348" s="53" t="n"/>
      <c r="BJ348" s="53" t="n"/>
      <c r="BK348" s="53" t="n"/>
      <c r="BL348" s="53" t="n"/>
      <c r="BM348" s="53" t="n"/>
      <c r="BN348" s="53" t="n"/>
      <c r="BO348" s="53" t="n"/>
      <c r="BP348" s="53" t="n"/>
      <c r="BQ348" s="53" t="n"/>
      <c r="BR348" s="53" t="n"/>
      <c r="BS348" s="53" t="n"/>
      <c r="BT348" s="53" t="n"/>
      <c r="BU348" s="53" t="n"/>
      <c r="BV348" s="53" t="n"/>
      <c r="BW348" s="53" t="n"/>
      <c r="BX348" s="53" t="n"/>
      <c r="BY348" s="53" t="n"/>
      <c r="BZ348" s="53" t="n"/>
      <c r="CA348" s="53" t="n"/>
      <c r="CB348" s="53" t="n"/>
      <c r="CC348" s="53" t="n"/>
      <c r="CD348" s="53" t="n"/>
      <c r="CE348" s="53" t="n"/>
      <c r="CF348" s="53" t="n"/>
      <c r="CG348" s="53" t="n"/>
      <c r="CH348" s="53" t="n"/>
      <c r="CI348" s="53" t="n"/>
      <c r="CJ348" s="53" t="n"/>
      <c r="CK348" s="53" t="n"/>
      <c r="CL348" s="53" t="n"/>
      <c r="CM348" s="53" t="n"/>
      <c r="CN348" s="53" t="n"/>
      <c r="CO348" s="53" t="n"/>
      <c r="CP348" s="53" t="n"/>
      <c r="CQ348" s="53" t="n"/>
      <c r="CR348" s="53" t="n"/>
      <c r="CS348" s="53" t="n"/>
      <c r="CT348" s="53" t="n"/>
      <c r="CU348" s="53" t="n"/>
      <c r="CV348" s="53" t="n"/>
      <c r="CW348" s="53" t="n"/>
      <c r="CX348" s="53" t="n"/>
      <c r="CY348" s="53" t="n"/>
      <c r="CZ348" s="53" t="n"/>
      <c r="DA348" s="53" t="n"/>
      <c r="DB348" s="53" t="n"/>
      <c r="DC348" s="53" t="n"/>
      <c r="DD348" s="53" t="inlineStr">
        <is>
          <t>IRIS2496</t>
        </is>
      </c>
      <c r="DE348" s="53" t="inlineStr">
        <is>
          <t>Employee</t>
        </is>
      </c>
      <c r="DF348" s="53" t="inlineStr">
        <is>
          <t>Active</t>
        </is>
      </c>
      <c r="DG348" s="53" t="inlineStr">
        <is>
          <t>Tejas Rane</t>
        </is>
      </c>
      <c r="DH348" s="54" t="n">
        <v>46097</v>
      </c>
      <c r="DI348" s="53" t="inlineStr">
        <is>
          <t>QA Engineer</t>
        </is>
      </c>
      <c r="DJ348" s="53" t="inlineStr">
        <is>
          <t>Quality Assurance</t>
        </is>
      </c>
      <c r="DK348" s="53" t="inlineStr">
        <is>
          <t>Quality Engineering</t>
        </is>
      </c>
      <c r="DL348" s="53" t="inlineStr">
        <is>
          <t>QA Engineer</t>
        </is>
      </c>
      <c r="DM348" s="53" t="inlineStr">
        <is>
          <t>L3 – Professional / Associate</t>
        </is>
      </c>
      <c r="DN348" s="53" t="inlineStr">
        <is>
          <t>PG-DAC</t>
        </is>
      </c>
      <c r="DO348" s="53" t="inlineStr">
        <is>
          <t>Davinder Pal Singh</t>
        </is>
      </c>
      <c r="DP348" s="53" t="inlineStr">
        <is>
          <t>N-3</t>
        </is>
      </c>
      <c r="DQ348" s="53" t="inlineStr">
        <is>
          <t>Individual Contributor</t>
        </is>
      </c>
      <c r="DR348" s="53" t="inlineStr">
        <is>
          <t>4 years, 5 months, 0 days</t>
        </is>
      </c>
      <c r="DS348" s="53" t="inlineStr">
        <is>
          <t>0 years, 3 months, 4 days</t>
        </is>
      </c>
      <c r="DT348" s="53" t="inlineStr">
        <is>
          <t>4 years, 8 months, 4 days</t>
        </is>
      </c>
      <c r="DU348" s="53" t="n"/>
      <c r="DV348" s="53" t="inlineStr">
        <is>
          <t>Suptech</t>
        </is>
      </c>
      <c r="DW348" s="53" t="inlineStr">
        <is>
          <t>iFile</t>
        </is>
      </c>
      <c r="DX348" s="53" t="inlineStr">
        <is>
          <t>Quality Assurance</t>
        </is>
      </c>
      <c r="DY348" s="53" t="inlineStr">
        <is>
          <t>Quality Assurance</t>
        </is>
      </c>
      <c r="DZ348" s="53" t="inlineStr">
        <is>
          <t>No</t>
        </is>
      </c>
      <c r="EA348" s="53" t="inlineStr">
        <is>
          <t>Product/Project</t>
        </is>
      </c>
      <c r="EB348" s="53" t="inlineStr">
        <is>
          <t>Software Testing</t>
        </is>
      </c>
      <c r="EC348" s="53" t="inlineStr">
        <is>
          <t>Technical · BA, PM and QA</t>
        </is>
      </c>
      <c r="ED348" s="53" t="inlineStr">
        <is>
          <t>Work From Office - Turbhe</t>
        </is>
      </c>
      <c r="EE348" s="53"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EF348" s="53"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EG348" s="53" t="inlineStr">
        <is>
          <t>Tea pot Automation for First Phase</t>
        </is>
      </c>
      <c r="EH348" s="53" t="n">
        <v>3</v>
      </c>
      <c r="EI348" s="54" t="n">
        <v>46271</v>
      </c>
      <c r="EJ348" s="53" t="inlineStr">
        <is>
          <t>QA Engineer</t>
        </is>
      </c>
      <c r="EK348" s="53" t="inlineStr">
        <is>
          <t>No</t>
        </is>
      </c>
      <c r="EL348" s="53" t="n">
        <v>3</v>
      </c>
      <c r="EM348" s="53" t="inlineStr">
        <is>
          <t>Medium</t>
        </is>
      </c>
      <c r="EN348" s="53" t="inlineStr">
        <is>
          <t>Trusted Professional</t>
        </is>
      </c>
      <c r="EO348" s="53" t="inlineStr">
        <is>
          <t>No</t>
        </is>
      </c>
      <c r="EP348" s="53" t="inlineStr">
        <is>
          <t>No</t>
        </is>
      </c>
      <c r="EQ348" s="53" t="inlineStr">
        <is>
          <t>No</t>
        </is>
      </c>
      <c r="ER348" s="53" t="n"/>
      <c r="ES348" s="53" t="inlineStr">
        <is>
          <t>Automation training</t>
        </is>
      </c>
      <c r="ET348" s="53" t="n"/>
      <c r="EU348" s="53" t="n"/>
      <c r="EV348" s="53" t="n"/>
      <c r="EW348" s="52" t="n"/>
      <c r="EX348" s="53" t="n"/>
      <c r="EY348" s="53" t="n"/>
      <c r="EZ348" s="53" t="n"/>
      <c r="FA348" s="53" t="n"/>
      <c r="FB348" s="53" t="n"/>
      <c r="FC348" s="53" t="n"/>
      <c r="FD348" s="53" t="n"/>
      <c r="FE348" s="57"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FF348" s="56" t="inlineStr">
        <is>
          <t>Tea pot Automation for First Phase</t>
        </is>
      </c>
      <c r="FG348" s="56"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FH348" s="56" t="inlineStr">
        <is>
          <t>3</t>
        </is>
      </c>
      <c r="FI348" s="56" t="n"/>
      <c r="FJ348" s="56" t="inlineStr">
        <is>
          <t>Received · manager annual, quarterly, self</t>
        </is>
      </c>
      <c r="FK348" s="56" t="inlineStr">
        <is>
          <t>Talent Mapping · iFile collated</t>
        </is>
      </c>
      <c r="FL348" s="56" t="n">
        <v>20</v>
      </c>
      <c r="FM348" s="32" t="inlineStr">
        <is>
          <t>Full survey answers not in the files received · How We Grow export needed · HR</t>
        </is>
      </c>
      <c r="FN348" s="56" t="inlineStr">
        <is>
          <t>—</t>
        </is>
      </c>
      <c r="FO348" s="56" t="inlineStr">
        <is>
          <t>—</t>
        </is>
      </c>
      <c r="FP348" s="56" t="inlineStr">
        <is>
          <t>—</t>
        </is>
      </c>
      <c r="FQ348" s="56" t="inlineStr">
        <is>
          <t>—</t>
        </is>
      </c>
      <c r="FR348" s="56"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and defect reporting → matches the start
Leadership: Evidence reads like A1: No guiding or leading of others described → matches the start
Business Impact: No survey or manager-mapping signal on criticality: kept at the start point.</t>
        </is>
      </c>
      <c r="FS34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8" s="56" t="inlineStr">
        <is>
          <t>Self-identified: Testing &amp; quality · Product &amp; tool knowledge · Client, sales &amp; stakeholders
For the next role: Testing &amp; quality · Product &amp; tool knowledge · Client, sales &amp; stakeholders</t>
        </is>
      </c>
      <c r="FU348" s="32" t="inlineStr">
        <is>
          <t>Full survey answers not in the files received · How We Grow export needed · HR</t>
        </is>
      </c>
    </row>
    <row r="349" ht="90" customHeight="1">
      <c r="A349" s="51" t="inlineStr">
        <is>
          <t>◂ Back</t>
        </is>
      </c>
      <c r="B349" s="29" t="inlineStr">
        <is>
          <t>Mapped</t>
        </is>
      </c>
      <c r="C349" s="28" t="inlineStr">
        <is>
          <t>iFile</t>
        </is>
      </c>
      <c r="D349" s="29" t="inlineStr">
        <is>
          <t>IRIS2456</t>
        </is>
      </c>
      <c r="E349" s="29" t="inlineStr">
        <is>
          <t>Vishal Khare</t>
        </is>
      </c>
      <c r="F349" s="29" t="inlineStr">
        <is>
          <t>Quality Assurance</t>
        </is>
      </c>
      <c r="G349" s="29" t="inlineStr">
        <is>
          <t>QA Engineer</t>
        </is>
      </c>
      <c r="H349" s="29" t="inlineStr">
        <is>
          <t>Senior QA Engineer</t>
        </is>
      </c>
      <c r="I349" s="29" t="inlineStr">
        <is>
          <t>L3 – Professional / Associate</t>
        </is>
      </c>
      <c r="J349" s="29" t="inlineStr">
        <is>
          <t>A3</t>
        </is>
      </c>
      <c r="K349" s="29" t="inlineStr">
        <is>
          <t>▲ Up</t>
        </is>
      </c>
      <c r="L349" s="29" t="inlineStr">
        <is>
          <t>Quality Assurance</t>
        </is>
      </c>
      <c r="M349" s="29" t="inlineStr">
        <is>
          <t>Functional &amp; Domain Testing</t>
        </is>
      </c>
      <c r="N349" s="29" t="n"/>
      <c r="O349" s="29" t="n">
        <v>20</v>
      </c>
      <c r="P349" s="28" t="inlineStr">
        <is>
          <t>P2</t>
        </is>
      </c>
      <c r="Q349" s="29" t="inlineStr">
        <is>
          <t>Developing</t>
        </is>
      </c>
      <c r="R349" s="29" t="inlineStr">
        <is>
          <t>3 Apply</t>
        </is>
      </c>
      <c r="S349" s="29" t="inlineStr">
        <is>
          <t>2–4 yrs</t>
        </is>
      </c>
      <c r="T349" s="29" t="inlineStr">
        <is>
          <t>3–5 · 2–5</t>
        </is>
      </c>
      <c r="U349" s="29" t="inlineStr">
        <is>
          <t>QA Engineer</t>
        </is>
      </c>
      <c r="V349" s="29" t="inlineStr">
        <is>
          <t>Workiva: SE · Broadridge India: SE · Nasdaq / AxiomSL: SE · IRIS Vs Market Benchmark — ISTQB certification pathway: Foundation</t>
        </is>
      </c>
      <c r="W349" s="29" t="inlineStr">
        <is>
          <t>ISTQB Foundation → Advanced → Expert; SFIA testing</t>
        </is>
      </c>
      <c r="X349" s="29" t="inlineStr">
        <is>
          <t>Core 2 · Future 2 · Functional 3 · Leadership not scored</t>
        </is>
      </c>
      <c r="Y349" s="52" t="n">
        <v>426</v>
      </c>
      <c r="Z349" s="53" t="inlineStr">
        <is>
          <t>IRIS2456</t>
        </is>
      </c>
      <c r="AA349" s="53" t="inlineStr">
        <is>
          <t>Employee</t>
        </is>
      </c>
      <c r="AB349" s="53" t="inlineStr">
        <is>
          <t>Active</t>
        </is>
      </c>
      <c r="AC349" s="53" t="inlineStr">
        <is>
          <t>Vishal Khare</t>
        </is>
      </c>
      <c r="AD349" s="54" t="n">
        <v>46015</v>
      </c>
      <c r="AE349" s="53" t="inlineStr">
        <is>
          <t>QA Engineer</t>
        </is>
      </c>
      <c r="AF349" s="53" t="inlineStr">
        <is>
          <t>B.E</t>
        </is>
      </c>
      <c r="AG349" s="53" t="inlineStr">
        <is>
          <t>Davinder Pal Singh</t>
        </is>
      </c>
      <c r="AH349" s="53" t="inlineStr">
        <is>
          <t>N-4</t>
        </is>
      </c>
      <c r="AI349" s="53" t="inlineStr">
        <is>
          <t>Individual Contributor</t>
        </is>
      </c>
      <c r="AJ349" s="53" t="inlineStr">
        <is>
          <t>3 years, 4 months, 0 days</t>
        </is>
      </c>
      <c r="AK349" s="53" t="inlineStr">
        <is>
          <t>0 years, 8 months, 1 days</t>
        </is>
      </c>
      <c r="AL349" s="53" t="inlineStr">
        <is>
          <t>Suptech</t>
        </is>
      </c>
      <c r="AM349" s="53" t="inlineStr">
        <is>
          <t>iFile</t>
        </is>
      </c>
      <c r="AN349" s="53" t="inlineStr">
        <is>
          <t>Quality Assurance</t>
        </is>
      </c>
      <c r="AO349" s="53" t="inlineStr">
        <is>
          <t>Quality Assurance</t>
        </is>
      </c>
      <c r="AP349" s="53" t="inlineStr">
        <is>
          <t>No</t>
        </is>
      </c>
      <c r="AQ349" s="53" t="inlineStr">
        <is>
          <t>Product/Project</t>
        </is>
      </c>
      <c r="AR349" s="53" t="inlineStr">
        <is>
          <t>Software Testing</t>
        </is>
      </c>
      <c r="AS349" s="53" t="inlineStr">
        <is>
          <t>Technical · BA, PM and QA</t>
        </is>
      </c>
      <c r="AT349" s="53" t="n">
        <v>20</v>
      </c>
      <c r="AU349" s="53" t="inlineStr">
        <is>
          <t>Covered</t>
        </is>
      </c>
      <c r="AV349" s="53" t="n"/>
      <c r="AW349" s="53" t="n"/>
      <c r="AX349" s="53" t="n"/>
      <c r="AY349" s="53" t="n"/>
      <c r="AZ349" s="53" t="n"/>
      <c r="BA349" s="53" t="n"/>
      <c r="BB349" s="53" t="n"/>
      <c r="BC349" s="53" t="n"/>
      <c r="BD349" s="53" t="n"/>
      <c r="BE349" s="53" t="n"/>
      <c r="BF349" s="53" t="n"/>
      <c r="BG349" s="53" t="n"/>
      <c r="BH349" s="53" t="n"/>
      <c r="BI349" s="53" t="n"/>
      <c r="BJ349" s="53" t="n"/>
      <c r="BK349" s="53" t="n"/>
      <c r="BL349" s="53" t="n"/>
      <c r="BM349" s="53" t="n"/>
      <c r="BN349" s="53" t="n"/>
      <c r="BO349" s="53" t="n"/>
      <c r="BP349" s="53" t="n"/>
      <c r="BQ349" s="53" t="n"/>
      <c r="BR349" s="53" t="n"/>
      <c r="BS349" s="53" t="n"/>
      <c r="BT349" s="53" t="n"/>
      <c r="BU349" s="53" t="n"/>
      <c r="BV349" s="53" t="n"/>
      <c r="BW349" s="53" t="n"/>
      <c r="BX349" s="53" t="n"/>
      <c r="BY349" s="53" t="n"/>
      <c r="BZ349" s="53" t="n"/>
      <c r="CA349" s="53" t="n"/>
      <c r="CB349" s="53" t="n"/>
      <c r="CC349" s="53" t="n"/>
      <c r="CD349" s="53" t="n"/>
      <c r="CE349" s="53" t="n"/>
      <c r="CF349" s="53" t="n"/>
      <c r="CG349" s="53" t="n"/>
      <c r="CH349" s="53" t="n"/>
      <c r="CI349" s="53" t="n"/>
      <c r="CJ349" s="53" t="n"/>
      <c r="CK349" s="53" t="n"/>
      <c r="CL349" s="53" t="n"/>
      <c r="CM349" s="53" t="n"/>
      <c r="CN349" s="53" t="n"/>
      <c r="CO349" s="53" t="n"/>
      <c r="CP349" s="53" t="n"/>
      <c r="CQ349" s="53" t="n"/>
      <c r="CR349" s="53" t="n"/>
      <c r="CS349" s="53" t="n"/>
      <c r="CT349" s="53" t="n"/>
      <c r="CU349" s="53" t="n"/>
      <c r="CV349" s="53" t="n"/>
      <c r="CW349" s="53" t="n"/>
      <c r="CX349" s="53" t="n"/>
      <c r="CY349" s="53" t="n"/>
      <c r="CZ349" s="53" t="n"/>
      <c r="DA349" s="53" t="n"/>
      <c r="DB349" s="53" t="n"/>
      <c r="DC349" s="53" t="n"/>
      <c r="DD349" s="53" t="inlineStr">
        <is>
          <t>IRIS2456</t>
        </is>
      </c>
      <c r="DE349" s="53" t="inlineStr">
        <is>
          <t>Employee</t>
        </is>
      </c>
      <c r="DF349" s="53" t="inlineStr">
        <is>
          <t>Active</t>
        </is>
      </c>
      <c r="DG349" s="53" t="inlineStr">
        <is>
          <t>Vishal Khare</t>
        </is>
      </c>
      <c r="DH349" s="54" t="n">
        <v>46015</v>
      </c>
      <c r="DI349" s="53" t="inlineStr">
        <is>
          <t>QA Engineer</t>
        </is>
      </c>
      <c r="DJ349" s="53" t="inlineStr">
        <is>
          <t>Quality Assurance</t>
        </is>
      </c>
      <c r="DK349" s="53" t="inlineStr">
        <is>
          <t>Quality Engineering</t>
        </is>
      </c>
      <c r="DL349" s="53" t="inlineStr">
        <is>
          <t>QA Engineer</t>
        </is>
      </c>
      <c r="DM349" s="53" t="inlineStr">
        <is>
          <t>L3 – Professional / Associate</t>
        </is>
      </c>
      <c r="DN349" s="53" t="inlineStr">
        <is>
          <t>B.E</t>
        </is>
      </c>
      <c r="DO349" s="53" t="inlineStr">
        <is>
          <t>Davinder Pal Singh</t>
        </is>
      </c>
      <c r="DP349" s="53" t="inlineStr">
        <is>
          <t>N-3</t>
        </is>
      </c>
      <c r="DQ349" s="53" t="inlineStr">
        <is>
          <t>Individual Contributor</t>
        </is>
      </c>
      <c r="DR349" s="53" t="inlineStr">
        <is>
          <t>3 years, 4 months, 0 days</t>
        </is>
      </c>
      <c r="DS349" s="53" t="inlineStr">
        <is>
          <t>0 years, 5 months, 27 days</t>
        </is>
      </c>
      <c r="DT349" s="53" t="inlineStr">
        <is>
          <t>3 years, 9 months, 27 days</t>
        </is>
      </c>
      <c r="DU349" s="53" t="n"/>
      <c r="DV349" s="53" t="inlineStr">
        <is>
          <t>Suptech</t>
        </is>
      </c>
      <c r="DW349" s="53" t="inlineStr">
        <is>
          <t>iFile</t>
        </is>
      </c>
      <c r="DX349" s="53" t="inlineStr">
        <is>
          <t>Quality Assurance</t>
        </is>
      </c>
      <c r="DY349" s="53" t="inlineStr">
        <is>
          <t>Quality Assurance</t>
        </is>
      </c>
      <c r="DZ349" s="53" t="inlineStr">
        <is>
          <t>No</t>
        </is>
      </c>
      <c r="EA349" s="53" t="inlineStr">
        <is>
          <t>Product/Project</t>
        </is>
      </c>
      <c r="EB349" s="53" t="inlineStr">
        <is>
          <t>Software Testing</t>
        </is>
      </c>
      <c r="EC349" s="53" t="inlineStr">
        <is>
          <t>Technical · BA, PM and QA</t>
        </is>
      </c>
      <c r="ED349" s="53" t="inlineStr">
        <is>
          <t>Client Side</t>
        </is>
      </c>
      <c r="EE349" s="53"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EF349" s="53"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EG349" s="53" t="inlineStr">
        <is>
          <t>Keep ticket count low and work on CR</t>
        </is>
      </c>
      <c r="EH349" s="53" t="n">
        <v>3</v>
      </c>
      <c r="EI349" s="53" t="inlineStr">
        <is>
          <t>15-06-2026</t>
        </is>
      </c>
      <c r="EJ349" s="53" t="inlineStr">
        <is>
          <t>QA Engineer</t>
        </is>
      </c>
      <c r="EK349" s="53" t="inlineStr">
        <is>
          <t>no</t>
        </is>
      </c>
      <c r="EL349" s="53" t="n">
        <v>3</v>
      </c>
      <c r="EM349" s="53" t="inlineStr">
        <is>
          <t>Medium</t>
        </is>
      </c>
      <c r="EN349" s="53" t="inlineStr">
        <is>
          <t>Emerging Talent</t>
        </is>
      </c>
      <c r="EO349" s="53" t="inlineStr">
        <is>
          <t>No</t>
        </is>
      </c>
      <c r="EP349" s="53" t="inlineStr">
        <is>
          <t>No</t>
        </is>
      </c>
      <c r="EQ349" s="53" t="inlineStr">
        <is>
          <t>No</t>
        </is>
      </c>
      <c r="ER349" s="53" t="n"/>
      <c r="ES349" s="53" t="n"/>
      <c r="ET349" s="53" t="n"/>
      <c r="EU349" s="53" t="n"/>
      <c r="EV349" s="53" t="n"/>
      <c r="EW349" s="52" t="n"/>
      <c r="EX349" s="53" t="n"/>
      <c r="EY349" s="53" t="n"/>
      <c r="EZ349" s="53" t="n"/>
      <c r="FA349" s="53" t="n"/>
      <c r="FB349" s="53" t="n"/>
      <c r="FC349" s="53" t="n"/>
      <c r="FD349" s="53" t="n"/>
      <c r="FE349" s="57"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FF349" s="56" t="inlineStr">
        <is>
          <t>Keep ticket count low and work on CR</t>
        </is>
      </c>
      <c r="FG349" s="56" t="inlineStr">
        <is>
          <t>1. Functional, Smoke, Sanity, Regression, Retesting, RBR · XBRL &amp; Non-XBRL Return Testing &amp; Installer Testing : Perform functional, smoke, sanity, regression, retesting, RBR · XBRL &amp; Non-XBRL return testing through Web Form and File Upload channels, along with installer testing, to ensure application quality and stability.
2. Test Case Design &amp; Documentation : Create, review, and maintain test cases and documentation using AI tools to improve efficiency and test coverage.
3. Defect Reporting &amp; Tracking :  Identify, log, track, retest, and verify defects until successful closure.
4. Client Support &amp; Issue Resolution : Provide timely client support by analyzing, reproducing, and resolving reported issues.
5. Client Demonstration &amp; Product Walkthrough : Conduct product demonstrations and explain application features and workflows to clients.
6. Quality Assurance &amp; Release Validation : Ensure application quality standards and validate releases before deployment.
7. Team Collaboration &amp; Timely Delivery : Collaborate with cross-functional teams to complete testing activities within project timelines.</t>
        </is>
      </c>
      <c r="FH349" s="56" t="inlineStr">
        <is>
          <t>3</t>
        </is>
      </c>
      <c r="FI349" s="56" t="n"/>
      <c r="FJ349" s="56" t="inlineStr">
        <is>
          <t>Received · manager annual, quarterly, self</t>
        </is>
      </c>
      <c r="FK349" s="56" t="inlineStr">
        <is>
          <t>Talent Mapping · iFile collated</t>
        </is>
      </c>
      <c r="FL349" s="56" t="n">
        <v>20</v>
      </c>
      <c r="FM349" s="32" t="inlineStr">
        <is>
          <t>Full survey answers not in the files received · How We Grow export needed · HR</t>
        </is>
      </c>
      <c r="FN349" s="56" t="inlineStr">
        <is>
          <t>—</t>
        </is>
      </c>
      <c r="FO349" s="56" t="inlineStr">
        <is>
          <t>—</t>
        </is>
      </c>
      <c r="FP349" s="56" t="inlineStr">
        <is>
          <t>—</t>
        </is>
      </c>
      <c r="FQ349" s="56" t="inlineStr">
        <is>
          <t>—</t>
        </is>
      </c>
      <c r="FR349" s="56"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demonstrations; client support → moved up 0.5
Leadership: Evidence reads like A1: No guiding or leading of others described → matches the start
Business Impact: No survey or manager-mapping signal on criticality: kept at the start point.</t>
        </is>
      </c>
      <c r="FS349"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9" s="56" t="inlineStr">
        <is>
          <t>Self-identified: AI / automation · Testing &amp; quality · Data, SQL &amp; analytics
For the next role: AI / automation · Testing &amp; quality · Data, SQL &amp; analytics</t>
        </is>
      </c>
      <c r="FU349" s="32" t="inlineStr">
        <is>
          <t>Full survey answers not in the files received · How We Grow export needed · HR</t>
        </is>
      </c>
    </row>
    <row r="350" ht="90" customHeight="1">
      <c r="A350" s="51" t="inlineStr">
        <is>
          <t>◂ Back</t>
        </is>
      </c>
      <c r="B350" s="29" t="inlineStr">
        <is>
          <t>Mapped</t>
        </is>
      </c>
      <c r="C350" s="28" t="inlineStr">
        <is>
          <t>iFile</t>
        </is>
      </c>
      <c r="D350" s="29" t="inlineStr">
        <is>
          <t>IRIS2296</t>
        </is>
      </c>
      <c r="E350" s="29" t="inlineStr">
        <is>
          <t>Deepa Vaman Shinde</t>
        </is>
      </c>
      <c r="F350" s="29" t="inlineStr">
        <is>
          <t>Technology</t>
        </is>
      </c>
      <c r="G350" s="29" t="inlineStr">
        <is>
          <t>Project Manager</t>
        </is>
      </c>
      <c r="H350" s="29" t="inlineStr">
        <is>
          <t>Project Manager</t>
        </is>
      </c>
      <c r="I350" s="29" t="inlineStr">
        <is>
          <t>L5 – Manager</t>
        </is>
      </c>
      <c r="J350" s="29" t="inlineStr">
        <is>
          <t>B2</t>
        </is>
      </c>
      <c r="K350" s="29" t="inlineStr">
        <is>
          <t>• Same level</t>
        </is>
      </c>
      <c r="L350" s="29" t="inlineStr">
        <is>
          <t>Project &amp; Program Management</t>
        </is>
      </c>
      <c r="M350" s="29" t="inlineStr">
        <is>
          <t>Project &amp; Program Delivery</t>
        </is>
      </c>
      <c r="N350" s="29" t="n"/>
      <c r="O350" s="29" t="n">
        <v>20</v>
      </c>
      <c r="P350" s="28" t="inlineStr">
        <is>
          <t>P4 / M3</t>
        </is>
      </c>
      <c r="Q350" s="29" t="inlineStr">
        <is>
          <t>Senior / Manager</t>
        </is>
      </c>
      <c r="R350" s="29" t="inlineStr">
        <is>
          <t>4–5</t>
        </is>
      </c>
      <c r="S350" s="29" t="inlineStr">
        <is>
          <t>6–9 yrs</t>
        </is>
      </c>
      <c r="T350" s="29" t="inlineStr">
        <is>
          <t>7–10 · 6–11</t>
        </is>
      </c>
      <c r="U350" s="29" t="inlineStr">
        <is>
          <t>Senior Project / Program Manager</t>
        </is>
      </c>
      <c r="V350" s="29" t="inlineStr">
        <is>
          <t>IRIS Vs Competitor Benchmark — PMI pathway + SaaS delivery ladder: Senior PM</t>
        </is>
      </c>
      <c r="W350" s="29" t="inlineStr">
        <is>
          <t>PMI PMBOK and Talent Triangle; CAPM · entry → PMP → PgMP; Scrum / SAFe</t>
        </is>
      </c>
      <c r="X350" s="29" t="inlineStr">
        <is>
          <t>Core 3 · Future 3 · Functional 4 · Leadership 2</t>
        </is>
      </c>
      <c r="Y350" s="52" t="n">
        <v>335</v>
      </c>
      <c r="Z350" s="53" t="inlineStr">
        <is>
          <t>IRIS2296</t>
        </is>
      </c>
      <c r="AA350" s="53" t="inlineStr">
        <is>
          <t>Employee</t>
        </is>
      </c>
      <c r="AB350" s="53" t="inlineStr">
        <is>
          <t>Active</t>
        </is>
      </c>
      <c r="AC350" s="53" t="inlineStr">
        <is>
          <t>Deepa Vaman Shinde</t>
        </is>
      </c>
      <c r="AD350" s="54" t="n">
        <v>45495</v>
      </c>
      <c r="AE350" s="53" t="inlineStr">
        <is>
          <t>Project Manager</t>
        </is>
      </c>
      <c r="AF350" s="53" t="inlineStr">
        <is>
          <t>B.E</t>
        </is>
      </c>
      <c r="AG350" s="53" t="inlineStr">
        <is>
          <t>Pradip Dey</t>
        </is>
      </c>
      <c r="AH350" s="53" t="inlineStr">
        <is>
          <t>N-3</t>
        </is>
      </c>
      <c r="AI350" s="53" t="inlineStr">
        <is>
          <t>Individual Contributor</t>
        </is>
      </c>
      <c r="AJ350" s="53" t="inlineStr">
        <is>
          <t>12 years, 6 months, 0 days</t>
        </is>
      </c>
      <c r="AK350" s="53" t="inlineStr">
        <is>
          <t>2 years, 1 months, 3 days</t>
        </is>
      </c>
      <c r="AL350" s="53" t="inlineStr">
        <is>
          <t>Suptech</t>
        </is>
      </c>
      <c r="AM350" s="53" t="inlineStr">
        <is>
          <t>iFile</t>
        </is>
      </c>
      <c r="AN350" s="53" t="inlineStr">
        <is>
          <t>Technology</t>
        </is>
      </c>
      <c r="AO350" s="53" t="inlineStr">
        <is>
          <t>Project Management</t>
        </is>
      </c>
      <c r="AP350" s="53" t="inlineStr">
        <is>
          <t>No</t>
        </is>
      </c>
      <c r="AQ350" s="53" t="inlineStr">
        <is>
          <t>Product/Project</t>
        </is>
      </c>
      <c r="AR350" s="53" t="inlineStr">
        <is>
          <t>Project Management</t>
        </is>
      </c>
      <c r="AS350" s="53" t="inlineStr">
        <is>
          <t>Technical · BA, PM and QA</t>
        </is>
      </c>
      <c r="AT350" s="53" t="n">
        <v>20</v>
      </c>
      <c r="AU350" s="53" t="inlineStr">
        <is>
          <t>Covered</t>
        </is>
      </c>
      <c r="AV350" s="53" t="n"/>
      <c r="AW350" s="53" t="n"/>
      <c r="AX350" s="53" t="n"/>
      <c r="AY350" s="53" t="n"/>
      <c r="AZ350" s="53" t="n"/>
      <c r="BA350" s="53" t="n"/>
      <c r="BB350" s="53" t="n"/>
      <c r="BC350" s="53" t="n"/>
      <c r="BD350" s="53" t="n"/>
      <c r="BE350" s="53" t="n"/>
      <c r="BF350" s="53" t="n"/>
      <c r="BG350" s="53" t="n"/>
      <c r="BH350" s="53" t="n"/>
      <c r="BI350" s="53" t="n"/>
      <c r="BJ350" s="53" t="n"/>
      <c r="BK350" s="53" t="n"/>
      <c r="BL350" s="53" t="n"/>
      <c r="BM350" s="53" t="n"/>
      <c r="BN350" s="53" t="n"/>
      <c r="BO350" s="53" t="n"/>
      <c r="BP350" s="53" t="n"/>
      <c r="BQ350" s="53" t="n"/>
      <c r="BR350" s="53" t="n"/>
      <c r="BS350" s="53" t="n"/>
      <c r="BT350" s="53" t="n"/>
      <c r="BU350" s="53" t="n"/>
      <c r="BV350" s="53" t="n"/>
      <c r="BW350" s="53" t="n"/>
      <c r="BX350" s="53" t="n"/>
      <c r="BY350" s="53" t="n"/>
      <c r="BZ350" s="53" t="n"/>
      <c r="CA350" s="53" t="n"/>
      <c r="CB350" s="53" t="n"/>
      <c r="CC350" s="53" t="n"/>
      <c r="CD350" s="53" t="n"/>
      <c r="CE350" s="53" t="n"/>
      <c r="CF350" s="53" t="n"/>
      <c r="CG350" s="53" t="n"/>
      <c r="CH350" s="53" t="n"/>
      <c r="CI350" s="53" t="n"/>
      <c r="CJ350" s="53" t="n"/>
      <c r="CK350" s="53" t="n"/>
      <c r="CL350" s="53" t="n"/>
      <c r="CM350" s="53" t="n"/>
      <c r="CN350" s="53" t="n"/>
      <c r="CO350" s="53" t="n"/>
      <c r="CP350" s="53" t="n"/>
      <c r="CQ350" s="53" t="n"/>
      <c r="CR350" s="53" t="n"/>
      <c r="CS350" s="53" t="n"/>
      <c r="CT350" s="53" t="n"/>
      <c r="CU350" s="53" t="n"/>
      <c r="CV350" s="53" t="n"/>
      <c r="CW350" s="53" t="n"/>
      <c r="CX350" s="53" t="n"/>
      <c r="CY350" s="53" t="n"/>
      <c r="CZ350" s="53" t="n"/>
      <c r="DA350" s="53" t="n"/>
      <c r="DB350" s="53" t="n"/>
      <c r="DC350" s="53" t="n"/>
      <c r="DD350" s="53" t="inlineStr">
        <is>
          <t>IRIS2296</t>
        </is>
      </c>
      <c r="DE350" s="53" t="inlineStr">
        <is>
          <t>Employee</t>
        </is>
      </c>
      <c r="DF350" s="53" t="inlineStr">
        <is>
          <t>Active</t>
        </is>
      </c>
      <c r="DG350" s="53" t="inlineStr">
        <is>
          <t>Deepa Vaman Shinde</t>
        </is>
      </c>
      <c r="DH350" s="54" t="n">
        <v>45495</v>
      </c>
      <c r="DI350" s="53" t="inlineStr">
        <is>
          <t>Project Manager</t>
        </is>
      </c>
      <c r="DJ350" s="53" t="inlineStr">
        <is>
          <t>Project &amp; Program Management</t>
        </is>
      </c>
      <c r="DK350" s="53" t="inlineStr">
        <is>
          <t>Project Management</t>
        </is>
      </c>
      <c r="DL350" s="53" t="inlineStr">
        <is>
          <t>Project Manager</t>
        </is>
      </c>
      <c r="DM350" s="53" t="inlineStr">
        <is>
          <t>L5 – Manager</t>
        </is>
      </c>
      <c r="DN350" s="53" t="inlineStr">
        <is>
          <t>B.E</t>
        </is>
      </c>
      <c r="DO350" s="53" t="inlineStr">
        <is>
          <t>Pradip Dey</t>
        </is>
      </c>
      <c r="DP350" s="53" t="inlineStr">
        <is>
          <t>N-2</t>
        </is>
      </c>
      <c r="DQ350" s="53" t="inlineStr">
        <is>
          <t>Individual Contributor</t>
        </is>
      </c>
      <c r="DR350" s="53" t="inlineStr">
        <is>
          <t>12 years, 6 months, 0 days</t>
        </is>
      </c>
      <c r="DS350" s="53" t="inlineStr">
        <is>
          <t>1 years, 10 months, 29 days</t>
        </is>
      </c>
      <c r="DT350" s="53" t="inlineStr">
        <is>
          <t>14 years, 4 months, 29 days</t>
        </is>
      </c>
      <c r="DU350" s="53" t="n"/>
      <c r="DV350" s="53" t="inlineStr">
        <is>
          <t>Suptech</t>
        </is>
      </c>
      <c r="DW350" s="53" t="inlineStr">
        <is>
          <t>iFile</t>
        </is>
      </c>
      <c r="DX350" s="53" t="inlineStr">
        <is>
          <t>Technology</t>
        </is>
      </c>
      <c r="DY350" s="53" t="inlineStr">
        <is>
          <t>Project Management</t>
        </is>
      </c>
      <c r="DZ350" s="53" t="inlineStr">
        <is>
          <t>No</t>
        </is>
      </c>
      <c r="EA350" s="53" t="inlineStr">
        <is>
          <t>Product/Project</t>
        </is>
      </c>
      <c r="EB350" s="53" t="inlineStr">
        <is>
          <t>Project Management</t>
        </is>
      </c>
      <c r="EC350" s="53" t="inlineStr">
        <is>
          <t>Technical · BA, PM and QA</t>
        </is>
      </c>
      <c r="ED350" s="53" t="inlineStr">
        <is>
          <t>Hybrid</t>
        </is>
      </c>
      <c r="EE350" s="53" t="n"/>
      <c r="EF350" s="53"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G350" s="53" t="inlineStr">
        <is>
          <t>QFCRA project mgmt as per scope, schedule and cost
Operational support for the accounts - QSE
Process improvements
PMP completion
Digital way of working and measurement of metrics through the tools for the entire team</t>
        </is>
      </c>
      <c r="EH350" s="53" t="inlineStr">
        <is>
          <t>Meets Expectations</t>
        </is>
      </c>
      <c r="EI350" s="54" t="n">
        <v>45931</v>
      </c>
      <c r="EJ350" s="53" t="inlineStr">
        <is>
          <t>Project Manager</t>
        </is>
      </c>
      <c r="EK350" s="53" t="n"/>
      <c r="EL350" s="53" t="n">
        <v>3</v>
      </c>
      <c r="EM350" s="53" t="inlineStr">
        <is>
          <t>Medium</t>
        </is>
      </c>
      <c r="EN350" s="53" t="inlineStr">
        <is>
          <t>Reliable Specialist</t>
        </is>
      </c>
      <c r="EO350" s="53" t="n"/>
      <c r="EP350" s="53" t="inlineStr">
        <is>
          <t>N</t>
        </is>
      </c>
      <c r="EQ350" s="53" t="inlineStr">
        <is>
          <t>N</t>
        </is>
      </c>
      <c r="ER350" s="53" t="n"/>
      <c r="ES350" s="53" t="inlineStr">
        <is>
          <t>SupTech Domain, Agile Scrum</t>
        </is>
      </c>
      <c r="ET350" s="53" t="n"/>
      <c r="EU350" s="53" t="inlineStr">
        <is>
          <t>QCB,QFCRA,SSM,ACRA,JCM,ADX/DFM</t>
        </is>
      </c>
      <c r="EV350" s="53" t="n"/>
      <c r="EW350" s="52" t="n"/>
      <c r="EX350" s="53" t="n"/>
      <c r="EY350" s="53" t="n"/>
      <c r="EZ350" s="53" t="n"/>
      <c r="FA350" s="53" t="n"/>
      <c r="FB350" s="53" t="n"/>
      <c r="FC350" s="53" t="n"/>
      <c r="FD350" s="53" t="n"/>
      <c r="FE350" s="57"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FF350" s="56" t="inlineStr">
        <is>
          <t>QFCRA project mgmt as per scope, schedule and cost
Operational support for the accounts - QSE
Process improvements
PMP completion
Digital way of working and measurement of metrics through the tools for the entire team</t>
        </is>
      </c>
      <c r="FG350" s="56" t="n"/>
      <c r="FH350" s="56" t="inlineStr">
        <is>
          <t>Meets Expectations</t>
        </is>
      </c>
      <c r="FI350" s="56" t="n"/>
      <c r="FJ350" s="56" t="inlineStr">
        <is>
          <t>Received · manager annual, quarterly</t>
        </is>
      </c>
      <c r="FK350" s="56" t="inlineStr">
        <is>
          <t>Talent Mapping · iFile collated</t>
        </is>
      </c>
      <c r="FL350" s="56" t="n">
        <v>20</v>
      </c>
      <c r="FM350" s="32" t="inlineStr">
        <is>
          <t>Full survey answers not in the files received · How We Grow export needed · HR</t>
        </is>
      </c>
      <c r="FN350" s="56" t="inlineStr">
        <is>
          <t>—</t>
        </is>
      </c>
      <c r="FO350" s="56" t="inlineStr">
        <is>
          <t>—</t>
        </is>
      </c>
      <c r="FP350" s="56" t="inlineStr">
        <is>
          <t>—</t>
        </is>
      </c>
      <c r="FQ350" s="56" t="inlineStr">
        <is>
          <t>—</t>
        </is>
      </c>
      <c r="FR350" s="56"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Evidence reads like A2: No people leadership described; stakeholder management only; 0 reports → moved down 0.5
Business Impact: No move: the survey / manager mapping does not mark it business-critical or unique.</t>
        </is>
      </c>
      <c r="FS350"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350" s="56" t="inlineStr">
        <is>
          <t>Self-identified: Client, sales &amp; stakeholders · Strategy &amp; business acumen · Broader exposure &amp; ownership
For the next role: Client, sales &amp; stakeholders · Strategy &amp; business acumen · Broader exposure &amp; ownership</t>
        </is>
      </c>
      <c r="FU350" s="32" t="inlineStr">
        <is>
          <t>Full survey answers not in the files received · How We Grow export needed · HR</t>
        </is>
      </c>
    </row>
    <row r="351" ht="90" customHeight="1">
      <c r="A351" s="51" t="inlineStr">
        <is>
          <t>◂ Back</t>
        </is>
      </c>
      <c r="B351" s="29" t="inlineStr">
        <is>
          <t>Mapped</t>
        </is>
      </c>
      <c r="C351" s="28" t="inlineStr">
        <is>
          <t>iFile</t>
        </is>
      </c>
      <c r="D351" s="29" t="inlineStr">
        <is>
          <t>IRIS2366</t>
        </is>
      </c>
      <c r="E351" s="29" t="inlineStr">
        <is>
          <t>Jailesh Bhadra</t>
        </is>
      </c>
      <c r="F351" s="29" t="inlineStr">
        <is>
          <t>Technology</t>
        </is>
      </c>
      <c r="G351" s="29" t="inlineStr">
        <is>
          <t>Project Manager</t>
        </is>
      </c>
      <c r="H351" s="29" t="inlineStr">
        <is>
          <t>Project Manager</t>
        </is>
      </c>
      <c r="I351" s="29" t="inlineStr">
        <is>
          <t>L5 – Manager</t>
        </is>
      </c>
      <c r="J351" s="29" t="inlineStr">
        <is>
          <t>B2</t>
        </is>
      </c>
      <c r="K351" s="29" t="inlineStr">
        <is>
          <t>• Same level</t>
        </is>
      </c>
      <c r="L351" s="29" t="inlineStr">
        <is>
          <t>Project &amp; Program Management</t>
        </is>
      </c>
      <c r="M351" s="29" t="inlineStr">
        <is>
          <t>Project &amp; Program Delivery</t>
        </is>
      </c>
      <c r="N351" s="29" t="n"/>
      <c r="O351" s="29" t="n">
        <v>20</v>
      </c>
      <c r="P351" s="28" t="inlineStr">
        <is>
          <t>P4 / M3</t>
        </is>
      </c>
      <c r="Q351" s="29" t="inlineStr">
        <is>
          <t>Senior / Manager</t>
        </is>
      </c>
      <c r="R351" s="29" t="inlineStr">
        <is>
          <t>4–5</t>
        </is>
      </c>
      <c r="S351" s="29" t="inlineStr">
        <is>
          <t>6–9 yrs</t>
        </is>
      </c>
      <c r="T351" s="29" t="inlineStr">
        <is>
          <t>7–10 · 6–11</t>
        </is>
      </c>
      <c r="U351" s="29" t="inlineStr">
        <is>
          <t>Manager</t>
        </is>
      </c>
      <c r="V351" s="29" t="inlineStr">
        <is>
          <t>IRIS Vs Competitor Benchmark — PMI pathway + SaaS delivery ladder: Senior PM</t>
        </is>
      </c>
      <c r="W351" s="29" t="inlineStr">
        <is>
          <t>PMI PMBOK and Talent Triangle; CAPM · entry → PMP → PgMP; Scrum / SAFe</t>
        </is>
      </c>
      <c r="X351" s="29" t="inlineStr">
        <is>
          <t>Core 3 · Future 3 · Functional 4 · Leadership 3</t>
        </is>
      </c>
      <c r="Y351" s="52" t="n">
        <v>368</v>
      </c>
      <c r="Z351" s="53" t="inlineStr">
        <is>
          <t>IRIS2366</t>
        </is>
      </c>
      <c r="AA351" s="53" t="inlineStr">
        <is>
          <t>Employee</t>
        </is>
      </c>
      <c r="AB351" s="53" t="inlineStr">
        <is>
          <t>Active</t>
        </is>
      </c>
      <c r="AC351" s="53" t="inlineStr">
        <is>
          <t>Jailesh Bhadra</t>
        </is>
      </c>
      <c r="AD351" s="54" t="n">
        <v>45756</v>
      </c>
      <c r="AE351" s="53" t="inlineStr">
        <is>
          <t>Project Manager</t>
        </is>
      </c>
      <c r="AF351" s="53" t="inlineStr">
        <is>
          <t>B.E</t>
        </is>
      </c>
      <c r="AG351" s="53" t="inlineStr">
        <is>
          <t>Pradip Dey</t>
        </is>
      </c>
      <c r="AH351" s="53" t="inlineStr">
        <is>
          <t>N-3</t>
        </is>
      </c>
      <c r="AI351" s="53" t="inlineStr">
        <is>
          <t>Manager</t>
        </is>
      </c>
      <c r="AJ351" s="53" t="inlineStr">
        <is>
          <t>10 years, 0 months, 00 days</t>
        </is>
      </c>
      <c r="AK351" s="53" t="inlineStr">
        <is>
          <t>1 years, 4 months, 16 days</t>
        </is>
      </c>
      <c r="AL351" s="53" t="inlineStr">
        <is>
          <t>Suptech</t>
        </is>
      </c>
      <c r="AM351" s="53" t="inlineStr">
        <is>
          <t>iFile</t>
        </is>
      </c>
      <c r="AN351" s="53" t="inlineStr">
        <is>
          <t>Technology</t>
        </is>
      </c>
      <c r="AO351" s="53" t="inlineStr">
        <is>
          <t>Project Management</t>
        </is>
      </c>
      <c r="AP351" s="53" t="inlineStr">
        <is>
          <t>No</t>
        </is>
      </c>
      <c r="AQ351" s="53" t="inlineStr">
        <is>
          <t>Product/Project</t>
        </is>
      </c>
      <c r="AR351" s="53" t="inlineStr">
        <is>
          <t>Project Management</t>
        </is>
      </c>
      <c r="AS351" s="53" t="inlineStr">
        <is>
          <t>Technical · BA, PM and QA</t>
        </is>
      </c>
      <c r="AT351" s="53" t="n">
        <v>20</v>
      </c>
      <c r="AU351" s="53" t="inlineStr">
        <is>
          <t>Covered</t>
        </is>
      </c>
      <c r="AV351" s="53" t="n"/>
      <c r="AW351" s="53" t="n"/>
      <c r="AX351" s="53" t="n"/>
      <c r="AY351" s="53" t="n"/>
      <c r="AZ351" s="53" t="n"/>
      <c r="BA351" s="53" t="n"/>
      <c r="BB351" s="53" t="n"/>
      <c r="BC351" s="53" t="n"/>
      <c r="BD351" s="53" t="n"/>
      <c r="BE351" s="53" t="n"/>
      <c r="BF351" s="53" t="n"/>
      <c r="BG351" s="53" t="n"/>
      <c r="BH351" s="53" t="n"/>
      <c r="BI351" s="53" t="n"/>
      <c r="BJ351" s="53" t="n"/>
      <c r="BK351" s="53" t="n"/>
      <c r="BL351" s="53" t="n"/>
      <c r="BM351" s="53" t="n"/>
      <c r="BN351" s="53" t="n"/>
      <c r="BO351" s="53" t="n"/>
      <c r="BP351" s="53" t="n"/>
      <c r="BQ351" s="53" t="n"/>
      <c r="BR351" s="53" t="n"/>
      <c r="BS351" s="53" t="n"/>
      <c r="BT351" s="53" t="n"/>
      <c r="BU351" s="53" t="n"/>
      <c r="BV351" s="53" t="n"/>
      <c r="BW351" s="53" t="n"/>
      <c r="BX351" s="53" t="n"/>
      <c r="BY351" s="53" t="n"/>
      <c r="BZ351" s="53" t="n"/>
      <c r="CA351" s="53" t="n"/>
      <c r="CB351" s="53" t="n"/>
      <c r="CC351" s="53" t="n"/>
      <c r="CD351" s="53" t="n"/>
      <c r="CE351" s="53" t="n"/>
      <c r="CF351" s="53" t="n"/>
      <c r="CG351" s="53" t="n"/>
      <c r="CH351" s="53" t="n"/>
      <c r="CI351" s="53" t="n"/>
      <c r="CJ351" s="53" t="n"/>
      <c r="CK351" s="53" t="n"/>
      <c r="CL351" s="53" t="n"/>
      <c r="CM351" s="53" t="n"/>
      <c r="CN351" s="53" t="n"/>
      <c r="CO351" s="53" t="n"/>
      <c r="CP351" s="53" t="n"/>
      <c r="CQ351" s="53" t="n"/>
      <c r="CR351" s="53" t="n"/>
      <c r="CS351" s="53" t="n"/>
      <c r="CT351" s="53" t="n"/>
      <c r="CU351" s="53" t="n"/>
      <c r="CV351" s="53" t="n"/>
      <c r="CW351" s="53" t="n"/>
      <c r="CX351" s="53" t="n"/>
      <c r="CY351" s="53" t="n"/>
      <c r="CZ351" s="53" t="n"/>
      <c r="DA351" s="53" t="n"/>
      <c r="DB351" s="53" t="n"/>
      <c r="DC351" s="53" t="n"/>
      <c r="DD351" s="53" t="inlineStr">
        <is>
          <t>IRIS2366</t>
        </is>
      </c>
      <c r="DE351" s="53" t="inlineStr">
        <is>
          <t>Employee</t>
        </is>
      </c>
      <c r="DF351" s="53" t="inlineStr">
        <is>
          <t>Active</t>
        </is>
      </c>
      <c r="DG351" s="53" t="inlineStr">
        <is>
          <t>Jailesh Bhadra</t>
        </is>
      </c>
      <c r="DH351" s="54" t="n">
        <v>45756</v>
      </c>
      <c r="DI351" s="53" t="inlineStr">
        <is>
          <t>Project Manager</t>
        </is>
      </c>
      <c r="DJ351" s="53" t="inlineStr">
        <is>
          <t>Project &amp; Program Management</t>
        </is>
      </c>
      <c r="DK351" s="53" t="inlineStr">
        <is>
          <t>Project Management</t>
        </is>
      </c>
      <c r="DL351" s="53" t="inlineStr">
        <is>
          <t>Project Manager</t>
        </is>
      </c>
      <c r="DM351" s="53" t="inlineStr">
        <is>
          <t>L5 – Manager</t>
        </is>
      </c>
      <c r="DN351" s="53" t="inlineStr">
        <is>
          <t>B.E</t>
        </is>
      </c>
      <c r="DO351" s="53" t="inlineStr">
        <is>
          <t>Pradip Dey</t>
        </is>
      </c>
      <c r="DP351" s="53" t="inlineStr">
        <is>
          <t>N-2</t>
        </is>
      </c>
      <c r="DQ351" s="53" t="inlineStr">
        <is>
          <t>Manager</t>
        </is>
      </c>
      <c r="DR351" s="53" t="inlineStr">
        <is>
          <t>10 years, 0 months, 00 days</t>
        </is>
      </c>
      <c r="DS351" s="53" t="inlineStr">
        <is>
          <t>1 years, 2 months, 11 days</t>
        </is>
      </c>
      <c r="DT351" s="53" t="inlineStr">
        <is>
          <t>11 years, 2 months, 11 days</t>
        </is>
      </c>
      <c r="DU351" s="53" t="n">
        <v>1.19680365296804</v>
      </c>
      <c r="DV351" s="53" t="inlineStr">
        <is>
          <t>Suptech</t>
        </is>
      </c>
      <c r="DW351" s="53" t="inlineStr">
        <is>
          <t>iFile</t>
        </is>
      </c>
      <c r="DX351" s="53" t="inlineStr">
        <is>
          <t>Technology</t>
        </is>
      </c>
      <c r="DY351" s="53" t="inlineStr">
        <is>
          <t>Project Management</t>
        </is>
      </c>
      <c r="DZ351" s="53" t="inlineStr">
        <is>
          <t>No</t>
        </is>
      </c>
      <c r="EA351" s="53" t="inlineStr">
        <is>
          <t>Product/Project</t>
        </is>
      </c>
      <c r="EB351" s="53" t="inlineStr">
        <is>
          <t>Project Management</t>
        </is>
      </c>
      <c r="EC351" s="53" t="inlineStr">
        <is>
          <t>Technical · BA, PM and QA</t>
        </is>
      </c>
      <c r="ED351" s="53" t="inlineStr">
        <is>
          <t>Work From Office - Turbhe</t>
        </is>
      </c>
      <c r="EE351" s="53" t="n"/>
      <c r="EF351" s="53"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EG351" s="53" t="inlineStr">
        <is>
          <t>Bank of Jamaica demo readiness
Process improvements
Initiate QCB UAT
Digital way of working and measurement of metrics through the tools</t>
        </is>
      </c>
      <c r="EH351" s="53" t="inlineStr">
        <is>
          <t>Outstanding</t>
        </is>
      </c>
      <c r="EI351" s="54" t="n">
        <v>45931</v>
      </c>
      <c r="EJ351" s="53" t="inlineStr">
        <is>
          <t>Project Manager</t>
        </is>
      </c>
      <c r="EK351" s="53" t="n"/>
      <c r="EL351" s="53" t="n">
        <v>4</v>
      </c>
      <c r="EM351" s="53" t="inlineStr">
        <is>
          <t>High</t>
        </is>
      </c>
      <c r="EN351" s="53" t="inlineStr">
        <is>
          <t>High Impact / Growth Talent</t>
        </is>
      </c>
      <c r="EO351" s="53" t="n"/>
      <c r="EP351" s="53" t="inlineStr">
        <is>
          <t>Y</t>
        </is>
      </c>
      <c r="EQ351" s="53" t="inlineStr">
        <is>
          <t>Y</t>
        </is>
      </c>
      <c r="ER351" s="53" t="n"/>
      <c r="ES351" s="53" t="inlineStr">
        <is>
          <t>Domian specific · AML, Business Registry etc</t>
        </is>
      </c>
      <c r="ET351" s="53" t="n"/>
      <c r="EU351" s="53" t="inlineStr">
        <is>
          <t>Testing - All iFIle projects,QCB</t>
        </is>
      </c>
      <c r="EV351" s="53" t="n"/>
      <c r="EW351" s="52" t="n"/>
      <c r="EX351" s="53" t="n"/>
      <c r="EY351" s="53" t="n"/>
      <c r="EZ351" s="53" t="n"/>
      <c r="FA351" s="53" t="n"/>
      <c r="FB351" s="53" t="n"/>
      <c r="FC351" s="53" t="inlineStr">
        <is>
          <t>Annual KRAs · objective Measurable Minimum 5 - set by Manager</t>
        </is>
      </c>
      <c r="FD351" s="53" t="n"/>
      <c r="FE351" s="57"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FF351" s="56" t="inlineStr">
        <is>
          <t>Bank of Jamaica demo readiness
Process improvements
Initiate QCB UAT
Digital way of working and measurement of metrics through the tools</t>
        </is>
      </c>
      <c r="FG351" s="56" t="n"/>
      <c r="FH351" s="56" t="inlineStr">
        <is>
          <t>Outstanding</t>
        </is>
      </c>
      <c r="FI351" s="56" t="n"/>
      <c r="FJ351" s="56" t="inlineStr">
        <is>
          <t>Received · manager annual, quarterly</t>
        </is>
      </c>
      <c r="FK351" s="56" t="inlineStr">
        <is>
          <t>Talent Mapping · iFile collated</t>
        </is>
      </c>
      <c r="FL351" s="56" t="n">
        <v>20</v>
      </c>
      <c r="FM351" s="32" t="inlineStr">
        <is>
          <t>Full survey answers not in the files received · How We Grow export needed · HR</t>
        </is>
      </c>
      <c r="FN351" s="56" t="inlineStr">
        <is>
          <t>—</t>
        </is>
      </c>
      <c r="FO351" s="56" t="inlineStr">
        <is>
          <t>—</t>
        </is>
      </c>
      <c r="FP351" s="56" t="inlineStr">
        <is>
          <t>—</t>
        </is>
      </c>
      <c r="FQ351" s="56" t="inlineStr">
        <is>
          <t>—</t>
        </is>
      </c>
      <c r="FR351" s="56"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moved down 0.5
Leadership: Evidence reads like B2: Team management listed; 7 direct reports → moved down 0.5
Business Impact: Moved +0.5: the survey / manager mapping marks it business-critical.</t>
        </is>
      </c>
      <c r="FS351"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51" s="56" t="inlineStr">
        <is>
          <t>Self-identified: Domain, regulatory &amp; XBRL · Certification / formal course
For the next role: Domain, regulatory &amp; XBRL · Certification / formal course</t>
        </is>
      </c>
      <c r="FU351" s="32" t="inlineStr">
        <is>
          <t>Full survey answers not in the files received · How We Grow export needed · HR</t>
        </is>
      </c>
    </row>
    <row r="352" ht="90" customHeight="1">
      <c r="A352" s="51" t="inlineStr">
        <is>
          <t>◂ Back</t>
        </is>
      </c>
      <c r="B352" s="29" t="inlineStr">
        <is>
          <t>Mapped</t>
        </is>
      </c>
      <c r="C352" s="28" t="inlineStr">
        <is>
          <t>iFile</t>
        </is>
      </c>
      <c r="D352" s="29" t="inlineStr">
        <is>
          <t>IRIS0484</t>
        </is>
      </c>
      <c r="E352" s="29" t="inlineStr">
        <is>
          <t>Deepa Karmarkar</t>
        </is>
      </c>
      <c r="F352" s="29" t="inlineStr">
        <is>
          <t>Technology</t>
        </is>
      </c>
      <c r="G352" s="29" t="inlineStr">
        <is>
          <t>Lead Software Engineer</t>
        </is>
      </c>
      <c r="H352" s="29" t="inlineStr">
        <is>
          <t>Lead Software Engineer</t>
        </is>
      </c>
      <c r="I352" s="29" t="inlineStr">
        <is>
          <t>L5 – Lead · IC</t>
        </is>
      </c>
      <c r="J352" s="29" t="inlineStr">
        <is>
          <t>B2</t>
        </is>
      </c>
      <c r="K352" s="29" t="inlineStr">
        <is>
          <t>• Same level</t>
        </is>
      </c>
      <c r="L352" s="29" t="inlineStr">
        <is>
          <t>Engineering &amp; Development</t>
        </is>
      </c>
      <c r="M352" s="29" t="inlineStr">
        <is>
          <t>Backend Development</t>
        </is>
      </c>
      <c r="N352" s="29" t="n"/>
      <c r="O352" s="29" t="n">
        <v>20</v>
      </c>
      <c r="P352" s="28" t="inlineStr">
        <is>
          <t>P4 / M3</t>
        </is>
      </c>
      <c r="Q352" s="29" t="inlineStr">
        <is>
          <t>Senior / Manager</t>
        </is>
      </c>
      <c r="R352" s="29" t="inlineStr">
        <is>
          <t>4–5</t>
        </is>
      </c>
      <c r="S352" s="29" t="inlineStr">
        <is>
          <t>6–9 yrs</t>
        </is>
      </c>
      <c r="T352" s="29" t="inlineStr">
        <is>
          <t>7–10 · 6–11</t>
        </is>
      </c>
      <c r="U352" s="29" t="inlineStr">
        <is>
          <t>Principal Engineer</t>
        </is>
      </c>
      <c r="V352" s="29" t="inlineStr">
        <is>
          <t>Workiva: Senior SE · Broadridge India: Lead SE · Nasdaq / AxiomSL: Senior SE · Salesforce: SMTS · Atlassian: P50 Senior · 6–12 yrs · Freshworks: Lead SE</t>
        </is>
      </c>
      <c r="W352" s="29" t="inlineStr">
        <is>
          <t>SFIA 9 · software development, programming; OWASP secure coding; cloud vendor certifications</t>
        </is>
      </c>
      <c r="X352" s="29" t="inlineStr">
        <is>
          <t>Core 3 · Future 3 · Functional 4 · Leadership 2</t>
        </is>
      </c>
      <c r="Y352" s="52" t="n">
        <v>65</v>
      </c>
      <c r="Z352" s="53" t="inlineStr">
        <is>
          <t>IRIS0484</t>
        </is>
      </c>
      <c r="AA352" s="53" t="inlineStr">
        <is>
          <t>Employee</t>
        </is>
      </c>
      <c r="AB352" s="53" t="inlineStr">
        <is>
          <t>Active</t>
        </is>
      </c>
      <c r="AC352" s="53" t="inlineStr">
        <is>
          <t>Deepa Karmarkar</t>
        </is>
      </c>
      <c r="AD352" s="54" t="n">
        <v>40532</v>
      </c>
      <c r="AE352" s="53" t="inlineStr">
        <is>
          <t>Lead Software Engineer</t>
        </is>
      </c>
      <c r="AF352" s="53" t="inlineStr">
        <is>
          <t>B.E</t>
        </is>
      </c>
      <c r="AG352" s="53" t="inlineStr">
        <is>
          <t>Jailesh Bhadra</t>
        </is>
      </c>
      <c r="AH352" s="53" t="inlineStr">
        <is>
          <t>N-4</t>
        </is>
      </c>
      <c r="AI352" s="53" t="inlineStr">
        <is>
          <t>Individual Contributor</t>
        </is>
      </c>
      <c r="AJ352" s="53" t="inlineStr">
        <is>
          <t>4 years, 1 months, 0 days</t>
        </is>
      </c>
      <c r="AK352" s="53" t="inlineStr">
        <is>
          <t>15 years, 8 months, 5 days</t>
        </is>
      </c>
      <c r="AL352" s="53" t="inlineStr">
        <is>
          <t>Suptech</t>
        </is>
      </c>
      <c r="AM352" s="53" t="inlineStr">
        <is>
          <t>iFile</t>
        </is>
      </c>
      <c r="AN352" s="53" t="inlineStr">
        <is>
          <t>Technology</t>
        </is>
      </c>
      <c r="AO352" s="53" t="inlineStr">
        <is>
          <t>Development</t>
        </is>
      </c>
      <c r="AP352" s="53" t="inlineStr">
        <is>
          <t>Yes</t>
        </is>
      </c>
      <c r="AQ352" s="53" t="inlineStr">
        <is>
          <t>Product/Project</t>
        </is>
      </c>
      <c r="AR352" s="53" t="inlineStr">
        <is>
          <t>.NET MVC</t>
        </is>
      </c>
      <c r="AS352" s="53" t="inlineStr">
        <is>
          <t>Technical - Developer</t>
        </is>
      </c>
      <c r="AT352" s="53" t="n">
        <v>20</v>
      </c>
      <c r="AU352" s="53" t="inlineStr">
        <is>
          <t>Covered</t>
        </is>
      </c>
      <c r="AV352" s="53" t="n"/>
      <c r="AW352" s="53" t="n"/>
      <c r="AX352" s="53" t="n"/>
      <c r="AY352" s="53" t="n"/>
      <c r="AZ352" s="53" t="n"/>
      <c r="BA352" s="53" t="n"/>
      <c r="BB352" s="53" t="n"/>
      <c r="BC352" s="53" t="n"/>
      <c r="BD352" s="53" t="n"/>
      <c r="BE352" s="53" t="n"/>
      <c r="BF352" s="53" t="n"/>
      <c r="BG352" s="53" t="n"/>
      <c r="BH352" s="53" t="n"/>
      <c r="BI352" s="53" t="n"/>
      <c r="BJ352" s="53" t="n"/>
      <c r="BK352" s="53" t="n"/>
      <c r="BL352" s="53" t="n"/>
      <c r="BM352" s="53" t="n"/>
      <c r="BN352" s="53" t="n"/>
      <c r="BO352" s="53" t="n"/>
      <c r="BP352" s="53" t="n"/>
      <c r="BQ352" s="53" t="n"/>
      <c r="BR352" s="53" t="n"/>
      <c r="BS352" s="53" t="n"/>
      <c r="BT352" s="53" t="n"/>
      <c r="BU352" s="53" t="n"/>
      <c r="BV352" s="53" t="n"/>
      <c r="BW352" s="53" t="n"/>
      <c r="BX352" s="53" t="n"/>
      <c r="BY352" s="53" t="n"/>
      <c r="BZ352" s="53" t="n"/>
      <c r="CA352" s="53" t="n"/>
      <c r="CB352" s="53" t="n"/>
      <c r="CC352" s="53" t="n"/>
      <c r="CD352" s="53" t="n"/>
      <c r="CE352" s="53" t="n"/>
      <c r="CF352" s="53" t="n"/>
      <c r="CG352" s="53" t="n"/>
      <c r="CH352" s="53" t="n"/>
      <c r="CI352" s="53" t="n"/>
      <c r="CJ352" s="53" t="n"/>
      <c r="CK352" s="53" t="n"/>
      <c r="CL352" s="53" t="n"/>
      <c r="CM352" s="53" t="n"/>
      <c r="CN352" s="53" t="n"/>
      <c r="CO352" s="53" t="n"/>
      <c r="CP352" s="53" t="n"/>
      <c r="CQ352" s="53" t="n"/>
      <c r="CR352" s="53" t="n"/>
      <c r="CS352" s="53" t="n"/>
      <c r="CT352" s="53" t="n"/>
      <c r="CU352" s="53" t="n"/>
      <c r="CV352" s="53" t="n"/>
      <c r="CW352" s="53" t="n"/>
      <c r="CX352" s="53" t="n"/>
      <c r="CY352" s="53" t="n"/>
      <c r="CZ352" s="53" t="n"/>
      <c r="DA352" s="53" t="n"/>
      <c r="DB352" s="53" t="n"/>
      <c r="DC352" s="53" t="n"/>
      <c r="DD352" s="53" t="inlineStr">
        <is>
          <t>IRIS0484</t>
        </is>
      </c>
      <c r="DE352" s="53" t="inlineStr">
        <is>
          <t>Employee</t>
        </is>
      </c>
      <c r="DF352" s="53" t="inlineStr">
        <is>
          <t>Active</t>
        </is>
      </c>
      <c r="DG352" s="53" t="inlineStr">
        <is>
          <t>Deepa Karmarkar</t>
        </is>
      </c>
      <c r="DH352" s="54" t="n">
        <v>40532</v>
      </c>
      <c r="DI352" s="53" t="inlineStr">
        <is>
          <t>Lead Software Engineer</t>
        </is>
      </c>
      <c r="DJ352" s="53" t="inlineStr">
        <is>
          <t>Engineering &amp; Development</t>
        </is>
      </c>
      <c r="DK352" s="53" t="inlineStr">
        <is>
          <t>Backend Engineering ·.NET</t>
        </is>
      </c>
      <c r="DL352" s="53" t="inlineStr">
        <is>
          <t>Lead Software Engineer</t>
        </is>
      </c>
      <c r="DM352" s="53" t="inlineStr">
        <is>
          <t>L5 – Lead · IC</t>
        </is>
      </c>
      <c r="DN352" s="53" t="inlineStr">
        <is>
          <t>B.E</t>
        </is>
      </c>
      <c r="DO352" s="53" t="inlineStr">
        <is>
          <t>Jailesh Bhadra</t>
        </is>
      </c>
      <c r="DP352" s="53" t="inlineStr">
        <is>
          <t>N-3</t>
        </is>
      </c>
      <c r="DQ352" s="53" t="inlineStr">
        <is>
          <t>Individual Contributor</t>
        </is>
      </c>
      <c r="DR352" s="53" t="inlineStr">
        <is>
          <t>4 years, 1 months, 0 days</t>
        </is>
      </c>
      <c r="DS352" s="53" t="inlineStr">
        <is>
          <t>15 years, 6 months, 0 days</t>
        </is>
      </c>
      <c r="DT352" s="53" t="inlineStr">
        <is>
          <t>19 years, 7 months, 0 days</t>
        </is>
      </c>
      <c r="DU352" s="53" t="n"/>
      <c r="DV352" s="53" t="inlineStr">
        <is>
          <t>Suptech</t>
        </is>
      </c>
      <c r="DW352" s="53" t="inlineStr">
        <is>
          <t>iFile</t>
        </is>
      </c>
      <c r="DX352" s="53" t="inlineStr">
        <is>
          <t>Technology</t>
        </is>
      </c>
      <c r="DY352" s="53" t="inlineStr">
        <is>
          <t>Development</t>
        </is>
      </c>
      <c r="DZ352" s="53" t="inlineStr">
        <is>
          <t>Yes</t>
        </is>
      </c>
      <c r="EA352" s="53" t="inlineStr">
        <is>
          <t>Product/Project</t>
        </is>
      </c>
      <c r="EB352" s="53" t="inlineStr">
        <is>
          <t>.NET MVC</t>
        </is>
      </c>
      <c r="EC352" s="53" t="inlineStr">
        <is>
          <t>Technical - Developer</t>
        </is>
      </c>
      <c r="ED352" s="53" t="inlineStr">
        <is>
          <t>Hybrid</t>
        </is>
      </c>
      <c r="EE352" s="53"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EF352" s="53"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EG352" s="53"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EH352" s="53" t="n">
        <v>4</v>
      </c>
      <c r="EI352" s="53" t="inlineStr">
        <is>
          <t>Pending – to be scheduled</t>
        </is>
      </c>
      <c r="EJ352" s="53" t="inlineStr">
        <is>
          <t>Lead Software Engineer</t>
        </is>
      </c>
      <c r="EK352" s="53" t="inlineStr">
        <is>
          <t>Yes – Lead Software Engineer matches her scope, though her career track is worth discussing given 15+ years of tenure and her shift towards the role of BA.</t>
        </is>
      </c>
      <c r="EL352" s="53" t="n">
        <v>4</v>
      </c>
      <c r="EM352" s="53" t="inlineStr">
        <is>
          <t>Medium</t>
        </is>
      </c>
      <c r="EN352" s="53" t="inlineStr">
        <is>
          <t>High Impact / Growth Talent</t>
        </is>
      </c>
      <c r="EO352" s="53" t="inlineStr">
        <is>
          <t>N</t>
        </is>
      </c>
      <c r="EP352" s="53" t="inlineStr">
        <is>
          <t>N</t>
        </is>
      </c>
      <c r="EQ352" s="53" t="inlineStr">
        <is>
          <t>Y</t>
        </is>
      </c>
      <c r="ER352" s="53" t="inlineStr">
        <is>
          <t>No successor identified — she is the most senior .NET resource with 15+ years of institutional knowledge. .NET area to be discussed within Org</t>
        </is>
      </c>
      <c r="ES352" s="53" t="inlineStr">
        <is>
          <t>Modern .NET / cloud-native architecture upskilling; mentoring &amp; code-review leadership at scale; system design for complex/legacy modules</t>
        </is>
      </c>
      <c r="ET352" s="53" t="inlineStr">
        <is>
          <t>-</t>
        </is>
      </c>
      <c r="EU352" s="53" t="inlineStr">
        <is>
          <t>Converstion with her to decide her next role would help both her as well as organization.</t>
        </is>
      </c>
      <c r="EV352" s="53" t="n"/>
      <c r="EW352" s="52" t="n"/>
      <c r="EX352" s="53" t="n"/>
      <c r="EY352" s="53" t="n"/>
      <c r="EZ352" s="53" t="n"/>
      <c r="FA352" s="53" t="n"/>
      <c r="FB352" s="53" t="n"/>
      <c r="FC352" s="53" t="n"/>
      <c r="FD352" s="53" t="n"/>
      <c r="FE352" s="57"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FF352" s="56"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FG352" s="56"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FH352" s="56" t="inlineStr">
        <is>
          <t>4</t>
        </is>
      </c>
      <c r="FI352" s="56" t="n"/>
      <c r="FJ352" s="56" t="inlineStr">
        <is>
          <t>Received · manager annual, quarterly, self</t>
        </is>
      </c>
      <c r="FK352" s="56" t="inlineStr">
        <is>
          <t>Talent Mapping · iFile collated</t>
        </is>
      </c>
      <c r="FL352" s="56" t="n">
        <v>20</v>
      </c>
      <c r="FM352" s="32" t="inlineStr">
        <is>
          <t>Full survey answers not in the files received · How We Grow export needed · HR</t>
        </is>
      </c>
      <c r="FN352" s="56" t="inlineStr">
        <is>
          <t>—</t>
        </is>
      </c>
      <c r="FO352" s="56" t="inlineStr">
        <is>
          <t>—</t>
        </is>
      </c>
      <c r="FP352" s="56" t="inlineStr">
        <is>
          <t>—</t>
        </is>
      </c>
      <c r="FQ352" s="56" t="inlineStr">
        <is>
          <t>—</t>
        </is>
      </c>
      <c r="FR352" s="56"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errors cause wrong implementation and rework → moved down 1
Leadership: Evidence reads like A2: Explains requirements to development and testing teams; no people leadership → moved down 1
Business Impact: Moved +0.5: the survey / manager mapping marks it business-critical.</t>
        </is>
      </c>
      <c r="FS352"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352" s="56" t="inlineStr">
        <is>
          <t>Self-identified: Answered · no common topic
For the next role: Answered · no common topic</t>
        </is>
      </c>
      <c r="FU352" s="32" t="inlineStr">
        <is>
          <t>Full survey answers not in the files received · How We Grow export needed · HR</t>
        </is>
      </c>
    </row>
    <row r="353" ht="90" customHeight="1">
      <c r="A353" s="51" t="inlineStr">
        <is>
          <t>◂ Back</t>
        </is>
      </c>
      <c r="B353" s="29" t="inlineStr">
        <is>
          <t>Mapped</t>
        </is>
      </c>
      <c r="C353" s="28" t="inlineStr">
        <is>
          <t>iFile</t>
        </is>
      </c>
      <c r="D353" s="29" t="inlineStr">
        <is>
          <t>IRIS2492</t>
        </is>
      </c>
      <c r="E353" s="29" t="inlineStr">
        <is>
          <t>Abhishek Hegde</t>
        </is>
      </c>
      <c r="F353" s="29" t="inlineStr">
        <is>
          <t>Technology</t>
        </is>
      </c>
      <c r="G353" s="29" t="inlineStr">
        <is>
          <t>Senior Business Analyst</t>
        </is>
      </c>
      <c r="H353" s="29" t="inlineStr">
        <is>
          <t>Business Analysis Specialist</t>
        </is>
      </c>
      <c r="I353" s="29" t="inlineStr">
        <is>
          <t>L4 – Senior</t>
        </is>
      </c>
      <c r="J353" s="29" t="inlineStr">
        <is>
          <t>B1</t>
        </is>
      </c>
      <c r="K353" s="29" t="inlineStr">
        <is>
          <t>▲ Up</t>
        </is>
      </c>
      <c r="L353" s="29" t="inlineStr">
        <is>
          <t>Business Analysis</t>
        </is>
      </c>
      <c r="M353" s="29" t="inlineStr">
        <is>
          <t>Business Analysis</t>
        </is>
      </c>
      <c r="N353" s="29" t="n"/>
      <c r="O353" s="29" t="n">
        <v>20</v>
      </c>
      <c r="P353" s="28" t="inlineStr">
        <is>
          <t>P3 / M2</t>
        </is>
      </c>
      <c r="Q353" s="29" t="inlineStr">
        <is>
          <t>Career / · Team Lead</t>
        </is>
      </c>
      <c r="R353" s="29" t="inlineStr">
        <is>
          <t>4 Enable</t>
        </is>
      </c>
      <c r="S353" s="29" t="inlineStr">
        <is>
          <t>4–7 yrs</t>
        </is>
      </c>
      <c r="T353" s="29" t="inlineStr">
        <is>
          <t>5–8 · 4–8</t>
        </is>
      </c>
      <c r="U353" s="29" t="inlineStr">
        <is>
          <t>Senior Business Analyst</t>
        </is>
      </c>
      <c r="V353" s="29" t="inlineStr">
        <is>
          <t>Regnology — regulatory reporting: BA · Reg Reporting · Big Four consulting: Senior Consultant · IRIS Vs Market Benchmark — IIBA certification pathway: CCBA · Infosys / Accenture: JL4 · L9 Consultant</t>
        </is>
      </c>
      <c r="W353" s="29" t="inlineStr">
        <is>
          <t>IIBA BABOK v3; certifications ECBA · entry → CCBA → CBAP · senior</t>
        </is>
      </c>
      <c r="X353" s="29" t="inlineStr">
        <is>
          <t>Core 3 · Future 3 · Functional 3 · Leadership 1</t>
        </is>
      </c>
      <c r="Y353" s="52" t="n">
        <v>465</v>
      </c>
      <c r="Z353" s="53" t="inlineStr">
        <is>
          <t>IRIS2492</t>
        </is>
      </c>
      <c r="AA353" s="53" t="inlineStr">
        <is>
          <t>Employee</t>
        </is>
      </c>
      <c r="AB353" s="53" t="inlineStr">
        <is>
          <t>Active</t>
        </is>
      </c>
      <c r="AC353" s="53" t="inlineStr">
        <is>
          <t>Abhishek Hegde</t>
        </is>
      </c>
      <c r="AD353" s="54" t="n">
        <v>46090</v>
      </c>
      <c r="AE353" s="53" t="inlineStr">
        <is>
          <t>Senior Business Analyst</t>
        </is>
      </c>
      <c r="AF353" s="53" t="inlineStr">
        <is>
          <t>MBA</t>
        </is>
      </c>
      <c r="AG353" s="53" t="inlineStr">
        <is>
          <t>Jailesh Bhadra</t>
        </is>
      </c>
      <c r="AH353" s="53" t="inlineStr">
        <is>
          <t>N-4</t>
        </is>
      </c>
      <c r="AI353" s="53" t="inlineStr">
        <is>
          <t>Individual Contributor</t>
        </is>
      </c>
      <c r="AJ353" s="53" t="inlineStr">
        <is>
          <t>8 years, 8 months, 0 days</t>
        </is>
      </c>
      <c r="AK353" s="53" t="inlineStr">
        <is>
          <t>0 years, 5 months, 16 days</t>
        </is>
      </c>
      <c r="AL353" s="53" t="inlineStr">
        <is>
          <t>Suptech</t>
        </is>
      </c>
      <c r="AM353" s="53" t="inlineStr">
        <is>
          <t>iFile</t>
        </is>
      </c>
      <c r="AN353" s="53" t="inlineStr">
        <is>
          <t>Technology</t>
        </is>
      </c>
      <c r="AO353" s="53" t="inlineStr">
        <is>
          <t>Business Analysis</t>
        </is>
      </c>
      <c r="AP353" s="53" t="inlineStr">
        <is>
          <t>Yes</t>
        </is>
      </c>
      <c r="AQ353" s="53" t="inlineStr">
        <is>
          <t>Product/Project</t>
        </is>
      </c>
      <c r="AR353" s="53" t="inlineStr">
        <is>
          <t>Business Analysis</t>
        </is>
      </c>
      <c r="AS353" s="53" t="inlineStr">
        <is>
          <t>Technical · BA, PM and QA</t>
        </is>
      </c>
      <c r="AT353" s="53" t="n">
        <v>20</v>
      </c>
      <c r="AU353" s="53" t="inlineStr">
        <is>
          <t>Covered</t>
        </is>
      </c>
      <c r="AV353" s="53" t="n"/>
      <c r="AW353" s="53" t="n"/>
      <c r="AX353" s="53" t="n"/>
      <c r="AY353" s="53" t="n"/>
      <c r="AZ353" s="53" t="n"/>
      <c r="BA353" s="53" t="n"/>
      <c r="BB353" s="53" t="n"/>
      <c r="BC353" s="53" t="n"/>
      <c r="BD353" s="53" t="n"/>
      <c r="BE353" s="53" t="n"/>
      <c r="BF353" s="53" t="n"/>
      <c r="BG353" s="53" t="n"/>
      <c r="BH353" s="53" t="n"/>
      <c r="BI353" s="53" t="n"/>
      <c r="BJ353" s="53" t="n"/>
      <c r="BK353" s="53" t="n"/>
      <c r="BL353" s="53" t="n"/>
      <c r="BM353" s="53" t="n"/>
      <c r="BN353" s="53" t="n"/>
      <c r="BO353" s="53" t="n"/>
      <c r="BP353" s="53" t="n"/>
      <c r="BQ353" s="53" t="n"/>
      <c r="BR353" s="53" t="n"/>
      <c r="BS353" s="53" t="n"/>
      <c r="BT353" s="53" t="n"/>
      <c r="BU353" s="53" t="n"/>
      <c r="BV353" s="53" t="n"/>
      <c r="BW353" s="53" t="n"/>
      <c r="BX353" s="53" t="n"/>
      <c r="BY353" s="53" t="n"/>
      <c r="BZ353" s="53" t="n"/>
      <c r="CA353" s="53" t="n"/>
      <c r="CB353" s="53" t="n"/>
      <c r="CC353" s="53" t="n"/>
      <c r="CD353" s="53" t="n"/>
      <c r="CE353" s="53" t="n"/>
      <c r="CF353" s="53" t="n"/>
      <c r="CG353" s="53" t="n"/>
      <c r="CH353" s="53" t="n"/>
      <c r="CI353" s="53" t="n"/>
      <c r="CJ353" s="53" t="n"/>
      <c r="CK353" s="53" t="n"/>
      <c r="CL353" s="53" t="n"/>
      <c r="CM353" s="53" t="n"/>
      <c r="CN353" s="53" t="n"/>
      <c r="CO353" s="53" t="n"/>
      <c r="CP353" s="53" t="n"/>
      <c r="CQ353" s="53" t="n"/>
      <c r="CR353" s="53" t="n"/>
      <c r="CS353" s="53" t="n"/>
      <c r="CT353" s="53" t="n"/>
      <c r="CU353" s="53" t="n"/>
      <c r="CV353" s="53" t="n"/>
      <c r="CW353" s="53" t="n"/>
      <c r="CX353" s="53" t="n"/>
      <c r="CY353" s="53" t="n"/>
      <c r="CZ353" s="53" t="n"/>
      <c r="DA353" s="53" t="n"/>
      <c r="DB353" s="53" t="n"/>
      <c r="DC353" s="53" t="n"/>
      <c r="DD353" s="53" t="inlineStr">
        <is>
          <t>IRIS2492</t>
        </is>
      </c>
      <c r="DE353" s="53" t="inlineStr">
        <is>
          <t>Employee</t>
        </is>
      </c>
      <c r="DF353" s="53" t="inlineStr">
        <is>
          <t>Active</t>
        </is>
      </c>
      <c r="DG353" s="53" t="inlineStr">
        <is>
          <t>Abhishek Hegde</t>
        </is>
      </c>
      <c r="DH353" s="54" t="n">
        <v>46090</v>
      </c>
      <c r="DI353" s="53" t="inlineStr">
        <is>
          <t>Senior Business Analyst</t>
        </is>
      </c>
      <c r="DJ353" s="53" t="inlineStr">
        <is>
          <t>Business Analysis</t>
        </is>
      </c>
      <c r="DK353" s="53" t="inlineStr">
        <is>
          <t>Business / Functional Analysis</t>
        </is>
      </c>
      <c r="DL353" s="53" t="inlineStr">
        <is>
          <t>Senior Business Analyst</t>
        </is>
      </c>
      <c r="DM353" s="53" t="inlineStr">
        <is>
          <t>L4 – Senior</t>
        </is>
      </c>
      <c r="DN353" s="53" t="inlineStr">
        <is>
          <t>MBA</t>
        </is>
      </c>
      <c r="DO353" s="53" t="inlineStr">
        <is>
          <t>Jailesh Bhadra</t>
        </is>
      </c>
      <c r="DP353" s="53" t="inlineStr">
        <is>
          <t>N-3</t>
        </is>
      </c>
      <c r="DQ353" s="53" t="inlineStr">
        <is>
          <t>Individual Contributor</t>
        </is>
      </c>
      <c r="DR353" s="53" t="inlineStr">
        <is>
          <t>8 years, 8 months, 0 days</t>
        </is>
      </c>
      <c r="DS353" s="53" t="inlineStr">
        <is>
          <t>0 years, 3 months, 11 days</t>
        </is>
      </c>
      <c r="DT353" s="53" t="inlineStr">
        <is>
          <t>8 years, 11 months, 11 days</t>
        </is>
      </c>
      <c r="DU353" s="53" t="n"/>
      <c r="DV353" s="53" t="inlineStr">
        <is>
          <t>Suptech</t>
        </is>
      </c>
      <c r="DW353" s="53" t="inlineStr">
        <is>
          <t>iFile</t>
        </is>
      </c>
      <c r="DX353" s="53" t="inlineStr">
        <is>
          <t>Technology</t>
        </is>
      </c>
      <c r="DY353" s="53" t="inlineStr">
        <is>
          <t>Business Analysis</t>
        </is>
      </c>
      <c r="DZ353" s="53" t="inlineStr">
        <is>
          <t>Yes</t>
        </is>
      </c>
      <c r="EA353" s="53" t="inlineStr">
        <is>
          <t>Product/Project</t>
        </is>
      </c>
      <c r="EB353" s="53" t="inlineStr">
        <is>
          <t>Business Analysis</t>
        </is>
      </c>
      <c r="EC353" s="53" t="inlineStr">
        <is>
          <t>Technical · BA, PM and QA</t>
        </is>
      </c>
      <c r="ED353" s="53" t="inlineStr">
        <is>
          <t>Client Side</t>
        </is>
      </c>
      <c r="EE353" s="53"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EF353" s="53"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EG353" s="53" t="inlineStr">
        <is>
          <t>Q1: Complete onboarding to client-side account &amp; processes within first 90 days
Q1: Deliver assigned BRDs/FSDs approved with &lt;=1 revision cycle
Q1: Achieve &gt;=4.2/5 client-side stakeholder satisfaction
Q1: Zero escalations attributable to communication gaps</t>
        </is>
      </c>
      <c r="EH353" s="53" t="n">
        <v>3</v>
      </c>
      <c r="EI353" s="53" t="inlineStr">
        <is>
          <t>Pending – to be scheduled</t>
        </is>
      </c>
      <c r="EJ353" s="53" t="inlineStr">
        <is>
          <t>Senior Business Analyst</t>
        </is>
      </c>
      <c r="EK353" s="53" t="inlineStr">
        <is>
          <t>No – Senior BA designation matches his overall experience and current scope.</t>
        </is>
      </c>
      <c r="EL353" s="53" t="n">
        <v>3</v>
      </c>
      <c r="EM353" s="53" t="inlineStr">
        <is>
          <t>Medium</t>
        </is>
      </c>
      <c r="EN353" s="53" t="inlineStr">
        <is>
          <t>Core Contributor</t>
        </is>
      </c>
      <c r="EO353" s="53" t="inlineStr">
        <is>
          <t>N</t>
        </is>
      </c>
      <c r="EP353" s="53" t="inlineStr">
        <is>
          <t>N</t>
        </is>
      </c>
      <c r="EQ353" s="53" t="inlineStr">
        <is>
          <t>N</t>
        </is>
      </c>
      <c r="ER353" s="53" t="inlineStr">
        <is>
          <t>No successor formally identified - Prajakta covers similar scope</t>
        </is>
      </c>
      <c r="ES353" s="53" t="inlineStr">
        <is>
          <t>Advanced client-side stakeholder management; XBRL/regulatory domain depth; commercial/contract awareness; Product knowledge and visualization</t>
        </is>
      </c>
      <c r="ET353" s="53" t="inlineStr">
        <is>
          <t>-</t>
        </is>
      </c>
      <c r="EU353" s="53" t="inlineStr">
        <is>
          <t>Recent feedback has resulted in need to monitor the performance in future</t>
        </is>
      </c>
      <c r="EV353" s="53" t="n"/>
      <c r="EW353" s="52" t="n"/>
      <c r="EX353" s="53" t="n"/>
      <c r="EY353" s="53" t="n"/>
      <c r="EZ353" s="53" t="n"/>
      <c r="FA353" s="53" t="n"/>
      <c r="FB353" s="53" t="n"/>
      <c r="FC353" s="53" t="n"/>
      <c r="FD353" s="53" t="n"/>
      <c r="FE353" s="57"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FF353" s="56" t="inlineStr">
        <is>
          <t>Q1: Complete onboarding to client-side account &amp; processes within first 90 days
Q1: Deliver assigned BRDs/FSDs approved with &lt;=1 revision cycle
Q1: Achieve &gt;=4.2/5 client-side stakeholder satisfaction
Q1: Zero escalations attributable to communication gaps</t>
        </is>
      </c>
      <c r="FG353" s="56"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FH353" s="56" t="inlineStr">
        <is>
          <t>3</t>
        </is>
      </c>
      <c r="FI353" s="56" t="n"/>
      <c r="FJ353" s="56" t="inlineStr">
        <is>
          <t>Received · manager annual, quarterly, self</t>
        </is>
      </c>
      <c r="FK353" s="56" t="inlineStr">
        <is>
          <t>Talent Mapping · iFile collated</t>
        </is>
      </c>
      <c r="FL353" s="56" t="n">
        <v>20</v>
      </c>
      <c r="FM353" s="32" t="inlineStr">
        <is>
          <t>Full survey answers not in the files received · How We Grow export needed · HR</t>
        </is>
      </c>
      <c r="FN353" s="56" t="inlineStr">
        <is>
          <t>—</t>
        </is>
      </c>
      <c r="FO353" s="56" t="inlineStr">
        <is>
          <t>—</t>
        </is>
      </c>
      <c r="FP353" s="56" t="inlineStr">
        <is>
          <t>—</t>
        </is>
      </c>
      <c r="FQ353" s="56" t="inlineStr">
        <is>
          <t>—</t>
        </is>
      </c>
      <c r="FR353" s="56"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readiness → moved down 0.5
Leadership: Evidence reads like A3: Team coordination; manager KRA requires guiding at least two team members → matches the start</t>
        </is>
      </c>
      <c r="FS353"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353" s="56" t="inlineStr">
        <is>
          <t>Self-identified: Leadership &amp; people management
For the next role: Leadership &amp; people management</t>
        </is>
      </c>
      <c r="FU353" s="32" t="inlineStr">
        <is>
          <t>Full survey answers not in the files received · How We Grow export needed · HR</t>
        </is>
      </c>
    </row>
    <row r="354" ht="90" customHeight="1">
      <c r="A354" s="51" t="inlineStr">
        <is>
          <t>◂ Back</t>
        </is>
      </c>
      <c r="B354" s="29" t="inlineStr">
        <is>
          <t>Mapped</t>
        </is>
      </c>
      <c r="C354" s="28" t="inlineStr">
        <is>
          <t>iFile</t>
        </is>
      </c>
      <c r="D354" s="29" t="inlineStr">
        <is>
          <t>IRIS2289</t>
        </is>
      </c>
      <c r="E354" s="29" t="inlineStr">
        <is>
          <t>Shruti Patil</t>
        </is>
      </c>
      <c r="F354" s="29" t="inlineStr">
        <is>
          <t>Technology</t>
        </is>
      </c>
      <c r="G354" s="29" t="inlineStr">
        <is>
          <t>Business Analyst</t>
        </is>
      </c>
      <c r="H354" s="29" t="inlineStr">
        <is>
          <t>Team Lead – Business Analysis</t>
        </is>
      </c>
      <c r="I354" s="29" t="inlineStr">
        <is>
          <t>L3 – Professional / Associate</t>
        </is>
      </c>
      <c r="J354" s="29" t="inlineStr">
        <is>
          <t>B1</t>
        </is>
      </c>
      <c r="K354" s="29" t="inlineStr">
        <is>
          <t>▲ Up</t>
        </is>
      </c>
      <c r="L354" s="29" t="inlineStr">
        <is>
          <t>Business Analysis</t>
        </is>
      </c>
      <c r="M354" s="29" t="inlineStr">
        <is>
          <t>Business Analysis</t>
        </is>
      </c>
      <c r="N354" s="29" t="n"/>
      <c r="O354" s="29" t="n">
        <v>20</v>
      </c>
      <c r="P354" s="28" t="inlineStr">
        <is>
          <t>P3 / M2</t>
        </is>
      </c>
      <c r="Q354" s="29" t="inlineStr">
        <is>
          <t>Career / · Team Lead</t>
        </is>
      </c>
      <c r="R354" s="29" t="inlineStr">
        <is>
          <t>4 Enable</t>
        </is>
      </c>
      <c r="S354" s="29" t="inlineStr">
        <is>
          <t>4–7 yrs</t>
        </is>
      </c>
      <c r="T354" s="29" t="inlineStr">
        <is>
          <t>5–8 · 4–8</t>
        </is>
      </c>
      <c r="U354" s="29" t="inlineStr">
        <is>
          <t>Team Lead / Assistant Manager</t>
        </is>
      </c>
      <c r="V354" s="29" t="inlineStr">
        <is>
          <t>Regnology — regulatory reporting: BA · Reg Reporting · Big Four consulting: Senior Consultant · IRIS Vs Market Benchmark — IIBA certification pathway: CCBA · Infosys / Accenture: JL4 · L9 Consultant</t>
        </is>
      </c>
      <c r="W354" s="29" t="inlineStr">
        <is>
          <t>IIBA BABOK v3; certifications ECBA · entry → CCBA → CBAP · senior</t>
        </is>
      </c>
      <c r="X354" s="29" t="inlineStr">
        <is>
          <t>Core 3 · Future 3 · Functional 3 · Leadership 2</t>
        </is>
      </c>
      <c r="Y354" s="52" t="n">
        <v>330</v>
      </c>
      <c r="Z354" s="53" t="inlineStr">
        <is>
          <t>IRIS2289</t>
        </is>
      </c>
      <c r="AA354" s="53" t="inlineStr">
        <is>
          <t>Employee</t>
        </is>
      </c>
      <c r="AB354" s="53" t="inlineStr">
        <is>
          <t>Active</t>
        </is>
      </c>
      <c r="AC354" s="53" t="inlineStr">
        <is>
          <t>Shruti Patil</t>
        </is>
      </c>
      <c r="AD354" s="54" t="n">
        <v>45474</v>
      </c>
      <c r="AE354" s="53" t="inlineStr">
        <is>
          <t>Business Analyst</t>
        </is>
      </c>
      <c r="AF354" s="53" t="inlineStr">
        <is>
          <t>M.E</t>
        </is>
      </c>
      <c r="AG354" s="53" t="inlineStr">
        <is>
          <t>Jailesh Bhadra</t>
        </is>
      </c>
      <c r="AH354" s="53" t="inlineStr">
        <is>
          <t>N-4</t>
        </is>
      </c>
      <c r="AI354" s="53" t="inlineStr">
        <is>
          <t>Manager</t>
        </is>
      </c>
      <c r="AJ354" s="53" t="inlineStr">
        <is>
          <t>2 years, 3 months, 0 days</t>
        </is>
      </c>
      <c r="AK354" s="53" t="inlineStr">
        <is>
          <t>2 years, 1 months, 24 days</t>
        </is>
      </c>
      <c r="AL354" s="53" t="inlineStr">
        <is>
          <t>Suptech</t>
        </is>
      </c>
      <c r="AM354" s="53" t="inlineStr">
        <is>
          <t>iFile</t>
        </is>
      </c>
      <c r="AN354" s="53" t="inlineStr">
        <is>
          <t>Technology</t>
        </is>
      </c>
      <c r="AO354" s="53" t="inlineStr">
        <is>
          <t>Business Analysis</t>
        </is>
      </c>
      <c r="AP354" s="53" t="inlineStr">
        <is>
          <t>No</t>
        </is>
      </c>
      <c r="AQ354" s="53" t="inlineStr">
        <is>
          <t>Product/Project</t>
        </is>
      </c>
      <c r="AR354" s="53" t="inlineStr">
        <is>
          <t>Business Analysis</t>
        </is>
      </c>
      <c r="AS354" s="53" t="inlineStr">
        <is>
          <t>Technical · BA, PM and QA</t>
        </is>
      </c>
      <c r="AT354" s="53" t="n">
        <v>20</v>
      </c>
      <c r="AU354" s="53" t="inlineStr">
        <is>
          <t>Covered</t>
        </is>
      </c>
      <c r="AV354" s="53" t="n"/>
      <c r="AW354" s="53" t="n"/>
      <c r="AX354" s="53" t="n"/>
      <c r="AY354" s="53" t="n"/>
      <c r="AZ354" s="53" t="n"/>
      <c r="BA354" s="53" t="n"/>
      <c r="BB354" s="53" t="n"/>
      <c r="BC354" s="53" t="n"/>
      <c r="BD354" s="53" t="n"/>
      <c r="BE354" s="53" t="n"/>
      <c r="BF354" s="53" t="n"/>
      <c r="BG354" s="53" t="n"/>
      <c r="BH354" s="53" t="n"/>
      <c r="BI354" s="53" t="n"/>
      <c r="BJ354" s="53" t="n"/>
      <c r="BK354" s="53" t="n"/>
      <c r="BL354" s="53" t="n"/>
      <c r="BM354" s="53" t="n"/>
      <c r="BN354" s="53" t="n"/>
      <c r="BO354" s="53" t="n"/>
      <c r="BP354" s="53" t="n"/>
      <c r="BQ354" s="53" t="n"/>
      <c r="BR354" s="53" t="n"/>
      <c r="BS354" s="53" t="n"/>
      <c r="BT354" s="53" t="n"/>
      <c r="BU354" s="53" t="n"/>
      <c r="BV354" s="53" t="n"/>
      <c r="BW354" s="53" t="n"/>
      <c r="BX354" s="53" t="n"/>
      <c r="BY354" s="53" t="n"/>
      <c r="BZ354" s="53" t="n"/>
      <c r="CA354" s="53" t="n"/>
      <c r="CB354" s="53" t="n"/>
      <c r="CC354" s="53" t="n"/>
      <c r="CD354" s="53" t="n"/>
      <c r="CE354" s="53" t="n"/>
      <c r="CF354" s="53" t="n"/>
      <c r="CG354" s="53" t="n"/>
      <c r="CH354" s="53" t="n"/>
      <c r="CI354" s="53" t="n"/>
      <c r="CJ354" s="53" t="n"/>
      <c r="CK354" s="53" t="n"/>
      <c r="CL354" s="53" t="n"/>
      <c r="CM354" s="53" t="n"/>
      <c r="CN354" s="53" t="n"/>
      <c r="CO354" s="53" t="n"/>
      <c r="CP354" s="53" t="n"/>
      <c r="CQ354" s="53" t="n"/>
      <c r="CR354" s="53" t="n"/>
      <c r="CS354" s="53" t="n"/>
      <c r="CT354" s="53" t="n"/>
      <c r="CU354" s="53" t="n"/>
      <c r="CV354" s="53" t="n"/>
      <c r="CW354" s="53" t="n"/>
      <c r="CX354" s="53" t="n"/>
      <c r="CY354" s="53" t="n"/>
      <c r="CZ354" s="53" t="n"/>
      <c r="DA354" s="53" t="n"/>
      <c r="DB354" s="53" t="n"/>
      <c r="DC354" s="53" t="n"/>
      <c r="DD354" s="53" t="inlineStr">
        <is>
          <t>IRIS2289</t>
        </is>
      </c>
      <c r="DE354" s="53" t="inlineStr">
        <is>
          <t>Employee</t>
        </is>
      </c>
      <c r="DF354" s="53" t="inlineStr">
        <is>
          <t>Active</t>
        </is>
      </c>
      <c r="DG354" s="53" t="inlineStr">
        <is>
          <t>Shruti Patil</t>
        </is>
      </c>
      <c r="DH354" s="54" t="n">
        <v>45474</v>
      </c>
      <c r="DI354" s="53" t="inlineStr">
        <is>
          <t>Business Analyst</t>
        </is>
      </c>
      <c r="DJ354" s="53" t="inlineStr">
        <is>
          <t>Business Analysis</t>
        </is>
      </c>
      <c r="DK354" s="53" t="inlineStr">
        <is>
          <t>Business / Functional Analysis</t>
        </is>
      </c>
      <c r="DL354" s="53" t="inlineStr">
        <is>
          <t>Business Analyst</t>
        </is>
      </c>
      <c r="DM354" s="53" t="inlineStr">
        <is>
          <t>L3 – Professional / Associate</t>
        </is>
      </c>
      <c r="DN354" s="53" t="inlineStr">
        <is>
          <t>M.E</t>
        </is>
      </c>
      <c r="DO354" s="53" t="inlineStr">
        <is>
          <t>Jailesh Bhadra</t>
        </is>
      </c>
      <c r="DP354" s="53" t="inlineStr">
        <is>
          <t>N-3</t>
        </is>
      </c>
      <c r="DQ354" s="53" t="inlineStr">
        <is>
          <t>Manager</t>
        </is>
      </c>
      <c r="DR354" s="53" t="inlineStr">
        <is>
          <t>2 years, 3 months, 0 days</t>
        </is>
      </c>
      <c r="DS354" s="53" t="inlineStr">
        <is>
          <t>1 years, 11 months, 19 days</t>
        </is>
      </c>
      <c r="DT354" s="53" t="inlineStr">
        <is>
          <t>4 years, 2 months, 19 days</t>
        </is>
      </c>
      <c r="DU354" s="53" t="n">
        <v>1.96872146118721</v>
      </c>
      <c r="DV354" s="53" t="inlineStr">
        <is>
          <t>Suptech</t>
        </is>
      </c>
      <c r="DW354" s="53" t="inlineStr">
        <is>
          <t>iFile</t>
        </is>
      </c>
      <c r="DX354" s="53" t="inlineStr">
        <is>
          <t>Technology</t>
        </is>
      </c>
      <c r="DY354" s="53" t="inlineStr">
        <is>
          <t>Business Analysis</t>
        </is>
      </c>
      <c r="DZ354" s="53" t="inlineStr">
        <is>
          <t>No</t>
        </is>
      </c>
      <c r="EA354" s="53" t="inlineStr">
        <is>
          <t>Product/Project</t>
        </is>
      </c>
      <c r="EB354" s="53" t="inlineStr">
        <is>
          <t>Business Analysis</t>
        </is>
      </c>
      <c r="EC354" s="53" t="inlineStr">
        <is>
          <t>Technical · BA, PM and QA</t>
        </is>
      </c>
      <c r="ED354" s="53" t="inlineStr">
        <is>
          <t>Remote - Mumbai</t>
        </is>
      </c>
      <c r="EE354" s="53"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EF354" s="53"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EG354" s="53" t="inlineStr">
        <is>
          <t>Q1: Deliver own BA workstreams to &gt;=95% quality &amp; timeliness
Q1: Establish a regular guidance cadence with Varsha &amp; Shreya
Q1: Maintain team CSAT &gt;=4.2/5
Q1: Provide first monthly team workload/performance update to Jailesh</t>
        </is>
      </c>
      <c r="EH354" s="53" t="n">
        <v>4</v>
      </c>
      <c r="EI354" s="54" t="n">
        <v>45931</v>
      </c>
      <c r="EJ354" s="53" t="inlineStr">
        <is>
          <t>Business Analyst</t>
        </is>
      </c>
      <c r="EK354" s="53" t="inlineStr">
        <is>
          <t>Yes — designated 'Business Analyst' but is the reporting manager for 2 resources and currently she has been made the Project Manager for IFSCA project.</t>
        </is>
      </c>
      <c r="EL354" s="53" t="n">
        <v>4</v>
      </c>
      <c r="EM354" s="53" t="inlineStr">
        <is>
          <t>High</t>
        </is>
      </c>
      <c r="EN354" s="53" t="inlineStr">
        <is>
          <t>Future Leader</t>
        </is>
      </c>
      <c r="EO354" s="53" t="inlineStr">
        <is>
          <t>Y</t>
        </is>
      </c>
      <c r="EP354" s="53" t="inlineStr">
        <is>
          <t>Y</t>
        </is>
      </c>
      <c r="EQ354" s="53" t="inlineStr">
        <is>
          <t>Y</t>
        </is>
      </c>
      <c r="ER354" s="53" t="inlineStr">
        <is>
          <t>No successor formally identified</t>
        </is>
      </c>
      <c r="ES354" s="53" t="inlineStr">
        <is>
          <t>Support process &amp; escalation management; CSAT/SLA analytics; client relationship management; team workload planning; Project Management</t>
        </is>
      </c>
      <c r="ET354" s="53" t="inlineStr">
        <is>
          <t>People management fundamentals, performance coaching &amp; delegation, formal team-lead onboarding, cross-functional stakeholder management</t>
        </is>
      </c>
      <c r="EU354" s="53" t="inlineStr">
        <is>
          <t>-</t>
        </is>
      </c>
      <c r="EV354" s="53" t="n"/>
      <c r="EW354" s="52" t="n"/>
      <c r="EX354" s="53" t="n"/>
      <c r="EY354" s="53" t="n"/>
      <c r="EZ354" s="53" t="n"/>
      <c r="FA354" s="53" t="n"/>
      <c r="FB354" s="53" t="n"/>
      <c r="FC354" s="53" t="n"/>
      <c r="FD354" s="53" t="n"/>
      <c r="FE354" s="57"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FF354" s="56" t="inlineStr">
        <is>
          <t>Q1: Deliver own BA workstreams to &gt;=95% quality &amp; timeliness
Q1: Establish a regular guidance cadence with Varsha &amp; Shreya
Q1: Maintain team CSAT &gt;=4.2/5
Q1: Provide first monthly team workload/performance update to Jailesh</t>
        </is>
      </c>
      <c r="FG354" s="56"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FH354" s="56" t="inlineStr">
        <is>
          <t>4</t>
        </is>
      </c>
      <c r="FI354" s="56" t="n"/>
      <c r="FJ354" s="56" t="inlineStr">
        <is>
          <t>Received · manager annual, quarterly, self</t>
        </is>
      </c>
      <c r="FK354" s="56" t="inlineStr">
        <is>
          <t>Talent Mapping · iFile collated</t>
        </is>
      </c>
      <c r="FL354" s="56" t="n">
        <v>20</v>
      </c>
      <c r="FM354" s="32" t="inlineStr">
        <is>
          <t>Full survey answers not in the files received · How We Grow export needed · HR</t>
        </is>
      </c>
      <c r="FN354" s="56" t="inlineStr">
        <is>
          <t>—</t>
        </is>
      </c>
      <c r="FO354" s="56" t="inlineStr">
        <is>
          <t>—</t>
        </is>
      </c>
      <c r="FP354" s="56" t="inlineStr">
        <is>
          <t>—</t>
        </is>
      </c>
      <c r="FQ354" s="56" t="inlineStr">
        <is>
          <t>—</t>
        </is>
      </c>
      <c r="FR354" s="56"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deliverables and invoice claims for a 4-person team; client status reporting → matches the start
Leadership: Evidence reads like B1: Coordinates and assigns scrum tasks to team; 4 direct reports → matches the start
Business Impact: Moved +0.5: the survey / manager mapping marks it business-critical.</t>
        </is>
      </c>
      <c r="FS354"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FT354" s="56" t="inlineStr">
        <is>
          <t>Self-identified: Project / programme management · Product &amp; tool knowledge · Certification / formal course
For the next role: Project / programme management · Product &amp; tool knowledge · Certification / formal course</t>
        </is>
      </c>
      <c r="FU354" s="32" t="inlineStr">
        <is>
          <t>Full survey answers not in the files received · How We Grow export needed · HR</t>
        </is>
      </c>
    </row>
    <row r="355" ht="90" customHeight="1">
      <c r="A355" s="51" t="inlineStr">
        <is>
          <t>◂ Back</t>
        </is>
      </c>
      <c r="B355" s="29" t="inlineStr">
        <is>
          <t>Mapped</t>
        </is>
      </c>
      <c r="C355" s="28" t="inlineStr">
        <is>
          <t>iFile</t>
        </is>
      </c>
      <c r="D355" s="29" t="inlineStr">
        <is>
          <t>IRIS2202</t>
        </is>
      </c>
      <c r="E355" s="29" t="inlineStr">
        <is>
          <t>Shreya Shinde</t>
        </is>
      </c>
      <c r="F355" s="29" t="inlineStr">
        <is>
          <t>Support</t>
        </is>
      </c>
      <c r="G355" s="29" t="inlineStr">
        <is>
          <t>Client Solutions Executive</t>
        </is>
      </c>
      <c r="H355" s="29" t="inlineStr">
        <is>
          <t>Senior Support Executive</t>
        </is>
      </c>
      <c r="I355" s="29" t="inlineStr">
        <is>
          <t>L3 – Professional / Associate</t>
        </is>
      </c>
      <c r="J355" s="29" t="inlineStr">
        <is>
          <t>A3</t>
        </is>
      </c>
      <c r="K355" s="29" t="inlineStr">
        <is>
          <t>▲ Up</t>
        </is>
      </c>
      <c r="L355" s="29" t="inlineStr">
        <is>
          <t>Customer Success &amp; Support</t>
        </is>
      </c>
      <c r="M355" s="29" t="inlineStr">
        <is>
          <t>Application &amp; Product Support</t>
        </is>
      </c>
      <c r="N355" s="29" t="n"/>
      <c r="O355" s="29" t="n">
        <v>20</v>
      </c>
      <c r="P355" s="28" t="inlineStr">
        <is>
          <t>P2</t>
        </is>
      </c>
      <c r="Q355" s="29" t="inlineStr">
        <is>
          <t>Developing</t>
        </is>
      </c>
      <c r="R355" s="29" t="inlineStr">
        <is>
          <t>3 Apply</t>
        </is>
      </c>
      <c r="S355" s="29" t="inlineStr">
        <is>
          <t>2–4 yrs</t>
        </is>
      </c>
      <c r="T355" s="29" t="inlineStr">
        <is>
          <t>3–5 · 2–5</t>
        </is>
      </c>
      <c r="U355" s="29" t="inlineStr">
        <is>
          <t>Support / CS Executive</t>
        </is>
      </c>
      <c r="V355" s="29" t="inlineStr">
        <is>
          <t>IRIS Vs Competitor Benchmark — SaaS customer-success ladder: Associate CSM · Regnology: Product Support Specialist · Reg Reporting · IRIS Vs Competitor Benchmark — support tiers: L2 Application Support</t>
        </is>
      </c>
      <c r="W355" s="29" t="inlineStr">
        <is>
          <t>TSIA frameworks and benchmarks; ITIL 4 service desk; Gainsight customer-success practice</t>
        </is>
      </c>
      <c r="X355" s="29" t="inlineStr">
        <is>
          <t>Core 2 · Future 2 · Functional 3 · Leadership not scored</t>
        </is>
      </c>
      <c r="Y355" s="52" t="n">
        <v>298</v>
      </c>
      <c r="Z355" s="53" t="inlineStr">
        <is>
          <t>IRIS2202</t>
        </is>
      </c>
      <c r="AA355" s="53" t="inlineStr">
        <is>
          <t>Employee</t>
        </is>
      </c>
      <c r="AB355" s="53" t="inlineStr">
        <is>
          <t>Serving Notice</t>
        </is>
      </c>
      <c r="AC355" s="53" t="inlineStr">
        <is>
          <t>Shreya Shinde</t>
        </is>
      </c>
      <c r="AD355" s="54" t="n">
        <v>45231</v>
      </c>
      <c r="AE355" s="53" t="inlineStr">
        <is>
          <t>Client Solutions Executive</t>
        </is>
      </c>
      <c r="AF355" s="53" t="inlineStr">
        <is>
          <t>B.Com</t>
        </is>
      </c>
      <c r="AG355" s="53" t="inlineStr">
        <is>
          <t>Shruti Patil</t>
        </is>
      </c>
      <c r="AH355" s="53" t="inlineStr">
        <is>
          <t>N-5</t>
        </is>
      </c>
      <c r="AI355" s="53" t="inlineStr">
        <is>
          <t>Individual Contributor</t>
        </is>
      </c>
      <c r="AJ355" s="53" t="inlineStr">
        <is>
          <t>9 years, 11 months, 0 days</t>
        </is>
      </c>
      <c r="AK355" s="53" t="inlineStr">
        <is>
          <t>2 years, 9 months, 24 days</t>
        </is>
      </c>
      <c r="AL355" s="53" t="inlineStr">
        <is>
          <t>Suptech</t>
        </is>
      </c>
      <c r="AM355" s="53" t="inlineStr">
        <is>
          <t>iFile</t>
        </is>
      </c>
      <c r="AN355" s="53" t="inlineStr">
        <is>
          <t>Support</t>
        </is>
      </c>
      <c r="AO355" s="53" t="inlineStr">
        <is>
          <t>Product Support</t>
        </is>
      </c>
      <c r="AP355" s="53" t="inlineStr">
        <is>
          <t>No</t>
        </is>
      </c>
      <c r="AQ355" s="53" t="inlineStr">
        <is>
          <t>Product/Project</t>
        </is>
      </c>
      <c r="AR355" s="53" t="inlineStr">
        <is>
          <t>Tech Support</t>
        </is>
      </c>
      <c r="AS355" s="53" t="inlineStr">
        <is>
          <t>Non-technical</t>
        </is>
      </c>
      <c r="AT355" s="53" t="n">
        <v>20</v>
      </c>
      <c r="AU355" s="53" t="inlineStr">
        <is>
          <t>Covered</t>
        </is>
      </c>
      <c r="AV355" s="53" t="n"/>
      <c r="AW355" s="53" t="n"/>
      <c r="AX355" s="53" t="n"/>
      <c r="AY355" s="53" t="n"/>
      <c r="AZ355" s="53" t="n"/>
      <c r="BA355" s="53" t="n"/>
      <c r="BB355" s="53" t="n"/>
      <c r="BC355" s="53" t="n"/>
      <c r="BD355" s="53" t="n"/>
      <c r="BE355" s="53" t="n"/>
      <c r="BF355" s="53" t="n"/>
      <c r="BG355" s="53" t="n"/>
      <c r="BH355" s="53" t="n"/>
      <c r="BI355" s="53" t="n"/>
      <c r="BJ355" s="53" t="n"/>
      <c r="BK355" s="53" t="n"/>
      <c r="BL355" s="53" t="n"/>
      <c r="BM355" s="53" t="n"/>
      <c r="BN355" s="53" t="n"/>
      <c r="BO355" s="53" t="n"/>
      <c r="BP355" s="53" t="n"/>
      <c r="BQ355" s="53" t="n"/>
      <c r="BR355" s="53" t="n"/>
      <c r="BS355" s="53" t="n"/>
      <c r="BT355" s="53" t="n"/>
      <c r="BU355" s="53" t="n"/>
      <c r="BV355" s="53" t="n"/>
      <c r="BW355" s="53" t="n"/>
      <c r="BX355" s="53" t="n"/>
      <c r="BY355" s="53" t="n"/>
      <c r="BZ355" s="53" t="n"/>
      <c r="CA355" s="53" t="n"/>
      <c r="CB355" s="53" t="n"/>
      <c r="CC355" s="53" t="n"/>
      <c r="CD355" s="53" t="n"/>
      <c r="CE355" s="53" t="n"/>
      <c r="CF355" s="53" t="n"/>
      <c r="CG355" s="53" t="n"/>
      <c r="CH355" s="53" t="n"/>
      <c r="CI355" s="53" t="n"/>
      <c r="CJ355" s="53" t="n"/>
      <c r="CK355" s="53" t="n"/>
      <c r="CL355" s="53" t="n"/>
      <c r="CM355" s="53" t="n"/>
      <c r="CN355" s="53" t="n"/>
      <c r="CO355" s="53" t="n"/>
      <c r="CP355" s="53" t="n"/>
      <c r="CQ355" s="53" t="n"/>
      <c r="CR355" s="53" t="n"/>
      <c r="CS355" s="53" t="n"/>
      <c r="CT355" s="53" t="n"/>
      <c r="CU355" s="53" t="n"/>
      <c r="CV355" s="53" t="n"/>
      <c r="CW355" s="53" t="n"/>
      <c r="CX355" s="53" t="n"/>
      <c r="CY355" s="53" t="n"/>
      <c r="CZ355" s="53" t="n"/>
      <c r="DA355" s="53" t="n"/>
      <c r="DB355" s="53" t="n"/>
      <c r="DC355" s="53" t="n"/>
      <c r="DD355" s="53" t="inlineStr">
        <is>
          <t>IRIS2202</t>
        </is>
      </c>
      <c r="DE355" s="53" t="inlineStr">
        <is>
          <t>Employee</t>
        </is>
      </c>
      <c r="DF355" s="53" t="inlineStr">
        <is>
          <t>Serving Notice</t>
        </is>
      </c>
      <c r="DG355" s="53" t="inlineStr">
        <is>
          <t>Shreya Shinde</t>
        </is>
      </c>
      <c r="DH355" s="54" t="n">
        <v>45231</v>
      </c>
      <c r="DI355" s="53" t="inlineStr">
        <is>
          <t>Client Solutions Executive</t>
        </is>
      </c>
      <c r="DJ355" s="53" t="inlineStr">
        <is>
          <t>Customer Success &amp; Support</t>
        </is>
      </c>
      <c r="DK355" s="53" t="inlineStr">
        <is>
          <t>Technical Support</t>
        </is>
      </c>
      <c r="DL355" s="53" t="inlineStr">
        <is>
          <t>Client Solutions Executive</t>
        </is>
      </c>
      <c r="DM355" s="53" t="inlineStr">
        <is>
          <t>L3 – Professional / Associate</t>
        </is>
      </c>
      <c r="DN355" s="53" t="inlineStr">
        <is>
          <t>B.Com</t>
        </is>
      </c>
      <c r="DO355" s="53" t="inlineStr">
        <is>
          <t>Shruti Patil</t>
        </is>
      </c>
      <c r="DP355" s="53" t="inlineStr">
        <is>
          <t>N-4</t>
        </is>
      </c>
      <c r="DQ355" s="53" t="inlineStr">
        <is>
          <t>Individual Contributor</t>
        </is>
      </c>
      <c r="DR355" s="53" t="inlineStr">
        <is>
          <t>9 years, 11 months, 0 days</t>
        </is>
      </c>
      <c r="DS355" s="53" t="inlineStr">
        <is>
          <t>2 years, 7 months, 19 days</t>
        </is>
      </c>
      <c r="DT355" s="53" t="inlineStr">
        <is>
          <t>12 years, 6 months, 19 days</t>
        </is>
      </c>
      <c r="DU355" s="53" t="n"/>
      <c r="DV355" s="53" t="inlineStr">
        <is>
          <t>Suptech</t>
        </is>
      </c>
      <c r="DW355" s="53" t="inlineStr">
        <is>
          <t>iFile</t>
        </is>
      </c>
      <c r="DX355" s="53" t="inlineStr">
        <is>
          <t>Support</t>
        </is>
      </c>
      <c r="DY355" s="53" t="inlineStr">
        <is>
          <t>Product Support</t>
        </is>
      </c>
      <c r="DZ355" s="53" t="inlineStr">
        <is>
          <t>No</t>
        </is>
      </c>
      <c r="EA355" s="53" t="inlineStr">
        <is>
          <t>Product/Project</t>
        </is>
      </c>
      <c r="EB355" s="53" t="inlineStr">
        <is>
          <t>Tech Support</t>
        </is>
      </c>
      <c r="EC355" s="53" t="inlineStr">
        <is>
          <t>Non-technical</t>
        </is>
      </c>
      <c r="ED355" s="53" t="inlineStr">
        <is>
          <t>Remote - Mumbai</t>
        </is>
      </c>
      <c r="EE355" s="53" t="inlineStr">
        <is>
          <t>Awaited - On NP</t>
        </is>
      </c>
      <c r="EF355"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55" s="53" t="inlineStr">
        <is>
          <t>Q1: Maintain client/customer satisfaction · CSAT of &gt;=4.2 / 5
Q1: Resolve &gt;=95% of assigned tickets/queries within SLA
Q1: Keep first-response time within agreed SLA on 100% of cases
Q1: Drive retention/renewal of assigned accounts to &gt;=90%</t>
        </is>
      </c>
      <c r="EH355" s="53" t="n">
        <v>3</v>
      </c>
      <c r="EI355" s="53" t="inlineStr">
        <is>
          <t>-</t>
        </is>
      </c>
      <c r="EJ355" s="53" t="inlineStr">
        <is>
          <t>Client Solutions Executive</t>
        </is>
      </c>
      <c r="EK355" s="53" t="inlineStr">
        <is>
          <t>No – designation matches current CSE/support scope.</t>
        </is>
      </c>
      <c r="EL355" s="53" t="n">
        <v>3</v>
      </c>
      <c r="EM355" s="53" t="inlineStr">
        <is>
          <t>Medium</t>
        </is>
      </c>
      <c r="EN355" s="53" t="inlineStr">
        <is>
          <t>Core Contributor</t>
        </is>
      </c>
      <c r="EO355" s="53" t="inlineStr">
        <is>
          <t>N</t>
        </is>
      </c>
      <c r="EP355" s="53" t="inlineStr">
        <is>
          <t>N</t>
        </is>
      </c>
      <c r="EQ355" s="53" t="inlineStr">
        <is>
          <t>N</t>
        </is>
      </c>
      <c r="ER355" s="53" t="inlineStr">
        <is>
          <t>No successor identified — Varsha covers similar scope for now</t>
        </is>
      </c>
      <c r="ES355" s="53" t="inlineStr">
        <is>
          <t>Customer success methods; communication &amp; de-escalation; product/domain depth; ticketing &amp; SLA tools</t>
        </is>
      </c>
      <c r="ET355" s="53" t="inlineStr">
        <is>
          <t>-</t>
        </is>
      </c>
      <c r="EU355" s="53" t="inlineStr">
        <is>
          <t>Serving Notice Period - Might need discussion with her reporting manager</t>
        </is>
      </c>
      <c r="EV355" s="53" t="n"/>
      <c r="EW355" s="52" t="n"/>
      <c r="EX355" s="53" t="n"/>
      <c r="EY355" s="53" t="n"/>
      <c r="EZ355" s="53" t="n"/>
      <c r="FA355" s="53" t="n"/>
      <c r="FB355" s="53" t="n"/>
      <c r="FC355" s="53" t="n"/>
      <c r="FD355" s="53" t="n"/>
      <c r="FE355"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55" s="56" t="inlineStr">
        <is>
          <t>Q1: Maintain client/customer satisfaction · CSAT of &gt;=4.2 / 5
Q1: Resolve &gt;=95% of assigned tickets/queries within SLA
Q1: Keep first-response time within agreed SLA on 100% of cases
Q1: Drive retention/renewal of assigned accounts to &gt;=90%</t>
        </is>
      </c>
      <c r="FG355" s="56" t="inlineStr">
        <is>
          <t>Awaited - On NP</t>
        </is>
      </c>
      <c r="FH355" s="56" t="inlineStr">
        <is>
          <t>3</t>
        </is>
      </c>
      <c r="FI355" s="56" t="n"/>
      <c r="FJ355" s="56" t="inlineStr">
        <is>
          <t>Received · manager annual, quarterly, self</t>
        </is>
      </c>
      <c r="FK355" s="56" t="inlineStr">
        <is>
          <t>Talent Mapping · iFile collated</t>
        </is>
      </c>
      <c r="FL355" s="56" t="n">
        <v>20</v>
      </c>
      <c r="FM355" s="32" t="inlineStr">
        <is>
          <t>Full survey answers not in the files received · How We Grow export needed · HR</t>
        </is>
      </c>
      <c r="FN355" s="56" t="inlineStr">
        <is>
          <t>—</t>
        </is>
      </c>
      <c r="FO355" s="56" t="inlineStr">
        <is>
          <t>—</t>
        </is>
      </c>
      <c r="FP355" s="56" t="inlineStr">
        <is>
          <t>—</t>
        </is>
      </c>
      <c r="FQ355" s="56" t="inlineStr">
        <is>
          <t>—</t>
        </is>
      </c>
      <c r="FR355" s="56"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test cases and results → matches the start
Leadership: Evidence reads like A2: Provides KT sessions and team knowledge sharing → moved up 0.5
Business Impact: No move: the survey / manager mapping does not mark it business-critical or unique.</t>
        </is>
      </c>
      <c r="FS35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55" s="56" t="inlineStr">
        <is>
          <t>Self-identified: Testing &amp; quality · Broader exposure &amp; ownership
For the next role: Testing &amp; quality · Broader exposure &amp; ownership</t>
        </is>
      </c>
      <c r="FU355" s="32" t="inlineStr">
        <is>
          <t>Full survey answers not in the files received · How We Grow export needed · HR</t>
        </is>
      </c>
    </row>
    <row r="356" ht="90" customHeight="1">
      <c r="A356" s="51" t="inlineStr">
        <is>
          <t>◂ Back</t>
        </is>
      </c>
      <c r="B356" s="29" t="inlineStr">
        <is>
          <t>Mapped</t>
        </is>
      </c>
      <c r="C356" s="28" t="inlineStr">
        <is>
          <t>iFile</t>
        </is>
      </c>
      <c r="D356" s="29" t="inlineStr">
        <is>
          <t>IRIS1907</t>
        </is>
      </c>
      <c r="E356" s="29" t="inlineStr">
        <is>
          <t>Varsha Kambale</t>
        </is>
      </c>
      <c r="F356" s="29" t="inlineStr">
        <is>
          <t>Support</t>
        </is>
      </c>
      <c r="G356" s="29" t="inlineStr">
        <is>
          <t>Client Solutions Executive</t>
        </is>
      </c>
      <c r="H356" s="29" t="inlineStr">
        <is>
          <t>Senior Support Executive</t>
        </is>
      </c>
      <c r="I356" s="29" t="inlineStr">
        <is>
          <t>L3 – Professional / Associate</t>
        </is>
      </c>
      <c r="J356" s="29" t="inlineStr">
        <is>
          <t>A3</t>
        </is>
      </c>
      <c r="K356" s="29" t="inlineStr">
        <is>
          <t>▲ Up</t>
        </is>
      </c>
      <c r="L356" s="29" t="inlineStr">
        <is>
          <t>Customer Success &amp; Support</t>
        </is>
      </c>
      <c r="M356" s="29" t="inlineStr">
        <is>
          <t>Application &amp; Product Support</t>
        </is>
      </c>
      <c r="N356" s="29" t="n"/>
      <c r="O356" s="29" t="n">
        <v>20</v>
      </c>
      <c r="P356" s="28" t="inlineStr">
        <is>
          <t>P2</t>
        </is>
      </c>
      <c r="Q356" s="29" t="inlineStr">
        <is>
          <t>Developing</t>
        </is>
      </c>
      <c r="R356" s="29" t="inlineStr">
        <is>
          <t>3 Apply</t>
        </is>
      </c>
      <c r="S356" s="29" t="inlineStr">
        <is>
          <t>2–4 yrs</t>
        </is>
      </c>
      <c r="T356" s="29" t="inlineStr">
        <is>
          <t>3–5 · 2–5</t>
        </is>
      </c>
      <c r="U356" s="29" t="inlineStr">
        <is>
          <t>Support / CS Executive</t>
        </is>
      </c>
      <c r="V356" s="29" t="inlineStr">
        <is>
          <t>IRIS Vs Competitor Benchmark — SaaS customer-success ladder: Associate CSM · Regnology: Product Support Specialist · Reg Reporting · IRIS Vs Competitor Benchmark — support tiers: L2 Application Support</t>
        </is>
      </c>
      <c r="W356" s="29" t="inlineStr">
        <is>
          <t>TSIA frameworks and benchmarks; ITIL 4 service desk; Gainsight customer-success practice</t>
        </is>
      </c>
      <c r="X356" s="29" t="inlineStr">
        <is>
          <t>Core 2 · Future 2 · Functional 3 · Leadership not scored</t>
        </is>
      </c>
      <c r="Y356" s="52" t="n">
        <v>179</v>
      </c>
      <c r="Z356" s="53" t="inlineStr">
        <is>
          <t>IRIS1907</t>
        </is>
      </c>
      <c r="AA356" s="53" t="inlineStr">
        <is>
          <t>Employee</t>
        </is>
      </c>
      <c r="AB356" s="53" t="inlineStr">
        <is>
          <t>Active</t>
        </is>
      </c>
      <c r="AC356" s="53" t="inlineStr">
        <is>
          <t>Varsha Kambale</t>
        </is>
      </c>
      <c r="AD356" s="54" t="n">
        <v>44315</v>
      </c>
      <c r="AE356" s="53" t="inlineStr">
        <is>
          <t>Client Solutions Executive</t>
        </is>
      </c>
      <c r="AF356" s="53" t="inlineStr">
        <is>
          <t>B.E</t>
        </is>
      </c>
      <c r="AG356" s="53" t="inlineStr">
        <is>
          <t>Shruti Patil</t>
        </is>
      </c>
      <c r="AH356" s="53" t="inlineStr">
        <is>
          <t>N-5</t>
        </is>
      </c>
      <c r="AI356" s="53" t="inlineStr">
        <is>
          <t>Individual Contributor</t>
        </is>
      </c>
      <c r="AJ356" s="53" t="inlineStr">
        <is>
          <t>5 years, 0 months, 0 days</t>
        </is>
      </c>
      <c r="AK356" s="53" t="inlineStr">
        <is>
          <t>5 years, 3 months, 27 days</t>
        </is>
      </c>
      <c r="AL356" s="53" t="inlineStr">
        <is>
          <t>Suptech</t>
        </is>
      </c>
      <c r="AM356" s="53" t="inlineStr">
        <is>
          <t>iFile</t>
        </is>
      </c>
      <c r="AN356" s="53" t="inlineStr">
        <is>
          <t>Support</t>
        </is>
      </c>
      <c r="AO356" s="53" t="inlineStr">
        <is>
          <t>Product Support</t>
        </is>
      </c>
      <c r="AP356" s="53" t="inlineStr">
        <is>
          <t>No</t>
        </is>
      </c>
      <c r="AQ356" s="53" t="inlineStr">
        <is>
          <t>Product/Project</t>
        </is>
      </c>
      <c r="AR356" s="53" t="inlineStr">
        <is>
          <t>Tech Support</t>
        </is>
      </c>
      <c r="AS356" s="53" t="inlineStr">
        <is>
          <t>Non-technical</t>
        </is>
      </c>
      <c r="AT356" s="53" t="n">
        <v>20</v>
      </c>
      <c r="AU356" s="53" t="inlineStr">
        <is>
          <t>Covered</t>
        </is>
      </c>
      <c r="AV356" s="53" t="n"/>
      <c r="AW356" s="53" t="n"/>
      <c r="AX356" s="53" t="n"/>
      <c r="AY356" s="53" t="n"/>
      <c r="AZ356" s="53" t="n"/>
      <c r="BA356" s="53" t="n"/>
      <c r="BB356" s="53" t="n"/>
      <c r="BC356" s="53" t="n"/>
      <c r="BD356" s="53" t="n"/>
      <c r="BE356" s="53" t="n"/>
      <c r="BF356" s="53" t="n"/>
      <c r="BG356" s="53" t="n"/>
      <c r="BH356" s="53" t="n"/>
      <c r="BI356" s="53" t="n"/>
      <c r="BJ356" s="53" t="n"/>
      <c r="BK356" s="53" t="n"/>
      <c r="BL356" s="53" t="n"/>
      <c r="BM356" s="53" t="n"/>
      <c r="BN356" s="53" t="n"/>
      <c r="BO356" s="53" t="n"/>
      <c r="BP356" s="53" t="n"/>
      <c r="BQ356" s="53" t="n"/>
      <c r="BR356" s="53" t="n"/>
      <c r="BS356" s="53" t="n"/>
      <c r="BT356" s="53" t="n"/>
      <c r="BU356" s="53" t="n"/>
      <c r="BV356" s="53" t="n"/>
      <c r="BW356" s="53" t="n"/>
      <c r="BX356" s="53" t="n"/>
      <c r="BY356" s="53" t="n"/>
      <c r="BZ356" s="53" t="n"/>
      <c r="CA356" s="53" t="n"/>
      <c r="CB356" s="53" t="n"/>
      <c r="CC356" s="53" t="n"/>
      <c r="CD356" s="53" t="n"/>
      <c r="CE356" s="53" t="n"/>
      <c r="CF356" s="53" t="n"/>
      <c r="CG356" s="53" t="n"/>
      <c r="CH356" s="53" t="n"/>
      <c r="CI356" s="53" t="n"/>
      <c r="CJ356" s="53" t="n"/>
      <c r="CK356" s="53" t="n"/>
      <c r="CL356" s="53" t="n"/>
      <c r="CM356" s="53" t="n"/>
      <c r="CN356" s="53" t="n"/>
      <c r="CO356" s="53" t="n"/>
      <c r="CP356" s="53" t="n"/>
      <c r="CQ356" s="53" t="n"/>
      <c r="CR356" s="53" t="n"/>
      <c r="CS356" s="53" t="n"/>
      <c r="CT356" s="53" t="n"/>
      <c r="CU356" s="53" t="n"/>
      <c r="CV356" s="53" t="n"/>
      <c r="CW356" s="53" t="n"/>
      <c r="CX356" s="53" t="n"/>
      <c r="CY356" s="53" t="n"/>
      <c r="CZ356" s="53" t="n"/>
      <c r="DA356" s="53" t="n"/>
      <c r="DB356" s="53" t="n"/>
      <c r="DC356" s="53" t="n"/>
      <c r="DD356" s="53" t="inlineStr">
        <is>
          <t>IRIS1907</t>
        </is>
      </c>
      <c r="DE356" s="53" t="inlineStr">
        <is>
          <t>Employee</t>
        </is>
      </c>
      <c r="DF356" s="53" t="inlineStr">
        <is>
          <t>Active</t>
        </is>
      </c>
      <c r="DG356" s="53" t="inlineStr">
        <is>
          <t>Varsha Kambale</t>
        </is>
      </c>
      <c r="DH356" s="54" t="n">
        <v>44315</v>
      </c>
      <c r="DI356" s="53" t="inlineStr">
        <is>
          <t>Client Solutions Executive</t>
        </is>
      </c>
      <c r="DJ356" s="53" t="inlineStr">
        <is>
          <t>Customer Success &amp; Support</t>
        </is>
      </c>
      <c r="DK356" s="53" t="inlineStr">
        <is>
          <t>Technical Support</t>
        </is>
      </c>
      <c r="DL356" s="53" t="inlineStr">
        <is>
          <t>Client Solutions Executive</t>
        </is>
      </c>
      <c r="DM356" s="53" t="inlineStr">
        <is>
          <t>L3 – Professional / Associate</t>
        </is>
      </c>
      <c r="DN356" s="53" t="inlineStr">
        <is>
          <t>B.E</t>
        </is>
      </c>
      <c r="DO356" s="53" t="inlineStr">
        <is>
          <t>Shruti Patil</t>
        </is>
      </c>
      <c r="DP356" s="53" t="inlineStr">
        <is>
          <t>N-4</t>
        </is>
      </c>
      <c r="DQ356" s="53" t="inlineStr">
        <is>
          <t>Individual Contributor</t>
        </is>
      </c>
      <c r="DR356" s="53" t="inlineStr">
        <is>
          <t>5 years, 0 months, 0 days</t>
        </is>
      </c>
      <c r="DS356" s="53" t="inlineStr">
        <is>
          <t>5 years, 1 months, 22 days</t>
        </is>
      </c>
      <c r="DT356" s="53" t="inlineStr">
        <is>
          <t>10 years, 1 months, 22 days</t>
        </is>
      </c>
      <c r="DU356" s="53" t="n"/>
      <c r="DV356" s="53" t="inlineStr">
        <is>
          <t>Suptech</t>
        </is>
      </c>
      <c r="DW356" s="53" t="inlineStr">
        <is>
          <t>iFile</t>
        </is>
      </c>
      <c r="DX356" s="53" t="inlineStr">
        <is>
          <t>Support</t>
        </is>
      </c>
      <c r="DY356" s="53" t="inlineStr">
        <is>
          <t>Product Support</t>
        </is>
      </c>
      <c r="DZ356" s="53" t="inlineStr">
        <is>
          <t>No</t>
        </is>
      </c>
      <c r="EA356" s="53" t="inlineStr">
        <is>
          <t>Product/Project</t>
        </is>
      </c>
      <c r="EB356" s="53" t="inlineStr">
        <is>
          <t>Tech Support</t>
        </is>
      </c>
      <c r="EC356" s="53" t="inlineStr">
        <is>
          <t>Non-technical</t>
        </is>
      </c>
      <c r="ED356" s="53" t="inlineStr">
        <is>
          <t>Remote- Outside Mumbai</t>
        </is>
      </c>
      <c r="EE356" s="53"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EF35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56" s="53" t="inlineStr">
        <is>
          <t>Q1: Maintain client/customer satisfaction · CSAT of &gt;=4.2 / 5
Q1: Resolve &gt;=95% of assigned tickets/queries within SLA
Q1: Keep first-response time within agreed SLA on 100% of cases
Q1: Drive retention/renewal of assigned accounts to &gt;=90%</t>
        </is>
      </c>
      <c r="EH356" s="53" t="n">
        <v>3</v>
      </c>
      <c r="EI356" s="53" t="inlineStr">
        <is>
          <t>-</t>
        </is>
      </c>
      <c r="EJ356" s="53" t="inlineStr">
        <is>
          <t>Client Solutions Executive</t>
        </is>
      </c>
      <c r="EK356" s="53" t="inlineStr">
        <is>
          <t>No – designation matches current CSE/support scope.</t>
        </is>
      </c>
      <c r="EL356" s="53" t="n">
        <v>3</v>
      </c>
      <c r="EM356" s="53" t="inlineStr">
        <is>
          <t>Medium</t>
        </is>
      </c>
      <c r="EN356" s="53" t="inlineStr">
        <is>
          <t>Reliable Specialist</t>
        </is>
      </c>
      <c r="EO356" s="53" t="inlineStr">
        <is>
          <t>N</t>
        </is>
      </c>
      <c r="EP356" s="53" t="inlineStr">
        <is>
          <t>N</t>
        </is>
      </c>
      <c r="EQ356" s="53" t="inlineStr">
        <is>
          <t>Y</t>
        </is>
      </c>
      <c r="ER356" s="53" t="inlineStr">
        <is>
          <t>No successor formally identified</t>
        </is>
      </c>
      <c r="ES356" s="53" t="inlineStr">
        <is>
          <t>Customer success methods; communication &amp; de-escalation; product/domain depth; ticketing &amp; SLA tools</t>
        </is>
      </c>
      <c r="ET356" s="53" t="inlineStr">
        <is>
          <t>-</t>
        </is>
      </c>
      <c r="EU356" s="53" t="inlineStr">
        <is>
          <t>Might need discussion with her reporting manager</t>
        </is>
      </c>
      <c r="EV356" s="53" t="n"/>
      <c r="EW356" s="52" t="n"/>
      <c r="EX356" s="53" t="n"/>
      <c r="EY356" s="53" t="n"/>
      <c r="EZ356" s="53" t="n"/>
      <c r="FA356" s="53" t="n"/>
      <c r="FB356" s="53" t="n"/>
      <c r="FC356" s="53" t="n"/>
      <c r="FD356" s="53" t="n"/>
      <c r="FE35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56" s="56" t="inlineStr">
        <is>
          <t>Q1: Maintain client/customer satisfaction · CSAT of &gt;=4.2 / 5
Q1: Resolve &gt;=95% of assigned tickets/queries within SLA
Q1: Keep first-response time within agreed SLA on 100% of cases
Q1: Drive retention/renewal of assigned accounts to &gt;=90%</t>
        </is>
      </c>
      <c r="FG356" s="56"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FH356" s="56" t="inlineStr">
        <is>
          <t>3</t>
        </is>
      </c>
      <c r="FI356" s="56" t="n"/>
      <c r="FJ356" s="56" t="inlineStr">
        <is>
          <t>Received · manager annual, quarterly, self</t>
        </is>
      </c>
      <c r="FK356" s="56" t="inlineStr">
        <is>
          <t>Talent Mapping · iFile collated</t>
        </is>
      </c>
      <c r="FL356" s="56" t="n">
        <v>20</v>
      </c>
      <c r="FM356" s="32" t="inlineStr">
        <is>
          <t>Full survey answers not in the files received · How We Grow export needed · HR</t>
        </is>
      </c>
      <c r="FN356" s="56" t="inlineStr">
        <is>
          <t>—</t>
        </is>
      </c>
      <c r="FO356" s="56" t="inlineStr">
        <is>
          <t>—</t>
        </is>
      </c>
      <c r="FP356" s="56" t="inlineStr">
        <is>
          <t>—</t>
        </is>
      </c>
      <c r="FQ356" s="56" t="inlineStr">
        <is>
          <t>—</t>
        </is>
      </c>
      <c r="FR356" s="56"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validation, production issue resolution, support SLAs and SLA reporting → moved up 0.5
Leadership: Evidence reads like A1: No guidance of others described → matches the start
Business Impact: Moved +0.5: the survey / manager mapping marks it business-critical.</t>
        </is>
      </c>
      <c r="FS35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56" s="56" t="inlineStr">
        <is>
          <t>Self-identified: AI / automation · Testing &amp; quality · Data, SQL &amp; analytics · Domain, regulatory &amp; XBRL · Product &amp; tool knowledge · Broader exposure &amp; ownership
For the next role: AI / automation · Testing &amp; quality · Data, SQL &amp; analytics · Domain, regulatory &amp; XBRL · Product &amp; tool knowledge · Broader exposure &amp; ownership</t>
        </is>
      </c>
      <c r="FU356" s="32" t="inlineStr">
        <is>
          <t>Full survey answers not in the files received · How We Grow export needed · HR</t>
        </is>
      </c>
    </row>
    <row r="357" ht="90" customHeight="1">
      <c r="A357" s="51" t="inlineStr">
        <is>
          <t>◂ Back</t>
        </is>
      </c>
      <c r="B357" s="29" t="inlineStr">
        <is>
          <t>Mapped</t>
        </is>
      </c>
      <c r="C357" s="28" t="inlineStr">
        <is>
          <t>iFile</t>
        </is>
      </c>
      <c r="D357" s="29" t="inlineStr">
        <is>
          <t>IRISC348</t>
        </is>
      </c>
      <c r="E357" s="29" t="inlineStr">
        <is>
          <t>Uzma Shaikh</t>
        </is>
      </c>
      <c r="F357" s="29" t="inlineStr">
        <is>
          <t>Support</t>
        </is>
      </c>
      <c r="G357" s="29" t="inlineStr">
        <is>
          <t>Consultant</t>
        </is>
      </c>
      <c r="H357" s="29" t="inlineStr">
        <is>
          <t>Support Executive</t>
        </is>
      </c>
      <c r="I357" s="29" t="inlineStr">
        <is>
          <t>Not in current mapping files</t>
        </is>
      </c>
      <c r="J357" s="29" t="inlineStr">
        <is>
          <t>A2</t>
        </is>
      </c>
      <c r="K357" s="29" t="inlineStr">
        <is>
          <t>● Newly mapped</t>
        </is>
      </c>
      <c r="L357" s="29" t="inlineStr">
        <is>
          <t>Customer Success &amp; Support</t>
        </is>
      </c>
      <c r="M357" s="29" t="inlineStr">
        <is>
          <t>Application &amp; Product Support</t>
        </is>
      </c>
      <c r="N357" s="29" t="n"/>
      <c r="O357" s="29" t="n">
        <v>20</v>
      </c>
      <c r="P357" s="28" t="inlineStr">
        <is>
          <t>P1–P2</t>
        </is>
      </c>
      <c r="Q357" s="29" t="inlineStr">
        <is>
          <t>Entry / Developing</t>
        </is>
      </c>
      <c r="R357" s="29" t="inlineStr">
        <is>
          <t>2 Assist</t>
        </is>
      </c>
      <c r="S357" s="29" t="inlineStr">
        <is>
          <t>0–2 yrs</t>
        </is>
      </c>
      <c r="T357" s="29" t="inlineStr">
        <is>
          <t>1–3 · 0–3</t>
        </is>
      </c>
      <c r="U357" s="29" t="inlineStr">
        <is>
          <t>Support Associate / Support / CS Executive</t>
        </is>
      </c>
      <c r="V357" s="29" t="inlineStr">
        <is>
          <t>IRIS Vs Competitor Benchmark — SaaS customer-success ladder: Support Associate · IRIS Vs Competitor Benchmark — support tiers: L1 Service Desk</t>
        </is>
      </c>
      <c r="W357" s="29" t="inlineStr">
        <is>
          <t>TSIA frameworks and benchmarks; ITIL 4 service desk; Gainsight customer-success practice</t>
        </is>
      </c>
      <c r="X357" s="29" t="inlineStr">
        <is>
          <t>Core 2 · Future 2 · Functional 2 · Leadership not scored</t>
        </is>
      </c>
      <c r="Y357" s="52" t="n">
        <v>508</v>
      </c>
      <c r="Z357" s="53" t="inlineStr">
        <is>
          <t>IRISC348</t>
        </is>
      </c>
      <c r="AA357" s="53" t="inlineStr">
        <is>
          <t>On Contract</t>
        </is>
      </c>
      <c r="AB357" s="53" t="inlineStr">
        <is>
          <t>Active</t>
        </is>
      </c>
      <c r="AC357" s="53" t="inlineStr">
        <is>
          <t>Uzma Shaikh</t>
        </is>
      </c>
      <c r="AD357" s="54" t="n">
        <v>46178</v>
      </c>
      <c r="AE357" s="53" t="inlineStr">
        <is>
          <t>Consultant</t>
        </is>
      </c>
      <c r="AF357" s="53" t="inlineStr">
        <is>
          <t>B.Tech</t>
        </is>
      </c>
      <c r="AG357" s="53" t="inlineStr">
        <is>
          <t>Shruti Patil</t>
        </is>
      </c>
      <c r="AH357" s="53" t="inlineStr">
        <is>
          <t>N-5</t>
        </is>
      </c>
      <c r="AI357" s="53" t="inlineStr">
        <is>
          <t>Individual Contributor</t>
        </is>
      </c>
      <c r="AJ357" s="53" t="inlineStr">
        <is>
          <t>0 years, 0 months, 00 days</t>
        </is>
      </c>
      <c r="AK357" s="53" t="inlineStr">
        <is>
          <t>0 years, 2 months, 20 days</t>
        </is>
      </c>
      <c r="AL357" s="53" t="inlineStr">
        <is>
          <t>Suptech</t>
        </is>
      </c>
      <c r="AM357" s="53" t="inlineStr">
        <is>
          <t>iFile</t>
        </is>
      </c>
      <c r="AN357" s="53" t="inlineStr">
        <is>
          <t>Support</t>
        </is>
      </c>
      <c r="AO357" s="53" t="inlineStr">
        <is>
          <t>Product Support</t>
        </is>
      </c>
      <c r="AP357" s="53" t="inlineStr">
        <is>
          <t>No</t>
        </is>
      </c>
      <c r="AQ357" s="53" t="inlineStr">
        <is>
          <t>Product/Project</t>
        </is>
      </c>
      <c r="AR357" s="53" t="inlineStr">
        <is>
          <t>Tech Support</t>
        </is>
      </c>
      <c r="AS357" s="53" t="inlineStr">
        <is>
          <t>Non-technical</t>
        </is>
      </c>
      <c r="AT357" s="53" t="n">
        <v>20</v>
      </c>
      <c r="AU357" s="53" t="inlineStr">
        <is>
          <t>Covered</t>
        </is>
      </c>
      <c r="AV357" s="53" t="n"/>
      <c r="AW357" s="53" t="n"/>
      <c r="AX357" s="53" t="n"/>
      <c r="AY357" s="53" t="n"/>
      <c r="AZ357" s="53" t="n"/>
      <c r="BA357" s="53" t="n"/>
      <c r="BB357" s="53" t="n"/>
      <c r="BC357" s="53" t="n"/>
      <c r="BD357" s="53" t="n"/>
      <c r="BE357" s="53" t="n"/>
      <c r="BF357" s="53" t="n"/>
      <c r="BG357" s="53" t="n"/>
      <c r="BH357" s="53" t="n"/>
      <c r="BI357" s="53" t="n"/>
      <c r="BJ357" s="53" t="n"/>
      <c r="BK357" s="53" t="n"/>
      <c r="BL357" s="53" t="n"/>
      <c r="BM357" s="53" t="n"/>
      <c r="BN357" s="53" t="n"/>
      <c r="BO357" s="53" t="n"/>
      <c r="BP357" s="53" t="n"/>
      <c r="BQ357" s="53" t="n"/>
      <c r="BR357" s="53" t="n"/>
      <c r="BS357" s="53" t="n"/>
      <c r="BT357" s="53" t="n"/>
      <c r="BU357" s="53" t="n"/>
      <c r="BV357" s="53" t="n"/>
      <c r="BW357" s="53" t="n"/>
      <c r="BX357" s="53" t="n"/>
      <c r="BY357" s="53" t="n"/>
      <c r="BZ357" s="53" t="n"/>
      <c r="CA357" s="53" t="n"/>
      <c r="CB357" s="53" t="n"/>
      <c r="CC357" s="53" t="n"/>
      <c r="CD357" s="53" t="n"/>
      <c r="CE357" s="53" t="n"/>
      <c r="CF357" s="53" t="n"/>
      <c r="CG357" s="53" t="n"/>
      <c r="CH357" s="53" t="n"/>
      <c r="CI357" s="53" t="n"/>
      <c r="CJ357" s="53" t="n"/>
      <c r="CK357" s="53" t="n"/>
      <c r="CL357" s="53" t="n"/>
      <c r="CM357" s="53" t="n"/>
      <c r="CN357" s="53" t="n"/>
      <c r="CO357" s="53" t="n"/>
      <c r="CP357" s="53" t="n"/>
      <c r="CQ357" s="53" t="n"/>
      <c r="CR357" s="53" t="n"/>
      <c r="CS357" s="53" t="n"/>
      <c r="CT357" s="53" t="n"/>
      <c r="CU357" s="53" t="n"/>
      <c r="CV357" s="53" t="n"/>
      <c r="CW357" s="53" t="n"/>
      <c r="CX357" s="53" t="n"/>
      <c r="CY357" s="53" t="n"/>
      <c r="CZ357" s="53" t="n"/>
      <c r="DA357" s="53" t="n"/>
      <c r="DB357" s="53" t="n"/>
      <c r="DC357" s="53" t="n"/>
      <c r="DD357" s="53" t="n"/>
      <c r="DE357" s="53" t="n"/>
      <c r="DF357" s="53" t="n"/>
      <c r="DG357" s="53" t="n"/>
      <c r="DH357" s="53" t="n"/>
      <c r="DI357" s="53" t="n"/>
      <c r="DJ357" s="53" t="n"/>
      <c r="DK357" s="53" t="n"/>
      <c r="DL357" s="53" t="n"/>
      <c r="DM357" s="53" t="n"/>
      <c r="DN357" s="53" t="n"/>
      <c r="DO357" s="53" t="n"/>
      <c r="DP357" s="53" t="n"/>
      <c r="DQ357" s="53" t="n"/>
      <c r="DR357" s="53" t="n"/>
      <c r="DS357" s="53" t="n"/>
      <c r="DT357" s="53" t="n"/>
      <c r="DU357" s="53" t="n"/>
      <c r="DV357" s="53" t="n"/>
      <c r="DW357" s="53" t="n"/>
      <c r="DX357" s="53" t="n"/>
      <c r="DY357" s="53" t="n"/>
      <c r="DZ357" s="53" t="n"/>
      <c r="EA357" s="53" t="n"/>
      <c r="EB357" s="53" t="n"/>
      <c r="EC357" s="53" t="n"/>
      <c r="ED357" s="53" t="n"/>
      <c r="EE357" s="53" t="n"/>
      <c r="EF357" s="53" t="n"/>
      <c r="EG357" s="53" t="n"/>
      <c r="EH357" s="53" t="n"/>
      <c r="EI357" s="53" t="n"/>
      <c r="EJ357" s="53" t="n"/>
      <c r="EK357" s="53" t="n"/>
      <c r="EL357" s="53" t="n"/>
      <c r="EM357" s="53" t="n"/>
      <c r="EN357" s="53" t="n"/>
      <c r="EO357" s="53" t="n"/>
      <c r="EP357" s="53" t="n"/>
      <c r="EQ357" s="53" t="n"/>
      <c r="ER357" s="53" t="n"/>
      <c r="ES357" s="53" t="n"/>
      <c r="ET357" s="53" t="n"/>
      <c r="EU357" s="53" t="n"/>
      <c r="EV357" s="53" t="n"/>
      <c r="EW357" s="52" t="n"/>
      <c r="EX357" s="53" t="n"/>
      <c r="EY357" s="53" t="n"/>
      <c r="EZ357" s="53" t="n"/>
      <c r="FA357" s="53" t="n"/>
      <c r="FB357" s="53" t="n"/>
      <c r="FC357" s="53" t="n"/>
      <c r="FD357" s="53" t="n"/>
      <c r="FE357" s="55" t="inlineStr">
        <is>
          <t>KRAs not received · manager to supply</t>
        </is>
      </c>
      <c r="FF357" s="56" t="n"/>
      <c r="FG357" s="56" t="n"/>
      <c r="FH357" s="56" t="n"/>
      <c r="FI357" s="56" t="n"/>
      <c r="FJ357" s="32" t="inlineStr">
        <is>
          <t>KRAs not received · manager to supply</t>
        </is>
      </c>
      <c r="FK357" s="56" t="n"/>
      <c r="FL357" s="56" t="n">
        <v>20</v>
      </c>
      <c r="FM357" s="32" t="inlineStr">
        <is>
          <t>Full survey answers not in the files received · How We Grow export needed · HR</t>
        </is>
      </c>
      <c r="FN357" s="56" t="inlineStr">
        <is>
          <t>—</t>
        </is>
      </c>
      <c r="FO357" s="56" t="inlineStr">
        <is>
          <t>—</t>
        </is>
      </c>
      <c r="FP357" s="56" t="inlineStr">
        <is>
          <t>—</t>
        </is>
      </c>
      <c r="FQ357" s="56" t="inlineStr">
        <is>
          <t>—</t>
        </is>
      </c>
      <c r="FR357" s="56"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Evidence reads like A2: Assists team members and developers with portal work → moved up 0.5
Business Impact: No survey or manager-mapping signal on criticality: kept at the start point.</t>
        </is>
      </c>
      <c r="FS357"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357" s="56" t="inlineStr">
        <is>
          <t>Self-identified: Technical depth &amp; architecture · Data, SQL &amp; analytics · Broader exposure &amp; ownership
For the next role: Technical depth &amp; architecture · Data, SQL &amp; analytics · Broader exposure &amp; ownership</t>
        </is>
      </c>
      <c r="FU357" s="32" t="inlineStr">
        <is>
          <t>Full survey answers not in the files received · How We Grow export needed · HR</t>
        </is>
      </c>
    </row>
    <row r="358" ht="90" customHeight="1">
      <c r="A358" s="51" t="inlineStr">
        <is>
          <t>◂ Back</t>
        </is>
      </c>
      <c r="B358" s="29" t="inlineStr">
        <is>
          <t>Mapped</t>
        </is>
      </c>
      <c r="C358" s="28" t="inlineStr">
        <is>
          <t>iFile</t>
        </is>
      </c>
      <c r="D358" s="29" t="inlineStr">
        <is>
          <t>INTN0305</t>
        </is>
      </c>
      <c r="E358" s="29" t="inlineStr">
        <is>
          <t>Samiksha Sawant</t>
        </is>
      </c>
      <c r="F358" s="29" t="inlineStr">
        <is>
          <t>Technology</t>
        </is>
      </c>
      <c r="G358" s="29" t="inlineStr">
        <is>
          <t>Intern</t>
        </is>
      </c>
      <c r="H358" s="29" t="inlineStr">
        <is>
          <t>Intern – Software Development</t>
        </is>
      </c>
      <c r="I358" s="29" t="inlineStr">
        <is>
          <t>Not in current mapping files</t>
        </is>
      </c>
      <c r="J358" s="29" t="inlineStr">
        <is>
          <t>A1</t>
        </is>
      </c>
      <c r="K358" s="29" t="inlineStr">
        <is>
          <t>● Newly mapped</t>
        </is>
      </c>
      <c r="L358" s="29" t="inlineStr">
        <is>
          <t>Engineering &amp; Development</t>
        </is>
      </c>
      <c r="M358" s="29" t="inlineStr">
        <is>
          <t>Backend Development</t>
        </is>
      </c>
      <c r="N358" s="29" t="n"/>
      <c r="O358" s="29" t="n">
        <v>20</v>
      </c>
      <c r="P358" s="28" t="inlineStr">
        <is>
          <t>Entry / P1 · intern</t>
        </is>
      </c>
      <c r="Q358" s="29" t="inlineStr">
        <is>
          <t>Entry</t>
        </is>
      </c>
      <c r="R358" s="29" t="inlineStr">
        <is>
          <t>1 Follow</t>
        </is>
      </c>
      <c r="S358" s="29" t="inlineStr">
        <is>
          <t>0 yrs · fresher / intern</t>
        </is>
      </c>
      <c r="T358" s="29" t="inlineStr">
        <is>
          <t>—</t>
        </is>
      </c>
      <c r="U358" s="29" t="inlineStr">
        <is>
          <t>Associate Software Engineer</t>
        </is>
      </c>
      <c r="V358" s="29" t="inlineStr">
        <is>
          <t>—</t>
        </is>
      </c>
      <c r="W358" s="29" t="inlineStr">
        <is>
          <t>SFIA 9 · software development, programming; OWASP secure coding; cloud vendor certifications</t>
        </is>
      </c>
      <c r="X358" s="29" t="inlineStr">
        <is>
          <t>Core 1 · Future 1 · Functional 1 · Leadership not scored</t>
        </is>
      </c>
      <c r="Y358" s="52" t="n">
        <v>517</v>
      </c>
      <c r="Z358" s="53" t="inlineStr">
        <is>
          <t>INTN0305</t>
        </is>
      </c>
      <c r="AA358" s="53" t="inlineStr">
        <is>
          <t>Intern</t>
        </is>
      </c>
      <c r="AB358" s="53" t="inlineStr">
        <is>
          <t>Active</t>
        </is>
      </c>
      <c r="AC358" s="53" t="inlineStr">
        <is>
          <t>Samiksha Sawant</t>
        </is>
      </c>
      <c r="AD358" s="54" t="n">
        <v>46216</v>
      </c>
      <c r="AE358" s="53" t="inlineStr">
        <is>
          <t>Intern</t>
        </is>
      </c>
      <c r="AF358" s="53" t="inlineStr">
        <is>
          <t>B.E</t>
        </is>
      </c>
      <c r="AG358" s="53" t="inlineStr">
        <is>
          <t>Shruti Patil</t>
        </is>
      </c>
      <c r="AH358" s="53" t="inlineStr">
        <is>
          <t>N-5</t>
        </is>
      </c>
      <c r="AI358" s="53" t="inlineStr">
        <is>
          <t>Individual Contributor</t>
        </is>
      </c>
      <c r="AJ358" s="53" t="inlineStr">
        <is>
          <t>0 years, 0 months, 0 days</t>
        </is>
      </c>
      <c r="AK358" s="53" t="inlineStr">
        <is>
          <t>0 years, 1 months, 12 days</t>
        </is>
      </c>
      <c r="AL358" s="53" t="inlineStr">
        <is>
          <t>Suptech</t>
        </is>
      </c>
      <c r="AM358" s="53" t="inlineStr">
        <is>
          <t>iFile</t>
        </is>
      </c>
      <c r="AN358" s="53" t="inlineStr">
        <is>
          <t>Technology</t>
        </is>
      </c>
      <c r="AO358" s="53" t="inlineStr">
        <is>
          <t>Development</t>
        </is>
      </c>
      <c r="AP358" s="53" t="inlineStr">
        <is>
          <t>Yes</t>
        </is>
      </c>
      <c r="AQ358" s="53" t="inlineStr">
        <is>
          <t>Product/Project</t>
        </is>
      </c>
      <c r="AR358" s="53" t="inlineStr">
        <is>
          <t>Java</t>
        </is>
      </c>
      <c r="AS358" s="53" t="inlineStr">
        <is>
          <t>Technical - Developer</t>
        </is>
      </c>
      <c r="AT358" s="53" t="n">
        <v>20</v>
      </c>
      <c r="AU358" s="53" t="inlineStr">
        <is>
          <t>Covered</t>
        </is>
      </c>
      <c r="AV358" s="53" t="n"/>
      <c r="AW358" s="53" t="n"/>
      <c r="AX358" s="53" t="n"/>
      <c r="AY358" s="53" t="n"/>
      <c r="AZ358" s="53" t="n"/>
      <c r="BA358" s="53" t="n"/>
      <c r="BB358" s="53" t="n"/>
      <c r="BC358" s="53" t="n"/>
      <c r="BD358" s="53" t="n"/>
      <c r="BE358" s="53" t="n"/>
      <c r="BF358" s="53" t="n"/>
      <c r="BG358" s="53" t="n"/>
      <c r="BH358" s="53" t="n"/>
      <c r="BI358" s="53" t="n"/>
      <c r="BJ358" s="53" t="n"/>
      <c r="BK358" s="53" t="n"/>
      <c r="BL358" s="53" t="n"/>
      <c r="BM358" s="53" t="n"/>
      <c r="BN358" s="53" t="n"/>
      <c r="BO358" s="53" t="n"/>
      <c r="BP358" s="53" t="n"/>
      <c r="BQ358" s="53" t="n"/>
      <c r="BR358" s="53" t="n"/>
      <c r="BS358" s="53" t="n"/>
      <c r="BT358" s="53" t="n"/>
      <c r="BU358" s="53" t="n"/>
      <c r="BV358" s="53" t="n"/>
      <c r="BW358" s="53" t="n"/>
      <c r="BX358" s="53" t="n"/>
      <c r="BY358" s="53" t="n"/>
      <c r="BZ358" s="53" t="n"/>
      <c r="CA358" s="53" t="n"/>
      <c r="CB358" s="53" t="n"/>
      <c r="CC358" s="53" t="n"/>
      <c r="CD358" s="53" t="n"/>
      <c r="CE358" s="53" t="n"/>
      <c r="CF358" s="53" t="n"/>
      <c r="CG358" s="53" t="n"/>
      <c r="CH358" s="53" t="n"/>
      <c r="CI358" s="53" t="n"/>
      <c r="CJ358" s="53" t="n"/>
      <c r="CK358" s="53" t="n"/>
      <c r="CL358" s="53" t="n"/>
      <c r="CM358" s="53" t="n"/>
      <c r="CN358" s="53" t="n"/>
      <c r="CO358" s="53" t="n"/>
      <c r="CP358" s="53" t="n"/>
      <c r="CQ358" s="53" t="n"/>
      <c r="CR358" s="53" t="n"/>
      <c r="CS358" s="53" t="n"/>
      <c r="CT358" s="53" t="n"/>
      <c r="CU358" s="53" t="n"/>
      <c r="CV358" s="53" t="n"/>
      <c r="CW358" s="53" t="n"/>
      <c r="CX358" s="53" t="n"/>
      <c r="CY358" s="53" t="n"/>
      <c r="CZ358" s="53" t="n"/>
      <c r="DA358" s="53" t="n"/>
      <c r="DB358" s="53" t="n"/>
      <c r="DC358" s="53" t="n"/>
      <c r="DD358" s="53" t="n"/>
      <c r="DE358" s="53" t="n"/>
      <c r="DF358" s="53" t="n"/>
      <c r="DG358" s="53" t="n"/>
      <c r="DH358" s="53" t="n"/>
      <c r="DI358" s="53" t="n"/>
      <c r="DJ358" s="53" t="n"/>
      <c r="DK358" s="53" t="n"/>
      <c r="DL358" s="53" t="n"/>
      <c r="DM358" s="53" t="n"/>
      <c r="DN358" s="53" t="n"/>
      <c r="DO358" s="53" t="n"/>
      <c r="DP358" s="53" t="n"/>
      <c r="DQ358" s="53" t="n"/>
      <c r="DR358" s="53" t="n"/>
      <c r="DS358" s="53" t="n"/>
      <c r="DT358" s="53" t="n"/>
      <c r="DU358" s="53" t="n"/>
      <c r="DV358" s="53" t="n"/>
      <c r="DW358" s="53" t="n"/>
      <c r="DX358" s="53" t="n"/>
      <c r="DY358" s="53" t="n"/>
      <c r="DZ358" s="53" t="n"/>
      <c r="EA358" s="53" t="n"/>
      <c r="EB358" s="53" t="n"/>
      <c r="EC358" s="53" t="n"/>
      <c r="ED358" s="53" t="n"/>
      <c r="EE358" s="53" t="n"/>
      <c r="EF358" s="53" t="n"/>
      <c r="EG358" s="53" t="n"/>
      <c r="EH358" s="53" t="n"/>
      <c r="EI358" s="53" t="n"/>
      <c r="EJ358" s="53" t="n"/>
      <c r="EK358" s="53" t="n"/>
      <c r="EL358" s="53" t="n"/>
      <c r="EM358" s="53" t="n"/>
      <c r="EN358" s="53" t="n"/>
      <c r="EO358" s="53" t="n"/>
      <c r="EP358" s="53" t="n"/>
      <c r="EQ358" s="53" t="n"/>
      <c r="ER358" s="53" t="n"/>
      <c r="ES358" s="53" t="n"/>
      <c r="ET358" s="53" t="n"/>
      <c r="EU358" s="53" t="n"/>
      <c r="EV358" s="53" t="n"/>
      <c r="EW358" s="52" t="n"/>
      <c r="EX358" s="53" t="n"/>
      <c r="EY358" s="53" t="n"/>
      <c r="EZ358" s="53" t="n"/>
      <c r="FA358" s="53" t="n"/>
      <c r="FB358" s="53" t="n"/>
      <c r="FC358" s="53" t="n"/>
      <c r="FD358" s="53" t="n"/>
      <c r="FE358" s="55" t="inlineStr">
        <is>
          <t>KRAs not received · manager to supply</t>
        </is>
      </c>
      <c r="FF358" s="56" t="n"/>
      <c r="FG358" s="56" t="n"/>
      <c r="FH358" s="56" t="n"/>
      <c r="FI358" s="56" t="n"/>
      <c r="FJ358" s="32" t="inlineStr">
        <is>
          <t>KRAs not received · manager to supply</t>
        </is>
      </c>
      <c r="FK358" s="56" t="n"/>
      <c r="FL358" s="56" t="n">
        <v>20</v>
      </c>
      <c r="FM358" s="32" t="inlineStr">
        <is>
          <t>Full survey answers not in the files received · How We Grow export needed · HR</t>
        </is>
      </c>
      <c r="FN358" s="56" t="inlineStr">
        <is>
          <t>—</t>
        </is>
      </c>
      <c r="FO358" s="56" t="inlineStr">
        <is>
          <t>—</t>
        </is>
      </c>
      <c r="FP358" s="56" t="inlineStr">
        <is>
          <t>—</t>
        </is>
      </c>
      <c r="FQ358" s="56" t="inlineStr">
        <is>
          <t>—</t>
        </is>
      </c>
      <c r="FR358" s="56" t="n"/>
      <c r="FS358"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358" s="56" t="inlineStr">
        <is>
          <t>Self-identified: Technical depth &amp; architecture · Testing &amp; quality · Data, SQL &amp; analytics · Broader exposure &amp; ownership
For the next role: Technical depth &amp; architecture · Testing &amp; quality · Data, SQL &amp; analytics · Broader exposure &amp; ownership</t>
        </is>
      </c>
      <c r="FU358" s="32" t="inlineStr">
        <is>
          <t>Full survey answers not in the files received · How We Grow export needed · HR</t>
        </is>
      </c>
    </row>
    <row r="359" ht="90" customHeight="1">
      <c r="A359" s="51" t="inlineStr">
        <is>
          <t>◂ Back</t>
        </is>
      </c>
      <c r="B359" s="29" t="inlineStr">
        <is>
          <t>Mapped</t>
        </is>
      </c>
      <c r="C359" s="28" t="inlineStr">
        <is>
          <t>iFile</t>
        </is>
      </c>
      <c r="D359" s="29" t="inlineStr">
        <is>
          <t>IRIS2076</t>
        </is>
      </c>
      <c r="E359" s="29" t="inlineStr">
        <is>
          <t>Tumpa Deb</t>
        </is>
      </c>
      <c r="F359" s="29" t="inlineStr">
        <is>
          <t>Technology</t>
        </is>
      </c>
      <c r="G359" s="29" t="inlineStr">
        <is>
          <t>Senior Business Analyst</t>
        </is>
      </c>
      <c r="H359" s="29" t="inlineStr">
        <is>
          <t>Business Analysis Specialist</t>
        </is>
      </c>
      <c r="I359" s="29" t="inlineStr">
        <is>
          <t>L4 – Senior</t>
        </is>
      </c>
      <c r="J359" s="29" t="inlineStr">
        <is>
          <t>B1</t>
        </is>
      </c>
      <c r="K359" s="29" t="inlineStr">
        <is>
          <t>▲ Up</t>
        </is>
      </c>
      <c r="L359" s="29" t="inlineStr">
        <is>
          <t>Business Analysis</t>
        </is>
      </c>
      <c r="M359" s="29" t="inlineStr">
        <is>
          <t>Business Analysis</t>
        </is>
      </c>
      <c r="N359" s="29" t="n"/>
      <c r="O359" s="29" t="n">
        <v>19</v>
      </c>
      <c r="P359" s="28" t="inlineStr">
        <is>
          <t>P3 / M2</t>
        </is>
      </c>
      <c r="Q359" s="29" t="inlineStr">
        <is>
          <t>Career / · Team Lead</t>
        </is>
      </c>
      <c r="R359" s="29" t="inlineStr">
        <is>
          <t>4 Enable</t>
        </is>
      </c>
      <c r="S359" s="29" t="inlineStr">
        <is>
          <t>4–7 yrs</t>
        </is>
      </c>
      <c r="T359" s="29" t="inlineStr">
        <is>
          <t>5–8 · 4–8</t>
        </is>
      </c>
      <c r="U359" s="29" t="inlineStr">
        <is>
          <t>Senior Business Analyst</t>
        </is>
      </c>
      <c r="V359" s="29" t="inlineStr">
        <is>
          <t>Regnology — regulatory reporting: BA · Reg Reporting · Big Four consulting: Senior Consultant · IRIS Vs Market Benchmark — IIBA certification pathway: CCBA · Infosys / Accenture: JL4 · L9 Consultant</t>
        </is>
      </c>
      <c r="W359" s="29" t="inlineStr">
        <is>
          <t>IIBA BABOK v3; certifications ECBA · entry → CCBA → CBAP · senior</t>
        </is>
      </c>
      <c r="X359" s="29" t="inlineStr">
        <is>
          <t>Core 3 · Future 3 · Functional 3 · Leadership 1</t>
        </is>
      </c>
      <c r="Y359" s="52" t="n">
        <v>251</v>
      </c>
      <c r="Z359" s="53" t="inlineStr">
        <is>
          <t>IRIS2076</t>
        </is>
      </c>
      <c r="AA359" s="53" t="inlineStr">
        <is>
          <t>Employee</t>
        </is>
      </c>
      <c r="AB359" s="53" t="inlineStr">
        <is>
          <t>Active</t>
        </is>
      </c>
      <c r="AC359" s="53" t="inlineStr">
        <is>
          <t>Tumpa Deb</t>
        </is>
      </c>
      <c r="AD359" s="54" t="n">
        <v>44867</v>
      </c>
      <c r="AE359" s="53" t="inlineStr">
        <is>
          <t>Senior Business Analyst</t>
        </is>
      </c>
      <c r="AF359" s="53" t="inlineStr">
        <is>
          <t>MBA</t>
        </is>
      </c>
      <c r="AG359" s="53" t="inlineStr">
        <is>
          <t>Jailesh Bhadra</t>
        </is>
      </c>
      <c r="AH359" s="53" t="inlineStr">
        <is>
          <t>N-4</t>
        </is>
      </c>
      <c r="AI359" s="53" t="inlineStr">
        <is>
          <t>Individual Contributor</t>
        </is>
      </c>
      <c r="AJ359" s="53" t="inlineStr">
        <is>
          <t>3 years, 11 months, 0 days</t>
        </is>
      </c>
      <c r="AK359" s="53" t="inlineStr">
        <is>
          <t>3 years, 9 months, 23 days</t>
        </is>
      </c>
      <c r="AL359" s="53" t="inlineStr">
        <is>
          <t>Suptech</t>
        </is>
      </c>
      <c r="AM359" s="53" t="inlineStr">
        <is>
          <t>iFile</t>
        </is>
      </c>
      <c r="AN359" s="53" t="inlineStr">
        <is>
          <t>Technology</t>
        </is>
      </c>
      <c r="AO359" s="53" t="inlineStr">
        <is>
          <t>Business Analysis</t>
        </is>
      </c>
      <c r="AP359" s="53" t="inlineStr">
        <is>
          <t>No</t>
        </is>
      </c>
      <c r="AQ359" s="53" t="inlineStr">
        <is>
          <t>Product/Project</t>
        </is>
      </c>
      <c r="AR359" s="53" t="inlineStr">
        <is>
          <t>Business Analysis</t>
        </is>
      </c>
      <c r="AS359" s="53" t="inlineStr">
        <is>
          <t>Technical · BA, PM and QA</t>
        </is>
      </c>
      <c r="AT359" s="53" t="n">
        <v>20</v>
      </c>
      <c r="AU359" s="53" t="inlineStr">
        <is>
          <t>Covered</t>
        </is>
      </c>
      <c r="AV359" s="53" t="n"/>
      <c r="AW359" s="53" t="n"/>
      <c r="AX359" s="53" t="n"/>
      <c r="AY359" s="53" t="n"/>
      <c r="AZ359" s="53" t="n"/>
      <c r="BA359" s="53" t="n"/>
      <c r="BB359" s="53" t="n"/>
      <c r="BC359" s="53" t="n"/>
      <c r="BD359" s="53" t="n"/>
      <c r="BE359" s="53" t="n"/>
      <c r="BF359" s="53" t="n"/>
      <c r="BG359" s="53" t="n"/>
      <c r="BH359" s="53" t="n"/>
      <c r="BI359" s="53" t="n"/>
      <c r="BJ359" s="53" t="n"/>
      <c r="BK359" s="53" t="n"/>
      <c r="BL359" s="53" t="n"/>
      <c r="BM359" s="53" t="n"/>
      <c r="BN359" s="53" t="n"/>
      <c r="BO359" s="53" t="n"/>
      <c r="BP359" s="53" t="n"/>
      <c r="BQ359" s="53" t="n"/>
      <c r="BR359" s="53" t="n"/>
      <c r="BS359" s="53" t="n"/>
      <c r="BT359" s="53" t="n"/>
      <c r="BU359" s="53" t="n"/>
      <c r="BV359" s="53" t="n"/>
      <c r="BW359" s="53" t="n"/>
      <c r="BX359" s="53" t="n"/>
      <c r="BY359" s="53" t="n"/>
      <c r="BZ359" s="53" t="n"/>
      <c r="CA359" s="53" t="n"/>
      <c r="CB359" s="53" t="n"/>
      <c r="CC359" s="53" t="n"/>
      <c r="CD359" s="53" t="n"/>
      <c r="CE359" s="53" t="n"/>
      <c r="CF359" s="53" t="n"/>
      <c r="CG359" s="53" t="n"/>
      <c r="CH359" s="53" t="n"/>
      <c r="CI359" s="53" t="n"/>
      <c r="CJ359" s="53" t="n"/>
      <c r="CK359" s="53" t="n"/>
      <c r="CL359" s="53" t="n"/>
      <c r="CM359" s="53" t="n"/>
      <c r="CN359" s="53" t="n"/>
      <c r="CO359" s="53" t="n"/>
      <c r="CP359" s="53" t="n"/>
      <c r="CQ359" s="53" t="n"/>
      <c r="CR359" s="53" t="n"/>
      <c r="CS359" s="53" t="n"/>
      <c r="CT359" s="53" t="n"/>
      <c r="CU359" s="53" t="n"/>
      <c r="CV359" s="53" t="n"/>
      <c r="CW359" s="53" t="n"/>
      <c r="CX359" s="53" t="n"/>
      <c r="CY359" s="53" t="n"/>
      <c r="CZ359" s="53" t="n"/>
      <c r="DA359" s="53" t="n"/>
      <c r="DB359" s="53" t="n"/>
      <c r="DC359" s="53" t="n"/>
      <c r="DD359" s="53" t="inlineStr">
        <is>
          <t>IRIS2076</t>
        </is>
      </c>
      <c r="DE359" s="53" t="inlineStr">
        <is>
          <t>Employee</t>
        </is>
      </c>
      <c r="DF359" s="53" t="inlineStr">
        <is>
          <t>Active</t>
        </is>
      </c>
      <c r="DG359" s="53" t="inlineStr">
        <is>
          <t>Tumpa Deb</t>
        </is>
      </c>
      <c r="DH359" s="54" t="n">
        <v>44867</v>
      </c>
      <c r="DI359" s="53" t="inlineStr">
        <is>
          <t>Senior Business Analyst</t>
        </is>
      </c>
      <c r="DJ359" s="53" t="inlineStr">
        <is>
          <t>Business Analysis</t>
        </is>
      </c>
      <c r="DK359" s="53" t="inlineStr">
        <is>
          <t>Business / Functional Analysis</t>
        </is>
      </c>
      <c r="DL359" s="53" t="inlineStr">
        <is>
          <t>Senior Business Analyst</t>
        </is>
      </c>
      <c r="DM359" s="53" t="inlineStr">
        <is>
          <t>L4 – Senior</t>
        </is>
      </c>
      <c r="DN359" s="53" t="inlineStr">
        <is>
          <t>MBA</t>
        </is>
      </c>
      <c r="DO359" s="53" t="inlineStr">
        <is>
          <t>Jailesh Bhadra</t>
        </is>
      </c>
      <c r="DP359" s="53" t="inlineStr">
        <is>
          <t>N-3</t>
        </is>
      </c>
      <c r="DQ359" s="53" t="inlineStr">
        <is>
          <t>Individual Contributor</t>
        </is>
      </c>
      <c r="DR359" s="53" t="inlineStr">
        <is>
          <t>3 years, 11 months, 0 days</t>
        </is>
      </c>
      <c r="DS359" s="53" t="inlineStr">
        <is>
          <t>3 years, 7 months, 18 days</t>
        </is>
      </c>
      <c r="DT359" s="53" t="inlineStr">
        <is>
          <t>7 years, 6 months, 18 days</t>
        </is>
      </c>
      <c r="DU359" s="53" t="n"/>
      <c r="DV359" s="53" t="inlineStr">
        <is>
          <t>Suptech</t>
        </is>
      </c>
      <c r="DW359" s="53" t="inlineStr">
        <is>
          <t>iFile</t>
        </is>
      </c>
      <c r="DX359" s="53" t="inlineStr">
        <is>
          <t>Technology</t>
        </is>
      </c>
      <c r="DY359" s="53" t="inlineStr">
        <is>
          <t>Business Analysis</t>
        </is>
      </c>
      <c r="DZ359" s="53" t="inlineStr">
        <is>
          <t>No</t>
        </is>
      </c>
      <c r="EA359" s="53" t="inlineStr">
        <is>
          <t>Product/Project</t>
        </is>
      </c>
      <c r="EB359" s="53" t="inlineStr">
        <is>
          <t>Business Analysis</t>
        </is>
      </c>
      <c r="EC359" s="53" t="inlineStr">
        <is>
          <t>Technical · BA, PM and QA</t>
        </is>
      </c>
      <c r="ED359" s="53" t="inlineStr">
        <is>
          <t>Hybrid</t>
        </is>
      </c>
      <c r="EE359" s="53"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EF359" s="53"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EG359" s="53" t="inlineStr">
        <is>
          <t>Q1: Deliver &gt;=95% of assigned BRDs/FSDs approved with &lt;=1 revision cycle
Q1: Ensure &gt;=90% on-time delivery of BA deliverables
Q1: Achieve &gt;=4.2/5 stakeholder satisfaction on requirement clarity
Q1: Complete UAT sign-off for all Q1 releases within timeline</t>
        </is>
      </c>
      <c r="EH359" s="53" t="n">
        <v>3</v>
      </c>
      <c r="EI359" s="54" t="n">
        <v>45931</v>
      </c>
      <c r="EJ359" s="53" t="inlineStr">
        <is>
          <t>Senior Business Analyst</t>
        </is>
      </c>
      <c r="EK359" s="53" t="inlineStr">
        <is>
          <t>No – Senior BA title matches current scope and seniority.</t>
        </is>
      </c>
      <c r="EL359" s="53" t="n">
        <v>3</v>
      </c>
      <c r="EM359" s="53" t="inlineStr">
        <is>
          <t>Medium</t>
        </is>
      </c>
      <c r="EN359" s="53" t="inlineStr">
        <is>
          <t>Reliable Specialist</t>
        </is>
      </c>
      <c r="EO359" s="53" t="inlineStr">
        <is>
          <t>N</t>
        </is>
      </c>
      <c r="EP359" s="53" t="inlineStr">
        <is>
          <t>N</t>
        </is>
      </c>
      <c r="EQ359" s="53" t="inlineStr">
        <is>
          <t>N</t>
        </is>
      </c>
      <c r="ER359" s="53" t="inlineStr">
        <is>
          <t>No successor identified yet — Ankita can be considered</t>
        </is>
      </c>
      <c r="ES359" s="53" t="inlineStr">
        <is>
          <t>Requirement engineering &amp; BRD writing; Agile/Scrum; domain · RegTech/XBRL knowledge; stakeholder management</t>
        </is>
      </c>
      <c r="ET359" s="53" t="inlineStr">
        <is>
          <t>-</t>
        </is>
      </c>
      <c r="EU359" s="53" t="inlineStr">
        <is>
          <t>Work from office days to be assigned</t>
        </is>
      </c>
      <c r="EV359" s="53" t="n"/>
      <c r="EW359" s="52" t="n"/>
      <c r="EX359" s="53" t="n"/>
      <c r="EY359" s="53" t="n"/>
      <c r="EZ359" s="53" t="n"/>
      <c r="FA359" s="53" t="n"/>
      <c r="FB359" s="53" t="n"/>
      <c r="FC359" s="53" t="n"/>
      <c r="FD359" s="53" t="n"/>
      <c r="FE359" s="57"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FF359" s="56" t="inlineStr">
        <is>
          <t>Q1: Deliver &gt;=95% of assigned BRDs/FSDs approved with &lt;=1 revision cycle
Q1: Ensure &gt;=90% on-time delivery of BA deliverables
Q1: Achieve &gt;=4.2/5 stakeholder satisfaction on requirement clarity
Q1: Complete UAT sign-off for all Q1 releases within timeline</t>
        </is>
      </c>
      <c r="FG359" s="56"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FH359" s="56" t="inlineStr">
        <is>
          <t>3</t>
        </is>
      </c>
      <c r="FI359" s="56" t="n"/>
      <c r="FJ359" s="56" t="inlineStr">
        <is>
          <t>Received · manager annual, quarterly, self</t>
        </is>
      </c>
      <c r="FK359" s="56" t="inlineStr">
        <is>
          <t>Talent Mapping · iFile collated</t>
        </is>
      </c>
      <c r="FL359" s="56" t="n">
        <v>19</v>
      </c>
      <c r="FM359" s="32" t="inlineStr">
        <is>
          <t>Full survey answers not in the files received · How We Grow export needed · HR</t>
        </is>
      </c>
      <c r="FN359" s="56" t="inlineStr">
        <is>
          <t>—</t>
        </is>
      </c>
      <c r="FO359" s="56" t="inlineStr">
        <is>
          <t>—</t>
        </is>
      </c>
      <c r="FP359" s="56" t="inlineStr">
        <is>
          <t>—</t>
        </is>
      </c>
      <c r="FQ359" s="56" t="inlineStr">
        <is>
          <t>—</t>
        </is>
      </c>
      <c r="FR359" s="56"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0.5
Leadership: Evidence reads like A1: None described → moved down 0.5
Business Impact: No move: the survey / manager mapping does not mark it business-critical or unique.</t>
        </is>
      </c>
      <c r="FS359"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359" s="56" t="inlineStr">
        <is>
          <t>Self-identified: AI / automation · Product &amp; tool knowledge
For the next role: AI / automation · Product &amp; tool knowledge</t>
        </is>
      </c>
      <c r="FU359" s="32" t="inlineStr">
        <is>
          <t>Full survey answers not in the files received · How We Grow export needed · HR</t>
        </is>
      </c>
    </row>
    <row r="360" ht="90" customHeight="1">
      <c r="A360" s="51" t="inlineStr">
        <is>
          <t>◂ Back</t>
        </is>
      </c>
      <c r="B360" s="29" t="inlineStr">
        <is>
          <t>Mapped</t>
        </is>
      </c>
      <c r="C360" s="28" t="inlineStr">
        <is>
          <t>iFile</t>
        </is>
      </c>
      <c r="D360" s="29" t="inlineStr">
        <is>
          <t>IRIS2506</t>
        </is>
      </c>
      <c r="E360" s="29" t="inlineStr">
        <is>
          <t>Neha Singh</t>
        </is>
      </c>
      <c r="F360" s="29" t="inlineStr">
        <is>
          <t>Technology</t>
        </is>
      </c>
      <c r="G360" s="29" t="inlineStr">
        <is>
          <t>Business Analyst</t>
        </is>
      </c>
      <c r="H360" s="29" t="inlineStr">
        <is>
          <t>Senior Business Analyst</t>
        </is>
      </c>
      <c r="I360" s="29" t="inlineStr">
        <is>
          <t>L3 – Professional / Associate</t>
        </is>
      </c>
      <c r="J360" s="29" t="inlineStr">
        <is>
          <t>A3</t>
        </is>
      </c>
      <c r="K360" s="29" t="inlineStr">
        <is>
          <t>▲ Up</t>
        </is>
      </c>
      <c r="L360" s="29" t="inlineStr">
        <is>
          <t>Business Analysis</t>
        </is>
      </c>
      <c r="M360" s="29" t="inlineStr">
        <is>
          <t>Business Analysis</t>
        </is>
      </c>
      <c r="N360" s="29" t="n"/>
      <c r="O360" s="29" t="n">
        <v>20</v>
      </c>
      <c r="P360" s="28" t="inlineStr">
        <is>
          <t>P2</t>
        </is>
      </c>
      <c r="Q360" s="29" t="inlineStr">
        <is>
          <t>Developing</t>
        </is>
      </c>
      <c r="R360" s="29" t="inlineStr">
        <is>
          <t>3 Apply</t>
        </is>
      </c>
      <c r="S360" s="29" t="inlineStr">
        <is>
          <t>2–4 yrs</t>
        </is>
      </c>
      <c r="T360" s="29" t="inlineStr">
        <is>
          <t>3–5 · 2–5</t>
        </is>
      </c>
      <c r="U360" s="29" t="inlineStr">
        <is>
          <t>Business Analyst</t>
        </is>
      </c>
      <c r="V360" s="29" t="inlineStr">
        <is>
          <t>Regnology — regulatory reporting: Junior BA · Reg Reporting · Big Four consulting: Consultant · IRIS Vs Market Benchmark — IIBA certification pathway: ECBA · Infosys / Accenture: JL3A · L10 Senior Analyst</t>
        </is>
      </c>
      <c r="W360" s="29" t="inlineStr">
        <is>
          <t>IIBA BABOK v3; certifications ECBA · entry → CCBA → CBAP · senior</t>
        </is>
      </c>
      <c r="X360" s="29" t="inlineStr">
        <is>
          <t>Core 2 · Future 2 · Functional 3 · Leadership not scored</t>
        </is>
      </c>
      <c r="Y360" s="52" t="n">
        <v>476</v>
      </c>
      <c r="Z360" s="53" t="inlineStr">
        <is>
          <t>IRIS2506</t>
        </is>
      </c>
      <c r="AA360" s="53" t="inlineStr">
        <is>
          <t>Employee</t>
        </is>
      </c>
      <c r="AB360" s="53" t="inlineStr">
        <is>
          <t>Active</t>
        </is>
      </c>
      <c r="AC360" s="53" t="inlineStr">
        <is>
          <t>Neha Singh</t>
        </is>
      </c>
      <c r="AD360" s="54" t="n">
        <v>46118</v>
      </c>
      <c r="AE360" s="53" t="inlineStr">
        <is>
          <t>Business Analyst</t>
        </is>
      </c>
      <c r="AF360" s="53" t="inlineStr">
        <is>
          <t>MBA</t>
        </is>
      </c>
      <c r="AG360" s="53" t="inlineStr">
        <is>
          <t>Jailesh Bhadra</t>
        </is>
      </c>
      <c r="AH360" s="53" t="inlineStr">
        <is>
          <t>N-4</t>
        </is>
      </c>
      <c r="AI360" s="53" t="inlineStr">
        <is>
          <t>Individual Contributor</t>
        </is>
      </c>
      <c r="AJ360" s="53" t="inlineStr">
        <is>
          <t>3 years, 1 months, 0 days</t>
        </is>
      </c>
      <c r="AK360" s="53" t="inlineStr">
        <is>
          <t>0 years, 4 months, 19 days</t>
        </is>
      </c>
      <c r="AL360" s="53" t="inlineStr">
        <is>
          <t>Suptech</t>
        </is>
      </c>
      <c r="AM360" s="53" t="inlineStr">
        <is>
          <t>iFile</t>
        </is>
      </c>
      <c r="AN360" s="53" t="inlineStr">
        <is>
          <t>Technology</t>
        </is>
      </c>
      <c r="AO360" s="53" t="inlineStr">
        <is>
          <t>Business Analysis</t>
        </is>
      </c>
      <c r="AP360" s="53" t="inlineStr">
        <is>
          <t>No</t>
        </is>
      </c>
      <c r="AQ360" s="53" t="inlineStr">
        <is>
          <t>Product/Project</t>
        </is>
      </c>
      <c r="AR360" s="53" t="inlineStr">
        <is>
          <t>Business Analysis</t>
        </is>
      </c>
      <c r="AS360" s="53" t="inlineStr">
        <is>
          <t>Technical · BA, PM and QA</t>
        </is>
      </c>
      <c r="AT360" s="53" t="n">
        <v>20</v>
      </c>
      <c r="AU360" s="53" t="inlineStr">
        <is>
          <t>Covered</t>
        </is>
      </c>
      <c r="AV360" s="53" t="n"/>
      <c r="AW360" s="53" t="n"/>
      <c r="AX360" s="53" t="n"/>
      <c r="AY360" s="53" t="n"/>
      <c r="AZ360" s="53" t="n"/>
      <c r="BA360" s="53" t="n"/>
      <c r="BB360" s="53" t="n"/>
      <c r="BC360" s="53" t="n"/>
      <c r="BD360" s="53" t="n"/>
      <c r="BE360" s="53" t="n"/>
      <c r="BF360" s="53" t="n"/>
      <c r="BG360" s="53" t="n"/>
      <c r="BH360" s="53" t="n"/>
      <c r="BI360" s="53" t="n"/>
      <c r="BJ360" s="53" t="n"/>
      <c r="BK360" s="53" t="n"/>
      <c r="BL360" s="53" t="n"/>
      <c r="BM360" s="53" t="n"/>
      <c r="BN360" s="53" t="n"/>
      <c r="BO360" s="53" t="n"/>
      <c r="BP360" s="53" t="n"/>
      <c r="BQ360" s="53" t="n"/>
      <c r="BR360" s="53" t="n"/>
      <c r="BS360" s="53" t="n"/>
      <c r="BT360" s="53" t="n"/>
      <c r="BU360" s="53" t="n"/>
      <c r="BV360" s="53" t="n"/>
      <c r="BW360" s="53" t="n"/>
      <c r="BX360" s="53" t="n"/>
      <c r="BY360" s="53" t="n"/>
      <c r="BZ360" s="53" t="n"/>
      <c r="CA360" s="53" t="n"/>
      <c r="CB360" s="53" t="n"/>
      <c r="CC360" s="53" t="n"/>
      <c r="CD360" s="53" t="n"/>
      <c r="CE360" s="53" t="n"/>
      <c r="CF360" s="53" t="n"/>
      <c r="CG360" s="53" t="n"/>
      <c r="CH360" s="53" t="n"/>
      <c r="CI360" s="53" t="n"/>
      <c r="CJ360" s="53" t="n"/>
      <c r="CK360" s="53" t="n"/>
      <c r="CL360" s="53" t="n"/>
      <c r="CM360" s="53" t="n"/>
      <c r="CN360" s="53" t="n"/>
      <c r="CO360" s="53" t="n"/>
      <c r="CP360" s="53" t="n"/>
      <c r="CQ360" s="53" t="n"/>
      <c r="CR360" s="53" t="n"/>
      <c r="CS360" s="53" t="n"/>
      <c r="CT360" s="53" t="n"/>
      <c r="CU360" s="53" t="n"/>
      <c r="CV360" s="53" t="n"/>
      <c r="CW360" s="53" t="n"/>
      <c r="CX360" s="53" t="n"/>
      <c r="CY360" s="53" t="n"/>
      <c r="CZ360" s="53" t="n"/>
      <c r="DA360" s="53" t="n"/>
      <c r="DB360" s="53" t="n"/>
      <c r="DC360" s="53" t="n"/>
      <c r="DD360" s="53" t="inlineStr">
        <is>
          <t>IRIS2506</t>
        </is>
      </c>
      <c r="DE360" s="53" t="inlineStr">
        <is>
          <t>Employee</t>
        </is>
      </c>
      <c r="DF360" s="53" t="inlineStr">
        <is>
          <t>Active</t>
        </is>
      </c>
      <c r="DG360" s="53" t="inlineStr">
        <is>
          <t>Neha Singh</t>
        </is>
      </c>
      <c r="DH360" s="54" t="n">
        <v>46118</v>
      </c>
      <c r="DI360" s="53" t="inlineStr">
        <is>
          <t>Business Analyst</t>
        </is>
      </c>
      <c r="DJ360" s="53" t="inlineStr">
        <is>
          <t>Business Analysis</t>
        </is>
      </c>
      <c r="DK360" s="53" t="inlineStr">
        <is>
          <t>Business / Functional Analysis</t>
        </is>
      </c>
      <c r="DL360" s="53" t="inlineStr">
        <is>
          <t>Business Analyst</t>
        </is>
      </c>
      <c r="DM360" s="53" t="inlineStr">
        <is>
          <t>L3 – Professional / Associate</t>
        </is>
      </c>
      <c r="DN360" s="53" t="inlineStr">
        <is>
          <t>MBA</t>
        </is>
      </c>
      <c r="DO360" s="53" t="inlineStr">
        <is>
          <t>Jailesh Bhadra</t>
        </is>
      </c>
      <c r="DP360" s="53" t="inlineStr">
        <is>
          <t>N-3</t>
        </is>
      </c>
      <c r="DQ360" s="53" t="inlineStr">
        <is>
          <t>Individual Contributor</t>
        </is>
      </c>
      <c r="DR360" s="53" t="inlineStr">
        <is>
          <t>3 years, 1 months, 0 days</t>
        </is>
      </c>
      <c r="DS360" s="53" t="inlineStr">
        <is>
          <t>0 years, 2 months, 14 days</t>
        </is>
      </c>
      <c r="DT360" s="53" t="inlineStr">
        <is>
          <t>3 years, 3 months, 14 days</t>
        </is>
      </c>
      <c r="DU360" s="53" t="n"/>
      <c r="DV360" s="53" t="inlineStr">
        <is>
          <t>Suptech</t>
        </is>
      </c>
      <c r="DW360" s="53" t="inlineStr">
        <is>
          <t>iFile</t>
        </is>
      </c>
      <c r="DX360" s="53" t="inlineStr">
        <is>
          <t>Technology</t>
        </is>
      </c>
      <c r="DY360" s="53" t="inlineStr">
        <is>
          <t>Business Analysis</t>
        </is>
      </c>
      <c r="DZ360" s="53" t="inlineStr">
        <is>
          <t>No</t>
        </is>
      </c>
      <c r="EA360" s="53" t="inlineStr">
        <is>
          <t>Product/Project</t>
        </is>
      </c>
      <c r="EB360" s="53" t="inlineStr">
        <is>
          <t>Business Analysis</t>
        </is>
      </c>
      <c r="EC360" s="53" t="inlineStr">
        <is>
          <t>Technical · BA, PM and QA</t>
        </is>
      </c>
      <c r="ED360" s="53" t="inlineStr">
        <is>
          <t>Work From Office - Turbhe</t>
        </is>
      </c>
      <c r="EE360" s="53"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EF360" s="53"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G360" s="5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H360" s="53" t="n">
        <v>3</v>
      </c>
      <c r="EI360" s="53" t="inlineStr">
        <is>
          <t>Pending – to be scheduled</t>
        </is>
      </c>
      <c r="EJ360" s="53" t="inlineStr">
        <is>
          <t>Business Analyst</t>
        </is>
      </c>
      <c r="EK360" s="53" t="inlineStr">
        <is>
          <t>No – designation matches role; too early for a structural view.</t>
        </is>
      </c>
      <c r="EL360" s="53" t="n">
        <v>3</v>
      </c>
      <c r="EM360" s="53" t="inlineStr">
        <is>
          <t>Medium</t>
        </is>
      </c>
      <c r="EN360" s="53" t="inlineStr">
        <is>
          <t>Core Contributor</t>
        </is>
      </c>
      <c r="EO360" s="53" t="inlineStr">
        <is>
          <t>N</t>
        </is>
      </c>
      <c r="EP360" s="53" t="inlineStr">
        <is>
          <t>N</t>
        </is>
      </c>
      <c r="EQ360" s="53" t="inlineStr">
        <is>
          <t>N</t>
        </is>
      </c>
      <c r="ER360" s="53" t="inlineStr">
        <is>
          <t>-</t>
        </is>
      </c>
      <c r="ES360" s="53" t="inlineStr">
        <is>
          <t>Requirement engineering &amp; BRD/user-story writing; Agile/Scrum basics; RegTech/XBRL domain onboarding; stakeholder communication; Product visualization</t>
        </is>
      </c>
      <c r="ET360" s="53" t="inlineStr">
        <is>
          <t>-</t>
        </is>
      </c>
      <c r="EU360" s="53" t="inlineStr">
        <is>
          <t>New joiner</t>
        </is>
      </c>
      <c r="EV360" s="53" t="n"/>
      <c r="EW360" s="52" t="n"/>
      <c r="EX360" s="53" t="n"/>
      <c r="EY360" s="53" t="n"/>
      <c r="EZ360" s="53" t="n"/>
      <c r="FA360" s="53" t="n"/>
      <c r="FB360" s="53" t="n"/>
      <c r="FC360" s="53" t="n"/>
      <c r="FD360" s="53" t="n"/>
      <c r="FE360" s="57"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FF360" s="56"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FG360" s="56"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FH360" s="56" t="inlineStr">
        <is>
          <t>3</t>
        </is>
      </c>
      <c r="FI360" s="56" t="n"/>
      <c r="FJ360" s="56" t="inlineStr">
        <is>
          <t>Received · manager annual, quarterly, self</t>
        </is>
      </c>
      <c r="FK360" s="56" t="inlineStr">
        <is>
          <t>Talent Mapping · iFile collated</t>
        </is>
      </c>
      <c r="FL360" s="56" t="n">
        <v>20</v>
      </c>
      <c r="FM360" s="32" t="inlineStr">
        <is>
          <t>Full survey answers not in the files received · How We Grow export needed · HR</t>
        </is>
      </c>
      <c r="FN360" s="56" t="inlineStr">
        <is>
          <t>—</t>
        </is>
      </c>
      <c r="FO360" s="56" t="inlineStr">
        <is>
          <t>—</t>
        </is>
      </c>
      <c r="FP360" s="56" t="inlineStr">
        <is>
          <t>—</t>
        </is>
      </c>
      <c r="FQ360" s="56" t="inlineStr">
        <is>
          <t>—</t>
        </is>
      </c>
      <c r="FR360" s="56" t="inlineStr">
        <is>
          <t>Business Impact: No move: the survey / manager mapping does not mark it business-critical or unique.</t>
        </is>
      </c>
      <c r="FS36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60" s="56" t="inlineStr">
        <is>
          <t>Self-identified: Leadership &amp; people management · Product &amp; tool knowledge · Client, sales &amp; stakeholders · Broader exposure &amp; ownership
For the next role: Leadership &amp; people management · Product &amp; tool knowledge · Client, sales &amp; stakeholders · Broader exposure &amp; ownership</t>
        </is>
      </c>
      <c r="FU360" s="32" t="inlineStr">
        <is>
          <t>Full survey answers not in the files received · How We Grow export needed · HR</t>
        </is>
      </c>
    </row>
    <row r="361" ht="90" customHeight="1">
      <c r="A361" s="51" t="inlineStr">
        <is>
          <t>◂ Back</t>
        </is>
      </c>
      <c r="B361" s="29" t="inlineStr">
        <is>
          <t>Mapped</t>
        </is>
      </c>
      <c r="C361" s="28" t="inlineStr">
        <is>
          <t>iFile</t>
        </is>
      </c>
      <c r="D361" s="29" t="inlineStr">
        <is>
          <t>IRIS1852</t>
        </is>
      </c>
      <c r="E361" s="29" t="inlineStr">
        <is>
          <t>Prajakta Chavan</t>
        </is>
      </c>
      <c r="F361" s="29" t="inlineStr">
        <is>
          <t>Technology</t>
        </is>
      </c>
      <c r="G361" s="29" t="inlineStr">
        <is>
          <t>Business Analyst</t>
        </is>
      </c>
      <c r="H361" s="29" t="inlineStr">
        <is>
          <t>Senior Business Analyst</t>
        </is>
      </c>
      <c r="I361" s="29" t="inlineStr">
        <is>
          <t>L3 – Professional / Associate</t>
        </is>
      </c>
      <c r="J361" s="29" t="inlineStr">
        <is>
          <t>A3</t>
        </is>
      </c>
      <c r="K361" s="29" t="inlineStr">
        <is>
          <t>▲ Up</t>
        </is>
      </c>
      <c r="L361" s="29" t="inlineStr">
        <is>
          <t>Business Analysis</t>
        </is>
      </c>
      <c r="M361" s="29" t="inlineStr">
        <is>
          <t>Business Analysis</t>
        </is>
      </c>
      <c r="N361" s="29" t="inlineStr">
        <is>
          <t>• Confirm the reporting line — Manager</t>
        </is>
      </c>
      <c r="O361" s="29" t="n">
        <v>19</v>
      </c>
      <c r="P361" s="28" t="inlineStr">
        <is>
          <t>P2</t>
        </is>
      </c>
      <c r="Q361" s="29" t="inlineStr">
        <is>
          <t>Developing</t>
        </is>
      </c>
      <c r="R361" s="29" t="inlineStr">
        <is>
          <t>3 Apply</t>
        </is>
      </c>
      <c r="S361" s="29" t="inlineStr">
        <is>
          <t>2–4 yrs</t>
        </is>
      </c>
      <c r="T361" s="29" t="inlineStr">
        <is>
          <t>3–5 · 2–5</t>
        </is>
      </c>
      <c r="U361" s="29" t="inlineStr">
        <is>
          <t>Business Analyst</t>
        </is>
      </c>
      <c r="V361" s="29" t="inlineStr">
        <is>
          <t>Regnology — regulatory reporting: Junior BA · Reg Reporting · Big Four consulting: Consultant · IRIS Vs Market Benchmark — IIBA certification pathway: ECBA · Infosys / Accenture: JL3A · L10 Senior Analyst</t>
        </is>
      </c>
      <c r="W361" s="29" t="inlineStr">
        <is>
          <t>IIBA BABOK v3; certifications ECBA · entry → CCBA → CBAP · senior</t>
        </is>
      </c>
      <c r="X361" s="29" t="inlineStr">
        <is>
          <t>Core 2 · Future 2 · Functional 3 · Leadership not scored</t>
        </is>
      </c>
      <c r="Y361" s="52" t="n">
        <v>165</v>
      </c>
      <c r="Z361" s="53" t="inlineStr">
        <is>
          <t>IRIS1852</t>
        </is>
      </c>
      <c r="AA361" s="53" t="inlineStr">
        <is>
          <t>Employee</t>
        </is>
      </c>
      <c r="AB361" s="53" t="inlineStr">
        <is>
          <t>Active</t>
        </is>
      </c>
      <c r="AC361" s="53" t="inlineStr">
        <is>
          <t>Prajakta Chavan</t>
        </is>
      </c>
      <c r="AD361" s="54" t="n">
        <v>43955</v>
      </c>
      <c r="AE361" s="53" t="inlineStr">
        <is>
          <t>Business Analyst</t>
        </is>
      </c>
      <c r="AF361" s="53" t="inlineStr">
        <is>
          <t>B.E</t>
        </is>
      </c>
      <c r="AG361" s="53" t="inlineStr">
        <is>
          <t>Jailesh Bhadra</t>
        </is>
      </c>
      <c r="AH361" s="53" t="inlineStr">
        <is>
          <t>N-4</t>
        </is>
      </c>
      <c r="AI361" s="53" t="inlineStr">
        <is>
          <t>Individual Contributor</t>
        </is>
      </c>
      <c r="AJ361" s="53" t="inlineStr">
        <is>
          <t>0 years, 6 months, 0 days</t>
        </is>
      </c>
      <c r="AK361" s="53" t="inlineStr">
        <is>
          <t>6 years, 3 months, 21 days</t>
        </is>
      </c>
      <c r="AL361" s="53" t="inlineStr">
        <is>
          <t>Suptech</t>
        </is>
      </c>
      <c r="AM361" s="53" t="inlineStr">
        <is>
          <t>iFile</t>
        </is>
      </c>
      <c r="AN361" s="53" t="inlineStr">
        <is>
          <t>Technology</t>
        </is>
      </c>
      <c r="AO361" s="53" t="inlineStr">
        <is>
          <t>Business Analysis</t>
        </is>
      </c>
      <c r="AP361" s="53" t="inlineStr">
        <is>
          <t>No</t>
        </is>
      </c>
      <c r="AQ361" s="53" t="inlineStr">
        <is>
          <t>Product/Project</t>
        </is>
      </c>
      <c r="AR361" s="53" t="inlineStr">
        <is>
          <t>Business Analysis</t>
        </is>
      </c>
      <c r="AS361" s="53" t="inlineStr">
        <is>
          <t>Technical · BA, PM and QA</t>
        </is>
      </c>
      <c r="AT361" s="53" t="n">
        <v>20</v>
      </c>
      <c r="AU361" s="53" t="inlineStr">
        <is>
          <t>Covered</t>
        </is>
      </c>
      <c r="AV361" s="53" t="n"/>
      <c r="AW361" s="53" t="n"/>
      <c r="AX361" s="53" t="n"/>
      <c r="AY361" s="53" t="n"/>
      <c r="AZ361" s="53" t="n"/>
      <c r="BA361" s="53" t="n"/>
      <c r="BB361" s="53" t="n"/>
      <c r="BC361" s="53" t="n"/>
      <c r="BD361" s="53" t="n"/>
      <c r="BE361" s="53" t="n"/>
      <c r="BF361" s="53" t="n"/>
      <c r="BG361" s="53" t="n"/>
      <c r="BH361" s="53" t="n"/>
      <c r="BI361" s="53" t="n"/>
      <c r="BJ361" s="53" t="n"/>
      <c r="BK361" s="53" t="n"/>
      <c r="BL361" s="53" t="n"/>
      <c r="BM361" s="53" t="n"/>
      <c r="BN361" s="53" t="n"/>
      <c r="BO361" s="53" t="n"/>
      <c r="BP361" s="53" t="n"/>
      <c r="BQ361" s="53" t="n"/>
      <c r="BR361" s="53" t="n"/>
      <c r="BS361" s="53" t="n"/>
      <c r="BT361" s="53" t="n"/>
      <c r="BU361" s="53" t="n"/>
      <c r="BV361" s="53" t="n"/>
      <c r="BW361" s="53" t="n"/>
      <c r="BX361" s="53" t="n"/>
      <c r="BY361" s="53" t="n"/>
      <c r="BZ361" s="53" t="n"/>
      <c r="CA361" s="53" t="n"/>
      <c r="CB361" s="53" t="n"/>
      <c r="CC361" s="53" t="n"/>
      <c r="CD361" s="53" t="n"/>
      <c r="CE361" s="53" t="n"/>
      <c r="CF361" s="53" t="n"/>
      <c r="CG361" s="53" t="n"/>
      <c r="CH361" s="53" t="n"/>
      <c r="CI361" s="53" t="n"/>
      <c r="CJ361" s="53" t="n"/>
      <c r="CK361" s="53" t="n"/>
      <c r="CL361" s="53" t="n"/>
      <c r="CM361" s="53" t="n"/>
      <c r="CN361" s="53" t="n"/>
      <c r="CO361" s="53" t="n"/>
      <c r="CP361" s="53" t="n"/>
      <c r="CQ361" s="53" t="n"/>
      <c r="CR361" s="53" t="n"/>
      <c r="CS361" s="53" t="n"/>
      <c r="CT361" s="53" t="n"/>
      <c r="CU361" s="53" t="n"/>
      <c r="CV361" s="53" t="n"/>
      <c r="CW361" s="53" t="n"/>
      <c r="CX361" s="53" t="n"/>
      <c r="CY361" s="53" t="n"/>
      <c r="CZ361" s="53" t="n"/>
      <c r="DA361" s="53" t="n"/>
      <c r="DB361" s="53" t="n"/>
      <c r="DC361" s="53" t="n"/>
      <c r="DD361" s="53" t="inlineStr">
        <is>
          <t>IRIS1852</t>
        </is>
      </c>
      <c r="DE361" s="53" t="inlineStr">
        <is>
          <t>Employee</t>
        </is>
      </c>
      <c r="DF361" s="53" t="inlineStr">
        <is>
          <t>Active</t>
        </is>
      </c>
      <c r="DG361" s="53" t="inlineStr">
        <is>
          <t>Prajakta Chavan</t>
        </is>
      </c>
      <c r="DH361" s="54" t="n">
        <v>43955</v>
      </c>
      <c r="DI361" s="53" t="inlineStr">
        <is>
          <t>Business Analyst</t>
        </is>
      </c>
      <c r="DJ361" s="53" t="inlineStr">
        <is>
          <t>Business Analysis</t>
        </is>
      </c>
      <c r="DK361" s="53" t="inlineStr">
        <is>
          <t>Business / Functional Analysis</t>
        </is>
      </c>
      <c r="DL361" s="53" t="inlineStr">
        <is>
          <t>Business Analyst</t>
        </is>
      </c>
      <c r="DM361" s="53" t="inlineStr">
        <is>
          <t>L3 – Professional / Associate</t>
        </is>
      </c>
      <c r="DN361" s="53" t="inlineStr">
        <is>
          <t>B.E</t>
        </is>
      </c>
      <c r="DO361" s="53" t="inlineStr">
        <is>
          <t>Jailesh Bhadra</t>
        </is>
      </c>
      <c r="DP361" s="53" t="inlineStr">
        <is>
          <t>N-3</t>
        </is>
      </c>
      <c r="DQ361" s="53" t="inlineStr">
        <is>
          <t>Individual Contributor</t>
        </is>
      </c>
      <c r="DR361" s="53" t="inlineStr">
        <is>
          <t>0 years, 6 months, 0 days</t>
        </is>
      </c>
      <c r="DS361" s="53" t="inlineStr">
        <is>
          <t>6 years, 1 months, 16 days</t>
        </is>
      </c>
      <c r="DT361" s="53" t="inlineStr">
        <is>
          <t>6 years, 7 months, 16 days</t>
        </is>
      </c>
      <c r="DU361" s="53" t="n"/>
      <c r="DV361" s="53" t="inlineStr">
        <is>
          <t>Suptech</t>
        </is>
      </c>
      <c r="DW361" s="53" t="inlineStr">
        <is>
          <t>iFile</t>
        </is>
      </c>
      <c r="DX361" s="53" t="inlineStr">
        <is>
          <t>Technology</t>
        </is>
      </c>
      <c r="DY361" s="53" t="inlineStr">
        <is>
          <t>Business Analysis</t>
        </is>
      </c>
      <c r="DZ361" s="53" t="inlineStr">
        <is>
          <t>No</t>
        </is>
      </c>
      <c r="EA361" s="53" t="inlineStr">
        <is>
          <t>Product/Project</t>
        </is>
      </c>
      <c r="EB361" s="53" t="inlineStr">
        <is>
          <t>Business Analysis</t>
        </is>
      </c>
      <c r="EC361" s="53" t="inlineStr">
        <is>
          <t>Technical · BA, PM and QA</t>
        </is>
      </c>
      <c r="ED361" s="53" t="inlineStr">
        <is>
          <t>Client Side</t>
        </is>
      </c>
      <c r="EE361" s="53"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EF361" s="53"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G361" s="53" t="inlineStr">
        <is>
          <t>Q1: Deliver &gt;=95% of assigned BRDs/FSDs approved with &lt;=1 revision cycle
Q1: Ensure &gt;=90% on-time delivery of BA deliverables
Q1: Achieve &gt;=4.2/5 stakeholder satisfaction on requirement clarity
Q1: Own at least 1 complex requirement area end-to-end</t>
        </is>
      </c>
      <c r="EH361" s="53" t="n">
        <v>3</v>
      </c>
      <c r="EI361" s="53" t="inlineStr">
        <is>
          <t>Pending – to be scheduled</t>
        </is>
      </c>
      <c r="EJ361" s="53" t="inlineStr">
        <is>
          <t>Business Analyst</t>
        </is>
      </c>
      <c r="EK361" s="53" t="inlineStr">
        <is>
          <t>No – designation matches current scope.</t>
        </is>
      </c>
      <c r="EL361" s="53" t="n">
        <v>3</v>
      </c>
      <c r="EM361" s="53" t="inlineStr">
        <is>
          <t>High</t>
        </is>
      </c>
      <c r="EN361" s="53" t="inlineStr">
        <is>
          <t>Reliable Specialist</t>
        </is>
      </c>
      <c r="EO361" s="53" t="inlineStr">
        <is>
          <t>N</t>
        </is>
      </c>
      <c r="EP361" s="53" t="inlineStr">
        <is>
          <t>N</t>
        </is>
      </c>
      <c r="EQ361" s="53" t="inlineStr">
        <is>
          <t>N</t>
        </is>
      </c>
      <c r="ER361" s="53" t="inlineStr">
        <is>
          <t>No successor formally identified -Abhishek covers similar scope</t>
        </is>
      </c>
      <c r="ES361" s="53" t="inlineStr">
        <is>
          <t>Requirement engineering &amp; BRD writing; Agile/Scrum; domain · RegTech/XBRL knowledge; stakeholder management; Product knowledge</t>
        </is>
      </c>
      <c r="ET361" s="53" t="inlineStr">
        <is>
          <t>-</t>
        </is>
      </c>
      <c r="EU361" s="53" t="inlineStr">
        <is>
          <t>Recent feedback has resulted in need to monitor the performance in future</t>
        </is>
      </c>
      <c r="EV361" s="53" t="n"/>
      <c r="EW361" s="52" t="n"/>
      <c r="EX361" s="53" t="n"/>
      <c r="EY361" s="53" t="n"/>
      <c r="EZ361" s="53" t="n"/>
      <c r="FA361" s="53" t="n"/>
      <c r="FB361" s="53" t="n"/>
      <c r="FC361" s="53" t="n"/>
      <c r="FD361" s="53" t="n"/>
      <c r="FE361" s="57"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FF361" s="56" t="inlineStr">
        <is>
          <t>Q1: Deliver &gt;=95% of assigned BRDs/FSDs approved with &lt;=1 revision cycle
Q1: Ensure &gt;=90% on-time delivery of BA deliverables
Q1: Achieve &gt;=4.2/5 stakeholder satisfaction on requirement clarity
Q1: Own at least 1 complex requirement area end-to-end</t>
        </is>
      </c>
      <c r="FG361" s="56"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FH361" s="56" t="inlineStr">
        <is>
          <t>3</t>
        </is>
      </c>
      <c r="FI361" s="56" t="n"/>
      <c r="FJ361" s="56" t="inlineStr">
        <is>
          <t>Received · manager annual, quarterly, self</t>
        </is>
      </c>
      <c r="FK361" s="56" t="inlineStr">
        <is>
          <t>Talent Mapping · iFile collated</t>
        </is>
      </c>
      <c r="FL361" s="56" t="n">
        <v>19</v>
      </c>
      <c r="FM361" s="32" t="inlineStr">
        <is>
          <t>Full survey answers not in the files received · How We Grow export needed · HR</t>
        </is>
      </c>
      <c r="FN361" s="56" t="inlineStr">
        <is>
          <t>—</t>
        </is>
      </c>
      <c r="FO361" s="56" t="inlineStr">
        <is>
          <t>—</t>
        </is>
      </c>
      <c r="FP361" s="56" t="inlineStr">
        <is>
          <t>—</t>
        </is>
      </c>
      <c r="FQ361" s="56" t="inlineStr">
        <is>
          <t>—</t>
        </is>
      </c>
      <c r="FR361" s="56"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through development to client delivery and sign-off → matches the start
Leadership: Evidence reads like A3: Assigns and monitors team tasks; gives KT to testers and other BAs → moved up 0.5</t>
        </is>
      </c>
      <c r="FS361"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61" s="56" t="inlineStr">
        <is>
          <t>Self-identified: Project / programme management
For the next role: Project / programme management</t>
        </is>
      </c>
      <c r="FU361" s="32" t="inlineStr">
        <is>
          <t>Full survey answers not in the files received · How We Grow export needed · HR</t>
        </is>
      </c>
    </row>
    <row r="362" ht="90" customHeight="1">
      <c r="A362" s="51" t="inlineStr">
        <is>
          <t>◂ Back</t>
        </is>
      </c>
      <c r="B362" s="29" t="inlineStr">
        <is>
          <t>Mapped</t>
        </is>
      </c>
      <c r="C362" s="28" t="inlineStr">
        <is>
          <t>iFile</t>
        </is>
      </c>
      <c r="D362" s="29" t="inlineStr">
        <is>
          <t>IRIS2507</t>
        </is>
      </c>
      <c r="E362" s="29" t="inlineStr">
        <is>
          <t>Tanishq Gupta</t>
        </is>
      </c>
      <c r="F362" s="29" t="inlineStr">
        <is>
          <t>Technology</t>
        </is>
      </c>
      <c r="G362" s="29" t="inlineStr">
        <is>
          <t>Business Analyst</t>
        </is>
      </c>
      <c r="H362" s="29" t="inlineStr">
        <is>
          <t>Business Analyst</t>
        </is>
      </c>
      <c r="I362" s="29" t="inlineStr">
        <is>
          <t>L3 – Professional / Associate</t>
        </is>
      </c>
      <c r="J362" s="29" t="inlineStr">
        <is>
          <t>A2</t>
        </is>
      </c>
      <c r="K362" s="29" t="inlineStr">
        <is>
          <t>• Same level</t>
        </is>
      </c>
      <c r="L362" s="29" t="inlineStr">
        <is>
          <t>Business Analysis</t>
        </is>
      </c>
      <c r="M362" s="29" t="inlineStr">
        <is>
          <t>Business Analysis</t>
        </is>
      </c>
      <c r="N362" s="29" t="n"/>
      <c r="O362" s="29" t="n">
        <v>20</v>
      </c>
      <c r="P362" s="28" t="inlineStr">
        <is>
          <t>P1–P2</t>
        </is>
      </c>
      <c r="Q362" s="29" t="inlineStr">
        <is>
          <t>Entry / Developing</t>
        </is>
      </c>
      <c r="R362" s="29" t="inlineStr">
        <is>
          <t>2 Assist</t>
        </is>
      </c>
      <c r="S362" s="29" t="inlineStr">
        <is>
          <t>0–2 yrs</t>
        </is>
      </c>
      <c r="T362" s="29" t="inlineStr">
        <is>
          <t>1–3 · 0–3</t>
        </is>
      </c>
      <c r="U362" s="29" t="inlineStr">
        <is>
          <t>Associate Business Analyst / Business Analyst</t>
        </is>
      </c>
      <c r="V362" s="29" t="inlineStr">
        <is>
          <t>Big Four consulting: Analyst · IRIS Vs Market Benchmark — IIBA certification pathway: ECBA · Infosys / Accenture: JL3B · L11 Analyst</t>
        </is>
      </c>
      <c r="W362" s="29" t="inlineStr">
        <is>
          <t>IIBA BABOK v3; certifications ECBA · entry → CCBA → CBAP · senior</t>
        </is>
      </c>
      <c r="X362" s="29" t="inlineStr">
        <is>
          <t>Core 2 · Future 2 · Functional 2 · Leadership not scored</t>
        </is>
      </c>
      <c r="Y362" s="52" t="n">
        <v>477</v>
      </c>
      <c r="Z362" s="53" t="inlineStr">
        <is>
          <t>IRIS2507</t>
        </is>
      </c>
      <c r="AA362" s="53" t="inlineStr">
        <is>
          <t>Employee</t>
        </is>
      </c>
      <c r="AB362" s="53" t="inlineStr">
        <is>
          <t>Active</t>
        </is>
      </c>
      <c r="AC362" s="53" t="inlineStr">
        <is>
          <t>Tanishq Gupta</t>
        </is>
      </c>
      <c r="AD362" s="54" t="n">
        <v>46118</v>
      </c>
      <c r="AE362" s="53" t="inlineStr">
        <is>
          <t>Business Analyst</t>
        </is>
      </c>
      <c r="AF362" s="53" t="inlineStr">
        <is>
          <t>MBA</t>
        </is>
      </c>
      <c r="AG362" s="53" t="inlineStr">
        <is>
          <t>Jailesh Bhadra</t>
        </is>
      </c>
      <c r="AH362" s="53" t="inlineStr">
        <is>
          <t>N-4</t>
        </is>
      </c>
      <c r="AI362" s="53" t="inlineStr">
        <is>
          <t>Individual Contributor</t>
        </is>
      </c>
      <c r="AJ362" s="53" t="inlineStr">
        <is>
          <t>0 years, 0 months, 0 days</t>
        </is>
      </c>
      <c r="AK362" s="53" t="inlineStr">
        <is>
          <t>0 years, 4 months, 19 days</t>
        </is>
      </c>
      <c r="AL362" s="53" t="inlineStr">
        <is>
          <t>Suptech</t>
        </is>
      </c>
      <c r="AM362" s="53" t="inlineStr">
        <is>
          <t>iFile</t>
        </is>
      </c>
      <c r="AN362" s="53" t="inlineStr">
        <is>
          <t>Technology</t>
        </is>
      </c>
      <c r="AO362" s="53" t="inlineStr">
        <is>
          <t>Business Analysis</t>
        </is>
      </c>
      <c r="AP362" s="53" t="inlineStr">
        <is>
          <t>No</t>
        </is>
      </c>
      <c r="AQ362" s="53" t="inlineStr">
        <is>
          <t>Product/Project</t>
        </is>
      </c>
      <c r="AR362" s="53" t="inlineStr">
        <is>
          <t>Business Analysis</t>
        </is>
      </c>
      <c r="AS362" s="53" t="inlineStr">
        <is>
          <t>Technical · BA, PM and QA</t>
        </is>
      </c>
      <c r="AT362" s="53" t="n">
        <v>20</v>
      </c>
      <c r="AU362" s="53" t="inlineStr">
        <is>
          <t>Covered</t>
        </is>
      </c>
      <c r="AV362" s="53" t="n"/>
      <c r="AW362" s="53" t="n"/>
      <c r="AX362" s="53" t="n"/>
      <c r="AY362" s="53" t="n"/>
      <c r="AZ362" s="53" t="n"/>
      <c r="BA362" s="53" t="n"/>
      <c r="BB362" s="53" t="n"/>
      <c r="BC362" s="53" t="n"/>
      <c r="BD362" s="53" t="n"/>
      <c r="BE362" s="53" t="n"/>
      <c r="BF362" s="53" t="n"/>
      <c r="BG362" s="53" t="n"/>
      <c r="BH362" s="53" t="n"/>
      <c r="BI362" s="53" t="n"/>
      <c r="BJ362" s="53" t="n"/>
      <c r="BK362" s="53" t="n"/>
      <c r="BL362" s="53" t="n"/>
      <c r="BM362" s="53" t="n"/>
      <c r="BN362" s="53" t="n"/>
      <c r="BO362" s="53" t="n"/>
      <c r="BP362" s="53" t="n"/>
      <c r="BQ362" s="53" t="n"/>
      <c r="BR362" s="53" t="n"/>
      <c r="BS362" s="53" t="n"/>
      <c r="BT362" s="53" t="n"/>
      <c r="BU362" s="53" t="n"/>
      <c r="BV362" s="53" t="n"/>
      <c r="BW362" s="53" t="n"/>
      <c r="BX362" s="53" t="n"/>
      <c r="BY362" s="53" t="n"/>
      <c r="BZ362" s="53" t="n"/>
      <c r="CA362" s="53" t="n"/>
      <c r="CB362" s="53" t="n"/>
      <c r="CC362" s="53" t="n"/>
      <c r="CD362" s="53" t="n"/>
      <c r="CE362" s="53" t="n"/>
      <c r="CF362" s="53" t="n"/>
      <c r="CG362" s="53" t="n"/>
      <c r="CH362" s="53" t="n"/>
      <c r="CI362" s="53" t="n"/>
      <c r="CJ362" s="53" t="n"/>
      <c r="CK362" s="53" t="n"/>
      <c r="CL362" s="53" t="n"/>
      <c r="CM362" s="53" t="n"/>
      <c r="CN362" s="53" t="n"/>
      <c r="CO362" s="53" t="n"/>
      <c r="CP362" s="53" t="n"/>
      <c r="CQ362" s="53" t="n"/>
      <c r="CR362" s="53" t="n"/>
      <c r="CS362" s="53" t="n"/>
      <c r="CT362" s="53" t="n"/>
      <c r="CU362" s="53" t="n"/>
      <c r="CV362" s="53" t="n"/>
      <c r="CW362" s="53" t="n"/>
      <c r="CX362" s="53" t="n"/>
      <c r="CY362" s="53" t="n"/>
      <c r="CZ362" s="53" t="n"/>
      <c r="DA362" s="53" t="n"/>
      <c r="DB362" s="53" t="n"/>
      <c r="DC362" s="53" t="n"/>
      <c r="DD362" s="53" t="inlineStr">
        <is>
          <t>IRIS2507</t>
        </is>
      </c>
      <c r="DE362" s="53" t="inlineStr">
        <is>
          <t>Employee</t>
        </is>
      </c>
      <c r="DF362" s="53" t="inlineStr">
        <is>
          <t>Active</t>
        </is>
      </c>
      <c r="DG362" s="53" t="inlineStr">
        <is>
          <t>Tanishq Gupta</t>
        </is>
      </c>
      <c r="DH362" s="54" t="n">
        <v>46118</v>
      </c>
      <c r="DI362" s="53" t="inlineStr">
        <is>
          <t>Business Analyst</t>
        </is>
      </c>
      <c r="DJ362" s="53" t="inlineStr">
        <is>
          <t>Business Analysis</t>
        </is>
      </c>
      <c r="DK362" s="53" t="inlineStr">
        <is>
          <t>Business / Functional Analysis</t>
        </is>
      </c>
      <c r="DL362" s="53" t="inlineStr">
        <is>
          <t>Business Analyst</t>
        </is>
      </c>
      <c r="DM362" s="53" t="inlineStr">
        <is>
          <t>L3 – Professional / Associate</t>
        </is>
      </c>
      <c r="DN362" s="53" t="inlineStr">
        <is>
          <t>MBA</t>
        </is>
      </c>
      <c r="DO362" s="53" t="inlineStr">
        <is>
          <t>Jailesh Bhadra</t>
        </is>
      </c>
      <c r="DP362" s="53" t="inlineStr">
        <is>
          <t>N-3</t>
        </is>
      </c>
      <c r="DQ362" s="53" t="inlineStr">
        <is>
          <t>Individual Contributor</t>
        </is>
      </c>
      <c r="DR362" s="53" t="inlineStr">
        <is>
          <t>0 years, 0 months, 0 days</t>
        </is>
      </c>
      <c r="DS362" s="53" t="inlineStr">
        <is>
          <t>0 years, 2 months, 14 days</t>
        </is>
      </c>
      <c r="DT362" s="53" t="inlineStr">
        <is>
          <t>0 years, 2 months, 14 days</t>
        </is>
      </c>
      <c r="DU362" s="53" t="n"/>
      <c r="DV362" s="53" t="inlineStr">
        <is>
          <t>Suptech</t>
        </is>
      </c>
      <c r="DW362" s="53" t="inlineStr">
        <is>
          <t>iFile</t>
        </is>
      </c>
      <c r="DX362" s="53" t="inlineStr">
        <is>
          <t>Technology</t>
        </is>
      </c>
      <c r="DY362" s="53" t="inlineStr">
        <is>
          <t>Business Analysis</t>
        </is>
      </c>
      <c r="DZ362" s="53" t="inlineStr">
        <is>
          <t>No</t>
        </is>
      </c>
      <c r="EA362" s="53" t="inlineStr">
        <is>
          <t>Product/Project</t>
        </is>
      </c>
      <c r="EB362" s="53" t="inlineStr">
        <is>
          <t>Business Analysis</t>
        </is>
      </c>
      <c r="EC362" s="53" t="inlineStr">
        <is>
          <t>Technical · BA, PM and QA</t>
        </is>
      </c>
      <c r="ED362" s="53" t="inlineStr">
        <is>
          <t>Work From Office - Turbhe</t>
        </is>
      </c>
      <c r="EE362" s="53"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EF362" s="53"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G362" s="5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H362" s="53" t="n">
        <v>3</v>
      </c>
      <c r="EI362" s="53" t="inlineStr">
        <is>
          <t>Pending – to be scheduled</t>
        </is>
      </c>
      <c r="EJ362" s="53" t="inlineStr">
        <is>
          <t>Business Analyst</t>
        </is>
      </c>
      <c r="EK362" s="53" t="inlineStr">
        <is>
          <t>No – designation matches role; too early for a structural view.</t>
        </is>
      </c>
      <c r="EL362" s="53" t="n">
        <v>3</v>
      </c>
      <c r="EM362" s="53" t="inlineStr">
        <is>
          <t>Medium</t>
        </is>
      </c>
      <c r="EN362" s="53" t="inlineStr">
        <is>
          <t>Core Contributor</t>
        </is>
      </c>
      <c r="EO362" s="53" t="inlineStr">
        <is>
          <t>N</t>
        </is>
      </c>
      <c r="EP362" s="53" t="inlineStr">
        <is>
          <t>N</t>
        </is>
      </c>
      <c r="EQ362" s="53" t="inlineStr">
        <is>
          <t>N</t>
        </is>
      </c>
      <c r="ER362" s="53" t="inlineStr">
        <is>
          <t>-</t>
        </is>
      </c>
      <c r="ES362" s="53" t="inlineStr">
        <is>
          <t>Requirement engineering &amp; BRD/user-story writing; Agile/Scrum basics; RegTech/XBRL domain onboarding; stakeholder communication; Product visualization</t>
        </is>
      </c>
      <c r="ET362" s="53" t="inlineStr">
        <is>
          <t>-</t>
        </is>
      </c>
      <c r="EU362" s="53" t="inlineStr">
        <is>
          <t>New joiner</t>
        </is>
      </c>
      <c r="EV362" s="53" t="n"/>
      <c r="EW362" s="52" t="n"/>
      <c r="EX362" s="53" t="n"/>
      <c r="EY362" s="53" t="n"/>
      <c r="EZ362" s="53" t="n"/>
      <c r="FA362" s="53" t="n"/>
      <c r="FB362" s="53" t="n"/>
      <c r="FC362" s="53" t="n"/>
      <c r="FD362" s="53" t="n"/>
      <c r="FE362" s="57"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FF362" s="56"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FG362" s="56"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FH362" s="56" t="inlineStr">
        <is>
          <t>3</t>
        </is>
      </c>
      <c r="FI362" s="56" t="n"/>
      <c r="FJ362" s="56" t="inlineStr">
        <is>
          <t>Received · manager annual, quarterly, self</t>
        </is>
      </c>
      <c r="FK362" s="56" t="inlineStr">
        <is>
          <t>Talent Mapping · iFile collated</t>
        </is>
      </c>
      <c r="FL362" s="56" t="n">
        <v>20</v>
      </c>
      <c r="FM362" s="32" t="inlineStr">
        <is>
          <t>Full survey answers not in the files received · How We Grow export needed · HR</t>
        </is>
      </c>
      <c r="FN362" s="56" t="inlineStr">
        <is>
          <t>—</t>
        </is>
      </c>
      <c r="FO362" s="56" t="inlineStr">
        <is>
          <t>—</t>
        </is>
      </c>
      <c r="FP362" s="56" t="inlineStr">
        <is>
          <t>—</t>
        </is>
      </c>
      <c r="FQ362" s="56" t="inlineStr">
        <is>
          <t>—</t>
        </is>
      </c>
      <c r="FR362" s="56"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A2: Accuracy and completeness of gap analysis, BRDs, FRDs and user stories → moved down 0.5
Leadership: Evidence reads like A2: Clarifies with developers and QA; guidance to team members only in manager note → matches the start
Business Impact: No move: the survey / manager mapping does not mark it business-critical or unique.</t>
        </is>
      </c>
      <c r="FS362"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362" s="56" t="inlineStr">
        <is>
          <t>Self-identified: Product &amp; tool knowledge · Client, sales &amp; stakeholders · Strategy &amp; business acumen · Certification / formal course · Broader exposure &amp; ownership
For the next role: Project / programme management · Product &amp; tool knowledge · Client, sales &amp; stakeholders · Strategy &amp; business acumen · Certification / formal course · Broader exposure &amp; ownership</t>
        </is>
      </c>
      <c r="FU362" s="32" t="inlineStr">
        <is>
          <t>Full survey answers not in the files received · How We Grow export needed · HR</t>
        </is>
      </c>
    </row>
    <row r="363" ht="90" customHeight="1">
      <c r="A363" s="51" t="inlineStr">
        <is>
          <t>◂ Back</t>
        </is>
      </c>
      <c r="B363" s="29" t="inlineStr">
        <is>
          <t>Mapped</t>
        </is>
      </c>
      <c r="C363" s="28" t="inlineStr">
        <is>
          <t>iFile</t>
        </is>
      </c>
      <c r="D363" s="29" t="inlineStr">
        <is>
          <t>IRIS0846</t>
        </is>
      </c>
      <c r="E363" s="29" t="inlineStr">
        <is>
          <t>Nikhil Nalawade</t>
        </is>
      </c>
      <c r="F363" s="29" t="inlineStr">
        <is>
          <t>Technology</t>
        </is>
      </c>
      <c r="G363" s="29" t="inlineStr">
        <is>
          <t>Project Manager</t>
        </is>
      </c>
      <c r="H363" s="29" t="inlineStr">
        <is>
          <t>Delivery Manager</t>
        </is>
      </c>
      <c r="I363" s="29" t="inlineStr">
        <is>
          <t>L5 – Manager</t>
        </is>
      </c>
      <c r="J363" s="29" t="inlineStr">
        <is>
          <t>B2</t>
        </is>
      </c>
      <c r="K363" s="29" t="inlineStr">
        <is>
          <t>▲ Up</t>
        </is>
      </c>
      <c r="L363" s="29" t="inlineStr">
        <is>
          <t>Project &amp; Program Management</t>
        </is>
      </c>
      <c r="M363" s="29" t="inlineStr">
        <is>
          <t>Project &amp; Program Delivery</t>
        </is>
      </c>
      <c r="N363" s="29" t="n"/>
      <c r="O363" s="29" t="n">
        <v>20</v>
      </c>
      <c r="P363" s="28" t="inlineStr">
        <is>
          <t>P4 / M3</t>
        </is>
      </c>
      <c r="Q363" s="29" t="inlineStr">
        <is>
          <t>Senior / Manager</t>
        </is>
      </c>
      <c r="R363" s="29" t="inlineStr">
        <is>
          <t>4–5</t>
        </is>
      </c>
      <c r="S363" s="29" t="inlineStr">
        <is>
          <t>6–9 yrs</t>
        </is>
      </c>
      <c r="T363" s="29" t="inlineStr">
        <is>
          <t>7–10 · 6–11</t>
        </is>
      </c>
      <c r="U363" s="29" t="inlineStr">
        <is>
          <t>Senior Manager</t>
        </is>
      </c>
      <c r="V363" s="29" t="inlineStr">
        <is>
          <t>IRIS Vs Competitor Benchmark — PMI pathway + SaaS delivery ladder: Senior PM</t>
        </is>
      </c>
      <c r="W363" s="29" t="inlineStr">
        <is>
          <t>PMI PMBOK and Talent Triangle; CAPM · entry → PMP → PgMP; Scrum / SAFe</t>
        </is>
      </c>
      <c r="X363" s="29" t="inlineStr">
        <is>
          <t>Core 3 · Future 3 · Functional 4 · Leadership 3</t>
        </is>
      </c>
      <c r="Y363" s="52" t="n">
        <v>96</v>
      </c>
      <c r="Z363" s="53" t="inlineStr">
        <is>
          <t>IRIS0846</t>
        </is>
      </c>
      <c r="AA363" s="53" t="inlineStr">
        <is>
          <t>Employee</t>
        </is>
      </c>
      <c r="AB363" s="53" t="inlineStr">
        <is>
          <t>Active</t>
        </is>
      </c>
      <c r="AC363" s="53" t="inlineStr">
        <is>
          <t>Nikhil Nalawade</t>
        </is>
      </c>
      <c r="AD363" s="54" t="n">
        <v>40791</v>
      </c>
      <c r="AE363" s="53" t="inlineStr">
        <is>
          <t>Project Manager</t>
        </is>
      </c>
      <c r="AF363" s="53" t="inlineStr">
        <is>
          <t>B.E</t>
        </is>
      </c>
      <c r="AG363" s="53" t="inlineStr">
        <is>
          <t>Pradip Dey</t>
        </is>
      </c>
      <c r="AH363" s="53" t="inlineStr">
        <is>
          <t>N-3</t>
        </is>
      </c>
      <c r="AI363" s="53" t="inlineStr">
        <is>
          <t>Manager</t>
        </is>
      </c>
      <c r="AJ363" s="53" t="inlineStr">
        <is>
          <t>0 years, 0 months, 0 days</t>
        </is>
      </c>
      <c r="AK363" s="53" t="inlineStr">
        <is>
          <t>14 years, 11 months, 20 days</t>
        </is>
      </c>
      <c r="AL363" s="53" t="inlineStr">
        <is>
          <t>Suptech</t>
        </is>
      </c>
      <c r="AM363" s="53" t="inlineStr">
        <is>
          <t>iFile</t>
        </is>
      </c>
      <c r="AN363" s="53" t="inlineStr">
        <is>
          <t>Technology</t>
        </is>
      </c>
      <c r="AO363" s="53" t="inlineStr">
        <is>
          <t>Project Management</t>
        </is>
      </c>
      <c r="AP363" s="53" t="inlineStr">
        <is>
          <t>Yes</t>
        </is>
      </c>
      <c r="AQ363" s="53" t="inlineStr">
        <is>
          <t>Product/Project</t>
        </is>
      </c>
      <c r="AR363" s="53" t="inlineStr">
        <is>
          <t>Project Management</t>
        </is>
      </c>
      <c r="AS363" s="53" t="inlineStr">
        <is>
          <t>Technical · BA, PM and QA</t>
        </is>
      </c>
      <c r="AT363" s="53" t="n">
        <v>20</v>
      </c>
      <c r="AU363" s="53" t="inlineStr">
        <is>
          <t>Covered</t>
        </is>
      </c>
      <c r="AV363" s="53" t="n"/>
      <c r="AW363" s="53" t="n"/>
      <c r="AX363" s="53" t="n"/>
      <c r="AY363" s="53" t="n"/>
      <c r="AZ363" s="53" t="n"/>
      <c r="BA363" s="53" t="n"/>
      <c r="BB363" s="53" t="n"/>
      <c r="BC363" s="53" t="n"/>
      <c r="BD363" s="53" t="n"/>
      <c r="BE363" s="53" t="n"/>
      <c r="BF363" s="53" t="n"/>
      <c r="BG363" s="53" t="n"/>
      <c r="BH363" s="53" t="n"/>
      <c r="BI363" s="53" t="n"/>
      <c r="BJ363" s="53" t="n"/>
      <c r="BK363" s="53" t="n"/>
      <c r="BL363" s="53" t="n"/>
      <c r="BM363" s="53" t="n"/>
      <c r="BN363" s="53" t="n"/>
      <c r="BO363" s="53" t="n"/>
      <c r="BP363" s="53" t="n"/>
      <c r="BQ363" s="53" t="n"/>
      <c r="BR363" s="53" t="n"/>
      <c r="BS363" s="53" t="n"/>
      <c r="BT363" s="53" t="n"/>
      <c r="BU363" s="53" t="n"/>
      <c r="BV363" s="53" t="n"/>
      <c r="BW363" s="53" t="n"/>
      <c r="BX363" s="53" t="n"/>
      <c r="BY363" s="53" t="n"/>
      <c r="BZ363" s="53" t="n"/>
      <c r="CA363" s="53" t="n"/>
      <c r="CB363" s="53" t="n"/>
      <c r="CC363" s="53" t="n"/>
      <c r="CD363" s="53" t="n"/>
      <c r="CE363" s="53" t="n"/>
      <c r="CF363" s="53" t="n"/>
      <c r="CG363" s="53" t="n"/>
      <c r="CH363" s="53" t="n"/>
      <c r="CI363" s="53" t="n"/>
      <c r="CJ363" s="53" t="n"/>
      <c r="CK363" s="53" t="n"/>
      <c r="CL363" s="53" t="n"/>
      <c r="CM363" s="53" t="n"/>
      <c r="CN363" s="53" t="n"/>
      <c r="CO363" s="53" t="n"/>
      <c r="CP363" s="53" t="n"/>
      <c r="CQ363" s="53" t="n"/>
      <c r="CR363" s="53" t="n"/>
      <c r="CS363" s="53" t="n"/>
      <c r="CT363" s="53" t="n"/>
      <c r="CU363" s="53" t="n"/>
      <c r="CV363" s="53" t="n"/>
      <c r="CW363" s="53" t="n"/>
      <c r="CX363" s="53" t="n"/>
      <c r="CY363" s="53" t="n"/>
      <c r="CZ363" s="53" t="n"/>
      <c r="DA363" s="53" t="n"/>
      <c r="DB363" s="53" t="n"/>
      <c r="DC363" s="53" t="n"/>
      <c r="DD363" s="53" t="inlineStr">
        <is>
          <t>IRIS0846</t>
        </is>
      </c>
      <c r="DE363" s="53" t="inlineStr">
        <is>
          <t>Employee</t>
        </is>
      </c>
      <c r="DF363" s="53" t="inlineStr">
        <is>
          <t>Active</t>
        </is>
      </c>
      <c r="DG363" s="53" t="inlineStr">
        <is>
          <t>Nikhil Nalawade</t>
        </is>
      </c>
      <c r="DH363" s="54" t="n">
        <v>40791</v>
      </c>
      <c r="DI363" s="53" t="inlineStr">
        <is>
          <t>Project Manager</t>
        </is>
      </c>
      <c r="DJ363" s="53" t="inlineStr">
        <is>
          <t>Project &amp; Program Management</t>
        </is>
      </c>
      <c r="DK363" s="53" t="inlineStr">
        <is>
          <t>Project Management</t>
        </is>
      </c>
      <c r="DL363" s="53" t="inlineStr">
        <is>
          <t>Project Manager</t>
        </is>
      </c>
      <c r="DM363" s="53" t="inlineStr">
        <is>
          <t>L5 – Manager</t>
        </is>
      </c>
      <c r="DN363" s="53" t="inlineStr">
        <is>
          <t>B.E</t>
        </is>
      </c>
      <c r="DO363" s="53" t="inlineStr">
        <is>
          <t>Pradip Dey</t>
        </is>
      </c>
      <c r="DP363" s="53" t="inlineStr">
        <is>
          <t>N-2</t>
        </is>
      </c>
      <c r="DQ363" s="53" t="inlineStr">
        <is>
          <t>Manager</t>
        </is>
      </c>
      <c r="DR363" s="53" t="inlineStr">
        <is>
          <t>0 years, 0 months, 0 days</t>
        </is>
      </c>
      <c r="DS363" s="53" t="inlineStr">
        <is>
          <t>14 years, 9 months, 15 days</t>
        </is>
      </c>
      <c r="DT363" s="53" t="inlineStr">
        <is>
          <t>14 years, 9 months, 15 days</t>
        </is>
      </c>
      <c r="DU363" s="53" t="n">
        <v>14.791095890411</v>
      </c>
      <c r="DV363" s="53" t="inlineStr">
        <is>
          <t>Suptech</t>
        </is>
      </c>
      <c r="DW363" s="53" t="inlineStr">
        <is>
          <t>iFile</t>
        </is>
      </c>
      <c r="DX363" s="53" t="inlineStr">
        <is>
          <t>Technology</t>
        </is>
      </c>
      <c r="DY363" s="53" t="inlineStr">
        <is>
          <t>Project Management</t>
        </is>
      </c>
      <c r="DZ363" s="53" t="inlineStr">
        <is>
          <t>Yes</t>
        </is>
      </c>
      <c r="EA363" s="53" t="inlineStr">
        <is>
          <t>Product/Project</t>
        </is>
      </c>
      <c r="EB363" s="53" t="inlineStr">
        <is>
          <t>Project Management</t>
        </is>
      </c>
      <c r="EC363" s="53" t="inlineStr">
        <is>
          <t>Technical · BA, PM and QA</t>
        </is>
      </c>
      <c r="ED363" s="53" t="inlineStr">
        <is>
          <t>Work From Office - Turbhe</t>
        </is>
      </c>
      <c r="EE363" s="53" t="n"/>
      <c r="EF363" s="53"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EG363" s="53" t="inlineStr">
        <is>
          <t>Bank of Jamaica demo readiness
Process improvements
Initiate TOGAF Certification
Initiate QCB UAT
Digital way of working and measurement of metrics through the tools</t>
        </is>
      </c>
      <c r="EH363" s="53" t="inlineStr">
        <is>
          <t>Outstanding</t>
        </is>
      </c>
      <c r="EI363" s="54" t="n">
        <v>45931</v>
      </c>
      <c r="EJ363" s="53" t="inlineStr">
        <is>
          <t>Project Manager</t>
        </is>
      </c>
      <c r="EK363" s="53" t="n"/>
      <c r="EL363" s="53" t="n">
        <v>5</v>
      </c>
      <c r="EM363" s="53" t="inlineStr">
        <is>
          <t>High</t>
        </is>
      </c>
      <c r="EN363" s="53" t="inlineStr">
        <is>
          <t>Future Leader</t>
        </is>
      </c>
      <c r="EO363" s="53" t="n"/>
      <c r="EP363" s="53" t="inlineStr">
        <is>
          <t>Y</t>
        </is>
      </c>
      <c r="EQ363" s="53" t="inlineStr">
        <is>
          <t>Y</t>
        </is>
      </c>
      <c r="ER363" s="53" t="n"/>
      <c r="ES363" s="53" t="inlineStr">
        <is>
          <t>TOGAF</t>
        </is>
      </c>
      <c r="ET363" s="53" t="n"/>
      <c r="EU363" s="53" t="inlineStr">
        <is>
          <t>SSM,ACRA,CBRD,IRIS Instant,PFRDA,GRI,Pre-Sales,Carbon-Support,IRIS Noah</t>
        </is>
      </c>
      <c r="EV363" s="53" t="n"/>
      <c r="EW363" s="52" t="n"/>
      <c r="EX363" s="53" t="n"/>
      <c r="EY363" s="53" t="n"/>
      <c r="EZ363" s="53" t="n"/>
      <c r="FA363" s="53" t="n"/>
      <c r="FB363" s="53" t="n"/>
      <c r="FC363" s="53" t="n"/>
      <c r="FD363" s="53" t="n"/>
      <c r="FE363" s="57"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FF363" s="56" t="inlineStr">
        <is>
          <t>Bank of Jamaica demo readiness
Process improvements
Initiate TOGAF Certification
Initiate QCB UAT
Digital way of working and measurement of metrics through the tools</t>
        </is>
      </c>
      <c r="FG363" s="56" t="n"/>
      <c r="FH363" s="56" t="inlineStr">
        <is>
          <t>Outstanding</t>
        </is>
      </c>
      <c r="FI363" s="56" t="n"/>
      <c r="FJ363" s="56" t="inlineStr">
        <is>
          <t>Received · manager annual, quarterly</t>
        </is>
      </c>
      <c r="FK363" s="56" t="inlineStr">
        <is>
          <t>Talent Mapping · iFile collated</t>
        </is>
      </c>
      <c r="FL363" s="56" t="n">
        <v>20</v>
      </c>
      <c r="FM363" s="32" t="inlineStr">
        <is>
          <t>Full survey answers not in the files received · How We Grow export needed · HR</t>
        </is>
      </c>
      <c r="FN363" s="56" t="inlineStr">
        <is>
          <t>—</t>
        </is>
      </c>
      <c r="FO363" s="56" t="inlineStr">
        <is>
          <t>—</t>
        </is>
      </c>
      <c r="FP363" s="56" t="inlineStr">
        <is>
          <t>—</t>
        </is>
      </c>
      <c r="FQ363" s="56" t="inlineStr">
        <is>
          <t>—</t>
        </is>
      </c>
      <c r="FR363" s="56"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completion and payment; budget and P&amp;L impact → matches the start
Leadership: Evidence reads like B2: 15 direct reports; delivers training; stakeholder management → matches the start
Business Impact: Moved +0.5: the survey / manager mapping marks it business-critical.</t>
        </is>
      </c>
      <c r="FS363"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63" s="56" t="inlineStr">
        <is>
          <t>Self-identified: Broader exposure &amp; ownership
For the next role: Broader exposure &amp; ownership</t>
        </is>
      </c>
      <c r="FU363" s="32" t="inlineStr">
        <is>
          <t>Full survey answers not in the files received · How We Grow export needed · HR</t>
        </is>
      </c>
    </row>
    <row r="364" ht="90" customHeight="1">
      <c r="A364" s="51" t="inlineStr">
        <is>
          <t>◂ Back</t>
        </is>
      </c>
      <c r="B364" s="29" t="inlineStr">
        <is>
          <t>Mapped</t>
        </is>
      </c>
      <c r="C364" s="28" t="inlineStr">
        <is>
          <t>iFile</t>
        </is>
      </c>
      <c r="D364" s="29" t="inlineStr">
        <is>
          <t>IRIS2318</t>
        </is>
      </c>
      <c r="E364" s="29" t="inlineStr">
        <is>
          <t>Prathmesh Ramdas Sutar</t>
        </is>
      </c>
      <c r="F364" s="29" t="inlineStr">
        <is>
          <t>Technology</t>
        </is>
      </c>
      <c r="G364" s="29" t="inlineStr">
        <is>
          <t>Lead Software Engineer</t>
        </is>
      </c>
      <c r="H364" s="29" t="inlineStr">
        <is>
          <t>Lead Software Engineer</t>
        </is>
      </c>
      <c r="I364" s="29" t="inlineStr">
        <is>
          <t>L5 – Lead · IC</t>
        </is>
      </c>
      <c r="J364" s="29" t="inlineStr">
        <is>
          <t>B3</t>
        </is>
      </c>
      <c r="K364" s="29" t="inlineStr">
        <is>
          <t>• Same level</t>
        </is>
      </c>
      <c r="L364" s="29" t="inlineStr">
        <is>
          <t>Engineering &amp; Development</t>
        </is>
      </c>
      <c r="M364" s="29" t="inlineStr">
        <is>
          <t>Backend Development</t>
        </is>
      </c>
      <c r="N364" s="29" t="n"/>
      <c r="O364" s="29" t="n">
        <v>18</v>
      </c>
      <c r="P364" s="28" t="inlineStr">
        <is>
          <t>P5 / M4</t>
        </is>
      </c>
      <c r="Q364" s="29" t="inlineStr">
        <is>
          <t>Expert / Senior Manager</t>
        </is>
      </c>
      <c r="R364" s="29" t="inlineStr">
        <is>
          <t>5 Ensure, advise</t>
        </is>
      </c>
      <c r="S364" s="29" t="inlineStr">
        <is>
          <t>8–12 yrs</t>
        </is>
      </c>
      <c r="T364" s="29" t="inlineStr">
        <is>
          <t>9–13 · 9–14</t>
        </is>
      </c>
      <c r="U364" s="29" t="inlineStr">
        <is>
          <t>Principal Engineer</t>
        </is>
      </c>
      <c r="V364" s="29" t="inlineStr">
        <is>
          <t>Workiva: Staff SE · Broadridge India: Senior Lead SE · Nasdaq / AxiomSL: Lead SE · Salesforce: LMTS · Atlassian: P50 Senior · Freshworks: Staff SE</t>
        </is>
      </c>
      <c r="W364" s="29" t="inlineStr">
        <is>
          <t>SFIA 9 · software development, programming; OWASP secure coding; cloud vendor certifications</t>
        </is>
      </c>
      <c r="X364" s="29" t="inlineStr">
        <is>
          <t>Core 4 · Future 3 · Functional 4 · Leadership 3</t>
        </is>
      </c>
      <c r="Y364" s="52" t="n">
        <v>348</v>
      </c>
      <c r="Z364" s="53" t="inlineStr">
        <is>
          <t>IRIS2318</t>
        </is>
      </c>
      <c r="AA364" s="53" t="inlineStr">
        <is>
          <t>Employee</t>
        </is>
      </c>
      <c r="AB364" s="53" t="inlineStr">
        <is>
          <t>Active</t>
        </is>
      </c>
      <c r="AC364" s="53" t="inlineStr">
        <is>
          <t>Prathmesh Ramdas Sutar</t>
        </is>
      </c>
      <c r="AD364" s="54" t="n">
        <v>45586</v>
      </c>
      <c r="AE364" s="53" t="inlineStr">
        <is>
          <t>Lead Software Engineer</t>
        </is>
      </c>
      <c r="AF364" s="53" t="inlineStr">
        <is>
          <t>B.E</t>
        </is>
      </c>
      <c r="AG364" s="53" t="inlineStr">
        <is>
          <t>Nikhil Nalawade</t>
        </is>
      </c>
      <c r="AH364" s="53" t="inlineStr">
        <is>
          <t>N-4</t>
        </is>
      </c>
      <c r="AI364" s="53" t="inlineStr">
        <is>
          <t>Individual Contributor</t>
        </is>
      </c>
      <c r="AJ364" s="53" t="inlineStr">
        <is>
          <t>11 years, 4 months, 0 days</t>
        </is>
      </c>
      <c r="AK364" s="53" t="inlineStr">
        <is>
          <t>1 years, 10 months, 4 days</t>
        </is>
      </c>
      <c r="AL364" s="53" t="inlineStr">
        <is>
          <t>Suptech</t>
        </is>
      </c>
      <c r="AM364" s="53" t="inlineStr">
        <is>
          <t>iFile</t>
        </is>
      </c>
      <c r="AN364" s="53" t="inlineStr">
        <is>
          <t>Technology</t>
        </is>
      </c>
      <c r="AO364" s="53" t="inlineStr">
        <is>
          <t>Development</t>
        </is>
      </c>
      <c r="AP364" s="53" t="inlineStr">
        <is>
          <t>Yes</t>
        </is>
      </c>
      <c r="AQ364" s="53" t="inlineStr">
        <is>
          <t>Product/Project</t>
        </is>
      </c>
      <c r="AR364" s="53" t="inlineStr">
        <is>
          <t>Java</t>
        </is>
      </c>
      <c r="AS364" s="53" t="inlineStr">
        <is>
          <t>Technical - Developer</t>
        </is>
      </c>
      <c r="AT364" s="53" t="n">
        <v>20</v>
      </c>
      <c r="AU364" s="53" t="inlineStr">
        <is>
          <t>Covered</t>
        </is>
      </c>
      <c r="AV364" s="53" t="n"/>
      <c r="AW364" s="53" t="n"/>
      <c r="AX364" s="53" t="n"/>
      <c r="AY364" s="53" t="n"/>
      <c r="AZ364" s="53" t="n"/>
      <c r="BA364" s="53" t="n"/>
      <c r="BB364" s="53" t="n"/>
      <c r="BC364" s="53" t="n"/>
      <c r="BD364" s="53" t="n"/>
      <c r="BE364" s="53" t="n"/>
      <c r="BF364" s="53" t="n"/>
      <c r="BG364" s="53" t="n"/>
      <c r="BH364" s="53" t="n"/>
      <c r="BI364" s="53" t="n"/>
      <c r="BJ364" s="53" t="n"/>
      <c r="BK364" s="53" t="n"/>
      <c r="BL364" s="53" t="n"/>
      <c r="BM364" s="53" t="n"/>
      <c r="BN364" s="53" t="n"/>
      <c r="BO364" s="53" t="n"/>
      <c r="BP364" s="53" t="n"/>
      <c r="BQ364" s="53" t="n"/>
      <c r="BR364" s="53" t="n"/>
      <c r="BS364" s="53" t="n"/>
      <c r="BT364" s="53" t="n"/>
      <c r="BU364" s="53" t="n"/>
      <c r="BV364" s="53" t="n"/>
      <c r="BW364" s="53" t="n"/>
      <c r="BX364" s="53" t="n"/>
      <c r="BY364" s="53" t="n"/>
      <c r="BZ364" s="53" t="n"/>
      <c r="CA364" s="53" t="n"/>
      <c r="CB364" s="53" t="n"/>
      <c r="CC364" s="53" t="n"/>
      <c r="CD364" s="53" t="n"/>
      <c r="CE364" s="53" t="n"/>
      <c r="CF364" s="53" t="n"/>
      <c r="CG364" s="53" t="n"/>
      <c r="CH364" s="53" t="n"/>
      <c r="CI364" s="53" t="n"/>
      <c r="CJ364" s="53" t="n"/>
      <c r="CK364" s="53" t="n"/>
      <c r="CL364" s="53" t="n"/>
      <c r="CM364" s="53" t="n"/>
      <c r="CN364" s="53" t="n"/>
      <c r="CO364" s="53" t="n"/>
      <c r="CP364" s="53" t="n"/>
      <c r="CQ364" s="53" t="n"/>
      <c r="CR364" s="53" t="n"/>
      <c r="CS364" s="53" t="n"/>
      <c r="CT364" s="53" t="n"/>
      <c r="CU364" s="53" t="n"/>
      <c r="CV364" s="53" t="n"/>
      <c r="CW364" s="53" t="n"/>
      <c r="CX364" s="53" t="n"/>
      <c r="CY364" s="53" t="n"/>
      <c r="CZ364" s="53" t="n"/>
      <c r="DA364" s="53" t="n"/>
      <c r="DB364" s="53" t="n"/>
      <c r="DC364" s="53" t="n"/>
      <c r="DD364" s="53" t="inlineStr">
        <is>
          <t>IRIS2318</t>
        </is>
      </c>
      <c r="DE364" s="53" t="inlineStr">
        <is>
          <t>Employee</t>
        </is>
      </c>
      <c r="DF364" s="53" t="inlineStr">
        <is>
          <t>Active</t>
        </is>
      </c>
      <c r="DG364" s="53" t="inlineStr">
        <is>
          <t>Prathmesh Ramdas Sutar</t>
        </is>
      </c>
      <c r="DH364" s="54" t="n">
        <v>45586</v>
      </c>
      <c r="DI364" s="53" t="inlineStr">
        <is>
          <t>Lead Software Engineer</t>
        </is>
      </c>
      <c r="DJ364" s="53" t="inlineStr">
        <is>
          <t>Engineering &amp; Development</t>
        </is>
      </c>
      <c r="DK364" s="53" t="inlineStr">
        <is>
          <t>Backend Engineering · Java</t>
        </is>
      </c>
      <c r="DL364" s="53" t="inlineStr">
        <is>
          <t>Lead Software Engineer</t>
        </is>
      </c>
      <c r="DM364" s="53" t="inlineStr">
        <is>
          <t>L5 – Lead · IC</t>
        </is>
      </c>
      <c r="DN364" s="53" t="inlineStr">
        <is>
          <t>B.E</t>
        </is>
      </c>
      <c r="DO364" s="53" t="inlineStr">
        <is>
          <t>Nikhil Nalawade</t>
        </is>
      </c>
      <c r="DP364" s="53" t="inlineStr">
        <is>
          <t>N-3</t>
        </is>
      </c>
      <c r="DQ364" s="53" t="inlineStr">
        <is>
          <t>Individual Contributor</t>
        </is>
      </c>
      <c r="DR364" s="53" t="inlineStr">
        <is>
          <t>11 years, 4 months, 0 days</t>
        </is>
      </c>
      <c r="DS364" s="53" t="inlineStr">
        <is>
          <t>1 years, 7 months, 30 days</t>
        </is>
      </c>
      <c r="DT364" s="53" t="inlineStr">
        <is>
          <t>12 years, 11 months, 30 days</t>
        </is>
      </c>
      <c r="DU364" s="53" t="n"/>
      <c r="DV364" s="53" t="inlineStr">
        <is>
          <t>Suptech</t>
        </is>
      </c>
      <c r="DW364" s="53" t="inlineStr">
        <is>
          <t>iFile</t>
        </is>
      </c>
      <c r="DX364" s="53" t="inlineStr">
        <is>
          <t>Technology</t>
        </is>
      </c>
      <c r="DY364" s="53" t="inlineStr">
        <is>
          <t>Development</t>
        </is>
      </c>
      <c r="DZ364" s="53" t="inlineStr">
        <is>
          <t>Yes</t>
        </is>
      </c>
      <c r="EA364" s="53" t="inlineStr">
        <is>
          <t>Product/Project</t>
        </is>
      </c>
      <c r="EB364" s="53" t="inlineStr">
        <is>
          <t>Java</t>
        </is>
      </c>
      <c r="EC364" s="53" t="inlineStr">
        <is>
          <t>Technical - Developer</t>
        </is>
      </c>
      <c r="ED364" s="53" t="inlineStr">
        <is>
          <t>Work From Office - Turbhe</t>
        </is>
      </c>
      <c r="EE364" s="5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F36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4" s="53" t="n">
        <v>4</v>
      </c>
      <c r="EI364" s="53" t="inlineStr">
        <is>
          <t>Pending</t>
        </is>
      </c>
      <c r="EJ364" s="53" t="inlineStr">
        <is>
          <t>Lead Software Engineer</t>
        </is>
      </c>
      <c r="EK364" s="53" t="inlineStr">
        <is>
          <t>No</t>
        </is>
      </c>
      <c r="EL364" s="53" t="n">
        <v>4</v>
      </c>
      <c r="EM364" s="53" t="inlineStr">
        <is>
          <t>Medium</t>
        </is>
      </c>
      <c r="EN364" s="53" t="inlineStr">
        <is>
          <t>Trusted Professional</t>
        </is>
      </c>
      <c r="EO364" s="53" t="inlineStr">
        <is>
          <t>No</t>
        </is>
      </c>
      <c r="EP364" s="53" t="inlineStr">
        <is>
          <t>No</t>
        </is>
      </c>
      <c r="EQ364" s="53" t="inlineStr">
        <is>
          <t>Yes</t>
        </is>
      </c>
      <c r="ER364" s="53" t="n"/>
      <c r="ES364" s="53"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T364" s="53" t="n"/>
      <c r="EU364" s="53" t="inlineStr">
        <is>
          <t>Need to take more ownership</t>
        </is>
      </c>
      <c r="EV364" s="53" t="n"/>
      <c r="EW364" s="52" t="n"/>
      <c r="EX364" s="53" t="n"/>
      <c r="EY364" s="53" t="n"/>
      <c r="EZ364" s="53" t="n"/>
      <c r="FA364" s="53" t="n"/>
      <c r="FB364" s="53" t="n"/>
      <c r="FC364" s="53" t="n"/>
      <c r="FD364" s="53" t="n"/>
      <c r="FE36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4" s="56"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FH364" s="56" t="inlineStr">
        <is>
          <t>4</t>
        </is>
      </c>
      <c r="FI364" s="56" t="n"/>
      <c r="FJ364" s="56" t="inlineStr">
        <is>
          <t>Received · manager annual, quarterly, self</t>
        </is>
      </c>
      <c r="FK364" s="56" t="inlineStr">
        <is>
          <t>Talent Mapping · iFile collated</t>
        </is>
      </c>
      <c r="FL364" s="56" t="n">
        <v>18</v>
      </c>
      <c r="FM364" s="32" t="inlineStr">
        <is>
          <t>Full survey answers not in the files received · How We Grow export needed · HR</t>
        </is>
      </c>
      <c r="FN364" s="56" t="inlineStr">
        <is>
          <t>—</t>
        </is>
      </c>
      <c r="FO364" s="56" t="inlineStr">
        <is>
          <t>—</t>
        </is>
      </c>
      <c r="FP364" s="56" t="inlineStr">
        <is>
          <t>—</t>
        </is>
      </c>
      <c r="FQ364" s="56" t="inlineStr">
        <is>
          <t>—</t>
        </is>
      </c>
      <c r="FR364" s="56"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0.5
Leadership: Evidence reads like A2: Says leading module development; no people or guidance described → moved down 0.5
Business Impact: Moved +1: the survey / manager mapping marks it business-critical and it does work no one else does.</t>
        </is>
      </c>
      <c r="FS364" s="56" t="inlineStr">
        <is>
          <t>Common themes in role-holders' answers: product
Measured on · manager-set KRA themes: technical · defect · quality · agreed · deliver · reviews.</t>
        </is>
      </c>
      <c r="FT364" s="56" t="inlineStr">
        <is>
          <t>Self-identified: Technical depth &amp; architecture
For the next role: Technical depth &amp; architecture</t>
        </is>
      </c>
      <c r="FU364" s="32" t="inlineStr">
        <is>
          <t>Full survey answers not in the files received · How We Grow export needed · HR</t>
        </is>
      </c>
    </row>
    <row r="365" ht="90" customHeight="1">
      <c r="A365" s="51" t="inlineStr">
        <is>
          <t>◂ Back</t>
        </is>
      </c>
      <c r="B365" s="29" t="inlineStr">
        <is>
          <t>Mapped</t>
        </is>
      </c>
      <c r="C365" s="28" t="inlineStr">
        <is>
          <t>iFile</t>
        </is>
      </c>
      <c r="D365" s="29" t="inlineStr">
        <is>
          <t>IRIS2140</t>
        </is>
      </c>
      <c r="E365" s="29" t="inlineStr">
        <is>
          <t>Aaqib Ahmad</t>
        </is>
      </c>
      <c r="F365" s="29" t="inlineStr">
        <is>
          <t>Technology</t>
        </is>
      </c>
      <c r="G365" s="29" t="inlineStr">
        <is>
          <t>Software Engineer</t>
        </is>
      </c>
      <c r="H365" s="29" t="inlineStr">
        <is>
          <t>Senior Software Engineer</t>
        </is>
      </c>
      <c r="I365" s="29" t="inlineStr">
        <is>
          <t>L3 – Professional / Associate</t>
        </is>
      </c>
      <c r="J365" s="29" t="inlineStr">
        <is>
          <t>A3</t>
        </is>
      </c>
      <c r="K365" s="29" t="inlineStr">
        <is>
          <t>▲ Up</t>
        </is>
      </c>
      <c r="L365" s="29" t="inlineStr">
        <is>
          <t>Engineering &amp; Development</t>
        </is>
      </c>
      <c r="M365" s="29" t="inlineStr">
        <is>
          <t>Backend Development</t>
        </is>
      </c>
      <c r="N365" s="29" t="n"/>
      <c r="O365" s="29" t="n">
        <v>20</v>
      </c>
      <c r="P365" s="28" t="inlineStr">
        <is>
          <t>P2</t>
        </is>
      </c>
      <c r="Q365" s="29" t="inlineStr">
        <is>
          <t>Developing</t>
        </is>
      </c>
      <c r="R365" s="29" t="inlineStr">
        <is>
          <t>3 Apply</t>
        </is>
      </c>
      <c r="S365" s="29" t="inlineStr">
        <is>
          <t>2–4 yrs</t>
        </is>
      </c>
      <c r="T365" s="29" t="inlineStr">
        <is>
          <t>3–5 · 2–5</t>
        </is>
      </c>
      <c r="U365" s="29" t="inlineStr">
        <is>
          <t>Software Engineer</t>
        </is>
      </c>
      <c r="V365" s="29" t="inlineStr">
        <is>
          <t>Workiva: SE · Broadridge India: SE · Nasdaq / AxiomSL: SE · Salesforce: MTS · Atlassian: P40 · 3–7 yrs · Freshworks: Senior SE</t>
        </is>
      </c>
      <c r="W365" s="29" t="inlineStr">
        <is>
          <t>SFIA 9 · software development, programming; OWASP secure coding; cloud vendor certifications</t>
        </is>
      </c>
      <c r="X365" s="29" t="inlineStr">
        <is>
          <t>Core 2 · Future 2 · Functional 3 · Leadership not scored</t>
        </is>
      </c>
      <c r="Y365" s="52" t="n">
        <v>277</v>
      </c>
      <c r="Z365" s="53" t="inlineStr">
        <is>
          <t>IRIS2140</t>
        </is>
      </c>
      <c r="AA365" s="53" t="inlineStr">
        <is>
          <t>Employee</t>
        </is>
      </c>
      <c r="AB365" s="53" t="inlineStr">
        <is>
          <t>Active</t>
        </is>
      </c>
      <c r="AC365" s="53" t="inlineStr">
        <is>
          <t>Aaqib Ahmad</t>
        </is>
      </c>
      <c r="AD365" s="54" t="n">
        <v>45082</v>
      </c>
      <c r="AE365" s="53" t="inlineStr">
        <is>
          <t>Software Engineer</t>
        </is>
      </c>
      <c r="AF365" s="53" t="inlineStr">
        <is>
          <t>MSc</t>
        </is>
      </c>
      <c r="AG365" s="53" t="inlineStr">
        <is>
          <t>Nikhil Nalawade</t>
        </is>
      </c>
      <c r="AH365" s="53" t="inlineStr">
        <is>
          <t>N-4</t>
        </is>
      </c>
      <c r="AI365" s="53" t="inlineStr">
        <is>
          <t>Individual Contributor</t>
        </is>
      </c>
      <c r="AJ365" s="53" t="inlineStr">
        <is>
          <t>7 years, 0 months, 0 days</t>
        </is>
      </c>
      <c r="AK365" s="53" t="inlineStr">
        <is>
          <t>3 years, 2 months, 20 days</t>
        </is>
      </c>
      <c r="AL365" s="53" t="inlineStr">
        <is>
          <t>Suptech</t>
        </is>
      </c>
      <c r="AM365" s="53" t="inlineStr">
        <is>
          <t>iFile</t>
        </is>
      </c>
      <c r="AN365" s="53" t="inlineStr">
        <is>
          <t>Technology</t>
        </is>
      </c>
      <c r="AO365" s="53" t="inlineStr">
        <is>
          <t>Development</t>
        </is>
      </c>
      <c r="AP365" s="53" t="inlineStr">
        <is>
          <t>Yes</t>
        </is>
      </c>
      <c r="AQ365" s="53" t="inlineStr">
        <is>
          <t>Product/Project</t>
        </is>
      </c>
      <c r="AR365" s="53" t="inlineStr">
        <is>
          <t>Java</t>
        </is>
      </c>
      <c r="AS365" s="53" t="inlineStr">
        <is>
          <t>Technical - Developer</t>
        </is>
      </c>
      <c r="AT365" s="53" t="n">
        <v>20</v>
      </c>
      <c r="AU365" s="53" t="inlineStr">
        <is>
          <t>Covered</t>
        </is>
      </c>
      <c r="AV365" s="53" t="n"/>
      <c r="AW365" s="53" t="n"/>
      <c r="AX365" s="53" t="n"/>
      <c r="AY365" s="53" t="n"/>
      <c r="AZ365" s="53" t="n"/>
      <c r="BA365" s="53" t="n"/>
      <c r="BB365" s="53" t="n"/>
      <c r="BC365" s="53" t="n"/>
      <c r="BD365" s="53" t="n"/>
      <c r="BE365" s="53" t="n"/>
      <c r="BF365" s="53" t="n"/>
      <c r="BG365" s="53" t="n"/>
      <c r="BH365" s="53" t="n"/>
      <c r="BI365" s="53" t="n"/>
      <c r="BJ365" s="53" t="n"/>
      <c r="BK365" s="53" t="n"/>
      <c r="BL365" s="53" t="n"/>
      <c r="BM365" s="53" t="n"/>
      <c r="BN365" s="53" t="n"/>
      <c r="BO365" s="53" t="n"/>
      <c r="BP365" s="53" t="n"/>
      <c r="BQ365" s="53" t="n"/>
      <c r="BR365" s="53" t="n"/>
      <c r="BS365" s="53" t="n"/>
      <c r="BT365" s="53" t="n"/>
      <c r="BU365" s="53" t="n"/>
      <c r="BV365" s="53" t="n"/>
      <c r="BW365" s="53" t="n"/>
      <c r="BX365" s="53" t="n"/>
      <c r="BY365" s="53" t="n"/>
      <c r="BZ365" s="53" t="n"/>
      <c r="CA365" s="53" t="n"/>
      <c r="CB365" s="53" t="n"/>
      <c r="CC365" s="53" t="n"/>
      <c r="CD365" s="53" t="n"/>
      <c r="CE365" s="53" t="n"/>
      <c r="CF365" s="53" t="n"/>
      <c r="CG365" s="53" t="n"/>
      <c r="CH365" s="53" t="n"/>
      <c r="CI365" s="53" t="n"/>
      <c r="CJ365" s="53" t="n"/>
      <c r="CK365" s="53" t="n"/>
      <c r="CL365" s="53" t="n"/>
      <c r="CM365" s="53" t="n"/>
      <c r="CN365" s="53" t="n"/>
      <c r="CO365" s="53" t="n"/>
      <c r="CP365" s="53" t="n"/>
      <c r="CQ365" s="53" t="n"/>
      <c r="CR365" s="53" t="n"/>
      <c r="CS365" s="53" t="n"/>
      <c r="CT365" s="53" t="n"/>
      <c r="CU365" s="53" t="n"/>
      <c r="CV365" s="53" t="n"/>
      <c r="CW365" s="53" t="n"/>
      <c r="CX365" s="53" t="n"/>
      <c r="CY365" s="53" t="n"/>
      <c r="CZ365" s="53" t="n"/>
      <c r="DA365" s="53" t="n"/>
      <c r="DB365" s="53" t="n"/>
      <c r="DC365" s="53" t="n"/>
      <c r="DD365" s="53" t="inlineStr">
        <is>
          <t>IRIS2140</t>
        </is>
      </c>
      <c r="DE365" s="53" t="inlineStr">
        <is>
          <t>Employee</t>
        </is>
      </c>
      <c r="DF365" s="53" t="inlineStr">
        <is>
          <t>Active</t>
        </is>
      </c>
      <c r="DG365" s="53" t="inlineStr">
        <is>
          <t>Aaqib Ahmad</t>
        </is>
      </c>
      <c r="DH365" s="54" t="n">
        <v>45082</v>
      </c>
      <c r="DI365" s="53" t="inlineStr">
        <is>
          <t>Software Engineer</t>
        </is>
      </c>
      <c r="DJ365" s="53" t="inlineStr">
        <is>
          <t>Engineering &amp; Development</t>
        </is>
      </c>
      <c r="DK365" s="53" t="inlineStr">
        <is>
          <t>Backend Engineering · Java</t>
        </is>
      </c>
      <c r="DL365" s="53" t="inlineStr">
        <is>
          <t>Software Engineer</t>
        </is>
      </c>
      <c r="DM365" s="53" t="inlineStr">
        <is>
          <t>L3 – Professional / Associate</t>
        </is>
      </c>
      <c r="DN365" s="53" t="inlineStr">
        <is>
          <t>MSc</t>
        </is>
      </c>
      <c r="DO365" s="53" t="inlineStr">
        <is>
          <t>Nikhil Nalawade</t>
        </is>
      </c>
      <c r="DP365" s="53" t="inlineStr">
        <is>
          <t>N-3</t>
        </is>
      </c>
      <c r="DQ365" s="53" t="inlineStr">
        <is>
          <t>Individual Contributor</t>
        </is>
      </c>
      <c r="DR365" s="53" t="inlineStr">
        <is>
          <t>7 years, 0 months, 0 days</t>
        </is>
      </c>
      <c r="DS365" s="53" t="inlineStr">
        <is>
          <t>3 years, 0 months, 15 days</t>
        </is>
      </c>
      <c r="DT365" s="53" t="inlineStr">
        <is>
          <t>10 years, 0 months, 15 days</t>
        </is>
      </c>
      <c r="DU365" s="53" t="n"/>
      <c r="DV365" s="53" t="inlineStr">
        <is>
          <t>Suptech</t>
        </is>
      </c>
      <c r="DW365" s="53" t="inlineStr">
        <is>
          <t>iFile</t>
        </is>
      </c>
      <c r="DX365" s="53" t="inlineStr">
        <is>
          <t>Technology</t>
        </is>
      </c>
      <c r="DY365" s="53" t="inlineStr">
        <is>
          <t>Development</t>
        </is>
      </c>
      <c r="DZ365" s="53" t="inlineStr">
        <is>
          <t>Yes</t>
        </is>
      </c>
      <c r="EA365" s="53" t="inlineStr">
        <is>
          <t>Product/Project</t>
        </is>
      </c>
      <c r="EB365" s="53" t="inlineStr">
        <is>
          <t>Java</t>
        </is>
      </c>
      <c r="EC365" s="53" t="inlineStr">
        <is>
          <t>Technical - Developer</t>
        </is>
      </c>
      <c r="ED365" s="53" t="inlineStr">
        <is>
          <t>Remote- Outside Mumbai</t>
        </is>
      </c>
      <c r="EE365" s="53"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EF36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5" s="53" t="n">
        <v>4</v>
      </c>
      <c r="EI365" s="53" t="inlineStr">
        <is>
          <t>Pending</t>
        </is>
      </c>
      <c r="EJ365" s="53" t="inlineStr">
        <is>
          <t>Senior Support Engineer, can be discussed in detail</t>
        </is>
      </c>
      <c r="EK365" s="53"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EL365" s="53" t="n">
        <v>4</v>
      </c>
      <c r="EM365" s="53" t="inlineStr">
        <is>
          <t>Medium</t>
        </is>
      </c>
      <c r="EN365" s="53" t="inlineStr">
        <is>
          <t>Emerging Talent</t>
        </is>
      </c>
      <c r="EO365" s="53" t="inlineStr">
        <is>
          <t>Yes</t>
        </is>
      </c>
      <c r="EP365" s="53" t="inlineStr">
        <is>
          <t>Yes</t>
        </is>
      </c>
      <c r="EQ365" s="53" t="inlineStr">
        <is>
          <t>Yes</t>
        </is>
      </c>
      <c r="ER365" s="53" t="n"/>
      <c r="ES365" s="53"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ET365" s="53" t="n"/>
      <c r="EU365" s="53" t="n"/>
      <c r="EV365" s="53" t="n"/>
      <c r="EW365" s="52" t="n"/>
      <c r="EX365" s="53" t="n"/>
      <c r="EY365" s="53" t="n"/>
      <c r="EZ365" s="53" t="n"/>
      <c r="FA365" s="53" t="n"/>
      <c r="FB365" s="53" t="n"/>
      <c r="FC365" s="53" t="n"/>
      <c r="FD365" s="53" t="n"/>
      <c r="FE36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5" s="56"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FH365" s="56" t="inlineStr">
        <is>
          <t>4</t>
        </is>
      </c>
      <c r="FI365" s="56" t="n"/>
      <c r="FJ365" s="56" t="inlineStr">
        <is>
          <t>Received · manager annual, quarterly, self</t>
        </is>
      </c>
      <c r="FK365" s="56" t="inlineStr">
        <is>
          <t>Talent Mapping · iFile collated</t>
        </is>
      </c>
      <c r="FL365" s="56" t="n">
        <v>20</v>
      </c>
      <c r="FM365" s="32" t="inlineStr">
        <is>
          <t>Full survey answers not in the files received · How We Grow export needed · HR</t>
        </is>
      </c>
      <c r="FN365" s="56" t="inlineStr">
        <is>
          <t>—</t>
        </is>
      </c>
      <c r="FO365" s="56" t="inlineStr">
        <is>
          <t>—</t>
        </is>
      </c>
      <c r="FP365" s="56" t="inlineStr">
        <is>
          <t>—</t>
        </is>
      </c>
      <c r="FQ365" s="56" t="inlineStr">
        <is>
          <t>—</t>
        </is>
      </c>
      <c r="FR365" s="56"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data silently corrupts downstream reports → moved up 0.5
Leadership: Evidence reads like A1: No guidance of others described → matches the start
Business Impact: Moved +0.5: the survey / manager mapping marks it business-critical.</t>
        </is>
      </c>
      <c r="FS36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5" s="56"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FU365" s="32" t="inlineStr">
        <is>
          <t>Full survey answers not in the files received · How We Grow export needed · HR</t>
        </is>
      </c>
    </row>
    <row r="366" ht="90" customHeight="1">
      <c r="A366" s="51" t="inlineStr">
        <is>
          <t>◂ Back</t>
        </is>
      </c>
      <c r="B366" s="29" t="inlineStr">
        <is>
          <t>Mapped</t>
        </is>
      </c>
      <c r="C366" s="28" t="inlineStr">
        <is>
          <t>iFile</t>
        </is>
      </c>
      <c r="D366" s="29" t="inlineStr">
        <is>
          <t>IRIS2488</t>
        </is>
      </c>
      <c r="E366" s="29" t="inlineStr">
        <is>
          <t>Ajay Chauhan</t>
        </is>
      </c>
      <c r="F366" s="29" t="inlineStr">
        <is>
          <t>Technology</t>
        </is>
      </c>
      <c r="G366" s="29" t="inlineStr">
        <is>
          <t>Software Engineer</t>
        </is>
      </c>
      <c r="H366" s="29" t="inlineStr">
        <is>
          <t>Senior Software Engineer</t>
        </is>
      </c>
      <c r="I366" s="29" t="inlineStr">
        <is>
          <t>L3 – Professional / Associate</t>
        </is>
      </c>
      <c r="J366" s="29" t="inlineStr">
        <is>
          <t>A3</t>
        </is>
      </c>
      <c r="K366" s="29" t="inlineStr">
        <is>
          <t>▲ Up</t>
        </is>
      </c>
      <c r="L366" s="29" t="inlineStr">
        <is>
          <t>Engineering &amp; Development</t>
        </is>
      </c>
      <c r="M366" s="29" t="inlineStr">
        <is>
          <t>Backend Development</t>
        </is>
      </c>
      <c r="N366" s="29" t="n"/>
      <c r="O366" s="29" t="n">
        <v>20</v>
      </c>
      <c r="P366" s="28" t="inlineStr">
        <is>
          <t>P2</t>
        </is>
      </c>
      <c r="Q366" s="29" t="inlineStr">
        <is>
          <t>Developing</t>
        </is>
      </c>
      <c r="R366" s="29" t="inlineStr">
        <is>
          <t>3 Apply</t>
        </is>
      </c>
      <c r="S366" s="29" t="inlineStr">
        <is>
          <t>2–4 yrs</t>
        </is>
      </c>
      <c r="T366" s="29" t="inlineStr">
        <is>
          <t>3–5 · 2–5</t>
        </is>
      </c>
      <c r="U366" s="29" t="inlineStr">
        <is>
          <t>Software Engineer</t>
        </is>
      </c>
      <c r="V366" s="29" t="inlineStr">
        <is>
          <t>Workiva: SE · Broadridge India: SE · Nasdaq / AxiomSL: SE · Salesforce: MTS · Atlassian: P40 · 3–7 yrs · Freshworks: Senior SE</t>
        </is>
      </c>
      <c r="W366" s="29" t="inlineStr">
        <is>
          <t>SFIA 9 · software development, programming; OWASP secure coding; cloud vendor certifications</t>
        </is>
      </c>
      <c r="X366" s="29" t="inlineStr">
        <is>
          <t>Core 2 · Future 2 · Functional 3 · Leadership not scored</t>
        </is>
      </c>
      <c r="Y366" s="52" t="n">
        <v>461</v>
      </c>
      <c r="Z366" s="53" t="inlineStr">
        <is>
          <t>IRIS2488</t>
        </is>
      </c>
      <c r="AA366" s="53" t="inlineStr">
        <is>
          <t>Employee</t>
        </is>
      </c>
      <c r="AB366" s="53" t="inlineStr">
        <is>
          <t>Active</t>
        </is>
      </c>
      <c r="AC366" s="53" t="inlineStr">
        <is>
          <t>Ajay Chauhan</t>
        </is>
      </c>
      <c r="AD366" s="54" t="n">
        <v>46086</v>
      </c>
      <c r="AE366" s="53" t="inlineStr">
        <is>
          <t>Software Engineer</t>
        </is>
      </c>
      <c r="AF366" s="53" t="inlineStr">
        <is>
          <t>Post Graduation/ B.E</t>
        </is>
      </c>
      <c r="AG366" s="53" t="inlineStr">
        <is>
          <t>Nikhil Nalawade</t>
        </is>
      </c>
      <c r="AH366" s="53" t="inlineStr">
        <is>
          <t>N-4</t>
        </is>
      </c>
      <c r="AI366" s="53" t="inlineStr">
        <is>
          <t>Individual Contributor</t>
        </is>
      </c>
      <c r="AJ366" s="53" t="inlineStr">
        <is>
          <t>4 years, 1 months, 0 days</t>
        </is>
      </c>
      <c r="AK366" s="53" t="inlineStr">
        <is>
          <t>0 years, 5 months, 20 days</t>
        </is>
      </c>
      <c r="AL366" s="53" t="inlineStr">
        <is>
          <t>Suptech</t>
        </is>
      </c>
      <c r="AM366" s="53" t="inlineStr">
        <is>
          <t>iFile</t>
        </is>
      </c>
      <c r="AN366" s="53" t="inlineStr">
        <is>
          <t>Technology</t>
        </is>
      </c>
      <c r="AO366" s="53" t="inlineStr">
        <is>
          <t>Development</t>
        </is>
      </c>
      <c r="AP366" s="53" t="inlineStr">
        <is>
          <t>Yes</t>
        </is>
      </c>
      <c r="AQ366" s="53" t="inlineStr">
        <is>
          <t>Product/Project</t>
        </is>
      </c>
      <c r="AR366" s="53" t="inlineStr">
        <is>
          <t>Java</t>
        </is>
      </c>
      <c r="AS366" s="53" t="inlineStr">
        <is>
          <t>Technical - Developer</t>
        </is>
      </c>
      <c r="AT366" s="53" t="n">
        <v>20</v>
      </c>
      <c r="AU366" s="53" t="inlineStr">
        <is>
          <t>Covered</t>
        </is>
      </c>
      <c r="AV366" s="53" t="n"/>
      <c r="AW366" s="53" t="n"/>
      <c r="AX366" s="53" t="n"/>
      <c r="AY366" s="53" t="n"/>
      <c r="AZ366" s="53" t="n"/>
      <c r="BA366" s="53" t="n"/>
      <c r="BB366" s="53" t="n"/>
      <c r="BC366" s="53" t="n"/>
      <c r="BD366" s="53" t="n"/>
      <c r="BE366" s="53" t="n"/>
      <c r="BF366" s="53" t="n"/>
      <c r="BG366" s="53" t="n"/>
      <c r="BH366" s="53" t="n"/>
      <c r="BI366" s="53" t="n"/>
      <c r="BJ366" s="53" t="n"/>
      <c r="BK366" s="53" t="n"/>
      <c r="BL366" s="53" t="n"/>
      <c r="BM366" s="53" t="n"/>
      <c r="BN366" s="53" t="n"/>
      <c r="BO366" s="53" t="n"/>
      <c r="BP366" s="53" t="n"/>
      <c r="BQ366" s="53" t="n"/>
      <c r="BR366" s="53" t="n"/>
      <c r="BS366" s="53" t="n"/>
      <c r="BT366" s="53" t="n"/>
      <c r="BU366" s="53" t="n"/>
      <c r="BV366" s="53" t="n"/>
      <c r="BW366" s="53" t="n"/>
      <c r="BX366" s="53" t="n"/>
      <c r="BY366" s="53" t="n"/>
      <c r="BZ366" s="53" t="n"/>
      <c r="CA366" s="53" t="n"/>
      <c r="CB366" s="53" t="n"/>
      <c r="CC366" s="53" t="n"/>
      <c r="CD366" s="53" t="n"/>
      <c r="CE366" s="53" t="n"/>
      <c r="CF366" s="53" t="n"/>
      <c r="CG366" s="53" t="n"/>
      <c r="CH366" s="53" t="n"/>
      <c r="CI366" s="53" t="n"/>
      <c r="CJ366" s="53" t="n"/>
      <c r="CK366" s="53" t="n"/>
      <c r="CL366" s="53" t="n"/>
      <c r="CM366" s="53" t="n"/>
      <c r="CN366" s="53" t="n"/>
      <c r="CO366" s="53" t="n"/>
      <c r="CP366" s="53" t="n"/>
      <c r="CQ366" s="53" t="n"/>
      <c r="CR366" s="53" t="n"/>
      <c r="CS366" s="53" t="n"/>
      <c r="CT366" s="53" t="n"/>
      <c r="CU366" s="53" t="n"/>
      <c r="CV366" s="53" t="n"/>
      <c r="CW366" s="53" t="n"/>
      <c r="CX366" s="53" t="n"/>
      <c r="CY366" s="53" t="n"/>
      <c r="CZ366" s="53" t="n"/>
      <c r="DA366" s="53" t="n"/>
      <c r="DB366" s="53" t="n"/>
      <c r="DC366" s="53" t="n"/>
      <c r="DD366" s="53" t="inlineStr">
        <is>
          <t>IRIS2488</t>
        </is>
      </c>
      <c r="DE366" s="53" t="inlineStr">
        <is>
          <t>Employee</t>
        </is>
      </c>
      <c r="DF366" s="53" t="inlineStr">
        <is>
          <t>Active</t>
        </is>
      </c>
      <c r="DG366" s="53" t="inlineStr">
        <is>
          <t>Ajay Chauhan</t>
        </is>
      </c>
      <c r="DH366" s="54" t="n">
        <v>46086</v>
      </c>
      <c r="DI366" s="53" t="inlineStr">
        <is>
          <t>Software Engineer</t>
        </is>
      </c>
      <c r="DJ366" s="53" t="inlineStr">
        <is>
          <t>Engineering &amp; Development</t>
        </is>
      </c>
      <c r="DK366" s="53" t="inlineStr">
        <is>
          <t>Backend Engineering · Java</t>
        </is>
      </c>
      <c r="DL366" s="53" t="inlineStr">
        <is>
          <t>Software Engineer</t>
        </is>
      </c>
      <c r="DM366" s="53" t="inlineStr">
        <is>
          <t>L3 – Professional / Associate</t>
        </is>
      </c>
      <c r="DN366" s="53" t="inlineStr">
        <is>
          <t>Post Graduation/ B.E</t>
        </is>
      </c>
      <c r="DO366" s="53" t="inlineStr">
        <is>
          <t>Nikhil Nalawade</t>
        </is>
      </c>
      <c r="DP366" s="53" t="inlineStr">
        <is>
          <t>N-3</t>
        </is>
      </c>
      <c r="DQ366" s="53" t="inlineStr">
        <is>
          <t>Individual Contributor</t>
        </is>
      </c>
      <c r="DR366" s="53" t="inlineStr">
        <is>
          <t>4 years, 1 months, 0 days</t>
        </is>
      </c>
      <c r="DS366" s="53" t="inlineStr">
        <is>
          <t>0 years, 3 months, 15 days</t>
        </is>
      </c>
      <c r="DT366" s="53" t="inlineStr">
        <is>
          <t>4 years, 4 months, 15 days</t>
        </is>
      </c>
      <c r="DU366" s="53" t="n"/>
      <c r="DV366" s="53" t="inlineStr">
        <is>
          <t>Suptech</t>
        </is>
      </c>
      <c r="DW366" s="53" t="inlineStr">
        <is>
          <t>iFile</t>
        </is>
      </c>
      <c r="DX366" s="53" t="inlineStr">
        <is>
          <t>Technology</t>
        </is>
      </c>
      <c r="DY366" s="53" t="inlineStr">
        <is>
          <t>Development</t>
        </is>
      </c>
      <c r="DZ366" s="53" t="inlineStr">
        <is>
          <t>Yes</t>
        </is>
      </c>
      <c r="EA366" s="53" t="inlineStr">
        <is>
          <t>Product/Project</t>
        </is>
      </c>
      <c r="EB366" s="53" t="inlineStr">
        <is>
          <t>Java</t>
        </is>
      </c>
      <c r="EC366" s="53" t="inlineStr">
        <is>
          <t>Technical - Developer</t>
        </is>
      </c>
      <c r="ED366" s="53" t="inlineStr">
        <is>
          <t>Work From Office - Turbhe</t>
        </is>
      </c>
      <c r="EE366"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6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6" s="53" t="n">
        <v>2</v>
      </c>
      <c r="EI366" s="53" t="inlineStr">
        <is>
          <t>Pending</t>
        </is>
      </c>
      <c r="EJ366" s="53" t="inlineStr">
        <is>
          <t>Software Engineer</t>
        </is>
      </c>
      <c r="EK366" s="53" t="inlineStr">
        <is>
          <t>No</t>
        </is>
      </c>
      <c r="EL366" s="53" t="n">
        <v>2</v>
      </c>
      <c r="EM366" s="53" t="inlineStr">
        <is>
          <t>Low</t>
        </is>
      </c>
      <c r="EN366" s="53" t="inlineStr">
        <is>
          <t>Reliable Specialist</t>
        </is>
      </c>
      <c r="EO366" s="53" t="inlineStr">
        <is>
          <t>No</t>
        </is>
      </c>
      <c r="EP366" s="53" t="inlineStr">
        <is>
          <t>No</t>
        </is>
      </c>
      <c r="EQ366" s="53" t="inlineStr">
        <is>
          <t>No</t>
        </is>
      </c>
      <c r="ER366" s="53" t="inlineStr">
        <is>
          <t>Not Yet</t>
        </is>
      </c>
      <c r="ES366"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66" s="53" t="n"/>
      <c r="EU366" s="53" t="n"/>
      <c r="EV366" s="53" t="n"/>
      <c r="EW366" s="52" t="n"/>
      <c r="EX366" s="53" t="n"/>
      <c r="EY366" s="53" t="n"/>
      <c r="EZ366" s="53" t="n"/>
      <c r="FA366" s="53" t="n"/>
      <c r="FB366" s="53" t="n"/>
      <c r="FC366" s="53" t="n"/>
      <c r="FD366" s="53" t="n"/>
      <c r="FE36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6"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66" s="56" t="inlineStr">
        <is>
          <t>2</t>
        </is>
      </c>
      <c r="FI366" s="56" t="n"/>
      <c r="FJ366" s="56" t="inlineStr">
        <is>
          <t>Received · manager annual, quarterly, self</t>
        </is>
      </c>
      <c r="FK366" s="56" t="inlineStr">
        <is>
          <t>Talent Mapping · iFile collated</t>
        </is>
      </c>
      <c r="FL366" s="56" t="n">
        <v>20</v>
      </c>
      <c r="FM366" s="32" t="inlineStr">
        <is>
          <t>Full survey answers not in the files received · How We Grow export needed · HR</t>
        </is>
      </c>
      <c r="FN366" s="56" t="inlineStr">
        <is>
          <t>—</t>
        </is>
      </c>
      <c r="FO366" s="56" t="inlineStr">
        <is>
          <t>—</t>
        </is>
      </c>
      <c r="FP366" s="56" t="inlineStr">
        <is>
          <t>—</t>
        </is>
      </c>
      <c r="FQ366" s="56" t="inlineStr">
        <is>
          <t>—</t>
        </is>
      </c>
      <c r="FR366" s="56"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Evidence reads like A1: No guidance of others described → matches the start
Business Impact: No survey or manager-mapping signal on criticality: kept at the start point.</t>
        </is>
      </c>
      <c r="FS36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6" s="56" t="inlineStr">
        <is>
          <t>Self-identified: Technical depth &amp; architecture
For the next role: Technical depth &amp; architecture</t>
        </is>
      </c>
      <c r="FU366" s="32" t="inlineStr">
        <is>
          <t>Full survey answers not in the files received · How We Grow export needed · HR</t>
        </is>
      </c>
    </row>
    <row r="367" ht="90" customHeight="1">
      <c r="A367" s="51" t="inlineStr">
        <is>
          <t>◂ Back</t>
        </is>
      </c>
      <c r="B367" s="29" t="inlineStr">
        <is>
          <t>Mapped</t>
        </is>
      </c>
      <c r="C367" s="28" t="inlineStr">
        <is>
          <t>iFile</t>
        </is>
      </c>
      <c r="D367" s="29" t="inlineStr">
        <is>
          <t>IRIS2469</t>
        </is>
      </c>
      <c r="E367" s="29" t="inlineStr">
        <is>
          <t>Amiz Azad</t>
        </is>
      </c>
      <c r="F367" s="29" t="inlineStr">
        <is>
          <t>Technology</t>
        </is>
      </c>
      <c r="G367" s="29" t="inlineStr">
        <is>
          <t>Senior Software Engineer</t>
        </is>
      </c>
      <c r="H367" s="29" t="inlineStr">
        <is>
          <t>Senior Software Engineer</t>
        </is>
      </c>
      <c r="I367" s="29" t="inlineStr">
        <is>
          <t>L4 – Senior</t>
        </is>
      </c>
      <c r="J367" s="29" t="inlineStr">
        <is>
          <t>A3</t>
        </is>
      </c>
      <c r="K367" s="29" t="inlineStr">
        <is>
          <t>• Same level</t>
        </is>
      </c>
      <c r="L367" s="29" t="inlineStr">
        <is>
          <t>Engineering &amp; Development</t>
        </is>
      </c>
      <c r="M367" s="29" t="inlineStr">
        <is>
          <t>Backend Development</t>
        </is>
      </c>
      <c r="N367" s="29" t="n"/>
      <c r="O367" s="29" t="n">
        <v>20</v>
      </c>
      <c r="P367" s="28" t="inlineStr">
        <is>
          <t>P2</t>
        </is>
      </c>
      <c r="Q367" s="29" t="inlineStr">
        <is>
          <t>Developing</t>
        </is>
      </c>
      <c r="R367" s="29" t="inlineStr">
        <is>
          <t>3 Apply</t>
        </is>
      </c>
      <c r="S367" s="29" t="inlineStr">
        <is>
          <t>2–4 yrs</t>
        </is>
      </c>
      <c r="T367" s="29" t="inlineStr">
        <is>
          <t>3–5 · 2–5</t>
        </is>
      </c>
      <c r="U367" s="29" t="inlineStr">
        <is>
          <t>Software Engineer</t>
        </is>
      </c>
      <c r="V367" s="29" t="inlineStr">
        <is>
          <t>Workiva: SE · Broadridge India: SE · Nasdaq / AxiomSL: SE · Salesforce: MTS · Atlassian: P40 · 3–7 yrs · Freshworks: Senior SE</t>
        </is>
      </c>
      <c r="W367" s="29" t="inlineStr">
        <is>
          <t>SFIA 9 · software development, programming; OWASP secure coding; cloud vendor certifications</t>
        </is>
      </c>
      <c r="X367" s="29" t="inlineStr">
        <is>
          <t>Core 2 · Future 2 · Functional 3 · Leadership not scored</t>
        </is>
      </c>
      <c r="Y367" s="52" t="n">
        <v>443</v>
      </c>
      <c r="Z367" s="53" t="inlineStr">
        <is>
          <t>IRIS2469</t>
        </is>
      </c>
      <c r="AA367" s="53" t="inlineStr">
        <is>
          <t>Employee</t>
        </is>
      </c>
      <c r="AB367" s="53" t="inlineStr">
        <is>
          <t>Active</t>
        </is>
      </c>
      <c r="AC367" s="53" t="inlineStr">
        <is>
          <t>Amiz Azad</t>
        </is>
      </c>
      <c r="AD367" s="54" t="n">
        <v>46055</v>
      </c>
      <c r="AE367" s="53" t="inlineStr">
        <is>
          <t>Senior Software Engineer</t>
        </is>
      </c>
      <c r="AF367" s="53" t="inlineStr">
        <is>
          <t>B.E</t>
        </is>
      </c>
      <c r="AG367" s="53" t="inlineStr">
        <is>
          <t>Nikhil Nalawade</t>
        </is>
      </c>
      <c r="AH367" s="53" t="inlineStr">
        <is>
          <t>N-4</t>
        </is>
      </c>
      <c r="AI367" s="53" t="inlineStr">
        <is>
          <t>Individual Contributor</t>
        </is>
      </c>
      <c r="AJ367" s="53" t="inlineStr">
        <is>
          <t>6 years, 0 months, 0 days</t>
        </is>
      </c>
      <c r="AK367" s="53" t="inlineStr">
        <is>
          <t>0 years, 6 months, 23 days</t>
        </is>
      </c>
      <c r="AL367" s="53" t="inlineStr">
        <is>
          <t>Suptech</t>
        </is>
      </c>
      <c r="AM367" s="53" t="inlineStr">
        <is>
          <t>iFile</t>
        </is>
      </c>
      <c r="AN367" s="53" t="inlineStr">
        <is>
          <t>Technology</t>
        </is>
      </c>
      <c r="AO367" s="53" t="inlineStr">
        <is>
          <t>Development</t>
        </is>
      </c>
      <c r="AP367" s="53" t="inlineStr">
        <is>
          <t>Yes</t>
        </is>
      </c>
      <c r="AQ367" s="53" t="inlineStr">
        <is>
          <t>Product/Project</t>
        </is>
      </c>
      <c r="AR367" s="53" t="inlineStr">
        <is>
          <t>Java</t>
        </is>
      </c>
      <c r="AS367" s="53" t="inlineStr">
        <is>
          <t>Technical - Developer</t>
        </is>
      </c>
      <c r="AT367" s="53" t="n">
        <v>20</v>
      </c>
      <c r="AU367" s="53" t="inlineStr">
        <is>
          <t>Covered</t>
        </is>
      </c>
      <c r="AV367" s="53" t="n"/>
      <c r="AW367" s="53" t="n"/>
      <c r="AX367" s="53" t="n"/>
      <c r="AY367" s="53" t="n"/>
      <c r="AZ367" s="53" t="n"/>
      <c r="BA367" s="53" t="n"/>
      <c r="BB367" s="53" t="n"/>
      <c r="BC367" s="53" t="n"/>
      <c r="BD367" s="53" t="n"/>
      <c r="BE367" s="53" t="n"/>
      <c r="BF367" s="53" t="n"/>
      <c r="BG367" s="53" t="n"/>
      <c r="BH367" s="53" t="n"/>
      <c r="BI367" s="53" t="n"/>
      <c r="BJ367" s="53" t="n"/>
      <c r="BK367" s="53" t="n"/>
      <c r="BL367" s="53" t="n"/>
      <c r="BM367" s="53" t="n"/>
      <c r="BN367" s="53" t="n"/>
      <c r="BO367" s="53" t="n"/>
      <c r="BP367" s="53" t="n"/>
      <c r="BQ367" s="53" t="n"/>
      <c r="BR367" s="53" t="n"/>
      <c r="BS367" s="53" t="n"/>
      <c r="BT367" s="53" t="n"/>
      <c r="BU367" s="53" t="n"/>
      <c r="BV367" s="53" t="n"/>
      <c r="BW367" s="53" t="n"/>
      <c r="BX367" s="53" t="n"/>
      <c r="BY367" s="53" t="n"/>
      <c r="BZ367" s="53" t="n"/>
      <c r="CA367" s="53" t="n"/>
      <c r="CB367" s="53" t="n"/>
      <c r="CC367" s="53" t="n"/>
      <c r="CD367" s="53" t="n"/>
      <c r="CE367" s="53" t="n"/>
      <c r="CF367" s="53" t="n"/>
      <c r="CG367" s="53" t="n"/>
      <c r="CH367" s="53" t="n"/>
      <c r="CI367" s="53" t="n"/>
      <c r="CJ367" s="53" t="n"/>
      <c r="CK367" s="53" t="n"/>
      <c r="CL367" s="53" t="n"/>
      <c r="CM367" s="53" t="n"/>
      <c r="CN367" s="53" t="n"/>
      <c r="CO367" s="53" t="n"/>
      <c r="CP367" s="53" t="n"/>
      <c r="CQ367" s="53" t="n"/>
      <c r="CR367" s="53" t="n"/>
      <c r="CS367" s="53" t="n"/>
      <c r="CT367" s="53" t="n"/>
      <c r="CU367" s="53" t="n"/>
      <c r="CV367" s="53" t="n"/>
      <c r="CW367" s="53" t="n"/>
      <c r="CX367" s="53" t="n"/>
      <c r="CY367" s="53" t="n"/>
      <c r="CZ367" s="53" t="n"/>
      <c r="DA367" s="53" t="n"/>
      <c r="DB367" s="53" t="n"/>
      <c r="DC367" s="53" t="n"/>
      <c r="DD367" s="53" t="inlineStr">
        <is>
          <t>IRIS2469</t>
        </is>
      </c>
      <c r="DE367" s="53" t="inlineStr">
        <is>
          <t>Employee</t>
        </is>
      </c>
      <c r="DF367" s="53" t="inlineStr">
        <is>
          <t>Active</t>
        </is>
      </c>
      <c r="DG367" s="53" t="inlineStr">
        <is>
          <t>Amiz Azad</t>
        </is>
      </c>
      <c r="DH367" s="54" t="n">
        <v>46055</v>
      </c>
      <c r="DI367" s="53" t="inlineStr">
        <is>
          <t>Senior Software Engineer</t>
        </is>
      </c>
      <c r="DJ367" s="53" t="inlineStr">
        <is>
          <t>Engineering &amp; Development</t>
        </is>
      </c>
      <c r="DK367" s="53" t="inlineStr">
        <is>
          <t>Backend Engineering · Java</t>
        </is>
      </c>
      <c r="DL367" s="53" t="inlineStr">
        <is>
          <t>Senior Software Engineer</t>
        </is>
      </c>
      <c r="DM367" s="53" t="inlineStr">
        <is>
          <t>L4 – Senior</t>
        </is>
      </c>
      <c r="DN367" s="53" t="inlineStr">
        <is>
          <t>B.E</t>
        </is>
      </c>
      <c r="DO367" s="53" t="inlineStr">
        <is>
          <t>Nikhil Nalawade</t>
        </is>
      </c>
      <c r="DP367" s="53" t="inlineStr">
        <is>
          <t>N-3</t>
        </is>
      </c>
      <c r="DQ367" s="53" t="inlineStr">
        <is>
          <t>Individual Contributor</t>
        </is>
      </c>
      <c r="DR367" s="53" t="inlineStr">
        <is>
          <t>6 years, 0 months, 0 days</t>
        </is>
      </c>
      <c r="DS367" s="53" t="inlineStr">
        <is>
          <t>0 years, 4 months, 18 days</t>
        </is>
      </c>
      <c r="DT367" s="53" t="inlineStr">
        <is>
          <t>6 years, 4 months, 18 days</t>
        </is>
      </c>
      <c r="DU367" s="53" t="n"/>
      <c r="DV367" s="53" t="inlineStr">
        <is>
          <t>Suptech</t>
        </is>
      </c>
      <c r="DW367" s="53" t="inlineStr">
        <is>
          <t>iFile</t>
        </is>
      </c>
      <c r="DX367" s="53" t="inlineStr">
        <is>
          <t>Technology</t>
        </is>
      </c>
      <c r="DY367" s="53" t="inlineStr">
        <is>
          <t>Development</t>
        </is>
      </c>
      <c r="DZ367" s="53" t="inlineStr">
        <is>
          <t>Yes</t>
        </is>
      </c>
      <c r="EA367" s="53" t="inlineStr">
        <is>
          <t>Product/Project</t>
        </is>
      </c>
      <c r="EB367" s="53" t="inlineStr">
        <is>
          <t>Java</t>
        </is>
      </c>
      <c r="EC367" s="53" t="inlineStr">
        <is>
          <t>Technical - Developer</t>
        </is>
      </c>
      <c r="ED367" s="53" t="inlineStr">
        <is>
          <t>Work From Office - Turbhe</t>
        </is>
      </c>
      <c r="EE367"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6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7" s="53" t="n">
        <v>4</v>
      </c>
      <c r="EI367" s="53" t="inlineStr">
        <is>
          <t>Pending</t>
        </is>
      </c>
      <c r="EJ367" s="53" t="inlineStr">
        <is>
          <t>Senior Software Engineer</t>
        </is>
      </c>
      <c r="EK367" s="53" t="inlineStr">
        <is>
          <t>No</t>
        </is>
      </c>
      <c r="EL367" s="53" t="n">
        <v>4</v>
      </c>
      <c r="EM367" s="53" t="inlineStr">
        <is>
          <t>High</t>
        </is>
      </c>
      <c r="EN367" s="53" t="inlineStr">
        <is>
          <t>Future Leader</t>
        </is>
      </c>
      <c r="EO367" s="53" t="inlineStr">
        <is>
          <t>No</t>
        </is>
      </c>
      <c r="EP367" s="53" t="inlineStr">
        <is>
          <t>Yes</t>
        </is>
      </c>
      <c r="EQ367" s="53" t="inlineStr">
        <is>
          <t>Yes</t>
        </is>
      </c>
      <c r="ER367" s="53" t="n"/>
      <c r="ES367"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67" s="53" t="n"/>
      <c r="EU367" s="53"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c r="EV367" s="53" t="n"/>
      <c r="EW367" s="52" t="n"/>
      <c r="EX367" s="53" t="n"/>
      <c r="EY367" s="53" t="n"/>
      <c r="EZ367" s="53" t="n"/>
      <c r="FA367" s="53" t="n"/>
      <c r="FB367" s="53" t="n"/>
      <c r="FC367" s="53" t="n"/>
      <c r="FD367" s="53" t="n"/>
      <c r="FE36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7"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67" s="56" t="inlineStr">
        <is>
          <t>4</t>
        </is>
      </c>
      <c r="FI367" s="56" t="n"/>
      <c r="FJ367" s="56" t="inlineStr">
        <is>
          <t>Received · manager annual, quarterly, self</t>
        </is>
      </c>
      <c r="FK367" s="56" t="inlineStr">
        <is>
          <t>Talent Mapping · iFile collated</t>
        </is>
      </c>
      <c r="FL367" s="56" t="n">
        <v>20</v>
      </c>
      <c r="FM367" s="32" t="inlineStr">
        <is>
          <t>Full survey answers not in the files received · How We Grow export needed · HR</t>
        </is>
      </c>
      <c r="FN367" s="56" t="inlineStr">
        <is>
          <t>—</t>
        </is>
      </c>
      <c r="FO367" s="56" t="inlineStr">
        <is>
          <t>—</t>
        </is>
      </c>
      <c r="FP367" s="56" t="inlineStr">
        <is>
          <t>—</t>
        </is>
      </c>
      <c r="FQ367" s="56" t="inlineStr">
        <is>
          <t>—</t>
        </is>
      </c>
      <c r="FR367" s="56"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Production-ready features and their impact on existing functionality; resolves production issues → matches the start
Leadership: Evidence reads like A3: Code review is a named responsibility; no mentoring or team lead described → moved up 0.5
Business Impact: Moved +0.5: the survey / manager mapping marks it business-critical.</t>
        </is>
      </c>
      <c r="FS36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7" s="56" t="inlineStr">
        <is>
          <t>Self-identified: Product &amp; tool knowledge
For the next role: Product &amp; tool knowledge</t>
        </is>
      </c>
      <c r="FU367" s="32" t="inlineStr">
        <is>
          <t>Full survey answers not in the files received · How We Grow export needed · HR</t>
        </is>
      </c>
    </row>
    <row r="368" ht="90" customHeight="1">
      <c r="A368" s="51" t="inlineStr">
        <is>
          <t>◂ Back</t>
        </is>
      </c>
      <c r="B368" s="29" t="inlineStr">
        <is>
          <t>Mapped</t>
        </is>
      </c>
      <c r="C368" s="28" t="inlineStr">
        <is>
          <t>iFile</t>
        </is>
      </c>
      <c r="D368" s="29" t="inlineStr">
        <is>
          <t>IRIS1787</t>
        </is>
      </c>
      <c r="E368" s="29" t="inlineStr">
        <is>
          <t>Ateef Ansari</t>
        </is>
      </c>
      <c r="F368" s="29" t="inlineStr">
        <is>
          <t>Technology</t>
        </is>
      </c>
      <c r="G368" s="29" t="inlineStr">
        <is>
          <t>Senior Software Engineer</t>
        </is>
      </c>
      <c r="H368" s="29" t="inlineStr">
        <is>
          <t>Technical Specialist</t>
        </is>
      </c>
      <c r="I368" s="29" t="inlineStr">
        <is>
          <t>L4 – Senior</t>
        </is>
      </c>
      <c r="J368" s="29" t="inlineStr">
        <is>
          <t>A3</t>
        </is>
      </c>
      <c r="K368" s="29" t="inlineStr">
        <is>
          <t>▲ Up</t>
        </is>
      </c>
      <c r="L368" s="29" t="inlineStr">
        <is>
          <t>Engineering &amp; Development</t>
        </is>
      </c>
      <c r="M368" s="29" t="inlineStr">
        <is>
          <t>Full-Stack Development</t>
        </is>
      </c>
      <c r="N368" s="29" t="n"/>
      <c r="O368" s="29" t="n">
        <v>20</v>
      </c>
      <c r="P368" s="28" t="inlineStr">
        <is>
          <t>P2</t>
        </is>
      </c>
      <c r="Q368" s="29" t="inlineStr">
        <is>
          <t>Developing</t>
        </is>
      </c>
      <c r="R368" s="29" t="inlineStr">
        <is>
          <t>3 Apply</t>
        </is>
      </c>
      <c r="S368" s="29" t="inlineStr">
        <is>
          <t>2–4 yrs</t>
        </is>
      </c>
      <c r="T368" s="29" t="inlineStr">
        <is>
          <t>3–5 · 2–5</t>
        </is>
      </c>
      <c r="U368" s="29" t="inlineStr">
        <is>
          <t>Senior Software Engineer</t>
        </is>
      </c>
      <c r="V368" s="29" t="inlineStr">
        <is>
          <t>Workiva: SE · Broadridge India: SE · Nasdaq / AxiomSL: SE · Salesforce: MTS · Atlassian: P40 · 3–7 yrs · Freshworks: Senior SE</t>
        </is>
      </c>
      <c r="W368" s="29" t="inlineStr">
        <is>
          <t>SFIA 9 · software development, programming; OWASP secure coding; cloud vendor certifications</t>
        </is>
      </c>
      <c r="X368" s="29" t="inlineStr">
        <is>
          <t>Core 2 · Future 2 · Functional 3 · Leadership not scored</t>
        </is>
      </c>
      <c r="Y368" s="52" t="n">
        <v>156</v>
      </c>
      <c r="Z368" s="53" t="inlineStr">
        <is>
          <t>IRIS1787</t>
        </is>
      </c>
      <c r="AA368" s="53" t="inlineStr">
        <is>
          <t>Employee</t>
        </is>
      </c>
      <c r="AB368" s="53" t="inlineStr">
        <is>
          <t>Active</t>
        </is>
      </c>
      <c r="AC368" s="53" t="inlineStr">
        <is>
          <t>Ateef Ansari</t>
        </is>
      </c>
      <c r="AD368" s="54" t="n">
        <v>43619</v>
      </c>
      <c r="AE368" s="53" t="inlineStr">
        <is>
          <t>Senior Software Engineer</t>
        </is>
      </c>
      <c r="AF368" s="53" t="inlineStr">
        <is>
          <t>B.E</t>
        </is>
      </c>
      <c r="AG368" s="53" t="inlineStr">
        <is>
          <t>Nikhil Nalawade</t>
        </is>
      </c>
      <c r="AH368" s="53" t="inlineStr">
        <is>
          <t>N-4</t>
        </is>
      </c>
      <c r="AI368" s="53" t="inlineStr">
        <is>
          <t>Individual Contributor</t>
        </is>
      </c>
      <c r="AJ368" s="53" t="inlineStr">
        <is>
          <t>0 years, 0 months, 0 days</t>
        </is>
      </c>
      <c r="AK368" s="53" t="inlineStr">
        <is>
          <t>7 years, 2 months, 22 days</t>
        </is>
      </c>
      <c r="AL368" s="53" t="inlineStr">
        <is>
          <t>Suptech</t>
        </is>
      </c>
      <c r="AM368" s="53" t="inlineStr">
        <is>
          <t>iFile</t>
        </is>
      </c>
      <c r="AN368" s="53" t="inlineStr">
        <is>
          <t>Technology</t>
        </is>
      </c>
      <c r="AO368" s="53" t="inlineStr">
        <is>
          <t>Development</t>
        </is>
      </c>
      <c r="AP368" s="53" t="inlineStr">
        <is>
          <t>Yes</t>
        </is>
      </c>
      <c r="AQ368" s="53" t="inlineStr">
        <is>
          <t>Product/Project</t>
        </is>
      </c>
      <c r="AR368" s="53" t="inlineStr">
        <is>
          <t>Java</t>
        </is>
      </c>
      <c r="AS368" s="53" t="inlineStr">
        <is>
          <t>Technical - Developer</t>
        </is>
      </c>
      <c r="AT368" s="53" t="n">
        <v>20</v>
      </c>
      <c r="AU368" s="53" t="inlineStr">
        <is>
          <t>Covered</t>
        </is>
      </c>
      <c r="AV368" s="53" t="n"/>
      <c r="AW368" s="53" t="n"/>
      <c r="AX368" s="53" t="n"/>
      <c r="AY368" s="53" t="n"/>
      <c r="AZ368" s="53" t="n"/>
      <c r="BA368" s="53" t="n"/>
      <c r="BB368" s="53" t="n"/>
      <c r="BC368" s="53" t="n"/>
      <c r="BD368" s="53" t="n"/>
      <c r="BE368" s="53" t="n"/>
      <c r="BF368" s="53" t="n"/>
      <c r="BG368" s="53" t="n"/>
      <c r="BH368" s="53" t="n"/>
      <c r="BI368" s="53" t="n"/>
      <c r="BJ368" s="53" t="n"/>
      <c r="BK368" s="53" t="n"/>
      <c r="BL368" s="53" t="n"/>
      <c r="BM368" s="53" t="n"/>
      <c r="BN368" s="53" t="n"/>
      <c r="BO368" s="53" t="n"/>
      <c r="BP368" s="53" t="n"/>
      <c r="BQ368" s="53" t="n"/>
      <c r="BR368" s="53" t="n"/>
      <c r="BS368" s="53" t="n"/>
      <c r="BT368" s="53" t="n"/>
      <c r="BU368" s="53" t="n"/>
      <c r="BV368" s="53" t="n"/>
      <c r="BW368" s="53" t="n"/>
      <c r="BX368" s="53" t="n"/>
      <c r="BY368" s="53" t="n"/>
      <c r="BZ368" s="53" t="n"/>
      <c r="CA368" s="53" t="n"/>
      <c r="CB368" s="53" t="n"/>
      <c r="CC368" s="53" t="n"/>
      <c r="CD368" s="53" t="n"/>
      <c r="CE368" s="53" t="n"/>
      <c r="CF368" s="53" t="n"/>
      <c r="CG368" s="53" t="n"/>
      <c r="CH368" s="53" t="n"/>
      <c r="CI368" s="53" t="n"/>
      <c r="CJ368" s="53" t="n"/>
      <c r="CK368" s="53" t="n"/>
      <c r="CL368" s="53" t="n"/>
      <c r="CM368" s="53" t="n"/>
      <c r="CN368" s="53" t="n"/>
      <c r="CO368" s="53" t="n"/>
      <c r="CP368" s="53" t="n"/>
      <c r="CQ368" s="53" t="n"/>
      <c r="CR368" s="53" t="n"/>
      <c r="CS368" s="53" t="n"/>
      <c r="CT368" s="53" t="n"/>
      <c r="CU368" s="53" t="n"/>
      <c r="CV368" s="53" t="n"/>
      <c r="CW368" s="53" t="n"/>
      <c r="CX368" s="53" t="n"/>
      <c r="CY368" s="53" t="n"/>
      <c r="CZ368" s="53" t="n"/>
      <c r="DA368" s="53" t="n"/>
      <c r="DB368" s="53" t="n"/>
      <c r="DC368" s="53" t="n"/>
      <c r="DD368" s="53" t="inlineStr">
        <is>
          <t>IRIS1787</t>
        </is>
      </c>
      <c r="DE368" s="53" t="inlineStr">
        <is>
          <t>Employee</t>
        </is>
      </c>
      <c r="DF368" s="53" t="inlineStr">
        <is>
          <t>Active</t>
        </is>
      </c>
      <c r="DG368" s="53" t="inlineStr">
        <is>
          <t>Ateef Ansari</t>
        </is>
      </c>
      <c r="DH368" s="54" t="n">
        <v>43619</v>
      </c>
      <c r="DI368" s="53" t="inlineStr">
        <is>
          <t>Senior Software Engineer</t>
        </is>
      </c>
      <c r="DJ368" s="53" t="inlineStr">
        <is>
          <t>Engineering &amp; Development</t>
        </is>
      </c>
      <c r="DK368" s="53" t="inlineStr">
        <is>
          <t>Backend Engineering · Java</t>
        </is>
      </c>
      <c r="DL368" s="53" t="inlineStr">
        <is>
          <t>Senior Software Engineer</t>
        </is>
      </c>
      <c r="DM368" s="53" t="inlineStr">
        <is>
          <t>L4 – Senior</t>
        </is>
      </c>
      <c r="DN368" s="53" t="inlineStr">
        <is>
          <t>B.E</t>
        </is>
      </c>
      <c r="DO368" s="53" t="inlineStr">
        <is>
          <t>Nikhil Nalawade</t>
        </is>
      </c>
      <c r="DP368" s="53" t="inlineStr">
        <is>
          <t>N-3</t>
        </is>
      </c>
      <c r="DQ368" s="53" t="inlineStr">
        <is>
          <t>Individual Contributor</t>
        </is>
      </c>
      <c r="DR368" s="53" t="inlineStr">
        <is>
          <t>0 years, 0 months, 0 days</t>
        </is>
      </c>
      <c r="DS368" s="53" t="inlineStr">
        <is>
          <t>7 years, 0 months, 17 days</t>
        </is>
      </c>
      <c r="DT368" s="53" t="inlineStr">
        <is>
          <t>7 years, 0 months, 17 days</t>
        </is>
      </c>
      <c r="DU368" s="53" t="n"/>
      <c r="DV368" s="53" t="inlineStr">
        <is>
          <t>Suptech</t>
        </is>
      </c>
      <c r="DW368" s="53" t="inlineStr">
        <is>
          <t>iFile</t>
        </is>
      </c>
      <c r="DX368" s="53" t="inlineStr">
        <is>
          <t>Technology</t>
        </is>
      </c>
      <c r="DY368" s="53" t="inlineStr">
        <is>
          <t>Development</t>
        </is>
      </c>
      <c r="DZ368" s="53" t="inlineStr">
        <is>
          <t>Yes</t>
        </is>
      </c>
      <c r="EA368" s="53" t="inlineStr">
        <is>
          <t>Product/Project</t>
        </is>
      </c>
      <c r="EB368" s="53" t="inlineStr">
        <is>
          <t>Java</t>
        </is>
      </c>
      <c r="EC368" s="53" t="inlineStr">
        <is>
          <t>Technical - Developer</t>
        </is>
      </c>
      <c r="ED368" s="53" t="inlineStr">
        <is>
          <t>Hybrid</t>
        </is>
      </c>
      <c r="EE368"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6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8" s="53" t="n">
        <v>4</v>
      </c>
      <c r="EI368" s="53" t="inlineStr">
        <is>
          <t>Pending</t>
        </is>
      </c>
      <c r="EJ368" s="53" t="inlineStr">
        <is>
          <t>Senior Software Engineer</t>
        </is>
      </c>
      <c r="EK368" s="53" t="n"/>
      <c r="EL368" s="53" t="n">
        <v>4</v>
      </c>
      <c r="EM368" s="53" t="inlineStr">
        <is>
          <t>High</t>
        </is>
      </c>
      <c r="EN368" s="53" t="inlineStr">
        <is>
          <t>Trusted Professional</t>
        </is>
      </c>
      <c r="EO368" s="53" t="inlineStr">
        <is>
          <t>No</t>
        </is>
      </c>
      <c r="EP368" s="53" t="inlineStr">
        <is>
          <t>Yes</t>
        </is>
      </c>
      <c r="EQ368" s="53" t="inlineStr">
        <is>
          <t>Yes</t>
        </is>
      </c>
      <c r="ER368" s="53" t="inlineStr">
        <is>
          <t>Shubham Shrikhande</t>
        </is>
      </c>
      <c r="ES368"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68" s="53" t="n"/>
      <c r="EU368" s="53" t="inlineStr">
        <is>
          <t>Need to discuss his career roadmap and align on future growth opportunities. He should focus on improving discipline, consistency, and ownership to prepare for higher responsibilities and leadership roles.</t>
        </is>
      </c>
      <c r="EV368" s="53" t="n"/>
      <c r="EW368" s="52" t="n"/>
      <c r="EX368" s="53" t="n"/>
      <c r="EY368" s="53" t="n"/>
      <c r="EZ368" s="53" t="n"/>
      <c r="FA368" s="53" t="n"/>
      <c r="FB368" s="53" t="n"/>
      <c r="FC368" s="53" t="n"/>
      <c r="FD368" s="53" t="n"/>
      <c r="FE36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8"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68" s="56" t="inlineStr">
        <is>
          <t>4</t>
        </is>
      </c>
      <c r="FI368" s="56" t="n"/>
      <c r="FJ368" s="56" t="inlineStr">
        <is>
          <t>Received · manager annual, quarterly, self</t>
        </is>
      </c>
      <c r="FK368" s="56" t="inlineStr">
        <is>
          <t>Talent Mapping · iFile collated</t>
        </is>
      </c>
      <c r="FL368" s="56" t="n">
        <v>20</v>
      </c>
      <c r="FM368" s="32" t="inlineStr">
        <is>
          <t>Full survey answers not in the files received · How We Grow export needed · HR</t>
        </is>
      </c>
      <c r="FN368" s="56" t="inlineStr">
        <is>
          <t>—</t>
        </is>
      </c>
      <c r="FO368" s="56" t="inlineStr">
        <is>
          <t>—</t>
        </is>
      </c>
      <c r="FP368" s="56" t="inlineStr">
        <is>
          <t>—</t>
        </is>
      </c>
      <c r="FQ368" s="56" t="inlineStr">
        <is>
          <t>—</t>
        </is>
      </c>
      <c r="FR368" s="56"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client-side and product teams on timing → matches the start
Leadership: Evidence reads like A3: Mentoring members is a listed responsibility; no team size given → moved up 0.5
Business Impact: Moved +0.5: the survey / manager mapping marks it business-critical.</t>
        </is>
      </c>
      <c r="FS368"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68" s="56" t="inlineStr">
        <is>
          <t>Self-identified: Technical depth &amp; architecture · Client, sales &amp; stakeholders · Strategy &amp; business acumen · Certification / formal course · Broader exposure &amp; ownership
For the next role: Technical depth &amp; architecture · Client, sales &amp; stakeholders · Strategy &amp; business acumen · Certification / formal course · Broader exposure &amp; ownership</t>
        </is>
      </c>
      <c r="FU368" s="32" t="inlineStr">
        <is>
          <t>Full survey answers not in the files received · How We Grow export needed · HR</t>
        </is>
      </c>
    </row>
    <row r="369" ht="90" customHeight="1">
      <c r="A369" s="51" t="inlineStr">
        <is>
          <t>◂ Back</t>
        </is>
      </c>
      <c r="B369" s="29" t="inlineStr">
        <is>
          <t>Mapped</t>
        </is>
      </c>
      <c r="C369" s="28" t="inlineStr">
        <is>
          <t>iFile</t>
        </is>
      </c>
      <c r="D369" s="29" t="inlineStr">
        <is>
          <t>IRIS2436</t>
        </is>
      </c>
      <c r="E369" s="29" t="inlineStr">
        <is>
          <t>Balram Mahato</t>
        </is>
      </c>
      <c r="F369" s="29" t="inlineStr">
        <is>
          <t>Technology</t>
        </is>
      </c>
      <c r="G369" s="29" t="inlineStr">
        <is>
          <t>Software Engineer</t>
        </is>
      </c>
      <c r="H369" s="29" t="inlineStr">
        <is>
          <t>Senior Software Engineer</t>
        </is>
      </c>
      <c r="I369" s="29" t="inlineStr">
        <is>
          <t>L3 – Professional / Associate</t>
        </is>
      </c>
      <c r="J369" s="29" t="inlineStr">
        <is>
          <t>A3</t>
        </is>
      </c>
      <c r="K369" s="29" t="inlineStr">
        <is>
          <t>▲ Up</t>
        </is>
      </c>
      <c r="L369" s="29" t="inlineStr">
        <is>
          <t>Engineering &amp; Development</t>
        </is>
      </c>
      <c r="M369" s="29" t="inlineStr">
        <is>
          <t>Backend Development</t>
        </is>
      </c>
      <c r="N369" s="29" t="n"/>
      <c r="O369" s="29" t="n">
        <v>20</v>
      </c>
      <c r="P369" s="28" t="inlineStr">
        <is>
          <t>P2</t>
        </is>
      </c>
      <c r="Q369" s="29" t="inlineStr">
        <is>
          <t>Developing</t>
        </is>
      </c>
      <c r="R369" s="29" t="inlineStr">
        <is>
          <t>3 Apply</t>
        </is>
      </c>
      <c r="S369" s="29" t="inlineStr">
        <is>
          <t>2–4 yrs</t>
        </is>
      </c>
      <c r="T369" s="29" t="inlineStr">
        <is>
          <t>3–5 · 2–5</t>
        </is>
      </c>
      <c r="U369" s="29" t="inlineStr">
        <is>
          <t>Software Engineer</t>
        </is>
      </c>
      <c r="V369" s="29" t="inlineStr">
        <is>
          <t>Workiva: SE · Broadridge India: SE · Nasdaq / AxiomSL: SE · Salesforce: MTS · Atlassian: P40 · 3–7 yrs · Freshworks: Senior SE</t>
        </is>
      </c>
      <c r="W369" s="29" t="inlineStr">
        <is>
          <t>SFIA 9 · software development, programming; OWASP secure coding; cloud vendor certifications</t>
        </is>
      </c>
      <c r="X369" s="29" t="inlineStr">
        <is>
          <t>Core 2 · Future 2 · Functional 3 · Leadership not scored</t>
        </is>
      </c>
      <c r="Y369" s="52" t="n">
        <v>404</v>
      </c>
      <c r="Z369" s="53" t="inlineStr">
        <is>
          <t>IRIS2436</t>
        </is>
      </c>
      <c r="AA369" s="53" t="inlineStr">
        <is>
          <t>Employee</t>
        </is>
      </c>
      <c r="AB369" s="53" t="inlineStr">
        <is>
          <t>Active</t>
        </is>
      </c>
      <c r="AC369" s="53" t="inlineStr">
        <is>
          <t>Balram Mahato</t>
        </is>
      </c>
      <c r="AD369" s="54" t="n">
        <v>45936</v>
      </c>
      <c r="AE369" s="53" t="inlineStr">
        <is>
          <t>Software Engineer</t>
        </is>
      </c>
      <c r="AF369" s="53" t="inlineStr">
        <is>
          <t>B.E</t>
        </is>
      </c>
      <c r="AG369" s="53" t="inlineStr">
        <is>
          <t>Nikhil Nalawade</t>
        </is>
      </c>
      <c r="AH369" s="53" t="inlineStr">
        <is>
          <t>N-4</t>
        </is>
      </c>
      <c r="AI369" s="53" t="inlineStr">
        <is>
          <t>Individual Contributor</t>
        </is>
      </c>
      <c r="AJ369" s="53" t="inlineStr">
        <is>
          <t>3 years, 4 months, 00 days</t>
        </is>
      </c>
      <c r="AK369" s="53" t="inlineStr">
        <is>
          <t>0 years, 10 months, 19 days</t>
        </is>
      </c>
      <c r="AL369" s="53" t="inlineStr">
        <is>
          <t>Suptech</t>
        </is>
      </c>
      <c r="AM369" s="53" t="inlineStr">
        <is>
          <t>iFile</t>
        </is>
      </c>
      <c r="AN369" s="53" t="inlineStr">
        <is>
          <t>Technology</t>
        </is>
      </c>
      <c r="AO369" s="53" t="inlineStr">
        <is>
          <t>Development</t>
        </is>
      </c>
      <c r="AP369" s="53" t="inlineStr">
        <is>
          <t>Yes</t>
        </is>
      </c>
      <c r="AQ369" s="53" t="inlineStr">
        <is>
          <t>Product/Project</t>
        </is>
      </c>
      <c r="AR369" s="53" t="inlineStr">
        <is>
          <t>Java</t>
        </is>
      </c>
      <c r="AS369" s="53" t="inlineStr">
        <is>
          <t>Technical - Developer</t>
        </is>
      </c>
      <c r="AT369" s="53" t="n">
        <v>20</v>
      </c>
      <c r="AU369" s="53" t="inlineStr">
        <is>
          <t>Covered</t>
        </is>
      </c>
      <c r="AV369" s="53" t="n"/>
      <c r="AW369" s="53" t="n"/>
      <c r="AX369" s="53" t="n"/>
      <c r="AY369" s="53" t="n"/>
      <c r="AZ369" s="53" t="n"/>
      <c r="BA369" s="53" t="n"/>
      <c r="BB369" s="53" t="n"/>
      <c r="BC369" s="53" t="n"/>
      <c r="BD369" s="53" t="n"/>
      <c r="BE369" s="53" t="n"/>
      <c r="BF369" s="53" t="n"/>
      <c r="BG369" s="53" t="n"/>
      <c r="BH369" s="53" t="n"/>
      <c r="BI369" s="53" t="n"/>
      <c r="BJ369" s="53" t="n"/>
      <c r="BK369" s="53" t="n"/>
      <c r="BL369" s="53" t="n"/>
      <c r="BM369" s="53" t="n"/>
      <c r="BN369" s="53" t="n"/>
      <c r="BO369" s="53" t="n"/>
      <c r="BP369" s="53" t="n"/>
      <c r="BQ369" s="53" t="n"/>
      <c r="BR369" s="53" t="n"/>
      <c r="BS369" s="53" t="n"/>
      <c r="BT369" s="53" t="n"/>
      <c r="BU369" s="53" t="n"/>
      <c r="BV369" s="53" t="n"/>
      <c r="BW369" s="53" t="n"/>
      <c r="BX369" s="53" t="n"/>
      <c r="BY369" s="53" t="n"/>
      <c r="BZ369" s="53" t="n"/>
      <c r="CA369" s="53" t="n"/>
      <c r="CB369" s="53" t="n"/>
      <c r="CC369" s="53" t="n"/>
      <c r="CD369" s="53" t="n"/>
      <c r="CE369" s="53" t="n"/>
      <c r="CF369" s="53" t="n"/>
      <c r="CG369" s="53" t="n"/>
      <c r="CH369" s="53" t="n"/>
      <c r="CI369" s="53" t="n"/>
      <c r="CJ369" s="53" t="n"/>
      <c r="CK369" s="53" t="n"/>
      <c r="CL369" s="53" t="n"/>
      <c r="CM369" s="53" t="n"/>
      <c r="CN369" s="53" t="n"/>
      <c r="CO369" s="53" t="n"/>
      <c r="CP369" s="53" t="n"/>
      <c r="CQ369" s="53" t="n"/>
      <c r="CR369" s="53" t="n"/>
      <c r="CS369" s="53" t="n"/>
      <c r="CT369" s="53" t="n"/>
      <c r="CU369" s="53" t="n"/>
      <c r="CV369" s="53" t="n"/>
      <c r="CW369" s="53" t="n"/>
      <c r="CX369" s="53" t="n"/>
      <c r="CY369" s="53" t="n"/>
      <c r="CZ369" s="53" t="n"/>
      <c r="DA369" s="53" t="n"/>
      <c r="DB369" s="53" t="n"/>
      <c r="DC369" s="53" t="n"/>
      <c r="DD369" s="53" t="inlineStr">
        <is>
          <t>IRIS2436</t>
        </is>
      </c>
      <c r="DE369" s="53" t="inlineStr">
        <is>
          <t>Employee</t>
        </is>
      </c>
      <c r="DF369" s="53" t="inlineStr">
        <is>
          <t>Active</t>
        </is>
      </c>
      <c r="DG369" s="53" t="inlineStr">
        <is>
          <t>Balram Mahato</t>
        </is>
      </c>
      <c r="DH369" s="54" t="n">
        <v>45936</v>
      </c>
      <c r="DI369" s="53" t="inlineStr">
        <is>
          <t>Software Engineer</t>
        </is>
      </c>
      <c r="DJ369" s="53" t="inlineStr">
        <is>
          <t>Engineering &amp; Development</t>
        </is>
      </c>
      <c r="DK369" s="53" t="inlineStr">
        <is>
          <t>Backend Engineering · Java</t>
        </is>
      </c>
      <c r="DL369" s="53" t="inlineStr">
        <is>
          <t>Software Engineer</t>
        </is>
      </c>
      <c r="DM369" s="53" t="inlineStr">
        <is>
          <t>L3 – Professional / Associate</t>
        </is>
      </c>
      <c r="DN369" s="53" t="inlineStr">
        <is>
          <t>B.E</t>
        </is>
      </c>
      <c r="DO369" s="53" t="inlineStr">
        <is>
          <t>Nikhil Nalawade</t>
        </is>
      </c>
      <c r="DP369" s="53" t="inlineStr">
        <is>
          <t>N-3</t>
        </is>
      </c>
      <c r="DQ369" s="53" t="inlineStr">
        <is>
          <t>Individual Contributor</t>
        </is>
      </c>
      <c r="DR369" s="53" t="inlineStr">
        <is>
          <t>3 years, 4 months, 00 days</t>
        </is>
      </c>
      <c r="DS369" s="53" t="inlineStr">
        <is>
          <t>0 years, 8 months, 14 days</t>
        </is>
      </c>
      <c r="DT369" s="53" t="inlineStr">
        <is>
          <t>4 years, 0 months, 14 days</t>
        </is>
      </c>
      <c r="DU369" s="53" t="n"/>
      <c r="DV369" s="53" t="inlineStr">
        <is>
          <t>Suptech</t>
        </is>
      </c>
      <c r="DW369" s="53" t="inlineStr">
        <is>
          <t>iFile</t>
        </is>
      </c>
      <c r="DX369" s="53" t="inlineStr">
        <is>
          <t>Technology</t>
        </is>
      </c>
      <c r="DY369" s="53" t="inlineStr">
        <is>
          <t>Development</t>
        </is>
      </c>
      <c r="DZ369" s="53" t="inlineStr">
        <is>
          <t>Yes</t>
        </is>
      </c>
      <c r="EA369" s="53" t="inlineStr">
        <is>
          <t>Product/Project</t>
        </is>
      </c>
      <c r="EB369" s="53" t="inlineStr">
        <is>
          <t>Java</t>
        </is>
      </c>
      <c r="EC369" s="53" t="inlineStr">
        <is>
          <t>Technical - Developer</t>
        </is>
      </c>
      <c r="ED369" s="53" t="inlineStr">
        <is>
          <t>Work From Office - Turbhe</t>
        </is>
      </c>
      <c r="EE369"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6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9" s="53" t="n">
        <v>4</v>
      </c>
      <c r="EI369" s="53" t="inlineStr">
        <is>
          <t>Pending</t>
        </is>
      </c>
      <c r="EJ369" s="53" t="inlineStr">
        <is>
          <t>Software Engineer</t>
        </is>
      </c>
      <c r="EK369" s="53" t="inlineStr">
        <is>
          <t>No</t>
        </is>
      </c>
      <c r="EL369" s="53" t="n">
        <v>4</v>
      </c>
      <c r="EM369" s="53" t="inlineStr">
        <is>
          <t>High</t>
        </is>
      </c>
      <c r="EN369" s="53" t="inlineStr">
        <is>
          <t>Trusted Professional</t>
        </is>
      </c>
      <c r="EO369" s="53" t="inlineStr">
        <is>
          <t>No</t>
        </is>
      </c>
      <c r="EP369" s="53" t="inlineStr">
        <is>
          <t>No</t>
        </is>
      </c>
      <c r="EQ369" s="53" t="inlineStr">
        <is>
          <t>No</t>
        </is>
      </c>
      <c r="ER369" s="53" t="inlineStr">
        <is>
          <t>Not Yet</t>
        </is>
      </c>
      <c r="ES369"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69" s="53" t="n"/>
      <c r="EU369" s="53" t="n"/>
      <c r="EV369" s="53" t="n"/>
      <c r="EW369" s="52" t="n"/>
      <c r="EX369" s="53" t="n"/>
      <c r="EY369" s="53" t="n"/>
      <c r="EZ369" s="53" t="n"/>
      <c r="FA369" s="53" t="n"/>
      <c r="FB369" s="53" t="n"/>
      <c r="FC369" s="53" t="n"/>
      <c r="FD369" s="53" t="n"/>
      <c r="FE36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9"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69" s="56" t="inlineStr">
        <is>
          <t>4</t>
        </is>
      </c>
      <c r="FI369" s="56" t="n"/>
      <c r="FJ369" s="56" t="inlineStr">
        <is>
          <t>Received · manager annual, quarterly, self</t>
        </is>
      </c>
      <c r="FK369" s="56" t="inlineStr">
        <is>
          <t>Talent Mapping · iFile collated</t>
        </is>
      </c>
      <c r="FL369" s="56" t="n">
        <v>20</v>
      </c>
      <c r="FM369" s="32" t="inlineStr">
        <is>
          <t>Full survey answers not in the files received · How We Grow export needed · HR</t>
        </is>
      </c>
      <c r="FN369" s="56" t="inlineStr">
        <is>
          <t>—</t>
        </is>
      </c>
      <c r="FO369" s="56" t="inlineStr">
        <is>
          <t>—</t>
        </is>
      </c>
      <c r="FP369" s="56" t="inlineStr">
        <is>
          <t>—</t>
        </is>
      </c>
      <c r="FQ369" s="56" t="inlineStr">
        <is>
          <t>—</t>
        </is>
      </c>
      <c r="FR369" s="56"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like A1: No guidance of others described → matches the start
Business Impact: No survey or manager-mapping signal on criticality: kept at the start point.</t>
        </is>
      </c>
      <c r="FS36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9" s="56" t="inlineStr">
        <is>
          <t>Self-identified: Technical depth &amp; architecture
For the next role: Technical depth &amp; architecture</t>
        </is>
      </c>
      <c r="FU369" s="32" t="inlineStr">
        <is>
          <t>Full survey answers not in the files received · How We Grow export needed · HR</t>
        </is>
      </c>
    </row>
    <row r="370" ht="90" customHeight="1">
      <c r="A370" s="51" t="inlineStr">
        <is>
          <t>◂ Back</t>
        </is>
      </c>
      <c r="B370" s="29" t="inlineStr">
        <is>
          <t>Mapped</t>
        </is>
      </c>
      <c r="C370" s="28" t="inlineStr">
        <is>
          <t>iFile</t>
        </is>
      </c>
      <c r="D370" s="29" t="inlineStr">
        <is>
          <t>IRIS1906</t>
        </is>
      </c>
      <c r="E370" s="29" t="inlineStr">
        <is>
          <t>Gaurav Ghare</t>
        </is>
      </c>
      <c r="F370" s="29" t="inlineStr">
        <is>
          <t>Technology</t>
        </is>
      </c>
      <c r="G370" s="29" t="inlineStr">
        <is>
          <t>Senior Software Engineer</t>
        </is>
      </c>
      <c r="H370" s="29" t="inlineStr">
        <is>
          <t>Senior Software Engineer</t>
        </is>
      </c>
      <c r="I370" s="29" t="inlineStr">
        <is>
          <t>L4 – Senior</t>
        </is>
      </c>
      <c r="J370" s="29" t="inlineStr">
        <is>
          <t>A3</t>
        </is>
      </c>
      <c r="K370" s="29" t="inlineStr">
        <is>
          <t>• Same level</t>
        </is>
      </c>
      <c r="L370" s="29" t="inlineStr">
        <is>
          <t>Engineering &amp; Development</t>
        </is>
      </c>
      <c r="M370" s="29" t="inlineStr">
        <is>
          <t>Backend Development</t>
        </is>
      </c>
      <c r="N370" s="29" t="n"/>
      <c r="O370" s="29" t="n">
        <v>19</v>
      </c>
      <c r="P370" s="28" t="inlineStr">
        <is>
          <t>P2</t>
        </is>
      </c>
      <c r="Q370" s="29" t="inlineStr">
        <is>
          <t>Developing</t>
        </is>
      </c>
      <c r="R370" s="29" t="inlineStr">
        <is>
          <t>3 Apply</t>
        </is>
      </c>
      <c r="S370" s="29" t="inlineStr">
        <is>
          <t>2–4 yrs</t>
        </is>
      </c>
      <c r="T370" s="29" t="inlineStr">
        <is>
          <t>3–5 · 2–5</t>
        </is>
      </c>
      <c r="U370" s="29" t="inlineStr">
        <is>
          <t>Software Engineer</t>
        </is>
      </c>
      <c r="V370" s="29" t="inlineStr">
        <is>
          <t>Workiva: SE · Broadridge India: SE · Nasdaq / AxiomSL: SE · Salesforce: MTS · Atlassian: P40 · 3–7 yrs · Freshworks: Senior SE</t>
        </is>
      </c>
      <c r="W370" s="29" t="inlineStr">
        <is>
          <t>SFIA 9 · software development, programming; OWASP secure coding; cloud vendor certifications</t>
        </is>
      </c>
      <c r="X370" s="29" t="inlineStr">
        <is>
          <t>Core 2 · Future 2 · Functional 3 · Leadership not scored</t>
        </is>
      </c>
      <c r="Y370" s="52" t="n">
        <v>178</v>
      </c>
      <c r="Z370" s="53" t="inlineStr">
        <is>
          <t>IRIS1906</t>
        </is>
      </c>
      <c r="AA370" s="53" t="inlineStr">
        <is>
          <t>Employee</t>
        </is>
      </c>
      <c r="AB370" s="53" t="inlineStr">
        <is>
          <t>Active</t>
        </is>
      </c>
      <c r="AC370" s="53" t="inlineStr">
        <is>
          <t>Gaurav Ghare</t>
        </is>
      </c>
      <c r="AD370" s="54" t="n">
        <v>44315</v>
      </c>
      <c r="AE370" s="53" t="inlineStr">
        <is>
          <t>Senior Software Engineer</t>
        </is>
      </c>
      <c r="AF370" s="53" t="inlineStr">
        <is>
          <t>B.E</t>
        </is>
      </c>
      <c r="AG370" s="53" t="inlineStr">
        <is>
          <t>Nikhil Nalawade</t>
        </is>
      </c>
      <c r="AH370" s="53" t="inlineStr">
        <is>
          <t>N-4</t>
        </is>
      </c>
      <c r="AI370" s="53" t="inlineStr">
        <is>
          <t>Individual Contributor</t>
        </is>
      </c>
      <c r="AJ370" s="53" t="inlineStr">
        <is>
          <t>4 years, 0 months, 0 days</t>
        </is>
      </c>
      <c r="AK370" s="53" t="inlineStr">
        <is>
          <t>5 years, 3 months, 27 days</t>
        </is>
      </c>
      <c r="AL370" s="53" t="inlineStr">
        <is>
          <t>Suptech</t>
        </is>
      </c>
      <c r="AM370" s="53" t="inlineStr">
        <is>
          <t>iFile</t>
        </is>
      </c>
      <c r="AN370" s="53" t="inlineStr">
        <is>
          <t>Technology</t>
        </is>
      </c>
      <c r="AO370" s="53" t="inlineStr">
        <is>
          <t>Development</t>
        </is>
      </c>
      <c r="AP370" s="53" t="inlineStr">
        <is>
          <t>Yes</t>
        </is>
      </c>
      <c r="AQ370" s="53" t="inlineStr">
        <is>
          <t>Product/Project</t>
        </is>
      </c>
      <c r="AR370" s="53" t="inlineStr">
        <is>
          <t>Java</t>
        </is>
      </c>
      <c r="AS370" s="53" t="inlineStr">
        <is>
          <t>Technical - Developer</t>
        </is>
      </c>
      <c r="AT370" s="53" t="n">
        <v>20</v>
      </c>
      <c r="AU370" s="53" t="inlineStr">
        <is>
          <t>Covered</t>
        </is>
      </c>
      <c r="AV370" s="53" t="n"/>
      <c r="AW370" s="53" t="n"/>
      <c r="AX370" s="53" t="n"/>
      <c r="AY370" s="53" t="n"/>
      <c r="AZ370" s="53" t="n"/>
      <c r="BA370" s="53" t="n"/>
      <c r="BB370" s="53" t="n"/>
      <c r="BC370" s="53" t="n"/>
      <c r="BD370" s="53" t="n"/>
      <c r="BE370" s="53" t="n"/>
      <c r="BF370" s="53" t="n"/>
      <c r="BG370" s="53" t="n"/>
      <c r="BH370" s="53" t="n"/>
      <c r="BI370" s="53" t="n"/>
      <c r="BJ370" s="53" t="n"/>
      <c r="BK370" s="53" t="n"/>
      <c r="BL370" s="53" t="n"/>
      <c r="BM370" s="53" t="n"/>
      <c r="BN370" s="53" t="n"/>
      <c r="BO370" s="53" t="n"/>
      <c r="BP370" s="53" t="n"/>
      <c r="BQ370" s="53" t="n"/>
      <c r="BR370" s="53" t="n"/>
      <c r="BS370" s="53" t="n"/>
      <c r="BT370" s="53" t="n"/>
      <c r="BU370" s="53" t="n"/>
      <c r="BV370" s="53" t="n"/>
      <c r="BW370" s="53" t="n"/>
      <c r="BX370" s="53" t="n"/>
      <c r="BY370" s="53" t="n"/>
      <c r="BZ370" s="53" t="n"/>
      <c r="CA370" s="53" t="n"/>
      <c r="CB370" s="53" t="n"/>
      <c r="CC370" s="53" t="n"/>
      <c r="CD370" s="53" t="n"/>
      <c r="CE370" s="53" t="n"/>
      <c r="CF370" s="53" t="n"/>
      <c r="CG370" s="53" t="n"/>
      <c r="CH370" s="53" t="n"/>
      <c r="CI370" s="53" t="n"/>
      <c r="CJ370" s="53" t="n"/>
      <c r="CK370" s="53" t="n"/>
      <c r="CL370" s="53" t="n"/>
      <c r="CM370" s="53" t="n"/>
      <c r="CN370" s="53" t="n"/>
      <c r="CO370" s="53" t="n"/>
      <c r="CP370" s="53" t="n"/>
      <c r="CQ370" s="53" t="n"/>
      <c r="CR370" s="53" t="n"/>
      <c r="CS370" s="53" t="n"/>
      <c r="CT370" s="53" t="n"/>
      <c r="CU370" s="53" t="n"/>
      <c r="CV370" s="53" t="n"/>
      <c r="CW370" s="53" t="n"/>
      <c r="CX370" s="53" t="n"/>
      <c r="CY370" s="53" t="n"/>
      <c r="CZ370" s="53" t="n"/>
      <c r="DA370" s="53" t="n"/>
      <c r="DB370" s="53" t="n"/>
      <c r="DC370" s="53" t="n"/>
      <c r="DD370" s="53" t="inlineStr">
        <is>
          <t>IRIS1906</t>
        </is>
      </c>
      <c r="DE370" s="53" t="inlineStr">
        <is>
          <t>Employee</t>
        </is>
      </c>
      <c r="DF370" s="53" t="inlineStr">
        <is>
          <t>Active</t>
        </is>
      </c>
      <c r="DG370" s="53" t="inlineStr">
        <is>
          <t>Gaurav Ghare</t>
        </is>
      </c>
      <c r="DH370" s="54" t="n">
        <v>44315</v>
      </c>
      <c r="DI370" s="53" t="inlineStr">
        <is>
          <t>Senior Software Engineer</t>
        </is>
      </c>
      <c r="DJ370" s="53" t="inlineStr">
        <is>
          <t>Engineering &amp; Development</t>
        </is>
      </c>
      <c r="DK370" s="53" t="inlineStr">
        <is>
          <t>Backend Engineering · Java</t>
        </is>
      </c>
      <c r="DL370" s="53" t="inlineStr">
        <is>
          <t>Senior Software Engineer</t>
        </is>
      </c>
      <c r="DM370" s="53" t="inlineStr">
        <is>
          <t>L4 – Senior</t>
        </is>
      </c>
      <c r="DN370" s="53" t="inlineStr">
        <is>
          <t>B.E</t>
        </is>
      </c>
      <c r="DO370" s="53" t="inlineStr">
        <is>
          <t>Nikhil Nalawade</t>
        </is>
      </c>
      <c r="DP370" s="53" t="inlineStr">
        <is>
          <t>N-3</t>
        </is>
      </c>
      <c r="DQ370" s="53" t="inlineStr">
        <is>
          <t>Individual Contributor</t>
        </is>
      </c>
      <c r="DR370" s="53" t="inlineStr">
        <is>
          <t>4 years, 0 months, 0 days</t>
        </is>
      </c>
      <c r="DS370" s="53" t="inlineStr">
        <is>
          <t>5 years, 1 months, 22 days</t>
        </is>
      </c>
      <c r="DT370" s="53" t="inlineStr">
        <is>
          <t>9 years, 1 months, 22 days</t>
        </is>
      </c>
      <c r="DU370" s="53" t="n"/>
      <c r="DV370" s="53" t="inlineStr">
        <is>
          <t>Suptech</t>
        </is>
      </c>
      <c r="DW370" s="53" t="inlineStr">
        <is>
          <t>iFile</t>
        </is>
      </c>
      <c r="DX370" s="53" t="inlineStr">
        <is>
          <t>Technology</t>
        </is>
      </c>
      <c r="DY370" s="53" t="inlineStr">
        <is>
          <t>Development</t>
        </is>
      </c>
      <c r="DZ370" s="53" t="inlineStr">
        <is>
          <t>Yes</t>
        </is>
      </c>
      <c r="EA370" s="53" t="inlineStr">
        <is>
          <t>Product/Project</t>
        </is>
      </c>
      <c r="EB370" s="53" t="inlineStr">
        <is>
          <t>Java</t>
        </is>
      </c>
      <c r="EC370" s="53" t="inlineStr">
        <is>
          <t>Technical - Developer</t>
        </is>
      </c>
      <c r="ED370" s="53" t="inlineStr">
        <is>
          <t>Remote - Mumbai</t>
        </is>
      </c>
      <c r="EE370"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7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0" s="53" t="n">
        <v>3</v>
      </c>
      <c r="EI370" s="53" t="inlineStr">
        <is>
          <t>Pending</t>
        </is>
      </c>
      <c r="EJ370" s="53" t="inlineStr">
        <is>
          <t>Senior Software Engineer</t>
        </is>
      </c>
      <c r="EK370" s="53" t="inlineStr">
        <is>
          <t>No</t>
        </is>
      </c>
      <c r="EL370" s="53" t="n">
        <v>3</v>
      </c>
      <c r="EM370" s="53" t="inlineStr">
        <is>
          <t>Medium</t>
        </is>
      </c>
      <c r="EN370" s="53" t="inlineStr">
        <is>
          <t>Emerging Talent</t>
        </is>
      </c>
      <c r="EO370" s="53" t="inlineStr">
        <is>
          <t>No</t>
        </is>
      </c>
      <c r="EP370" s="53" t="inlineStr">
        <is>
          <t>No</t>
        </is>
      </c>
      <c r="EQ370" s="53" t="inlineStr">
        <is>
          <t>No</t>
        </is>
      </c>
      <c r="ER370" s="53" t="inlineStr">
        <is>
          <t>Not Yet</t>
        </is>
      </c>
      <c r="ES370"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70" s="53" t="n"/>
      <c r="EU370" s="53"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c r="EV370" s="53" t="n"/>
      <c r="EW370" s="52" t="n"/>
      <c r="EX370" s="53" t="n"/>
      <c r="EY370" s="53" t="n"/>
      <c r="EZ370" s="53" t="n"/>
      <c r="FA370" s="53" t="n"/>
      <c r="FB370" s="53" t="n"/>
      <c r="FC370" s="53" t="n"/>
      <c r="FD370" s="53" t="n"/>
      <c r="FE37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0"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70" s="56" t="inlineStr">
        <is>
          <t>3</t>
        </is>
      </c>
      <c r="FI370" s="56" t="n"/>
      <c r="FJ370" s="56" t="inlineStr">
        <is>
          <t>Received · manager annual, quarterly, self</t>
        </is>
      </c>
      <c r="FK370" s="56" t="inlineStr">
        <is>
          <t>Talent Mapping · iFile collated</t>
        </is>
      </c>
      <c r="FL370" s="56" t="n">
        <v>19</v>
      </c>
      <c r="FM370" s="32" t="inlineStr">
        <is>
          <t>Full survey answers not in the files received · How We Grow export needed · HR</t>
        </is>
      </c>
      <c r="FN370" s="56" t="inlineStr">
        <is>
          <t>—</t>
        </is>
      </c>
      <c r="FO370" s="56" t="inlineStr">
        <is>
          <t>—</t>
        </is>
      </c>
      <c r="FP370" s="56" t="inlineStr">
        <is>
          <t>—</t>
        </is>
      </c>
      <c r="FQ370" s="56" t="inlineStr">
        <is>
          <t>—</t>
        </is>
      </c>
      <c r="FR370" s="56"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time pressure → matches the start
Leadership: Evidence reads like A1: No guiding or reviewing of others described → moved down 0.5
Business Impact: No survey or manager-mapping signal on criticality: kept at the start point.</t>
        </is>
      </c>
      <c r="FS37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0" s="56" t="inlineStr">
        <is>
          <t>Self-identified: Technical depth &amp; architecture
For the next role: Technical depth &amp; architecture</t>
        </is>
      </c>
      <c r="FU370" s="32" t="inlineStr">
        <is>
          <t>Full survey answers not in the files received · How We Grow export needed · HR</t>
        </is>
      </c>
    </row>
    <row r="371" ht="90" customHeight="1">
      <c r="A371" s="51" t="inlineStr">
        <is>
          <t>◂ Back</t>
        </is>
      </c>
      <c r="B371" s="29" t="inlineStr">
        <is>
          <t>Mapped</t>
        </is>
      </c>
      <c r="C371" s="28" t="inlineStr">
        <is>
          <t>iFile</t>
        </is>
      </c>
      <c r="D371" s="29" t="inlineStr">
        <is>
          <t>IRIS2470</t>
        </is>
      </c>
      <c r="E371" s="29" t="inlineStr">
        <is>
          <t>Khelendra Pratap Singh</t>
        </is>
      </c>
      <c r="F371" s="29" t="inlineStr">
        <is>
          <t>Technology</t>
        </is>
      </c>
      <c r="G371" s="29" t="inlineStr">
        <is>
          <t>Senior Software Engineer</t>
        </is>
      </c>
      <c r="H371" s="29" t="inlineStr">
        <is>
          <t>Senior Software Engineer</t>
        </is>
      </c>
      <c r="I371" s="29" t="inlineStr">
        <is>
          <t>L4 – Senior</t>
        </is>
      </c>
      <c r="J371" s="29" t="inlineStr">
        <is>
          <t>A3</t>
        </is>
      </c>
      <c r="K371" s="29" t="inlineStr">
        <is>
          <t>• Same level</t>
        </is>
      </c>
      <c r="L371" s="29" t="inlineStr">
        <is>
          <t>Engineering &amp; Development</t>
        </is>
      </c>
      <c r="M371" s="29" t="inlineStr">
        <is>
          <t>Backend Development</t>
        </is>
      </c>
      <c r="N371" s="29" t="n"/>
      <c r="O371" s="29" t="n">
        <v>20</v>
      </c>
      <c r="P371" s="28" t="inlineStr">
        <is>
          <t>P2</t>
        </is>
      </c>
      <c r="Q371" s="29" t="inlineStr">
        <is>
          <t>Developing</t>
        </is>
      </c>
      <c r="R371" s="29" t="inlineStr">
        <is>
          <t>3 Apply</t>
        </is>
      </c>
      <c r="S371" s="29" t="inlineStr">
        <is>
          <t>2–4 yrs</t>
        </is>
      </c>
      <c r="T371" s="29" t="inlineStr">
        <is>
          <t>3–5 · 2–5</t>
        </is>
      </c>
      <c r="U371" s="29" t="inlineStr">
        <is>
          <t>Software Engineer</t>
        </is>
      </c>
      <c r="V371" s="29" t="inlineStr">
        <is>
          <t>Workiva: SE · Broadridge India: SE · Nasdaq / AxiomSL: SE · Salesforce: MTS · Atlassian: P40 · 3–7 yrs · Freshworks: Senior SE</t>
        </is>
      </c>
      <c r="W371" s="29" t="inlineStr">
        <is>
          <t>SFIA 9 · software development, programming; OWASP secure coding; cloud vendor certifications</t>
        </is>
      </c>
      <c r="X371" s="29" t="inlineStr">
        <is>
          <t>Core 2 · Future 2 · Functional 3 · Leadership not scored</t>
        </is>
      </c>
      <c r="Y371" s="52" t="n">
        <v>444</v>
      </c>
      <c r="Z371" s="53" t="inlineStr">
        <is>
          <t>IRIS2470</t>
        </is>
      </c>
      <c r="AA371" s="53" t="inlineStr">
        <is>
          <t>Employee</t>
        </is>
      </c>
      <c r="AB371" s="53" t="inlineStr">
        <is>
          <t>Active</t>
        </is>
      </c>
      <c r="AC371" s="53" t="inlineStr">
        <is>
          <t>Khelendra Pratap Singh</t>
        </is>
      </c>
      <c r="AD371" s="54" t="n">
        <v>46055</v>
      </c>
      <c r="AE371" s="53" t="inlineStr">
        <is>
          <t>Senior Software Engineer</t>
        </is>
      </c>
      <c r="AF371" s="53" t="inlineStr">
        <is>
          <t>B.E</t>
        </is>
      </c>
      <c r="AG371" s="53" t="inlineStr">
        <is>
          <t>Nikhil Nalawade</t>
        </is>
      </c>
      <c r="AH371" s="53" t="inlineStr">
        <is>
          <t>N-4</t>
        </is>
      </c>
      <c r="AI371" s="53" t="inlineStr">
        <is>
          <t>Individual Contributor</t>
        </is>
      </c>
      <c r="AJ371" s="53" t="inlineStr">
        <is>
          <t>6 years, 0 months, 0 days</t>
        </is>
      </c>
      <c r="AK371" s="53" t="inlineStr">
        <is>
          <t>0 years, 6 months, 23 days</t>
        </is>
      </c>
      <c r="AL371" s="53" t="inlineStr">
        <is>
          <t>Suptech</t>
        </is>
      </c>
      <c r="AM371" s="53" t="inlineStr">
        <is>
          <t>iFile</t>
        </is>
      </c>
      <c r="AN371" s="53" t="inlineStr">
        <is>
          <t>Technology</t>
        </is>
      </c>
      <c r="AO371" s="53" t="inlineStr">
        <is>
          <t>Development</t>
        </is>
      </c>
      <c r="AP371" s="53" t="inlineStr">
        <is>
          <t>Yes</t>
        </is>
      </c>
      <c r="AQ371" s="53" t="inlineStr">
        <is>
          <t>Product/Project</t>
        </is>
      </c>
      <c r="AR371" s="53" t="inlineStr">
        <is>
          <t>Java</t>
        </is>
      </c>
      <c r="AS371" s="53" t="inlineStr">
        <is>
          <t>Technical - Developer</t>
        </is>
      </c>
      <c r="AT371" s="53" t="n">
        <v>20</v>
      </c>
      <c r="AU371" s="53" t="inlineStr">
        <is>
          <t>Covered</t>
        </is>
      </c>
      <c r="AV371" s="53" t="n"/>
      <c r="AW371" s="53" t="n"/>
      <c r="AX371" s="53" t="n"/>
      <c r="AY371" s="53" t="n"/>
      <c r="AZ371" s="53" t="n"/>
      <c r="BA371" s="53" t="n"/>
      <c r="BB371" s="53" t="n"/>
      <c r="BC371" s="53" t="n"/>
      <c r="BD371" s="53" t="n"/>
      <c r="BE371" s="53" t="n"/>
      <c r="BF371" s="53" t="n"/>
      <c r="BG371" s="53" t="n"/>
      <c r="BH371" s="53" t="n"/>
      <c r="BI371" s="53" t="n"/>
      <c r="BJ371" s="53" t="n"/>
      <c r="BK371" s="53" t="n"/>
      <c r="BL371" s="53" t="n"/>
      <c r="BM371" s="53" t="n"/>
      <c r="BN371" s="53" t="n"/>
      <c r="BO371" s="53" t="n"/>
      <c r="BP371" s="53" t="n"/>
      <c r="BQ371" s="53" t="n"/>
      <c r="BR371" s="53" t="n"/>
      <c r="BS371" s="53" t="n"/>
      <c r="BT371" s="53" t="n"/>
      <c r="BU371" s="53" t="n"/>
      <c r="BV371" s="53" t="n"/>
      <c r="BW371" s="53" t="n"/>
      <c r="BX371" s="53" t="n"/>
      <c r="BY371" s="53" t="n"/>
      <c r="BZ371" s="53" t="n"/>
      <c r="CA371" s="53" t="n"/>
      <c r="CB371" s="53" t="n"/>
      <c r="CC371" s="53" t="n"/>
      <c r="CD371" s="53" t="n"/>
      <c r="CE371" s="53" t="n"/>
      <c r="CF371" s="53" t="n"/>
      <c r="CG371" s="53" t="n"/>
      <c r="CH371" s="53" t="n"/>
      <c r="CI371" s="53" t="n"/>
      <c r="CJ371" s="53" t="n"/>
      <c r="CK371" s="53" t="n"/>
      <c r="CL371" s="53" t="n"/>
      <c r="CM371" s="53" t="n"/>
      <c r="CN371" s="53" t="n"/>
      <c r="CO371" s="53" t="n"/>
      <c r="CP371" s="53" t="n"/>
      <c r="CQ371" s="53" t="n"/>
      <c r="CR371" s="53" t="n"/>
      <c r="CS371" s="53" t="n"/>
      <c r="CT371" s="53" t="n"/>
      <c r="CU371" s="53" t="n"/>
      <c r="CV371" s="53" t="n"/>
      <c r="CW371" s="53" t="n"/>
      <c r="CX371" s="53" t="n"/>
      <c r="CY371" s="53" t="n"/>
      <c r="CZ371" s="53" t="n"/>
      <c r="DA371" s="53" t="n"/>
      <c r="DB371" s="53" t="n"/>
      <c r="DC371" s="53" t="n"/>
      <c r="DD371" s="53" t="inlineStr">
        <is>
          <t>IRIS2470</t>
        </is>
      </c>
      <c r="DE371" s="53" t="inlineStr">
        <is>
          <t>Employee</t>
        </is>
      </c>
      <c r="DF371" s="53" t="inlineStr">
        <is>
          <t>Active</t>
        </is>
      </c>
      <c r="DG371" s="53" t="inlineStr">
        <is>
          <t>Khelendra Pratap Singh</t>
        </is>
      </c>
      <c r="DH371" s="54" t="n">
        <v>46055</v>
      </c>
      <c r="DI371" s="53" t="inlineStr">
        <is>
          <t>Senior Software Engineer</t>
        </is>
      </c>
      <c r="DJ371" s="53" t="inlineStr">
        <is>
          <t>Engineering &amp; Development</t>
        </is>
      </c>
      <c r="DK371" s="53" t="inlineStr">
        <is>
          <t>Backend Engineering · Java</t>
        </is>
      </c>
      <c r="DL371" s="53" t="inlineStr">
        <is>
          <t>Senior Software Engineer</t>
        </is>
      </c>
      <c r="DM371" s="53" t="inlineStr">
        <is>
          <t>L4 – Senior</t>
        </is>
      </c>
      <c r="DN371" s="53" t="inlineStr">
        <is>
          <t>B.E</t>
        </is>
      </c>
      <c r="DO371" s="53" t="inlineStr">
        <is>
          <t>Nikhil Nalawade</t>
        </is>
      </c>
      <c r="DP371" s="53" t="inlineStr">
        <is>
          <t>N-3</t>
        </is>
      </c>
      <c r="DQ371" s="53" t="inlineStr">
        <is>
          <t>Individual Contributor</t>
        </is>
      </c>
      <c r="DR371" s="53" t="inlineStr">
        <is>
          <t>6 years, 0 months, 0 days</t>
        </is>
      </c>
      <c r="DS371" s="53" t="inlineStr">
        <is>
          <t>0 years, 4 months, 18 days</t>
        </is>
      </c>
      <c r="DT371" s="53" t="inlineStr">
        <is>
          <t>6 years, 4 months, 18 days</t>
        </is>
      </c>
      <c r="DU371" s="53" t="n"/>
      <c r="DV371" s="53" t="inlineStr">
        <is>
          <t>Suptech</t>
        </is>
      </c>
      <c r="DW371" s="53" t="inlineStr">
        <is>
          <t>iFile</t>
        </is>
      </c>
      <c r="DX371" s="53" t="inlineStr">
        <is>
          <t>Technology</t>
        </is>
      </c>
      <c r="DY371" s="53" t="inlineStr">
        <is>
          <t>Development</t>
        </is>
      </c>
      <c r="DZ371" s="53" t="inlineStr">
        <is>
          <t>Yes</t>
        </is>
      </c>
      <c r="EA371" s="53" t="inlineStr">
        <is>
          <t>Product/Project</t>
        </is>
      </c>
      <c r="EB371" s="53" t="inlineStr">
        <is>
          <t>Java</t>
        </is>
      </c>
      <c r="EC371" s="53" t="inlineStr">
        <is>
          <t>Technical - Developer</t>
        </is>
      </c>
      <c r="ED371" s="53" t="inlineStr">
        <is>
          <t>Work From Office - Turbhe</t>
        </is>
      </c>
      <c r="EE371"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7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1" s="53" t="n">
        <v>3</v>
      </c>
      <c r="EI371" s="53" t="inlineStr">
        <is>
          <t>Pending</t>
        </is>
      </c>
      <c r="EJ371" s="53" t="inlineStr">
        <is>
          <t>Senior Software Engineer</t>
        </is>
      </c>
      <c r="EK371" s="53" t="inlineStr">
        <is>
          <t>No</t>
        </is>
      </c>
      <c r="EL371" s="53" t="n">
        <v>3</v>
      </c>
      <c r="EM371" s="53" t="inlineStr">
        <is>
          <t>Medium</t>
        </is>
      </c>
      <c r="EN371" s="53" t="inlineStr">
        <is>
          <t>Emerging Talent</t>
        </is>
      </c>
      <c r="EO371" s="53" t="inlineStr">
        <is>
          <t>No</t>
        </is>
      </c>
      <c r="EP371" s="53" t="inlineStr">
        <is>
          <t>No</t>
        </is>
      </c>
      <c r="EQ371" s="53" t="inlineStr">
        <is>
          <t>No</t>
        </is>
      </c>
      <c r="ER371" s="53" t="inlineStr">
        <is>
          <t>Not Yet</t>
        </is>
      </c>
      <c r="ES371"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71" s="53" t="n"/>
      <c r="EU371" s="53" t="n"/>
      <c r="EV371" s="53" t="n"/>
      <c r="EW371" s="52" t="n"/>
      <c r="EX371" s="53" t="n"/>
      <c r="EY371" s="53" t="n"/>
      <c r="EZ371" s="53" t="n"/>
      <c r="FA371" s="53" t="n"/>
      <c r="FB371" s="53" t="n"/>
      <c r="FC371" s="53" t="n"/>
      <c r="FD371" s="53" t="n"/>
      <c r="FE37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1"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71" s="56" t="inlineStr">
        <is>
          <t>3</t>
        </is>
      </c>
      <c r="FI371" s="56" t="n"/>
      <c r="FJ371" s="56" t="inlineStr">
        <is>
          <t>Received · manager annual, quarterly, self</t>
        </is>
      </c>
      <c r="FK371" s="56" t="inlineStr">
        <is>
          <t>Talent Mapping · iFile collated</t>
        </is>
      </c>
      <c r="FL371" s="56" t="n">
        <v>20</v>
      </c>
      <c r="FM371" s="32" t="inlineStr">
        <is>
          <t>Full survey answers not in the files received · How We Grow export needed · HR</t>
        </is>
      </c>
      <c r="FN371" s="56" t="inlineStr">
        <is>
          <t>—</t>
        </is>
      </c>
      <c r="FO371" s="56" t="inlineStr">
        <is>
          <t>—</t>
        </is>
      </c>
      <c r="FP371" s="56" t="inlineStr">
        <is>
          <t>—</t>
        </is>
      </c>
      <c r="FQ371" s="56" t="inlineStr">
        <is>
          <t>—</t>
        </is>
      </c>
      <c r="FR371" s="56"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product work following the set architecture → moved down 0.5
Leadership: Evidence reads like A1: No guiding or reviewing of others described → moved down 0.5
Business Impact: No survey or manager-mapping signal on criticality: kept at the start point.</t>
        </is>
      </c>
      <c r="FS37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1" s="56" t="inlineStr">
        <is>
          <t>Self-identified: Technical depth &amp; architecture · Product &amp; tool knowledge
For the next role: Technical depth &amp; architecture · Product &amp; tool knowledge</t>
        </is>
      </c>
      <c r="FU371" s="32" t="inlineStr">
        <is>
          <t>Full survey answers not in the files received · How We Grow export needed · HR</t>
        </is>
      </c>
    </row>
    <row r="372" ht="90" customHeight="1">
      <c r="A372" s="51" t="inlineStr">
        <is>
          <t>◂ Back</t>
        </is>
      </c>
      <c r="B372" s="29" t="inlineStr">
        <is>
          <t>Mapped</t>
        </is>
      </c>
      <c r="C372" s="28" t="inlineStr">
        <is>
          <t>iFile</t>
        </is>
      </c>
      <c r="D372" s="29" t="inlineStr">
        <is>
          <t>IRIS2422</t>
        </is>
      </c>
      <c r="E372" s="29" t="inlineStr">
        <is>
          <t>Mahtab Shah</t>
        </is>
      </c>
      <c r="F372" s="29" t="inlineStr">
        <is>
          <t>Technology</t>
        </is>
      </c>
      <c r="G372" s="29" t="inlineStr">
        <is>
          <t>Software Engineer</t>
        </is>
      </c>
      <c r="H372" s="29" t="inlineStr">
        <is>
          <t>Senior Software Engineer</t>
        </is>
      </c>
      <c r="I372" s="29" t="inlineStr">
        <is>
          <t>L3 – Professional / Associate</t>
        </is>
      </c>
      <c r="J372" s="29" t="inlineStr">
        <is>
          <t>A3</t>
        </is>
      </c>
      <c r="K372" s="29" t="inlineStr">
        <is>
          <t>▲ Up</t>
        </is>
      </c>
      <c r="L372" s="29" t="inlineStr">
        <is>
          <t>Engineering &amp; Development</t>
        </is>
      </c>
      <c r="M372" s="29" t="inlineStr">
        <is>
          <t>Full-Stack Development</t>
        </is>
      </c>
      <c r="N372" s="29" t="n"/>
      <c r="O372" s="29" t="n">
        <v>20</v>
      </c>
      <c r="P372" s="28" t="inlineStr">
        <is>
          <t>P2</t>
        </is>
      </c>
      <c r="Q372" s="29" t="inlineStr">
        <is>
          <t>Developing</t>
        </is>
      </c>
      <c r="R372" s="29" t="inlineStr">
        <is>
          <t>3 Apply</t>
        </is>
      </c>
      <c r="S372" s="29" t="inlineStr">
        <is>
          <t>2–4 yrs</t>
        </is>
      </c>
      <c r="T372" s="29" t="inlineStr">
        <is>
          <t>3–5 · 2–5</t>
        </is>
      </c>
      <c r="U372" s="29" t="inlineStr">
        <is>
          <t>Software Engineer</t>
        </is>
      </c>
      <c r="V372" s="29" t="inlineStr">
        <is>
          <t>Workiva: SE · Broadridge India: SE · Nasdaq / AxiomSL: SE · Salesforce: MTS · Atlassian: P40 · 3–7 yrs · Freshworks: Senior SE</t>
        </is>
      </c>
      <c r="W372" s="29" t="inlineStr">
        <is>
          <t>SFIA 9 · software development, programming; OWASP secure coding; cloud vendor certifications</t>
        </is>
      </c>
      <c r="X372" s="29" t="inlineStr">
        <is>
          <t>Core 2 · Future 2 · Functional 3 · Leadership not scored</t>
        </is>
      </c>
      <c r="Y372" s="52" t="n">
        <v>393</v>
      </c>
      <c r="Z372" s="53" t="inlineStr">
        <is>
          <t>IRIS2422</t>
        </is>
      </c>
      <c r="AA372" s="53" t="inlineStr">
        <is>
          <t>Employee</t>
        </is>
      </c>
      <c r="AB372" s="53" t="inlineStr">
        <is>
          <t>Active</t>
        </is>
      </c>
      <c r="AC372" s="53" t="inlineStr">
        <is>
          <t>Mahtab Shah</t>
        </is>
      </c>
      <c r="AD372" s="54" t="n">
        <v>45883</v>
      </c>
      <c r="AE372" s="53" t="inlineStr">
        <is>
          <t>Software Engineer</t>
        </is>
      </c>
      <c r="AF372" s="53" t="inlineStr">
        <is>
          <t>B.E</t>
        </is>
      </c>
      <c r="AG372" s="53" t="inlineStr">
        <is>
          <t>Nikhil Nalawade</t>
        </is>
      </c>
      <c r="AH372" s="53" t="inlineStr">
        <is>
          <t>N-4</t>
        </is>
      </c>
      <c r="AI372" s="53" t="inlineStr">
        <is>
          <t>Individual Contributor</t>
        </is>
      </c>
      <c r="AJ372" s="53" t="inlineStr">
        <is>
          <t>1 years, 7 months, 0 days</t>
        </is>
      </c>
      <c r="AK372" s="53" t="inlineStr">
        <is>
          <t>1 years, 0 months, 11 days</t>
        </is>
      </c>
      <c r="AL372" s="53" t="inlineStr">
        <is>
          <t>Suptech</t>
        </is>
      </c>
      <c r="AM372" s="53" t="inlineStr">
        <is>
          <t>iFile</t>
        </is>
      </c>
      <c r="AN372" s="53" t="inlineStr">
        <is>
          <t>Technology</t>
        </is>
      </c>
      <c r="AO372" s="53" t="inlineStr">
        <is>
          <t>Development</t>
        </is>
      </c>
      <c r="AP372" s="53" t="inlineStr">
        <is>
          <t>Yes</t>
        </is>
      </c>
      <c r="AQ372" s="53" t="inlineStr">
        <is>
          <t>Product/Project</t>
        </is>
      </c>
      <c r="AR372" s="53" t="inlineStr">
        <is>
          <t>Java</t>
        </is>
      </c>
      <c r="AS372" s="53" t="inlineStr">
        <is>
          <t>Technical - Developer</t>
        </is>
      </c>
      <c r="AT372" s="53" t="n">
        <v>20</v>
      </c>
      <c r="AU372" s="53" t="inlineStr">
        <is>
          <t>Covered</t>
        </is>
      </c>
      <c r="AV372" s="53" t="n"/>
      <c r="AW372" s="53" t="n"/>
      <c r="AX372" s="53" t="n"/>
      <c r="AY372" s="53" t="n"/>
      <c r="AZ372" s="53" t="n"/>
      <c r="BA372" s="53" t="n"/>
      <c r="BB372" s="53" t="n"/>
      <c r="BC372" s="53" t="n"/>
      <c r="BD372" s="53" t="n"/>
      <c r="BE372" s="53" t="n"/>
      <c r="BF372" s="53" t="n"/>
      <c r="BG372" s="53" t="n"/>
      <c r="BH372" s="53" t="n"/>
      <c r="BI372" s="53" t="n"/>
      <c r="BJ372" s="53" t="n"/>
      <c r="BK372" s="53" t="n"/>
      <c r="BL372" s="53" t="n"/>
      <c r="BM372" s="53" t="n"/>
      <c r="BN372" s="53" t="n"/>
      <c r="BO372" s="53" t="n"/>
      <c r="BP372" s="53" t="n"/>
      <c r="BQ372" s="53" t="n"/>
      <c r="BR372" s="53" t="n"/>
      <c r="BS372" s="53" t="n"/>
      <c r="BT372" s="53" t="n"/>
      <c r="BU372" s="53" t="n"/>
      <c r="BV372" s="53" t="n"/>
      <c r="BW372" s="53" t="n"/>
      <c r="BX372" s="53" t="n"/>
      <c r="BY372" s="53" t="n"/>
      <c r="BZ372" s="53" t="n"/>
      <c r="CA372" s="53" t="n"/>
      <c r="CB372" s="53" t="n"/>
      <c r="CC372" s="53" t="n"/>
      <c r="CD372" s="53" t="n"/>
      <c r="CE372" s="53" t="n"/>
      <c r="CF372" s="53" t="n"/>
      <c r="CG372" s="53" t="n"/>
      <c r="CH372" s="53" t="n"/>
      <c r="CI372" s="53" t="n"/>
      <c r="CJ372" s="53" t="n"/>
      <c r="CK372" s="53" t="n"/>
      <c r="CL372" s="53" t="n"/>
      <c r="CM372" s="53" t="n"/>
      <c r="CN372" s="53" t="n"/>
      <c r="CO372" s="53" t="n"/>
      <c r="CP372" s="53" t="n"/>
      <c r="CQ372" s="53" t="n"/>
      <c r="CR372" s="53" t="n"/>
      <c r="CS372" s="53" t="n"/>
      <c r="CT372" s="53" t="n"/>
      <c r="CU372" s="53" t="n"/>
      <c r="CV372" s="53" t="n"/>
      <c r="CW372" s="53" t="n"/>
      <c r="CX372" s="53" t="n"/>
      <c r="CY372" s="53" t="n"/>
      <c r="CZ372" s="53" t="n"/>
      <c r="DA372" s="53" t="n"/>
      <c r="DB372" s="53" t="n"/>
      <c r="DC372" s="53" t="n"/>
      <c r="DD372" s="53" t="inlineStr">
        <is>
          <t>IRIS2422</t>
        </is>
      </c>
      <c r="DE372" s="53" t="inlineStr">
        <is>
          <t>Employee</t>
        </is>
      </c>
      <c r="DF372" s="53" t="inlineStr">
        <is>
          <t>Active</t>
        </is>
      </c>
      <c r="DG372" s="53" t="inlineStr">
        <is>
          <t>Mahtab Shah</t>
        </is>
      </c>
      <c r="DH372" s="54" t="n">
        <v>45883</v>
      </c>
      <c r="DI372" s="53" t="inlineStr">
        <is>
          <t>Software Engineer</t>
        </is>
      </c>
      <c r="DJ372" s="53" t="inlineStr">
        <is>
          <t>Engineering &amp; Development</t>
        </is>
      </c>
      <c r="DK372" s="53" t="inlineStr">
        <is>
          <t>Backend Engineering · Java</t>
        </is>
      </c>
      <c r="DL372" s="53" t="inlineStr">
        <is>
          <t>Software Engineer</t>
        </is>
      </c>
      <c r="DM372" s="53" t="inlineStr">
        <is>
          <t>L3 – Professional / Associate</t>
        </is>
      </c>
      <c r="DN372" s="53" t="inlineStr">
        <is>
          <t>B.E</t>
        </is>
      </c>
      <c r="DO372" s="53" t="inlineStr">
        <is>
          <t>Nikhil Nalawade</t>
        </is>
      </c>
      <c r="DP372" s="53" t="inlineStr">
        <is>
          <t>N-3</t>
        </is>
      </c>
      <c r="DQ372" s="53" t="inlineStr">
        <is>
          <t>Individual Contributor</t>
        </is>
      </c>
      <c r="DR372" s="53" t="inlineStr">
        <is>
          <t>1 years, 7 months, 0 days</t>
        </is>
      </c>
      <c r="DS372" s="53" t="inlineStr">
        <is>
          <t>0 years, 10 months, 6 days</t>
        </is>
      </c>
      <c r="DT372" s="53" t="inlineStr">
        <is>
          <t>2 years, 5 months, 6 days</t>
        </is>
      </c>
      <c r="DU372" s="53" t="n"/>
      <c r="DV372" s="53" t="inlineStr">
        <is>
          <t>Suptech</t>
        </is>
      </c>
      <c r="DW372" s="53" t="inlineStr">
        <is>
          <t>iFile</t>
        </is>
      </c>
      <c r="DX372" s="53" t="inlineStr">
        <is>
          <t>Technology</t>
        </is>
      </c>
      <c r="DY372" s="53" t="inlineStr">
        <is>
          <t>Development</t>
        </is>
      </c>
      <c r="DZ372" s="53" t="inlineStr">
        <is>
          <t>Yes</t>
        </is>
      </c>
      <c r="EA372" s="53" t="inlineStr">
        <is>
          <t>Product/Project</t>
        </is>
      </c>
      <c r="EB372" s="53" t="inlineStr">
        <is>
          <t>Java</t>
        </is>
      </c>
      <c r="EC372" s="53" t="inlineStr">
        <is>
          <t>Technical - Developer</t>
        </is>
      </c>
      <c r="ED372" s="53" t="inlineStr">
        <is>
          <t>Work From Office - Turbhe</t>
        </is>
      </c>
      <c r="EE372"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2" s="53" t="n">
        <v>3</v>
      </c>
      <c r="EI372" s="53" t="inlineStr">
        <is>
          <t>Pending</t>
        </is>
      </c>
      <c r="EJ372" s="53" t="inlineStr">
        <is>
          <t>Software Engineer</t>
        </is>
      </c>
      <c r="EK372" s="53" t="inlineStr">
        <is>
          <t>No</t>
        </is>
      </c>
      <c r="EL372" s="53" t="n">
        <v>3</v>
      </c>
      <c r="EM372" s="53" t="inlineStr">
        <is>
          <t>Medium</t>
        </is>
      </c>
      <c r="EN372" s="53" t="inlineStr">
        <is>
          <t>Emerging Talent</t>
        </is>
      </c>
      <c r="EO372" s="53" t="inlineStr">
        <is>
          <t>No</t>
        </is>
      </c>
      <c r="EP372" s="53" t="inlineStr">
        <is>
          <t>No</t>
        </is>
      </c>
      <c r="EQ372" s="53" t="inlineStr">
        <is>
          <t>No</t>
        </is>
      </c>
      <c r="ER372" s="53" t="inlineStr">
        <is>
          <t>Aqib Shah</t>
        </is>
      </c>
      <c r="ES372" s="53" t="inlineStr">
        <is>
          <t>1. Angular Architecture &amp; Performance
2. System Design Fundamentals
3. Secure Coding &amp; Testing Automation
4. Technical Leadership &amp; Code Reviews
5. CI/CD &amp; DevOps
6.AI for Productivity &amp; Automation
7. Soft skills</t>
        </is>
      </c>
      <c r="ET372" s="53" t="n"/>
      <c r="EU372" s="53" t="n"/>
      <c r="EV372" s="53" t="n"/>
      <c r="EW372" s="52" t="n"/>
      <c r="EX372" s="53" t="n"/>
      <c r="EY372" s="53" t="n"/>
      <c r="EZ372" s="53" t="n"/>
      <c r="FA372" s="53" t="n"/>
      <c r="FB372" s="53" t="n"/>
      <c r="FC372" s="53" t="n"/>
      <c r="FD372" s="53" t="n"/>
      <c r="FE37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2"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2" s="56" t="inlineStr">
        <is>
          <t>3</t>
        </is>
      </c>
      <c r="FI372" s="56" t="n"/>
      <c r="FJ372" s="56" t="inlineStr">
        <is>
          <t>Received · manager annual, quarterly, self</t>
        </is>
      </c>
      <c r="FK372" s="56" t="inlineStr">
        <is>
          <t>Talent Mapping · iFile collated</t>
        </is>
      </c>
      <c r="FL372" s="56" t="n">
        <v>20</v>
      </c>
      <c r="FM372" s="32" t="inlineStr">
        <is>
          <t>Full survey answers not in the files received · How We Grow export needed · HR</t>
        </is>
      </c>
      <c r="FN372" s="56" t="inlineStr">
        <is>
          <t>—</t>
        </is>
      </c>
      <c r="FO372" s="56" t="inlineStr">
        <is>
          <t>—</t>
        </is>
      </c>
      <c r="FP372" s="56" t="inlineStr">
        <is>
          <t>—</t>
        </is>
      </c>
      <c r="FQ372" s="56" t="inlineStr">
        <is>
          <t>—</t>
        </is>
      </c>
      <c r="FR372" s="56"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delivered on time → matches the start
Leadership: Evidence reads like A1: No guiding or leading described → matches the start
Business Impact: No survey or manager-mapping signal on criticality: kept at the start point.</t>
        </is>
      </c>
      <c r="FS372"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72" s="56"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FU372" s="32" t="inlineStr">
        <is>
          <t>Full survey answers not in the files received · How We Grow export needed · HR</t>
        </is>
      </c>
    </row>
    <row r="373" ht="90" customHeight="1">
      <c r="A373" s="51" t="inlineStr">
        <is>
          <t>◂ Back</t>
        </is>
      </c>
      <c r="B373" s="29" t="inlineStr">
        <is>
          <t>Mapped</t>
        </is>
      </c>
      <c r="C373" s="28" t="inlineStr">
        <is>
          <t>iFile</t>
        </is>
      </c>
      <c r="D373" s="29" t="inlineStr">
        <is>
          <t>IRIS2474</t>
        </is>
      </c>
      <c r="E373" s="29" t="inlineStr">
        <is>
          <t>Pankaj Sharma</t>
        </is>
      </c>
      <c r="F373" s="29" t="inlineStr">
        <is>
          <t>Technology</t>
        </is>
      </c>
      <c r="G373" s="29" t="inlineStr">
        <is>
          <t>Software Engineer</t>
        </is>
      </c>
      <c r="H373" s="29" t="inlineStr">
        <is>
          <t>Senior Software Engineer</t>
        </is>
      </c>
      <c r="I373" s="29" t="inlineStr">
        <is>
          <t>L3 – Professional / Associate</t>
        </is>
      </c>
      <c r="J373" s="29" t="inlineStr">
        <is>
          <t>A3</t>
        </is>
      </c>
      <c r="K373" s="29" t="inlineStr">
        <is>
          <t>▲ Up</t>
        </is>
      </c>
      <c r="L373" s="29" t="inlineStr">
        <is>
          <t>Engineering &amp; Development</t>
        </is>
      </c>
      <c r="M373" s="29" t="inlineStr">
        <is>
          <t>Backend Development</t>
        </is>
      </c>
      <c r="N373" s="29" t="n"/>
      <c r="O373" s="29" t="n">
        <v>20</v>
      </c>
      <c r="P373" s="28" t="inlineStr">
        <is>
          <t>P2</t>
        </is>
      </c>
      <c r="Q373" s="29" t="inlineStr">
        <is>
          <t>Developing</t>
        </is>
      </c>
      <c r="R373" s="29" t="inlineStr">
        <is>
          <t>3 Apply</t>
        </is>
      </c>
      <c r="S373" s="29" t="inlineStr">
        <is>
          <t>2–4 yrs</t>
        </is>
      </c>
      <c r="T373" s="29" t="inlineStr">
        <is>
          <t>3–5 · 2–5</t>
        </is>
      </c>
      <c r="U373" s="29" t="inlineStr">
        <is>
          <t>Software Engineer</t>
        </is>
      </c>
      <c r="V373" s="29" t="inlineStr">
        <is>
          <t>Workiva: SE · Broadridge India: SE · Nasdaq / AxiomSL: SE · Salesforce: MTS · Atlassian: P40 · 3–7 yrs · Freshworks: Senior SE</t>
        </is>
      </c>
      <c r="W373" s="29" t="inlineStr">
        <is>
          <t>SFIA 9 · software development, programming; OWASP secure coding; cloud vendor certifications</t>
        </is>
      </c>
      <c r="X373" s="29" t="inlineStr">
        <is>
          <t>Core 2 · Future 2 · Functional 3 · Leadership not scored</t>
        </is>
      </c>
      <c r="Y373" s="52" t="n">
        <v>448</v>
      </c>
      <c r="Z373" s="53" t="inlineStr">
        <is>
          <t>IRIS2474</t>
        </is>
      </c>
      <c r="AA373" s="53" t="inlineStr">
        <is>
          <t>Employee</t>
        </is>
      </c>
      <c r="AB373" s="53" t="inlineStr">
        <is>
          <t>Active</t>
        </is>
      </c>
      <c r="AC373" s="53" t="inlineStr">
        <is>
          <t>Pankaj Sharma</t>
        </is>
      </c>
      <c r="AD373" s="54" t="n">
        <v>46056</v>
      </c>
      <c r="AE373" s="53" t="inlineStr">
        <is>
          <t>Software Engineer</t>
        </is>
      </c>
      <c r="AF373" s="53" t="inlineStr">
        <is>
          <t>MCA</t>
        </is>
      </c>
      <c r="AG373" s="53" t="inlineStr">
        <is>
          <t>Nikhil Nalawade</t>
        </is>
      </c>
      <c r="AH373" s="53" t="inlineStr">
        <is>
          <t>N-4</t>
        </is>
      </c>
      <c r="AI373" s="53" t="inlineStr">
        <is>
          <t>Individual Contributor</t>
        </is>
      </c>
      <c r="AJ373" s="53" t="inlineStr">
        <is>
          <t>4 years, 1 months, 0 days</t>
        </is>
      </c>
      <c r="AK373" s="53" t="inlineStr">
        <is>
          <t>0 years, 6 months, 22 days</t>
        </is>
      </c>
      <c r="AL373" s="53" t="inlineStr">
        <is>
          <t>Suptech</t>
        </is>
      </c>
      <c r="AM373" s="53" t="inlineStr">
        <is>
          <t>iFile</t>
        </is>
      </c>
      <c r="AN373" s="53" t="inlineStr">
        <is>
          <t>Technology</t>
        </is>
      </c>
      <c r="AO373" s="53" t="inlineStr">
        <is>
          <t>Development</t>
        </is>
      </c>
      <c r="AP373" s="53" t="inlineStr">
        <is>
          <t>Yes</t>
        </is>
      </c>
      <c r="AQ373" s="53" t="inlineStr">
        <is>
          <t>Product/Project</t>
        </is>
      </c>
      <c r="AR373" s="53" t="inlineStr">
        <is>
          <t>Java</t>
        </is>
      </c>
      <c r="AS373" s="53" t="inlineStr">
        <is>
          <t>Technical - Developer</t>
        </is>
      </c>
      <c r="AT373" s="53" t="n">
        <v>20</v>
      </c>
      <c r="AU373" s="53" t="inlineStr">
        <is>
          <t>Covered</t>
        </is>
      </c>
      <c r="AV373" s="53" t="n"/>
      <c r="AW373" s="53" t="n"/>
      <c r="AX373" s="53" t="n"/>
      <c r="AY373" s="53" t="n"/>
      <c r="AZ373" s="53" t="n"/>
      <c r="BA373" s="53" t="n"/>
      <c r="BB373" s="53" t="n"/>
      <c r="BC373" s="53" t="n"/>
      <c r="BD373" s="53" t="n"/>
      <c r="BE373" s="53" t="n"/>
      <c r="BF373" s="53" t="n"/>
      <c r="BG373" s="53" t="n"/>
      <c r="BH373" s="53" t="n"/>
      <c r="BI373" s="53" t="n"/>
      <c r="BJ373" s="53" t="n"/>
      <c r="BK373" s="53" t="n"/>
      <c r="BL373" s="53" t="n"/>
      <c r="BM373" s="53" t="n"/>
      <c r="BN373" s="53" t="n"/>
      <c r="BO373" s="53" t="n"/>
      <c r="BP373" s="53" t="n"/>
      <c r="BQ373" s="53" t="n"/>
      <c r="BR373" s="53" t="n"/>
      <c r="BS373" s="53" t="n"/>
      <c r="BT373" s="53" t="n"/>
      <c r="BU373" s="53" t="n"/>
      <c r="BV373" s="53" t="n"/>
      <c r="BW373" s="53" t="n"/>
      <c r="BX373" s="53" t="n"/>
      <c r="BY373" s="53" t="n"/>
      <c r="BZ373" s="53" t="n"/>
      <c r="CA373" s="53" t="n"/>
      <c r="CB373" s="53" t="n"/>
      <c r="CC373" s="53" t="n"/>
      <c r="CD373" s="53" t="n"/>
      <c r="CE373" s="53" t="n"/>
      <c r="CF373" s="53" t="n"/>
      <c r="CG373" s="53" t="n"/>
      <c r="CH373" s="53" t="n"/>
      <c r="CI373" s="53" t="n"/>
      <c r="CJ373" s="53" t="n"/>
      <c r="CK373" s="53" t="n"/>
      <c r="CL373" s="53" t="n"/>
      <c r="CM373" s="53" t="n"/>
      <c r="CN373" s="53" t="n"/>
      <c r="CO373" s="53" t="n"/>
      <c r="CP373" s="53" t="n"/>
      <c r="CQ373" s="53" t="n"/>
      <c r="CR373" s="53" t="n"/>
      <c r="CS373" s="53" t="n"/>
      <c r="CT373" s="53" t="n"/>
      <c r="CU373" s="53" t="n"/>
      <c r="CV373" s="53" t="n"/>
      <c r="CW373" s="53" t="n"/>
      <c r="CX373" s="53" t="n"/>
      <c r="CY373" s="53" t="n"/>
      <c r="CZ373" s="53" t="n"/>
      <c r="DA373" s="53" t="n"/>
      <c r="DB373" s="53" t="n"/>
      <c r="DC373" s="53" t="n"/>
      <c r="DD373" s="53" t="inlineStr">
        <is>
          <t>IRIS2474</t>
        </is>
      </c>
      <c r="DE373" s="53" t="inlineStr">
        <is>
          <t>Employee</t>
        </is>
      </c>
      <c r="DF373" s="53" t="inlineStr">
        <is>
          <t>Active</t>
        </is>
      </c>
      <c r="DG373" s="53" t="inlineStr">
        <is>
          <t>Pankaj Sharma</t>
        </is>
      </c>
      <c r="DH373" s="54" t="n">
        <v>46056</v>
      </c>
      <c r="DI373" s="53" t="inlineStr">
        <is>
          <t>Software Engineer</t>
        </is>
      </c>
      <c r="DJ373" s="53" t="inlineStr">
        <is>
          <t>Engineering &amp; Development</t>
        </is>
      </c>
      <c r="DK373" s="53" t="inlineStr">
        <is>
          <t>Backend Engineering · Java</t>
        </is>
      </c>
      <c r="DL373" s="53" t="inlineStr">
        <is>
          <t>Software Engineer</t>
        </is>
      </c>
      <c r="DM373" s="53" t="inlineStr">
        <is>
          <t>L3 – Professional / Associate</t>
        </is>
      </c>
      <c r="DN373" s="53" t="inlineStr">
        <is>
          <t>MCA</t>
        </is>
      </c>
      <c r="DO373" s="53" t="inlineStr">
        <is>
          <t>Nikhil Nalawade</t>
        </is>
      </c>
      <c r="DP373" s="53" t="inlineStr">
        <is>
          <t>N-3</t>
        </is>
      </c>
      <c r="DQ373" s="53" t="inlineStr">
        <is>
          <t>Individual Contributor</t>
        </is>
      </c>
      <c r="DR373" s="53" t="inlineStr">
        <is>
          <t>4 years, 1 months, 0 days</t>
        </is>
      </c>
      <c r="DS373" s="53" t="inlineStr">
        <is>
          <t>0 years, 4 months, 17 days</t>
        </is>
      </c>
      <c r="DT373" s="53" t="inlineStr">
        <is>
          <t>4 years, 5 months, 17 days</t>
        </is>
      </c>
      <c r="DU373" s="53" t="n"/>
      <c r="DV373" s="53" t="inlineStr">
        <is>
          <t>Suptech</t>
        </is>
      </c>
      <c r="DW373" s="53" t="inlineStr">
        <is>
          <t>iFile</t>
        </is>
      </c>
      <c r="DX373" s="53" t="inlineStr">
        <is>
          <t>Technology</t>
        </is>
      </c>
      <c r="DY373" s="53" t="inlineStr">
        <is>
          <t>Development</t>
        </is>
      </c>
      <c r="DZ373" s="53" t="inlineStr">
        <is>
          <t>Yes</t>
        </is>
      </c>
      <c r="EA373" s="53" t="inlineStr">
        <is>
          <t>Product/Project</t>
        </is>
      </c>
      <c r="EB373" s="53" t="inlineStr">
        <is>
          <t>Java</t>
        </is>
      </c>
      <c r="EC373" s="53" t="inlineStr">
        <is>
          <t>Technical - Developer</t>
        </is>
      </c>
      <c r="ED373" s="53" t="inlineStr">
        <is>
          <t>Work From Office - Turbhe</t>
        </is>
      </c>
      <c r="EE373"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7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3" s="53" t="n">
        <v>3</v>
      </c>
      <c r="EI373" s="53" t="inlineStr">
        <is>
          <t>Pending</t>
        </is>
      </c>
      <c r="EJ373" s="53" t="inlineStr">
        <is>
          <t>Software Engineer</t>
        </is>
      </c>
      <c r="EK373" s="53" t="inlineStr">
        <is>
          <t>No</t>
        </is>
      </c>
      <c r="EL373" s="53" t="inlineStr">
        <is>
          <t>No</t>
        </is>
      </c>
      <c r="EM373" s="53" t="inlineStr">
        <is>
          <t>Medium</t>
        </is>
      </c>
      <c r="EN373" s="53" t="inlineStr">
        <is>
          <t>Emerging Talent</t>
        </is>
      </c>
      <c r="EO373" s="53" t="inlineStr">
        <is>
          <t>No</t>
        </is>
      </c>
      <c r="EP373" s="53" t="inlineStr">
        <is>
          <t>No</t>
        </is>
      </c>
      <c r="EQ373" s="53" t="inlineStr">
        <is>
          <t>No</t>
        </is>
      </c>
      <c r="ER373" s="53" t="inlineStr">
        <is>
          <t>Not Yet</t>
        </is>
      </c>
      <c r="ES373"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73" s="53" t="n"/>
      <c r="EU373" s="53" t="n"/>
      <c r="EV373" s="53" t="n"/>
      <c r="EW373" s="52" t="n"/>
      <c r="EX373" s="53" t="n"/>
      <c r="EY373" s="53" t="n"/>
      <c r="EZ373" s="53" t="n"/>
      <c r="FA373" s="53" t="n"/>
      <c r="FB373" s="53" t="n"/>
      <c r="FC373" s="53" t="n"/>
      <c r="FD373" s="53" t="n"/>
      <c r="FE37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3"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73" s="56" t="inlineStr">
        <is>
          <t>3</t>
        </is>
      </c>
      <c r="FI373" s="56" t="n"/>
      <c r="FJ373" s="56" t="inlineStr">
        <is>
          <t>Received · manager annual, quarterly, self</t>
        </is>
      </c>
      <c r="FK373" s="56" t="inlineStr">
        <is>
          <t>Talent Mapping · iFile collated</t>
        </is>
      </c>
      <c r="FL373" s="56" t="n">
        <v>20</v>
      </c>
      <c r="FM373" s="32" t="inlineStr">
        <is>
          <t>Full survey answers not in the files received · How We Grow export needed · HR</t>
        </is>
      </c>
      <c r="FN373" s="56" t="inlineStr">
        <is>
          <t>—</t>
        </is>
      </c>
      <c r="FO373" s="56" t="inlineStr">
        <is>
          <t>—</t>
        </is>
      </c>
      <c r="FP373" s="56" t="inlineStr">
        <is>
          <t>—</t>
        </is>
      </c>
      <c r="FQ373" s="56" t="inlineStr">
        <is>
          <t>—</t>
        </is>
      </c>
      <c r="FR373" s="56"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enhancement and its deployment at a sensitive client → moved up 0.5
Leadership: Evidence reads like A1: No guiding or leading described → matches the start
Business Impact: No survey or manager-mapping signal on criticality: kept at the start point.</t>
        </is>
      </c>
      <c r="FS37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3" s="56" t="inlineStr">
        <is>
          <t>Self-identified: AI / automation · Technical depth &amp; architecture
For the next role: AI / automation · Technical depth &amp; architecture</t>
        </is>
      </c>
      <c r="FU373" s="32" t="inlineStr">
        <is>
          <t>Full survey answers not in the files received · How We Grow export needed · HR</t>
        </is>
      </c>
    </row>
    <row r="374" ht="90" customHeight="1">
      <c r="A374" s="51" t="inlineStr">
        <is>
          <t>◂ Back</t>
        </is>
      </c>
      <c r="B374" s="29" t="inlineStr">
        <is>
          <t>Mapped</t>
        </is>
      </c>
      <c r="C374" s="28" t="inlineStr">
        <is>
          <t>iFile</t>
        </is>
      </c>
      <c r="D374" s="29" t="inlineStr">
        <is>
          <t>IRIS2267</t>
        </is>
      </c>
      <c r="E374" s="29" t="inlineStr">
        <is>
          <t>Saurabh Jaykumar Wanjari</t>
        </is>
      </c>
      <c r="F374" s="29" t="inlineStr">
        <is>
          <t>Technology</t>
        </is>
      </c>
      <c r="G374" s="29" t="inlineStr">
        <is>
          <t>Software Engineer</t>
        </is>
      </c>
      <c r="H374" s="29" t="inlineStr">
        <is>
          <t>Senior Software Engineer</t>
        </is>
      </c>
      <c r="I374" s="29" t="inlineStr">
        <is>
          <t>L2 – Trainee</t>
        </is>
      </c>
      <c r="J374" s="29" t="inlineStr">
        <is>
          <t>A3</t>
        </is>
      </c>
      <c r="K374" s="29" t="inlineStr">
        <is>
          <t>▲ Up</t>
        </is>
      </c>
      <c r="L374" s="29" t="inlineStr">
        <is>
          <t>Engineering &amp; Development</t>
        </is>
      </c>
      <c r="M374" s="29" t="inlineStr">
        <is>
          <t>Backend Development</t>
        </is>
      </c>
      <c r="N374" s="29" t="n"/>
      <c r="O374" s="29" t="n">
        <v>20</v>
      </c>
      <c r="P374" s="28" t="inlineStr">
        <is>
          <t>P2</t>
        </is>
      </c>
      <c r="Q374" s="29" t="inlineStr">
        <is>
          <t>Developing</t>
        </is>
      </c>
      <c r="R374" s="29" t="inlineStr">
        <is>
          <t>3 Apply</t>
        </is>
      </c>
      <c r="S374" s="29" t="inlineStr">
        <is>
          <t>2–4 yrs</t>
        </is>
      </c>
      <c r="T374" s="29" t="inlineStr">
        <is>
          <t>3–5 · 2–5</t>
        </is>
      </c>
      <c r="U374" s="29" t="inlineStr">
        <is>
          <t>Software Engineer</t>
        </is>
      </c>
      <c r="V374" s="29" t="inlineStr">
        <is>
          <t>Workiva: SE · Broadridge India: SE · Nasdaq / AxiomSL: SE · Salesforce: MTS · Atlassian: P40 · 3–7 yrs · Freshworks: Senior SE</t>
        </is>
      </c>
      <c r="W374" s="29" t="inlineStr">
        <is>
          <t>SFIA 9 · software development, programming; OWASP secure coding; cloud vendor certifications</t>
        </is>
      </c>
      <c r="X374" s="29" t="inlineStr">
        <is>
          <t>Core 2 · Future 2 · Functional 3 · Leadership not scored</t>
        </is>
      </c>
      <c r="Y374" s="52" t="n">
        <v>324</v>
      </c>
      <c r="Z374" s="53" t="inlineStr">
        <is>
          <t>IRIS2267</t>
        </is>
      </c>
      <c r="AA374" s="53" t="inlineStr">
        <is>
          <t>Employee</t>
        </is>
      </c>
      <c r="AB374" s="53" t="inlineStr">
        <is>
          <t>Active</t>
        </is>
      </c>
      <c r="AC374" s="53" t="inlineStr">
        <is>
          <t>Saurabh Jaykumar Wanjari</t>
        </is>
      </c>
      <c r="AD374" s="54" t="n">
        <v>45446</v>
      </c>
      <c r="AE374" s="53" t="inlineStr">
        <is>
          <t>Software Engineer</t>
        </is>
      </c>
      <c r="AF374" s="53" t="inlineStr">
        <is>
          <t>B.Tech</t>
        </is>
      </c>
      <c r="AG374" s="53" t="inlineStr">
        <is>
          <t>Nikhil Nalawade</t>
        </is>
      </c>
      <c r="AH374" s="53" t="inlineStr">
        <is>
          <t>N-4</t>
        </is>
      </c>
      <c r="AI374" s="53" t="inlineStr">
        <is>
          <t>Individual Contributor</t>
        </is>
      </c>
      <c r="AJ374" s="53" t="inlineStr">
        <is>
          <t>0 years, 0 months, 0 days</t>
        </is>
      </c>
      <c r="AK374" s="53" t="inlineStr">
        <is>
          <t>2 years, 2 months, 22 days</t>
        </is>
      </c>
      <c r="AL374" s="53" t="inlineStr">
        <is>
          <t>Suptech</t>
        </is>
      </c>
      <c r="AM374" s="53" t="inlineStr">
        <is>
          <t>iFile</t>
        </is>
      </c>
      <c r="AN374" s="53" t="inlineStr">
        <is>
          <t>Technology</t>
        </is>
      </c>
      <c r="AO374" s="53" t="inlineStr">
        <is>
          <t>Development</t>
        </is>
      </c>
      <c r="AP374" s="53" t="inlineStr">
        <is>
          <t>Yes</t>
        </is>
      </c>
      <c r="AQ374" s="53" t="inlineStr">
        <is>
          <t>Product/Project</t>
        </is>
      </c>
      <c r="AR374" s="53" t="inlineStr">
        <is>
          <t>Java</t>
        </is>
      </c>
      <c r="AS374" s="53" t="inlineStr">
        <is>
          <t>Technical - Developer</t>
        </is>
      </c>
      <c r="AT374" s="53" t="n">
        <v>20</v>
      </c>
      <c r="AU374" s="53" t="inlineStr">
        <is>
          <t>Covered</t>
        </is>
      </c>
      <c r="AV374" s="53" t="n"/>
      <c r="AW374" s="53" t="n"/>
      <c r="AX374" s="53" t="n"/>
      <c r="AY374" s="53" t="n"/>
      <c r="AZ374" s="53" t="n"/>
      <c r="BA374" s="53" t="n"/>
      <c r="BB374" s="53" t="n"/>
      <c r="BC374" s="53" t="n"/>
      <c r="BD374" s="53" t="n"/>
      <c r="BE374" s="53" t="n"/>
      <c r="BF374" s="53" t="n"/>
      <c r="BG374" s="53" t="n"/>
      <c r="BH374" s="53" t="n"/>
      <c r="BI374" s="53" t="n"/>
      <c r="BJ374" s="53" t="n"/>
      <c r="BK374" s="53" t="n"/>
      <c r="BL374" s="53" t="n"/>
      <c r="BM374" s="53" t="n"/>
      <c r="BN374" s="53" t="n"/>
      <c r="BO374" s="53" t="n"/>
      <c r="BP374" s="53" t="n"/>
      <c r="BQ374" s="53" t="n"/>
      <c r="BR374" s="53" t="n"/>
      <c r="BS374" s="53" t="n"/>
      <c r="BT374" s="53" t="n"/>
      <c r="BU374" s="53" t="n"/>
      <c r="BV374" s="53" t="n"/>
      <c r="BW374" s="53" t="n"/>
      <c r="BX374" s="53" t="n"/>
      <c r="BY374" s="53" t="n"/>
      <c r="BZ374" s="53" t="n"/>
      <c r="CA374" s="53" t="n"/>
      <c r="CB374" s="53" t="n"/>
      <c r="CC374" s="53" t="n"/>
      <c r="CD374" s="53" t="n"/>
      <c r="CE374" s="53" t="n"/>
      <c r="CF374" s="53" t="n"/>
      <c r="CG374" s="53" t="n"/>
      <c r="CH374" s="53" t="n"/>
      <c r="CI374" s="53" t="n"/>
      <c r="CJ374" s="53" t="n"/>
      <c r="CK374" s="53" t="n"/>
      <c r="CL374" s="53" t="n"/>
      <c r="CM374" s="53" t="n"/>
      <c r="CN374" s="53" t="n"/>
      <c r="CO374" s="53" t="n"/>
      <c r="CP374" s="53" t="n"/>
      <c r="CQ374" s="53" t="n"/>
      <c r="CR374" s="53" t="n"/>
      <c r="CS374" s="53" t="n"/>
      <c r="CT374" s="53" t="n"/>
      <c r="CU374" s="53" t="n"/>
      <c r="CV374" s="53" t="n"/>
      <c r="CW374" s="53" t="n"/>
      <c r="CX374" s="53" t="n"/>
      <c r="CY374" s="53" t="n"/>
      <c r="CZ374" s="53" t="n"/>
      <c r="DA374" s="53" t="n"/>
      <c r="DB374" s="53" t="n"/>
      <c r="DC374" s="53" t="n"/>
      <c r="DD374" s="53" t="inlineStr">
        <is>
          <t>IRIS2267</t>
        </is>
      </c>
      <c r="DE374" s="53" t="inlineStr">
        <is>
          <t>Employee</t>
        </is>
      </c>
      <c r="DF374" s="53" t="inlineStr">
        <is>
          <t>Active</t>
        </is>
      </c>
      <c r="DG374" s="53" t="inlineStr">
        <is>
          <t>Saurabh Jaykumar Wanjari</t>
        </is>
      </c>
      <c r="DH374" s="54" t="n">
        <v>45446</v>
      </c>
      <c r="DI374" s="53" t="inlineStr">
        <is>
          <t>Trainee Software Engineer</t>
        </is>
      </c>
      <c r="DJ374" s="53" t="inlineStr">
        <is>
          <t>Engineering &amp; Development</t>
        </is>
      </c>
      <c r="DK374" s="53" t="inlineStr">
        <is>
          <t>Backend Engineering · Java</t>
        </is>
      </c>
      <c r="DL374" s="53" t="inlineStr">
        <is>
          <t>Trainee Software Engineer</t>
        </is>
      </c>
      <c r="DM374" s="53" t="inlineStr">
        <is>
          <t>L2 – Trainee</t>
        </is>
      </c>
      <c r="DN374" s="53" t="inlineStr">
        <is>
          <t>B.Tech</t>
        </is>
      </c>
      <c r="DO374" s="53" t="inlineStr">
        <is>
          <t>Nikhil Nalawade</t>
        </is>
      </c>
      <c r="DP374" s="53" t="inlineStr">
        <is>
          <t>N-3</t>
        </is>
      </c>
      <c r="DQ374" s="53" t="inlineStr">
        <is>
          <t>Individual Contributor</t>
        </is>
      </c>
      <c r="DR374" s="53" t="inlineStr">
        <is>
          <t>0 years, 0 months, 0 days</t>
        </is>
      </c>
      <c r="DS374" s="53" t="inlineStr">
        <is>
          <t>2 years, 0 months, 17 days</t>
        </is>
      </c>
      <c r="DT374" s="53" t="inlineStr">
        <is>
          <t>2 years, 0 months, 17 days</t>
        </is>
      </c>
      <c r="DU374" s="53" t="n"/>
      <c r="DV374" s="53" t="inlineStr">
        <is>
          <t>Suptech</t>
        </is>
      </c>
      <c r="DW374" s="53" t="inlineStr">
        <is>
          <t>iFile</t>
        </is>
      </c>
      <c r="DX374" s="53" t="inlineStr">
        <is>
          <t>Technology</t>
        </is>
      </c>
      <c r="DY374" s="53" t="inlineStr">
        <is>
          <t>Development</t>
        </is>
      </c>
      <c r="DZ374" s="53" t="inlineStr">
        <is>
          <t>Yes</t>
        </is>
      </c>
      <c r="EA374" s="53" t="inlineStr">
        <is>
          <t>Product/Project</t>
        </is>
      </c>
      <c r="EB374" s="53" t="inlineStr">
        <is>
          <t>Java</t>
        </is>
      </c>
      <c r="EC374" s="53" t="inlineStr">
        <is>
          <t>Technical - Developer</t>
        </is>
      </c>
      <c r="ED374" s="53" t="inlineStr">
        <is>
          <t>Work From Office - Turbhe</t>
        </is>
      </c>
      <c r="EE374"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4" s="53" t="n">
        <v>4</v>
      </c>
      <c r="EI374" s="53" t="inlineStr">
        <is>
          <t>Pending</t>
        </is>
      </c>
      <c r="EJ374" s="53" t="inlineStr">
        <is>
          <t>Software Engineer</t>
        </is>
      </c>
      <c r="EK374" s="53" t="inlineStr">
        <is>
          <t>No</t>
        </is>
      </c>
      <c r="EL374" s="53" t="n">
        <v>4</v>
      </c>
      <c r="EM374" s="53" t="inlineStr">
        <is>
          <t>High</t>
        </is>
      </c>
      <c r="EN374" s="53" t="inlineStr">
        <is>
          <t>Future Leader</t>
        </is>
      </c>
      <c r="EO374" s="53" t="inlineStr">
        <is>
          <t>No</t>
        </is>
      </c>
      <c r="EP374" s="53" t="inlineStr">
        <is>
          <t>Yes</t>
        </is>
      </c>
      <c r="EQ374" s="53" t="inlineStr">
        <is>
          <t>Yes</t>
        </is>
      </c>
      <c r="ER374" s="53" t="inlineStr">
        <is>
          <t>Viranchi</t>
        </is>
      </c>
      <c r="ES374" s="53" t="inlineStr">
        <is>
          <t>1. Angular Architecture &amp; Performance
2. System Design Fundamentals
3. Secure Coding &amp; Testing Automation
4. Technical Leadership &amp; Code Reviews
5. CI/CD &amp; DevOps
6.AI for Productivity &amp; Automation
7. Soft skills</t>
        </is>
      </c>
      <c r="ET374" s="53" t="n"/>
      <c r="EU374" s="53" t="n"/>
      <c r="EV374" s="53" t="n"/>
      <c r="EW374" s="52" t="n"/>
      <c r="EX374" s="53" t="n"/>
      <c r="EY374" s="53" t="n"/>
      <c r="EZ374" s="53" t="n"/>
      <c r="FA374" s="53" t="n"/>
      <c r="FB374" s="53" t="n"/>
      <c r="FC374" s="53" t="n"/>
      <c r="FD374" s="53" t="n"/>
      <c r="FE37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4"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4" s="56" t="inlineStr">
        <is>
          <t>4</t>
        </is>
      </c>
      <c r="FI374" s="56" t="n"/>
      <c r="FJ374" s="56" t="inlineStr">
        <is>
          <t>Received · manager annual, quarterly, self</t>
        </is>
      </c>
      <c r="FK374" s="56" t="inlineStr">
        <is>
          <t>Talent Mapping · iFile collated</t>
        </is>
      </c>
      <c r="FL374" s="56" t="n">
        <v>20</v>
      </c>
      <c r="FM374" s="32" t="inlineStr">
        <is>
          <t>Full survey answers not in the files received · How We Grow export needed · HR</t>
        </is>
      </c>
      <c r="FN374" s="56" t="inlineStr">
        <is>
          <t>—</t>
        </is>
      </c>
      <c r="FO374" s="56" t="inlineStr">
        <is>
          <t>—</t>
        </is>
      </c>
      <c r="FP374" s="56" t="inlineStr">
        <is>
          <t>—</t>
        </is>
      </c>
      <c r="FQ374" s="56" t="inlineStr">
        <is>
          <t>—</t>
        </is>
      </c>
      <c r="FR374" s="56"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solutions he proposes; failures escalate to the client and he explains them → moved up 0.5
Leadership: Evidence reads like A2: Acts as technical lead at client site only 'when required'; not a standing duty → moved up 0.5
Business Impact: Moved +0.5: the survey / manager mapping marks it business-critical.</t>
        </is>
      </c>
      <c r="FS37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4" s="56" t="inlineStr">
        <is>
          <t>Self-identified: AI / automation · Technical depth &amp; architecture · Broader exposure &amp; ownership
For the next role: AI / automation · Technical depth &amp; architecture · Broader exposure &amp; ownership</t>
        </is>
      </c>
      <c r="FU374" s="32" t="inlineStr">
        <is>
          <t>Full survey answers not in the files received · How We Grow export needed · HR</t>
        </is>
      </c>
    </row>
    <row r="375" ht="90" customHeight="1">
      <c r="A375" s="51" t="inlineStr">
        <is>
          <t>◂ Back</t>
        </is>
      </c>
      <c r="B375" s="29" t="inlineStr">
        <is>
          <t>Mapped</t>
        </is>
      </c>
      <c r="C375" s="28" t="inlineStr">
        <is>
          <t>iFile</t>
        </is>
      </c>
      <c r="D375" s="29" t="inlineStr">
        <is>
          <t>IRIS2298</t>
        </is>
      </c>
      <c r="E375" s="29" t="inlineStr">
        <is>
          <t>Shubham Shrikhande</t>
        </is>
      </c>
      <c r="F375" s="29" t="inlineStr">
        <is>
          <t>Technology</t>
        </is>
      </c>
      <c r="G375" s="29" t="inlineStr">
        <is>
          <t>Software Engineer</t>
        </is>
      </c>
      <c r="H375" s="29" t="inlineStr">
        <is>
          <t>Senior Software Engineer</t>
        </is>
      </c>
      <c r="I375" s="29" t="inlineStr">
        <is>
          <t>L3 – Professional / Associate</t>
        </is>
      </c>
      <c r="J375" s="29" t="inlineStr">
        <is>
          <t>A3</t>
        </is>
      </c>
      <c r="K375" s="29" t="inlineStr">
        <is>
          <t>▲ Up</t>
        </is>
      </c>
      <c r="L375" s="29" t="inlineStr">
        <is>
          <t>Engineering &amp; Development</t>
        </is>
      </c>
      <c r="M375" s="29" t="inlineStr">
        <is>
          <t>Backend Development</t>
        </is>
      </c>
      <c r="N375" s="29" t="n"/>
      <c r="O375" s="29" t="n">
        <v>20</v>
      </c>
      <c r="P375" s="28" t="inlineStr">
        <is>
          <t>P2</t>
        </is>
      </c>
      <c r="Q375" s="29" t="inlineStr">
        <is>
          <t>Developing</t>
        </is>
      </c>
      <c r="R375" s="29" t="inlineStr">
        <is>
          <t>3 Apply</t>
        </is>
      </c>
      <c r="S375" s="29" t="inlineStr">
        <is>
          <t>2–4 yrs</t>
        </is>
      </c>
      <c r="T375" s="29" t="inlineStr">
        <is>
          <t>3–5 · 2–5</t>
        </is>
      </c>
      <c r="U375" s="29" t="inlineStr">
        <is>
          <t>Software Engineer</t>
        </is>
      </c>
      <c r="V375" s="29" t="inlineStr">
        <is>
          <t>Workiva: SE · Broadridge India: SE · Nasdaq / AxiomSL: SE · Salesforce: MTS · Atlassian: P40 · 3–7 yrs · Freshworks: Senior SE</t>
        </is>
      </c>
      <c r="W375" s="29" t="inlineStr">
        <is>
          <t>SFIA 9 · software development, programming; OWASP secure coding; cloud vendor certifications</t>
        </is>
      </c>
      <c r="X375" s="29" t="inlineStr">
        <is>
          <t>Core 2 · Future 2 · Functional 3 · Leadership not scored</t>
        </is>
      </c>
      <c r="Y375" s="52" t="n">
        <v>336</v>
      </c>
      <c r="Z375" s="53" t="inlineStr">
        <is>
          <t>IRIS2298</t>
        </is>
      </c>
      <c r="AA375" s="53" t="inlineStr">
        <is>
          <t>Employee</t>
        </is>
      </c>
      <c r="AB375" s="53" t="inlineStr">
        <is>
          <t>Active</t>
        </is>
      </c>
      <c r="AC375" s="53" t="inlineStr">
        <is>
          <t>Shubham Shrikhande</t>
        </is>
      </c>
      <c r="AD375" s="54" t="n">
        <v>45505</v>
      </c>
      <c r="AE375" s="53" t="inlineStr">
        <is>
          <t>Software Engineer</t>
        </is>
      </c>
      <c r="AF375" s="53" t="inlineStr">
        <is>
          <t>B.E</t>
        </is>
      </c>
      <c r="AG375" s="53" t="inlineStr">
        <is>
          <t>Nikhil Nalawade</t>
        </is>
      </c>
      <c r="AH375" s="53" t="inlineStr">
        <is>
          <t>N-4</t>
        </is>
      </c>
      <c r="AI375" s="53" t="inlineStr">
        <is>
          <t>Individual Contributor</t>
        </is>
      </c>
      <c r="AJ375" s="53" t="inlineStr">
        <is>
          <t>1 years, 0 months, 0 days</t>
        </is>
      </c>
      <c r="AK375" s="53" t="inlineStr">
        <is>
          <t>2 years, 0 months, 24 days</t>
        </is>
      </c>
      <c r="AL375" s="53" t="inlineStr">
        <is>
          <t>Suptech</t>
        </is>
      </c>
      <c r="AM375" s="53" t="inlineStr">
        <is>
          <t>iFile</t>
        </is>
      </c>
      <c r="AN375" s="53" t="inlineStr">
        <is>
          <t>Technology</t>
        </is>
      </c>
      <c r="AO375" s="53" t="inlineStr">
        <is>
          <t>Development</t>
        </is>
      </c>
      <c r="AP375" s="53" t="inlineStr">
        <is>
          <t>Yes</t>
        </is>
      </c>
      <c r="AQ375" s="53" t="inlineStr">
        <is>
          <t>Product/Project</t>
        </is>
      </c>
      <c r="AR375" s="53" t="inlineStr">
        <is>
          <t>Java</t>
        </is>
      </c>
      <c r="AS375" s="53" t="inlineStr">
        <is>
          <t>Technical - Developer</t>
        </is>
      </c>
      <c r="AT375" s="53" t="n">
        <v>20</v>
      </c>
      <c r="AU375" s="53" t="inlineStr">
        <is>
          <t>Covered</t>
        </is>
      </c>
      <c r="AV375" s="53" t="n"/>
      <c r="AW375" s="53" t="n"/>
      <c r="AX375" s="53" t="n"/>
      <c r="AY375" s="53" t="n"/>
      <c r="AZ375" s="53" t="n"/>
      <c r="BA375" s="53" t="n"/>
      <c r="BB375" s="53" t="n"/>
      <c r="BC375" s="53" t="n"/>
      <c r="BD375" s="53" t="n"/>
      <c r="BE375" s="53" t="n"/>
      <c r="BF375" s="53" t="n"/>
      <c r="BG375" s="53" t="n"/>
      <c r="BH375" s="53" t="n"/>
      <c r="BI375" s="53" t="n"/>
      <c r="BJ375" s="53" t="n"/>
      <c r="BK375" s="53" t="n"/>
      <c r="BL375" s="53" t="n"/>
      <c r="BM375" s="53" t="n"/>
      <c r="BN375" s="53" t="n"/>
      <c r="BO375" s="53" t="n"/>
      <c r="BP375" s="53" t="n"/>
      <c r="BQ375" s="53" t="n"/>
      <c r="BR375" s="53" t="n"/>
      <c r="BS375" s="53" t="n"/>
      <c r="BT375" s="53" t="n"/>
      <c r="BU375" s="53" t="n"/>
      <c r="BV375" s="53" t="n"/>
      <c r="BW375" s="53" t="n"/>
      <c r="BX375" s="53" t="n"/>
      <c r="BY375" s="53" t="n"/>
      <c r="BZ375" s="53" t="n"/>
      <c r="CA375" s="53" t="n"/>
      <c r="CB375" s="53" t="n"/>
      <c r="CC375" s="53" t="n"/>
      <c r="CD375" s="53" t="n"/>
      <c r="CE375" s="53" t="n"/>
      <c r="CF375" s="53" t="n"/>
      <c r="CG375" s="53" t="n"/>
      <c r="CH375" s="53" t="n"/>
      <c r="CI375" s="53" t="n"/>
      <c r="CJ375" s="53" t="n"/>
      <c r="CK375" s="53" t="n"/>
      <c r="CL375" s="53" t="n"/>
      <c r="CM375" s="53" t="n"/>
      <c r="CN375" s="53" t="n"/>
      <c r="CO375" s="53" t="n"/>
      <c r="CP375" s="53" t="n"/>
      <c r="CQ375" s="53" t="n"/>
      <c r="CR375" s="53" t="n"/>
      <c r="CS375" s="53" t="n"/>
      <c r="CT375" s="53" t="n"/>
      <c r="CU375" s="53" t="n"/>
      <c r="CV375" s="53" t="n"/>
      <c r="CW375" s="53" t="n"/>
      <c r="CX375" s="53" t="n"/>
      <c r="CY375" s="53" t="n"/>
      <c r="CZ375" s="53" t="n"/>
      <c r="DA375" s="53" t="n"/>
      <c r="DB375" s="53" t="n"/>
      <c r="DC375" s="53" t="n"/>
      <c r="DD375" s="53" t="inlineStr">
        <is>
          <t>IRIS2298</t>
        </is>
      </c>
      <c r="DE375" s="53" t="inlineStr">
        <is>
          <t>Employee</t>
        </is>
      </c>
      <c r="DF375" s="53" t="inlineStr">
        <is>
          <t>Active</t>
        </is>
      </c>
      <c r="DG375" s="53" t="inlineStr">
        <is>
          <t>Shubham Shrikhande</t>
        </is>
      </c>
      <c r="DH375" s="54" t="n">
        <v>45505</v>
      </c>
      <c r="DI375" s="53" t="inlineStr">
        <is>
          <t>Software Engineer</t>
        </is>
      </c>
      <c r="DJ375" s="53" t="inlineStr">
        <is>
          <t>Engineering &amp; Development</t>
        </is>
      </c>
      <c r="DK375" s="53" t="inlineStr">
        <is>
          <t>Backend Engineering · Java</t>
        </is>
      </c>
      <c r="DL375" s="53" t="inlineStr">
        <is>
          <t>Software Engineer</t>
        </is>
      </c>
      <c r="DM375" s="53" t="inlineStr">
        <is>
          <t>L3 – Professional / Associate</t>
        </is>
      </c>
      <c r="DN375" s="53" t="inlineStr">
        <is>
          <t>B.E</t>
        </is>
      </c>
      <c r="DO375" s="53" t="inlineStr">
        <is>
          <t>Nikhil Nalawade</t>
        </is>
      </c>
      <c r="DP375" s="53" t="inlineStr">
        <is>
          <t>N-3</t>
        </is>
      </c>
      <c r="DQ375" s="53" t="inlineStr">
        <is>
          <t>Individual Contributor</t>
        </is>
      </c>
      <c r="DR375" s="53" t="inlineStr">
        <is>
          <t>1 years, 0 months, 0 days</t>
        </is>
      </c>
      <c r="DS375" s="53" t="inlineStr">
        <is>
          <t>1 years, 10 months, 19 days</t>
        </is>
      </c>
      <c r="DT375" s="53" t="inlineStr">
        <is>
          <t>2 years, 10 months, 19 days</t>
        </is>
      </c>
      <c r="DU375" s="53" t="n"/>
      <c r="DV375" s="53" t="inlineStr">
        <is>
          <t>Suptech</t>
        </is>
      </c>
      <c r="DW375" s="53" t="inlineStr">
        <is>
          <t>iFile</t>
        </is>
      </c>
      <c r="DX375" s="53" t="inlineStr">
        <is>
          <t>Technology</t>
        </is>
      </c>
      <c r="DY375" s="53" t="inlineStr">
        <is>
          <t>Development</t>
        </is>
      </c>
      <c r="DZ375" s="53" t="inlineStr">
        <is>
          <t>Yes</t>
        </is>
      </c>
      <c r="EA375" s="53" t="inlineStr">
        <is>
          <t>Product/Project</t>
        </is>
      </c>
      <c r="EB375" s="53" t="inlineStr">
        <is>
          <t>Java</t>
        </is>
      </c>
      <c r="EC375" s="53" t="inlineStr">
        <is>
          <t>Technical - Developer</t>
        </is>
      </c>
      <c r="ED375" s="53" t="inlineStr">
        <is>
          <t>Hybrid</t>
        </is>
      </c>
      <c r="EE375"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5" s="53" t="n">
        <v>4</v>
      </c>
      <c r="EI375" s="53" t="inlineStr">
        <is>
          <t>Pending</t>
        </is>
      </c>
      <c r="EJ375" s="53" t="inlineStr">
        <is>
          <t>Software Engineer</t>
        </is>
      </c>
      <c r="EK375" s="53" t="inlineStr">
        <is>
          <t>No</t>
        </is>
      </c>
      <c r="EL375" s="53" t="n">
        <v>4</v>
      </c>
      <c r="EM375" s="53" t="inlineStr">
        <is>
          <t>High</t>
        </is>
      </c>
      <c r="EN375" s="53" t="inlineStr">
        <is>
          <t>High Impact / Growth Talent</t>
        </is>
      </c>
      <c r="EO375" s="53" t="inlineStr">
        <is>
          <t>No</t>
        </is>
      </c>
      <c r="EP375" s="53" t="inlineStr">
        <is>
          <t>No</t>
        </is>
      </c>
      <c r="EQ375" s="53" t="inlineStr">
        <is>
          <t>Yes</t>
        </is>
      </c>
      <c r="ER375" s="53" t="inlineStr">
        <is>
          <t>Not Yet</t>
        </is>
      </c>
      <c r="ES375" s="53" t="inlineStr">
        <is>
          <t>1. Angular Architecture &amp; Performance
2. System Design Fundamentals
3. Secure Coding &amp; Testing Automation
4. Technical Leadership &amp; Code Reviews
5. CI/CD &amp; DevOps
6.AI for Productivity &amp; Automation
7. Soft skills</t>
        </is>
      </c>
      <c r="ET375" s="53" t="n"/>
      <c r="EU375" s="53" t="n"/>
      <c r="EV375" s="53" t="n"/>
      <c r="EW375" s="52" t="n"/>
      <c r="EX375" s="53" t="n"/>
      <c r="EY375" s="53" t="n"/>
      <c r="EZ375" s="53" t="n"/>
      <c r="FA375" s="53" t="n"/>
      <c r="FB375" s="53" t="n"/>
      <c r="FC375" s="53" t="n"/>
      <c r="FD375" s="53" t="n"/>
      <c r="FE37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5"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5" s="56" t="inlineStr">
        <is>
          <t>4</t>
        </is>
      </c>
      <c r="FI375" s="56" t="n"/>
      <c r="FJ375" s="56" t="inlineStr">
        <is>
          <t>Received · manager annual, quarterly, self</t>
        </is>
      </c>
      <c r="FK375" s="56" t="inlineStr">
        <is>
          <t>Talent Mapping · iFile collated</t>
        </is>
      </c>
      <c r="FL375" s="56" t="n">
        <v>20</v>
      </c>
      <c r="FM375" s="32" t="inlineStr">
        <is>
          <t>Full survey answers not in the files received · How We Grow export needed · HR</t>
        </is>
      </c>
      <c r="FN375" s="56" t="inlineStr">
        <is>
          <t>—</t>
        </is>
      </c>
      <c r="FO375" s="56" t="inlineStr">
        <is>
          <t>—</t>
        </is>
      </c>
      <c r="FP375" s="56" t="inlineStr">
        <is>
          <t>—</t>
        </is>
      </c>
      <c r="FQ375" s="56" t="inlineStr">
        <is>
          <t>—</t>
        </is>
      </c>
      <c r="FR375" s="56"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matches the start
Leadership: Evidence reads like A1: No guiding or leading described → matches the start
Business Impact: Moved +0.5: the survey / manager mapping marks it business-critical.</t>
        </is>
      </c>
      <c r="FS37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5" s="56" t="inlineStr">
        <is>
          <t>Self-identified: Leadership &amp; people management · Technical depth &amp; architecture
For the next role: Leadership &amp; people management · Technical depth &amp; architecture</t>
        </is>
      </c>
      <c r="FU375" s="32" t="inlineStr">
        <is>
          <t>Full survey answers not in the files received · How We Grow export needed · HR</t>
        </is>
      </c>
    </row>
    <row r="376" ht="90" customHeight="1">
      <c r="A376" s="51" t="inlineStr">
        <is>
          <t>◂ Back</t>
        </is>
      </c>
      <c r="B376" s="29" t="inlineStr">
        <is>
          <t>Mapped</t>
        </is>
      </c>
      <c r="C376" s="28" t="inlineStr">
        <is>
          <t>iFile</t>
        </is>
      </c>
      <c r="D376" s="29" t="inlineStr">
        <is>
          <t>IRIS2291</t>
        </is>
      </c>
      <c r="E376" s="29" t="inlineStr">
        <is>
          <t>Shubham Yadav</t>
        </is>
      </c>
      <c r="F376" s="29" t="inlineStr">
        <is>
          <t>Technology</t>
        </is>
      </c>
      <c r="G376" s="29" t="inlineStr">
        <is>
          <t>Software Engineer</t>
        </is>
      </c>
      <c r="H376" s="29" t="inlineStr">
        <is>
          <t>Senior UI Developer</t>
        </is>
      </c>
      <c r="I376" s="29" t="inlineStr">
        <is>
          <t>L3 – Professional / Associate</t>
        </is>
      </c>
      <c r="J376" s="29" t="inlineStr">
        <is>
          <t>A3</t>
        </is>
      </c>
      <c r="K376" s="29" t="inlineStr">
        <is>
          <t>▲ Up</t>
        </is>
      </c>
      <c r="L376" s="29" t="inlineStr">
        <is>
          <t>Engineering &amp; Development</t>
        </is>
      </c>
      <c r="M376" s="29" t="inlineStr">
        <is>
          <t>Front-End / UI Development</t>
        </is>
      </c>
      <c r="N376" s="29" t="inlineStr">
        <is>
          <t>• Confirm the reporting line — Manager</t>
        </is>
      </c>
      <c r="O376" s="29" t="n">
        <v>0</v>
      </c>
      <c r="P376" s="28" t="inlineStr">
        <is>
          <t>P2</t>
        </is>
      </c>
      <c r="Q376" s="29" t="inlineStr">
        <is>
          <t>Developing</t>
        </is>
      </c>
      <c r="R376" s="29" t="inlineStr">
        <is>
          <t>3 Apply</t>
        </is>
      </c>
      <c r="S376" s="29" t="inlineStr">
        <is>
          <t>2–4 yrs</t>
        </is>
      </c>
      <c r="T376" s="29" t="inlineStr">
        <is>
          <t>3–5 · 2–5</t>
        </is>
      </c>
      <c r="U376" s="29" t="inlineStr">
        <is>
          <t>Software Engineer</t>
        </is>
      </c>
      <c r="V376" s="29" t="inlineStr">
        <is>
          <t>Workiva: SE · Broadridge India: SE · Nasdaq / AxiomSL: SE · Salesforce: MTS · Atlassian: P40 · 3–7 yrs · Freshworks: Senior SE</t>
        </is>
      </c>
      <c r="W376" s="29" t="inlineStr">
        <is>
          <t>SFIA 9 · software development, programming; OWASP secure coding; cloud vendor certifications</t>
        </is>
      </c>
      <c r="X376" s="29" t="inlineStr">
        <is>
          <t>Core 2 · Future 2 · Functional 3 · Leadership not scored</t>
        </is>
      </c>
      <c r="Y376" s="52" t="n">
        <v>332</v>
      </c>
      <c r="Z376" s="53" t="inlineStr">
        <is>
          <t>IRIS2291</t>
        </is>
      </c>
      <c r="AA376" s="53" t="inlineStr">
        <is>
          <t>Employee</t>
        </is>
      </c>
      <c r="AB376" s="53" t="inlineStr">
        <is>
          <t>Serving Notice</t>
        </is>
      </c>
      <c r="AC376" s="53" t="inlineStr">
        <is>
          <t>Shubham Yadav</t>
        </is>
      </c>
      <c r="AD376" s="54" t="n">
        <v>45481</v>
      </c>
      <c r="AE376" s="53" t="inlineStr">
        <is>
          <t>Software Engineer</t>
        </is>
      </c>
      <c r="AF376" s="53" t="inlineStr">
        <is>
          <t>B.E</t>
        </is>
      </c>
      <c r="AG376" s="53" t="inlineStr">
        <is>
          <t>Nikhil Nalawade</t>
        </is>
      </c>
      <c r="AH376" s="53" t="inlineStr">
        <is>
          <t>N-4</t>
        </is>
      </c>
      <c r="AI376" s="53" t="inlineStr">
        <is>
          <t>Manager</t>
        </is>
      </c>
      <c r="AJ376" s="53" t="inlineStr">
        <is>
          <t>3 years, 3 months, 0 days</t>
        </is>
      </c>
      <c r="AK376" s="53" t="inlineStr">
        <is>
          <t>2 years, 1 months, 17 days</t>
        </is>
      </c>
      <c r="AL376" s="53" t="inlineStr">
        <is>
          <t>Suptech</t>
        </is>
      </c>
      <c r="AM376" s="53" t="inlineStr">
        <is>
          <t>iFile</t>
        </is>
      </c>
      <c r="AN376" s="53" t="inlineStr">
        <is>
          <t>Technology</t>
        </is>
      </c>
      <c r="AO376" s="53" t="inlineStr">
        <is>
          <t>Development</t>
        </is>
      </c>
      <c r="AP376" s="53" t="inlineStr">
        <is>
          <t>Yes</t>
        </is>
      </c>
      <c r="AQ376" s="53" t="inlineStr">
        <is>
          <t>Product/Project</t>
        </is>
      </c>
      <c r="AR376" s="53" t="inlineStr">
        <is>
          <t>Angular</t>
        </is>
      </c>
      <c r="AS376" s="53" t="inlineStr">
        <is>
          <t>Technical - Developer</t>
        </is>
      </c>
      <c r="AT376" s="53" t="n">
        <v>0</v>
      </c>
      <c r="AU376" s="53" t="inlineStr">
        <is>
          <t>Excluded</t>
        </is>
      </c>
      <c r="AV376" s="53" t="n"/>
      <c r="AW376" s="53" t="n"/>
      <c r="AX376" s="53" t="n"/>
      <c r="AY376" s="53" t="n"/>
      <c r="AZ376" s="53" t="n"/>
      <c r="BA376" s="53" t="n"/>
      <c r="BB376" s="53" t="n"/>
      <c r="BC376" s="53" t="n"/>
      <c r="BD376" s="53" t="n"/>
      <c r="BE376" s="53" t="n"/>
      <c r="BF376" s="53" t="n"/>
      <c r="BG376" s="53" t="n"/>
      <c r="BH376" s="53" t="n"/>
      <c r="BI376" s="53" t="n"/>
      <c r="BJ376" s="53" t="n"/>
      <c r="BK376" s="53" t="n"/>
      <c r="BL376" s="53" t="n"/>
      <c r="BM376" s="53" t="n"/>
      <c r="BN376" s="53" t="n"/>
      <c r="BO376" s="53" t="n"/>
      <c r="BP376" s="53" t="n"/>
      <c r="BQ376" s="53" t="n"/>
      <c r="BR376" s="53" t="n"/>
      <c r="BS376" s="53" t="n"/>
      <c r="BT376" s="53" t="n"/>
      <c r="BU376" s="53" t="n"/>
      <c r="BV376" s="53" t="n"/>
      <c r="BW376" s="53" t="n"/>
      <c r="BX376" s="53" t="n"/>
      <c r="BY376" s="53" t="n"/>
      <c r="BZ376" s="53" t="n"/>
      <c r="CA376" s="53" t="n"/>
      <c r="CB376" s="53" t="n"/>
      <c r="CC376" s="53" t="n"/>
      <c r="CD376" s="53" t="n"/>
      <c r="CE376" s="53" t="n"/>
      <c r="CF376" s="53" t="n"/>
      <c r="CG376" s="53" t="n"/>
      <c r="CH376" s="53" t="n"/>
      <c r="CI376" s="53" t="n"/>
      <c r="CJ376" s="53" t="n"/>
      <c r="CK376" s="53" t="n"/>
      <c r="CL376" s="53" t="n"/>
      <c r="CM376" s="53" t="n"/>
      <c r="CN376" s="53" t="n"/>
      <c r="CO376" s="53" t="n"/>
      <c r="CP376" s="53" t="n"/>
      <c r="CQ376" s="53" t="n"/>
      <c r="CR376" s="53" t="n"/>
      <c r="CS376" s="53" t="n"/>
      <c r="CT376" s="53" t="n"/>
      <c r="CU376" s="53" t="n"/>
      <c r="CV376" s="53" t="n"/>
      <c r="CW376" s="53" t="n"/>
      <c r="CX376" s="53" t="n"/>
      <c r="CY376" s="53" t="n"/>
      <c r="CZ376" s="53" t="n"/>
      <c r="DA376" s="53" t="n"/>
      <c r="DB376" s="53" t="n"/>
      <c r="DC376" s="53" t="n"/>
      <c r="DD376" s="53" t="inlineStr">
        <is>
          <t>IRIS2291</t>
        </is>
      </c>
      <c r="DE376" s="53" t="inlineStr">
        <is>
          <t>Employee</t>
        </is>
      </c>
      <c r="DF376" s="53" t="inlineStr">
        <is>
          <t>Active</t>
        </is>
      </c>
      <c r="DG376" s="53" t="inlineStr">
        <is>
          <t>Shubham Yadav</t>
        </is>
      </c>
      <c r="DH376" s="54" t="n">
        <v>45481</v>
      </c>
      <c r="DI376" s="53" t="inlineStr">
        <is>
          <t>Software Engineer</t>
        </is>
      </c>
      <c r="DJ376" s="53" t="inlineStr">
        <is>
          <t>Engineering &amp; Development</t>
        </is>
      </c>
      <c r="DK376" s="53" t="inlineStr">
        <is>
          <t>Software Engineering</t>
        </is>
      </c>
      <c r="DL376" s="53" t="inlineStr">
        <is>
          <t>Software Engineer</t>
        </is>
      </c>
      <c r="DM376" s="53" t="inlineStr">
        <is>
          <t>L3 – Professional / Associate</t>
        </is>
      </c>
      <c r="DN376" s="53" t="inlineStr">
        <is>
          <t>B.E</t>
        </is>
      </c>
      <c r="DO376" s="53" t="inlineStr">
        <is>
          <t>Nikhil Nalawade</t>
        </is>
      </c>
      <c r="DP376" s="53" t="inlineStr">
        <is>
          <t>N-3</t>
        </is>
      </c>
      <c r="DQ376" s="53" t="inlineStr">
        <is>
          <t>Manager</t>
        </is>
      </c>
      <c r="DR376" s="53" t="inlineStr">
        <is>
          <t>3 years, 3 months, 0 days</t>
        </is>
      </c>
      <c r="DS376" s="53" t="inlineStr">
        <is>
          <t>1 years, 11 months, 12 days</t>
        </is>
      </c>
      <c r="DT376" s="53" t="inlineStr">
        <is>
          <t>5 years, 2 months, 12 days</t>
        </is>
      </c>
      <c r="DU376" s="53" t="n">
        <v>1.94954337899543</v>
      </c>
      <c r="DV376" s="53" t="inlineStr">
        <is>
          <t>Suptech</t>
        </is>
      </c>
      <c r="DW376" s="53" t="inlineStr">
        <is>
          <t>iFile</t>
        </is>
      </c>
      <c r="DX376" s="53" t="inlineStr">
        <is>
          <t>Technology</t>
        </is>
      </c>
      <c r="DY376" s="53" t="inlineStr">
        <is>
          <t>Development</t>
        </is>
      </c>
      <c r="DZ376" s="53" t="inlineStr">
        <is>
          <t>Yes</t>
        </is>
      </c>
      <c r="EA376" s="53" t="inlineStr">
        <is>
          <t>Product/Project</t>
        </is>
      </c>
      <c r="EB376" s="53" t="inlineStr">
        <is>
          <t>Angular</t>
        </is>
      </c>
      <c r="EC376" s="53" t="inlineStr">
        <is>
          <t>Technical - Developer</t>
        </is>
      </c>
      <c r="ED376" s="53" t="inlineStr">
        <is>
          <t>Remote - Mumbai</t>
        </is>
      </c>
      <c r="EE376" s="53" t="n"/>
      <c r="EF376"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76"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376" s="53" t="n"/>
      <c r="EI376" s="53" t="n"/>
      <c r="EJ376" s="53" t="inlineStr">
        <is>
          <t>Software Engineer</t>
        </is>
      </c>
      <c r="EK376" s="53" t="inlineStr">
        <is>
          <t>Carries manager responsibility on a non-lead title – align title/grade to people-management scope</t>
        </is>
      </c>
      <c r="EL376" s="53" t="n"/>
      <c r="EM376" s="53" t="n"/>
      <c r="EN376" s="53" t="n"/>
      <c r="EO376" s="53" t="n"/>
      <c r="EP376" s="53" t="n"/>
      <c r="EQ376" s="53" t="n"/>
      <c r="ER376" s="53" t="n"/>
      <c r="ES376" s="53" t="inlineStr">
        <is>
          <t>Advanced Angular; secure coding &amp; code-quality practices; unit/automated testing; system design fundamentals | People management: goal-setting &amp; feedback, 1:1 coaching, performance conversations</t>
        </is>
      </c>
      <c r="ET376" s="53" t="inlineStr">
        <is>
          <t>Leadership development: strategic thinking, cross-functional influence, financial/business acumen, succession &amp; talent development, change management, executive communication</t>
        </is>
      </c>
      <c r="EU376" s="53" t="n"/>
      <c r="EV376" s="53" t="n"/>
      <c r="EW376" s="52" t="n"/>
      <c r="EX376" s="53" t="n"/>
      <c r="EY376" s="53" t="n"/>
      <c r="EZ376" s="53" t="n"/>
      <c r="FA376" s="53" t="n"/>
      <c r="FB376" s="53" t="n"/>
      <c r="FC376" s="53" t="n"/>
      <c r="FD376" s="53" t="n"/>
      <c r="FE376"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76"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376" s="56" t="n"/>
      <c r="FH376" s="56" t="n"/>
      <c r="FI376" s="56" t="n"/>
      <c r="FJ376" s="56" t="inlineStr">
        <is>
          <t>Received · manager annual, quarterly</t>
        </is>
      </c>
      <c r="FK376" s="56" t="inlineStr">
        <is>
          <t>Talent Mapping · iFile collated</t>
        </is>
      </c>
      <c r="FL376" s="56" t="n">
        <v>0</v>
      </c>
      <c r="FM376" s="32" t="inlineStr">
        <is>
          <t>No survey response on file</t>
        </is>
      </c>
      <c r="FN376" s="56" t="inlineStr">
        <is>
          <t>—</t>
        </is>
      </c>
      <c r="FO376" s="56" t="inlineStr">
        <is>
          <t>—</t>
        </is>
      </c>
      <c r="FP376" s="56" t="inlineStr">
        <is>
          <t>—</t>
        </is>
      </c>
      <c r="FQ376" s="56" t="inlineStr">
        <is>
          <t>—</t>
        </is>
      </c>
      <c r="FR376" s="56"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goals, monthly 1:1s and upskilling for reports; one direct report → moved down 0.5
Business Impact: No survey or manager-mapping signal on criticality: kept at the start point.</t>
        </is>
      </c>
      <c r="FS376"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376" s="56" t="n"/>
      <c r="FU376" s="32" t="inlineStr">
        <is>
          <t>No survey response on file</t>
        </is>
      </c>
    </row>
    <row r="377" ht="90" customHeight="1">
      <c r="A377" s="51" t="inlineStr">
        <is>
          <t>◂ Back</t>
        </is>
      </c>
      <c r="B377" s="29" t="inlineStr">
        <is>
          <t>Mapped</t>
        </is>
      </c>
      <c r="C377" s="28" t="inlineStr">
        <is>
          <t>iFile</t>
        </is>
      </c>
      <c r="D377" s="29" t="inlineStr">
        <is>
          <t>IRIS2559</t>
        </is>
      </c>
      <c r="E377" s="29" t="inlineStr">
        <is>
          <t>Amaan Ullah</t>
        </is>
      </c>
      <c r="F377" s="29" t="inlineStr">
        <is>
          <t>Technology</t>
        </is>
      </c>
      <c r="G377" s="29" t="inlineStr">
        <is>
          <t>Trainee Software Engineer</t>
        </is>
      </c>
      <c r="H377" s="29" t="inlineStr">
        <is>
          <t>Trainee Software Engineer</t>
        </is>
      </c>
      <c r="I377" s="29" t="inlineStr">
        <is>
          <t>L1 – Intern</t>
        </is>
      </c>
      <c r="J377" s="29" t="inlineStr">
        <is>
          <t>A1</t>
        </is>
      </c>
      <c r="K377" s="29" t="inlineStr">
        <is>
          <t>• Same level</t>
        </is>
      </c>
      <c r="L377" s="29" t="inlineStr">
        <is>
          <t>Engineering &amp; Development</t>
        </is>
      </c>
      <c r="M377" s="29" t="inlineStr">
        <is>
          <t>Full-Stack Development</t>
        </is>
      </c>
      <c r="N377" s="29" t="n"/>
      <c r="O377" s="29" t="n">
        <v>20</v>
      </c>
      <c r="P377" s="28" t="inlineStr">
        <is>
          <t>Entry / P1 · intern</t>
        </is>
      </c>
      <c r="Q377" s="29" t="inlineStr">
        <is>
          <t>Entry</t>
        </is>
      </c>
      <c r="R377" s="29" t="inlineStr">
        <is>
          <t>1 Follow</t>
        </is>
      </c>
      <c r="S377" s="29" t="inlineStr">
        <is>
          <t>0 yrs · fresher / intern</t>
        </is>
      </c>
      <c r="T377" s="29" t="inlineStr">
        <is>
          <t>—</t>
        </is>
      </c>
      <c r="U377" s="29" t="inlineStr">
        <is>
          <t>Associate Software Engineer</t>
        </is>
      </c>
      <c r="V377" s="29" t="inlineStr">
        <is>
          <t>—</t>
        </is>
      </c>
      <c r="W377" s="29" t="inlineStr">
        <is>
          <t>SFIA 9 · software development, programming; OWASP secure coding; cloud vendor certifications</t>
        </is>
      </c>
      <c r="X377" s="29" t="inlineStr">
        <is>
          <t>Core 1 · Future 1 · Functional 1 · Leadership not scored</t>
        </is>
      </c>
      <c r="Y377" s="52" t="n">
        <v>532</v>
      </c>
      <c r="Z377" s="53" t="inlineStr">
        <is>
          <t>IRIS2559</t>
        </is>
      </c>
      <c r="AA377" s="53" t="inlineStr">
        <is>
          <t>Employee</t>
        </is>
      </c>
      <c r="AB377" s="53" t="inlineStr">
        <is>
          <t>Active</t>
        </is>
      </c>
      <c r="AC377" s="53" t="inlineStr">
        <is>
          <t>Amaan Ullah</t>
        </is>
      </c>
      <c r="AD377" s="54" t="n">
        <v>46266</v>
      </c>
      <c r="AE377" s="53" t="inlineStr">
        <is>
          <t>Trainee Software Engineer</t>
        </is>
      </c>
      <c r="AF377" s="53" t="inlineStr">
        <is>
          <t>B.Tech</t>
        </is>
      </c>
      <c r="AG377" s="53" t="inlineStr">
        <is>
          <t>Shubham Yadav</t>
        </is>
      </c>
      <c r="AH377" s="53" t="inlineStr">
        <is>
          <t>N-5</t>
        </is>
      </c>
      <c r="AI377" s="53" t="inlineStr">
        <is>
          <t>Individual Contributor</t>
        </is>
      </c>
      <c r="AJ377" s="53" t="n"/>
      <c r="AK377" s="53" t="n"/>
      <c r="AL377" s="53" t="inlineStr">
        <is>
          <t>Suptech</t>
        </is>
      </c>
      <c r="AM377" s="53" t="inlineStr">
        <is>
          <t>iFile</t>
        </is>
      </c>
      <c r="AN377" s="53" t="inlineStr">
        <is>
          <t>Technology</t>
        </is>
      </c>
      <c r="AO377" s="53" t="inlineStr">
        <is>
          <t>Development</t>
        </is>
      </c>
      <c r="AP377" s="53" t="inlineStr">
        <is>
          <t>Yes</t>
        </is>
      </c>
      <c r="AQ377" s="53" t="inlineStr">
        <is>
          <t>Product/Project</t>
        </is>
      </c>
      <c r="AR377" s="53" t="inlineStr">
        <is>
          <t>Angular</t>
        </is>
      </c>
      <c r="AS377" s="53" t="inlineStr">
        <is>
          <t>Technical - Developer</t>
        </is>
      </c>
      <c r="AT377" s="53" t="n">
        <v>20</v>
      </c>
      <c r="AU377" s="53" t="inlineStr">
        <is>
          <t>Covered</t>
        </is>
      </c>
      <c r="AV377" s="53" t="n"/>
      <c r="AW377" s="53" t="n"/>
      <c r="AX377" s="53" t="n"/>
      <c r="AY377" s="53" t="n"/>
      <c r="AZ377" s="53" t="n"/>
      <c r="BA377" s="53" t="n"/>
      <c r="BB377" s="53" t="n"/>
      <c r="BC377" s="53" t="n"/>
      <c r="BD377" s="53" t="n"/>
      <c r="BE377" s="53" t="n"/>
      <c r="BF377" s="53" t="n"/>
      <c r="BG377" s="53" t="n"/>
      <c r="BH377" s="53" t="n"/>
      <c r="BI377" s="53" t="n"/>
      <c r="BJ377" s="53" t="n"/>
      <c r="BK377" s="53" t="n"/>
      <c r="BL377" s="53" t="n"/>
      <c r="BM377" s="53" t="n"/>
      <c r="BN377" s="53" t="n"/>
      <c r="BO377" s="53" t="n"/>
      <c r="BP377" s="53" t="n"/>
      <c r="BQ377" s="53" t="n"/>
      <c r="BR377" s="53" t="n"/>
      <c r="BS377" s="53" t="n"/>
      <c r="BT377" s="53" t="n"/>
      <c r="BU377" s="53" t="n"/>
      <c r="BV377" s="53" t="n"/>
      <c r="BW377" s="53" t="n"/>
      <c r="BX377" s="53" t="n"/>
      <c r="BY377" s="53" t="n"/>
      <c r="BZ377" s="53" t="n"/>
      <c r="CA377" s="53" t="n"/>
      <c r="CB377" s="53" t="n"/>
      <c r="CC377" s="53" t="n"/>
      <c r="CD377" s="53" t="n"/>
      <c r="CE377" s="53" t="n"/>
      <c r="CF377" s="53" t="n"/>
      <c r="CG377" s="53" t="n"/>
      <c r="CH377" s="53" t="n"/>
      <c r="CI377" s="53" t="n"/>
      <c r="CJ377" s="53" t="n"/>
      <c r="CK377" s="53" t="n"/>
      <c r="CL377" s="53" t="n"/>
      <c r="CM377" s="53" t="n"/>
      <c r="CN377" s="53" t="n"/>
      <c r="CO377" s="53" t="n"/>
      <c r="CP377" s="53" t="n"/>
      <c r="CQ377" s="53" t="n"/>
      <c r="CR377" s="53" t="n"/>
      <c r="CS377" s="53" t="n"/>
      <c r="CT377" s="53" t="n"/>
      <c r="CU377" s="53" t="n"/>
      <c r="CV377" s="53" t="n"/>
      <c r="CW377" s="53" t="n"/>
      <c r="CX377" s="53" t="n"/>
      <c r="CY377" s="53" t="n"/>
      <c r="CZ377" s="53" t="n"/>
      <c r="DA377" s="53" t="n"/>
      <c r="DB377" s="53" t="n"/>
      <c r="DC377" s="53" t="n"/>
      <c r="DD377" s="53" t="inlineStr">
        <is>
          <t>INTN0284</t>
        </is>
      </c>
      <c r="DE377" s="53" t="inlineStr">
        <is>
          <t>Intern</t>
        </is>
      </c>
      <c r="DF377" s="53" t="inlineStr">
        <is>
          <t>Active</t>
        </is>
      </c>
      <c r="DG377" s="53" t="inlineStr">
        <is>
          <t>Amaan Ullah</t>
        </is>
      </c>
      <c r="DH377" s="54" t="n">
        <v>45992</v>
      </c>
      <c r="DI377" s="53" t="inlineStr">
        <is>
          <t>Intern</t>
        </is>
      </c>
      <c r="DJ377" s="53" t="inlineStr">
        <is>
          <t>Engineering &amp; Development</t>
        </is>
      </c>
      <c r="DK377" s="53" t="inlineStr">
        <is>
          <t>Software Engineering</t>
        </is>
      </c>
      <c r="DL377" s="53" t="inlineStr">
        <is>
          <t>Intern</t>
        </is>
      </c>
      <c r="DM377" s="53" t="inlineStr">
        <is>
          <t>L1 – Intern</t>
        </is>
      </c>
      <c r="DN377" s="53" t="inlineStr">
        <is>
          <t>B.Tech</t>
        </is>
      </c>
      <c r="DO377" s="53" t="inlineStr">
        <is>
          <t>Shubham Yadav</t>
        </is>
      </c>
      <c r="DP377" s="53" t="inlineStr">
        <is>
          <t>N-4</t>
        </is>
      </c>
      <c r="DQ377" s="53" t="inlineStr">
        <is>
          <t>Individual Contributor</t>
        </is>
      </c>
      <c r="DR377" s="53" t="inlineStr">
        <is>
          <t>0 years, 4 months, 0 days</t>
        </is>
      </c>
      <c r="DS377" s="53" t="inlineStr">
        <is>
          <t>0 years, 6 months, 19 days</t>
        </is>
      </c>
      <c r="DT377" s="53" t="inlineStr">
        <is>
          <t>0 years, 10 months, 19 days</t>
        </is>
      </c>
      <c r="DU377" s="53" t="n"/>
      <c r="DV377" s="53" t="inlineStr">
        <is>
          <t>Suptech</t>
        </is>
      </c>
      <c r="DW377" s="53" t="inlineStr">
        <is>
          <t>iFile</t>
        </is>
      </c>
      <c r="DX377" s="53" t="inlineStr">
        <is>
          <t>Technology</t>
        </is>
      </c>
      <c r="DY377" s="53" t="inlineStr">
        <is>
          <t>Development</t>
        </is>
      </c>
      <c r="DZ377" s="53" t="inlineStr">
        <is>
          <t>Yes</t>
        </is>
      </c>
      <c r="EA377" s="53" t="inlineStr">
        <is>
          <t>Product/Project</t>
        </is>
      </c>
      <c r="EB377" s="53" t="inlineStr">
        <is>
          <t>Angular</t>
        </is>
      </c>
      <c r="EC377" s="53" t="inlineStr">
        <is>
          <t>Technical - Developer</t>
        </is>
      </c>
      <c r="ED377" s="53" t="inlineStr">
        <is>
          <t>Work From Office - Turbhe</t>
        </is>
      </c>
      <c r="EE377" s="5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F37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7" s="53" t="n">
        <v>3</v>
      </c>
      <c r="EI377" s="53" t="inlineStr">
        <is>
          <t>Pending</t>
        </is>
      </c>
      <c r="EJ377" s="53" t="inlineStr">
        <is>
          <t>Intern</t>
        </is>
      </c>
      <c r="EK377" s="53" t="inlineStr">
        <is>
          <t>No</t>
        </is>
      </c>
      <c r="EL377" s="53" t="n">
        <v>3</v>
      </c>
      <c r="EM377" s="53" t="inlineStr">
        <is>
          <t>Medium</t>
        </is>
      </c>
      <c r="EN377" s="53" t="inlineStr">
        <is>
          <t>Emerging Talent</t>
        </is>
      </c>
      <c r="EO377" s="53" t="inlineStr">
        <is>
          <t>No</t>
        </is>
      </c>
      <c r="EP377" s="53" t="inlineStr">
        <is>
          <t>No</t>
        </is>
      </c>
      <c r="EQ377" s="53" t="inlineStr">
        <is>
          <t>No</t>
        </is>
      </c>
      <c r="ER377" s="53" t="n"/>
      <c r="ES377" s="53"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T377" s="53" t="n"/>
      <c r="EU377" s="53" t="n"/>
      <c r="EV377" s="53" t="n"/>
      <c r="EW377" s="52" t="n"/>
      <c r="EX377" s="53" t="n"/>
      <c r="EY377" s="53" t="n"/>
      <c r="EZ377" s="53" t="n"/>
      <c r="FA377" s="53" t="n"/>
      <c r="FB377" s="53" t="n"/>
      <c r="FC377" s="53" t="n"/>
      <c r="FD377" s="53" t="inlineStr">
        <is>
          <t>INTN0284</t>
        </is>
      </c>
      <c r="FE37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7" s="56"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FH377" s="56" t="inlineStr">
        <is>
          <t>3</t>
        </is>
      </c>
      <c r="FI377" s="56" t="n"/>
      <c r="FJ377" s="56" t="inlineStr">
        <is>
          <t>Received · manager annual, quarterly, self</t>
        </is>
      </c>
      <c r="FK377" s="56" t="inlineStr">
        <is>
          <t>Talent Mapping · iFile collated</t>
        </is>
      </c>
      <c r="FL377" s="56" t="n">
        <v>20</v>
      </c>
      <c r="FM377" s="32" t="inlineStr">
        <is>
          <t>Full survey answers not in the files received · How We Grow export needed · HR</t>
        </is>
      </c>
      <c r="FN377" s="56" t="inlineStr">
        <is>
          <t>—</t>
        </is>
      </c>
      <c r="FO377" s="56" t="inlineStr">
        <is>
          <t>—</t>
        </is>
      </c>
      <c r="FP377" s="56" t="inlineStr">
        <is>
          <t>—</t>
        </is>
      </c>
      <c r="FQ377" s="56" t="inlineStr">
        <is>
          <t>—</t>
        </is>
      </c>
      <c r="FR377" s="56" t="n"/>
      <c r="FS377"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377" s="56" t="inlineStr">
        <is>
          <t>Self-identified: Technical depth &amp; architecture · Domain, regulatory &amp; XBRL · Product &amp; tool knowledge · Strategy &amp; business acumen
For the next role: Leadership &amp; people management · Technical depth &amp; architecture · Domain, regulatory &amp; XBRL · Product &amp; tool knowledge · Client, sales &amp; stakeholders · Strategy &amp; business acumen</t>
        </is>
      </c>
      <c r="FU377" s="32" t="inlineStr">
        <is>
          <t>Full survey answers not in the files received · How We Grow export needed · HR</t>
        </is>
      </c>
    </row>
    <row r="378" ht="90" customHeight="1">
      <c r="A378" s="51" t="inlineStr">
        <is>
          <t>◂ Back</t>
        </is>
      </c>
      <c r="B378" s="29" t="inlineStr">
        <is>
          <t>Mapped</t>
        </is>
      </c>
      <c r="C378" s="28" t="inlineStr">
        <is>
          <t>iFile</t>
        </is>
      </c>
      <c r="D378" s="29" t="inlineStr">
        <is>
          <t>IRIS2459</t>
        </is>
      </c>
      <c r="E378" s="29" t="inlineStr">
        <is>
          <t>Viranchi Suresh Bhure</t>
        </is>
      </c>
      <c r="F378" s="29" t="inlineStr">
        <is>
          <t>Technology</t>
        </is>
      </c>
      <c r="G378" s="29" t="inlineStr">
        <is>
          <t>Software Engineer</t>
        </is>
      </c>
      <c r="H378" s="29" t="inlineStr">
        <is>
          <t>Senior Software Engineer</t>
        </is>
      </c>
      <c r="I378" s="29" t="inlineStr">
        <is>
          <t>L3 – Professional / Associate</t>
        </is>
      </c>
      <c r="J378" s="29" t="inlineStr">
        <is>
          <t>A3</t>
        </is>
      </c>
      <c r="K378" s="29" t="inlineStr">
        <is>
          <t>▲ Up</t>
        </is>
      </c>
      <c r="L378" s="29" t="inlineStr">
        <is>
          <t>Engineering &amp; Development</t>
        </is>
      </c>
      <c r="M378" s="29" t="inlineStr">
        <is>
          <t>Backend Development</t>
        </is>
      </c>
      <c r="N378" s="29" t="n"/>
      <c r="O378" s="29" t="n">
        <v>20</v>
      </c>
      <c r="P378" s="28" t="inlineStr">
        <is>
          <t>P2</t>
        </is>
      </c>
      <c r="Q378" s="29" t="inlineStr">
        <is>
          <t>Developing</t>
        </is>
      </c>
      <c r="R378" s="29" t="inlineStr">
        <is>
          <t>3 Apply</t>
        </is>
      </c>
      <c r="S378" s="29" t="inlineStr">
        <is>
          <t>2–4 yrs</t>
        </is>
      </c>
      <c r="T378" s="29" t="inlineStr">
        <is>
          <t>3–5 · 2–5</t>
        </is>
      </c>
      <c r="U378" s="29" t="inlineStr">
        <is>
          <t>Software Engineer</t>
        </is>
      </c>
      <c r="V378" s="29" t="inlineStr">
        <is>
          <t>Workiva: SE · Broadridge India: SE · Nasdaq / AxiomSL: SE · Salesforce: MTS · Atlassian: P40 · 3–7 yrs · Freshworks: Senior SE</t>
        </is>
      </c>
      <c r="W378" s="29" t="inlineStr">
        <is>
          <t>SFIA 9 · software development, programming; OWASP secure coding; cloud vendor certifications</t>
        </is>
      </c>
      <c r="X378" s="29" t="inlineStr">
        <is>
          <t>Core 2 · Future 2 · Functional 3 · Leadership not scored</t>
        </is>
      </c>
      <c r="Y378" s="52" t="n">
        <v>433</v>
      </c>
      <c r="Z378" s="53" t="inlineStr">
        <is>
          <t>IRIS2459</t>
        </is>
      </c>
      <c r="AA378" s="53" t="inlineStr">
        <is>
          <t>Employee</t>
        </is>
      </c>
      <c r="AB378" s="53" t="inlineStr">
        <is>
          <t>Active</t>
        </is>
      </c>
      <c r="AC378" s="53" t="inlineStr">
        <is>
          <t>Viranchi Suresh Bhure</t>
        </is>
      </c>
      <c r="AD378" s="54" t="n">
        <v>46027</v>
      </c>
      <c r="AE378" s="53" t="inlineStr">
        <is>
          <t>Software Engineer</t>
        </is>
      </c>
      <c r="AF378" s="53" t="inlineStr">
        <is>
          <t>B.E</t>
        </is>
      </c>
      <c r="AG378" s="53" t="inlineStr">
        <is>
          <t>Nikhil Nalawade</t>
        </is>
      </c>
      <c r="AH378" s="53" t="inlineStr">
        <is>
          <t>N-4</t>
        </is>
      </c>
      <c r="AI378" s="53" t="inlineStr">
        <is>
          <t>Individual Contributor</t>
        </is>
      </c>
      <c r="AJ378" s="53" t="inlineStr">
        <is>
          <t>2 years, 10 months, 0 days</t>
        </is>
      </c>
      <c r="AK378" s="53" t="inlineStr">
        <is>
          <t>0 years, 7 months, 20 days</t>
        </is>
      </c>
      <c r="AL378" s="53" t="inlineStr">
        <is>
          <t>Suptech</t>
        </is>
      </c>
      <c r="AM378" s="53" t="inlineStr">
        <is>
          <t>iFile</t>
        </is>
      </c>
      <c r="AN378" s="53" t="inlineStr">
        <is>
          <t>Technology</t>
        </is>
      </c>
      <c r="AO378" s="53" t="inlineStr">
        <is>
          <t>Development</t>
        </is>
      </c>
      <c r="AP378" s="53" t="inlineStr">
        <is>
          <t>Yes</t>
        </is>
      </c>
      <c r="AQ378" s="53" t="inlineStr">
        <is>
          <t>Product/Project</t>
        </is>
      </c>
      <c r="AR378" s="53" t="inlineStr">
        <is>
          <t>Java</t>
        </is>
      </c>
      <c r="AS378" s="53" t="inlineStr">
        <is>
          <t>Technical - Developer</t>
        </is>
      </c>
      <c r="AT378" s="53" t="n">
        <v>20</v>
      </c>
      <c r="AU378" s="53" t="inlineStr">
        <is>
          <t>Covered</t>
        </is>
      </c>
      <c r="AV378" s="53" t="n"/>
      <c r="AW378" s="53" t="n"/>
      <c r="AX378" s="53" t="n"/>
      <c r="AY378" s="53" t="n"/>
      <c r="AZ378" s="53" t="n"/>
      <c r="BA378" s="53" t="n"/>
      <c r="BB378" s="53" t="n"/>
      <c r="BC378" s="53" t="n"/>
      <c r="BD378" s="53" t="n"/>
      <c r="BE378" s="53" t="n"/>
      <c r="BF378" s="53" t="n"/>
      <c r="BG378" s="53" t="n"/>
      <c r="BH378" s="53" t="n"/>
      <c r="BI378" s="53" t="n"/>
      <c r="BJ378" s="53" t="n"/>
      <c r="BK378" s="53" t="n"/>
      <c r="BL378" s="53" t="n"/>
      <c r="BM378" s="53" t="n"/>
      <c r="BN378" s="53" t="n"/>
      <c r="BO378" s="53" t="n"/>
      <c r="BP378" s="53" t="n"/>
      <c r="BQ378" s="53" t="n"/>
      <c r="BR378" s="53" t="n"/>
      <c r="BS378" s="53" t="n"/>
      <c r="BT378" s="53" t="n"/>
      <c r="BU378" s="53" t="n"/>
      <c r="BV378" s="53" t="n"/>
      <c r="BW378" s="53" t="n"/>
      <c r="BX378" s="53" t="n"/>
      <c r="BY378" s="53" t="n"/>
      <c r="BZ378" s="53" t="n"/>
      <c r="CA378" s="53" t="n"/>
      <c r="CB378" s="53" t="n"/>
      <c r="CC378" s="53" t="n"/>
      <c r="CD378" s="53" t="n"/>
      <c r="CE378" s="53" t="n"/>
      <c r="CF378" s="53" t="n"/>
      <c r="CG378" s="53" t="n"/>
      <c r="CH378" s="53" t="n"/>
      <c r="CI378" s="53" t="n"/>
      <c r="CJ378" s="53" t="n"/>
      <c r="CK378" s="53" t="n"/>
      <c r="CL378" s="53" t="n"/>
      <c r="CM378" s="53" t="n"/>
      <c r="CN378" s="53" t="n"/>
      <c r="CO378" s="53" t="n"/>
      <c r="CP378" s="53" t="n"/>
      <c r="CQ378" s="53" t="n"/>
      <c r="CR378" s="53" t="n"/>
      <c r="CS378" s="53" t="n"/>
      <c r="CT378" s="53" t="n"/>
      <c r="CU378" s="53" t="n"/>
      <c r="CV378" s="53" t="n"/>
      <c r="CW378" s="53" t="n"/>
      <c r="CX378" s="53" t="n"/>
      <c r="CY378" s="53" t="n"/>
      <c r="CZ378" s="53" t="n"/>
      <c r="DA378" s="53" t="n"/>
      <c r="DB378" s="53" t="n"/>
      <c r="DC378" s="53" t="n"/>
      <c r="DD378" s="53" t="inlineStr">
        <is>
          <t>IRIS2459</t>
        </is>
      </c>
      <c r="DE378" s="53" t="inlineStr">
        <is>
          <t>Employee</t>
        </is>
      </c>
      <c r="DF378" s="53" t="inlineStr">
        <is>
          <t>Active</t>
        </is>
      </c>
      <c r="DG378" s="53" t="inlineStr">
        <is>
          <t>Viranchi Suresh Bhure</t>
        </is>
      </c>
      <c r="DH378" s="54" t="n">
        <v>46027</v>
      </c>
      <c r="DI378" s="53" t="inlineStr">
        <is>
          <t>Software Engineer</t>
        </is>
      </c>
      <c r="DJ378" s="53" t="inlineStr">
        <is>
          <t>Engineering &amp; Development</t>
        </is>
      </c>
      <c r="DK378" s="53" t="inlineStr">
        <is>
          <t>Backend Engineering · Java</t>
        </is>
      </c>
      <c r="DL378" s="53" t="inlineStr">
        <is>
          <t>Software Engineer</t>
        </is>
      </c>
      <c r="DM378" s="53" t="inlineStr">
        <is>
          <t>L3 – Professional / Associate</t>
        </is>
      </c>
      <c r="DN378" s="53" t="inlineStr">
        <is>
          <t>B.E</t>
        </is>
      </c>
      <c r="DO378" s="53" t="inlineStr">
        <is>
          <t>Nikhil Nalawade</t>
        </is>
      </c>
      <c r="DP378" s="53" t="inlineStr">
        <is>
          <t>N-3</t>
        </is>
      </c>
      <c r="DQ378" s="53" t="inlineStr">
        <is>
          <t>Individual Contributor</t>
        </is>
      </c>
      <c r="DR378" s="53" t="inlineStr">
        <is>
          <t>2 years, 10 months, 0 days</t>
        </is>
      </c>
      <c r="DS378" s="53" t="inlineStr">
        <is>
          <t>0 years, 5 months, 15 days</t>
        </is>
      </c>
      <c r="DT378" s="53" t="inlineStr">
        <is>
          <t>3 years, 3 months, 15 days</t>
        </is>
      </c>
      <c r="DU378" s="53" t="n"/>
      <c r="DV378" s="53" t="inlineStr">
        <is>
          <t>Suptech</t>
        </is>
      </c>
      <c r="DW378" s="53" t="inlineStr">
        <is>
          <t>iFile</t>
        </is>
      </c>
      <c r="DX378" s="53" t="inlineStr">
        <is>
          <t>Technology</t>
        </is>
      </c>
      <c r="DY378" s="53" t="inlineStr">
        <is>
          <t>Development</t>
        </is>
      </c>
      <c r="DZ378" s="53" t="inlineStr">
        <is>
          <t>Yes</t>
        </is>
      </c>
      <c r="EA378" s="53" t="inlineStr">
        <is>
          <t>Product/Project</t>
        </is>
      </c>
      <c r="EB378" s="53" t="inlineStr">
        <is>
          <t>Java</t>
        </is>
      </c>
      <c r="EC378" s="53" t="inlineStr">
        <is>
          <t>Technical - Developer</t>
        </is>
      </c>
      <c r="ED378" s="53" t="inlineStr">
        <is>
          <t>Remote- Outside Mumbai</t>
        </is>
      </c>
      <c r="EE378"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7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8" s="53" t="n">
        <v>3</v>
      </c>
      <c r="EI378" s="53" t="inlineStr">
        <is>
          <t>Pending</t>
        </is>
      </c>
      <c r="EJ378" s="53" t="inlineStr">
        <is>
          <t>Software Engineer</t>
        </is>
      </c>
      <c r="EK378" s="53" t="inlineStr">
        <is>
          <t>No</t>
        </is>
      </c>
      <c r="EL378" s="53" t="n">
        <v>3</v>
      </c>
      <c r="EM378" s="53" t="inlineStr">
        <is>
          <t>Medium</t>
        </is>
      </c>
      <c r="EN378" s="53" t="inlineStr">
        <is>
          <t>Emerging Talent</t>
        </is>
      </c>
      <c r="EO378" s="53" t="inlineStr">
        <is>
          <t>No</t>
        </is>
      </c>
      <c r="EP378" s="53" t="inlineStr">
        <is>
          <t>No</t>
        </is>
      </c>
      <c r="EQ378" s="53" t="inlineStr">
        <is>
          <t>No</t>
        </is>
      </c>
      <c r="ER378" s="53" t="inlineStr">
        <is>
          <t>Not Yet</t>
        </is>
      </c>
      <c r="ES378"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78" s="53" t="n"/>
      <c r="EU378" s="53" t="n"/>
      <c r="EV378" s="53" t="n"/>
      <c r="EW378" s="52" t="n"/>
      <c r="EX378" s="53" t="n"/>
      <c r="EY378" s="53" t="n"/>
      <c r="EZ378" s="53" t="n"/>
      <c r="FA378" s="53" t="n"/>
      <c r="FB378" s="53" t="n"/>
      <c r="FC378" s="53" t="n"/>
      <c r="FD378" s="53" t="n"/>
      <c r="FE37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8"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78" s="56" t="inlineStr">
        <is>
          <t>3</t>
        </is>
      </c>
      <c r="FI378" s="56" t="n"/>
      <c r="FJ378" s="56" t="inlineStr">
        <is>
          <t>Received · manager annual, quarterly, self</t>
        </is>
      </c>
      <c r="FK378" s="56" t="inlineStr">
        <is>
          <t>Talent Mapping · iFile collated</t>
        </is>
      </c>
      <c r="FL378" s="56" t="n">
        <v>20</v>
      </c>
      <c r="FM378" s="32" t="inlineStr">
        <is>
          <t>Full survey answers not in the files received · How We Grow export needed · HR</t>
        </is>
      </c>
      <c r="FN378" s="56" t="inlineStr">
        <is>
          <t>—</t>
        </is>
      </c>
      <c r="FO378" s="56" t="inlineStr">
        <is>
          <t>—</t>
        </is>
      </c>
      <c r="FP378" s="56" t="inlineStr">
        <is>
          <t>—</t>
        </is>
      </c>
      <c r="FQ378" s="56" t="inlineStr">
        <is>
          <t>—</t>
        </is>
      </c>
      <c r="FR378" s="56" t="inlineStr">
        <is>
          <t>Business Impact: No survey or manager-mapping signal on criticality: kept at the start point.</t>
        </is>
      </c>
      <c r="FS37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8" s="56" t="inlineStr">
        <is>
          <t>Self-identified: Leadership &amp; people management · Technical depth &amp; architecture · Strategy &amp; business acumen · Broader exposure &amp; ownership
For the next role: Leadership &amp; people management · Technical depth &amp; architecture · Strategy &amp; business acumen · Broader exposure &amp; ownership</t>
        </is>
      </c>
      <c r="FU378" s="32" t="inlineStr">
        <is>
          <t>Full survey answers not in the files received · How We Grow export needed · HR</t>
        </is>
      </c>
    </row>
    <row r="379" ht="90" customHeight="1">
      <c r="A379" s="51" t="inlineStr">
        <is>
          <t>◂ Back</t>
        </is>
      </c>
      <c r="B379" s="29" t="inlineStr">
        <is>
          <t>Mapped</t>
        </is>
      </c>
      <c r="C379" s="28" t="inlineStr">
        <is>
          <t>iFile</t>
        </is>
      </c>
      <c r="D379" s="29" t="inlineStr">
        <is>
          <t>IRIS2385</t>
        </is>
      </c>
      <c r="E379" s="29" t="inlineStr">
        <is>
          <t>Hemant Sakunde</t>
        </is>
      </c>
      <c r="F379" s="29" t="inlineStr">
        <is>
          <t>Technology</t>
        </is>
      </c>
      <c r="G379" s="29" t="inlineStr">
        <is>
          <t>Trainee Software Engineer</t>
        </is>
      </c>
      <c r="H379" s="29" t="inlineStr">
        <is>
          <t>Software Engineer</t>
        </is>
      </c>
      <c r="I379" s="29" t="inlineStr">
        <is>
          <t>L2 – Trainee</t>
        </is>
      </c>
      <c r="J379" s="29" t="inlineStr">
        <is>
          <t>A2</t>
        </is>
      </c>
      <c r="K379" s="29" t="inlineStr">
        <is>
          <t>▲ Up</t>
        </is>
      </c>
      <c r="L379" s="29" t="inlineStr">
        <is>
          <t>Engineering &amp; Development</t>
        </is>
      </c>
      <c r="M379" s="29" t="inlineStr">
        <is>
          <t>Full-Stack Development</t>
        </is>
      </c>
      <c r="N379" s="29" t="n"/>
      <c r="O379" s="29" t="n">
        <v>20</v>
      </c>
      <c r="P379" s="28" t="inlineStr">
        <is>
          <t>P1–P2</t>
        </is>
      </c>
      <c r="Q379" s="29" t="inlineStr">
        <is>
          <t>Entry / Developing</t>
        </is>
      </c>
      <c r="R379" s="29" t="inlineStr">
        <is>
          <t>2 Assist</t>
        </is>
      </c>
      <c r="S379" s="29" t="inlineStr">
        <is>
          <t>0–2 yrs</t>
        </is>
      </c>
      <c r="T379" s="29" t="inlineStr">
        <is>
          <t>1–3 · 0–3</t>
        </is>
      </c>
      <c r="U379" s="29" t="inlineStr">
        <is>
          <t>Associate Software Engineer / Software Engineer</t>
        </is>
      </c>
      <c r="V379" s="29" t="inlineStr">
        <is>
          <t>Workiva: Associate SE · Broadridge India: SE · Nasdaq / AxiomSL: SE · Salesforce: AMTS · Atlassian: P30 Junior · 0–2 yrs · Freshworks: SE</t>
        </is>
      </c>
      <c r="W379" s="29" t="inlineStr">
        <is>
          <t>SFIA 9 · software development, programming; OWASP secure coding; cloud vendor certifications</t>
        </is>
      </c>
      <c r="X379" s="29" t="inlineStr">
        <is>
          <t>Core 2 · Future 2 · Functional 2 · Leadership not scored</t>
        </is>
      </c>
      <c r="Y379" s="52" t="n">
        <v>375</v>
      </c>
      <c r="Z379" s="53" t="inlineStr">
        <is>
          <t>IRIS2385</t>
        </is>
      </c>
      <c r="AA379" s="53" t="inlineStr">
        <is>
          <t>Employee</t>
        </is>
      </c>
      <c r="AB379" s="53" t="inlineStr">
        <is>
          <t>Active</t>
        </is>
      </c>
      <c r="AC379" s="53" t="inlineStr">
        <is>
          <t>Hemant Sakunde</t>
        </is>
      </c>
      <c r="AD379" s="54" t="n">
        <v>45817</v>
      </c>
      <c r="AE379" s="53" t="inlineStr">
        <is>
          <t>Trainee Software Engineer</t>
        </is>
      </c>
      <c r="AF379" s="53" t="inlineStr">
        <is>
          <t>B.E</t>
        </is>
      </c>
      <c r="AG379" s="53" t="inlineStr">
        <is>
          <t>Nikhil Nalawade</t>
        </is>
      </c>
      <c r="AH379" s="53" t="inlineStr">
        <is>
          <t>N-4</t>
        </is>
      </c>
      <c r="AI379" s="53" t="inlineStr">
        <is>
          <t>Individual Contributor</t>
        </is>
      </c>
      <c r="AJ379" s="53" t="inlineStr">
        <is>
          <t>0 years, 0 months, 00 days</t>
        </is>
      </c>
      <c r="AK379" s="53" t="inlineStr">
        <is>
          <t>1 years, 2 months, 16 days</t>
        </is>
      </c>
      <c r="AL379" s="53" t="inlineStr">
        <is>
          <t>Suptech</t>
        </is>
      </c>
      <c r="AM379" s="53" t="inlineStr">
        <is>
          <t>iFile</t>
        </is>
      </c>
      <c r="AN379" s="53" t="inlineStr">
        <is>
          <t>Technology</t>
        </is>
      </c>
      <c r="AO379" s="53" t="inlineStr">
        <is>
          <t>Development</t>
        </is>
      </c>
      <c r="AP379" s="53" t="inlineStr">
        <is>
          <t>Yes</t>
        </is>
      </c>
      <c r="AQ379" s="53" t="inlineStr">
        <is>
          <t>Product/Project</t>
        </is>
      </c>
      <c r="AR379" s="53" t="inlineStr">
        <is>
          <t>Java</t>
        </is>
      </c>
      <c r="AS379" s="53" t="inlineStr">
        <is>
          <t>Technical - Developer</t>
        </is>
      </c>
      <c r="AT379" s="53" t="n">
        <v>20</v>
      </c>
      <c r="AU379" s="53" t="inlineStr">
        <is>
          <t>Covered</t>
        </is>
      </c>
      <c r="AV379" s="53" t="n"/>
      <c r="AW379" s="53" t="n"/>
      <c r="AX379" s="53" t="n"/>
      <c r="AY379" s="53" t="n"/>
      <c r="AZ379" s="53" t="n"/>
      <c r="BA379" s="53" t="n"/>
      <c r="BB379" s="53" t="n"/>
      <c r="BC379" s="53" t="n"/>
      <c r="BD379" s="53" t="n"/>
      <c r="BE379" s="53" t="n"/>
      <c r="BF379" s="53" t="n"/>
      <c r="BG379" s="53" t="n"/>
      <c r="BH379" s="53" t="n"/>
      <c r="BI379" s="53" t="n"/>
      <c r="BJ379" s="53" t="n"/>
      <c r="BK379" s="53" t="n"/>
      <c r="BL379" s="53" t="n"/>
      <c r="BM379" s="53" t="n"/>
      <c r="BN379" s="53" t="n"/>
      <c r="BO379" s="53" t="n"/>
      <c r="BP379" s="53" t="n"/>
      <c r="BQ379" s="53" t="n"/>
      <c r="BR379" s="53" t="n"/>
      <c r="BS379" s="53" t="n"/>
      <c r="BT379" s="53" t="n"/>
      <c r="BU379" s="53" t="n"/>
      <c r="BV379" s="53" t="n"/>
      <c r="BW379" s="53" t="n"/>
      <c r="BX379" s="53" t="n"/>
      <c r="BY379" s="53" t="n"/>
      <c r="BZ379" s="53" t="n"/>
      <c r="CA379" s="53" t="n"/>
      <c r="CB379" s="53" t="n"/>
      <c r="CC379" s="53" t="n"/>
      <c r="CD379" s="53" t="n"/>
      <c r="CE379" s="53" t="n"/>
      <c r="CF379" s="53" t="n"/>
      <c r="CG379" s="53" t="n"/>
      <c r="CH379" s="53" t="n"/>
      <c r="CI379" s="53" t="n"/>
      <c r="CJ379" s="53" t="n"/>
      <c r="CK379" s="53" t="n"/>
      <c r="CL379" s="53" t="n"/>
      <c r="CM379" s="53" t="n"/>
      <c r="CN379" s="53" t="n"/>
      <c r="CO379" s="53" t="n"/>
      <c r="CP379" s="53" t="n"/>
      <c r="CQ379" s="53" t="n"/>
      <c r="CR379" s="53" t="n"/>
      <c r="CS379" s="53" t="n"/>
      <c r="CT379" s="53" t="n"/>
      <c r="CU379" s="53" t="n"/>
      <c r="CV379" s="53" t="n"/>
      <c r="CW379" s="53" t="n"/>
      <c r="CX379" s="53" t="n"/>
      <c r="CY379" s="53" t="n"/>
      <c r="CZ379" s="53" t="n"/>
      <c r="DA379" s="53" t="n"/>
      <c r="DB379" s="53" t="n"/>
      <c r="DC379" s="53" t="n"/>
      <c r="DD379" s="53" t="inlineStr">
        <is>
          <t>IRIS2385</t>
        </is>
      </c>
      <c r="DE379" s="53" t="inlineStr">
        <is>
          <t>Employee</t>
        </is>
      </c>
      <c r="DF379" s="53" t="inlineStr">
        <is>
          <t>Active</t>
        </is>
      </c>
      <c r="DG379" s="53" t="inlineStr">
        <is>
          <t>Hemant Sakunde</t>
        </is>
      </c>
      <c r="DH379" s="54" t="n">
        <v>45817</v>
      </c>
      <c r="DI379" s="53" t="inlineStr">
        <is>
          <t>Trainee Software Engineer</t>
        </is>
      </c>
      <c r="DJ379" s="53" t="inlineStr">
        <is>
          <t>Engineering &amp; Development</t>
        </is>
      </c>
      <c r="DK379" s="53" t="inlineStr">
        <is>
          <t>Backend Engineering · Java</t>
        </is>
      </c>
      <c r="DL379" s="53" t="inlineStr">
        <is>
          <t>Trainee Software Engineer</t>
        </is>
      </c>
      <c r="DM379" s="53" t="inlineStr">
        <is>
          <t>L2 – Trainee</t>
        </is>
      </c>
      <c r="DN379" s="53" t="inlineStr">
        <is>
          <t>B.E</t>
        </is>
      </c>
      <c r="DO379" s="53" t="inlineStr">
        <is>
          <t>Nikhil Nalawade</t>
        </is>
      </c>
      <c r="DP379" s="53" t="inlineStr">
        <is>
          <t>N-3</t>
        </is>
      </c>
      <c r="DQ379" s="53" t="inlineStr">
        <is>
          <t>Individual Contributor</t>
        </is>
      </c>
      <c r="DR379" s="53" t="inlineStr">
        <is>
          <t>0 years, 0 months, 00 days</t>
        </is>
      </c>
      <c r="DS379" s="53" t="inlineStr">
        <is>
          <t>1 years, 0 months, 11 days</t>
        </is>
      </c>
      <c r="DT379" s="53" t="inlineStr">
        <is>
          <t>1 years, 0 months, 11 days</t>
        </is>
      </c>
      <c r="DU379" s="53" t="n"/>
      <c r="DV379" s="53" t="inlineStr">
        <is>
          <t>Suptech</t>
        </is>
      </c>
      <c r="DW379" s="53" t="inlineStr">
        <is>
          <t>iFile</t>
        </is>
      </c>
      <c r="DX379" s="53" t="inlineStr">
        <is>
          <t>Technology</t>
        </is>
      </c>
      <c r="DY379" s="53" t="inlineStr">
        <is>
          <t>Development</t>
        </is>
      </c>
      <c r="DZ379" s="53" t="inlineStr">
        <is>
          <t>Yes</t>
        </is>
      </c>
      <c r="EA379" s="53" t="inlineStr">
        <is>
          <t>Product/Project</t>
        </is>
      </c>
      <c r="EB379" s="53" t="inlineStr">
        <is>
          <t>Java</t>
        </is>
      </c>
      <c r="EC379" s="53" t="inlineStr">
        <is>
          <t>Technical - Developer</t>
        </is>
      </c>
      <c r="ED379" s="53" t="inlineStr">
        <is>
          <t>Work From Office - Turbhe</t>
        </is>
      </c>
      <c r="EE379" s="5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F37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9" s="53" t="n">
        <v>4</v>
      </c>
      <c r="EI379" s="53" t="inlineStr">
        <is>
          <t>Pending</t>
        </is>
      </c>
      <c r="EJ379" s="53" t="inlineStr">
        <is>
          <t>Trainee Software Engineer</t>
        </is>
      </c>
      <c r="EK379" s="53" t="inlineStr">
        <is>
          <t>No</t>
        </is>
      </c>
      <c r="EL379" s="53" t="n">
        <v>4</v>
      </c>
      <c r="EM379" s="53" t="inlineStr">
        <is>
          <t>High</t>
        </is>
      </c>
      <c r="EN379" s="53" t="inlineStr">
        <is>
          <t>Trusted Professional</t>
        </is>
      </c>
      <c r="EO379" s="53" t="inlineStr">
        <is>
          <t>No</t>
        </is>
      </c>
      <c r="EP379" s="53" t="inlineStr">
        <is>
          <t>No</t>
        </is>
      </c>
      <c r="EQ379" s="53" t="inlineStr">
        <is>
          <t>No</t>
        </is>
      </c>
      <c r="ER379" s="53" t="inlineStr">
        <is>
          <t>Not Yet</t>
        </is>
      </c>
      <c r="ES379" s="53"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T379" s="53" t="n"/>
      <c r="EU379" s="53" t="n"/>
      <c r="EV379" s="53" t="n"/>
      <c r="EW379" s="52" t="n"/>
      <c r="EX379" s="53" t="n"/>
      <c r="EY379" s="53" t="n"/>
      <c r="EZ379" s="53" t="n"/>
      <c r="FA379" s="53" t="n"/>
      <c r="FB379" s="53" t="n"/>
      <c r="FC379" s="53" t="n"/>
      <c r="FD379" s="53" t="n"/>
      <c r="FE37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9" s="56"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FH379" s="56" t="inlineStr">
        <is>
          <t>4</t>
        </is>
      </c>
      <c r="FI379" s="56" t="n"/>
      <c r="FJ379" s="56" t="inlineStr">
        <is>
          <t>Received · manager annual, quarterly, self</t>
        </is>
      </c>
      <c r="FK379" s="56" t="inlineStr">
        <is>
          <t>Talent Mapping · iFile collated</t>
        </is>
      </c>
      <c r="FL379" s="56" t="n">
        <v>20</v>
      </c>
      <c r="FM379" s="32" t="inlineStr">
        <is>
          <t>Full survey answers not in the files received · How We Grow export needed · HR</t>
        </is>
      </c>
      <c r="FN379" s="56" t="inlineStr">
        <is>
          <t>—</t>
        </is>
      </c>
      <c r="FO379" s="56" t="inlineStr">
        <is>
          <t>—</t>
        </is>
      </c>
      <c r="FP379" s="56" t="inlineStr">
        <is>
          <t>—</t>
        </is>
      </c>
      <c r="FQ379" s="56" t="inlineStr">
        <is>
          <t>—</t>
        </is>
      </c>
      <c r="FR379" s="56"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Evidence reads like A1: None described → matches the start
Business Impact: No survey or manager-mapping signal on criticality: kept at the start point.</t>
        </is>
      </c>
      <c r="FS379"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379" s="56" t="inlineStr">
        <is>
          <t>Self-identified: Technical depth &amp; architecture
For the next role: Technical depth &amp; architecture</t>
        </is>
      </c>
      <c r="FU379" s="32" t="inlineStr">
        <is>
          <t>Full survey answers not in the files received · How We Grow export needed · HR</t>
        </is>
      </c>
    </row>
    <row r="380" ht="90" customHeight="1">
      <c r="A380" s="51" t="inlineStr">
        <is>
          <t>◂ Back</t>
        </is>
      </c>
      <c r="B380" s="29" t="inlineStr">
        <is>
          <t>Mapped</t>
        </is>
      </c>
      <c r="C380" s="28" t="inlineStr">
        <is>
          <t>iFile</t>
        </is>
      </c>
      <c r="D380" s="29" t="inlineStr">
        <is>
          <t>IRIS0929</t>
        </is>
      </c>
      <c r="E380" s="29" t="inlineStr">
        <is>
          <t>Sandeep Dwivedi</t>
        </is>
      </c>
      <c r="F380" s="29" t="inlineStr">
        <is>
          <t>Technology</t>
        </is>
      </c>
      <c r="G380" s="29" t="inlineStr">
        <is>
          <t>Project Manager</t>
        </is>
      </c>
      <c r="H380" s="29" t="inlineStr">
        <is>
          <t>Delivery Manager</t>
        </is>
      </c>
      <c r="I380" s="29" t="inlineStr">
        <is>
          <t>L5 – Manager</t>
        </is>
      </c>
      <c r="J380" s="29" t="inlineStr">
        <is>
          <t>B2</t>
        </is>
      </c>
      <c r="K380" s="29" t="inlineStr">
        <is>
          <t>▲ Up</t>
        </is>
      </c>
      <c r="L380" s="29" t="inlineStr">
        <is>
          <t>Project &amp; Program Management</t>
        </is>
      </c>
      <c r="M380" s="29" t="inlineStr">
        <is>
          <t>Project &amp; Program Delivery</t>
        </is>
      </c>
      <c r="N380" s="29" t="n"/>
      <c r="O380" s="29" t="n">
        <v>20</v>
      </c>
      <c r="P380" s="28" t="inlineStr">
        <is>
          <t>P4 / M3</t>
        </is>
      </c>
      <c r="Q380" s="29" t="inlineStr">
        <is>
          <t>Senior / Manager</t>
        </is>
      </c>
      <c r="R380" s="29" t="inlineStr">
        <is>
          <t>4–5</t>
        </is>
      </c>
      <c r="S380" s="29" t="inlineStr">
        <is>
          <t>6–9 yrs</t>
        </is>
      </c>
      <c r="T380" s="29" t="inlineStr">
        <is>
          <t>7–10 · 6–11</t>
        </is>
      </c>
      <c r="U380" s="29" t="inlineStr">
        <is>
          <t>Senior Manager</t>
        </is>
      </c>
      <c r="V380" s="29" t="inlineStr">
        <is>
          <t>IRIS Vs Competitor Benchmark — PMI pathway + SaaS delivery ladder: Senior PM</t>
        </is>
      </c>
      <c r="W380" s="29" t="inlineStr">
        <is>
          <t>PMI PMBOK and Talent Triangle; CAPM · entry → PMP → PgMP; Scrum / SAFe</t>
        </is>
      </c>
      <c r="X380" s="29" t="inlineStr">
        <is>
          <t>Core 3 · Future 3 · Functional 4 · Leadership 3</t>
        </is>
      </c>
      <c r="Y380" s="52" t="n">
        <v>100</v>
      </c>
      <c r="Z380" s="53" t="inlineStr">
        <is>
          <t>IRIS0929</t>
        </is>
      </c>
      <c r="AA380" s="53" t="inlineStr">
        <is>
          <t>Employee</t>
        </is>
      </c>
      <c r="AB380" s="53" t="inlineStr">
        <is>
          <t>Active</t>
        </is>
      </c>
      <c r="AC380" s="53" t="inlineStr">
        <is>
          <t>Sandeep Dwivedi</t>
        </is>
      </c>
      <c r="AD380" s="54" t="n">
        <v>40819</v>
      </c>
      <c r="AE380" s="53" t="inlineStr">
        <is>
          <t>Project Manager</t>
        </is>
      </c>
      <c r="AF380" s="53" t="inlineStr">
        <is>
          <t>MMS</t>
        </is>
      </c>
      <c r="AG380" s="53" t="inlineStr">
        <is>
          <t>Pradip Dey</t>
        </is>
      </c>
      <c r="AH380" s="53" t="inlineStr">
        <is>
          <t>N-3</t>
        </is>
      </c>
      <c r="AI380" s="53" t="inlineStr">
        <is>
          <t>Manager</t>
        </is>
      </c>
      <c r="AJ380" s="53" t="inlineStr">
        <is>
          <t>0 years, 0 months, 0 days</t>
        </is>
      </c>
      <c r="AK380" s="53" t="inlineStr">
        <is>
          <t>14 years, 10 months, 22 days</t>
        </is>
      </c>
      <c r="AL380" s="53" t="inlineStr">
        <is>
          <t>Suptech</t>
        </is>
      </c>
      <c r="AM380" s="53" t="inlineStr">
        <is>
          <t>iFile</t>
        </is>
      </c>
      <c r="AN380" s="53" t="inlineStr">
        <is>
          <t>Technology</t>
        </is>
      </c>
      <c r="AO380" s="53" t="inlineStr">
        <is>
          <t>Project Management</t>
        </is>
      </c>
      <c r="AP380" s="53" t="inlineStr">
        <is>
          <t>No</t>
        </is>
      </c>
      <c r="AQ380" s="53" t="inlineStr">
        <is>
          <t>Product/Project</t>
        </is>
      </c>
      <c r="AR380" s="53" t="inlineStr">
        <is>
          <t>Project Management</t>
        </is>
      </c>
      <c r="AS380" s="53" t="inlineStr">
        <is>
          <t>Technical · BA, PM and QA</t>
        </is>
      </c>
      <c r="AT380" s="53" t="n">
        <v>20</v>
      </c>
      <c r="AU380" s="53" t="inlineStr">
        <is>
          <t>Covered</t>
        </is>
      </c>
      <c r="AV380" s="53" t="n"/>
      <c r="AW380" s="53" t="n"/>
      <c r="AX380" s="53" t="n"/>
      <c r="AY380" s="53" t="n"/>
      <c r="AZ380" s="53" t="n"/>
      <c r="BA380" s="53" t="n"/>
      <c r="BB380" s="53" t="n"/>
      <c r="BC380" s="53" t="n"/>
      <c r="BD380" s="53" t="n"/>
      <c r="BE380" s="53" t="n"/>
      <c r="BF380" s="53" t="n"/>
      <c r="BG380" s="53" t="n"/>
      <c r="BH380" s="53" t="n"/>
      <c r="BI380" s="53" t="n"/>
      <c r="BJ380" s="53" t="n"/>
      <c r="BK380" s="53" t="n"/>
      <c r="BL380" s="53" t="n"/>
      <c r="BM380" s="53" t="n"/>
      <c r="BN380" s="53" t="n"/>
      <c r="BO380" s="53" t="n"/>
      <c r="BP380" s="53" t="n"/>
      <c r="BQ380" s="53" t="n"/>
      <c r="BR380" s="53" t="n"/>
      <c r="BS380" s="53" t="n"/>
      <c r="BT380" s="53" t="n"/>
      <c r="BU380" s="53" t="n"/>
      <c r="BV380" s="53" t="n"/>
      <c r="BW380" s="53" t="n"/>
      <c r="BX380" s="53" t="n"/>
      <c r="BY380" s="53" t="n"/>
      <c r="BZ380" s="53" t="n"/>
      <c r="CA380" s="53" t="n"/>
      <c r="CB380" s="53" t="n"/>
      <c r="CC380" s="53" t="n"/>
      <c r="CD380" s="53" t="n"/>
      <c r="CE380" s="53" t="n"/>
      <c r="CF380" s="53" t="n"/>
      <c r="CG380" s="53" t="n"/>
      <c r="CH380" s="53" t="n"/>
      <c r="CI380" s="53" t="n"/>
      <c r="CJ380" s="53" t="n"/>
      <c r="CK380" s="53" t="n"/>
      <c r="CL380" s="53" t="n"/>
      <c r="CM380" s="53" t="n"/>
      <c r="CN380" s="53" t="n"/>
      <c r="CO380" s="53" t="n"/>
      <c r="CP380" s="53" t="n"/>
      <c r="CQ380" s="53" t="n"/>
      <c r="CR380" s="53" t="n"/>
      <c r="CS380" s="53" t="n"/>
      <c r="CT380" s="53" t="n"/>
      <c r="CU380" s="53" t="n"/>
      <c r="CV380" s="53" t="n"/>
      <c r="CW380" s="53" t="n"/>
      <c r="CX380" s="53" t="n"/>
      <c r="CY380" s="53" t="n"/>
      <c r="CZ380" s="53" t="n"/>
      <c r="DA380" s="53" t="n"/>
      <c r="DB380" s="53" t="n"/>
      <c r="DC380" s="53" t="n"/>
      <c r="DD380" s="53" t="inlineStr">
        <is>
          <t>IRIS0929</t>
        </is>
      </c>
      <c r="DE380" s="53" t="inlineStr">
        <is>
          <t>Employee</t>
        </is>
      </c>
      <c r="DF380" s="53" t="inlineStr">
        <is>
          <t>Active</t>
        </is>
      </c>
      <c r="DG380" s="53" t="inlineStr">
        <is>
          <t>Sandeep Dwivedi</t>
        </is>
      </c>
      <c r="DH380" s="54" t="n">
        <v>40819</v>
      </c>
      <c r="DI380" s="53" t="inlineStr">
        <is>
          <t>Project Manager</t>
        </is>
      </c>
      <c r="DJ380" s="53" t="inlineStr">
        <is>
          <t>Project &amp; Program Management</t>
        </is>
      </c>
      <c r="DK380" s="53" t="inlineStr">
        <is>
          <t>Project Management</t>
        </is>
      </c>
      <c r="DL380" s="53" t="inlineStr">
        <is>
          <t>Project Manager</t>
        </is>
      </c>
      <c r="DM380" s="53" t="inlineStr">
        <is>
          <t>L5 – Manager</t>
        </is>
      </c>
      <c r="DN380" s="53" t="inlineStr">
        <is>
          <t>MMS</t>
        </is>
      </c>
      <c r="DO380" s="53" t="inlineStr">
        <is>
          <t>Pradip Dey</t>
        </is>
      </c>
      <c r="DP380" s="53" t="inlineStr">
        <is>
          <t>N-2</t>
        </is>
      </c>
      <c r="DQ380" s="53" t="inlineStr">
        <is>
          <t>Manager</t>
        </is>
      </c>
      <c r="DR380" s="53" t="inlineStr">
        <is>
          <t>0 years, 0 months, 0 days</t>
        </is>
      </c>
      <c r="DS380" s="53" t="inlineStr">
        <is>
          <t>14 years, 8 months, 17 days</t>
        </is>
      </c>
      <c r="DT380" s="53" t="inlineStr">
        <is>
          <t>14 years, 8 months, 17 days</t>
        </is>
      </c>
      <c r="DU380" s="53" t="n">
        <v>14.7132420091324</v>
      </c>
      <c r="DV380" s="53" t="inlineStr">
        <is>
          <t>Suptech</t>
        </is>
      </c>
      <c r="DW380" s="53" t="inlineStr">
        <is>
          <t>iFile</t>
        </is>
      </c>
      <c r="DX380" s="53" t="inlineStr">
        <is>
          <t>Technology</t>
        </is>
      </c>
      <c r="DY380" s="53" t="inlineStr">
        <is>
          <t>Project Management</t>
        </is>
      </c>
      <c r="DZ380" s="53" t="inlineStr">
        <is>
          <t>No</t>
        </is>
      </c>
      <c r="EA380" s="53" t="inlineStr">
        <is>
          <t>Product/Project</t>
        </is>
      </c>
      <c r="EB380" s="53" t="inlineStr">
        <is>
          <t>Project Management</t>
        </is>
      </c>
      <c r="EC380" s="53" t="inlineStr">
        <is>
          <t>Technical · BA, PM and QA</t>
        </is>
      </c>
      <c r="ED380" s="53" t="inlineStr">
        <is>
          <t>Work From Office - Turbhe</t>
        </is>
      </c>
      <c r="EE380" s="53" t="n"/>
      <c r="EF380" s="53"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EG380" s="53" t="inlineStr">
        <is>
          <t>Operational support for the accounts - Kuwait CMA/BK, PFRDA, NRB
Process improvements
PMP completion
Digital way of working and measurement of metrics through the tools for the entire team</t>
        </is>
      </c>
      <c r="EH380" s="53" t="inlineStr">
        <is>
          <t>Meets Expectations</t>
        </is>
      </c>
      <c r="EI380" s="54" t="n">
        <v>45931</v>
      </c>
      <c r="EJ380" s="53" t="inlineStr">
        <is>
          <t>Project Manager</t>
        </is>
      </c>
      <c r="EK380" s="53" t="n"/>
      <c r="EL380" s="53" t="n">
        <v>3</v>
      </c>
      <c r="EM380" s="53" t="inlineStr">
        <is>
          <t>Medium</t>
        </is>
      </c>
      <c r="EN380" s="53" t="inlineStr">
        <is>
          <t>Core Contributor</t>
        </is>
      </c>
      <c r="EO380" s="53" t="n"/>
      <c r="EP380" s="53" t="inlineStr">
        <is>
          <t>N</t>
        </is>
      </c>
      <c r="EQ380" s="53" t="inlineStr">
        <is>
          <t>Y</t>
        </is>
      </c>
      <c r="ER380" s="53" t="n"/>
      <c r="ES380" s="53" t="inlineStr">
        <is>
          <t>SupTech Domain, Agile Scrum</t>
        </is>
      </c>
      <c r="ET380" s="53" t="n"/>
      <c r="EU380" s="53" t="inlineStr">
        <is>
          <t>IRIS Instant - MBRS</t>
        </is>
      </c>
      <c r="EV380" s="53" t="n"/>
      <c r="EW380" s="52" t="n"/>
      <c r="EX380" s="53" t="n"/>
      <c r="EY380" s="53" t="n"/>
      <c r="EZ380" s="53" t="n"/>
      <c r="FA380" s="53" t="n"/>
      <c r="FB380" s="53" t="n"/>
      <c r="FC380" s="53" t="n"/>
      <c r="FD380" s="53" t="n"/>
      <c r="FE380" s="57"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FF380" s="56" t="inlineStr">
        <is>
          <t>Operational support for the accounts - Kuwait CMA/BK, PFRDA, NRB
Process improvements
PMP completion
Digital way of working and measurement of metrics through the tools for the entire team</t>
        </is>
      </c>
      <c r="FG380" s="56" t="n"/>
      <c r="FH380" s="56" t="inlineStr">
        <is>
          <t>Meets Expectations</t>
        </is>
      </c>
      <c r="FI380" s="56" t="n"/>
      <c r="FJ380" s="56" t="inlineStr">
        <is>
          <t>Received · manager annual, quarterly</t>
        </is>
      </c>
      <c r="FK380" s="56" t="inlineStr">
        <is>
          <t>Talent Mapping · iFile collated</t>
        </is>
      </c>
      <c r="FL380" s="56" t="n">
        <v>20</v>
      </c>
      <c r="FM380" s="32" t="inlineStr">
        <is>
          <t>Full survey answers not in the files received · How We Grow export needed · HR</t>
        </is>
      </c>
      <c r="FN380" s="56" t="inlineStr">
        <is>
          <t>—</t>
        </is>
      </c>
      <c r="FO380" s="56" t="inlineStr">
        <is>
          <t>—</t>
        </is>
      </c>
      <c r="FP380" s="56" t="inlineStr">
        <is>
          <t>—</t>
        </is>
      </c>
      <c r="FQ380" s="56" t="inlineStr">
        <is>
          <t>—</t>
        </is>
      </c>
      <c r="FR380" s="56"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clients → moved down 0.5
Leadership: Evidence reads like B1: 4 direct reports; prioritises team's work; no leadership detail → moved down 0.5
Business Impact: Moved +0.5: the survey / manager mapping marks it business-critical.</t>
        </is>
      </c>
      <c r="FS380"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80" s="56" t="inlineStr">
        <is>
          <t>Self-identified: Broader exposure &amp; ownership
For the next role: Broader exposure &amp; ownership</t>
        </is>
      </c>
      <c r="FU380" s="32" t="inlineStr">
        <is>
          <t>Full survey answers not in the files received · How We Grow export needed · HR</t>
        </is>
      </c>
    </row>
    <row r="381" ht="90" customHeight="1">
      <c r="A381" s="51" t="inlineStr">
        <is>
          <t>◂ Back</t>
        </is>
      </c>
      <c r="B381" s="29" t="inlineStr">
        <is>
          <t>Mapped</t>
        </is>
      </c>
      <c r="C381" s="28" t="inlineStr">
        <is>
          <t>iFile</t>
        </is>
      </c>
      <c r="D381" s="29" t="inlineStr">
        <is>
          <t>IRIS0320</t>
        </is>
      </c>
      <c r="E381" s="29" t="inlineStr">
        <is>
          <t>Ravikant Karmoju</t>
        </is>
      </c>
      <c r="F381" s="29" t="inlineStr">
        <is>
          <t>Technology</t>
        </is>
      </c>
      <c r="G381" s="29" t="inlineStr">
        <is>
          <t>Lead Software Engineer</t>
        </is>
      </c>
      <c r="H381" s="29" t="inlineStr">
        <is>
          <t>Lead Software Engineer – POD Lead</t>
        </is>
      </c>
      <c r="I381" s="29" t="inlineStr">
        <is>
          <t>L5 – Lead · IC</t>
        </is>
      </c>
      <c r="J381" s="29" t="inlineStr">
        <is>
          <t>B3</t>
        </is>
      </c>
      <c r="K381" s="29" t="inlineStr">
        <is>
          <t>• Same level</t>
        </is>
      </c>
      <c r="L381" s="29" t="inlineStr">
        <is>
          <t>Engineering &amp; Development</t>
        </is>
      </c>
      <c r="M381" s="29" t="inlineStr">
        <is>
          <t>Backend Development</t>
        </is>
      </c>
      <c r="N381" s="29" t="n"/>
      <c r="O381" s="29" t="n">
        <v>19</v>
      </c>
      <c r="P381" s="28" t="inlineStr">
        <is>
          <t>P5 / M4</t>
        </is>
      </c>
      <c r="Q381" s="29" t="inlineStr">
        <is>
          <t>Expert / Senior Manager</t>
        </is>
      </c>
      <c r="R381" s="29" t="inlineStr">
        <is>
          <t>5 Ensure, advise</t>
        </is>
      </c>
      <c r="S381" s="29" t="inlineStr">
        <is>
          <t>8–12 yrs</t>
        </is>
      </c>
      <c r="T381" s="29" t="inlineStr">
        <is>
          <t>9–13 · 9–14</t>
        </is>
      </c>
      <c r="U381" s="29" t="inlineStr">
        <is>
          <t>Principal Engineer</t>
        </is>
      </c>
      <c r="V381" s="29" t="inlineStr">
        <is>
          <t>Workiva: Staff SE · Broadridge India: Senior Lead SE · Nasdaq / AxiomSL: Lead SE · Salesforce: LMTS · Atlassian: P50 Senior · Freshworks: Staff SE</t>
        </is>
      </c>
      <c r="W381" s="29" t="inlineStr">
        <is>
          <t>SFIA 9 · software development, programming; OWASP secure coding; cloud vendor certifications</t>
        </is>
      </c>
      <c r="X381" s="29" t="inlineStr">
        <is>
          <t>Core 4 · Future 3 · Functional 4 · Leadership 4</t>
        </is>
      </c>
      <c r="Y381" s="52" t="n">
        <v>51</v>
      </c>
      <c r="Z381" s="53" t="inlineStr">
        <is>
          <t>IRIS0320</t>
        </is>
      </c>
      <c r="AA381" s="53" t="inlineStr">
        <is>
          <t>Employee</t>
        </is>
      </c>
      <c r="AB381" s="53" t="inlineStr">
        <is>
          <t>Active</t>
        </is>
      </c>
      <c r="AC381" s="53" t="inlineStr">
        <is>
          <t>Ravikant Karmoju</t>
        </is>
      </c>
      <c r="AD381" s="54" t="n">
        <v>40287</v>
      </c>
      <c r="AE381" s="53" t="inlineStr">
        <is>
          <t>Lead Software Engineer</t>
        </is>
      </c>
      <c r="AF381" s="53" t="inlineStr">
        <is>
          <t>BCA</t>
        </is>
      </c>
      <c r="AG381" s="53" t="inlineStr">
        <is>
          <t>Sandeep Dwivedi</t>
        </is>
      </c>
      <c r="AH381" s="53" t="inlineStr">
        <is>
          <t>N-4</t>
        </is>
      </c>
      <c r="AI381" s="53" t="inlineStr">
        <is>
          <t>Manager</t>
        </is>
      </c>
      <c r="AJ381" s="53" t="inlineStr">
        <is>
          <t>2 years, 2 months, 0 days</t>
        </is>
      </c>
      <c r="AK381" s="53" t="inlineStr">
        <is>
          <t>16 years, 4 months, 6 days</t>
        </is>
      </c>
      <c r="AL381" s="53" t="inlineStr">
        <is>
          <t>Suptech</t>
        </is>
      </c>
      <c r="AM381" s="53" t="inlineStr">
        <is>
          <t>iFile</t>
        </is>
      </c>
      <c r="AN381" s="53" t="inlineStr">
        <is>
          <t>Technology</t>
        </is>
      </c>
      <c r="AO381" s="53" t="inlineStr">
        <is>
          <t>Development</t>
        </is>
      </c>
      <c r="AP381" s="53" t="inlineStr">
        <is>
          <t>Yes</t>
        </is>
      </c>
      <c r="AQ381" s="53" t="inlineStr">
        <is>
          <t>Product/Project</t>
        </is>
      </c>
      <c r="AR381" s="53" t="inlineStr">
        <is>
          <t>.NET MVC</t>
        </is>
      </c>
      <c r="AS381" s="53" t="inlineStr">
        <is>
          <t>Technical - Developer</t>
        </is>
      </c>
      <c r="AT381" s="53" t="n">
        <v>20</v>
      </c>
      <c r="AU381" s="53" t="inlineStr">
        <is>
          <t>Covered</t>
        </is>
      </c>
      <c r="AV381" s="53" t="n"/>
      <c r="AW381" s="53" t="n"/>
      <c r="AX381" s="53" t="n"/>
      <c r="AY381" s="53" t="n"/>
      <c r="AZ381" s="53" t="n"/>
      <c r="BA381" s="53" t="n"/>
      <c r="BB381" s="53" t="n"/>
      <c r="BC381" s="53" t="n"/>
      <c r="BD381" s="53" t="n"/>
      <c r="BE381" s="53" t="n"/>
      <c r="BF381" s="53" t="n"/>
      <c r="BG381" s="53" t="n"/>
      <c r="BH381" s="53" t="n"/>
      <c r="BI381" s="53" t="n"/>
      <c r="BJ381" s="53" t="n"/>
      <c r="BK381" s="53" t="n"/>
      <c r="BL381" s="53" t="n"/>
      <c r="BM381" s="53" t="n"/>
      <c r="BN381" s="53" t="n"/>
      <c r="BO381" s="53" t="n"/>
      <c r="BP381" s="53" t="n"/>
      <c r="BQ381" s="53" t="n"/>
      <c r="BR381" s="53" t="n"/>
      <c r="BS381" s="53" t="n"/>
      <c r="BT381" s="53" t="n"/>
      <c r="BU381" s="53" t="n"/>
      <c r="BV381" s="53" t="n"/>
      <c r="BW381" s="53" t="n"/>
      <c r="BX381" s="53" t="n"/>
      <c r="BY381" s="53" t="n"/>
      <c r="BZ381" s="53" t="n"/>
      <c r="CA381" s="53" t="n"/>
      <c r="CB381" s="53" t="n"/>
      <c r="CC381" s="53" t="n"/>
      <c r="CD381" s="53" t="n"/>
      <c r="CE381" s="53" t="n"/>
      <c r="CF381" s="53" t="n"/>
      <c r="CG381" s="53" t="n"/>
      <c r="CH381" s="53" t="n"/>
      <c r="CI381" s="53" t="n"/>
      <c r="CJ381" s="53" t="n"/>
      <c r="CK381" s="53" t="n"/>
      <c r="CL381" s="53" t="n"/>
      <c r="CM381" s="53" t="n"/>
      <c r="CN381" s="53" t="n"/>
      <c r="CO381" s="53" t="n"/>
      <c r="CP381" s="53" t="n"/>
      <c r="CQ381" s="53" t="n"/>
      <c r="CR381" s="53" t="n"/>
      <c r="CS381" s="53" t="n"/>
      <c r="CT381" s="53" t="n"/>
      <c r="CU381" s="53" t="n"/>
      <c r="CV381" s="53" t="n"/>
      <c r="CW381" s="53" t="n"/>
      <c r="CX381" s="53" t="n"/>
      <c r="CY381" s="53" t="n"/>
      <c r="CZ381" s="53" t="n"/>
      <c r="DA381" s="53" t="n"/>
      <c r="DB381" s="53" t="n"/>
      <c r="DC381" s="53" t="n"/>
      <c r="DD381" s="53" t="inlineStr">
        <is>
          <t>IRIS0320</t>
        </is>
      </c>
      <c r="DE381" s="53" t="inlineStr">
        <is>
          <t>Employee</t>
        </is>
      </c>
      <c r="DF381" s="53" t="inlineStr">
        <is>
          <t>Active</t>
        </is>
      </c>
      <c r="DG381" s="53" t="inlineStr">
        <is>
          <t>Ravikant Karmoju</t>
        </is>
      </c>
      <c r="DH381" s="54" t="n">
        <v>40287</v>
      </c>
      <c r="DI381" s="53" t="inlineStr">
        <is>
          <t>Lead Software Engineer</t>
        </is>
      </c>
      <c r="DJ381" s="53" t="inlineStr">
        <is>
          <t>Engineering &amp; Development</t>
        </is>
      </c>
      <c r="DK381" s="53" t="inlineStr">
        <is>
          <t>Backend Engineering ·.NET</t>
        </is>
      </c>
      <c r="DL381" s="53" t="inlineStr">
        <is>
          <t>Lead Software Engineer</t>
        </is>
      </c>
      <c r="DM381" s="53" t="inlineStr">
        <is>
          <t>L5 – Lead · IC</t>
        </is>
      </c>
      <c r="DN381" s="53" t="inlineStr">
        <is>
          <t>BCA</t>
        </is>
      </c>
      <c r="DO381" s="53" t="inlineStr">
        <is>
          <t>Sandeep Dwivedi</t>
        </is>
      </c>
      <c r="DP381" s="53" t="inlineStr">
        <is>
          <t>N-3</t>
        </is>
      </c>
      <c r="DQ381" s="53" t="inlineStr">
        <is>
          <t>Manager</t>
        </is>
      </c>
      <c r="DR381" s="53" t="inlineStr">
        <is>
          <t>2 years, 2 months, 0 days</t>
        </is>
      </c>
      <c r="DS381" s="53" t="inlineStr">
        <is>
          <t>16 years, 2 months, 1 days</t>
        </is>
      </c>
      <c r="DT381" s="53" t="inlineStr">
        <is>
          <t>18 years, 4 months, 1 days</t>
        </is>
      </c>
      <c r="DU381" s="53" t="n">
        <v>16.1694063926941</v>
      </c>
      <c r="DV381" s="53" t="inlineStr">
        <is>
          <t>Suptech</t>
        </is>
      </c>
      <c r="DW381" s="53" t="inlineStr">
        <is>
          <t>iFile</t>
        </is>
      </c>
      <c r="DX381" s="53" t="inlineStr">
        <is>
          <t>Technology</t>
        </is>
      </c>
      <c r="DY381" s="53" t="inlineStr">
        <is>
          <t>Development</t>
        </is>
      </c>
      <c r="DZ381" s="53" t="inlineStr">
        <is>
          <t>Yes</t>
        </is>
      </c>
      <c r="EA381" s="53" t="inlineStr">
        <is>
          <t>Product/Project</t>
        </is>
      </c>
      <c r="EB381" s="53" t="inlineStr">
        <is>
          <t>.NET MVC</t>
        </is>
      </c>
      <c r="EC381" s="53" t="inlineStr">
        <is>
          <t>Technical - Developer</t>
        </is>
      </c>
      <c r="ED381" s="53" t="inlineStr">
        <is>
          <t>Remote - Mumbai</t>
        </is>
      </c>
      <c r="EE381"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F381" s="53"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G381"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H381" s="53" t="n">
        <v>3</v>
      </c>
      <c r="EI381" s="54" t="n">
        <v>46205</v>
      </c>
      <c r="EJ381" s="53" t="inlineStr">
        <is>
          <t>Lead Software Engineer</t>
        </is>
      </c>
      <c r="EK381" s="53" t="n"/>
      <c r="EL381" s="53" t="n">
        <v>3</v>
      </c>
      <c r="EM381" s="53" t="inlineStr">
        <is>
          <t>High</t>
        </is>
      </c>
      <c r="EN381" s="53" t="inlineStr">
        <is>
          <t>Trusted Professional</t>
        </is>
      </c>
      <c r="EO381" s="53" t="inlineStr">
        <is>
          <t>No</t>
        </is>
      </c>
      <c r="EP381" s="53" t="inlineStr">
        <is>
          <t>No</t>
        </is>
      </c>
      <c r="EQ381" s="53" t="inlineStr">
        <is>
          <t>Yes</t>
        </is>
      </c>
      <c r="ER381" s="53" t="inlineStr">
        <is>
          <t>Yet to identify</t>
        </is>
      </c>
      <c r="ES381" s="53" t="inlineStr">
        <is>
          <t>Advanced System Architecture, Cloud Technologies · Azure, AI &amp; Automation, Performance Optimization, Secure Coding</t>
        </is>
      </c>
      <c r="ET381" s="53" t="inlineStr">
        <is>
          <t>Technical Leadership, Solution Architecture, Stakeholder Management, Team Mentoring</t>
        </is>
      </c>
      <c r="EU381" s="53" t="n"/>
      <c r="EV381" s="53" t="n"/>
      <c r="EW381" s="52" t="n"/>
      <c r="EX381" s="53" t="n"/>
      <c r="EY381" s="53" t="n"/>
      <c r="EZ381" s="53" t="n"/>
      <c r="FA381" s="53" t="n"/>
      <c r="FB381" s="53" t="n"/>
      <c r="FC381" s="53" t="n"/>
      <c r="FD381" s="53" t="n"/>
      <c r="FE381" s="57"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FF381"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FG381"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FH381" s="56" t="inlineStr">
        <is>
          <t>3</t>
        </is>
      </c>
      <c r="FI381" s="56" t="n"/>
      <c r="FJ381" s="56" t="inlineStr">
        <is>
          <t>Received · manager annual, quarterly, self</t>
        </is>
      </c>
      <c r="FK381" s="56" t="inlineStr">
        <is>
          <t>Talent Mapping · iFile collated</t>
        </is>
      </c>
      <c r="FL381" s="56" t="n">
        <v>19</v>
      </c>
      <c r="FM381" s="32" t="inlineStr">
        <is>
          <t>Full survey answers not in the files received · How We Grow export needed · HR</t>
        </is>
      </c>
      <c r="FN381" s="56" t="inlineStr">
        <is>
          <t>—</t>
        </is>
      </c>
      <c r="FO381" s="56" t="inlineStr">
        <is>
          <t>—</t>
        </is>
      </c>
      <c r="FP381" s="56" t="inlineStr">
        <is>
          <t>—</t>
        </is>
      </c>
      <c r="FQ381" s="56" t="inlineStr">
        <is>
          <t>—</t>
        </is>
      </c>
      <c r="FR381" s="56"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solutions; tracks deliverables; manager cites FSA Oman IFRS 18 implementation → moved down 0.2
Leadership: Evidence reads like A3: Lists 'manage team'; 1 direct report → moved down 0.5
Business Impact: Moved +0.5: the survey / manager mapping marks it business-critical.</t>
        </is>
      </c>
      <c r="FS381" s="56" t="inlineStr">
        <is>
          <t>Common themes in role-holders' answers: product
Measured on · manager-set KRA themes: technical · defect · quality · agreed · deliver · reviews.</t>
        </is>
      </c>
      <c r="FT381" s="56" t="inlineStr">
        <is>
          <t>Self-identified: AI / automation · Project / programme management
For the next role: AI / automation · Project / programme management</t>
        </is>
      </c>
      <c r="FU381" s="32" t="inlineStr">
        <is>
          <t>Full survey answers not in the files received · How We Grow export needed · HR</t>
        </is>
      </c>
    </row>
    <row r="382" ht="90" customHeight="1">
      <c r="A382" s="51" t="inlineStr">
        <is>
          <t>◂ Back</t>
        </is>
      </c>
      <c r="B382" s="29" t="inlineStr">
        <is>
          <t>Mapped</t>
        </is>
      </c>
      <c r="C382" s="28" t="inlineStr">
        <is>
          <t>iFile</t>
        </is>
      </c>
      <c r="D382" s="29" t="inlineStr">
        <is>
          <t>IRIS1876</t>
        </is>
      </c>
      <c r="E382" s="29" t="inlineStr">
        <is>
          <t>Chaitanya Vadagabhaktula</t>
        </is>
      </c>
      <c r="F382" s="29" t="inlineStr">
        <is>
          <t>Technology</t>
        </is>
      </c>
      <c r="G382" s="29" t="inlineStr">
        <is>
          <t>Senior Software Engineer</t>
        </is>
      </c>
      <c r="H382" s="29" t="inlineStr">
        <is>
          <t>Database Specialist</t>
        </is>
      </c>
      <c r="I382" s="29" t="inlineStr">
        <is>
          <t>L4 – Senior</t>
        </is>
      </c>
      <c r="J382" s="29" t="inlineStr">
        <is>
          <t>A3</t>
        </is>
      </c>
      <c r="K382" s="29" t="inlineStr">
        <is>
          <t>▲ Up</t>
        </is>
      </c>
      <c r="L382" s="29" t="inlineStr">
        <is>
          <t>Engineering &amp; Development</t>
        </is>
      </c>
      <c r="M382" s="29" t="inlineStr">
        <is>
          <t>Data Engineering &amp; Database Development</t>
        </is>
      </c>
      <c r="N382" s="29" t="n"/>
      <c r="O382" s="29" t="n">
        <v>20</v>
      </c>
      <c r="P382" s="28" t="inlineStr">
        <is>
          <t>P2</t>
        </is>
      </c>
      <c r="Q382" s="29" t="inlineStr">
        <is>
          <t>Developing</t>
        </is>
      </c>
      <c r="R382" s="29" t="inlineStr">
        <is>
          <t>3 Apply</t>
        </is>
      </c>
      <c r="S382" s="29" t="inlineStr">
        <is>
          <t>2–4 yrs</t>
        </is>
      </c>
      <c r="T382" s="29" t="inlineStr">
        <is>
          <t>3–5 · 2–5</t>
        </is>
      </c>
      <c r="U382" s="29" t="inlineStr">
        <is>
          <t>Senior Software Engineer</t>
        </is>
      </c>
      <c r="V382" s="29" t="inlineStr">
        <is>
          <t>Workiva: SE · Broadridge India: SE · Nasdaq / AxiomSL: SE · Salesforce: MTS · Atlassian: P40 · 3–7 yrs · Freshworks: Senior SE</t>
        </is>
      </c>
      <c r="W382" s="29" t="inlineStr">
        <is>
          <t>SFIA 9 · software development, programming; OWASP secure coding; cloud vendor certifications</t>
        </is>
      </c>
      <c r="X382" s="29" t="inlineStr">
        <is>
          <t>Core 2 · Future 2 · Functional 3 · Leadership not scored</t>
        </is>
      </c>
      <c r="Y382" s="52" t="n">
        <v>172</v>
      </c>
      <c r="Z382" s="53" t="inlineStr">
        <is>
          <t>IRIS1876</t>
        </is>
      </c>
      <c r="AA382" s="53" t="inlineStr">
        <is>
          <t>Employee</t>
        </is>
      </c>
      <c r="AB382" s="53" t="inlineStr">
        <is>
          <t>Active</t>
        </is>
      </c>
      <c r="AC382" s="53" t="inlineStr">
        <is>
          <t>Chaitanya Vadagabhaktula</t>
        </is>
      </c>
      <c r="AD382" s="54" t="n">
        <v>44116</v>
      </c>
      <c r="AE382" s="53" t="inlineStr">
        <is>
          <t>Senior Software Engineer</t>
        </is>
      </c>
      <c r="AF382" s="53" t="inlineStr">
        <is>
          <t>B.Tech</t>
        </is>
      </c>
      <c r="AG382" s="53" t="inlineStr">
        <is>
          <t>Ravikant Karmoju</t>
        </is>
      </c>
      <c r="AH382" s="53" t="inlineStr">
        <is>
          <t>N-5</t>
        </is>
      </c>
      <c r="AI382" s="53" t="inlineStr">
        <is>
          <t>Individual Contributor</t>
        </is>
      </c>
      <c r="AJ382" s="53" t="inlineStr">
        <is>
          <t>3 years, 0 months, 0 days</t>
        </is>
      </c>
      <c r="AK382" s="53" t="inlineStr">
        <is>
          <t>5 years, 10 months, 13 days</t>
        </is>
      </c>
      <c r="AL382" s="53" t="inlineStr">
        <is>
          <t>Suptech</t>
        </is>
      </c>
      <c r="AM382" s="53" t="inlineStr">
        <is>
          <t>iFile</t>
        </is>
      </c>
      <c r="AN382" s="53" t="inlineStr">
        <is>
          <t>Technology</t>
        </is>
      </c>
      <c r="AO382" s="53" t="inlineStr">
        <is>
          <t>Development</t>
        </is>
      </c>
      <c r="AP382" s="53" t="inlineStr">
        <is>
          <t>Yes</t>
        </is>
      </c>
      <c r="AQ382" s="53" t="inlineStr">
        <is>
          <t>Product/Project</t>
        </is>
      </c>
      <c r="AR382" s="53" t="inlineStr">
        <is>
          <t>SQL</t>
        </is>
      </c>
      <c r="AS382" s="53" t="inlineStr">
        <is>
          <t>Technical - Developer</t>
        </is>
      </c>
      <c r="AT382" s="53" t="n">
        <v>20</v>
      </c>
      <c r="AU382" s="53" t="inlineStr">
        <is>
          <t>Covered</t>
        </is>
      </c>
      <c r="AV382" s="53" t="n"/>
      <c r="AW382" s="53" t="n"/>
      <c r="AX382" s="53" t="n"/>
      <c r="AY382" s="53" t="n"/>
      <c r="AZ382" s="53" t="n"/>
      <c r="BA382" s="53" t="n"/>
      <c r="BB382" s="53" t="n"/>
      <c r="BC382" s="53" t="n"/>
      <c r="BD382" s="53" t="n"/>
      <c r="BE382" s="53" t="n"/>
      <c r="BF382" s="53" t="n"/>
      <c r="BG382" s="53" t="n"/>
      <c r="BH382" s="53" t="n"/>
      <c r="BI382" s="53" t="n"/>
      <c r="BJ382" s="53" t="n"/>
      <c r="BK382" s="53" t="n"/>
      <c r="BL382" s="53" t="n"/>
      <c r="BM382" s="53" t="n"/>
      <c r="BN382" s="53" t="n"/>
      <c r="BO382" s="53" t="n"/>
      <c r="BP382" s="53" t="n"/>
      <c r="BQ382" s="53" t="n"/>
      <c r="BR382" s="53" t="n"/>
      <c r="BS382" s="53" t="n"/>
      <c r="BT382" s="53" t="n"/>
      <c r="BU382" s="53" t="n"/>
      <c r="BV382" s="53" t="n"/>
      <c r="BW382" s="53" t="n"/>
      <c r="BX382" s="53" t="n"/>
      <c r="BY382" s="53" t="n"/>
      <c r="BZ382" s="53" t="n"/>
      <c r="CA382" s="53" t="n"/>
      <c r="CB382" s="53" t="n"/>
      <c r="CC382" s="53" t="n"/>
      <c r="CD382" s="53" t="n"/>
      <c r="CE382" s="53" t="n"/>
      <c r="CF382" s="53" t="n"/>
      <c r="CG382" s="53" t="n"/>
      <c r="CH382" s="53" t="n"/>
      <c r="CI382" s="53" t="n"/>
      <c r="CJ382" s="53" t="n"/>
      <c r="CK382" s="53" t="n"/>
      <c r="CL382" s="53" t="n"/>
      <c r="CM382" s="53" t="n"/>
      <c r="CN382" s="53" t="n"/>
      <c r="CO382" s="53" t="n"/>
      <c r="CP382" s="53" t="n"/>
      <c r="CQ382" s="53" t="n"/>
      <c r="CR382" s="53" t="n"/>
      <c r="CS382" s="53" t="n"/>
      <c r="CT382" s="53" t="n"/>
      <c r="CU382" s="53" t="n"/>
      <c r="CV382" s="53" t="n"/>
      <c r="CW382" s="53" t="n"/>
      <c r="CX382" s="53" t="n"/>
      <c r="CY382" s="53" t="n"/>
      <c r="CZ382" s="53" t="n"/>
      <c r="DA382" s="53" t="n"/>
      <c r="DB382" s="53" t="n"/>
      <c r="DC382" s="53" t="n"/>
      <c r="DD382" s="53" t="inlineStr">
        <is>
          <t>IRIS1876</t>
        </is>
      </c>
      <c r="DE382" s="53" t="inlineStr">
        <is>
          <t>Employee</t>
        </is>
      </c>
      <c r="DF382" s="53" t="inlineStr">
        <is>
          <t>Active</t>
        </is>
      </c>
      <c r="DG382" s="53" t="inlineStr">
        <is>
          <t>Chaitanya Vadagabhaktula</t>
        </is>
      </c>
      <c r="DH382" s="54" t="n">
        <v>44116</v>
      </c>
      <c r="DI382" s="53" t="inlineStr">
        <is>
          <t>Senior Software Engineer</t>
        </is>
      </c>
      <c r="DJ382" s="53" t="inlineStr">
        <is>
          <t>Engineering &amp; Development</t>
        </is>
      </c>
      <c r="DK382" s="53" t="inlineStr">
        <is>
          <t>Software Engineering</t>
        </is>
      </c>
      <c r="DL382" s="53" t="inlineStr">
        <is>
          <t>Senior Software Engineer</t>
        </is>
      </c>
      <c r="DM382" s="53" t="inlineStr">
        <is>
          <t>L4 – Senior</t>
        </is>
      </c>
      <c r="DN382" s="53" t="inlineStr">
        <is>
          <t>B.Tech</t>
        </is>
      </c>
      <c r="DO382" s="53" t="inlineStr">
        <is>
          <t>Ravikant Karmoju</t>
        </is>
      </c>
      <c r="DP382" s="53" t="inlineStr">
        <is>
          <t>N-4</t>
        </is>
      </c>
      <c r="DQ382" s="53" t="inlineStr">
        <is>
          <t>Individual Contributor</t>
        </is>
      </c>
      <c r="DR382" s="53" t="inlineStr">
        <is>
          <t>3 years, 0 months, 0 days</t>
        </is>
      </c>
      <c r="DS382" s="53" t="inlineStr">
        <is>
          <t>5 years, 8 months, 8 days</t>
        </is>
      </c>
      <c r="DT382" s="53" t="inlineStr">
        <is>
          <t>8 years, 8 months, 8 days</t>
        </is>
      </c>
      <c r="DU382" s="53" t="n"/>
      <c r="DV382" s="53" t="inlineStr">
        <is>
          <t>Suptech</t>
        </is>
      </c>
      <c r="DW382" s="53" t="inlineStr">
        <is>
          <t>iFile</t>
        </is>
      </c>
      <c r="DX382" s="53" t="inlineStr">
        <is>
          <t>Technology</t>
        </is>
      </c>
      <c r="DY382" s="53" t="inlineStr">
        <is>
          <t>Development</t>
        </is>
      </c>
      <c r="DZ382" s="53" t="inlineStr">
        <is>
          <t>Yes</t>
        </is>
      </c>
      <c r="EA382" s="53" t="inlineStr">
        <is>
          <t>Product/Project</t>
        </is>
      </c>
      <c r="EB382" s="53" t="inlineStr">
        <is>
          <t>SQL</t>
        </is>
      </c>
      <c r="EC382" s="53" t="inlineStr">
        <is>
          <t>Technical - Developer</t>
        </is>
      </c>
      <c r="ED382" s="53" t="inlineStr">
        <is>
          <t>Work From Office - Turbhe</t>
        </is>
      </c>
      <c r="EE382"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F382" s="53"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G382"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H382" s="53" t="n">
        <v>3</v>
      </c>
      <c r="EI382" s="53" t="n"/>
      <c r="EJ382" s="53" t="inlineStr">
        <is>
          <t>Senior Software Engineer</t>
        </is>
      </c>
      <c r="EK382" s="53" t="n"/>
      <c r="EL382" s="53" t="n">
        <v>3</v>
      </c>
      <c r="EM382" s="53" t="inlineStr">
        <is>
          <t>Medium</t>
        </is>
      </c>
      <c r="EN382" s="53" t="inlineStr">
        <is>
          <t>Core Contributor</t>
        </is>
      </c>
      <c r="EO382" s="53" t="inlineStr">
        <is>
          <t>No</t>
        </is>
      </c>
      <c r="EP382" s="53" t="inlineStr">
        <is>
          <t>No</t>
        </is>
      </c>
      <c r="EQ382" s="53" t="inlineStr">
        <is>
          <t>No</t>
        </is>
      </c>
      <c r="ER382" s="53" t="n"/>
      <c r="ES382" s="53" t="inlineStr">
        <is>
          <t>Advanced System Architecture, Cloud Technologies · Azure, AI &amp; Automation, Performance Optimization, Secure Coding</t>
        </is>
      </c>
      <c r="ET382" s="53" t="inlineStr">
        <is>
          <t>Technical Leadership, Solution Architecture, Stakeholder Management, Team Mentoring</t>
        </is>
      </c>
      <c r="EU382" s="53" t="n"/>
      <c r="EV382" s="53" t="n"/>
      <c r="EW382" s="52" t="n"/>
      <c r="EX382" s="53" t="n"/>
      <c r="EY382" s="53" t="n"/>
      <c r="EZ382" s="53" t="n"/>
      <c r="FA382" s="53" t="n"/>
      <c r="FB382" s="53" t="n"/>
      <c r="FC382" s="53" t="n"/>
      <c r="FD382" s="53" t="n"/>
      <c r="FE382" s="57"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FF382"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FG382"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FH382" s="56" t="inlineStr">
        <is>
          <t>3</t>
        </is>
      </c>
      <c r="FI382" s="56" t="n"/>
      <c r="FJ382" s="56" t="inlineStr">
        <is>
          <t>Received · manager annual, quarterly, self</t>
        </is>
      </c>
      <c r="FK382" s="56" t="inlineStr">
        <is>
          <t>Talent Mapping · iFile collated</t>
        </is>
      </c>
      <c r="FL382" s="56" t="n">
        <v>20</v>
      </c>
      <c r="FM382" s="32" t="inlineStr">
        <is>
          <t>Full survey answers not in the files received · How We Grow export needed · HR</t>
        </is>
      </c>
      <c r="FN382" s="56" t="inlineStr">
        <is>
          <t>—</t>
        </is>
      </c>
      <c r="FO382" s="56" t="inlineStr">
        <is>
          <t>—</t>
        </is>
      </c>
      <c r="FP382" s="56" t="inlineStr">
        <is>
          <t>—</t>
        </is>
      </c>
      <c r="FQ382" s="56" t="inlineStr">
        <is>
          <t>—</t>
        </is>
      </c>
      <c r="FR382" s="56"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 matches the start
Leadership: Evidence reads like A2: No guiding described in survey; KRA mentions coordinating a team on IFRS 18 → matches the start
Business Impact: No survey or manager-mapping signal on criticality: kept at the start point.</t>
        </is>
      </c>
      <c r="FS382"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382" s="56" t="inlineStr">
        <is>
          <t>Self-identified: Leadership &amp; people management · Technical depth &amp; architecture · Product &amp; tool knowledge · Client, sales &amp; stakeholders · Strategy &amp; business acumen · Broader exposure &amp; ownership
For the next role: Leadership &amp; people management · Technical depth &amp; architecture · Product &amp; tool knowledge · Client, sales &amp; stakeholders · Strategy &amp; business acumen · Broader exposure &amp; ownership</t>
        </is>
      </c>
      <c r="FU382" s="32" t="inlineStr">
        <is>
          <t>Full survey answers not in the files received · How We Grow export needed · HR</t>
        </is>
      </c>
    </row>
    <row r="383" ht="90" customHeight="1">
      <c r="A383" s="51" t="inlineStr">
        <is>
          <t>◂ Back</t>
        </is>
      </c>
      <c r="B383" s="29" t="inlineStr">
        <is>
          <t>Mapped</t>
        </is>
      </c>
      <c r="C383" s="28" t="inlineStr">
        <is>
          <t>iFile</t>
        </is>
      </c>
      <c r="D383" s="29" t="inlineStr">
        <is>
          <t>IRIS2215</t>
        </is>
      </c>
      <c r="E383" s="29" t="inlineStr">
        <is>
          <t>Shiveshdhar Dubey</t>
        </is>
      </c>
      <c r="F383" s="29" t="inlineStr">
        <is>
          <t>Technology</t>
        </is>
      </c>
      <c r="G383" s="29" t="inlineStr">
        <is>
          <t>Principal Software Engineer</t>
        </is>
      </c>
      <c r="H383" s="29" t="inlineStr">
        <is>
          <t>Associate Technical Architect – POD Lead</t>
        </is>
      </c>
      <c r="I383" s="29" t="inlineStr">
        <is>
          <t>L6 – Principal · IC</t>
        </is>
      </c>
      <c r="J383" s="29" t="inlineStr">
        <is>
          <t>B3</t>
        </is>
      </c>
      <c r="K383" s="29" t="inlineStr">
        <is>
          <t>▼ Down · protected</t>
        </is>
      </c>
      <c r="L383" s="29" t="inlineStr">
        <is>
          <t>Engineering &amp; Architecture</t>
        </is>
      </c>
      <c r="M383" s="29" t="inlineStr">
        <is>
          <t>Solution &amp; Technical Architecture</t>
        </is>
      </c>
      <c r="N383" s="29" t="n"/>
      <c r="O383" s="29" t="n">
        <v>20</v>
      </c>
      <c r="P383" s="28" t="inlineStr">
        <is>
          <t>P5 / M4</t>
        </is>
      </c>
      <c r="Q383" s="29" t="inlineStr">
        <is>
          <t>Expert / Senior Manager</t>
        </is>
      </c>
      <c r="R383" s="29" t="inlineStr">
        <is>
          <t>5 Ensure, advise</t>
        </is>
      </c>
      <c r="S383" s="29" t="inlineStr">
        <is>
          <t>8–12 yrs</t>
        </is>
      </c>
      <c r="T383" s="29" t="inlineStr">
        <is>
          <t>9–13 · 9–14</t>
        </is>
      </c>
      <c r="U383" s="29" t="inlineStr">
        <is>
          <t>Principal Architect</t>
        </is>
      </c>
      <c r="V383" s="29" t="inlineStr">
        <is>
          <t>Workiva: Staff SE · Broadridge India: Senior Lead SE · Nasdaq / AxiomSL: Lead SE · Salesforce: LMTS · Atlassian: P50 Senior · Freshworks: Staff SE</t>
        </is>
      </c>
      <c r="W383" s="29" t="inlineStr">
        <is>
          <t>SFIA 9 · solution architecture; TOGAF; AWS / Azure architect certifications</t>
        </is>
      </c>
      <c r="X383" s="29" t="inlineStr">
        <is>
          <t>Core 4 · Future 3 · Functional 4 · Leadership 4</t>
        </is>
      </c>
      <c r="Y383" s="52" t="n">
        <v>302</v>
      </c>
      <c r="Z383" s="53" t="inlineStr">
        <is>
          <t>IRIS2215</t>
        </is>
      </c>
      <c r="AA383" s="53" t="inlineStr">
        <is>
          <t>Employee</t>
        </is>
      </c>
      <c r="AB383" s="53" t="inlineStr">
        <is>
          <t>Active</t>
        </is>
      </c>
      <c r="AC383" s="53" t="inlineStr">
        <is>
          <t>Shiveshdhar Dubey</t>
        </is>
      </c>
      <c r="AD383" s="54" t="n">
        <v>45278</v>
      </c>
      <c r="AE383" s="53" t="inlineStr">
        <is>
          <t>Principal Software Engineer</t>
        </is>
      </c>
      <c r="AF383" s="53" t="inlineStr">
        <is>
          <t>B.E</t>
        </is>
      </c>
      <c r="AG383" s="53" t="inlineStr">
        <is>
          <t>Sandeep Dwivedi</t>
        </is>
      </c>
      <c r="AH383" s="53" t="inlineStr">
        <is>
          <t>N-4</t>
        </is>
      </c>
      <c r="AI383" s="53" t="inlineStr">
        <is>
          <t>Manager</t>
        </is>
      </c>
      <c r="AJ383" s="53" t="inlineStr">
        <is>
          <t>8 years, 0 months, 0 days</t>
        </is>
      </c>
      <c r="AK383" s="53" t="inlineStr">
        <is>
          <t>2 years, 8 months, 7 days</t>
        </is>
      </c>
      <c r="AL383" s="53" t="inlineStr">
        <is>
          <t>Suptech</t>
        </is>
      </c>
      <c r="AM383" s="53" t="inlineStr">
        <is>
          <t>iFile</t>
        </is>
      </c>
      <c r="AN383" s="53" t="inlineStr">
        <is>
          <t>Technology</t>
        </is>
      </c>
      <c r="AO383" s="53" t="inlineStr">
        <is>
          <t>Development</t>
        </is>
      </c>
      <c r="AP383" s="53" t="inlineStr">
        <is>
          <t>Yes</t>
        </is>
      </c>
      <c r="AQ383" s="53" t="inlineStr">
        <is>
          <t>Product/Project</t>
        </is>
      </c>
      <c r="AR383" s="53" t="inlineStr">
        <is>
          <t>.NET MVC</t>
        </is>
      </c>
      <c r="AS383" s="53" t="inlineStr">
        <is>
          <t>Technical - Developer</t>
        </is>
      </c>
      <c r="AT383" s="53" t="n">
        <v>20</v>
      </c>
      <c r="AU383" s="53" t="inlineStr">
        <is>
          <t>Covered</t>
        </is>
      </c>
      <c r="AV383" s="53" t="n"/>
      <c r="AW383" s="53" t="n"/>
      <c r="AX383" s="53" t="n"/>
      <c r="AY383" s="53" t="n"/>
      <c r="AZ383" s="53" t="n"/>
      <c r="BA383" s="53" t="n"/>
      <c r="BB383" s="53" t="n"/>
      <c r="BC383" s="53" t="n"/>
      <c r="BD383" s="53" t="n"/>
      <c r="BE383" s="53" t="n"/>
      <c r="BF383" s="53" t="n"/>
      <c r="BG383" s="53" t="n"/>
      <c r="BH383" s="53" t="n"/>
      <c r="BI383" s="53" t="n"/>
      <c r="BJ383" s="53" t="n"/>
      <c r="BK383" s="53" t="n"/>
      <c r="BL383" s="53" t="n"/>
      <c r="BM383" s="53" t="n"/>
      <c r="BN383" s="53" t="n"/>
      <c r="BO383" s="53" t="n"/>
      <c r="BP383" s="53" t="n"/>
      <c r="BQ383" s="53" t="n"/>
      <c r="BR383" s="53" t="n"/>
      <c r="BS383" s="53" t="n"/>
      <c r="BT383" s="53" t="n"/>
      <c r="BU383" s="53" t="n"/>
      <c r="BV383" s="53" t="n"/>
      <c r="BW383" s="53" t="n"/>
      <c r="BX383" s="53" t="n"/>
      <c r="BY383" s="53" t="n"/>
      <c r="BZ383" s="53" t="n"/>
      <c r="CA383" s="53" t="n"/>
      <c r="CB383" s="53" t="n"/>
      <c r="CC383" s="53" t="n"/>
      <c r="CD383" s="53" t="n"/>
      <c r="CE383" s="53" t="n"/>
      <c r="CF383" s="53" t="n"/>
      <c r="CG383" s="53" t="n"/>
      <c r="CH383" s="53" t="n"/>
      <c r="CI383" s="53" t="n"/>
      <c r="CJ383" s="53" t="n"/>
      <c r="CK383" s="53" t="n"/>
      <c r="CL383" s="53" t="n"/>
      <c r="CM383" s="53" t="n"/>
      <c r="CN383" s="53" t="n"/>
      <c r="CO383" s="53" t="n"/>
      <c r="CP383" s="53" t="n"/>
      <c r="CQ383" s="53" t="n"/>
      <c r="CR383" s="53" t="n"/>
      <c r="CS383" s="53" t="n"/>
      <c r="CT383" s="53" t="n"/>
      <c r="CU383" s="53" t="n"/>
      <c r="CV383" s="53" t="n"/>
      <c r="CW383" s="53" t="n"/>
      <c r="CX383" s="53" t="n"/>
      <c r="CY383" s="53" t="n"/>
      <c r="CZ383" s="53" t="n"/>
      <c r="DA383" s="53" t="n"/>
      <c r="DB383" s="53" t="n"/>
      <c r="DC383" s="53" t="n"/>
      <c r="DD383" s="53" t="inlineStr">
        <is>
          <t>IRIS2215</t>
        </is>
      </c>
      <c r="DE383" s="53" t="inlineStr">
        <is>
          <t>Employee</t>
        </is>
      </c>
      <c r="DF383" s="53" t="inlineStr">
        <is>
          <t>Active</t>
        </is>
      </c>
      <c r="DG383" s="53" t="inlineStr">
        <is>
          <t>Shiveshdhar Dubey</t>
        </is>
      </c>
      <c r="DH383" s="54" t="n">
        <v>45278</v>
      </c>
      <c r="DI383" s="53" t="inlineStr">
        <is>
          <t>Principal Software Engineer</t>
        </is>
      </c>
      <c r="DJ383" s="53" t="inlineStr">
        <is>
          <t>Engineering &amp; Architecture</t>
        </is>
      </c>
      <c r="DK383" s="53" t="inlineStr">
        <is>
          <t>Solution / Software Architecture</t>
        </is>
      </c>
      <c r="DL383" s="53" t="inlineStr">
        <is>
          <t>Principal Software Engineer</t>
        </is>
      </c>
      <c r="DM383" s="53" t="inlineStr">
        <is>
          <t>L6 – Principal · IC</t>
        </is>
      </c>
      <c r="DN383" s="53" t="inlineStr">
        <is>
          <t>B.E</t>
        </is>
      </c>
      <c r="DO383" s="53" t="inlineStr">
        <is>
          <t>Sandeep Dwivedi</t>
        </is>
      </c>
      <c r="DP383" s="53" t="inlineStr">
        <is>
          <t>N-3</t>
        </is>
      </c>
      <c r="DQ383" s="53" t="inlineStr">
        <is>
          <t>Manager</t>
        </is>
      </c>
      <c r="DR383" s="53" t="inlineStr">
        <is>
          <t>8 years, 0 months, 0 days</t>
        </is>
      </c>
      <c r="DS383" s="53" t="inlineStr">
        <is>
          <t>2 years, 6 months, 2 days</t>
        </is>
      </c>
      <c r="DT383" s="53" t="inlineStr">
        <is>
          <t>10 years, 6 months, 2 days</t>
        </is>
      </c>
      <c r="DU383" s="53" t="n">
        <v>2.5054794520548</v>
      </c>
      <c r="DV383" s="53" t="inlineStr">
        <is>
          <t>Suptech</t>
        </is>
      </c>
      <c r="DW383" s="53" t="inlineStr">
        <is>
          <t>iFile</t>
        </is>
      </c>
      <c r="DX383" s="53" t="inlineStr">
        <is>
          <t>Technology</t>
        </is>
      </c>
      <c r="DY383" s="53" t="inlineStr">
        <is>
          <t>Development</t>
        </is>
      </c>
      <c r="DZ383" s="53" t="inlineStr">
        <is>
          <t>Yes</t>
        </is>
      </c>
      <c r="EA383" s="53" t="inlineStr">
        <is>
          <t>Product/Project</t>
        </is>
      </c>
      <c r="EB383" s="53" t="inlineStr">
        <is>
          <t>.NET MVC</t>
        </is>
      </c>
      <c r="EC383" s="53" t="inlineStr">
        <is>
          <t>Technical - Developer</t>
        </is>
      </c>
      <c r="ED383" s="53" t="inlineStr">
        <is>
          <t>Remote - Mumbai</t>
        </is>
      </c>
      <c r="EE383" s="53"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EF383" s="53"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EG383" s="53" t="inlineStr">
        <is>
          <t>1.Ensure Seamless CMA–CIP Document Synchronization &amp; Production Stability.
2.Automate &amp; Strengthen Monitoring, Alerting and Reconciliation Processes.
3.Develop Team Capability for Independent Production Support.</t>
        </is>
      </c>
      <c r="EH383" s="53" t="n">
        <v>3</v>
      </c>
      <c r="EI383" s="54" t="n">
        <v>46203</v>
      </c>
      <c r="EJ383" s="53" t="inlineStr">
        <is>
          <t>Principal Software Engineer</t>
        </is>
      </c>
      <c r="EK383" s="53" t="inlineStr">
        <is>
          <t>Carries manager responsibility on a non-lead title – align title/grade to people-management scope</t>
        </is>
      </c>
      <c r="EL383" s="53" t="n">
        <v>3</v>
      </c>
      <c r="EM383" s="53" t="inlineStr">
        <is>
          <t>Medium</t>
        </is>
      </c>
      <c r="EN383" s="53" t="inlineStr">
        <is>
          <t>Reliable Specialist</t>
        </is>
      </c>
      <c r="EO383" s="53" t="inlineStr">
        <is>
          <t>No</t>
        </is>
      </c>
      <c r="EP383" s="53" t="inlineStr">
        <is>
          <t>No</t>
        </is>
      </c>
      <c r="EQ383" s="53" t="inlineStr">
        <is>
          <t>No</t>
        </is>
      </c>
      <c r="ER383" s="53" t="inlineStr">
        <is>
          <t>Yet to be identified</t>
        </is>
      </c>
      <c r="ES383" s="53" t="inlineStr">
        <is>
          <t>Advanced System Architecture, Cloud Technologies · Azure, AI &amp; Automation, Performance Optimization, Secure Coding</t>
        </is>
      </c>
      <c r="ET383" s="53" t="inlineStr">
        <is>
          <t>Technical Leadership, Solution Architecture, Stakeholder Management, Team Mentoring</t>
        </is>
      </c>
      <c r="EU383" s="53" t="n"/>
      <c r="EV383" s="53" t="n"/>
      <c r="EW383" s="52" t="n"/>
      <c r="EX383" s="53" t="n"/>
      <c r="EY383" s="53" t="n"/>
      <c r="EZ383" s="53" t="n"/>
      <c r="FA383" s="53" t="n"/>
      <c r="FB383" s="53" t="n"/>
      <c r="FC383" s="53" t="n"/>
      <c r="FD383" s="53" t="n"/>
      <c r="FE383" s="57"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FF383" s="56" t="inlineStr">
        <is>
          <t>1.Ensure Seamless CMA–CIP Document Synchronization &amp; Production Stability.
2.Automate &amp; Strengthen Monitoring, Alerting and Reconciliation Processes.
3.Develop Team Capability for Independent Production Support.</t>
        </is>
      </c>
      <c r="FG383" s="56"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FH383" s="56" t="inlineStr">
        <is>
          <t>3</t>
        </is>
      </c>
      <c r="FI383" s="56" t="n"/>
      <c r="FJ383" s="56" t="inlineStr">
        <is>
          <t>Received · manager annual, quarterly, self</t>
        </is>
      </c>
      <c r="FK383" s="56" t="inlineStr">
        <is>
          <t>Talent Mapping · iFile collated</t>
        </is>
      </c>
      <c r="FL383" s="56" t="n">
        <v>20</v>
      </c>
      <c r="FM383" s="32" t="inlineStr">
        <is>
          <t>Full survey answers not in the files received · How We Grow export needed · HR</t>
        </is>
      </c>
      <c r="FN383" s="56" t="inlineStr">
        <is>
          <t>—</t>
        </is>
      </c>
      <c r="FO383" s="56" t="inlineStr">
        <is>
          <t>—</t>
        </is>
      </c>
      <c r="FP383" s="56" t="inlineStr">
        <is>
          <t>—</t>
        </is>
      </c>
      <c r="FQ383" s="56" t="inlineStr">
        <is>
          <t>—</t>
        </is>
      </c>
      <c r="FR383" s="56"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functionality of the dev team's deliverables; integration failure blocks filings → moved down 0.5
Leadership: Evidence reads like B1: Leads the project's software development team; 3 direct reports → moved down 1
Business Impact: No survey or manager-mapping signal on criticality: kept at the start point.</t>
        </is>
      </c>
      <c r="FS383"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383" s="56" t="inlineStr">
        <is>
          <t>Self-identified: Leadership &amp; people management · Product &amp; tool knowledge · Broader exposure &amp; ownership
For the next role: Leadership &amp; people management · Product &amp; tool knowledge · Broader exposure &amp; ownership</t>
        </is>
      </c>
      <c r="FU383" s="32" t="inlineStr">
        <is>
          <t>Full survey answers not in the files received · How We Grow export needed · HR</t>
        </is>
      </c>
    </row>
    <row r="384" ht="90" customHeight="1">
      <c r="A384" s="51" t="inlineStr">
        <is>
          <t>◂ Back</t>
        </is>
      </c>
      <c r="B384" s="29" t="inlineStr">
        <is>
          <t>Mapped</t>
        </is>
      </c>
      <c r="C384" s="28" t="inlineStr">
        <is>
          <t>iFile</t>
        </is>
      </c>
      <c r="D384" s="29" t="inlineStr">
        <is>
          <t>IRIS2083</t>
        </is>
      </c>
      <c r="E384" s="29" t="inlineStr">
        <is>
          <t>Anilkumar Aarumughan</t>
        </is>
      </c>
      <c r="F384" s="29" t="inlineStr">
        <is>
          <t>Technology</t>
        </is>
      </c>
      <c r="G384" s="29" t="inlineStr">
        <is>
          <t>Senior Software Engineer</t>
        </is>
      </c>
      <c r="H384" s="29" t="inlineStr">
        <is>
          <t>Technical Specialist</t>
        </is>
      </c>
      <c r="I384" s="29" t="inlineStr">
        <is>
          <t>L4 – Senior</t>
        </is>
      </c>
      <c r="J384" s="29" t="inlineStr">
        <is>
          <t>B1</t>
        </is>
      </c>
      <c r="K384" s="29" t="inlineStr">
        <is>
          <t>▲ Up</t>
        </is>
      </c>
      <c r="L384" s="29" t="inlineStr">
        <is>
          <t>Engineering &amp; Development</t>
        </is>
      </c>
      <c r="M384" s="29" t="inlineStr">
        <is>
          <t>Full-Stack Development</t>
        </is>
      </c>
      <c r="N384" s="29" t="n"/>
      <c r="O384" s="29" t="n">
        <v>20</v>
      </c>
      <c r="P384" s="28" t="inlineStr">
        <is>
          <t>P3 / M2</t>
        </is>
      </c>
      <c r="Q384" s="29" t="inlineStr">
        <is>
          <t>Career / · Team Lead</t>
        </is>
      </c>
      <c r="R384" s="29" t="inlineStr">
        <is>
          <t>4 Enable</t>
        </is>
      </c>
      <c r="S384" s="29" t="inlineStr">
        <is>
          <t>4–7 yrs</t>
        </is>
      </c>
      <c r="T384" s="29" t="inlineStr">
        <is>
          <t>5–8 · 4–8</t>
        </is>
      </c>
      <c r="U384" s="29" t="inlineStr">
        <is>
          <t>Senior Software Engineer</t>
        </is>
      </c>
      <c r="V384" s="29" t="inlineStr">
        <is>
          <t>Workiva: SE / Senior SE · Broadridge India: Senior SE · Nasdaq / AxiomSL: Senior SE · Salesforce: MTS · Atlassian: P40 · Freshworks: Senior SE</t>
        </is>
      </c>
      <c r="W384" s="29" t="inlineStr">
        <is>
          <t>SFIA 9 · software development, programming; OWASP secure coding; cloud vendor certifications</t>
        </is>
      </c>
      <c r="X384" s="29" t="inlineStr">
        <is>
          <t>Core 3 · Future 3 · Functional 3 · Leadership 1</t>
        </is>
      </c>
      <c r="Y384" s="52" t="n">
        <v>256</v>
      </c>
      <c r="Z384" s="53" t="inlineStr">
        <is>
          <t>IRIS2083</t>
        </is>
      </c>
      <c r="AA384" s="53" t="inlineStr">
        <is>
          <t>Employee</t>
        </is>
      </c>
      <c r="AB384" s="53" t="inlineStr">
        <is>
          <t>Active</t>
        </is>
      </c>
      <c r="AC384" s="53" t="inlineStr">
        <is>
          <t>Anilkumar Aarumughan</t>
        </is>
      </c>
      <c r="AD384" s="54" t="n">
        <v>44900</v>
      </c>
      <c r="AE384" s="53" t="inlineStr">
        <is>
          <t>Senior Software Engineer</t>
        </is>
      </c>
      <c r="AF384" s="53" t="inlineStr">
        <is>
          <t>MSC</t>
        </is>
      </c>
      <c r="AG384" s="53" t="inlineStr">
        <is>
          <t>Shiveshdhar Dubey</t>
        </is>
      </c>
      <c r="AH384" s="53" t="inlineStr">
        <is>
          <t>N-5</t>
        </is>
      </c>
      <c r="AI384" s="53" t="inlineStr">
        <is>
          <t>Individual Contributor</t>
        </is>
      </c>
      <c r="AJ384" s="53" t="inlineStr">
        <is>
          <t>10 years, 1 months, 0 days</t>
        </is>
      </c>
      <c r="AK384" s="53" t="inlineStr">
        <is>
          <t>3 years, 8 months, 20 days</t>
        </is>
      </c>
      <c r="AL384" s="53" t="inlineStr">
        <is>
          <t>Suptech</t>
        </is>
      </c>
      <c r="AM384" s="53" t="inlineStr">
        <is>
          <t>iFile</t>
        </is>
      </c>
      <c r="AN384" s="53" t="inlineStr">
        <is>
          <t>Technology</t>
        </is>
      </c>
      <c r="AO384" s="53" t="inlineStr">
        <is>
          <t>Development</t>
        </is>
      </c>
      <c r="AP384" s="53" t="inlineStr">
        <is>
          <t>Yes</t>
        </is>
      </c>
      <c r="AQ384" s="53" t="inlineStr">
        <is>
          <t>Product/Project</t>
        </is>
      </c>
      <c r="AR384" s="53" t="inlineStr">
        <is>
          <t>.NET MVC</t>
        </is>
      </c>
      <c r="AS384" s="53" t="inlineStr">
        <is>
          <t>Technical - Developer</t>
        </is>
      </c>
      <c r="AT384" s="53" t="n">
        <v>20</v>
      </c>
      <c r="AU384" s="53" t="inlineStr">
        <is>
          <t>Covered</t>
        </is>
      </c>
      <c r="AV384" s="53" t="n"/>
      <c r="AW384" s="53" t="n"/>
      <c r="AX384" s="53" t="n"/>
      <c r="AY384" s="53" t="n"/>
      <c r="AZ384" s="53" t="n"/>
      <c r="BA384" s="53" t="n"/>
      <c r="BB384" s="53" t="n"/>
      <c r="BC384" s="53" t="n"/>
      <c r="BD384" s="53" t="n"/>
      <c r="BE384" s="53" t="n"/>
      <c r="BF384" s="53" t="n"/>
      <c r="BG384" s="53" t="n"/>
      <c r="BH384" s="53" t="n"/>
      <c r="BI384" s="53" t="n"/>
      <c r="BJ384" s="53" t="n"/>
      <c r="BK384" s="53" t="n"/>
      <c r="BL384" s="53" t="n"/>
      <c r="BM384" s="53" t="n"/>
      <c r="BN384" s="53" t="n"/>
      <c r="BO384" s="53" t="n"/>
      <c r="BP384" s="53" t="n"/>
      <c r="BQ384" s="53" t="n"/>
      <c r="BR384" s="53" t="n"/>
      <c r="BS384" s="53" t="n"/>
      <c r="BT384" s="53" t="n"/>
      <c r="BU384" s="53" t="n"/>
      <c r="BV384" s="53" t="n"/>
      <c r="BW384" s="53" t="n"/>
      <c r="BX384" s="53" t="n"/>
      <c r="BY384" s="53" t="n"/>
      <c r="BZ384" s="53" t="n"/>
      <c r="CA384" s="53" t="n"/>
      <c r="CB384" s="53" t="n"/>
      <c r="CC384" s="53" t="n"/>
      <c r="CD384" s="53" t="n"/>
      <c r="CE384" s="53" t="n"/>
      <c r="CF384" s="53" t="n"/>
      <c r="CG384" s="53" t="n"/>
      <c r="CH384" s="53" t="n"/>
      <c r="CI384" s="53" t="n"/>
      <c r="CJ384" s="53" t="n"/>
      <c r="CK384" s="53" t="n"/>
      <c r="CL384" s="53" t="n"/>
      <c r="CM384" s="53" t="n"/>
      <c r="CN384" s="53" t="n"/>
      <c r="CO384" s="53" t="n"/>
      <c r="CP384" s="53" t="n"/>
      <c r="CQ384" s="53" t="n"/>
      <c r="CR384" s="53" t="n"/>
      <c r="CS384" s="53" t="n"/>
      <c r="CT384" s="53" t="n"/>
      <c r="CU384" s="53" t="n"/>
      <c r="CV384" s="53" t="n"/>
      <c r="CW384" s="53" t="n"/>
      <c r="CX384" s="53" t="n"/>
      <c r="CY384" s="53" t="n"/>
      <c r="CZ384" s="53" t="n"/>
      <c r="DA384" s="53" t="n"/>
      <c r="DB384" s="53" t="n"/>
      <c r="DC384" s="53" t="n"/>
      <c r="DD384" s="53" t="inlineStr">
        <is>
          <t>IRIS2083</t>
        </is>
      </c>
      <c r="DE384" s="53" t="inlineStr">
        <is>
          <t>Employee</t>
        </is>
      </c>
      <c r="DF384" s="53" t="inlineStr">
        <is>
          <t>Active</t>
        </is>
      </c>
      <c r="DG384" s="53" t="inlineStr">
        <is>
          <t>Anilkumar Aarumughan</t>
        </is>
      </c>
      <c r="DH384" s="54" t="n">
        <v>44900</v>
      </c>
      <c r="DI384" s="53" t="inlineStr">
        <is>
          <t>Senior Software Engineer</t>
        </is>
      </c>
      <c r="DJ384" s="53" t="inlineStr">
        <is>
          <t>Engineering &amp; Development</t>
        </is>
      </c>
      <c r="DK384" s="53" t="inlineStr">
        <is>
          <t>Backend Engineering ·.NET</t>
        </is>
      </c>
      <c r="DL384" s="53" t="inlineStr">
        <is>
          <t>Senior Software Engineer</t>
        </is>
      </c>
      <c r="DM384" s="53" t="inlineStr">
        <is>
          <t>L4 – Senior</t>
        </is>
      </c>
      <c r="DN384" s="53" t="inlineStr">
        <is>
          <t>MSC</t>
        </is>
      </c>
      <c r="DO384" s="53" t="inlineStr">
        <is>
          <t>Shiveshdhar Dubey</t>
        </is>
      </c>
      <c r="DP384" s="53" t="inlineStr">
        <is>
          <t>N-4</t>
        </is>
      </c>
      <c r="DQ384" s="53" t="inlineStr">
        <is>
          <t>Individual Contributor</t>
        </is>
      </c>
      <c r="DR384" s="53" t="inlineStr">
        <is>
          <t>10 years, 1 months, 0 days</t>
        </is>
      </c>
      <c r="DS384" s="53" t="inlineStr">
        <is>
          <t>3 years, 6 months, 15 days</t>
        </is>
      </c>
      <c r="DT384" s="53" t="inlineStr">
        <is>
          <t>13 years, 7 months, 15 days</t>
        </is>
      </c>
      <c r="DU384" s="53" t="n"/>
      <c r="DV384" s="53" t="inlineStr">
        <is>
          <t>Suptech</t>
        </is>
      </c>
      <c r="DW384" s="53" t="inlineStr">
        <is>
          <t>iFile</t>
        </is>
      </c>
      <c r="DX384" s="53" t="inlineStr">
        <is>
          <t>Technology</t>
        </is>
      </c>
      <c r="DY384" s="53" t="inlineStr">
        <is>
          <t>Development</t>
        </is>
      </c>
      <c r="DZ384" s="53" t="inlineStr">
        <is>
          <t>Yes</t>
        </is>
      </c>
      <c r="EA384" s="53" t="inlineStr">
        <is>
          <t>Product/Project</t>
        </is>
      </c>
      <c r="EB384" s="53" t="inlineStr">
        <is>
          <t>.NET MVC</t>
        </is>
      </c>
      <c r="EC384" s="53" t="inlineStr">
        <is>
          <t>Technical - Developer</t>
        </is>
      </c>
      <c r="ED384" s="53" t="inlineStr">
        <is>
          <t>Remote- Outside Mumbai</t>
        </is>
      </c>
      <c r="EE384" s="5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EF384" s="53"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EG384" s="5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EH384" s="53" t="n">
        <v>3</v>
      </c>
      <c r="EI384" s="54" t="n">
        <v>46203</v>
      </c>
      <c r="EJ384" s="53" t="inlineStr">
        <is>
          <t>Senior Software Engineer</t>
        </is>
      </c>
      <c r="EK384" s="53" t="inlineStr">
        <is>
          <t>No</t>
        </is>
      </c>
      <c r="EL384" s="53" t="n">
        <v>3</v>
      </c>
      <c r="EM384" s="53" t="inlineStr">
        <is>
          <t>Medium</t>
        </is>
      </c>
      <c r="EN384" s="53" t="inlineStr">
        <is>
          <t>Reliable Specialist</t>
        </is>
      </c>
      <c r="EO384" s="53" t="inlineStr">
        <is>
          <t>No</t>
        </is>
      </c>
      <c r="EP384" s="53" t="inlineStr">
        <is>
          <t>No</t>
        </is>
      </c>
      <c r="EQ384" s="53" t="inlineStr">
        <is>
          <t>No</t>
        </is>
      </c>
      <c r="ER384" s="53" t="inlineStr">
        <is>
          <t>Yet to identified</t>
        </is>
      </c>
      <c r="ES384" s="53" t="inlineStr">
        <is>
          <t>Advanced System Architecture, Cloud Technologies · Azure, AI &amp; Automation, Performance Optimization, Secure Coding</t>
        </is>
      </c>
      <c r="ET384" s="53" t="inlineStr">
        <is>
          <t>Technical Leadership, Solution Architecture, Stakeholder Management, Team Mentoring</t>
        </is>
      </c>
      <c r="EU384" s="53" t="n"/>
      <c r="EV384" s="53" t="n"/>
      <c r="EW384" s="52" t="n"/>
      <c r="EX384" s="53" t="n"/>
      <c r="EY384" s="53" t="n"/>
      <c r="EZ384" s="53" t="n"/>
      <c r="FA384" s="53" t="n"/>
      <c r="FB384" s="53" t="n"/>
      <c r="FC384" s="53" t="n"/>
      <c r="FD384" s="53" t="n"/>
      <c r="FE384" s="57" t="inlineStr">
        <is>
          <t>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and ensuring timely completion of frontend deliverables with minimal rework.
3. Backend Performance – SQL Pagination : Improve application performance by guiding the team on database optimization, reviewing SQL design and pagination strategies, and ensuring performance improvements are incorporated into project deliverables.
4. Code Quality &amp; Defect Prevention : Establish and enforce code quality practices through code review governance, testing compliance, and defect trend analysis, ensuring reduced production defects and improved first-time-right delivery.
5. AI-Enabled Development &amp; Continuous Learning : Promote AI-enabled software development by encouraging the adoption of AI-assisted tools, organizing knowledge-sharing sessions, mentoring team members on best practices, and tracking continuous learning initiatives across the team.</t>
        </is>
      </c>
      <c r="FF384" s="56"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FG384" s="56"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FH384" s="56" t="inlineStr">
        <is>
          <t>3</t>
        </is>
      </c>
      <c r="FI384" s="56" t="n"/>
      <c r="FJ384" s="56" t="inlineStr">
        <is>
          <t>Received · manager annual, quarterly, self</t>
        </is>
      </c>
      <c r="FK384" s="56" t="inlineStr">
        <is>
          <t>Talent Mapping · iFile collated</t>
        </is>
      </c>
      <c r="FL384" s="56" t="n">
        <v>20</v>
      </c>
      <c r="FM384" s="32" t="inlineStr">
        <is>
          <t>Full survey answers not in the files received · How We Grow export needed · HR</t>
        </is>
      </c>
      <c r="FN384" s="56" t="inlineStr">
        <is>
          <t>—</t>
        </is>
      </c>
      <c r="FO384" s="56" t="inlineStr">
        <is>
          <t>—</t>
        </is>
      </c>
      <c r="FP384" s="56" t="inlineStr">
        <is>
          <t>—</t>
        </is>
      </c>
      <c r="FQ384" s="56" t="inlineStr">
        <is>
          <t>—</t>
        </is>
      </c>
      <c r="FR384" s="56" t="inlineStr">
        <is>
          <t>Business Impact: No survey or manager-mapping signal on criticality: kept at the start point.</t>
        </is>
      </c>
      <c r="FS384"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384" s="56" t="inlineStr">
        <is>
          <t>Self-identified: Technical depth &amp; architecture · Strategy &amp; business acumen
For the next role: Technical depth &amp; architecture · Strategy &amp; business acumen</t>
        </is>
      </c>
      <c r="FU384" s="32" t="inlineStr">
        <is>
          <t>Full survey answers not in the files received · How We Grow export needed · HR</t>
        </is>
      </c>
    </row>
    <row r="385" ht="90" customHeight="1">
      <c r="A385" s="51" t="inlineStr">
        <is>
          <t>◂ Back</t>
        </is>
      </c>
      <c r="B385" s="29" t="inlineStr">
        <is>
          <t>Mapped</t>
        </is>
      </c>
      <c r="C385" s="28" t="inlineStr">
        <is>
          <t>iFile</t>
        </is>
      </c>
      <c r="D385" s="29" t="inlineStr">
        <is>
          <t>IRIS2033</t>
        </is>
      </c>
      <c r="E385" s="29" t="inlineStr">
        <is>
          <t>Amol Pawar</t>
        </is>
      </c>
      <c r="F385" s="29" t="inlineStr">
        <is>
          <t>Technology</t>
        </is>
      </c>
      <c r="G385" s="29" t="inlineStr">
        <is>
          <t>Software Engineer</t>
        </is>
      </c>
      <c r="H385" s="29" t="inlineStr">
        <is>
          <t>Senior Software Engineer</t>
        </is>
      </c>
      <c r="I385" s="29" t="inlineStr">
        <is>
          <t>L3 – Professional / Associate</t>
        </is>
      </c>
      <c r="J385" s="29" t="inlineStr">
        <is>
          <t>A3</t>
        </is>
      </c>
      <c r="K385" s="29" t="inlineStr">
        <is>
          <t>▲ Up</t>
        </is>
      </c>
      <c r="L385" s="29" t="inlineStr">
        <is>
          <t>Engineering &amp; Development</t>
        </is>
      </c>
      <c r="M385" s="29" t="inlineStr">
        <is>
          <t>Full-Stack Development</t>
        </is>
      </c>
      <c r="N385" s="29" t="n"/>
      <c r="O385" s="29" t="n">
        <v>20</v>
      </c>
      <c r="P385" s="28" t="inlineStr">
        <is>
          <t>P2</t>
        </is>
      </c>
      <c r="Q385" s="29" t="inlineStr">
        <is>
          <t>Developing</t>
        </is>
      </c>
      <c r="R385" s="29" t="inlineStr">
        <is>
          <t>3 Apply</t>
        </is>
      </c>
      <c r="S385" s="29" t="inlineStr">
        <is>
          <t>2–4 yrs</t>
        </is>
      </c>
      <c r="T385" s="29" t="inlineStr">
        <is>
          <t>3–5 · 2–5</t>
        </is>
      </c>
      <c r="U385" s="29" t="inlineStr">
        <is>
          <t>Software Engineer</t>
        </is>
      </c>
      <c r="V385" s="29" t="inlineStr">
        <is>
          <t>Workiva: SE · Broadridge India: SE · Nasdaq / AxiomSL: SE · Salesforce: MTS · Atlassian: P40 · 3–7 yrs · Freshworks: Senior SE</t>
        </is>
      </c>
      <c r="W385" s="29" t="inlineStr">
        <is>
          <t>SFIA 9 · software development, programming; OWASP secure coding; cloud vendor certifications</t>
        </is>
      </c>
      <c r="X385" s="29" t="inlineStr">
        <is>
          <t>Core 2 · Future 2 · Functional 3 · Leadership not scored</t>
        </is>
      </c>
      <c r="Y385" s="52" t="n">
        <v>227</v>
      </c>
      <c r="Z385" s="53" t="inlineStr">
        <is>
          <t>IRIS2033</t>
        </is>
      </c>
      <c r="AA385" s="53" t="inlineStr">
        <is>
          <t>Employee</t>
        </is>
      </c>
      <c r="AB385" s="53" t="inlineStr">
        <is>
          <t>Active</t>
        </is>
      </c>
      <c r="AC385" s="53" t="inlineStr">
        <is>
          <t>Amol Pawar</t>
        </is>
      </c>
      <c r="AD385" s="54" t="n">
        <v>44743</v>
      </c>
      <c r="AE385" s="53" t="inlineStr">
        <is>
          <t>Software Engineer</t>
        </is>
      </c>
      <c r="AF385" s="53" t="inlineStr">
        <is>
          <t>B.E</t>
        </is>
      </c>
      <c r="AG385" s="53" t="inlineStr">
        <is>
          <t>Shiveshdhar Dubey</t>
        </is>
      </c>
      <c r="AH385" s="53" t="inlineStr">
        <is>
          <t>N-5</t>
        </is>
      </c>
      <c r="AI385" s="53" t="inlineStr">
        <is>
          <t>Individual Contributor</t>
        </is>
      </c>
      <c r="AJ385" s="53" t="inlineStr">
        <is>
          <t>0 years, 0 months, 0 days</t>
        </is>
      </c>
      <c r="AK385" s="53" t="inlineStr">
        <is>
          <t>4 years, 1 months, 24 days</t>
        </is>
      </c>
      <c r="AL385" s="53" t="inlineStr">
        <is>
          <t>Suptech</t>
        </is>
      </c>
      <c r="AM385" s="53" t="inlineStr">
        <is>
          <t>iFile</t>
        </is>
      </c>
      <c r="AN385" s="53" t="inlineStr">
        <is>
          <t>Technology</t>
        </is>
      </c>
      <c r="AO385" s="53" t="inlineStr">
        <is>
          <t>Development</t>
        </is>
      </c>
      <c r="AP385" s="53" t="inlineStr">
        <is>
          <t>Yes</t>
        </is>
      </c>
      <c r="AQ385" s="53" t="inlineStr">
        <is>
          <t>Product/Project</t>
        </is>
      </c>
      <c r="AR385" s="53" t="inlineStr">
        <is>
          <t>.NET MVC</t>
        </is>
      </c>
      <c r="AS385" s="53" t="inlineStr">
        <is>
          <t>Technical - Developer</t>
        </is>
      </c>
      <c r="AT385" s="53" t="n">
        <v>20</v>
      </c>
      <c r="AU385" s="53" t="inlineStr">
        <is>
          <t>Covered</t>
        </is>
      </c>
      <c r="AV385" s="53" t="n"/>
      <c r="AW385" s="53" t="n"/>
      <c r="AX385" s="53" t="n"/>
      <c r="AY385" s="53" t="n"/>
      <c r="AZ385" s="53" t="n"/>
      <c r="BA385" s="53" t="n"/>
      <c r="BB385" s="53" t="n"/>
      <c r="BC385" s="53" t="n"/>
      <c r="BD385" s="53" t="n"/>
      <c r="BE385" s="53" t="n"/>
      <c r="BF385" s="53" t="n"/>
      <c r="BG385" s="53" t="n"/>
      <c r="BH385" s="53" t="n"/>
      <c r="BI385" s="53" t="n"/>
      <c r="BJ385" s="53" t="n"/>
      <c r="BK385" s="53" t="n"/>
      <c r="BL385" s="53" t="n"/>
      <c r="BM385" s="53" t="n"/>
      <c r="BN385" s="53" t="n"/>
      <c r="BO385" s="53" t="n"/>
      <c r="BP385" s="53" t="n"/>
      <c r="BQ385" s="53" t="n"/>
      <c r="BR385" s="53" t="n"/>
      <c r="BS385" s="53" t="n"/>
      <c r="BT385" s="53" t="n"/>
      <c r="BU385" s="53" t="n"/>
      <c r="BV385" s="53" t="n"/>
      <c r="BW385" s="53" t="n"/>
      <c r="BX385" s="53" t="n"/>
      <c r="BY385" s="53" t="n"/>
      <c r="BZ385" s="53" t="n"/>
      <c r="CA385" s="53" t="n"/>
      <c r="CB385" s="53" t="n"/>
      <c r="CC385" s="53" t="n"/>
      <c r="CD385" s="53" t="n"/>
      <c r="CE385" s="53" t="n"/>
      <c r="CF385" s="53" t="n"/>
      <c r="CG385" s="53" t="n"/>
      <c r="CH385" s="53" t="n"/>
      <c r="CI385" s="53" t="n"/>
      <c r="CJ385" s="53" t="n"/>
      <c r="CK385" s="53" t="n"/>
      <c r="CL385" s="53" t="n"/>
      <c r="CM385" s="53" t="n"/>
      <c r="CN385" s="53" t="n"/>
      <c r="CO385" s="53" t="n"/>
      <c r="CP385" s="53" t="n"/>
      <c r="CQ385" s="53" t="n"/>
      <c r="CR385" s="53" t="n"/>
      <c r="CS385" s="53" t="n"/>
      <c r="CT385" s="53" t="n"/>
      <c r="CU385" s="53" t="n"/>
      <c r="CV385" s="53" t="n"/>
      <c r="CW385" s="53" t="n"/>
      <c r="CX385" s="53" t="n"/>
      <c r="CY385" s="53" t="n"/>
      <c r="CZ385" s="53" t="n"/>
      <c r="DA385" s="53" t="n"/>
      <c r="DB385" s="53" t="n"/>
      <c r="DC385" s="53" t="n"/>
      <c r="DD385" s="53" t="inlineStr">
        <is>
          <t>IRIS2033</t>
        </is>
      </c>
      <c r="DE385" s="53" t="inlineStr">
        <is>
          <t>Employee</t>
        </is>
      </c>
      <c r="DF385" s="53" t="inlineStr">
        <is>
          <t>Active</t>
        </is>
      </c>
      <c r="DG385" s="53" t="inlineStr">
        <is>
          <t>Amol Pawar</t>
        </is>
      </c>
      <c r="DH385" s="54" t="n">
        <v>44743</v>
      </c>
      <c r="DI385" s="53" t="inlineStr">
        <is>
          <t>Software Engineer</t>
        </is>
      </c>
      <c r="DJ385" s="53" t="inlineStr">
        <is>
          <t>Engineering &amp; Development</t>
        </is>
      </c>
      <c r="DK385" s="53" t="inlineStr">
        <is>
          <t>Backend Engineering ·.NET</t>
        </is>
      </c>
      <c r="DL385" s="53" t="inlineStr">
        <is>
          <t>Software Engineer</t>
        </is>
      </c>
      <c r="DM385" s="53" t="inlineStr">
        <is>
          <t>L3 – Professional / Associate</t>
        </is>
      </c>
      <c r="DN385" s="53" t="inlineStr">
        <is>
          <t>B.E</t>
        </is>
      </c>
      <c r="DO385" s="53" t="inlineStr">
        <is>
          <t>Shiveshdhar Dubey</t>
        </is>
      </c>
      <c r="DP385" s="53" t="inlineStr">
        <is>
          <t>N-4</t>
        </is>
      </c>
      <c r="DQ385" s="53" t="inlineStr">
        <is>
          <t>Individual Contributor</t>
        </is>
      </c>
      <c r="DR385" s="53" t="inlineStr">
        <is>
          <t>0 years, 0 months, 0 days</t>
        </is>
      </c>
      <c r="DS385" s="53" t="inlineStr">
        <is>
          <t>3 years, 11 months, 19 days</t>
        </is>
      </c>
      <c r="DT385" s="53" t="inlineStr">
        <is>
          <t>3 years, 11 months, 19 days</t>
        </is>
      </c>
      <c r="DU385" s="53" t="n"/>
      <c r="DV385" s="53" t="inlineStr">
        <is>
          <t>Suptech</t>
        </is>
      </c>
      <c r="DW385" s="53" t="inlineStr">
        <is>
          <t>iFile</t>
        </is>
      </c>
      <c r="DX385" s="53" t="inlineStr">
        <is>
          <t>Technology</t>
        </is>
      </c>
      <c r="DY385" s="53" t="inlineStr">
        <is>
          <t>Development</t>
        </is>
      </c>
      <c r="DZ385" s="53" t="inlineStr">
        <is>
          <t>Yes</t>
        </is>
      </c>
      <c r="EA385" s="53" t="inlineStr">
        <is>
          <t>Product/Project</t>
        </is>
      </c>
      <c r="EB385" s="53" t="inlineStr">
        <is>
          <t>.NET MVC</t>
        </is>
      </c>
      <c r="EC385" s="53" t="inlineStr">
        <is>
          <t>Technical - Developer</t>
        </is>
      </c>
      <c r="ED385" s="53" t="inlineStr">
        <is>
          <t>Remote- Outside Mumbai</t>
        </is>
      </c>
      <c r="EE385" s="53"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EF385" s="53"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EG385" s="53"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EH385" s="53" t="n">
        <v>3</v>
      </c>
      <c r="EI385" s="54" t="n">
        <v>46188</v>
      </c>
      <c r="EJ385" s="53" t="inlineStr">
        <is>
          <t>Software Engineer</t>
        </is>
      </c>
      <c r="EK385" s="53" t="inlineStr">
        <is>
          <t>No</t>
        </is>
      </c>
      <c r="EL385" s="53" t="n">
        <v>4</v>
      </c>
      <c r="EM385" s="53" t="inlineStr">
        <is>
          <t>High</t>
        </is>
      </c>
      <c r="EN385" s="53" t="inlineStr">
        <is>
          <t>Trusted Professional</t>
        </is>
      </c>
      <c r="EO385" s="53" t="inlineStr">
        <is>
          <t>No</t>
        </is>
      </c>
      <c r="EP385" s="53" t="inlineStr">
        <is>
          <t>No</t>
        </is>
      </c>
      <c r="EQ385" s="53" t="inlineStr">
        <is>
          <t>No</t>
        </is>
      </c>
      <c r="ER385" s="53" t="inlineStr">
        <is>
          <t>Yet to be identified</t>
        </is>
      </c>
      <c r="ES385" s="53" t="inlineStr">
        <is>
          <t>Advanced System Architecture, Cloud Technologies · Azure, AI &amp; Automation, Performance Optimization, Secure Coding</t>
        </is>
      </c>
      <c r="ET385" s="53" t="inlineStr">
        <is>
          <t>Technical Leadership, Solution Architecture, Stakeholder Management, Team Mentoring</t>
        </is>
      </c>
      <c r="EU385" s="53" t="n"/>
      <c r="EV385" s="53" t="n"/>
      <c r="EW385" s="52" t="n"/>
      <c r="EX385" s="53" t="n"/>
      <c r="EY385" s="53" t="n"/>
      <c r="EZ385" s="53" t="n"/>
      <c r="FA385" s="53" t="n"/>
      <c r="FB385" s="53" t="n"/>
      <c r="FC385" s="53" t="n"/>
      <c r="FD385" s="53" t="n"/>
      <c r="FE385" s="57"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FF385" s="56"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FG385" s="56"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FH385" s="56" t="inlineStr">
        <is>
          <t>3</t>
        </is>
      </c>
      <c r="FI385" s="56" t="n"/>
      <c r="FJ385" s="56" t="inlineStr">
        <is>
          <t>Received · manager annual, quarterly, self</t>
        </is>
      </c>
      <c r="FK385" s="56" t="inlineStr">
        <is>
          <t>Talent Mapping · iFile collated</t>
        </is>
      </c>
      <c r="FL385" s="56" t="n">
        <v>20</v>
      </c>
      <c r="FM385" s="32" t="inlineStr">
        <is>
          <t>Full survey answers not in the files received · How We Grow export needed · HR</t>
        </is>
      </c>
      <c r="FN385" s="56" t="inlineStr">
        <is>
          <t>—</t>
        </is>
      </c>
      <c r="FO385" s="56" t="inlineStr">
        <is>
          <t>—</t>
        </is>
      </c>
      <c r="FP385" s="56" t="inlineStr">
        <is>
          <t>—</t>
        </is>
      </c>
      <c r="FQ385" s="56" t="inlineStr">
        <is>
          <t>—</t>
        </is>
      </c>
      <c r="FR385" s="56"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APIs, database changes and production support with direct customer impact → moved up 0.5
Leadership: Evidence reads like A1: No guidance of others described → matches the start
Business Impact: No survey or manager-mapping signal on criticality: kept at the start point.</t>
        </is>
      </c>
      <c r="FS385"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85" s="56" t="inlineStr">
        <is>
          <t>Self-identified: AI / automation · Leadership &amp; people management · Project / programme management · Technical depth &amp; architecture
For the next role: AI / automation · Leadership &amp; people management · Project / programme management · Technical depth &amp; architecture</t>
        </is>
      </c>
      <c r="FU385" s="32" t="inlineStr">
        <is>
          <t>Full survey answers not in the files received · How We Grow export needed · HR</t>
        </is>
      </c>
    </row>
    <row r="386" ht="90" customHeight="1">
      <c r="A386" s="51" t="inlineStr">
        <is>
          <t>◂ Back</t>
        </is>
      </c>
      <c r="B386" s="29" t="inlineStr">
        <is>
          <t>Mapped</t>
        </is>
      </c>
      <c r="C386" s="28" t="inlineStr">
        <is>
          <t>iFile</t>
        </is>
      </c>
      <c r="D386" s="29" t="inlineStr">
        <is>
          <t>IRIS2253</t>
        </is>
      </c>
      <c r="E386" s="29" t="inlineStr">
        <is>
          <t>Harshal Wadode</t>
        </is>
      </c>
      <c r="F386" s="29" t="inlineStr">
        <is>
          <t>Technology</t>
        </is>
      </c>
      <c r="G386" s="29" t="inlineStr">
        <is>
          <t>Software Engineer</t>
        </is>
      </c>
      <c r="H386" s="29" t="inlineStr">
        <is>
          <t>Senior Software Engineer</t>
        </is>
      </c>
      <c r="I386" s="29" t="inlineStr">
        <is>
          <t>L3 – Professional / Associate</t>
        </is>
      </c>
      <c r="J386" s="29" t="inlineStr">
        <is>
          <t>A3</t>
        </is>
      </c>
      <c r="K386" s="29" t="inlineStr">
        <is>
          <t>▲ Up</t>
        </is>
      </c>
      <c r="L386" s="29" t="inlineStr">
        <is>
          <t>Engineering &amp; Development</t>
        </is>
      </c>
      <c r="M386" s="29" t="inlineStr">
        <is>
          <t>Backend Development</t>
        </is>
      </c>
      <c r="N386" s="29" t="n"/>
      <c r="O386" s="29" t="n">
        <v>20</v>
      </c>
      <c r="P386" s="28" t="inlineStr">
        <is>
          <t>P2</t>
        </is>
      </c>
      <c r="Q386" s="29" t="inlineStr">
        <is>
          <t>Developing</t>
        </is>
      </c>
      <c r="R386" s="29" t="inlineStr">
        <is>
          <t>3 Apply</t>
        </is>
      </c>
      <c r="S386" s="29" t="inlineStr">
        <is>
          <t>2–4 yrs</t>
        </is>
      </c>
      <c r="T386" s="29" t="inlineStr">
        <is>
          <t>3–5 · 2–5</t>
        </is>
      </c>
      <c r="U386" s="29" t="inlineStr">
        <is>
          <t>Software Engineer</t>
        </is>
      </c>
      <c r="V386" s="29" t="inlineStr">
        <is>
          <t>Workiva: SE · Broadridge India: SE · Nasdaq / AxiomSL: SE · Salesforce: MTS · Atlassian: P40 · 3–7 yrs · Freshworks: Senior SE</t>
        </is>
      </c>
      <c r="W386" s="29" t="inlineStr">
        <is>
          <t>SFIA 9 · software development, programming; OWASP secure coding; cloud vendor certifications</t>
        </is>
      </c>
      <c r="X386" s="29" t="inlineStr">
        <is>
          <t>Core 2 · Future 2 · Functional 3 · Leadership not scored</t>
        </is>
      </c>
      <c r="Y386" s="52" t="n">
        <v>317</v>
      </c>
      <c r="Z386" s="53" t="inlineStr">
        <is>
          <t>IRIS2253</t>
        </is>
      </c>
      <c r="AA386" s="53" t="inlineStr">
        <is>
          <t>Employee</t>
        </is>
      </c>
      <c r="AB386" s="53" t="inlineStr">
        <is>
          <t>Active</t>
        </is>
      </c>
      <c r="AC386" s="53" t="inlineStr">
        <is>
          <t>Harshal Wadode</t>
        </is>
      </c>
      <c r="AD386" s="54" t="n">
        <v>45446</v>
      </c>
      <c r="AE386" s="53" t="inlineStr">
        <is>
          <t>Software Engineer</t>
        </is>
      </c>
      <c r="AF386" s="53" t="inlineStr">
        <is>
          <t>B.E</t>
        </is>
      </c>
      <c r="AG386" s="53" t="inlineStr">
        <is>
          <t>Shiveshdhar Dubey</t>
        </is>
      </c>
      <c r="AH386" s="53" t="inlineStr">
        <is>
          <t>N-5</t>
        </is>
      </c>
      <c r="AI386" s="53" t="inlineStr">
        <is>
          <t>Individual Contributor</t>
        </is>
      </c>
      <c r="AJ386" s="53" t="inlineStr">
        <is>
          <t>0 years, 0 months, 0 days</t>
        </is>
      </c>
      <c r="AK386" s="53" t="inlineStr">
        <is>
          <t>2 years, 2 months, 22 days</t>
        </is>
      </c>
      <c r="AL386" s="53" t="inlineStr">
        <is>
          <t>Suptech</t>
        </is>
      </c>
      <c r="AM386" s="53" t="inlineStr">
        <is>
          <t>iFile</t>
        </is>
      </c>
      <c r="AN386" s="53" t="inlineStr">
        <is>
          <t>Technology</t>
        </is>
      </c>
      <c r="AO386" s="53" t="inlineStr">
        <is>
          <t>Development</t>
        </is>
      </c>
      <c r="AP386" s="53" t="inlineStr">
        <is>
          <t>Yes</t>
        </is>
      </c>
      <c r="AQ386" s="53" t="inlineStr">
        <is>
          <t>Product/Project</t>
        </is>
      </c>
      <c r="AR386" s="53" t="inlineStr">
        <is>
          <t>.NET MVC</t>
        </is>
      </c>
      <c r="AS386" s="53" t="inlineStr">
        <is>
          <t>Technical - Developer</t>
        </is>
      </c>
      <c r="AT386" s="53" t="n">
        <v>20</v>
      </c>
      <c r="AU386" s="53" t="inlineStr">
        <is>
          <t>Covered</t>
        </is>
      </c>
      <c r="AV386" s="53" t="n"/>
      <c r="AW386" s="53" t="n"/>
      <c r="AX386" s="53" t="n"/>
      <c r="AY386" s="53" t="n"/>
      <c r="AZ386" s="53" t="n"/>
      <c r="BA386" s="53" t="n"/>
      <c r="BB386" s="53" t="n"/>
      <c r="BC386" s="53" t="n"/>
      <c r="BD386" s="53" t="n"/>
      <c r="BE386" s="53" t="n"/>
      <c r="BF386" s="53" t="n"/>
      <c r="BG386" s="53" t="n"/>
      <c r="BH386" s="53" t="n"/>
      <c r="BI386" s="53" t="n"/>
      <c r="BJ386" s="53" t="n"/>
      <c r="BK386" s="53" t="n"/>
      <c r="BL386" s="53" t="n"/>
      <c r="BM386" s="53" t="n"/>
      <c r="BN386" s="53" t="n"/>
      <c r="BO386" s="53" t="n"/>
      <c r="BP386" s="53" t="n"/>
      <c r="BQ386" s="53" t="n"/>
      <c r="BR386" s="53" t="n"/>
      <c r="BS386" s="53" t="n"/>
      <c r="BT386" s="53" t="n"/>
      <c r="BU386" s="53" t="n"/>
      <c r="BV386" s="53" t="n"/>
      <c r="BW386" s="53" t="n"/>
      <c r="BX386" s="53" t="n"/>
      <c r="BY386" s="53" t="n"/>
      <c r="BZ386" s="53" t="n"/>
      <c r="CA386" s="53" t="n"/>
      <c r="CB386" s="53" t="n"/>
      <c r="CC386" s="53" t="n"/>
      <c r="CD386" s="53" t="n"/>
      <c r="CE386" s="53" t="n"/>
      <c r="CF386" s="53" t="n"/>
      <c r="CG386" s="53" t="n"/>
      <c r="CH386" s="53" t="n"/>
      <c r="CI386" s="53" t="n"/>
      <c r="CJ386" s="53" t="n"/>
      <c r="CK386" s="53" t="n"/>
      <c r="CL386" s="53" t="n"/>
      <c r="CM386" s="53" t="n"/>
      <c r="CN386" s="53" t="n"/>
      <c r="CO386" s="53" t="n"/>
      <c r="CP386" s="53" t="n"/>
      <c r="CQ386" s="53" t="n"/>
      <c r="CR386" s="53" t="n"/>
      <c r="CS386" s="53" t="n"/>
      <c r="CT386" s="53" t="n"/>
      <c r="CU386" s="53" t="n"/>
      <c r="CV386" s="53" t="n"/>
      <c r="CW386" s="53" t="n"/>
      <c r="CX386" s="53" t="n"/>
      <c r="CY386" s="53" t="n"/>
      <c r="CZ386" s="53" t="n"/>
      <c r="DA386" s="53" t="n"/>
      <c r="DB386" s="53" t="n"/>
      <c r="DC386" s="53" t="n"/>
      <c r="DD386" s="53" t="inlineStr">
        <is>
          <t>IRIS2253</t>
        </is>
      </c>
      <c r="DE386" s="53" t="inlineStr">
        <is>
          <t>Employee</t>
        </is>
      </c>
      <c r="DF386" s="53" t="inlineStr">
        <is>
          <t>Active</t>
        </is>
      </c>
      <c r="DG386" s="53" t="inlineStr">
        <is>
          <t>Harshal Wadode</t>
        </is>
      </c>
      <c r="DH386" s="54" t="n">
        <v>45446</v>
      </c>
      <c r="DI386" s="53" t="inlineStr">
        <is>
          <t>Software Engineer</t>
        </is>
      </c>
      <c r="DJ386" s="53" t="inlineStr">
        <is>
          <t>Engineering &amp; Development</t>
        </is>
      </c>
      <c r="DK386" s="53" t="inlineStr">
        <is>
          <t>Backend Engineering ·.NET</t>
        </is>
      </c>
      <c r="DL386" s="53" t="inlineStr">
        <is>
          <t>Software Engineer</t>
        </is>
      </c>
      <c r="DM386" s="53" t="inlineStr">
        <is>
          <t>L3 – Professional / Associate</t>
        </is>
      </c>
      <c r="DN386" s="53" t="inlineStr">
        <is>
          <t>B.E</t>
        </is>
      </c>
      <c r="DO386" s="53" t="inlineStr">
        <is>
          <t>Shiveshdhar Dubey</t>
        </is>
      </c>
      <c r="DP386" s="53" t="inlineStr">
        <is>
          <t>N-4</t>
        </is>
      </c>
      <c r="DQ386" s="53" t="inlineStr">
        <is>
          <t>Individual Contributor</t>
        </is>
      </c>
      <c r="DR386" s="53" t="inlineStr">
        <is>
          <t>0 years, 0 months, 0 days</t>
        </is>
      </c>
      <c r="DS386" s="53" t="inlineStr">
        <is>
          <t>2 years, 0 months, 17 days</t>
        </is>
      </c>
      <c r="DT386" s="53" t="inlineStr">
        <is>
          <t>2 years, 0 months, 17 days</t>
        </is>
      </c>
      <c r="DU386" s="53" t="n"/>
      <c r="DV386" s="53" t="inlineStr">
        <is>
          <t>Suptech</t>
        </is>
      </c>
      <c r="DW386" s="53" t="inlineStr">
        <is>
          <t>iFile</t>
        </is>
      </c>
      <c r="DX386" s="53" t="inlineStr">
        <is>
          <t>Technology</t>
        </is>
      </c>
      <c r="DY386" s="53" t="inlineStr">
        <is>
          <t>Development</t>
        </is>
      </c>
      <c r="DZ386" s="53" t="inlineStr">
        <is>
          <t>Yes</t>
        </is>
      </c>
      <c r="EA386" s="53" t="inlineStr">
        <is>
          <t>Product/Project</t>
        </is>
      </c>
      <c r="EB386" s="53" t="inlineStr">
        <is>
          <t>.NET MVC</t>
        </is>
      </c>
      <c r="EC386" s="53" t="inlineStr">
        <is>
          <t>Technical - Developer</t>
        </is>
      </c>
      <c r="ED386" s="53" t="inlineStr">
        <is>
          <t>Work From Office - Turbhe</t>
        </is>
      </c>
      <c r="EE386" s="53"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EF386" s="53"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EG386" s="53"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EH386" s="53" t="n">
        <v>3</v>
      </c>
      <c r="EI386" s="54" t="n">
        <v>46203</v>
      </c>
      <c r="EJ386" s="53" t="inlineStr">
        <is>
          <t>Software Engineer</t>
        </is>
      </c>
      <c r="EK386" s="53" t="inlineStr">
        <is>
          <t>Currently not required. We can track him for another year befire deciding to upgrade the role</t>
        </is>
      </c>
      <c r="EL386" s="53" t="n">
        <v>3</v>
      </c>
      <c r="EM386" s="53" t="inlineStr">
        <is>
          <t>Medium</t>
        </is>
      </c>
      <c r="EN386" s="53" t="inlineStr">
        <is>
          <t>Emerging Talent</t>
        </is>
      </c>
      <c r="EO386" s="53" t="inlineStr">
        <is>
          <t>No</t>
        </is>
      </c>
      <c r="EP386" s="53" t="inlineStr">
        <is>
          <t>No</t>
        </is>
      </c>
      <c r="EQ386" s="53" t="inlineStr">
        <is>
          <t>No</t>
        </is>
      </c>
      <c r="ER386" s="53" t="inlineStr">
        <is>
          <t>No</t>
        </is>
      </c>
      <c r="ES386" s="53" t="inlineStr">
        <is>
          <t>Advanced .NET MVC; secure coding &amp; code-quality practices, Product Knowledge, Business Domain Understanding,</t>
        </is>
      </c>
      <c r="ET386" s="53" t="inlineStr">
        <is>
          <t>Solution Designing and Mentoring skills</t>
        </is>
      </c>
      <c r="EU386" s="53" t="n"/>
      <c r="EV386" s="53" t="n"/>
      <c r="EW386" s="52" t="n"/>
      <c r="EX386" s="53" t="n"/>
      <c r="EY386" s="53" t="n"/>
      <c r="EZ386" s="53" t="n"/>
      <c r="FA386" s="53" t="n"/>
      <c r="FB386" s="53" t="n"/>
      <c r="FC386" s="53" t="n"/>
      <c r="FD386" s="53" t="n"/>
      <c r="FE386" s="57"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FF386" s="56"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FG386" s="56"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FH386" s="56" t="inlineStr">
        <is>
          <t>3</t>
        </is>
      </c>
      <c r="FI386" s="56" t="n"/>
      <c r="FJ386" s="56" t="inlineStr">
        <is>
          <t>Received · manager annual, quarterly, self</t>
        </is>
      </c>
      <c r="FK386" s="56" t="inlineStr">
        <is>
          <t>Talent Mapping · iFile collated</t>
        </is>
      </c>
      <c r="FL386" s="56" t="n">
        <v>20</v>
      </c>
      <c r="FM386" s="32" t="inlineStr">
        <is>
          <t>Full survey answers not in the files received · How We Grow export needed · HR</t>
        </is>
      </c>
      <c r="FN386" s="56" t="inlineStr">
        <is>
          <t>—</t>
        </is>
      </c>
      <c r="FO386" s="56" t="inlineStr">
        <is>
          <t>—</t>
        </is>
      </c>
      <c r="FP386" s="56" t="inlineStr">
        <is>
          <t>—</t>
        </is>
      </c>
      <c r="FQ386" s="56" t="inlineStr">
        <is>
          <t>—</t>
        </is>
      </c>
      <c r="FR386" s="56" t="inlineStr">
        <is>
          <t>Business Impact: No survey or manager-mapping signal on criticality: kept at the start point.</t>
        </is>
      </c>
      <c r="FS38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86" s="56" t="inlineStr">
        <is>
          <t>Self-identified: Leadership &amp; people management · Project / programme management · Technical depth &amp; architecture · Data, SQL &amp; analytics
For the next role: Leadership &amp; people management · Project / programme management · Technical depth &amp; architecture · Data, SQL &amp; analytics · Product &amp; tool knowledge · Strategy &amp; business acumen</t>
        </is>
      </c>
      <c r="FU386" s="32" t="inlineStr">
        <is>
          <t>Full survey answers not in the files received · How We Grow export needed · HR</t>
        </is>
      </c>
    </row>
    <row r="387" ht="90" customHeight="1">
      <c r="A387" s="51" t="inlineStr">
        <is>
          <t>◂ Back</t>
        </is>
      </c>
      <c r="B387" s="29" t="inlineStr">
        <is>
          <t>Mapped</t>
        </is>
      </c>
      <c r="C387" s="28" t="inlineStr">
        <is>
          <t>iFile</t>
        </is>
      </c>
      <c r="D387" s="29" t="inlineStr">
        <is>
          <t>IRIS2097</t>
        </is>
      </c>
      <c r="E387" s="29" t="inlineStr">
        <is>
          <t>Angitha A</t>
        </is>
      </c>
      <c r="F387" s="29" t="inlineStr">
        <is>
          <t>Technology</t>
        </is>
      </c>
      <c r="G387" s="29" t="inlineStr">
        <is>
          <t>Business Analyst</t>
        </is>
      </c>
      <c r="H387" s="29" t="inlineStr">
        <is>
          <t>Senior Business Analyst</t>
        </is>
      </c>
      <c r="I387" s="29" t="inlineStr">
        <is>
          <t>L3 – Professional / Associate</t>
        </is>
      </c>
      <c r="J387" s="29" t="inlineStr">
        <is>
          <t>A3</t>
        </is>
      </c>
      <c r="K387" s="29" t="inlineStr">
        <is>
          <t>▲ Up</t>
        </is>
      </c>
      <c r="L387" s="29" t="inlineStr">
        <is>
          <t>Business Analysis</t>
        </is>
      </c>
      <c r="M387" s="29" t="inlineStr">
        <is>
          <t>Business Analysis</t>
        </is>
      </c>
      <c r="N387" s="29" t="n"/>
      <c r="O387" s="29" t="n">
        <v>20</v>
      </c>
      <c r="P387" s="28" t="inlineStr">
        <is>
          <t>P2</t>
        </is>
      </c>
      <c r="Q387" s="29" t="inlineStr">
        <is>
          <t>Developing</t>
        </is>
      </c>
      <c r="R387" s="29" t="inlineStr">
        <is>
          <t>3 Apply</t>
        </is>
      </c>
      <c r="S387" s="29" t="inlineStr">
        <is>
          <t>2–4 yrs</t>
        </is>
      </c>
      <c r="T387" s="29" t="inlineStr">
        <is>
          <t>3–5 · 2–5</t>
        </is>
      </c>
      <c r="U387" s="29" t="inlineStr">
        <is>
          <t>Business Analyst</t>
        </is>
      </c>
      <c r="V387" s="29" t="inlineStr">
        <is>
          <t>Regnology — regulatory reporting: Junior BA · Reg Reporting · Big Four consulting: Consultant · IRIS Vs Market Benchmark — IIBA certification pathway: ECBA · Infosys / Accenture: JL3A · L10 Senior Analyst</t>
        </is>
      </c>
      <c r="W387" s="29" t="inlineStr">
        <is>
          <t>IIBA BABOK v3; certifications ECBA · entry → CCBA → CBAP · senior</t>
        </is>
      </c>
      <c r="X387" s="29" t="inlineStr">
        <is>
          <t>Core 2 · Future 2 · Functional 3 · Leadership not scored</t>
        </is>
      </c>
      <c r="Y387" s="52" t="n">
        <v>260</v>
      </c>
      <c r="Z387" s="53" t="inlineStr">
        <is>
          <t>IRIS2097</t>
        </is>
      </c>
      <c r="AA387" s="53" t="inlineStr">
        <is>
          <t>Employee</t>
        </is>
      </c>
      <c r="AB387" s="53" t="inlineStr">
        <is>
          <t>Active</t>
        </is>
      </c>
      <c r="AC387" s="53" t="inlineStr">
        <is>
          <t>Angitha A</t>
        </is>
      </c>
      <c r="AD387" s="54" t="n">
        <v>44963</v>
      </c>
      <c r="AE387" s="53" t="inlineStr">
        <is>
          <t>Business Analyst</t>
        </is>
      </c>
      <c r="AF387" s="53" t="inlineStr">
        <is>
          <t>MBA</t>
        </is>
      </c>
      <c r="AG387" s="53" t="inlineStr">
        <is>
          <t>Sandeep Dwivedi</t>
        </is>
      </c>
      <c r="AH387" s="53" t="inlineStr">
        <is>
          <t>N-4</t>
        </is>
      </c>
      <c r="AI387" s="53" t="inlineStr">
        <is>
          <t>Individual Contributor</t>
        </is>
      </c>
      <c r="AJ387" s="53" t="inlineStr">
        <is>
          <t>4 years, 6 months, 0 days</t>
        </is>
      </c>
      <c r="AK387" s="53" t="inlineStr">
        <is>
          <t>3 years, 6 months, 19 days</t>
        </is>
      </c>
      <c r="AL387" s="53" t="inlineStr">
        <is>
          <t>Suptech</t>
        </is>
      </c>
      <c r="AM387" s="53" t="inlineStr">
        <is>
          <t>iFile</t>
        </is>
      </c>
      <c r="AN387" s="53" t="inlineStr">
        <is>
          <t>Technology</t>
        </is>
      </c>
      <c r="AO387" s="53" t="inlineStr">
        <is>
          <t>Business Analysis</t>
        </is>
      </c>
      <c r="AP387" s="53" t="inlineStr">
        <is>
          <t>No</t>
        </is>
      </c>
      <c r="AQ387" s="53" t="inlineStr">
        <is>
          <t>Product/Project</t>
        </is>
      </c>
      <c r="AR387" s="53" t="inlineStr">
        <is>
          <t>Business Analysis</t>
        </is>
      </c>
      <c r="AS387" s="53" t="inlineStr">
        <is>
          <t>Technical · BA, PM and QA</t>
        </is>
      </c>
      <c r="AT387" s="53" t="n">
        <v>20</v>
      </c>
      <c r="AU387" s="53" t="inlineStr">
        <is>
          <t>Covered</t>
        </is>
      </c>
      <c r="AV387" s="53" t="n"/>
      <c r="AW387" s="53" t="n"/>
      <c r="AX387" s="53" t="n"/>
      <c r="AY387" s="53" t="n"/>
      <c r="AZ387" s="53" t="n"/>
      <c r="BA387" s="53" t="n"/>
      <c r="BB387" s="53" t="n"/>
      <c r="BC387" s="53" t="n"/>
      <c r="BD387" s="53" t="n"/>
      <c r="BE387" s="53" t="n"/>
      <c r="BF387" s="53" t="n"/>
      <c r="BG387" s="53" t="n"/>
      <c r="BH387" s="53" t="n"/>
      <c r="BI387" s="53" t="n"/>
      <c r="BJ387" s="53" t="n"/>
      <c r="BK387" s="53" t="n"/>
      <c r="BL387" s="53" t="n"/>
      <c r="BM387" s="53" t="n"/>
      <c r="BN387" s="53" t="n"/>
      <c r="BO387" s="53" t="n"/>
      <c r="BP387" s="53" t="n"/>
      <c r="BQ387" s="53" t="n"/>
      <c r="BR387" s="53" t="n"/>
      <c r="BS387" s="53" t="n"/>
      <c r="BT387" s="53" t="n"/>
      <c r="BU387" s="53" t="n"/>
      <c r="BV387" s="53" t="n"/>
      <c r="BW387" s="53" t="n"/>
      <c r="BX387" s="53" t="n"/>
      <c r="BY387" s="53" t="n"/>
      <c r="BZ387" s="53" t="n"/>
      <c r="CA387" s="53" t="n"/>
      <c r="CB387" s="53" t="n"/>
      <c r="CC387" s="53" t="n"/>
      <c r="CD387" s="53" t="n"/>
      <c r="CE387" s="53" t="n"/>
      <c r="CF387" s="53" t="n"/>
      <c r="CG387" s="53" t="n"/>
      <c r="CH387" s="53" t="n"/>
      <c r="CI387" s="53" t="n"/>
      <c r="CJ387" s="53" t="n"/>
      <c r="CK387" s="53" t="n"/>
      <c r="CL387" s="53" t="n"/>
      <c r="CM387" s="53" t="n"/>
      <c r="CN387" s="53" t="n"/>
      <c r="CO387" s="53" t="n"/>
      <c r="CP387" s="53" t="n"/>
      <c r="CQ387" s="53" t="n"/>
      <c r="CR387" s="53" t="n"/>
      <c r="CS387" s="53" t="n"/>
      <c r="CT387" s="53" t="n"/>
      <c r="CU387" s="53" t="n"/>
      <c r="CV387" s="53" t="n"/>
      <c r="CW387" s="53" t="n"/>
      <c r="CX387" s="53" t="n"/>
      <c r="CY387" s="53" t="n"/>
      <c r="CZ387" s="53" t="n"/>
      <c r="DA387" s="53" t="n"/>
      <c r="DB387" s="53" t="n"/>
      <c r="DC387" s="53" t="n"/>
      <c r="DD387" s="53" t="inlineStr">
        <is>
          <t>IRIS2097</t>
        </is>
      </c>
      <c r="DE387" s="53" t="inlineStr">
        <is>
          <t>Employee</t>
        </is>
      </c>
      <c r="DF387" s="53" t="inlineStr">
        <is>
          <t>Active</t>
        </is>
      </c>
      <c r="DG387" s="53" t="inlineStr">
        <is>
          <t>Angitha A</t>
        </is>
      </c>
      <c r="DH387" s="54" t="n">
        <v>44963</v>
      </c>
      <c r="DI387" s="53" t="inlineStr">
        <is>
          <t>Business Analyst</t>
        </is>
      </c>
      <c r="DJ387" s="53" t="inlineStr">
        <is>
          <t>Business Analysis</t>
        </is>
      </c>
      <c r="DK387" s="53" t="inlineStr">
        <is>
          <t>Business / Functional Analysis</t>
        </is>
      </c>
      <c r="DL387" s="53" t="inlineStr">
        <is>
          <t>Business Analyst</t>
        </is>
      </c>
      <c r="DM387" s="53" t="inlineStr">
        <is>
          <t>L3 – Professional / Associate</t>
        </is>
      </c>
      <c r="DN387" s="53" t="inlineStr">
        <is>
          <t>MBA</t>
        </is>
      </c>
      <c r="DO387" s="53" t="inlineStr">
        <is>
          <t>Sandeep Dwivedi</t>
        </is>
      </c>
      <c r="DP387" s="53" t="inlineStr">
        <is>
          <t>N-3</t>
        </is>
      </c>
      <c r="DQ387" s="53" t="inlineStr">
        <is>
          <t>Individual Contributor</t>
        </is>
      </c>
      <c r="DR387" s="53" t="inlineStr">
        <is>
          <t>4 years, 6 months, 0 days</t>
        </is>
      </c>
      <c r="DS387" s="53" t="inlineStr">
        <is>
          <t>3 years, 4 months, 14 days</t>
        </is>
      </c>
      <c r="DT387" s="53" t="inlineStr">
        <is>
          <t>7 years, 10 months, 14 days</t>
        </is>
      </c>
      <c r="DU387" s="53" t="n"/>
      <c r="DV387" s="53" t="inlineStr">
        <is>
          <t>Suptech</t>
        </is>
      </c>
      <c r="DW387" s="53" t="inlineStr">
        <is>
          <t>iFile</t>
        </is>
      </c>
      <c r="DX387" s="53" t="inlineStr">
        <is>
          <t>Technology</t>
        </is>
      </c>
      <c r="DY387" s="53" t="inlineStr">
        <is>
          <t>Business Analysis</t>
        </is>
      </c>
      <c r="DZ387" s="53" t="inlineStr">
        <is>
          <t>No</t>
        </is>
      </c>
      <c r="EA387" s="53" t="inlineStr">
        <is>
          <t>Product/Project</t>
        </is>
      </c>
      <c r="EB387" s="53" t="inlineStr">
        <is>
          <t>Business Analysis</t>
        </is>
      </c>
      <c r="EC387" s="53" t="inlineStr">
        <is>
          <t>Technical · BA, PM and QA</t>
        </is>
      </c>
      <c r="ED387" s="53" t="inlineStr">
        <is>
          <t>Remote- Outside Mumbai</t>
        </is>
      </c>
      <c r="EE387" s="53"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EF387" s="53"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EG387" s="53"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EH387" s="53" t="n">
        <v>4</v>
      </c>
      <c r="EI387" s="54" t="n">
        <v>46205</v>
      </c>
      <c r="EJ387" s="53" t="inlineStr">
        <is>
          <t>Senior Business Analyst · review – experience supports senior band</t>
        </is>
      </c>
      <c r="EK387" s="53" t="inlineStr">
        <is>
          <t>Yes</t>
        </is>
      </c>
      <c r="EL387" s="53" t="n">
        <v>4</v>
      </c>
      <c r="EM387" s="53" t="inlineStr">
        <is>
          <t>High</t>
        </is>
      </c>
      <c r="EN387" s="53" t="inlineStr">
        <is>
          <t>Trusted Professional</t>
        </is>
      </c>
      <c r="EO387" s="53" t="inlineStr">
        <is>
          <t>No</t>
        </is>
      </c>
      <c r="EP387" s="53" t="inlineStr">
        <is>
          <t>No</t>
        </is>
      </c>
      <c r="EQ387" s="53" t="inlineStr">
        <is>
          <t>No</t>
        </is>
      </c>
      <c r="ER387" s="53" t="inlineStr">
        <is>
          <t>Yet to be identified</t>
        </is>
      </c>
      <c r="ES387" s="53" t="inlineStr">
        <is>
          <t>Advanced Project Management, Risk Management, Stakeholder Management, Agile/Scrum Practices, Business Analysis Techniques</t>
        </is>
      </c>
      <c r="ET387" s="53" t="inlineStr">
        <is>
          <t>Program Management, Leadership &amp; People Management, Strategic Planning, Client Relationship Management</t>
        </is>
      </c>
      <c r="EU387" s="53" t="n"/>
      <c r="EV387" s="53" t="n"/>
      <c r="EW387" s="52" t="n"/>
      <c r="EX387" s="53" t="n"/>
      <c r="EY387" s="53" t="n"/>
      <c r="EZ387" s="53" t="n"/>
      <c r="FA387" s="53" t="n"/>
      <c r="FB387" s="53" t="n"/>
      <c r="FC387" s="53" t="n"/>
      <c r="FD387" s="53" t="n"/>
      <c r="FE387" s="57"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FF387" s="56"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FG387" s="56"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FH387" s="56" t="inlineStr">
        <is>
          <t>4</t>
        </is>
      </c>
      <c r="FI387" s="56" t="n"/>
      <c r="FJ387" s="56" t="inlineStr">
        <is>
          <t>Received · manager annual, quarterly, self</t>
        </is>
      </c>
      <c r="FK387" s="56" t="inlineStr">
        <is>
          <t>Talent Mapping · iFile collated</t>
        </is>
      </c>
      <c r="FL387" s="56" t="n">
        <v>20</v>
      </c>
      <c r="FM387" s="32" t="inlineStr">
        <is>
          <t>Full survey answers not in the files received · How We Grow export needed · HR</t>
        </is>
      </c>
      <c r="FN387" s="56" t="inlineStr">
        <is>
          <t>—</t>
        </is>
      </c>
      <c r="FO387" s="56" t="inlineStr">
        <is>
          <t>—</t>
        </is>
      </c>
      <c r="FP387" s="56" t="inlineStr">
        <is>
          <t>—</t>
        </is>
      </c>
      <c r="FQ387" s="56" t="inlineStr">
        <is>
          <t>—</t>
        </is>
      </c>
      <c r="FR387" s="56" t="inlineStr">
        <is>
          <t>Business Impact: No survey or manager-mapping signal on criticality: kept at the start point.</t>
        </is>
      </c>
      <c r="FS387"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87" s="56" t="inlineStr">
        <is>
          <t>Self-identified: Project / programme management
For the next role: Project / programme management</t>
        </is>
      </c>
      <c r="FU387" s="32" t="inlineStr">
        <is>
          <t>Full survey answers not in the files received · How We Grow export needed · HR</t>
        </is>
      </c>
    </row>
    <row r="388" ht="90" customHeight="1">
      <c r="A388" s="51" t="inlineStr">
        <is>
          <t>◂ Back</t>
        </is>
      </c>
      <c r="B388" s="29" t="inlineStr">
        <is>
          <t>Mapped</t>
        </is>
      </c>
      <c r="C388" s="28" t="inlineStr">
        <is>
          <t>iFile</t>
        </is>
      </c>
      <c r="D388" s="29" t="inlineStr">
        <is>
          <t>IRIS1929</t>
        </is>
      </c>
      <c r="E388" s="29" t="inlineStr">
        <is>
          <t>Ankita Karale</t>
        </is>
      </c>
      <c r="F388" s="29" t="inlineStr">
        <is>
          <t>Technology</t>
        </is>
      </c>
      <c r="G388" s="29" t="inlineStr">
        <is>
          <t>Business Analyst</t>
        </is>
      </c>
      <c r="H388" s="29" t="inlineStr">
        <is>
          <t>Senior Business Analyst</t>
        </is>
      </c>
      <c r="I388" s="29" t="inlineStr">
        <is>
          <t>L3 – Professional / Associate</t>
        </is>
      </c>
      <c r="J388" s="29" t="inlineStr">
        <is>
          <t>A3</t>
        </is>
      </c>
      <c r="K388" s="29" t="inlineStr">
        <is>
          <t>▲ Up</t>
        </is>
      </c>
      <c r="L388" s="29" t="inlineStr">
        <is>
          <t>Business Analysis</t>
        </is>
      </c>
      <c r="M388" s="29" t="inlineStr">
        <is>
          <t>Business Analysis</t>
        </is>
      </c>
      <c r="N388" s="29" t="n"/>
      <c r="O388" s="29" t="n">
        <v>20</v>
      </c>
      <c r="P388" s="28" t="inlineStr">
        <is>
          <t>P2</t>
        </is>
      </c>
      <c r="Q388" s="29" t="inlineStr">
        <is>
          <t>Developing</t>
        </is>
      </c>
      <c r="R388" s="29" t="inlineStr">
        <is>
          <t>3 Apply</t>
        </is>
      </c>
      <c r="S388" s="29" t="inlineStr">
        <is>
          <t>2–4 yrs</t>
        </is>
      </c>
      <c r="T388" s="29" t="inlineStr">
        <is>
          <t>3–5 · 2–5</t>
        </is>
      </c>
      <c r="U388" s="29" t="inlineStr">
        <is>
          <t>Business Analyst</t>
        </is>
      </c>
      <c r="V388" s="29" t="inlineStr">
        <is>
          <t>Regnology — regulatory reporting: Junior BA · Reg Reporting · Big Four consulting: Consultant · IRIS Vs Market Benchmark — IIBA certification pathway: ECBA · Infosys / Accenture: JL3A · L10 Senior Analyst</t>
        </is>
      </c>
      <c r="W388" s="29" t="inlineStr">
        <is>
          <t>IIBA BABOK v3; certifications ECBA · entry → CCBA → CBAP · senior</t>
        </is>
      </c>
      <c r="X388" s="29" t="inlineStr">
        <is>
          <t>Core 2 · Future 2 · Functional 3 · Leadership not scored</t>
        </is>
      </c>
      <c r="Y388" s="52" t="n">
        <v>187</v>
      </c>
      <c r="Z388" s="53" t="inlineStr">
        <is>
          <t>IRIS1929</t>
        </is>
      </c>
      <c r="AA388" s="53" t="inlineStr">
        <is>
          <t>Employee</t>
        </is>
      </c>
      <c r="AB388" s="53" t="inlineStr">
        <is>
          <t>Active</t>
        </is>
      </c>
      <c r="AC388" s="53" t="inlineStr">
        <is>
          <t>Ankita Karale</t>
        </is>
      </c>
      <c r="AD388" s="54" t="n">
        <v>44382</v>
      </c>
      <c r="AE388" s="53" t="inlineStr">
        <is>
          <t>Business Analyst</t>
        </is>
      </c>
      <c r="AF388" s="53" t="inlineStr">
        <is>
          <t>B.E</t>
        </is>
      </c>
      <c r="AG388" s="53" t="inlineStr">
        <is>
          <t>Sandeep Dwivedi</t>
        </is>
      </c>
      <c r="AH388" s="53" t="inlineStr">
        <is>
          <t>N-4</t>
        </is>
      </c>
      <c r="AI388" s="53" t="inlineStr">
        <is>
          <t>Individual Contributor</t>
        </is>
      </c>
      <c r="AJ388" s="53" t="inlineStr">
        <is>
          <t>2 years, 0 months, 0 days</t>
        </is>
      </c>
      <c r="AK388" s="53" t="inlineStr">
        <is>
          <t>5 years, 1 months, 20 days</t>
        </is>
      </c>
      <c r="AL388" s="53" t="inlineStr">
        <is>
          <t>Suptech</t>
        </is>
      </c>
      <c r="AM388" s="53" t="inlineStr">
        <is>
          <t>iFile</t>
        </is>
      </c>
      <c r="AN388" s="53" t="inlineStr">
        <is>
          <t>Technology</t>
        </is>
      </c>
      <c r="AO388" s="53" t="inlineStr">
        <is>
          <t>Business Analysis</t>
        </is>
      </c>
      <c r="AP388" s="53" t="inlineStr">
        <is>
          <t>No</t>
        </is>
      </c>
      <c r="AQ388" s="53" t="inlineStr">
        <is>
          <t>Product/Project</t>
        </is>
      </c>
      <c r="AR388" s="53" t="inlineStr">
        <is>
          <t>Business Analysis</t>
        </is>
      </c>
      <c r="AS388" s="53" t="inlineStr">
        <is>
          <t>Technical · BA, PM and QA</t>
        </is>
      </c>
      <c r="AT388" s="53" t="n">
        <v>20</v>
      </c>
      <c r="AU388" s="53" t="inlineStr">
        <is>
          <t>Covered</t>
        </is>
      </c>
      <c r="AV388" s="53" t="n"/>
      <c r="AW388" s="53" t="n"/>
      <c r="AX388" s="53" t="n"/>
      <c r="AY388" s="53" t="n"/>
      <c r="AZ388" s="53" t="n"/>
      <c r="BA388" s="53" t="n"/>
      <c r="BB388" s="53" t="n"/>
      <c r="BC388" s="53" t="n"/>
      <c r="BD388" s="53" t="n"/>
      <c r="BE388" s="53" t="n"/>
      <c r="BF388" s="53" t="n"/>
      <c r="BG388" s="53" t="n"/>
      <c r="BH388" s="53" t="n"/>
      <c r="BI388" s="53" t="n"/>
      <c r="BJ388" s="53" t="n"/>
      <c r="BK388" s="53" t="n"/>
      <c r="BL388" s="53" t="n"/>
      <c r="BM388" s="53" t="n"/>
      <c r="BN388" s="53" t="n"/>
      <c r="BO388" s="53" t="n"/>
      <c r="BP388" s="53" t="n"/>
      <c r="BQ388" s="53" t="n"/>
      <c r="BR388" s="53" t="n"/>
      <c r="BS388" s="53" t="n"/>
      <c r="BT388" s="53" t="n"/>
      <c r="BU388" s="53" t="n"/>
      <c r="BV388" s="53" t="n"/>
      <c r="BW388" s="53" t="n"/>
      <c r="BX388" s="53" t="n"/>
      <c r="BY388" s="53" t="n"/>
      <c r="BZ388" s="53" t="n"/>
      <c r="CA388" s="53" t="n"/>
      <c r="CB388" s="53" t="n"/>
      <c r="CC388" s="53" t="n"/>
      <c r="CD388" s="53" t="n"/>
      <c r="CE388" s="53" t="n"/>
      <c r="CF388" s="53" t="n"/>
      <c r="CG388" s="53" t="n"/>
      <c r="CH388" s="53" t="n"/>
      <c r="CI388" s="53" t="n"/>
      <c r="CJ388" s="53" t="n"/>
      <c r="CK388" s="53" t="n"/>
      <c r="CL388" s="53" t="n"/>
      <c r="CM388" s="53" t="n"/>
      <c r="CN388" s="53" t="n"/>
      <c r="CO388" s="53" t="n"/>
      <c r="CP388" s="53" t="n"/>
      <c r="CQ388" s="53" t="n"/>
      <c r="CR388" s="53" t="n"/>
      <c r="CS388" s="53" t="n"/>
      <c r="CT388" s="53" t="n"/>
      <c r="CU388" s="53" t="n"/>
      <c r="CV388" s="53" t="n"/>
      <c r="CW388" s="53" t="n"/>
      <c r="CX388" s="53" t="n"/>
      <c r="CY388" s="53" t="n"/>
      <c r="CZ388" s="53" t="n"/>
      <c r="DA388" s="53" t="n"/>
      <c r="DB388" s="53" t="n"/>
      <c r="DC388" s="53" t="n"/>
      <c r="DD388" s="53" t="inlineStr">
        <is>
          <t>IRIS1929</t>
        </is>
      </c>
      <c r="DE388" s="53" t="inlineStr">
        <is>
          <t>Employee</t>
        </is>
      </c>
      <c r="DF388" s="53" t="inlineStr">
        <is>
          <t>Active</t>
        </is>
      </c>
      <c r="DG388" s="53" t="inlineStr">
        <is>
          <t>Ankita Karale</t>
        </is>
      </c>
      <c r="DH388" s="54" t="n">
        <v>44382</v>
      </c>
      <c r="DI388" s="53" t="inlineStr">
        <is>
          <t>Business Analyst</t>
        </is>
      </c>
      <c r="DJ388" s="53" t="inlineStr">
        <is>
          <t>Business Analysis</t>
        </is>
      </c>
      <c r="DK388" s="53" t="inlineStr">
        <is>
          <t>Business / Functional Analysis</t>
        </is>
      </c>
      <c r="DL388" s="53" t="inlineStr">
        <is>
          <t>Business Analyst</t>
        </is>
      </c>
      <c r="DM388" s="53" t="inlineStr">
        <is>
          <t>L3 – Professional / Associate</t>
        </is>
      </c>
      <c r="DN388" s="53" t="inlineStr">
        <is>
          <t>B.E</t>
        </is>
      </c>
      <c r="DO388" s="53" t="inlineStr">
        <is>
          <t>Jailesh Bhadra</t>
        </is>
      </c>
      <c r="DP388" s="53" t="inlineStr">
        <is>
          <t>N-3</t>
        </is>
      </c>
      <c r="DQ388" s="53" t="inlineStr">
        <is>
          <t>Individual Contributor</t>
        </is>
      </c>
      <c r="DR388" s="53" t="inlineStr">
        <is>
          <t>2 years, 0 months, 0 days</t>
        </is>
      </c>
      <c r="DS388" s="53" t="inlineStr">
        <is>
          <t>4 years, 11 months, 15 days</t>
        </is>
      </c>
      <c r="DT388" s="53" t="inlineStr">
        <is>
          <t>6 years, 11 months, 15 days</t>
        </is>
      </c>
      <c r="DU388" s="53" t="n"/>
      <c r="DV388" s="53" t="inlineStr">
        <is>
          <t>Suptech</t>
        </is>
      </c>
      <c r="DW388" s="53" t="inlineStr">
        <is>
          <t>iFile</t>
        </is>
      </c>
      <c r="DX388" s="53" t="inlineStr">
        <is>
          <t>Technology</t>
        </is>
      </c>
      <c r="DY388" s="53" t="inlineStr">
        <is>
          <t>Business Analysis</t>
        </is>
      </c>
      <c r="DZ388" s="53" t="inlineStr">
        <is>
          <t>No</t>
        </is>
      </c>
      <c r="EA388" s="53" t="inlineStr">
        <is>
          <t>Product/Project</t>
        </is>
      </c>
      <c r="EB388" s="53" t="inlineStr">
        <is>
          <t>Business Analysis</t>
        </is>
      </c>
      <c r="EC388" s="53" t="inlineStr">
        <is>
          <t>Technical · BA, PM and QA</t>
        </is>
      </c>
      <c r="ED388" s="53" t="inlineStr">
        <is>
          <t>Remote - Mumbai</t>
        </is>
      </c>
      <c r="EE388" s="53"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EF388" s="53"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G388" s="53" t="inlineStr">
        <is>
          <t>Q1: Deliver &gt;=95% of assigned BRDs/FSDs approved with &lt;=1 revision cycle
Q1: Ensure &gt;=90% on-time delivery of BA deliverables
Q1: Achieve &gt;=4.2/5 stakeholder satisfaction on requirement clarity
Q1: Own at least 1 complex requirement area end-to-end</t>
        </is>
      </c>
      <c r="EH388" s="53" t="n">
        <v>3</v>
      </c>
      <c r="EI388" s="53" t="inlineStr">
        <is>
          <t>Pending – to be scheduled</t>
        </is>
      </c>
      <c r="EJ388" s="53" t="inlineStr">
        <is>
          <t>Business Analyst</t>
        </is>
      </c>
      <c r="EK388" s="53" t="inlineStr">
        <is>
          <t>No – designation matches current scope.</t>
        </is>
      </c>
      <c r="EL388" s="53" t="n">
        <v>1</v>
      </c>
      <c r="EM388" s="53" t="inlineStr">
        <is>
          <t>Low</t>
        </is>
      </c>
      <c r="EN388" s="53" t="inlineStr">
        <is>
          <t>Reliable Specialist</t>
        </is>
      </c>
      <c r="EO388" s="53" t="inlineStr">
        <is>
          <t>N</t>
        </is>
      </c>
      <c r="EP388" s="53" t="inlineStr">
        <is>
          <t>N</t>
        </is>
      </c>
      <c r="EQ388" s="53" t="inlineStr">
        <is>
          <t>N</t>
        </is>
      </c>
      <c r="ER388" s="53" t="inlineStr">
        <is>
          <t>No successor formally identified</t>
        </is>
      </c>
      <c r="ES388" s="53" t="inlineStr">
        <is>
          <t>Requirement engineering &amp; BRD writing; Agile/Scrum; domain · RegTech/XBRL knowledge; stakeholder management; Product knowledge</t>
        </is>
      </c>
      <c r="ET388" s="53" t="inlineStr">
        <is>
          <t>-</t>
        </is>
      </c>
      <c r="EU388" s="53" t="inlineStr">
        <is>
          <t>Just resumed after the maternity leave.</t>
        </is>
      </c>
      <c r="EV388" s="53" t="n"/>
      <c r="EW388" s="52" t="n"/>
      <c r="EX388" s="53" t="n"/>
      <c r="EY388" s="53" t="n"/>
      <c r="EZ388" s="53" t="n"/>
      <c r="FA388" s="53" t="n"/>
      <c r="FB388" s="53" t="n"/>
      <c r="FC388" s="53" t="n"/>
      <c r="FD388" s="53" t="n"/>
      <c r="FE388" s="57"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FF388" s="56" t="inlineStr">
        <is>
          <t>Q1: Deliver &gt;=95% of assigned BRDs/FSDs approved with &lt;=1 revision cycle
Q1: Ensure &gt;=90% on-time delivery of BA deliverables
Q1: Achieve &gt;=4.2/5 stakeholder satisfaction on requirement clarity
Q1: Own at least 1 complex requirement area end-to-end</t>
        </is>
      </c>
      <c r="FG388" s="56"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FH388" s="56" t="inlineStr">
        <is>
          <t>3</t>
        </is>
      </c>
      <c r="FI388" s="56" t="n"/>
      <c r="FJ388" s="56" t="inlineStr">
        <is>
          <t>Received · manager annual, quarterly, self</t>
        </is>
      </c>
      <c r="FK388" s="56" t="inlineStr">
        <is>
          <t>Talent Mapping · iFile collated</t>
        </is>
      </c>
      <c r="FL388" s="56" t="n">
        <v>20</v>
      </c>
      <c r="FM388" s="32" t="inlineStr">
        <is>
          <t>Full survey answers not in the files received · How We Grow export needed · HR</t>
        </is>
      </c>
      <c r="FN388" s="56" t="inlineStr">
        <is>
          <t>—</t>
        </is>
      </c>
      <c r="FO388" s="56" t="inlineStr">
        <is>
          <t>—</t>
        </is>
      </c>
      <c r="FP388" s="56" t="inlineStr">
        <is>
          <t>—</t>
        </is>
      </c>
      <c r="FQ388" s="56" t="inlineStr">
        <is>
          <t>—</t>
        </is>
      </c>
      <c r="FR388" s="56"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silent; manager note expects functional guidance to team members → matches the start
Business Impact: No move: the survey / manager mapping does not mark it business-critical or unique.</t>
        </is>
      </c>
      <c r="FS38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88" s="56" t="inlineStr">
        <is>
          <t>Self-identified: AI / automation · Product &amp; tool knowledge
For the next role: AI / automation · Product &amp; tool knowledge</t>
        </is>
      </c>
      <c r="FU388" s="32" t="inlineStr">
        <is>
          <t>Full survey answers not in the files received · How We Grow export needed · HR</t>
        </is>
      </c>
    </row>
    <row r="389" ht="90" customHeight="1">
      <c r="A389" s="51" t="inlineStr">
        <is>
          <t>◂ Back</t>
        </is>
      </c>
      <c r="B389" s="29" t="inlineStr">
        <is>
          <t>Mapped</t>
        </is>
      </c>
      <c r="C389" s="28" t="inlineStr">
        <is>
          <t>iFile</t>
        </is>
      </c>
      <c r="D389" s="29" t="inlineStr">
        <is>
          <t>IRIS2176</t>
        </is>
      </c>
      <c r="E389" s="29" t="inlineStr">
        <is>
          <t>Saurabh Kadam</t>
        </is>
      </c>
      <c r="F389" s="29" t="inlineStr">
        <is>
          <t>Technology</t>
        </is>
      </c>
      <c r="G389" s="29" t="inlineStr">
        <is>
          <t>Program Manager</t>
        </is>
      </c>
      <c r="H389" s="29" t="inlineStr">
        <is>
          <t>Project Manager</t>
        </is>
      </c>
      <c r="I389" s="29" t="inlineStr">
        <is>
          <t>L5 – Manager</t>
        </is>
      </c>
      <c r="J389" s="29" t="inlineStr">
        <is>
          <t>B2</t>
        </is>
      </c>
      <c r="K389" s="29" t="inlineStr">
        <is>
          <t>• Same level</t>
        </is>
      </c>
      <c r="L389" s="29" t="inlineStr">
        <is>
          <t>Project &amp; Program Management</t>
        </is>
      </c>
      <c r="M389" s="29" t="inlineStr">
        <is>
          <t>Project &amp; Program Delivery</t>
        </is>
      </c>
      <c r="N389" s="29" t="inlineStr">
        <is>
          <t>• Confirm structure behind the senior title · org chart — Business head</t>
        </is>
      </c>
      <c r="O389" s="29" t="n">
        <v>20</v>
      </c>
      <c r="P389" s="28" t="inlineStr">
        <is>
          <t>P4 / M3</t>
        </is>
      </c>
      <c r="Q389" s="29" t="inlineStr">
        <is>
          <t>Senior / Manager</t>
        </is>
      </c>
      <c r="R389" s="29" t="inlineStr">
        <is>
          <t>4–5</t>
        </is>
      </c>
      <c r="S389" s="29" t="inlineStr">
        <is>
          <t>6–9 yrs</t>
        </is>
      </c>
      <c r="T389" s="29" t="inlineStr">
        <is>
          <t>7–10 · 6–11</t>
        </is>
      </c>
      <c r="U389" s="29" t="inlineStr">
        <is>
          <t>Manager</t>
        </is>
      </c>
      <c r="V389" s="29" t="inlineStr">
        <is>
          <t>IRIS Vs Competitor Benchmark — PMI pathway + SaaS delivery ladder: Senior PM</t>
        </is>
      </c>
      <c r="W389" s="29" t="inlineStr">
        <is>
          <t>PMI PMBOK and Talent Triangle; CAPM · entry → PMP → PgMP; Scrum / SAFe</t>
        </is>
      </c>
      <c r="X389" s="29" t="inlineStr">
        <is>
          <t>Core 3 · Future 3 · Functional 4 · Leadership 3</t>
        </is>
      </c>
      <c r="Y389" s="52" t="n">
        <v>290</v>
      </c>
      <c r="Z389" s="53" t="inlineStr">
        <is>
          <t>IRIS2176</t>
        </is>
      </c>
      <c r="AA389" s="53" t="inlineStr">
        <is>
          <t>Employee</t>
        </is>
      </c>
      <c r="AB389" s="53" t="inlineStr">
        <is>
          <t>Active</t>
        </is>
      </c>
      <c r="AC389" s="53" t="inlineStr">
        <is>
          <t>Saurabh Kadam</t>
        </is>
      </c>
      <c r="AD389" s="54" t="n">
        <v>45162</v>
      </c>
      <c r="AE389" s="53" t="inlineStr">
        <is>
          <t>Program Manager</t>
        </is>
      </c>
      <c r="AF389" s="53" t="inlineStr">
        <is>
          <t>MMS</t>
        </is>
      </c>
      <c r="AG389" s="53" t="inlineStr">
        <is>
          <t>Pradip Dey</t>
        </is>
      </c>
      <c r="AH389" s="53" t="inlineStr">
        <is>
          <t>N-3</t>
        </is>
      </c>
      <c r="AI389" s="53" t="inlineStr">
        <is>
          <t>Manager</t>
        </is>
      </c>
      <c r="AJ389" s="53" t="inlineStr">
        <is>
          <t>13 years, 6 months, 0 days</t>
        </is>
      </c>
      <c r="AK389" s="53" t="inlineStr">
        <is>
          <t>3 years, 0 months, 1 days</t>
        </is>
      </c>
      <c r="AL389" s="53" t="inlineStr">
        <is>
          <t>Suptech</t>
        </is>
      </c>
      <c r="AM389" s="53" t="inlineStr">
        <is>
          <t>iFile</t>
        </is>
      </c>
      <c r="AN389" s="53" t="inlineStr">
        <is>
          <t>Technology</t>
        </is>
      </c>
      <c r="AO389" s="53" t="inlineStr">
        <is>
          <t>Project Management</t>
        </is>
      </c>
      <c r="AP389" s="53" t="inlineStr">
        <is>
          <t>No</t>
        </is>
      </c>
      <c r="AQ389" s="53" t="inlineStr">
        <is>
          <t>Product/Project</t>
        </is>
      </c>
      <c r="AR389" s="53" t="inlineStr">
        <is>
          <t>Project Management</t>
        </is>
      </c>
      <c r="AS389" s="53" t="inlineStr">
        <is>
          <t>Technical · BA, PM and QA</t>
        </is>
      </c>
      <c r="AT389" s="53" t="n">
        <v>20</v>
      </c>
      <c r="AU389" s="53" t="inlineStr">
        <is>
          <t>Covered</t>
        </is>
      </c>
      <c r="AV389" s="53" t="n"/>
      <c r="AW389" s="53" t="n"/>
      <c r="AX389" s="53" t="n"/>
      <c r="AY389" s="53" t="n"/>
      <c r="AZ389" s="53" t="n"/>
      <c r="BA389" s="53" t="n"/>
      <c r="BB389" s="53" t="n"/>
      <c r="BC389" s="53" t="n"/>
      <c r="BD389" s="53" t="n"/>
      <c r="BE389" s="53" t="n"/>
      <c r="BF389" s="53" t="n"/>
      <c r="BG389" s="53" t="n"/>
      <c r="BH389" s="53" t="n"/>
      <c r="BI389" s="53" t="n"/>
      <c r="BJ389" s="53" t="n"/>
      <c r="BK389" s="53" t="n"/>
      <c r="BL389" s="53" t="n"/>
      <c r="BM389" s="53" t="n"/>
      <c r="BN389" s="53" t="n"/>
      <c r="BO389" s="53" t="n"/>
      <c r="BP389" s="53" t="n"/>
      <c r="BQ389" s="53" t="n"/>
      <c r="BR389" s="53" t="n"/>
      <c r="BS389" s="53" t="n"/>
      <c r="BT389" s="53" t="n"/>
      <c r="BU389" s="53" t="n"/>
      <c r="BV389" s="53" t="n"/>
      <c r="BW389" s="53" t="n"/>
      <c r="BX389" s="53" t="n"/>
      <c r="BY389" s="53" t="n"/>
      <c r="BZ389" s="53" t="n"/>
      <c r="CA389" s="53" t="n"/>
      <c r="CB389" s="53" t="n"/>
      <c r="CC389" s="53" t="n"/>
      <c r="CD389" s="53" t="n"/>
      <c r="CE389" s="53" t="n"/>
      <c r="CF389" s="53" t="n"/>
      <c r="CG389" s="53" t="n"/>
      <c r="CH389" s="53" t="n"/>
      <c r="CI389" s="53" t="n"/>
      <c r="CJ389" s="53" t="n"/>
      <c r="CK389" s="53" t="n"/>
      <c r="CL389" s="53" t="n"/>
      <c r="CM389" s="53" t="n"/>
      <c r="CN389" s="53" t="n"/>
      <c r="CO389" s="53" t="n"/>
      <c r="CP389" s="53" t="n"/>
      <c r="CQ389" s="53" t="n"/>
      <c r="CR389" s="53" t="n"/>
      <c r="CS389" s="53" t="n"/>
      <c r="CT389" s="53" t="n"/>
      <c r="CU389" s="53" t="n"/>
      <c r="CV389" s="53" t="n"/>
      <c r="CW389" s="53" t="n"/>
      <c r="CX389" s="53" t="n"/>
      <c r="CY389" s="53" t="n"/>
      <c r="CZ389" s="53" t="n"/>
      <c r="DA389" s="53" t="n"/>
      <c r="DB389" s="53" t="n"/>
      <c r="DC389" s="53" t="n"/>
      <c r="DD389" s="53" t="inlineStr">
        <is>
          <t>IRIS2176</t>
        </is>
      </c>
      <c r="DE389" s="53" t="inlineStr">
        <is>
          <t>Employee</t>
        </is>
      </c>
      <c r="DF389" s="53" t="inlineStr">
        <is>
          <t>Active</t>
        </is>
      </c>
      <c r="DG389" s="53" t="inlineStr">
        <is>
          <t>Saurabh Kadam</t>
        </is>
      </c>
      <c r="DH389" s="54" t="n">
        <v>45162</v>
      </c>
      <c r="DI389" s="53" t="inlineStr">
        <is>
          <t>Program Manager</t>
        </is>
      </c>
      <c r="DJ389" s="53" t="inlineStr">
        <is>
          <t>Project &amp; Program Management</t>
        </is>
      </c>
      <c r="DK389" s="53" t="inlineStr">
        <is>
          <t>Program Management</t>
        </is>
      </c>
      <c r="DL389" s="53" t="inlineStr">
        <is>
          <t>Program Manager</t>
        </is>
      </c>
      <c r="DM389" s="53" t="inlineStr">
        <is>
          <t>L5 – Manager</t>
        </is>
      </c>
      <c r="DN389" s="53" t="inlineStr">
        <is>
          <t>MMS</t>
        </is>
      </c>
      <c r="DO389" s="53" t="inlineStr">
        <is>
          <t>Pradip Dey</t>
        </is>
      </c>
      <c r="DP389" s="53" t="inlineStr">
        <is>
          <t>N-2</t>
        </is>
      </c>
      <c r="DQ389" s="53" t="inlineStr">
        <is>
          <t>Manager</t>
        </is>
      </c>
      <c r="DR389" s="53" t="inlineStr">
        <is>
          <t>13 years, 6 months, 0 days</t>
        </is>
      </c>
      <c r="DS389" s="53" t="inlineStr">
        <is>
          <t>2 years, 9 months, 27 days</t>
        </is>
      </c>
      <c r="DT389" s="53" t="inlineStr">
        <is>
          <t>16 years, 3 months, 27 days</t>
        </is>
      </c>
      <c r="DU389" s="53" t="n">
        <v>2.82397260273973</v>
      </c>
      <c r="DV389" s="53" t="inlineStr">
        <is>
          <t>Suptech</t>
        </is>
      </c>
      <c r="DW389" s="53" t="inlineStr">
        <is>
          <t>iFile</t>
        </is>
      </c>
      <c r="DX389" s="53" t="inlineStr">
        <is>
          <t>Technology</t>
        </is>
      </c>
      <c r="DY389" s="53" t="inlineStr">
        <is>
          <t>Project Management</t>
        </is>
      </c>
      <c r="DZ389" s="53" t="inlineStr">
        <is>
          <t>No</t>
        </is>
      </c>
      <c r="EA389" s="53" t="inlineStr">
        <is>
          <t>Product/Project</t>
        </is>
      </c>
      <c r="EB389" s="53" t="inlineStr">
        <is>
          <t>Project Management</t>
        </is>
      </c>
      <c r="EC389" s="53" t="inlineStr">
        <is>
          <t>Technical · BA, PM and QA</t>
        </is>
      </c>
      <c r="ED389" s="53" t="inlineStr">
        <is>
          <t>Hybrid</t>
        </is>
      </c>
      <c r="EE389" s="53" t="n"/>
      <c r="EF389" s="53"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EG389" s="53" t="inlineStr">
        <is>
          <t>SARB enhancements work completion as per plan
Process improvements
PgMP completion
Digital way of working and measurement of metrics through the tools</t>
        </is>
      </c>
      <c r="EH389" s="53" t="inlineStr">
        <is>
          <t>Exceeds Expectations</t>
        </is>
      </c>
      <c r="EI389" s="54" t="n">
        <v>45931</v>
      </c>
      <c r="EJ389" s="53" t="inlineStr">
        <is>
          <t>Program Manager</t>
        </is>
      </c>
      <c r="EK389" s="53" t="n"/>
      <c r="EL389" s="53" t="n">
        <v>4</v>
      </c>
      <c r="EM389" s="53" t="inlineStr">
        <is>
          <t>High</t>
        </is>
      </c>
      <c r="EN389" s="53" t="inlineStr">
        <is>
          <t>Trusted Professional</t>
        </is>
      </c>
      <c r="EO389" s="53" t="n"/>
      <c r="EP389" s="53" t="inlineStr">
        <is>
          <t>Y</t>
        </is>
      </c>
      <c r="EQ389" s="53" t="inlineStr">
        <is>
          <t>Y</t>
        </is>
      </c>
      <c r="ER389" s="53" t="n"/>
      <c r="ES389" s="53" t="inlineStr">
        <is>
          <t>AI and SupTech related training, Deposit Insurance</t>
        </is>
      </c>
      <c r="ET389" s="53" t="n"/>
      <c r="EU389" s="53" t="inlineStr">
        <is>
          <t>QCB,GTA</t>
        </is>
      </c>
      <c r="EV389" s="53" t="n"/>
      <c r="EW389" s="52" t="n"/>
      <c r="EX389" s="53" t="n"/>
      <c r="EY389" s="53" t="n"/>
      <c r="EZ389" s="53" t="n"/>
      <c r="FA389" s="53" t="n"/>
      <c r="FB389" s="53" t="n"/>
      <c r="FC389" s="53" t="n"/>
      <c r="FD389" s="53" t="n"/>
      <c r="FE389" s="57"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FF389" s="56" t="inlineStr">
        <is>
          <t>SARB enhancements work completion as per plan
Process improvements
PgMP completion
Digital way of working and measurement of metrics through the tools</t>
        </is>
      </c>
      <c r="FG389" s="56" t="n"/>
      <c r="FH389" s="56" t="inlineStr">
        <is>
          <t>Exceeds Expectations</t>
        </is>
      </c>
      <c r="FI389" s="56" t="n"/>
      <c r="FJ389" s="56" t="inlineStr">
        <is>
          <t>Received · manager annual, quarterly</t>
        </is>
      </c>
      <c r="FK389" s="56" t="inlineStr">
        <is>
          <t>Talent Mapping · iFile collated</t>
        </is>
      </c>
      <c r="FL389" s="56" t="n">
        <v>20</v>
      </c>
      <c r="FM389" s="32" t="inlineStr">
        <is>
          <t>Full survey answers not in the files received · How We Grow export needed · HR</t>
        </is>
      </c>
      <c r="FN389" s="56" t="inlineStr">
        <is>
          <t>—</t>
        </is>
      </c>
      <c r="FO389" s="56" t="inlineStr">
        <is>
          <t>—</t>
        </is>
      </c>
      <c r="FP389" s="56" t="inlineStr">
        <is>
          <t>—</t>
        </is>
      </c>
      <c r="FQ389" s="56" t="inlineStr">
        <is>
          <t>—</t>
        </is>
      </c>
      <c r="FR389" s="56"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matches the start
Leadership: Evidence reads like B1: Leads projects; 4 direct reports; manager note cites developing the BA team → moved down 0.5
Business Impact: Moved +0.5: the survey / manager mapping marks it business-critical.</t>
        </is>
      </c>
      <c r="FS389"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89" s="56" t="inlineStr">
        <is>
          <t>Self-identified: Strategy &amp; business acumen
For the next role: Strategy &amp; business acumen</t>
        </is>
      </c>
      <c r="FU389" s="32" t="inlineStr">
        <is>
          <t>Full survey answers not in the files received · How We Grow export needed · HR</t>
        </is>
      </c>
    </row>
    <row r="390" ht="90" customHeight="1">
      <c r="A390" s="51" t="inlineStr">
        <is>
          <t>◂ Back</t>
        </is>
      </c>
      <c r="B390" s="29" t="inlineStr">
        <is>
          <t>Mapped</t>
        </is>
      </c>
      <c r="C390" s="28" t="inlineStr">
        <is>
          <t>Consume</t>
        </is>
      </c>
      <c r="D390" s="29" t="inlineStr">
        <is>
          <t>IRIS1952</t>
        </is>
      </c>
      <c r="E390" s="29" t="inlineStr">
        <is>
          <t>Zakiruddin Shaikh</t>
        </is>
      </c>
      <c r="F390" s="29" t="inlineStr">
        <is>
          <t>Technology</t>
        </is>
      </c>
      <c r="G390" s="29" t="inlineStr">
        <is>
          <t>Project Manager</t>
        </is>
      </c>
      <c r="H390" s="29" t="inlineStr">
        <is>
          <t>Project Manager</t>
        </is>
      </c>
      <c r="I390" s="29" t="inlineStr">
        <is>
          <t>L5 – Manager</t>
        </is>
      </c>
      <c r="J390" s="29" t="inlineStr">
        <is>
          <t>B2</t>
        </is>
      </c>
      <c r="K390" s="29" t="inlineStr">
        <is>
          <t>• Same level</t>
        </is>
      </c>
      <c r="L390" s="29" t="inlineStr">
        <is>
          <t>Project &amp; Program Management</t>
        </is>
      </c>
      <c r="M390" s="29" t="inlineStr">
        <is>
          <t>Project &amp; Program Delivery</t>
        </is>
      </c>
      <c r="N390" s="29" t="n"/>
      <c r="O390" s="29" t="n">
        <v>20</v>
      </c>
      <c r="P390" s="28" t="inlineStr">
        <is>
          <t>P4 / M3</t>
        </is>
      </c>
      <c r="Q390" s="29" t="inlineStr">
        <is>
          <t>Senior / Manager</t>
        </is>
      </c>
      <c r="R390" s="29" t="inlineStr">
        <is>
          <t>4–5</t>
        </is>
      </c>
      <c r="S390" s="29" t="inlineStr">
        <is>
          <t>6–9 yrs</t>
        </is>
      </c>
      <c r="T390" s="29" t="inlineStr">
        <is>
          <t>7–10 · 6–11</t>
        </is>
      </c>
      <c r="U390" s="29" t="inlineStr">
        <is>
          <t>Manager</t>
        </is>
      </c>
      <c r="V390" s="29" t="inlineStr">
        <is>
          <t>IRIS Vs Competitor Benchmark — PMI pathway + SaaS delivery ladder: Senior PM</t>
        </is>
      </c>
      <c r="W390" s="29" t="inlineStr">
        <is>
          <t>PMI PMBOK and Talent Triangle; CAPM · entry → PMP → PgMP; Scrum / SAFe</t>
        </is>
      </c>
      <c r="X390" s="29" t="inlineStr">
        <is>
          <t>Core 3 · Future 3 · Functional 4 · Leadership 3</t>
        </is>
      </c>
      <c r="Y390" s="52" t="n">
        <v>198</v>
      </c>
      <c r="Z390" s="53" t="inlineStr">
        <is>
          <t>IRIS1952</t>
        </is>
      </c>
      <c r="AA390" s="53" t="inlineStr">
        <is>
          <t>Employee</t>
        </is>
      </c>
      <c r="AB390" s="53" t="inlineStr">
        <is>
          <t>Active</t>
        </is>
      </c>
      <c r="AC390" s="53" t="inlineStr">
        <is>
          <t>Zakiruddin Shaikh</t>
        </is>
      </c>
      <c r="AD390" s="54" t="n">
        <v>44452</v>
      </c>
      <c r="AE390" s="53" t="inlineStr">
        <is>
          <t>Project Manager</t>
        </is>
      </c>
      <c r="AF390" s="53" t="inlineStr">
        <is>
          <t>MMS</t>
        </is>
      </c>
      <c r="AG390" s="53" t="inlineStr">
        <is>
          <t>Pradip Dey</t>
        </is>
      </c>
      <c r="AH390" s="53" t="inlineStr">
        <is>
          <t>N-3</t>
        </is>
      </c>
      <c r="AI390" s="53" t="inlineStr">
        <is>
          <t>Manager</t>
        </is>
      </c>
      <c r="AJ390" s="53" t="inlineStr">
        <is>
          <t>6 years, 1 months, 0 days</t>
        </is>
      </c>
      <c r="AK390" s="53" t="inlineStr">
        <is>
          <t>4 years, 11 months, 12 days</t>
        </is>
      </c>
      <c r="AL390" s="53" t="inlineStr">
        <is>
          <t>Consume</t>
        </is>
      </c>
      <c r="AM390" s="53" t="inlineStr">
        <is>
          <t>Consume</t>
        </is>
      </c>
      <c r="AN390" s="53" t="inlineStr">
        <is>
          <t>Technology</t>
        </is>
      </c>
      <c r="AO390" s="53" t="inlineStr">
        <is>
          <t>Project Management</t>
        </is>
      </c>
      <c r="AP390" s="53" t="inlineStr">
        <is>
          <t>No</t>
        </is>
      </c>
      <c r="AQ390" s="53" t="inlineStr">
        <is>
          <t>Product/Project</t>
        </is>
      </c>
      <c r="AR390" s="53" t="inlineStr">
        <is>
          <t>Project Management</t>
        </is>
      </c>
      <c r="AS390" s="53" t="inlineStr">
        <is>
          <t>Technical · BA, PM and QA</t>
        </is>
      </c>
      <c r="AT390" s="53" t="n">
        <v>20</v>
      </c>
      <c r="AU390" s="53" t="inlineStr">
        <is>
          <t>Covered</t>
        </is>
      </c>
      <c r="AV390" s="53" t="n"/>
      <c r="AW390" s="53" t="n"/>
      <c r="AX390" s="53" t="n"/>
      <c r="AY390" s="53" t="n"/>
      <c r="AZ390" s="53" t="n"/>
      <c r="BA390" s="53" t="n"/>
      <c r="BB390" s="53" t="n"/>
      <c r="BC390" s="53" t="n"/>
      <c r="BD390" s="53" t="n"/>
      <c r="BE390" s="53" t="n"/>
      <c r="BF390" s="53" t="n"/>
      <c r="BG390" s="53" t="n"/>
      <c r="BH390" s="53" t="n"/>
      <c r="BI390" s="53" t="n"/>
      <c r="BJ390" s="53" t="n"/>
      <c r="BK390" s="53" t="n"/>
      <c r="BL390" s="53" t="n"/>
      <c r="BM390" s="53" t="n"/>
      <c r="BN390" s="53" t="n"/>
      <c r="BO390" s="53" t="n"/>
      <c r="BP390" s="53" t="n"/>
      <c r="BQ390" s="53" t="n"/>
      <c r="BR390" s="53" t="n"/>
      <c r="BS390" s="53" t="n"/>
      <c r="BT390" s="53" t="n"/>
      <c r="BU390" s="53" t="n"/>
      <c r="BV390" s="53" t="n"/>
      <c r="BW390" s="53" t="n"/>
      <c r="BX390" s="53" t="n"/>
      <c r="BY390" s="53" t="n"/>
      <c r="BZ390" s="53" t="n"/>
      <c r="CA390" s="53" t="n"/>
      <c r="CB390" s="53" t="n"/>
      <c r="CC390" s="53" t="n"/>
      <c r="CD390" s="53" t="n"/>
      <c r="CE390" s="53" t="n"/>
      <c r="CF390" s="53" t="n"/>
      <c r="CG390" s="53" t="n"/>
      <c r="CH390" s="53" t="n"/>
      <c r="CI390" s="53" t="n"/>
      <c r="CJ390" s="53" t="n"/>
      <c r="CK390" s="53" t="n"/>
      <c r="CL390" s="53" t="n"/>
      <c r="CM390" s="53" t="n"/>
      <c r="CN390" s="53" t="n"/>
      <c r="CO390" s="53" t="n"/>
      <c r="CP390" s="53" t="n"/>
      <c r="CQ390" s="53" t="n"/>
      <c r="CR390" s="53" t="n"/>
      <c r="CS390" s="53" t="n"/>
      <c r="CT390" s="53" t="n"/>
      <c r="CU390" s="53" t="n"/>
      <c r="CV390" s="53" t="n"/>
      <c r="CW390" s="53" t="n"/>
      <c r="CX390" s="53" t="n"/>
      <c r="CY390" s="53" t="n"/>
      <c r="CZ390" s="53" t="n"/>
      <c r="DA390" s="53" t="n"/>
      <c r="DB390" s="53" t="n"/>
      <c r="DC390" s="53" t="n"/>
      <c r="DD390" s="53" t="inlineStr">
        <is>
          <t>IRIS1952</t>
        </is>
      </c>
      <c r="DE390" s="53" t="inlineStr">
        <is>
          <t>Employee</t>
        </is>
      </c>
      <c r="DF390" s="53" t="inlineStr">
        <is>
          <t>Active</t>
        </is>
      </c>
      <c r="DG390" s="53" t="inlineStr">
        <is>
          <t>Zakiruddin Shaikh</t>
        </is>
      </c>
      <c r="DH390" s="54" t="n">
        <v>44452</v>
      </c>
      <c r="DI390" s="53" t="inlineStr">
        <is>
          <t>Project Manager</t>
        </is>
      </c>
      <c r="DJ390" s="53" t="inlineStr">
        <is>
          <t>Project &amp; Program Management</t>
        </is>
      </c>
      <c r="DK390" s="53" t="inlineStr">
        <is>
          <t>Project Management</t>
        </is>
      </c>
      <c r="DL390" s="53" t="inlineStr">
        <is>
          <t>Project Manager</t>
        </is>
      </c>
      <c r="DM390" s="53" t="inlineStr">
        <is>
          <t>L5 – Manager</t>
        </is>
      </c>
      <c r="DN390" s="53" t="inlineStr">
        <is>
          <t>MMS</t>
        </is>
      </c>
      <c r="DO390" s="53" t="inlineStr">
        <is>
          <t>Izharuddin Shaikh</t>
        </is>
      </c>
      <c r="DP390" s="53" t="inlineStr">
        <is>
          <t>N-3</t>
        </is>
      </c>
      <c r="DQ390" s="53" t="inlineStr">
        <is>
          <t>Manager</t>
        </is>
      </c>
      <c r="DR390" s="53" t="inlineStr">
        <is>
          <t>6 years, 1 months, 0 days</t>
        </is>
      </c>
      <c r="DS390" s="53" t="inlineStr">
        <is>
          <t>4 years, 9 months, 7 days</t>
        </is>
      </c>
      <c r="DT390" s="53" t="inlineStr">
        <is>
          <t>10 years, 10 months, 7 days</t>
        </is>
      </c>
      <c r="DU390" s="53" t="n">
        <v>4.76917808219178</v>
      </c>
      <c r="DV390" s="53" t="inlineStr">
        <is>
          <t>Consume</t>
        </is>
      </c>
      <c r="DW390" s="53" t="inlineStr">
        <is>
          <t>Consume</t>
        </is>
      </c>
      <c r="DX390" s="53" t="inlineStr">
        <is>
          <t>Technology</t>
        </is>
      </c>
      <c r="DY390" s="53" t="inlineStr">
        <is>
          <t>Project Management</t>
        </is>
      </c>
      <c r="DZ390" s="53" t="inlineStr">
        <is>
          <t>No</t>
        </is>
      </c>
      <c r="EA390" s="53" t="inlineStr">
        <is>
          <t>Product/Project</t>
        </is>
      </c>
      <c r="EB390" s="53" t="inlineStr">
        <is>
          <t>Project Management</t>
        </is>
      </c>
      <c r="EC390" s="53" t="inlineStr">
        <is>
          <t>Technical · BA, PM and QA</t>
        </is>
      </c>
      <c r="ED390" s="53" t="inlineStr">
        <is>
          <t>Client Side</t>
        </is>
      </c>
      <c r="EE390" s="53" t="n"/>
      <c r="EF390"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90" s="53"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EH390" s="53" t="n">
        <v>5</v>
      </c>
      <c r="EI390" s="53" t="n"/>
      <c r="EJ390" s="53" t="inlineStr">
        <is>
          <t>Project Manager</t>
        </is>
      </c>
      <c r="EK390" s="53" t="n"/>
      <c r="EL390" s="53" t="n">
        <v>5</v>
      </c>
      <c r="EM390" s="53" t="inlineStr">
        <is>
          <t>High</t>
        </is>
      </c>
      <c r="EN390" s="53" t="inlineStr">
        <is>
          <t>Future Leader</t>
        </is>
      </c>
      <c r="EO390" s="53" t="inlineStr">
        <is>
          <t>Yes</t>
        </is>
      </c>
      <c r="EP390" s="53" t="inlineStr">
        <is>
          <t>Yes</t>
        </is>
      </c>
      <c r="EQ390" s="53" t="inlineStr">
        <is>
          <t>Yes</t>
        </is>
      </c>
      <c r="ER390" s="53" t="n"/>
      <c r="ES390" s="53" t="inlineStr">
        <is>
          <t>Agile/Scrum &amp; PMP fundamentals; risk &amp; stakeholder management; estimation; reporting/governance tools | People management: goal-setting &amp; feedback, 1:1 coaching, performance conversations</t>
        </is>
      </c>
      <c r="ET390" s="53" t="inlineStr">
        <is>
          <t>Leadership development: strategic thinking, cross-functional influence, financial/business acumen, succession &amp; talent development, change management, executive communication</t>
        </is>
      </c>
      <c r="EU390" s="53" t="n"/>
      <c r="EV390" s="53" t="n"/>
      <c r="EW390" s="52" t="n"/>
      <c r="EX390" s="53" t="n"/>
      <c r="EY390" s="53" t="n"/>
      <c r="EZ390" s="53" t="n"/>
      <c r="FA390" s="53" t="n"/>
      <c r="FB390" s="53" t="n"/>
      <c r="FC390" s="53" t="inlineStr">
        <is>
          <t>Annual KRAs · objective Measurable Minimum 5 - set by Manager</t>
        </is>
      </c>
      <c r="FD390" s="53" t="n"/>
      <c r="FE390"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90" s="56"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FG390" s="56" t="n"/>
      <c r="FH390" s="56" t="inlineStr">
        <is>
          <t>5</t>
        </is>
      </c>
      <c r="FI390" s="56" t="n"/>
      <c r="FJ390" s="56" t="inlineStr">
        <is>
          <t>Received · manager annual, quarterly</t>
        </is>
      </c>
      <c r="FK390" s="56" t="inlineStr">
        <is>
          <t>Talent Mapping · iFile collated</t>
        </is>
      </c>
      <c r="FL390" s="56" t="n">
        <v>20</v>
      </c>
      <c r="FM390" s="32" t="inlineStr">
        <is>
          <t>Full survey answers not in the files received · How We Grow export needed · HR</t>
        </is>
      </c>
      <c r="FN390" s="56" t="inlineStr">
        <is>
          <t>—</t>
        </is>
      </c>
      <c r="FO390" s="56" t="inlineStr">
        <is>
          <t>—</t>
        </is>
      </c>
      <c r="FP390" s="56" t="inlineStr">
        <is>
          <t>—</t>
        </is>
      </c>
      <c r="FQ390" s="56" t="inlineStr">
        <is>
          <t>—</t>
        </is>
      </c>
      <c r="FR390" s="56"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delivery: timelines, scope, client commitments, production support, commercials → moved up 0.5
Leadership: Evidence reads like B1: Manages team and resources; 4 direct reports; cross-functional coordination → matches the start
Business Impact: Moved +0.5: the survey / manager mapping marks it business-critical.</t>
        </is>
      </c>
      <c r="FS390"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90" s="56" t="inlineStr">
        <is>
          <t>Self-identified: AI / automation · Project / programme management · Product &amp; tool knowledge
For the next role: AI / automation · Project / programme management · Product &amp; tool knowledge</t>
        </is>
      </c>
      <c r="FU390" s="32" t="inlineStr">
        <is>
          <t>Full survey answers not in the files received · How We Grow export needed · HR</t>
        </is>
      </c>
    </row>
    <row r="391" ht="90" customHeight="1">
      <c r="A391" s="51" t="inlineStr">
        <is>
          <t>◂ Back</t>
        </is>
      </c>
      <c r="B391" s="29" t="inlineStr">
        <is>
          <t>Mapped</t>
        </is>
      </c>
      <c r="C391" s="28" t="inlineStr">
        <is>
          <t>Consume</t>
        </is>
      </c>
      <c r="D391" s="29" t="inlineStr">
        <is>
          <t>IRIS0724</t>
        </is>
      </c>
      <c r="E391" s="29" t="inlineStr">
        <is>
          <t>Nishant Kohakade</t>
        </is>
      </c>
      <c r="F391" s="29" t="inlineStr">
        <is>
          <t>Technology</t>
        </is>
      </c>
      <c r="G391" s="29" t="inlineStr">
        <is>
          <t>Lead Software Engineer</t>
        </is>
      </c>
      <c r="H391" s="29" t="inlineStr">
        <is>
          <t>Lead Software Engineer</t>
        </is>
      </c>
      <c r="I391" s="29" t="inlineStr">
        <is>
          <t>L5 – Lead · IC</t>
        </is>
      </c>
      <c r="J391" s="29" t="inlineStr">
        <is>
          <t>B3</t>
        </is>
      </c>
      <c r="K391" s="29" t="inlineStr">
        <is>
          <t>• Same level</t>
        </is>
      </c>
      <c r="L391" s="29" t="inlineStr">
        <is>
          <t>Engineering &amp; Development</t>
        </is>
      </c>
      <c r="M391" s="29" t="inlineStr">
        <is>
          <t>Application Maintenance &amp; Production Support</t>
        </is>
      </c>
      <c r="N391" s="29" t="inlineStr">
        <is>
          <t>• Confirm the reporting line — Manager</t>
        </is>
      </c>
      <c r="O391" s="29" t="n">
        <v>19</v>
      </c>
      <c r="P391" s="28" t="inlineStr">
        <is>
          <t>P5 / M4</t>
        </is>
      </c>
      <c r="Q391" s="29" t="inlineStr">
        <is>
          <t>Expert / Senior Manager</t>
        </is>
      </c>
      <c r="R391" s="29" t="inlineStr">
        <is>
          <t>5 Ensure, advise</t>
        </is>
      </c>
      <c r="S391" s="29" t="inlineStr">
        <is>
          <t>8–12 yrs</t>
        </is>
      </c>
      <c r="T391" s="29" t="inlineStr">
        <is>
          <t>9–13 · 9–14</t>
        </is>
      </c>
      <c r="U391" s="29" t="inlineStr">
        <is>
          <t>Principal Engineer</t>
        </is>
      </c>
      <c r="V391" s="29" t="inlineStr">
        <is>
          <t>Workiva: Staff SE · Broadridge India: Senior Lead SE · Nasdaq / AxiomSL: Lead SE · Salesforce: LMTS · Atlassian: P50 Senior · Freshworks: Staff SE</t>
        </is>
      </c>
      <c r="W391" s="29" t="inlineStr">
        <is>
          <t>SFIA 9 · software development, programming; OWASP secure coding; cloud vendor certifications</t>
        </is>
      </c>
      <c r="X391" s="29" t="inlineStr">
        <is>
          <t>Core 4 · Future 3 · Functional 4 · Leadership 3</t>
        </is>
      </c>
      <c r="Y391" s="52" t="n">
        <v>50</v>
      </c>
      <c r="Z391" s="53" t="inlineStr">
        <is>
          <t>IRIS0724</t>
        </is>
      </c>
      <c r="AA391" s="53" t="inlineStr">
        <is>
          <t>Employee</t>
        </is>
      </c>
      <c r="AB391" s="53" t="inlineStr">
        <is>
          <t>Active</t>
        </is>
      </c>
      <c r="AC391" s="53" t="inlineStr">
        <is>
          <t>Nishant Kohakade</t>
        </is>
      </c>
      <c r="AD391" s="54" t="n">
        <v>40252</v>
      </c>
      <c r="AE391" s="53" t="inlineStr">
        <is>
          <t>Lead Software Engineer</t>
        </is>
      </c>
      <c r="AF391" s="53" t="inlineStr">
        <is>
          <t>B.E</t>
        </is>
      </c>
      <c r="AG391" s="53" t="inlineStr">
        <is>
          <t>Zakiruddin Shaikh</t>
        </is>
      </c>
      <c r="AH391" s="53" t="inlineStr">
        <is>
          <t>N-4</t>
        </is>
      </c>
      <c r="AI391" s="53" t="inlineStr">
        <is>
          <t>Individual Contributor</t>
        </is>
      </c>
      <c r="AJ391" s="53" t="inlineStr">
        <is>
          <t>3 years, 0 months, 0 days</t>
        </is>
      </c>
      <c r="AK391" s="53" t="inlineStr">
        <is>
          <t>16 years, 5 months, 10 days</t>
        </is>
      </c>
      <c r="AL391" s="53" t="inlineStr">
        <is>
          <t>Consume</t>
        </is>
      </c>
      <c r="AM391" s="53" t="inlineStr">
        <is>
          <t>Consume</t>
        </is>
      </c>
      <c r="AN391" s="53" t="inlineStr">
        <is>
          <t>Technology</t>
        </is>
      </c>
      <c r="AO391" s="53" t="inlineStr">
        <is>
          <t>Development</t>
        </is>
      </c>
      <c r="AP391" s="53" t="inlineStr">
        <is>
          <t>Yes</t>
        </is>
      </c>
      <c r="AQ391" s="53" t="inlineStr">
        <is>
          <t>Product/Project</t>
        </is>
      </c>
      <c r="AR391" s="53" t="inlineStr">
        <is>
          <t>.NET MVC</t>
        </is>
      </c>
      <c r="AS391" s="53" t="inlineStr">
        <is>
          <t>Technical - Developer</t>
        </is>
      </c>
      <c r="AT391" s="53" t="n">
        <v>20</v>
      </c>
      <c r="AU391" s="53" t="inlineStr">
        <is>
          <t>Covered</t>
        </is>
      </c>
      <c r="AV391" s="53" t="n"/>
      <c r="AW391" s="53" t="n"/>
      <c r="AX391" s="53" t="n"/>
      <c r="AY391" s="53" t="n"/>
      <c r="AZ391" s="53" t="n"/>
      <c r="BA391" s="53" t="n"/>
      <c r="BB391" s="53" t="n"/>
      <c r="BC391" s="53" t="n"/>
      <c r="BD391" s="53" t="n"/>
      <c r="BE391" s="53" t="n"/>
      <c r="BF391" s="53" t="n"/>
      <c r="BG391" s="53" t="n"/>
      <c r="BH391" s="53" t="n"/>
      <c r="BI391" s="53" t="n"/>
      <c r="BJ391" s="53" t="n"/>
      <c r="BK391" s="53" t="n"/>
      <c r="BL391" s="53" t="n"/>
      <c r="BM391" s="53" t="n"/>
      <c r="BN391" s="53" t="n"/>
      <c r="BO391" s="53" t="n"/>
      <c r="BP391" s="53" t="n"/>
      <c r="BQ391" s="53" t="n"/>
      <c r="BR391" s="53" t="n"/>
      <c r="BS391" s="53" t="n"/>
      <c r="BT391" s="53" t="n"/>
      <c r="BU391" s="53" t="n"/>
      <c r="BV391" s="53" t="n"/>
      <c r="BW391" s="53" t="n"/>
      <c r="BX391" s="53" t="n"/>
      <c r="BY391" s="53" t="n"/>
      <c r="BZ391" s="53" t="n"/>
      <c r="CA391" s="53" t="n"/>
      <c r="CB391" s="53" t="n"/>
      <c r="CC391" s="53" t="n"/>
      <c r="CD391" s="53" t="n"/>
      <c r="CE391" s="53" t="n"/>
      <c r="CF391" s="53" t="n"/>
      <c r="CG391" s="53" t="n"/>
      <c r="CH391" s="53" t="n"/>
      <c r="CI391" s="53" t="n"/>
      <c r="CJ391" s="53" t="n"/>
      <c r="CK391" s="53" t="n"/>
      <c r="CL391" s="53" t="n"/>
      <c r="CM391" s="53" t="n"/>
      <c r="CN391" s="53" t="n"/>
      <c r="CO391" s="53" t="n"/>
      <c r="CP391" s="53" t="n"/>
      <c r="CQ391" s="53" t="n"/>
      <c r="CR391" s="53" t="n"/>
      <c r="CS391" s="53" t="n"/>
      <c r="CT391" s="53" t="n"/>
      <c r="CU391" s="53" t="n"/>
      <c r="CV391" s="53" t="n"/>
      <c r="CW391" s="53" t="n"/>
      <c r="CX391" s="53" t="n"/>
      <c r="CY391" s="53" t="n"/>
      <c r="CZ391" s="53" t="n"/>
      <c r="DA391" s="53" t="n"/>
      <c r="DB391" s="53" t="n"/>
      <c r="DC391" s="53" t="n"/>
      <c r="DD391" s="53" t="inlineStr">
        <is>
          <t>IRIS0724</t>
        </is>
      </c>
      <c r="DE391" s="53" t="inlineStr">
        <is>
          <t>Employee</t>
        </is>
      </c>
      <c r="DF391" s="53" t="inlineStr">
        <is>
          <t>Active</t>
        </is>
      </c>
      <c r="DG391" s="53" t="inlineStr">
        <is>
          <t>Nishant Kohakade</t>
        </is>
      </c>
      <c r="DH391" s="54" t="n">
        <v>40252</v>
      </c>
      <c r="DI391" s="53" t="inlineStr">
        <is>
          <t>Lead Software Engineer</t>
        </is>
      </c>
      <c r="DJ391" s="53" t="inlineStr">
        <is>
          <t>Engineering &amp; Development</t>
        </is>
      </c>
      <c r="DK391" s="53" t="inlineStr">
        <is>
          <t>Backend Engineering ·.NET</t>
        </is>
      </c>
      <c r="DL391" s="53" t="inlineStr">
        <is>
          <t>Lead Software Engineer</t>
        </is>
      </c>
      <c r="DM391" s="53" t="inlineStr">
        <is>
          <t>L5 – Lead · IC</t>
        </is>
      </c>
      <c r="DN391" s="53" t="inlineStr">
        <is>
          <t>B.E</t>
        </is>
      </c>
      <c r="DO391" s="53" t="inlineStr">
        <is>
          <t>Zakiruddin Shaikh</t>
        </is>
      </c>
      <c r="DP391" s="53" t="inlineStr">
        <is>
          <t>N-4</t>
        </is>
      </c>
      <c r="DQ391" s="53" t="inlineStr">
        <is>
          <t>Individual Contributor</t>
        </is>
      </c>
      <c r="DR391" s="53" t="inlineStr">
        <is>
          <t>3 years, 0 months, 0 days</t>
        </is>
      </c>
      <c r="DS391" s="53" t="inlineStr">
        <is>
          <t>16 years, 3 months, 5 days</t>
        </is>
      </c>
      <c r="DT391" s="53" t="inlineStr">
        <is>
          <t>19 years, 3 months, 5 days</t>
        </is>
      </c>
      <c r="DU391" s="53" t="n"/>
      <c r="DV391" s="53" t="inlineStr">
        <is>
          <t>Consume</t>
        </is>
      </c>
      <c r="DW391" s="53" t="inlineStr">
        <is>
          <t>Consume</t>
        </is>
      </c>
      <c r="DX391" s="53" t="inlineStr">
        <is>
          <t>Technology</t>
        </is>
      </c>
      <c r="DY391" s="53" t="inlineStr">
        <is>
          <t>Development</t>
        </is>
      </c>
      <c r="DZ391" s="53" t="inlineStr">
        <is>
          <t>Yes</t>
        </is>
      </c>
      <c r="EA391" s="53" t="inlineStr">
        <is>
          <t>Product/Project</t>
        </is>
      </c>
      <c r="EB391" s="53" t="inlineStr">
        <is>
          <t>.NET MVC</t>
        </is>
      </c>
      <c r="EC391" s="53" t="inlineStr">
        <is>
          <t>Technical - Developer</t>
        </is>
      </c>
      <c r="ED391" s="53" t="inlineStr">
        <is>
          <t>Client Side</t>
        </is>
      </c>
      <c r="EE391" s="53" t="n"/>
      <c r="EF39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1" s="53"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EH391" s="53" t="n"/>
      <c r="EI391" s="53" t="n"/>
      <c r="EJ391" s="53" t="inlineStr">
        <is>
          <t>Lead Software Engineer</t>
        </is>
      </c>
      <c r="EK391" s="53" t="inlineStr">
        <is>
          <t>Yes, Potential to work as solution architect</t>
        </is>
      </c>
      <c r="EL391" s="53" t="n">
        <v>5</v>
      </c>
      <c r="EM391" s="53" t="inlineStr">
        <is>
          <t>High</t>
        </is>
      </c>
      <c r="EN391" s="53" t="inlineStr">
        <is>
          <t>Future Leader</t>
        </is>
      </c>
      <c r="EO391" s="53" t="inlineStr">
        <is>
          <t>Yes</t>
        </is>
      </c>
      <c r="EP391" s="53" t="inlineStr">
        <is>
          <t>Yes</t>
        </is>
      </c>
      <c r="EQ391" s="53" t="inlineStr">
        <is>
          <t>Yes</t>
        </is>
      </c>
      <c r="ER391" s="53" t="n"/>
      <c r="ES391" s="53" t="inlineStr">
        <is>
          <t>Advanced .NET MVC; secure coding &amp; code-quality practices; unit/automated testing; system design fundamentals</t>
        </is>
      </c>
      <c r="ET391" s="53" t="inlineStr">
        <is>
          <t>Transition to leadership: people management &amp; delegation, mentoring/coaching, project ownership &amp; stakeholder management, prioritisation under ambiguity, presentation &amp; influence skills</t>
        </is>
      </c>
      <c r="EU391" s="53" t="n"/>
      <c r="EV391" s="53" t="n"/>
      <c r="EW391" s="52" t="n"/>
      <c r="EX391" s="53" t="n"/>
      <c r="EY391" s="53" t="n"/>
      <c r="EZ391" s="53" t="n"/>
      <c r="FA391" s="53" t="n"/>
      <c r="FB391" s="53" t="n"/>
      <c r="FC391" s="53" t="n"/>
      <c r="FD391" s="53" t="n"/>
      <c r="FE39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1" s="56"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FG391" s="56" t="n"/>
      <c r="FH391" s="56" t="n"/>
      <c r="FI391" s="56" t="n"/>
      <c r="FJ391" s="56" t="inlineStr">
        <is>
          <t>Received · manager annual, quarterly</t>
        </is>
      </c>
      <c r="FK391" s="56" t="inlineStr">
        <is>
          <t>Talent Mapping · iFile collated</t>
        </is>
      </c>
      <c r="FL391" s="56" t="n">
        <v>19</v>
      </c>
      <c r="FM391" s="32" t="inlineStr">
        <is>
          <t>Full survey answers not in the files received · How We Grow export needed · HR</t>
        </is>
      </c>
      <c r="FN391" s="56" t="inlineStr">
        <is>
          <t>—</t>
        </is>
      </c>
      <c r="FO391" s="56" t="inlineStr">
        <is>
          <t>—</t>
        </is>
      </c>
      <c r="FP391" s="56" t="inlineStr">
        <is>
          <t>—</t>
        </is>
      </c>
      <c r="FQ391" s="56" t="inlineStr">
        <is>
          <t>—</t>
        </is>
      </c>
      <c r="FR391" s="56"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reads like B2: Anything on RBI portals: unavailability, security incidents, content errors; gives RCA to client → moved down 0.5
Leadership: Evidence reads like B1: Allocates tasks and helps the on-site development team; 0 formal reports → moved down 0.5
Business Impact: Moved +0.5: the survey / manager mapping marks it business-critical.</t>
        </is>
      </c>
      <c r="FS391" s="56"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FT391" s="56" t="inlineStr">
        <is>
          <t>Self-identified: Leadership &amp; people management · Client, sales &amp; stakeholders
For the next role: Leadership &amp; people management · Client, sales &amp; stakeholders</t>
        </is>
      </c>
      <c r="FU391" s="32" t="inlineStr">
        <is>
          <t>Full survey answers not in the files received · How We Grow export needed · HR</t>
        </is>
      </c>
    </row>
    <row r="392" ht="90" customHeight="1">
      <c r="A392" s="51" t="inlineStr">
        <is>
          <t>◂ Back</t>
        </is>
      </c>
      <c r="B392" s="29" t="inlineStr">
        <is>
          <t>Mapped</t>
        </is>
      </c>
      <c r="C392" s="28" t="inlineStr">
        <is>
          <t>Consume</t>
        </is>
      </c>
      <c r="D392" s="29" t="inlineStr">
        <is>
          <t>IRIS0538</t>
        </is>
      </c>
      <c r="E392" s="29" t="inlineStr">
        <is>
          <t>Waqar Tarique</t>
        </is>
      </c>
      <c r="F392" s="29" t="inlineStr">
        <is>
          <t>Technology</t>
        </is>
      </c>
      <c r="G392" s="29" t="inlineStr">
        <is>
          <t>Senior Software Engineer</t>
        </is>
      </c>
      <c r="H392" s="29" t="inlineStr">
        <is>
          <t>Technical Specialist</t>
        </is>
      </c>
      <c r="I392" s="29" t="inlineStr">
        <is>
          <t>L4 – Senior</t>
        </is>
      </c>
      <c r="J392" s="29" t="inlineStr">
        <is>
          <t>B1</t>
        </is>
      </c>
      <c r="K392" s="29" t="inlineStr">
        <is>
          <t>▲ Up</t>
        </is>
      </c>
      <c r="L392" s="29" t="inlineStr">
        <is>
          <t>Engineering &amp; Development</t>
        </is>
      </c>
      <c r="M392" s="29" t="inlineStr">
        <is>
          <t>Application Maintenance &amp; Production Support</t>
        </is>
      </c>
      <c r="N392" s="29" t="n"/>
      <c r="O392" s="29" t="n">
        <v>18</v>
      </c>
      <c r="P392" s="28" t="inlineStr">
        <is>
          <t>P3 / M2</t>
        </is>
      </c>
      <c r="Q392" s="29" t="inlineStr">
        <is>
          <t>Career / · Team Lead</t>
        </is>
      </c>
      <c r="R392" s="29" t="inlineStr">
        <is>
          <t>4 Enable</t>
        </is>
      </c>
      <c r="S392" s="29" t="inlineStr">
        <is>
          <t>4–7 yrs</t>
        </is>
      </c>
      <c r="T392" s="29" t="inlineStr">
        <is>
          <t>5–8 · 4–8</t>
        </is>
      </c>
      <c r="U392" s="29" t="inlineStr">
        <is>
          <t>Senior Software Engineer</t>
        </is>
      </c>
      <c r="V392" s="29" t="inlineStr">
        <is>
          <t>Workiva: SE / Senior SE · Broadridge India: Senior SE · Nasdaq / AxiomSL: Senior SE · Salesforce: MTS · Atlassian: P40 · Freshworks: Senior SE</t>
        </is>
      </c>
      <c r="W392" s="29" t="inlineStr">
        <is>
          <t>SFIA 9 · software development, programming; OWASP secure coding; cloud vendor certifications</t>
        </is>
      </c>
      <c r="X392" s="29" t="inlineStr">
        <is>
          <t>Core 3 · Future 3 · Functional 3 · Leadership 1</t>
        </is>
      </c>
      <c r="Y392" s="52" t="n">
        <v>71</v>
      </c>
      <c r="Z392" s="53" t="inlineStr">
        <is>
          <t>IRIS0538</t>
        </is>
      </c>
      <c r="AA392" s="53" t="inlineStr">
        <is>
          <t>Employee</t>
        </is>
      </c>
      <c r="AB392" s="53" t="inlineStr">
        <is>
          <t>Active</t>
        </is>
      </c>
      <c r="AC392" s="53" t="inlineStr">
        <is>
          <t>Waqar Tarique</t>
        </is>
      </c>
      <c r="AD392" s="54" t="n">
        <v>40581</v>
      </c>
      <c r="AE392" s="53" t="inlineStr">
        <is>
          <t>Senior Software Engineer</t>
        </is>
      </c>
      <c r="AF392" s="53" t="inlineStr">
        <is>
          <t>MSc</t>
        </is>
      </c>
      <c r="AG392" s="53" t="inlineStr">
        <is>
          <t>Zakiruddin Shaikh</t>
        </is>
      </c>
      <c r="AH392" s="53" t="inlineStr">
        <is>
          <t>N-4</t>
        </is>
      </c>
      <c r="AI392" s="53" t="inlineStr">
        <is>
          <t>Individual Contributor</t>
        </is>
      </c>
      <c r="AJ392" s="53" t="inlineStr">
        <is>
          <t>0 years, 9 months, 0 days</t>
        </is>
      </c>
      <c r="AK392" s="53" t="inlineStr">
        <is>
          <t>15 years, 6 months, 18 days</t>
        </is>
      </c>
      <c r="AL392" s="53" t="inlineStr">
        <is>
          <t>Consume</t>
        </is>
      </c>
      <c r="AM392" s="53" t="inlineStr">
        <is>
          <t>Consume</t>
        </is>
      </c>
      <c r="AN392" s="53" t="inlineStr">
        <is>
          <t>Technology</t>
        </is>
      </c>
      <c r="AO392" s="53" t="inlineStr">
        <is>
          <t>Development</t>
        </is>
      </c>
      <c r="AP392" s="53" t="inlineStr">
        <is>
          <t>Yes</t>
        </is>
      </c>
      <c r="AQ392" s="53" t="inlineStr">
        <is>
          <t>Product/Project</t>
        </is>
      </c>
      <c r="AR392" s="53" t="inlineStr">
        <is>
          <t>.NET MVC</t>
        </is>
      </c>
      <c r="AS392" s="53" t="inlineStr">
        <is>
          <t>Technical - Developer</t>
        </is>
      </c>
      <c r="AT392" s="53" t="n">
        <v>20</v>
      </c>
      <c r="AU392" s="53" t="inlineStr">
        <is>
          <t>Covered</t>
        </is>
      </c>
      <c r="AV392" s="53" t="n"/>
      <c r="AW392" s="53" t="n"/>
      <c r="AX392" s="53" t="n"/>
      <c r="AY392" s="53" t="n"/>
      <c r="AZ392" s="53" t="n"/>
      <c r="BA392" s="53" t="n"/>
      <c r="BB392" s="53" t="n"/>
      <c r="BC392" s="53" t="n"/>
      <c r="BD392" s="53" t="n"/>
      <c r="BE392" s="53" t="n"/>
      <c r="BF392" s="53" t="n"/>
      <c r="BG392" s="53" t="n"/>
      <c r="BH392" s="53" t="n"/>
      <c r="BI392" s="53" t="n"/>
      <c r="BJ392" s="53" t="n"/>
      <c r="BK392" s="53" t="n"/>
      <c r="BL392" s="53" t="n"/>
      <c r="BM392" s="53" t="n"/>
      <c r="BN392" s="53" t="n"/>
      <c r="BO392" s="53" t="n"/>
      <c r="BP392" s="53" t="n"/>
      <c r="BQ392" s="53" t="n"/>
      <c r="BR392" s="53" t="n"/>
      <c r="BS392" s="53" t="n"/>
      <c r="BT392" s="53" t="n"/>
      <c r="BU392" s="53" t="n"/>
      <c r="BV392" s="53" t="n"/>
      <c r="BW392" s="53" t="n"/>
      <c r="BX392" s="53" t="n"/>
      <c r="BY392" s="53" t="n"/>
      <c r="BZ392" s="53" t="n"/>
      <c r="CA392" s="53" t="n"/>
      <c r="CB392" s="53" t="n"/>
      <c r="CC392" s="53" t="n"/>
      <c r="CD392" s="53" t="n"/>
      <c r="CE392" s="53" t="n"/>
      <c r="CF392" s="53" t="n"/>
      <c r="CG392" s="53" t="n"/>
      <c r="CH392" s="53" t="n"/>
      <c r="CI392" s="53" t="n"/>
      <c r="CJ392" s="53" t="n"/>
      <c r="CK392" s="53" t="n"/>
      <c r="CL392" s="53" t="n"/>
      <c r="CM392" s="53" t="n"/>
      <c r="CN392" s="53" t="n"/>
      <c r="CO392" s="53" t="n"/>
      <c r="CP392" s="53" t="n"/>
      <c r="CQ392" s="53" t="n"/>
      <c r="CR392" s="53" t="n"/>
      <c r="CS392" s="53" t="n"/>
      <c r="CT392" s="53" t="n"/>
      <c r="CU392" s="53" t="n"/>
      <c r="CV392" s="53" t="n"/>
      <c r="CW392" s="53" t="n"/>
      <c r="CX392" s="53" t="n"/>
      <c r="CY392" s="53" t="n"/>
      <c r="CZ392" s="53" t="n"/>
      <c r="DA392" s="53" t="n"/>
      <c r="DB392" s="53" t="n"/>
      <c r="DC392" s="53" t="n"/>
      <c r="DD392" s="53" t="inlineStr">
        <is>
          <t>IRIS0538</t>
        </is>
      </c>
      <c r="DE392" s="53" t="inlineStr">
        <is>
          <t>Employee</t>
        </is>
      </c>
      <c r="DF392" s="53" t="inlineStr">
        <is>
          <t>Active</t>
        </is>
      </c>
      <c r="DG392" s="53" t="inlineStr">
        <is>
          <t>Waqar Tarique</t>
        </is>
      </c>
      <c r="DH392" s="54" t="n">
        <v>40581</v>
      </c>
      <c r="DI392" s="53" t="inlineStr">
        <is>
          <t>Senior Software Engineer</t>
        </is>
      </c>
      <c r="DJ392" s="53" t="inlineStr">
        <is>
          <t>Engineering &amp; Development</t>
        </is>
      </c>
      <c r="DK392" s="53" t="inlineStr">
        <is>
          <t>Backend Engineering ·.NET</t>
        </is>
      </c>
      <c r="DL392" s="53" t="inlineStr">
        <is>
          <t>Senior Software Engineer</t>
        </is>
      </c>
      <c r="DM392" s="53" t="inlineStr">
        <is>
          <t>L4 – Senior</t>
        </is>
      </c>
      <c r="DN392" s="53" t="inlineStr">
        <is>
          <t>MSc</t>
        </is>
      </c>
      <c r="DO392" s="53" t="inlineStr">
        <is>
          <t>Zakiruddin Shaikh</t>
        </is>
      </c>
      <c r="DP392" s="53" t="inlineStr">
        <is>
          <t>N-4</t>
        </is>
      </c>
      <c r="DQ392" s="53" t="inlineStr">
        <is>
          <t>Individual Contributor</t>
        </is>
      </c>
      <c r="DR392" s="53" t="inlineStr">
        <is>
          <t>0 years, 9 months, 0 days</t>
        </is>
      </c>
      <c r="DS392" s="53" t="inlineStr">
        <is>
          <t>15 years, 4 months, 13 days</t>
        </is>
      </c>
      <c r="DT392" s="53" t="inlineStr">
        <is>
          <t>16 years, 1 months, 13 days</t>
        </is>
      </c>
      <c r="DU392" s="53" t="n"/>
      <c r="DV392" s="53" t="inlineStr">
        <is>
          <t>Consume</t>
        </is>
      </c>
      <c r="DW392" s="53" t="inlineStr">
        <is>
          <t>Consume</t>
        </is>
      </c>
      <c r="DX392" s="53" t="inlineStr">
        <is>
          <t>Technology</t>
        </is>
      </c>
      <c r="DY392" s="53" t="inlineStr">
        <is>
          <t>Development</t>
        </is>
      </c>
      <c r="DZ392" s="53" t="inlineStr">
        <is>
          <t>Yes</t>
        </is>
      </c>
      <c r="EA392" s="53" t="inlineStr">
        <is>
          <t>Product/Project</t>
        </is>
      </c>
      <c r="EB392" s="53" t="inlineStr">
        <is>
          <t>.NET MVC</t>
        </is>
      </c>
      <c r="EC392" s="53" t="inlineStr">
        <is>
          <t>Technical - Developer</t>
        </is>
      </c>
      <c r="ED392" s="53" t="inlineStr">
        <is>
          <t>Client Side</t>
        </is>
      </c>
      <c r="EE392" s="53" t="n"/>
      <c r="EF39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2" s="53"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EH392" s="53" t="n">
        <v>4</v>
      </c>
      <c r="EI392" s="53" t="n"/>
      <c r="EJ392" s="53" t="inlineStr">
        <is>
          <t>Senior Software Engineer</t>
        </is>
      </c>
      <c r="EK392" s="53" t="n"/>
      <c r="EL392" s="53" t="n">
        <v>4</v>
      </c>
      <c r="EM392" s="53" t="inlineStr">
        <is>
          <t>High</t>
        </is>
      </c>
      <c r="EN392" s="53" t="inlineStr">
        <is>
          <t>Core Contributor</t>
        </is>
      </c>
      <c r="EO392" s="53" t="inlineStr">
        <is>
          <t>Yes</t>
        </is>
      </c>
      <c r="EP392" s="53" t="inlineStr">
        <is>
          <t>Yes</t>
        </is>
      </c>
      <c r="EQ392" s="53" t="inlineStr">
        <is>
          <t>Yes</t>
        </is>
      </c>
      <c r="ER392" s="53" t="n"/>
      <c r="ES392" s="53" t="inlineStr">
        <is>
          <t>Advanced .NET MVC; secure coding &amp; code-quality practices; unit/automated testing; system design fundamentals</t>
        </is>
      </c>
      <c r="ET392" s="53" t="inlineStr">
        <is>
          <t>Transition to leadership: people management &amp; delegation, mentoring/coaching, project ownership &amp; stakeholder management, prioritisation under ambiguity, presentation &amp; influence skills</t>
        </is>
      </c>
      <c r="EU392" s="53" t="n"/>
      <c r="EV392" s="53" t="n"/>
      <c r="EW392" s="52" t="n"/>
      <c r="EX392" s="53" t="n"/>
      <c r="EY392" s="53" t="n"/>
      <c r="EZ392" s="53" t="n"/>
      <c r="FA392" s="53" t="n"/>
      <c r="FB392" s="53" t="n"/>
      <c r="FC392" s="53" t="n"/>
      <c r="FD392" s="53" t="n"/>
      <c r="FE39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2" s="56"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FG392" s="56" t="n"/>
      <c r="FH392" s="56" t="inlineStr">
        <is>
          <t>4</t>
        </is>
      </c>
      <c r="FI392" s="56" t="n"/>
      <c r="FJ392" s="56" t="inlineStr">
        <is>
          <t>Received · manager annual, quarterly</t>
        </is>
      </c>
      <c r="FK392" s="56" t="inlineStr">
        <is>
          <t>Talent Mapping · iFile collated</t>
        </is>
      </c>
      <c r="FL392" s="56" t="n">
        <v>18</v>
      </c>
      <c r="FM392" s="32" t="inlineStr">
        <is>
          <t>Full survey answers not in the files received · How We Grow export needed · HR</t>
        </is>
      </c>
      <c r="FN392" s="56" t="inlineStr">
        <is>
          <t>—</t>
        </is>
      </c>
      <c r="FO392" s="56" t="inlineStr">
        <is>
          <t>—</t>
        </is>
      </c>
      <c r="FP392" s="56" t="inlineStr">
        <is>
          <t>—</t>
        </is>
      </c>
      <c r="FQ392" s="56" t="inlineStr">
        <is>
          <t>—</t>
        </is>
      </c>
      <c r="FR392" s="56"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business continuity; an outage triggers management escalation → matches the start
Leadership: Evidence reads like A3: Lists code review and mentoring/monitoring as standing duties; no team size given → moved up 0.5
Business Impact: Moved +0.5: the survey / manager mapping marks it business-critical.</t>
        </is>
      </c>
      <c r="FS392" s="56"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FT392" s="56" t="inlineStr">
        <is>
          <t>Self-identified: Broader exposure &amp; ownership
For the next role: Broader exposure &amp; ownership</t>
        </is>
      </c>
      <c r="FU392" s="32" t="inlineStr">
        <is>
          <t>Full survey answers not in the files received · How We Grow export needed · HR</t>
        </is>
      </c>
    </row>
    <row r="393" ht="90" customHeight="1">
      <c r="A393" s="51" t="inlineStr">
        <is>
          <t>◂ Back</t>
        </is>
      </c>
      <c r="B393" s="29" t="inlineStr">
        <is>
          <t>Mapped</t>
        </is>
      </c>
      <c r="C393" s="28" t="inlineStr">
        <is>
          <t>Consume</t>
        </is>
      </c>
      <c r="D393" s="29" t="inlineStr">
        <is>
          <t>IRIS2485</t>
        </is>
      </c>
      <c r="E393" s="29" t="inlineStr">
        <is>
          <t>Safal Gupta</t>
        </is>
      </c>
      <c r="F393" s="29" t="inlineStr">
        <is>
          <t>Technology</t>
        </is>
      </c>
      <c r="G393" s="29" t="inlineStr">
        <is>
          <t>Senior Software Engineer</t>
        </is>
      </c>
      <c r="H393" s="29" t="inlineStr">
        <is>
          <t>Senior Software Engineer</t>
        </is>
      </c>
      <c r="I393" s="29" t="inlineStr">
        <is>
          <t>L4 – Senior</t>
        </is>
      </c>
      <c r="J393" s="29" t="inlineStr">
        <is>
          <t>A3</t>
        </is>
      </c>
      <c r="K393" s="29" t="inlineStr">
        <is>
          <t>• Same level</t>
        </is>
      </c>
      <c r="L393" s="29" t="inlineStr">
        <is>
          <t>Engineering &amp; Development</t>
        </is>
      </c>
      <c r="M393" s="29" t="inlineStr">
        <is>
          <t>Application Maintenance &amp; Production Support</t>
        </is>
      </c>
      <c r="N393" s="29" t="n"/>
      <c r="O393" s="29" t="n">
        <v>20</v>
      </c>
      <c r="P393" s="28" t="inlineStr">
        <is>
          <t>P2</t>
        </is>
      </c>
      <c r="Q393" s="29" t="inlineStr">
        <is>
          <t>Developing</t>
        </is>
      </c>
      <c r="R393" s="29" t="inlineStr">
        <is>
          <t>3 Apply</t>
        </is>
      </c>
      <c r="S393" s="29" t="inlineStr">
        <is>
          <t>2–4 yrs</t>
        </is>
      </c>
      <c r="T393" s="29" t="inlineStr">
        <is>
          <t>3–5 · 2–5</t>
        </is>
      </c>
      <c r="U393" s="29" t="inlineStr">
        <is>
          <t>Software Engineer</t>
        </is>
      </c>
      <c r="V393" s="29" t="inlineStr">
        <is>
          <t>Workiva: SE · Broadridge India: SE · Nasdaq / AxiomSL: SE · Salesforce: MTS · Atlassian: P40 · 3–7 yrs · Freshworks: Senior SE</t>
        </is>
      </c>
      <c r="W393" s="29" t="inlineStr">
        <is>
          <t>SFIA 9 · software development, programming; OWASP secure coding; cloud vendor certifications</t>
        </is>
      </c>
      <c r="X393" s="29" t="inlineStr">
        <is>
          <t>Core 2 · Future 2 · Functional 3 · Leadership not scored</t>
        </is>
      </c>
      <c r="Y393" s="52" t="n">
        <v>460</v>
      </c>
      <c r="Z393" s="53" t="inlineStr">
        <is>
          <t>IRIS2485</t>
        </is>
      </c>
      <c r="AA393" s="53" t="inlineStr">
        <is>
          <t>Employee</t>
        </is>
      </c>
      <c r="AB393" s="53" t="inlineStr">
        <is>
          <t>Active</t>
        </is>
      </c>
      <c r="AC393" s="53" t="inlineStr">
        <is>
          <t>Safal Gupta</t>
        </is>
      </c>
      <c r="AD393" s="54" t="n">
        <v>46083</v>
      </c>
      <c r="AE393" s="53" t="inlineStr">
        <is>
          <t>Senior Software Engineer</t>
        </is>
      </c>
      <c r="AF393" s="53" t="inlineStr">
        <is>
          <t>B.E</t>
        </is>
      </c>
      <c r="AG393" s="53" t="inlineStr">
        <is>
          <t>Zakiruddin Shaikh</t>
        </is>
      </c>
      <c r="AH393" s="53" t="inlineStr">
        <is>
          <t>N-4</t>
        </is>
      </c>
      <c r="AI393" s="53" t="inlineStr">
        <is>
          <t>Individual Contributor</t>
        </is>
      </c>
      <c r="AJ393" s="53" t="inlineStr">
        <is>
          <t>5 years, 2 months, 0 days</t>
        </is>
      </c>
      <c r="AK393" s="53" t="inlineStr">
        <is>
          <t>0 years, 5 months, 23 days</t>
        </is>
      </c>
      <c r="AL393" s="53" t="inlineStr">
        <is>
          <t>Consume</t>
        </is>
      </c>
      <c r="AM393" s="53" t="inlineStr">
        <is>
          <t>Consume</t>
        </is>
      </c>
      <c r="AN393" s="53" t="inlineStr">
        <is>
          <t>Technology</t>
        </is>
      </c>
      <c r="AO393" s="53" t="inlineStr">
        <is>
          <t>Development</t>
        </is>
      </c>
      <c r="AP393" s="53" t="inlineStr">
        <is>
          <t>Yes</t>
        </is>
      </c>
      <c r="AQ393" s="53" t="inlineStr">
        <is>
          <t>Product/Project</t>
        </is>
      </c>
      <c r="AR393" s="53" t="inlineStr">
        <is>
          <t>.NET MVC</t>
        </is>
      </c>
      <c r="AS393" s="53" t="inlineStr">
        <is>
          <t>Technical - Developer</t>
        </is>
      </c>
      <c r="AT393" s="53" t="n">
        <v>20</v>
      </c>
      <c r="AU393" s="53" t="inlineStr">
        <is>
          <t>Covered</t>
        </is>
      </c>
      <c r="AV393" s="53" t="n"/>
      <c r="AW393" s="53" t="n"/>
      <c r="AX393" s="53" t="n"/>
      <c r="AY393" s="53" t="n"/>
      <c r="AZ393" s="53" t="n"/>
      <c r="BA393" s="53" t="n"/>
      <c r="BB393" s="53" t="n"/>
      <c r="BC393" s="53" t="n"/>
      <c r="BD393" s="53" t="n"/>
      <c r="BE393" s="53" t="n"/>
      <c r="BF393" s="53" t="n"/>
      <c r="BG393" s="53" t="n"/>
      <c r="BH393" s="53" t="n"/>
      <c r="BI393" s="53" t="n"/>
      <c r="BJ393" s="53" t="n"/>
      <c r="BK393" s="53" t="n"/>
      <c r="BL393" s="53" t="n"/>
      <c r="BM393" s="53" t="n"/>
      <c r="BN393" s="53" t="n"/>
      <c r="BO393" s="53" t="n"/>
      <c r="BP393" s="53" t="n"/>
      <c r="BQ393" s="53" t="n"/>
      <c r="BR393" s="53" t="n"/>
      <c r="BS393" s="53" t="n"/>
      <c r="BT393" s="53" t="n"/>
      <c r="BU393" s="53" t="n"/>
      <c r="BV393" s="53" t="n"/>
      <c r="BW393" s="53" t="n"/>
      <c r="BX393" s="53" t="n"/>
      <c r="BY393" s="53" t="n"/>
      <c r="BZ393" s="53" t="n"/>
      <c r="CA393" s="53" t="n"/>
      <c r="CB393" s="53" t="n"/>
      <c r="CC393" s="53" t="n"/>
      <c r="CD393" s="53" t="n"/>
      <c r="CE393" s="53" t="n"/>
      <c r="CF393" s="53" t="n"/>
      <c r="CG393" s="53" t="n"/>
      <c r="CH393" s="53" t="n"/>
      <c r="CI393" s="53" t="n"/>
      <c r="CJ393" s="53" t="n"/>
      <c r="CK393" s="53" t="n"/>
      <c r="CL393" s="53" t="n"/>
      <c r="CM393" s="53" t="n"/>
      <c r="CN393" s="53" t="n"/>
      <c r="CO393" s="53" t="n"/>
      <c r="CP393" s="53" t="n"/>
      <c r="CQ393" s="53" t="n"/>
      <c r="CR393" s="53" t="n"/>
      <c r="CS393" s="53" t="n"/>
      <c r="CT393" s="53" t="n"/>
      <c r="CU393" s="53" t="n"/>
      <c r="CV393" s="53" t="n"/>
      <c r="CW393" s="53" t="n"/>
      <c r="CX393" s="53" t="n"/>
      <c r="CY393" s="53" t="n"/>
      <c r="CZ393" s="53" t="n"/>
      <c r="DA393" s="53" t="n"/>
      <c r="DB393" s="53" t="n"/>
      <c r="DC393" s="53" t="n"/>
      <c r="DD393" s="53" t="inlineStr">
        <is>
          <t>IRIS2485</t>
        </is>
      </c>
      <c r="DE393" s="53" t="inlineStr">
        <is>
          <t>Employee</t>
        </is>
      </c>
      <c r="DF393" s="53" t="inlineStr">
        <is>
          <t>Active</t>
        </is>
      </c>
      <c r="DG393" s="53" t="inlineStr">
        <is>
          <t>Safal Gupta</t>
        </is>
      </c>
      <c r="DH393" s="54" t="n">
        <v>46083</v>
      </c>
      <c r="DI393" s="53" t="inlineStr">
        <is>
          <t>Senior Software Engineer</t>
        </is>
      </c>
      <c r="DJ393" s="53" t="inlineStr">
        <is>
          <t>Engineering &amp; Development</t>
        </is>
      </c>
      <c r="DK393" s="53" t="inlineStr">
        <is>
          <t>Backend Engineering ·.NET</t>
        </is>
      </c>
      <c r="DL393" s="53" t="inlineStr">
        <is>
          <t>Senior Software Engineer</t>
        </is>
      </c>
      <c r="DM393" s="53" t="inlineStr">
        <is>
          <t>L4 – Senior</t>
        </is>
      </c>
      <c r="DN393" s="53" t="inlineStr">
        <is>
          <t>B.E</t>
        </is>
      </c>
      <c r="DO393" s="53" t="inlineStr">
        <is>
          <t>Zakiruddin Shaikh</t>
        </is>
      </c>
      <c r="DP393" s="53" t="inlineStr">
        <is>
          <t>N-4</t>
        </is>
      </c>
      <c r="DQ393" s="53" t="inlineStr">
        <is>
          <t>Individual Contributor</t>
        </is>
      </c>
      <c r="DR393" s="53" t="inlineStr">
        <is>
          <t>5 years, 2 months, 0 days</t>
        </is>
      </c>
      <c r="DS393" s="53" t="inlineStr">
        <is>
          <t>0 years, 3 months, 18 days</t>
        </is>
      </c>
      <c r="DT393" s="53" t="inlineStr">
        <is>
          <t>5 years, 5 months, 18 days</t>
        </is>
      </c>
      <c r="DU393" s="53" t="n"/>
      <c r="DV393" s="53" t="inlineStr">
        <is>
          <t>Consume</t>
        </is>
      </c>
      <c r="DW393" s="53" t="inlineStr">
        <is>
          <t>Consume</t>
        </is>
      </c>
      <c r="DX393" s="53" t="inlineStr">
        <is>
          <t>Technology</t>
        </is>
      </c>
      <c r="DY393" s="53" t="inlineStr">
        <is>
          <t>Development</t>
        </is>
      </c>
      <c r="DZ393" s="53" t="inlineStr">
        <is>
          <t>Yes</t>
        </is>
      </c>
      <c r="EA393" s="53" t="inlineStr">
        <is>
          <t>Product/Project</t>
        </is>
      </c>
      <c r="EB393" s="53" t="inlineStr">
        <is>
          <t>.Net</t>
        </is>
      </c>
      <c r="EC393" s="53" t="inlineStr">
        <is>
          <t>Technical - Developer</t>
        </is>
      </c>
      <c r="ED393" s="53" t="inlineStr">
        <is>
          <t>Client Side</t>
        </is>
      </c>
      <c r="EE393" s="53" t="n"/>
      <c r="EF39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3" s="53"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EH393" s="53" t="n">
        <v>4</v>
      </c>
      <c r="EI393" s="53" t="n"/>
      <c r="EJ393" s="53" t="inlineStr">
        <is>
          <t>Senior Software Engineer</t>
        </is>
      </c>
      <c r="EK393" s="53" t="n"/>
      <c r="EL393" s="53" t="n">
        <v>4</v>
      </c>
      <c r="EM393" s="53" t="n"/>
      <c r="EN393" s="53" t="inlineStr">
        <is>
          <t>Emerging Talent</t>
        </is>
      </c>
      <c r="EO393" s="53" t="inlineStr">
        <is>
          <t>Yes</t>
        </is>
      </c>
      <c r="EP393" s="53" t="inlineStr">
        <is>
          <t>Yes</t>
        </is>
      </c>
      <c r="EQ393" s="53" t="inlineStr">
        <is>
          <t>Yes</t>
        </is>
      </c>
      <c r="ER393" s="53" t="n"/>
      <c r="ES393" s="53" t="inlineStr">
        <is>
          <t>Advanced .Net; secure coding &amp; code-quality practices; unit/automated testing; system design fundamentals</t>
        </is>
      </c>
      <c r="ET393" s="53" t="inlineStr">
        <is>
          <t>Transition to leadership: people management &amp; delegation, mentoring/coaching, project ownership &amp; stakeholder management, prioritisation under ambiguity, presentation &amp; influence skills</t>
        </is>
      </c>
      <c r="EU393" s="53" t="n"/>
      <c r="EV393" s="53" t="n"/>
      <c r="EW393" s="52" t="n"/>
      <c r="EX393" s="53" t="n"/>
      <c r="EY393" s="53" t="n"/>
      <c r="EZ393" s="53" t="n"/>
      <c r="FA393" s="53" t="n"/>
      <c r="FB393" s="53" t="n"/>
      <c r="FC393" s="53" t="n"/>
      <c r="FD393" s="53" t="n"/>
      <c r="FE39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3" s="56"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FG393" s="56" t="n"/>
      <c r="FH393" s="56" t="inlineStr">
        <is>
          <t>4</t>
        </is>
      </c>
      <c r="FI393" s="56" t="n"/>
      <c r="FJ393" s="56" t="inlineStr">
        <is>
          <t>Received · manager annual, quarterly</t>
        </is>
      </c>
      <c r="FK393" s="56" t="inlineStr">
        <is>
          <t>Talent Mapping · iFile collated</t>
        </is>
      </c>
      <c r="FL393" s="56" t="n">
        <v>20</v>
      </c>
      <c r="FM393" s="32" t="inlineStr">
        <is>
          <t>Full survey answers not in the files received · How We Grow export needed · HR</t>
        </is>
      </c>
      <c r="FN393" s="56" t="inlineStr">
        <is>
          <t>—</t>
        </is>
      </c>
      <c r="FO393" s="56" t="inlineStr">
        <is>
          <t>—</t>
        </is>
      </c>
      <c r="FP393" s="56" t="inlineStr">
        <is>
          <t>—</t>
        </is>
      </c>
      <c r="FQ393" s="56" t="inlineStr">
        <is>
          <t>—</t>
        </is>
      </c>
      <c r="FR393" s="56"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production support on critical government portals → matches the start
Leadership: Evidence reads like A1: None described → moved down 0.5
Business Impact: Moved +0.5: the survey / manager mapping marks it business-critical.</t>
        </is>
      </c>
      <c r="FS393"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393" s="56" t="inlineStr">
        <is>
          <t>Self-identified: Leadership &amp; people management · Technical depth &amp; architecture
For the next role: Leadership &amp; people management · Technical depth &amp; architecture</t>
        </is>
      </c>
      <c r="FU393" s="32" t="inlineStr">
        <is>
          <t>Full survey answers not in the files received · How We Grow export needed · HR</t>
        </is>
      </c>
    </row>
    <row r="394" ht="90" customHeight="1">
      <c r="A394" s="51" t="inlineStr">
        <is>
          <t>◂ Back</t>
        </is>
      </c>
      <c r="B394" s="29" t="inlineStr">
        <is>
          <t>Mapped</t>
        </is>
      </c>
      <c r="C394" s="28" t="inlineStr">
        <is>
          <t>Consume</t>
        </is>
      </c>
      <c r="D394" s="29" t="inlineStr">
        <is>
          <t>IRIS1901</t>
        </is>
      </c>
      <c r="E394" s="29" t="inlineStr">
        <is>
          <t>Sharad Mane</t>
        </is>
      </c>
      <c r="F394" s="29" t="inlineStr">
        <is>
          <t>Technology</t>
        </is>
      </c>
      <c r="G394" s="29" t="inlineStr">
        <is>
          <t>Senior Software Engineer</t>
        </is>
      </c>
      <c r="H394" s="29" t="inlineStr">
        <is>
          <t>Technical Specialist</t>
        </is>
      </c>
      <c r="I394" s="29" t="inlineStr">
        <is>
          <t>L4 – Senior</t>
        </is>
      </c>
      <c r="J394" s="29" t="inlineStr">
        <is>
          <t>A3</t>
        </is>
      </c>
      <c r="K394" s="29" t="inlineStr">
        <is>
          <t>▲ Up</t>
        </is>
      </c>
      <c r="L394" s="29" t="inlineStr">
        <is>
          <t>Engineering &amp; Development</t>
        </is>
      </c>
      <c r="M394" s="29" t="inlineStr">
        <is>
          <t>Application Maintenance &amp; Production Support</t>
        </is>
      </c>
      <c r="N394" s="29" t="n"/>
      <c r="O394" s="29" t="n">
        <v>20</v>
      </c>
      <c r="P394" s="28" t="inlineStr">
        <is>
          <t>P2</t>
        </is>
      </c>
      <c r="Q394" s="29" t="inlineStr">
        <is>
          <t>Developing</t>
        </is>
      </c>
      <c r="R394" s="29" t="inlineStr">
        <is>
          <t>3 Apply</t>
        </is>
      </c>
      <c r="S394" s="29" t="inlineStr">
        <is>
          <t>2–4 yrs</t>
        </is>
      </c>
      <c r="T394" s="29" t="inlineStr">
        <is>
          <t>3–5 · 2–5</t>
        </is>
      </c>
      <c r="U394" s="29" t="inlineStr">
        <is>
          <t>Senior Software Engineer</t>
        </is>
      </c>
      <c r="V394" s="29" t="inlineStr">
        <is>
          <t>Workiva: SE · Broadridge India: SE · Nasdaq / AxiomSL: SE · Salesforce: MTS · Atlassian: P40 · 3–7 yrs · Freshworks: Senior SE</t>
        </is>
      </c>
      <c r="W394" s="29" t="inlineStr">
        <is>
          <t>SFIA 9 · software development, programming; OWASP secure coding; cloud vendor certifications</t>
        </is>
      </c>
      <c r="X394" s="29" t="inlineStr">
        <is>
          <t>Core 2 · Future 2 · Functional 3 · Leadership not scored</t>
        </is>
      </c>
      <c r="Y394" s="52" t="n">
        <v>177</v>
      </c>
      <c r="Z394" s="53" t="inlineStr">
        <is>
          <t>IRIS1901</t>
        </is>
      </c>
      <c r="AA394" s="53" t="inlineStr">
        <is>
          <t>Employee</t>
        </is>
      </c>
      <c r="AB394" s="53" t="inlineStr">
        <is>
          <t>Active</t>
        </is>
      </c>
      <c r="AC394" s="53" t="inlineStr">
        <is>
          <t>Sharad Mane</t>
        </is>
      </c>
      <c r="AD394" s="54" t="n">
        <v>44259</v>
      </c>
      <c r="AE394" s="53" t="inlineStr">
        <is>
          <t>Senior Software Engineer</t>
        </is>
      </c>
      <c r="AF394" s="53" t="inlineStr">
        <is>
          <t>B.E</t>
        </is>
      </c>
      <c r="AG394" s="53" t="inlineStr">
        <is>
          <t>Zakiruddin Shaikh</t>
        </is>
      </c>
      <c r="AH394" s="53" t="inlineStr">
        <is>
          <t>N-4</t>
        </is>
      </c>
      <c r="AI394" s="53" t="inlineStr">
        <is>
          <t>Individual Contributor</t>
        </is>
      </c>
      <c r="AJ394" s="53" t="inlineStr">
        <is>
          <t>5 years, 9 months, 0 days</t>
        </is>
      </c>
      <c r="AK394" s="53" t="inlineStr">
        <is>
          <t>5 years, 5 months, 21 days</t>
        </is>
      </c>
      <c r="AL394" s="53" t="inlineStr">
        <is>
          <t>Consume</t>
        </is>
      </c>
      <c r="AM394" s="53" t="inlineStr">
        <is>
          <t>Consume</t>
        </is>
      </c>
      <c r="AN394" s="53" t="inlineStr">
        <is>
          <t>Technology</t>
        </is>
      </c>
      <c r="AO394" s="53" t="inlineStr">
        <is>
          <t>Development</t>
        </is>
      </c>
      <c r="AP394" s="53" t="inlineStr">
        <is>
          <t>Yes</t>
        </is>
      </c>
      <c r="AQ394" s="53" t="inlineStr">
        <is>
          <t>Product/Project</t>
        </is>
      </c>
      <c r="AR394" s="53" t="inlineStr">
        <is>
          <t>.NET MVC</t>
        </is>
      </c>
      <c r="AS394" s="53" t="inlineStr">
        <is>
          <t>Technical - Developer</t>
        </is>
      </c>
      <c r="AT394" s="53" t="n">
        <v>20</v>
      </c>
      <c r="AU394" s="53" t="inlineStr">
        <is>
          <t>Covered</t>
        </is>
      </c>
      <c r="AV394" s="53" t="n"/>
      <c r="AW394" s="53" t="n"/>
      <c r="AX394" s="53" t="n"/>
      <c r="AY394" s="53" t="n"/>
      <c r="AZ394" s="53" t="n"/>
      <c r="BA394" s="53" t="n"/>
      <c r="BB394" s="53" t="n"/>
      <c r="BC394" s="53" t="n"/>
      <c r="BD394" s="53" t="n"/>
      <c r="BE394" s="53" t="n"/>
      <c r="BF394" s="53" t="n"/>
      <c r="BG394" s="53" t="n"/>
      <c r="BH394" s="53" t="n"/>
      <c r="BI394" s="53" t="n"/>
      <c r="BJ394" s="53" t="n"/>
      <c r="BK394" s="53" t="n"/>
      <c r="BL394" s="53" t="n"/>
      <c r="BM394" s="53" t="n"/>
      <c r="BN394" s="53" t="n"/>
      <c r="BO394" s="53" t="n"/>
      <c r="BP394" s="53" t="n"/>
      <c r="BQ394" s="53" t="n"/>
      <c r="BR394" s="53" t="n"/>
      <c r="BS394" s="53" t="n"/>
      <c r="BT394" s="53" t="n"/>
      <c r="BU394" s="53" t="n"/>
      <c r="BV394" s="53" t="n"/>
      <c r="BW394" s="53" t="n"/>
      <c r="BX394" s="53" t="n"/>
      <c r="BY394" s="53" t="n"/>
      <c r="BZ394" s="53" t="n"/>
      <c r="CA394" s="53" t="n"/>
      <c r="CB394" s="53" t="n"/>
      <c r="CC394" s="53" t="n"/>
      <c r="CD394" s="53" t="n"/>
      <c r="CE394" s="53" t="n"/>
      <c r="CF394" s="53" t="n"/>
      <c r="CG394" s="53" t="n"/>
      <c r="CH394" s="53" t="n"/>
      <c r="CI394" s="53" t="n"/>
      <c r="CJ394" s="53" t="n"/>
      <c r="CK394" s="53" t="n"/>
      <c r="CL394" s="53" t="n"/>
      <c r="CM394" s="53" t="n"/>
      <c r="CN394" s="53" t="n"/>
      <c r="CO394" s="53" t="n"/>
      <c r="CP394" s="53" t="n"/>
      <c r="CQ394" s="53" t="n"/>
      <c r="CR394" s="53" t="n"/>
      <c r="CS394" s="53" t="n"/>
      <c r="CT394" s="53" t="n"/>
      <c r="CU394" s="53" t="n"/>
      <c r="CV394" s="53" t="n"/>
      <c r="CW394" s="53" t="n"/>
      <c r="CX394" s="53" t="n"/>
      <c r="CY394" s="53" t="n"/>
      <c r="CZ394" s="53" t="n"/>
      <c r="DA394" s="53" t="n"/>
      <c r="DB394" s="53" t="n"/>
      <c r="DC394" s="53" t="n"/>
      <c r="DD394" s="53" t="inlineStr">
        <is>
          <t>IRIS1901</t>
        </is>
      </c>
      <c r="DE394" s="53" t="inlineStr">
        <is>
          <t>Employee</t>
        </is>
      </c>
      <c r="DF394" s="53" t="inlineStr">
        <is>
          <t>Active</t>
        </is>
      </c>
      <c r="DG394" s="53" t="inlineStr">
        <is>
          <t>Sharad Mane</t>
        </is>
      </c>
      <c r="DH394" s="54" t="n">
        <v>44259</v>
      </c>
      <c r="DI394" s="53" t="inlineStr">
        <is>
          <t>Senior Software Engineer</t>
        </is>
      </c>
      <c r="DJ394" s="53" t="inlineStr">
        <is>
          <t>Engineering &amp; Development</t>
        </is>
      </c>
      <c r="DK394" s="53" t="inlineStr">
        <is>
          <t>Backend Engineering ·.NET</t>
        </is>
      </c>
      <c r="DL394" s="53" t="inlineStr">
        <is>
          <t>Senior Software Engineer</t>
        </is>
      </c>
      <c r="DM394" s="53" t="inlineStr">
        <is>
          <t>L4 – Senior</t>
        </is>
      </c>
      <c r="DN394" s="53" t="inlineStr">
        <is>
          <t>B.E</t>
        </is>
      </c>
      <c r="DO394" s="53" t="inlineStr">
        <is>
          <t>Zakiruddin Shaikh</t>
        </is>
      </c>
      <c r="DP394" s="53" t="inlineStr">
        <is>
          <t>N-4</t>
        </is>
      </c>
      <c r="DQ394" s="53" t="inlineStr">
        <is>
          <t>Individual Contributor</t>
        </is>
      </c>
      <c r="DR394" s="53" t="inlineStr">
        <is>
          <t>5 years, 9 months, 0 days</t>
        </is>
      </c>
      <c r="DS394" s="53" t="inlineStr">
        <is>
          <t>5 years, 3 months, 16 days</t>
        </is>
      </c>
      <c r="DT394" s="53" t="inlineStr">
        <is>
          <t>11 years, 0 months, 16 days</t>
        </is>
      </c>
      <c r="DU394" s="53" t="n"/>
      <c r="DV394" s="53" t="inlineStr">
        <is>
          <t>Consume</t>
        </is>
      </c>
      <c r="DW394" s="53" t="inlineStr">
        <is>
          <t>Consume</t>
        </is>
      </c>
      <c r="DX394" s="53" t="inlineStr">
        <is>
          <t>Technology</t>
        </is>
      </c>
      <c r="DY394" s="53" t="inlineStr">
        <is>
          <t>Development</t>
        </is>
      </c>
      <c r="DZ394" s="53" t="inlineStr">
        <is>
          <t>Yes</t>
        </is>
      </c>
      <c r="EA394" s="53" t="inlineStr">
        <is>
          <t>Product/Project</t>
        </is>
      </c>
      <c r="EB394" s="53" t="inlineStr">
        <is>
          <t>.NET MVC</t>
        </is>
      </c>
      <c r="EC394" s="53" t="inlineStr">
        <is>
          <t>Technical - Developer</t>
        </is>
      </c>
      <c r="ED394" s="53" t="inlineStr">
        <is>
          <t>Client Side</t>
        </is>
      </c>
      <c r="EE394" s="53" t="n"/>
      <c r="EF39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4" s="53"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EH394" s="53" t="n">
        <v>4</v>
      </c>
      <c r="EI394" s="53" t="n"/>
      <c r="EJ394" s="53" t="inlineStr">
        <is>
          <t>Senior Software Engineer</t>
        </is>
      </c>
      <c r="EK394" s="53" t="n"/>
      <c r="EL394" s="53" t="n">
        <v>4</v>
      </c>
      <c r="EM394" s="53" t="inlineStr">
        <is>
          <t>High</t>
        </is>
      </c>
      <c r="EN394" s="53" t="inlineStr">
        <is>
          <t>Core Contributor</t>
        </is>
      </c>
      <c r="EO394" s="53" t="inlineStr">
        <is>
          <t>Yes</t>
        </is>
      </c>
      <c r="EP394" s="53" t="inlineStr">
        <is>
          <t>Yes</t>
        </is>
      </c>
      <c r="EQ394" s="53" t="n"/>
      <c r="ER394" s="53" t="n"/>
      <c r="ES394" s="53" t="inlineStr">
        <is>
          <t>Advanced .NET MVC; secure coding &amp; code-quality practices; unit/automated testing; system design fundamentals</t>
        </is>
      </c>
      <c r="ET394" s="53" t="inlineStr">
        <is>
          <t>Transition to leadership: people management &amp; delegation, mentoring/coaching, project ownership &amp; stakeholder management, prioritisation under ambiguity, presentation &amp; influence skills</t>
        </is>
      </c>
      <c r="EU394" s="53" t="n"/>
      <c r="EV394" s="53" t="n"/>
      <c r="EW394" s="52" t="n"/>
      <c r="EX394" s="53" t="n"/>
      <c r="EY394" s="53" t="n"/>
      <c r="EZ394" s="53" t="n"/>
      <c r="FA394" s="53" t="n"/>
      <c r="FB394" s="53" t="n"/>
      <c r="FC394" s="53" t="n"/>
      <c r="FD394" s="53" t="n"/>
      <c r="FE39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4" s="56"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FG394" s="56" t="n"/>
      <c r="FH394" s="56" t="inlineStr">
        <is>
          <t>4</t>
        </is>
      </c>
      <c r="FI394" s="56" t="n"/>
      <c r="FJ394" s="56" t="inlineStr">
        <is>
          <t>Received · manager annual, quarterly</t>
        </is>
      </c>
      <c r="FK394" s="56" t="inlineStr">
        <is>
          <t>Talent Mapping · iFile collated</t>
        </is>
      </c>
      <c r="FL394" s="56" t="n">
        <v>20</v>
      </c>
      <c r="FM394" s="32" t="inlineStr">
        <is>
          <t>Full survey answers not in the files received · How We Grow export needed · HR</t>
        </is>
      </c>
      <c r="FN394" s="56" t="inlineStr">
        <is>
          <t>—</t>
        </is>
      </c>
      <c r="FO394" s="56" t="inlineStr">
        <is>
          <t>—</t>
        </is>
      </c>
      <c r="FP394" s="56" t="inlineStr">
        <is>
          <t>—</t>
        </is>
      </c>
      <c r="FQ394" s="56" t="inlineStr">
        <is>
          <t>—</t>
        </is>
      </c>
      <c r="FR394" s="56"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production deployment on a critical RBI application → matches the start
Leadership: Evidence reads like A1: None described → moved down 0.5
Business Impact: No survey or manager-mapping signal on criticality: kept at the start point.</t>
        </is>
      </c>
      <c r="FS394"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394" s="56" t="inlineStr">
        <is>
          <t>Self-identified: Leadership &amp; people management · Technical depth &amp; architecture · Client, sales &amp; stakeholders · Broader exposure &amp; ownership
For the next role: Leadership &amp; people management · Technical depth &amp; architecture · Client, sales &amp; stakeholders · Communication &amp; presentation · Certification / formal course · Broader exposure &amp; ownership</t>
        </is>
      </c>
      <c r="FU394" s="32" t="inlineStr">
        <is>
          <t>Full survey answers not in the files received · How We Grow export needed · HR</t>
        </is>
      </c>
    </row>
    <row r="395" ht="90" customHeight="1">
      <c r="A395" s="51" t="inlineStr">
        <is>
          <t>◂ Back</t>
        </is>
      </c>
      <c r="B395" s="29" t="inlineStr">
        <is>
          <t>Mapped</t>
        </is>
      </c>
      <c r="C395" s="28" t="inlineStr">
        <is>
          <t>iFile</t>
        </is>
      </c>
      <c r="D395" s="29" t="inlineStr">
        <is>
          <t>IRIS1590</t>
        </is>
      </c>
      <c r="E395" s="29" t="inlineStr">
        <is>
          <t>Nivedita Wagh</t>
        </is>
      </c>
      <c r="F395" s="29" t="inlineStr">
        <is>
          <t>Technology</t>
        </is>
      </c>
      <c r="G395" s="29" t="inlineStr">
        <is>
          <t>Project Lead</t>
        </is>
      </c>
      <c r="H395" s="29" t="inlineStr">
        <is>
          <t>Project Manager – POD Lead</t>
        </is>
      </c>
      <c r="I395" s="29" t="inlineStr">
        <is>
          <t>L5 – Lead · IC</t>
        </is>
      </c>
      <c r="J395" s="29" t="inlineStr">
        <is>
          <t>B1</t>
        </is>
      </c>
      <c r="K395" s="29" t="inlineStr">
        <is>
          <t>▼ Down · protected</t>
        </is>
      </c>
      <c r="L395" s="29" t="inlineStr">
        <is>
          <t>Project &amp; Program Management</t>
        </is>
      </c>
      <c r="M395" s="29" t="inlineStr">
        <is>
          <t>Project &amp; Program Delivery</t>
        </is>
      </c>
      <c r="N395" s="29" t="n"/>
      <c r="O395" s="29" t="n">
        <v>20</v>
      </c>
      <c r="P395" s="28" t="inlineStr">
        <is>
          <t>P3 / M2</t>
        </is>
      </c>
      <c r="Q395" s="29" t="inlineStr">
        <is>
          <t>Career / · Team Lead</t>
        </is>
      </c>
      <c r="R395" s="29" t="inlineStr">
        <is>
          <t>4 Enable</t>
        </is>
      </c>
      <c r="S395" s="29" t="inlineStr">
        <is>
          <t>4–7 yrs</t>
        </is>
      </c>
      <c r="T395" s="29" t="inlineStr">
        <is>
          <t>5–8 · 4–8</t>
        </is>
      </c>
      <c r="U395" s="29" t="inlineStr">
        <is>
          <t>Senior Project / Program Manager</t>
        </is>
      </c>
      <c r="V395" s="29" t="inlineStr">
        <is>
          <t>IRIS Vs Competitor Benchmark — PMI pathway + SaaS delivery ladder: Project Manager · PMP</t>
        </is>
      </c>
      <c r="W395" s="29" t="inlineStr">
        <is>
          <t>PMI PMBOK and Talent Triangle; CAPM · entry → PMP → PgMP; Scrum / SAFe</t>
        </is>
      </c>
      <c r="X395" s="29" t="inlineStr">
        <is>
          <t>Core 3 · Future 3 · Functional 3 · Leadership 2</t>
        </is>
      </c>
      <c r="Y395" s="52" t="n">
        <v>129</v>
      </c>
      <c r="Z395" s="53" t="inlineStr">
        <is>
          <t>IRIS1590</t>
        </is>
      </c>
      <c r="AA395" s="53" t="inlineStr">
        <is>
          <t>Employee</t>
        </is>
      </c>
      <c r="AB395" s="53" t="inlineStr">
        <is>
          <t>Active</t>
        </is>
      </c>
      <c r="AC395" s="53" t="inlineStr">
        <is>
          <t>Nivedita Wagh</t>
        </is>
      </c>
      <c r="AD395" s="54" t="n">
        <v>42598</v>
      </c>
      <c r="AE395" s="53" t="inlineStr">
        <is>
          <t>Project Lead</t>
        </is>
      </c>
      <c r="AF395" s="53" t="inlineStr">
        <is>
          <t>B.E</t>
        </is>
      </c>
      <c r="AG395" s="53" t="inlineStr">
        <is>
          <t>Pradip Dey</t>
        </is>
      </c>
      <c r="AH395" s="53" t="inlineStr">
        <is>
          <t>N-3</t>
        </is>
      </c>
      <c r="AI395" s="53" t="inlineStr">
        <is>
          <t>Manager</t>
        </is>
      </c>
      <c r="AJ395" s="53" t="inlineStr">
        <is>
          <t>2 years, 0 months, 0 days</t>
        </is>
      </c>
      <c r="AK395" s="53" t="inlineStr">
        <is>
          <t>10 years, 0 months, 9 days</t>
        </is>
      </c>
      <c r="AL395" s="53" t="inlineStr">
        <is>
          <t>Suptech</t>
        </is>
      </c>
      <c r="AM395" s="53" t="inlineStr">
        <is>
          <t>iFile</t>
        </is>
      </c>
      <c r="AN395" s="53" t="inlineStr">
        <is>
          <t>Technology</t>
        </is>
      </c>
      <c r="AO395" s="53" t="inlineStr">
        <is>
          <t>Project Management</t>
        </is>
      </c>
      <c r="AP395" s="53" t="inlineStr">
        <is>
          <t>No</t>
        </is>
      </c>
      <c r="AQ395" s="53" t="inlineStr">
        <is>
          <t>Product/Project</t>
        </is>
      </c>
      <c r="AR395" s="53" t="inlineStr">
        <is>
          <t>Project Management</t>
        </is>
      </c>
      <c r="AS395" s="53" t="inlineStr">
        <is>
          <t>Technical · BA, PM and QA</t>
        </is>
      </c>
      <c r="AT395" s="53" t="n">
        <v>20</v>
      </c>
      <c r="AU395" s="53" t="inlineStr">
        <is>
          <t>Covered</t>
        </is>
      </c>
      <c r="AV395" s="53" t="n"/>
      <c r="AW395" s="53" t="n"/>
      <c r="AX395" s="53" t="n"/>
      <c r="AY395" s="53" t="n"/>
      <c r="AZ395" s="53" t="n"/>
      <c r="BA395" s="53" t="n"/>
      <c r="BB395" s="53" t="n"/>
      <c r="BC395" s="53" t="n"/>
      <c r="BD395" s="53" t="n"/>
      <c r="BE395" s="53" t="n"/>
      <c r="BF395" s="53" t="n"/>
      <c r="BG395" s="53" t="n"/>
      <c r="BH395" s="53" t="n"/>
      <c r="BI395" s="53" t="n"/>
      <c r="BJ395" s="53" t="n"/>
      <c r="BK395" s="53" t="n"/>
      <c r="BL395" s="53" t="n"/>
      <c r="BM395" s="53" t="n"/>
      <c r="BN395" s="53" t="n"/>
      <c r="BO395" s="53" t="n"/>
      <c r="BP395" s="53" t="n"/>
      <c r="BQ395" s="53" t="n"/>
      <c r="BR395" s="53" t="n"/>
      <c r="BS395" s="53" t="n"/>
      <c r="BT395" s="53" t="n"/>
      <c r="BU395" s="53" t="n"/>
      <c r="BV395" s="53" t="n"/>
      <c r="BW395" s="53" t="n"/>
      <c r="BX395" s="53" t="n"/>
      <c r="BY395" s="53" t="n"/>
      <c r="BZ395" s="53" t="n"/>
      <c r="CA395" s="53" t="n"/>
      <c r="CB395" s="53" t="n"/>
      <c r="CC395" s="53" t="n"/>
      <c r="CD395" s="53" t="n"/>
      <c r="CE395" s="53" t="n"/>
      <c r="CF395" s="53" t="n"/>
      <c r="CG395" s="53" t="n"/>
      <c r="CH395" s="53" t="n"/>
      <c r="CI395" s="53" t="n"/>
      <c r="CJ395" s="53" t="n"/>
      <c r="CK395" s="53" t="n"/>
      <c r="CL395" s="53" t="n"/>
      <c r="CM395" s="53" t="n"/>
      <c r="CN395" s="53" t="n"/>
      <c r="CO395" s="53" t="n"/>
      <c r="CP395" s="53" t="n"/>
      <c r="CQ395" s="53" t="n"/>
      <c r="CR395" s="53" t="n"/>
      <c r="CS395" s="53" t="n"/>
      <c r="CT395" s="53" t="n"/>
      <c r="CU395" s="53" t="n"/>
      <c r="CV395" s="53" t="n"/>
      <c r="CW395" s="53" t="n"/>
      <c r="CX395" s="53" t="n"/>
      <c r="CY395" s="53" t="n"/>
      <c r="CZ395" s="53" t="n"/>
      <c r="DA395" s="53" t="n"/>
      <c r="DB395" s="53" t="n"/>
      <c r="DC395" s="53" t="n"/>
      <c r="DD395" s="53" t="inlineStr">
        <is>
          <t>IRIS1590</t>
        </is>
      </c>
      <c r="DE395" s="53" t="inlineStr">
        <is>
          <t>Employee</t>
        </is>
      </c>
      <c r="DF395" s="53" t="inlineStr">
        <is>
          <t>Active</t>
        </is>
      </c>
      <c r="DG395" s="53" t="inlineStr">
        <is>
          <t>Nivedita Wagh</t>
        </is>
      </c>
      <c r="DH395" s="54" t="n">
        <v>42598</v>
      </c>
      <c r="DI395" s="53" t="inlineStr">
        <is>
          <t>Project Lead</t>
        </is>
      </c>
      <c r="DJ395" s="53" t="inlineStr">
        <is>
          <t>Project &amp; Program Management</t>
        </is>
      </c>
      <c r="DK395" s="53" t="inlineStr">
        <is>
          <t>Project Management</t>
        </is>
      </c>
      <c r="DL395" s="53" t="inlineStr">
        <is>
          <t>Project Lead</t>
        </is>
      </c>
      <c r="DM395" s="53" t="inlineStr">
        <is>
          <t>L5 – Lead · IC</t>
        </is>
      </c>
      <c r="DN395" s="53" t="inlineStr">
        <is>
          <t>B.E</t>
        </is>
      </c>
      <c r="DO395" s="53" t="inlineStr">
        <is>
          <t>Pradip Dey</t>
        </is>
      </c>
      <c r="DP395" s="53" t="inlineStr">
        <is>
          <t>N-2</t>
        </is>
      </c>
      <c r="DQ395" s="53" t="inlineStr">
        <is>
          <t>Manager</t>
        </is>
      </c>
      <c r="DR395" s="53" t="inlineStr">
        <is>
          <t>2 years, 0 months, 0 days</t>
        </is>
      </c>
      <c r="DS395" s="53" t="inlineStr">
        <is>
          <t>9 years, 10 months, 4 days</t>
        </is>
      </c>
      <c r="DT395" s="53" t="inlineStr">
        <is>
          <t>11 years, 10 months, 4 days</t>
        </is>
      </c>
      <c r="DU395" s="53" t="n">
        <v>9.84429223744292</v>
      </c>
      <c r="DV395" s="53" t="inlineStr">
        <is>
          <t>Suptech</t>
        </is>
      </c>
      <c r="DW395" s="53" t="inlineStr">
        <is>
          <t>iFile</t>
        </is>
      </c>
      <c r="DX395" s="53" t="inlineStr">
        <is>
          <t>Technology</t>
        </is>
      </c>
      <c r="DY395" s="53" t="inlineStr">
        <is>
          <t>Project Management</t>
        </is>
      </c>
      <c r="DZ395" s="53" t="inlineStr">
        <is>
          <t>No</t>
        </is>
      </c>
      <c r="EA395" s="53" t="inlineStr">
        <is>
          <t>Product/Project</t>
        </is>
      </c>
      <c r="EB395" s="53" t="inlineStr">
        <is>
          <t>Project Management</t>
        </is>
      </c>
      <c r="EC395" s="53" t="inlineStr">
        <is>
          <t>Technical · BA, PM and QA</t>
        </is>
      </c>
      <c r="ED395" s="53" t="inlineStr">
        <is>
          <t>Hybrid</t>
        </is>
      </c>
      <c r="EE395" s="53" t="n"/>
      <c r="EF395" s="53"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G395" s="53" t="inlineStr">
        <is>
          <t>Saudi Stock Exchnage project mgmt as per scope, schedule and cost
Operational support for the accounts - BOM
Process improvements
PMP completion
Digital way of working and measurement of metrics through the tools for the entire team</t>
        </is>
      </c>
      <c r="EH395" s="53" t="inlineStr">
        <is>
          <t>Meets Expectations</t>
        </is>
      </c>
      <c r="EI395" s="54" t="n">
        <v>45931</v>
      </c>
      <c r="EJ395" s="53" t="inlineStr">
        <is>
          <t>Project Lead</t>
        </is>
      </c>
      <c r="EK395" s="53" t="n"/>
      <c r="EL395" s="53" t="n">
        <v>3</v>
      </c>
      <c r="EM395" s="53" t="inlineStr">
        <is>
          <t>Medium</t>
        </is>
      </c>
      <c r="EN395" s="53" t="inlineStr">
        <is>
          <t>Reliable Specialist</t>
        </is>
      </c>
      <c r="EO395" s="53" t="n"/>
      <c r="EP395" s="53" t="inlineStr">
        <is>
          <t>N</t>
        </is>
      </c>
      <c r="EQ395" s="53" t="inlineStr">
        <is>
          <t>N</t>
        </is>
      </c>
      <c r="ER395" s="53" t="n"/>
      <c r="ES395" s="53" t="inlineStr">
        <is>
          <t>PMP, SupTech Domain, Agile Scrum</t>
        </is>
      </c>
      <c r="ET395" s="53" t="n"/>
      <c r="EU395" s="53" t="inlineStr">
        <is>
          <t>RMA,PFRDA</t>
        </is>
      </c>
      <c r="EV395" s="53" t="n"/>
      <c r="EW395" s="52" t="n"/>
      <c r="EX395" s="53" t="n"/>
      <c r="EY395" s="53" t="n"/>
      <c r="EZ395" s="53" t="n"/>
      <c r="FA395" s="53" t="n"/>
      <c r="FB395" s="53" t="n"/>
      <c r="FC395" s="53" t="n"/>
      <c r="FD395" s="53" t="n"/>
      <c r="FE395" s="57"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FF395" s="56" t="inlineStr">
        <is>
          <t>Saudi Stock Exchnage project mgmt as per scope, schedule and cost
Operational support for the accounts - BOM
Process improvements
PMP completion
Digital way of working and measurement of metrics through the tools for the entire team</t>
        </is>
      </c>
      <c r="FG395" s="56" t="n"/>
      <c r="FH395" s="56" t="inlineStr">
        <is>
          <t>Meets Expectations</t>
        </is>
      </c>
      <c r="FI395" s="56" t="n"/>
      <c r="FJ395" s="56" t="inlineStr">
        <is>
          <t>Received · manager annual, quarterly</t>
        </is>
      </c>
      <c r="FK395" s="56" t="inlineStr">
        <is>
          <t>Talent Mapping · iFile collated</t>
        </is>
      </c>
      <c r="FL395" s="56" t="n">
        <v>20</v>
      </c>
      <c r="FM395" s="32" t="inlineStr">
        <is>
          <t>Full survey answers not in the files received · How We Grow export needed · HR</t>
        </is>
      </c>
      <c r="FN395" s="56" t="inlineStr">
        <is>
          <t>—</t>
        </is>
      </c>
      <c r="FO395" s="56" t="inlineStr">
        <is>
          <t>—</t>
        </is>
      </c>
      <c r="FP395" s="56" t="inlineStr">
        <is>
          <t>—</t>
        </is>
      </c>
      <c r="FQ395" s="56" t="inlineStr">
        <is>
          <t>—</t>
        </is>
      </c>
      <c r="FR395" s="56"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timelines → moved up 0.5
Leadership: Evidence reads like B1: Allocates tasks and plans resources; 2 direct reports → matches the start
Business Impact: No move: the survey / manager mapping does not mark it business-critical or unique.</t>
        </is>
      </c>
      <c r="FS395"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95" s="56" t="inlineStr">
        <is>
          <t>Self-identified: AI / automation · Project / programme management · Certification / formal course
For the next role: AI / automation · Project / programme management · Certification / formal course</t>
        </is>
      </c>
      <c r="FU395" s="32" t="inlineStr">
        <is>
          <t>Full survey answers not in the files received · How We Grow export needed · HR</t>
        </is>
      </c>
    </row>
    <row r="396" ht="90" customHeight="1">
      <c r="A396" s="51" t="inlineStr">
        <is>
          <t>◂ Back</t>
        </is>
      </c>
      <c r="B396" s="29" t="inlineStr">
        <is>
          <t>Mapped</t>
        </is>
      </c>
      <c r="C396" s="28" t="inlineStr">
        <is>
          <t>iFile</t>
        </is>
      </c>
      <c r="D396" s="29" t="inlineStr">
        <is>
          <t>IRIS1873</t>
        </is>
      </c>
      <c r="E396" s="29" t="inlineStr">
        <is>
          <t>Sayed Ibrahim</t>
        </is>
      </c>
      <c r="F396" s="29" t="inlineStr">
        <is>
          <t>Support</t>
        </is>
      </c>
      <c r="G396" s="29" t="inlineStr">
        <is>
          <t>Analyst</t>
        </is>
      </c>
      <c r="H396" s="29" t="inlineStr">
        <is>
          <t>Senior Support Executive</t>
        </is>
      </c>
      <c r="I396" s="29" t="inlineStr">
        <is>
          <t>L3 – Professional / Associate</t>
        </is>
      </c>
      <c r="J396" s="29" t="inlineStr">
        <is>
          <t>A3</t>
        </is>
      </c>
      <c r="K396" s="29" t="inlineStr">
        <is>
          <t>▲ Up</t>
        </is>
      </c>
      <c r="L396" s="29" t="inlineStr">
        <is>
          <t>Customer Success &amp; Support</t>
        </is>
      </c>
      <c r="M396" s="29" t="inlineStr">
        <is>
          <t>Application &amp; Product Support</t>
        </is>
      </c>
      <c r="N396" s="29" t="n"/>
      <c r="O396" s="29" t="n">
        <v>20</v>
      </c>
      <c r="P396" s="28" t="inlineStr">
        <is>
          <t>P2</t>
        </is>
      </c>
      <c r="Q396" s="29" t="inlineStr">
        <is>
          <t>Developing</t>
        </is>
      </c>
      <c r="R396" s="29" t="inlineStr">
        <is>
          <t>3 Apply</t>
        </is>
      </c>
      <c r="S396" s="29" t="inlineStr">
        <is>
          <t>2–4 yrs</t>
        </is>
      </c>
      <c r="T396" s="29" t="inlineStr">
        <is>
          <t>3–5 · 2–5</t>
        </is>
      </c>
      <c r="U396" s="29" t="inlineStr">
        <is>
          <t>Support / CS Executive</t>
        </is>
      </c>
      <c r="V396" s="29" t="inlineStr">
        <is>
          <t>IRIS Vs Competitor Benchmark — SaaS customer-success ladder: Associate CSM · Regnology: Product Support Specialist · Reg Reporting · IRIS Vs Competitor Benchmark — support tiers: L2 Application Support</t>
        </is>
      </c>
      <c r="W396" s="29" t="inlineStr">
        <is>
          <t>TSIA frameworks and benchmarks; ITIL 4 service desk; Gainsight customer-success practice</t>
        </is>
      </c>
      <c r="X396" s="29" t="inlineStr">
        <is>
          <t>Core 2 · Future 2 · Functional 3 · Leadership not scored</t>
        </is>
      </c>
      <c r="Y396" s="52" t="n">
        <v>171</v>
      </c>
      <c r="Z396" s="53" t="inlineStr">
        <is>
          <t>IRIS1873</t>
        </is>
      </c>
      <c r="AA396" s="53" t="inlineStr">
        <is>
          <t>Employee</t>
        </is>
      </c>
      <c r="AB396" s="53" t="inlineStr">
        <is>
          <t>Active</t>
        </is>
      </c>
      <c r="AC396" s="53" t="inlineStr">
        <is>
          <t>Sayed Ibrahim</t>
        </is>
      </c>
      <c r="AD396" s="54" t="n">
        <v>44105</v>
      </c>
      <c r="AE396" s="53" t="inlineStr">
        <is>
          <t>Analyst</t>
        </is>
      </c>
      <c r="AF396" s="53" t="inlineStr">
        <is>
          <t>MBA</t>
        </is>
      </c>
      <c r="AG396" s="53" t="inlineStr">
        <is>
          <t>Nivedita Wagh</t>
        </is>
      </c>
      <c r="AH396" s="53" t="inlineStr">
        <is>
          <t>N-4</t>
        </is>
      </c>
      <c r="AI396" s="53" t="inlineStr">
        <is>
          <t>Individual Contributor</t>
        </is>
      </c>
      <c r="AJ396" s="53" t="inlineStr">
        <is>
          <t>4 years, 11 months, 0 days</t>
        </is>
      </c>
      <c r="AK396" s="53" t="inlineStr">
        <is>
          <t>5 years, 10 months, 24 days</t>
        </is>
      </c>
      <c r="AL396" s="53" t="inlineStr">
        <is>
          <t>Suptech</t>
        </is>
      </c>
      <c r="AM396" s="53" t="inlineStr">
        <is>
          <t>iFile</t>
        </is>
      </c>
      <c r="AN396" s="53" t="inlineStr">
        <is>
          <t>Support</t>
        </is>
      </c>
      <c r="AO396" s="53" t="inlineStr">
        <is>
          <t>Product Support</t>
        </is>
      </c>
      <c r="AP396" s="53" t="inlineStr">
        <is>
          <t>Yes</t>
        </is>
      </c>
      <c r="AQ396" s="53" t="inlineStr">
        <is>
          <t>Product/Project</t>
        </is>
      </c>
      <c r="AR396" s="53" t="inlineStr">
        <is>
          <t>Tech Support</t>
        </is>
      </c>
      <c r="AS396" s="53" t="inlineStr">
        <is>
          <t>Non-technical</t>
        </is>
      </c>
      <c r="AT396" s="53" t="n">
        <v>20</v>
      </c>
      <c r="AU396" s="53" t="inlineStr">
        <is>
          <t>Covered</t>
        </is>
      </c>
      <c r="AV396" s="53" t="n"/>
      <c r="AW396" s="53" t="n"/>
      <c r="AX396" s="53" t="n"/>
      <c r="AY396" s="53" t="n"/>
      <c r="AZ396" s="53" t="n"/>
      <c r="BA396" s="53" t="n"/>
      <c r="BB396" s="53" t="n"/>
      <c r="BC396" s="53" t="n"/>
      <c r="BD396" s="53" t="n"/>
      <c r="BE396" s="53" t="n"/>
      <c r="BF396" s="53" t="n"/>
      <c r="BG396" s="53" t="n"/>
      <c r="BH396" s="53" t="n"/>
      <c r="BI396" s="53" t="n"/>
      <c r="BJ396" s="53" t="n"/>
      <c r="BK396" s="53" t="n"/>
      <c r="BL396" s="53" t="n"/>
      <c r="BM396" s="53" t="n"/>
      <c r="BN396" s="53" t="n"/>
      <c r="BO396" s="53" t="n"/>
      <c r="BP396" s="53" t="n"/>
      <c r="BQ396" s="53" t="n"/>
      <c r="BR396" s="53" t="n"/>
      <c r="BS396" s="53" t="n"/>
      <c r="BT396" s="53" t="n"/>
      <c r="BU396" s="53" t="n"/>
      <c r="BV396" s="53" t="n"/>
      <c r="BW396" s="53" t="n"/>
      <c r="BX396" s="53" t="n"/>
      <c r="BY396" s="53" t="n"/>
      <c r="BZ396" s="53" t="n"/>
      <c r="CA396" s="53" t="n"/>
      <c r="CB396" s="53" t="n"/>
      <c r="CC396" s="53" t="n"/>
      <c r="CD396" s="53" t="n"/>
      <c r="CE396" s="53" t="n"/>
      <c r="CF396" s="53" t="n"/>
      <c r="CG396" s="53" t="n"/>
      <c r="CH396" s="53" t="n"/>
      <c r="CI396" s="53" t="n"/>
      <c r="CJ396" s="53" t="n"/>
      <c r="CK396" s="53" t="n"/>
      <c r="CL396" s="53" t="n"/>
      <c r="CM396" s="53" t="n"/>
      <c r="CN396" s="53" t="n"/>
      <c r="CO396" s="53" t="n"/>
      <c r="CP396" s="53" t="n"/>
      <c r="CQ396" s="53" t="n"/>
      <c r="CR396" s="53" t="n"/>
      <c r="CS396" s="53" t="n"/>
      <c r="CT396" s="53" t="n"/>
      <c r="CU396" s="53" t="n"/>
      <c r="CV396" s="53" t="n"/>
      <c r="CW396" s="53" t="n"/>
      <c r="CX396" s="53" t="n"/>
      <c r="CY396" s="53" t="n"/>
      <c r="CZ396" s="53" t="n"/>
      <c r="DA396" s="53" t="n"/>
      <c r="DB396" s="53" t="n"/>
      <c r="DC396" s="53" t="n"/>
      <c r="DD396" s="53" t="inlineStr">
        <is>
          <t>IRIS1873</t>
        </is>
      </c>
      <c r="DE396" s="53" t="inlineStr">
        <is>
          <t>Employee</t>
        </is>
      </c>
      <c r="DF396" s="53" t="inlineStr">
        <is>
          <t>Active</t>
        </is>
      </c>
      <c r="DG396" s="53" t="inlineStr">
        <is>
          <t>Sayed Ibrahim</t>
        </is>
      </c>
      <c r="DH396" s="54" t="n">
        <v>44105</v>
      </c>
      <c r="DI396" s="53" t="inlineStr">
        <is>
          <t>Analyst</t>
        </is>
      </c>
      <c r="DJ396" s="53" t="inlineStr">
        <is>
          <t>Customer Success &amp; Support</t>
        </is>
      </c>
      <c r="DK396" s="53" t="inlineStr">
        <is>
          <t>Technical Support</t>
        </is>
      </c>
      <c r="DL396" s="53" t="inlineStr">
        <is>
          <t>Analyst</t>
        </is>
      </c>
      <c r="DM396" s="53" t="inlineStr">
        <is>
          <t>L3 – Professional / Associate</t>
        </is>
      </c>
      <c r="DN396" s="53" t="inlineStr">
        <is>
          <t>MBA</t>
        </is>
      </c>
      <c r="DO396" s="53" t="inlineStr">
        <is>
          <t>Nivedita Wagh</t>
        </is>
      </c>
      <c r="DP396" s="53" t="inlineStr">
        <is>
          <t>N-3</t>
        </is>
      </c>
      <c r="DQ396" s="53" t="inlineStr">
        <is>
          <t>Individual Contributor</t>
        </is>
      </c>
      <c r="DR396" s="53" t="inlineStr">
        <is>
          <t>4 years, 11 months, 0 days</t>
        </is>
      </c>
      <c r="DS396" s="53" t="inlineStr">
        <is>
          <t>5 years, 8 months, 19 days</t>
        </is>
      </c>
      <c r="DT396" s="53" t="inlineStr">
        <is>
          <t>10 years, 7 months, 19 days</t>
        </is>
      </c>
      <c r="DU396" s="53" t="n"/>
      <c r="DV396" s="53" t="inlineStr">
        <is>
          <t>Suptech</t>
        </is>
      </c>
      <c r="DW396" s="53" t="inlineStr">
        <is>
          <t>iFile</t>
        </is>
      </c>
      <c r="DX396" s="53" t="inlineStr">
        <is>
          <t>Support</t>
        </is>
      </c>
      <c r="DY396" s="53" t="inlineStr">
        <is>
          <t>Product Support</t>
        </is>
      </c>
      <c r="DZ396" s="53" t="inlineStr">
        <is>
          <t>Yes</t>
        </is>
      </c>
      <c r="EA396" s="53" t="inlineStr">
        <is>
          <t>Product/Project</t>
        </is>
      </c>
      <c r="EB396" s="53" t="inlineStr">
        <is>
          <t>Tech Support</t>
        </is>
      </c>
      <c r="EC396" s="53" t="inlineStr">
        <is>
          <t>Non-technical</t>
        </is>
      </c>
      <c r="ED396" s="53" t="inlineStr">
        <is>
          <t>Remote- Outside Mumbai</t>
        </is>
      </c>
      <c r="EE396" s="53" t="inlineStr">
        <is>
          <t>1.To gain Domain Knowledge, 2. To complate Data Analyst Course, 3. To make process degitize, 4. To maximise use of AI, 5. To achive good communication skills.</t>
        </is>
      </c>
      <c r="EF39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96" s="53" t="inlineStr">
        <is>
          <t>Q1: Maintain client/customer satisfaction · CSAT of &gt;=4.2 / 5
Q1: Resolve &gt;=95% of assigned tickets/queries within SLA
Q1: Keep first-response time within agreed SLA on 100% of cases
Q1: Drive retention/renewal of assigned accounts to &gt;=90%</t>
        </is>
      </c>
      <c r="EH396" s="53" t="n">
        <v>3</v>
      </c>
      <c r="EI396" s="54" t="n">
        <v>45870</v>
      </c>
      <c r="EJ396" s="53" t="inlineStr">
        <is>
          <t>Financial Analyst</t>
        </is>
      </c>
      <c r="EK396" s="53" t="inlineStr">
        <is>
          <t>No</t>
        </is>
      </c>
      <c r="EL396" s="53" t="n">
        <v>3</v>
      </c>
      <c r="EM396" s="53" t="inlineStr">
        <is>
          <t>Medium</t>
        </is>
      </c>
      <c r="EN396" s="53" t="inlineStr">
        <is>
          <t>Core Contributor</t>
        </is>
      </c>
      <c r="EO396" s="53" t="inlineStr">
        <is>
          <t>No</t>
        </is>
      </c>
      <c r="EP396" s="53" t="inlineStr">
        <is>
          <t>Yes</t>
        </is>
      </c>
      <c r="EQ396" s="53" t="inlineStr">
        <is>
          <t>No</t>
        </is>
      </c>
      <c r="ER396" s="53" t="n"/>
      <c r="ES396" s="53" t="inlineStr">
        <is>
          <t>Customer success methods; communication &amp; de-escalation; product/domain depth; ticketing &amp; SLA tools</t>
        </is>
      </c>
      <c r="ET396" s="53" t="inlineStr">
        <is>
          <t>Transition to leadership: people management &amp; delegation, mentoring/coaching, project ownership &amp; stakeholder management, prioritisation under ambiguity, presentation &amp; influence skills</t>
        </is>
      </c>
      <c r="EU396" s="53" t="n"/>
      <c r="EV396" s="53" t="n"/>
      <c r="EW396" s="52" t="n"/>
      <c r="EX396" s="53" t="n"/>
      <c r="EY396" s="53" t="n"/>
      <c r="EZ396" s="53" t="n"/>
      <c r="FA396" s="53" t="n"/>
      <c r="FB396" s="53" t="n"/>
      <c r="FC396" s="53" t="n"/>
      <c r="FD396" s="53" t="n"/>
      <c r="FE39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96" s="56" t="inlineStr">
        <is>
          <t>Q1: Maintain client/customer satisfaction · CSAT of &gt;=4.2 / 5
Q1: Resolve &gt;=95% of assigned tickets/queries within SLA
Q1: Keep first-response time within agreed SLA on 100% of cases
Q1: Drive retention/renewal of assigned accounts to &gt;=90%</t>
        </is>
      </c>
      <c r="FG396" s="56" t="inlineStr">
        <is>
          <t>1.To gain Domain Knowledge, 2. To complate Data Analyst Course, 3. To make process degitize, 4. To maximise use of AI, 5. To achive good communication skills.</t>
        </is>
      </c>
      <c r="FH396" s="56" t="inlineStr">
        <is>
          <t>3</t>
        </is>
      </c>
      <c r="FI396" s="56" t="n"/>
      <c r="FJ396" s="56" t="inlineStr">
        <is>
          <t>Received · manager annual, quarterly, self</t>
        </is>
      </c>
      <c r="FK396" s="56" t="inlineStr">
        <is>
          <t>Talent Mapping · iFile collated</t>
        </is>
      </c>
      <c r="FL396" s="56" t="n">
        <v>20</v>
      </c>
      <c r="FM396" s="32" t="inlineStr">
        <is>
          <t>Full survey answers not in the files received · How We Grow export needed · HR</t>
        </is>
      </c>
      <c r="FN396" s="56" t="inlineStr">
        <is>
          <t>—</t>
        </is>
      </c>
      <c r="FO396" s="56" t="inlineStr">
        <is>
          <t>—</t>
        </is>
      </c>
      <c r="FP396" s="56" t="inlineStr">
        <is>
          <t>—</t>
        </is>
      </c>
      <c r="FQ396" s="56" t="inlineStr">
        <is>
          <t>—</t>
        </is>
      </c>
      <c r="FR396" s="56"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assignment of tickets; weekly open-ticket count report → matches the start
Leadership: Evidence reads like A1: Routes tickets to agents but no guidance or leadership described → matches the start
Business Impact: No survey or manager-mapping signal on criticality: kept at the start point.</t>
        </is>
      </c>
      <c r="FS39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96" s="56" t="inlineStr">
        <is>
          <t>Self-identified: Project / programme management · Data, SQL &amp; analytics · Broader exposure &amp; ownership
For the next role: Project / programme management · Data, SQL &amp; analytics · Broader exposure &amp; ownership</t>
        </is>
      </c>
      <c r="FU396" s="32" t="inlineStr">
        <is>
          <t>Full survey answers not in the files received · How We Grow export needed · HR</t>
        </is>
      </c>
    </row>
    <row r="397" ht="90" customHeight="1">
      <c r="A397" s="51" t="inlineStr">
        <is>
          <t>◂ Back</t>
        </is>
      </c>
      <c r="B397" s="29" t="inlineStr">
        <is>
          <t>Mapped</t>
        </is>
      </c>
      <c r="C397" s="28" t="inlineStr">
        <is>
          <t>iFile</t>
        </is>
      </c>
      <c r="D397" s="29" t="inlineStr">
        <is>
          <t>IRIS2482</t>
        </is>
      </c>
      <c r="E397" s="29" t="inlineStr">
        <is>
          <t>Aquib Shah</t>
        </is>
      </c>
      <c r="F397" s="29" t="inlineStr">
        <is>
          <t>Technology</t>
        </is>
      </c>
      <c r="G397" s="29" t="inlineStr">
        <is>
          <t>Trainee Software Engineer</t>
        </is>
      </c>
      <c r="H397" s="29" t="inlineStr">
        <is>
          <t>Software Engineer</t>
        </is>
      </c>
      <c r="I397" s="29" t="inlineStr">
        <is>
          <t>L2 – Trainee</t>
        </is>
      </c>
      <c r="J397" s="29" t="inlineStr">
        <is>
          <t>A2</t>
        </is>
      </c>
      <c r="K397" s="29" t="inlineStr">
        <is>
          <t>▲ Up</t>
        </is>
      </c>
      <c r="L397" s="29" t="inlineStr">
        <is>
          <t>Engineering &amp; Development</t>
        </is>
      </c>
      <c r="M397" s="29" t="inlineStr">
        <is>
          <t>Backend Development</t>
        </is>
      </c>
      <c r="N397" s="29" t="n"/>
      <c r="O397" s="29" t="n">
        <v>20</v>
      </c>
      <c r="P397" s="28" t="inlineStr">
        <is>
          <t>P1–P2</t>
        </is>
      </c>
      <c r="Q397" s="29" t="inlineStr">
        <is>
          <t>Entry / Developing</t>
        </is>
      </c>
      <c r="R397" s="29" t="inlineStr">
        <is>
          <t>2 Assist</t>
        </is>
      </c>
      <c r="S397" s="29" t="inlineStr">
        <is>
          <t>0–2 yrs</t>
        </is>
      </c>
      <c r="T397" s="29" t="inlineStr">
        <is>
          <t>1–3 · 0–3</t>
        </is>
      </c>
      <c r="U397" s="29" t="inlineStr">
        <is>
          <t>Associate Software Engineer / Software Engineer</t>
        </is>
      </c>
      <c r="V397" s="29" t="inlineStr">
        <is>
          <t>Workiva: Associate SE · Broadridge India: SE · Nasdaq / AxiomSL: SE · Salesforce: AMTS · Atlassian: P30 Junior · 0–2 yrs · Freshworks: SE</t>
        </is>
      </c>
      <c r="W397" s="29" t="inlineStr">
        <is>
          <t>SFIA 9 · software development, programming; OWASP secure coding; cloud vendor certifications</t>
        </is>
      </c>
      <c r="X397" s="29" t="inlineStr">
        <is>
          <t>Core 2 · Future 2 · Functional 2 · Leadership not scored</t>
        </is>
      </c>
      <c r="Y397" s="52" t="n">
        <v>456</v>
      </c>
      <c r="Z397" s="53" t="inlineStr">
        <is>
          <t>IRIS2482</t>
        </is>
      </c>
      <c r="AA397" s="53" t="inlineStr">
        <is>
          <t>Employee</t>
        </is>
      </c>
      <c r="AB397" s="53" t="inlineStr">
        <is>
          <t>Active</t>
        </is>
      </c>
      <c r="AC397" s="53" t="inlineStr">
        <is>
          <t>Aquib Shah</t>
        </is>
      </c>
      <c r="AD397" s="54" t="n">
        <v>46076</v>
      </c>
      <c r="AE397" s="53" t="inlineStr">
        <is>
          <t>Trainee Software Engineer</t>
        </is>
      </c>
      <c r="AF397" s="53" t="inlineStr">
        <is>
          <t>B.E</t>
        </is>
      </c>
      <c r="AG397" s="53" t="inlineStr">
        <is>
          <t>Nivedita Wagh</t>
        </is>
      </c>
      <c r="AH397" s="53" t="inlineStr">
        <is>
          <t>N-4</t>
        </is>
      </c>
      <c r="AI397" s="53" t="inlineStr">
        <is>
          <t>Individual Contributor</t>
        </is>
      </c>
      <c r="AJ397" s="53" t="inlineStr">
        <is>
          <t>1 years, 10 months, 0 days</t>
        </is>
      </c>
      <c r="AK397" s="53" t="inlineStr">
        <is>
          <t>0 years, 6 months, 2 days</t>
        </is>
      </c>
      <c r="AL397" s="53" t="inlineStr">
        <is>
          <t>Suptech</t>
        </is>
      </c>
      <c r="AM397" s="53" t="inlineStr">
        <is>
          <t>iFile</t>
        </is>
      </c>
      <c r="AN397" s="53" t="inlineStr">
        <is>
          <t>Technology</t>
        </is>
      </c>
      <c r="AO397" s="53" t="inlineStr">
        <is>
          <t>Development</t>
        </is>
      </c>
      <c r="AP397" s="53" t="inlineStr">
        <is>
          <t>Yes</t>
        </is>
      </c>
      <c r="AQ397" s="53" t="inlineStr">
        <is>
          <t>Product/Project</t>
        </is>
      </c>
      <c r="AR397" s="53" t="inlineStr">
        <is>
          <t>Java</t>
        </is>
      </c>
      <c r="AS397" s="53" t="inlineStr">
        <is>
          <t>Technical - Developer</t>
        </is>
      </c>
      <c r="AT397" s="53" t="n">
        <v>20</v>
      </c>
      <c r="AU397" s="53" t="inlineStr">
        <is>
          <t>Covered</t>
        </is>
      </c>
      <c r="AV397" s="53" t="n"/>
      <c r="AW397" s="53" t="n"/>
      <c r="AX397" s="53" t="n"/>
      <c r="AY397" s="53" t="n"/>
      <c r="AZ397" s="53" t="n"/>
      <c r="BA397" s="53" t="n"/>
      <c r="BB397" s="53" t="n"/>
      <c r="BC397" s="53" t="n"/>
      <c r="BD397" s="53" t="n"/>
      <c r="BE397" s="53" t="n"/>
      <c r="BF397" s="53" t="n"/>
      <c r="BG397" s="53" t="n"/>
      <c r="BH397" s="53" t="n"/>
      <c r="BI397" s="53" t="n"/>
      <c r="BJ397" s="53" t="n"/>
      <c r="BK397" s="53" t="n"/>
      <c r="BL397" s="53" t="n"/>
      <c r="BM397" s="53" t="n"/>
      <c r="BN397" s="53" t="n"/>
      <c r="BO397" s="53" t="n"/>
      <c r="BP397" s="53" t="n"/>
      <c r="BQ397" s="53" t="n"/>
      <c r="BR397" s="53" t="n"/>
      <c r="BS397" s="53" t="n"/>
      <c r="BT397" s="53" t="n"/>
      <c r="BU397" s="53" t="n"/>
      <c r="BV397" s="53" t="n"/>
      <c r="BW397" s="53" t="n"/>
      <c r="BX397" s="53" t="n"/>
      <c r="BY397" s="53" t="n"/>
      <c r="BZ397" s="53" t="n"/>
      <c r="CA397" s="53" t="n"/>
      <c r="CB397" s="53" t="n"/>
      <c r="CC397" s="53" t="n"/>
      <c r="CD397" s="53" t="n"/>
      <c r="CE397" s="53" t="n"/>
      <c r="CF397" s="53" t="n"/>
      <c r="CG397" s="53" t="n"/>
      <c r="CH397" s="53" t="n"/>
      <c r="CI397" s="53" t="n"/>
      <c r="CJ397" s="53" t="n"/>
      <c r="CK397" s="53" t="n"/>
      <c r="CL397" s="53" t="n"/>
      <c r="CM397" s="53" t="n"/>
      <c r="CN397" s="53" t="n"/>
      <c r="CO397" s="53" t="n"/>
      <c r="CP397" s="53" t="n"/>
      <c r="CQ397" s="53" t="n"/>
      <c r="CR397" s="53" t="n"/>
      <c r="CS397" s="53" t="n"/>
      <c r="CT397" s="53" t="n"/>
      <c r="CU397" s="53" t="n"/>
      <c r="CV397" s="53" t="n"/>
      <c r="CW397" s="53" t="n"/>
      <c r="CX397" s="53" t="n"/>
      <c r="CY397" s="53" t="n"/>
      <c r="CZ397" s="53" t="n"/>
      <c r="DA397" s="53" t="n"/>
      <c r="DB397" s="53" t="n"/>
      <c r="DC397" s="53" t="n"/>
      <c r="DD397" s="53" t="inlineStr">
        <is>
          <t>IRIS2482</t>
        </is>
      </c>
      <c r="DE397" s="53" t="inlineStr">
        <is>
          <t>Employee</t>
        </is>
      </c>
      <c r="DF397" s="53" t="inlineStr">
        <is>
          <t>Active</t>
        </is>
      </c>
      <c r="DG397" s="53" t="inlineStr">
        <is>
          <t>Aquib Shah</t>
        </is>
      </c>
      <c r="DH397" s="54" t="n">
        <v>46076</v>
      </c>
      <c r="DI397" s="53" t="inlineStr">
        <is>
          <t>Trainee Software Engineer</t>
        </is>
      </c>
      <c r="DJ397" s="53" t="inlineStr">
        <is>
          <t>Engineering &amp; Development</t>
        </is>
      </c>
      <c r="DK397" s="53" t="inlineStr">
        <is>
          <t>Backend Engineering · Java</t>
        </is>
      </c>
      <c r="DL397" s="53" t="inlineStr">
        <is>
          <t>Trainee Software Engineer</t>
        </is>
      </c>
      <c r="DM397" s="53" t="inlineStr">
        <is>
          <t>L2 – Trainee</t>
        </is>
      </c>
      <c r="DN397" s="53" t="inlineStr">
        <is>
          <t>B.E</t>
        </is>
      </c>
      <c r="DO397" s="53" t="inlineStr">
        <is>
          <t>Nivedita Wagh</t>
        </is>
      </c>
      <c r="DP397" s="53" t="inlineStr">
        <is>
          <t>N-3</t>
        </is>
      </c>
      <c r="DQ397" s="53" t="inlineStr">
        <is>
          <t>Individual Contributor</t>
        </is>
      </c>
      <c r="DR397" s="53" t="inlineStr">
        <is>
          <t>1 years, 10 months, 0 days</t>
        </is>
      </c>
      <c r="DS397" s="53" t="inlineStr">
        <is>
          <t>0 years, 3 months, 28 days</t>
        </is>
      </c>
      <c r="DT397" s="53" t="inlineStr">
        <is>
          <t>2 years, 1 months, 28 days</t>
        </is>
      </c>
      <c r="DU397" s="53" t="n"/>
      <c r="DV397" s="53" t="inlineStr">
        <is>
          <t>Suptech</t>
        </is>
      </c>
      <c r="DW397" s="53" t="inlineStr">
        <is>
          <t>iFile</t>
        </is>
      </c>
      <c r="DX397" s="53" t="inlineStr">
        <is>
          <t>Technology</t>
        </is>
      </c>
      <c r="DY397" s="53" t="inlineStr">
        <is>
          <t>Development</t>
        </is>
      </c>
      <c r="DZ397" s="53" t="inlineStr">
        <is>
          <t>Yes</t>
        </is>
      </c>
      <c r="EA397" s="53" t="inlineStr">
        <is>
          <t>Product/Project</t>
        </is>
      </c>
      <c r="EB397" s="53" t="inlineStr">
        <is>
          <t>Java</t>
        </is>
      </c>
      <c r="EC397" s="53" t="inlineStr">
        <is>
          <t>Technical - Developer</t>
        </is>
      </c>
      <c r="ED397" s="53" t="inlineStr">
        <is>
          <t>Work From Office - Turbhe</t>
        </is>
      </c>
      <c r="EE397" s="53" t="inlineStr">
        <is>
          <t>1.To gain Domain Knowledge, 2. To complate Data Analyst Course, 3. To make process degitize, 4. To maximise use of AI, 5. To achive good communication skills.</t>
        </is>
      </c>
      <c r="EF39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97" s="53" t="n"/>
      <c r="EI397" s="53" t="n"/>
      <c r="EJ397" s="53" t="inlineStr">
        <is>
          <t>Trainee Software Engineer</t>
        </is>
      </c>
      <c r="EK397" s="53" t="inlineStr">
        <is>
          <t>No</t>
        </is>
      </c>
      <c r="EL397" s="53" t="n">
        <v>2</v>
      </c>
      <c r="EM397" s="53" t="inlineStr">
        <is>
          <t>Medium</t>
        </is>
      </c>
      <c r="EN397" s="53" t="inlineStr">
        <is>
          <t>High Impact / Growth Talent</t>
        </is>
      </c>
      <c r="EO397" s="53" t="inlineStr">
        <is>
          <t>No</t>
        </is>
      </c>
      <c r="EP397" s="53" t="inlineStr">
        <is>
          <t>Yes</t>
        </is>
      </c>
      <c r="EQ397" s="53" t="inlineStr">
        <is>
          <t>No</t>
        </is>
      </c>
      <c r="ER397" s="53" t="n"/>
      <c r="ES397" s="53" t="inlineStr">
        <is>
          <t>Advanced Java; secure coding &amp; code-quality practices; unit/automated testing; system design fundamentals</t>
        </is>
      </c>
      <c r="ET397" s="53" t="inlineStr">
        <is>
          <t>Transition to leadership: people management &amp; delegation, mentoring/coaching, project ownership &amp; stakeholder management, prioritisation under ambiguity, presentation &amp; influence skills</t>
        </is>
      </c>
      <c r="EU397" s="53" t="n"/>
      <c r="EV397" s="53" t="n"/>
      <c r="EW397" s="52" t="n"/>
      <c r="EX397" s="53" t="n"/>
      <c r="EY397" s="53" t="n"/>
      <c r="EZ397" s="53" t="n"/>
      <c r="FA397" s="53" t="n"/>
      <c r="FB397" s="53" t="n"/>
      <c r="FC397" s="53" t="n"/>
      <c r="FD397" s="53" t="n"/>
      <c r="FE39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97" s="56" t="inlineStr">
        <is>
          <t>1.To gain Domain Knowledge, 2. To complate Data Analyst Course, 3. To make process degitize, 4. To maximise use of AI, 5. To achive good communication skills.</t>
        </is>
      </c>
      <c r="FH397" s="56" t="n"/>
      <c r="FI397" s="56" t="n"/>
      <c r="FJ397" s="56" t="inlineStr">
        <is>
          <t>Received · manager annual, quarterly, self</t>
        </is>
      </c>
      <c r="FK397" s="56" t="inlineStr">
        <is>
          <t>Talent Mapping · iFile collated</t>
        </is>
      </c>
      <c r="FL397" s="56" t="n">
        <v>20</v>
      </c>
      <c r="FM397" s="32" t="inlineStr">
        <is>
          <t>Full survey answers not in the files received · How We Grow export needed · HR</t>
        </is>
      </c>
      <c r="FN397" s="56" t="inlineStr">
        <is>
          <t>—</t>
        </is>
      </c>
      <c r="FO397" s="56" t="inlineStr">
        <is>
          <t>—</t>
        </is>
      </c>
      <c r="FP397" s="56" t="inlineStr">
        <is>
          <t>—</t>
        </is>
      </c>
      <c r="FQ397" s="56" t="inlineStr">
        <is>
          <t>—</t>
        </is>
      </c>
      <c r="FR397" s="56" t="inlineStr">
        <is>
          <t>Business Impact: No survey or manager-mapping signal on criticality: kept at the start point.</t>
        </is>
      </c>
      <c r="FS397"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397" s="56" t="inlineStr">
        <is>
          <t>Self-identified: AI / automation · Technical depth &amp; architecture · Product &amp; tool knowledge
For the next role: AI / automation · Technical depth &amp; architecture · Product &amp; tool knowledge</t>
        </is>
      </c>
      <c r="FU397" s="32" t="inlineStr">
        <is>
          <t>Full survey answers not in the files received · How We Grow export needed · HR</t>
        </is>
      </c>
    </row>
    <row r="398" ht="90" customHeight="1">
      <c r="A398" s="51" t="inlineStr">
        <is>
          <t>◂ Back</t>
        </is>
      </c>
      <c r="B398" s="29" t="inlineStr">
        <is>
          <t>Mapped</t>
        </is>
      </c>
      <c r="C398" s="28" t="inlineStr">
        <is>
          <t>iFile</t>
        </is>
      </c>
      <c r="D398" s="29" t="inlineStr">
        <is>
          <t>IRIS2409</t>
        </is>
      </c>
      <c r="E398" s="29" t="inlineStr">
        <is>
          <t>Prabhakar Mhadse</t>
        </is>
      </c>
      <c r="F398" s="29" t="inlineStr">
        <is>
          <t>Technology</t>
        </is>
      </c>
      <c r="G398" s="29" t="inlineStr">
        <is>
          <t>Senior Software Engineer</t>
        </is>
      </c>
      <c r="H398" s="29" t="inlineStr">
        <is>
          <t>AI/ML Specialist – POD Lead</t>
        </is>
      </c>
      <c r="I398" s="29" t="inlineStr">
        <is>
          <t>L4 – Senior</t>
        </is>
      </c>
      <c r="J398" s="29" t="inlineStr">
        <is>
          <t>B1</t>
        </is>
      </c>
      <c r="K398" s="29" t="inlineStr">
        <is>
          <t>▲ Up</t>
        </is>
      </c>
      <c r="L398" s="29" t="inlineStr">
        <is>
          <t>Engineering &amp; Development</t>
        </is>
      </c>
      <c r="M398" s="29" t="inlineStr">
        <is>
          <t>AI / ML &amp; GenAI Engineering</t>
        </is>
      </c>
      <c r="N398" s="29" t="n"/>
      <c r="O398" s="29" t="n">
        <v>20</v>
      </c>
      <c r="P398" s="28" t="inlineStr">
        <is>
          <t>P3 / M2</t>
        </is>
      </c>
      <c r="Q398" s="29" t="inlineStr">
        <is>
          <t>Career / · Team Lead</t>
        </is>
      </c>
      <c r="R398" s="29" t="inlineStr">
        <is>
          <t>4 Enable</t>
        </is>
      </c>
      <c r="S398" s="29" t="inlineStr">
        <is>
          <t>4–7 yrs</t>
        </is>
      </c>
      <c r="T398" s="29" t="inlineStr">
        <is>
          <t>5–8 · 4–8</t>
        </is>
      </c>
      <c r="U398" s="29" t="inlineStr">
        <is>
          <t>Senior Software Engineer</t>
        </is>
      </c>
      <c r="V398" s="29" t="inlineStr">
        <is>
          <t>Workiva: SE / Senior SE · Broadridge India: Senior SE · Nasdaq / AxiomSL: Senior SE · Salesforce: MTS · Atlassian: P40 · Freshworks: Senior SE</t>
        </is>
      </c>
      <c r="W398" s="29" t="inlineStr">
        <is>
          <t>SFIA 9 · software development, programming; OWASP secure coding; cloud vendor certifications</t>
        </is>
      </c>
      <c r="X398" s="29" t="inlineStr">
        <is>
          <t>Core 3 · Future 3 · Functional 3 · Leadership 2</t>
        </is>
      </c>
      <c r="Y398" s="52" t="n">
        <v>388</v>
      </c>
      <c r="Z398" s="53" t="inlineStr">
        <is>
          <t>IRIS2409</t>
        </is>
      </c>
      <c r="AA398" s="53" t="inlineStr">
        <is>
          <t>Employee</t>
        </is>
      </c>
      <c r="AB398" s="53" t="inlineStr">
        <is>
          <t>Active</t>
        </is>
      </c>
      <c r="AC398" s="53" t="inlineStr">
        <is>
          <t>Prabhakar Mhadse</t>
        </is>
      </c>
      <c r="AD398" s="54" t="n">
        <v>45862</v>
      </c>
      <c r="AE398" s="53" t="inlineStr">
        <is>
          <t>Senior Software Engineer</t>
        </is>
      </c>
      <c r="AF398" s="53" t="inlineStr">
        <is>
          <t>ME</t>
        </is>
      </c>
      <c r="AG398" s="53" t="inlineStr">
        <is>
          <t>Pradip Dey</t>
        </is>
      </c>
      <c r="AH398" s="53" t="inlineStr">
        <is>
          <t>N-3</t>
        </is>
      </c>
      <c r="AI398" s="53" t="inlineStr">
        <is>
          <t>Manager</t>
        </is>
      </c>
      <c r="AJ398" s="53" t="inlineStr">
        <is>
          <t>7 years, 0 months, 0 days</t>
        </is>
      </c>
      <c r="AK398" s="53" t="inlineStr">
        <is>
          <t>1 years, 1 months, 1 days</t>
        </is>
      </c>
      <c r="AL398" s="53" t="inlineStr">
        <is>
          <t>Suptech</t>
        </is>
      </c>
      <c r="AM398" s="53" t="inlineStr">
        <is>
          <t>iFile</t>
        </is>
      </c>
      <c r="AN398" s="53" t="inlineStr">
        <is>
          <t>Technology</t>
        </is>
      </c>
      <c r="AO398" s="53" t="inlineStr">
        <is>
          <t>Development</t>
        </is>
      </c>
      <c r="AP398" s="53" t="inlineStr">
        <is>
          <t>Yes</t>
        </is>
      </c>
      <c r="AQ398" s="53" t="inlineStr">
        <is>
          <t>Product/Project</t>
        </is>
      </c>
      <c r="AR398" s="53" t="inlineStr">
        <is>
          <t>Python</t>
        </is>
      </c>
      <c r="AS398" s="53" t="inlineStr">
        <is>
          <t>Technical - Developer</t>
        </is>
      </c>
      <c r="AT398" s="53" t="n">
        <v>20</v>
      </c>
      <c r="AU398" s="53" t="inlineStr">
        <is>
          <t>Covered</t>
        </is>
      </c>
      <c r="AV398" s="53" t="n"/>
      <c r="AW398" s="53" t="n"/>
      <c r="AX398" s="53" t="n"/>
      <c r="AY398" s="53" t="n"/>
      <c r="AZ398" s="53" t="n"/>
      <c r="BA398" s="53" t="n"/>
      <c r="BB398" s="53" t="n"/>
      <c r="BC398" s="53" t="n"/>
      <c r="BD398" s="53" t="n"/>
      <c r="BE398" s="53" t="n"/>
      <c r="BF398" s="53" t="n"/>
      <c r="BG398" s="53" t="n"/>
      <c r="BH398" s="53" t="n"/>
      <c r="BI398" s="53" t="n"/>
      <c r="BJ398" s="53" t="n"/>
      <c r="BK398" s="53" t="n"/>
      <c r="BL398" s="53" t="n"/>
      <c r="BM398" s="53" t="n"/>
      <c r="BN398" s="53" t="n"/>
      <c r="BO398" s="53" t="n"/>
      <c r="BP398" s="53" t="n"/>
      <c r="BQ398" s="53" t="n"/>
      <c r="BR398" s="53" t="n"/>
      <c r="BS398" s="53" t="n"/>
      <c r="BT398" s="53" t="n"/>
      <c r="BU398" s="53" t="n"/>
      <c r="BV398" s="53" t="n"/>
      <c r="BW398" s="53" t="n"/>
      <c r="BX398" s="53" t="n"/>
      <c r="BY398" s="53" t="n"/>
      <c r="BZ398" s="53" t="n"/>
      <c r="CA398" s="53" t="n"/>
      <c r="CB398" s="53" t="n"/>
      <c r="CC398" s="53" t="n"/>
      <c r="CD398" s="53" t="n"/>
      <c r="CE398" s="53" t="n"/>
      <c r="CF398" s="53" t="n"/>
      <c r="CG398" s="53" t="n"/>
      <c r="CH398" s="53" t="n"/>
      <c r="CI398" s="53" t="n"/>
      <c r="CJ398" s="53" t="n"/>
      <c r="CK398" s="53" t="n"/>
      <c r="CL398" s="53" t="n"/>
      <c r="CM398" s="53" t="n"/>
      <c r="CN398" s="53" t="n"/>
      <c r="CO398" s="53" t="n"/>
      <c r="CP398" s="53" t="n"/>
      <c r="CQ398" s="53" t="n"/>
      <c r="CR398" s="53" t="n"/>
      <c r="CS398" s="53" t="n"/>
      <c r="CT398" s="53" t="n"/>
      <c r="CU398" s="53" t="n"/>
      <c r="CV398" s="53" t="n"/>
      <c r="CW398" s="53" t="n"/>
      <c r="CX398" s="53" t="n"/>
      <c r="CY398" s="53" t="n"/>
      <c r="CZ398" s="53" t="n"/>
      <c r="DA398" s="53" t="n"/>
      <c r="DB398" s="53" t="n"/>
      <c r="DC398" s="53" t="n"/>
      <c r="DD398" s="53" t="inlineStr">
        <is>
          <t>IRIS2409</t>
        </is>
      </c>
      <c r="DE398" s="53" t="inlineStr">
        <is>
          <t>Employee</t>
        </is>
      </c>
      <c r="DF398" s="53" t="inlineStr">
        <is>
          <t>Active</t>
        </is>
      </c>
      <c r="DG398" s="53" t="inlineStr">
        <is>
          <t>Prabhakar Mhadse</t>
        </is>
      </c>
      <c r="DH398" s="54" t="n">
        <v>45862</v>
      </c>
      <c r="DI398" s="53" t="inlineStr">
        <is>
          <t>Senior Software Engineer</t>
        </is>
      </c>
      <c r="DJ398" s="53" t="inlineStr">
        <is>
          <t>Engineering &amp; Development</t>
        </is>
      </c>
      <c r="DK398" s="53" t="inlineStr">
        <is>
          <t>Backend Engineering · Python</t>
        </is>
      </c>
      <c r="DL398" s="53" t="inlineStr">
        <is>
          <t>Senior Software Engineer</t>
        </is>
      </c>
      <c r="DM398" s="53" t="inlineStr">
        <is>
          <t>L4 – Senior</t>
        </is>
      </c>
      <c r="DN398" s="53" t="inlineStr">
        <is>
          <t>ME</t>
        </is>
      </c>
      <c r="DO398" s="53" t="inlineStr">
        <is>
          <t>Pradip Dey</t>
        </is>
      </c>
      <c r="DP398" s="53" t="inlineStr">
        <is>
          <t>N-2</t>
        </is>
      </c>
      <c r="DQ398" s="53" t="inlineStr">
        <is>
          <t>Manager</t>
        </is>
      </c>
      <c r="DR398" s="53" t="inlineStr">
        <is>
          <t>7 years, 0 months, 0 days</t>
        </is>
      </c>
      <c r="DS398" s="53" t="inlineStr">
        <is>
          <t>0 years, 10 months, 27 days</t>
        </is>
      </c>
      <c r="DT398" s="53" t="inlineStr">
        <is>
          <t>7 years, 10 months, 27 days</t>
        </is>
      </c>
      <c r="DU398" s="53" t="n">
        <v>0.907305936073059</v>
      </c>
      <c r="DV398" s="53" t="inlineStr">
        <is>
          <t>Suptech</t>
        </is>
      </c>
      <c r="DW398" s="53" t="inlineStr">
        <is>
          <t>iFile</t>
        </is>
      </c>
      <c r="DX398" s="53" t="inlineStr">
        <is>
          <t>Technology</t>
        </is>
      </c>
      <c r="DY398" s="53" t="inlineStr">
        <is>
          <t>Development</t>
        </is>
      </c>
      <c r="DZ398" s="53" t="inlineStr">
        <is>
          <t>Yes</t>
        </is>
      </c>
      <c r="EA398" s="53" t="inlineStr">
        <is>
          <t>Product/Project</t>
        </is>
      </c>
      <c r="EB398" s="53" t="inlineStr">
        <is>
          <t>Python</t>
        </is>
      </c>
      <c r="EC398" s="53" t="inlineStr">
        <is>
          <t>Technical - Developer</t>
        </is>
      </c>
      <c r="ED398" s="53" t="inlineStr">
        <is>
          <t>Work From Office - Turbhe</t>
        </is>
      </c>
      <c r="EE398" s="53" t="n"/>
      <c r="EF398" s="53" t="n"/>
      <c r="EG398" s="53" t="n"/>
      <c r="EH398" s="53" t="n"/>
      <c r="EI398" s="53" t="n"/>
      <c r="EJ398" s="53" t="inlineStr">
        <is>
          <t>Senior Software Engineer</t>
        </is>
      </c>
      <c r="EK398" s="53" t="n"/>
      <c r="EL398" s="53" t="n"/>
      <c r="EM398" s="53" t="n"/>
      <c r="EN398" s="53" t="n"/>
      <c r="EO398" s="53" t="n"/>
      <c r="EP398" s="53" t="n"/>
      <c r="EQ398" s="53" t="n"/>
      <c r="ER398" s="53" t="n"/>
      <c r="ES398" s="53" t="n"/>
      <c r="ET398" s="53" t="n"/>
      <c r="EU398" s="53" t="inlineStr">
        <is>
          <t>QCB,JCM,CBJ,SBC,SSM,CBRD,ACRA,QSE,MOCI,GRI,Pre-Sales,CMA-Oman,SCM,IRIS Noah,IRIS Bushchat</t>
        </is>
      </c>
      <c r="EV398" s="53" t="n"/>
      <c r="EW398" s="52" t="n"/>
      <c r="EX398" s="53" t="n"/>
      <c r="EY398" s="53" t="n"/>
      <c r="EZ398" s="53" t="n"/>
      <c r="FA398" s="53" t="n"/>
      <c r="FB398" s="53" t="n"/>
      <c r="FC398" s="53" t="n"/>
      <c r="FD398" s="53" t="n"/>
      <c r="FE398" s="55" t="inlineStr">
        <is>
          <t>KRAs not received · manager to supply</t>
        </is>
      </c>
      <c r="FF398" s="56" t="n"/>
      <c r="FG398" s="56" t="n"/>
      <c r="FH398" s="56" t="n"/>
      <c r="FI398" s="56" t="n"/>
      <c r="FJ398" s="32" t="inlineStr">
        <is>
          <t>KRAs not received · manager to supply</t>
        </is>
      </c>
      <c r="FK398" s="56" t="n"/>
      <c r="FL398" s="56" t="n">
        <v>20</v>
      </c>
      <c r="FM398" s="32" t="inlineStr">
        <is>
          <t>Full survey answers not in the files received · How We Grow export needed · HR</t>
        </is>
      </c>
      <c r="FN398" s="56" t="inlineStr">
        <is>
          <t>—</t>
        </is>
      </c>
      <c r="FO398" s="56" t="inlineStr">
        <is>
          <t>—</t>
        </is>
      </c>
      <c r="FP398" s="56" t="inlineStr">
        <is>
          <t>—</t>
        </is>
      </c>
      <c r="FQ398" s="56" t="inlineStr">
        <is>
          <t>—</t>
        </is>
      </c>
      <c r="FR398" s="56"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0.5
Leadership: Evidence reads like A1: No guiding described despite one report → moved down 0.5
Business Impact: No survey or manager-mapping signal on criticality: kept at the start point.</t>
        </is>
      </c>
      <c r="FS398"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398" s="56" t="inlineStr">
        <is>
          <t>Self-identified: Technical depth &amp; architecture
For the next role: Technical depth &amp; architecture</t>
        </is>
      </c>
      <c r="FU398" s="32" t="inlineStr">
        <is>
          <t>Full survey answers not in the files received · How We Grow export needed · HR</t>
        </is>
      </c>
    </row>
    <row r="399" ht="90" customHeight="1">
      <c r="A399" s="51" t="inlineStr">
        <is>
          <t>◂ Back</t>
        </is>
      </c>
      <c r="B399" s="29" t="inlineStr">
        <is>
          <t>Mapped</t>
        </is>
      </c>
      <c r="C399" s="28" t="inlineStr">
        <is>
          <t>iFile</t>
        </is>
      </c>
      <c r="D399" s="29" t="inlineStr">
        <is>
          <t>IRIS2483</t>
        </is>
      </c>
      <c r="E399" s="29" t="inlineStr">
        <is>
          <t>Soham Narsinge</t>
        </is>
      </c>
      <c r="F399" s="29" t="inlineStr">
        <is>
          <t>Technology</t>
        </is>
      </c>
      <c r="G399" s="29" t="inlineStr">
        <is>
          <t>Trainee Software Engineer</t>
        </is>
      </c>
      <c r="H399" s="29" t="inlineStr">
        <is>
          <t>AI/ML Engineer</t>
        </is>
      </c>
      <c r="I399" s="29" t="inlineStr">
        <is>
          <t>Not in current mapping files</t>
        </is>
      </c>
      <c r="J399" s="29" t="inlineStr">
        <is>
          <t>A2</t>
        </is>
      </c>
      <c r="K399" s="29" t="inlineStr">
        <is>
          <t>● Newly mapped</t>
        </is>
      </c>
      <c r="L399" s="29" t="inlineStr">
        <is>
          <t>Engineering &amp; Development</t>
        </is>
      </c>
      <c r="M399" s="29" t="inlineStr">
        <is>
          <t>AI / ML &amp; GenAI Engineering</t>
        </is>
      </c>
      <c r="N399" s="29" t="n"/>
      <c r="O399" s="29" t="n">
        <v>20</v>
      </c>
      <c r="P399" s="28" t="inlineStr">
        <is>
          <t>P1–P2</t>
        </is>
      </c>
      <c r="Q399" s="29" t="inlineStr">
        <is>
          <t>Entry / Developing</t>
        </is>
      </c>
      <c r="R399" s="29" t="inlineStr">
        <is>
          <t>2 Assist</t>
        </is>
      </c>
      <c r="S399" s="29" t="inlineStr">
        <is>
          <t>0–2 yrs</t>
        </is>
      </c>
      <c r="T399" s="29" t="inlineStr">
        <is>
          <t>1–3 · 0–3</t>
        </is>
      </c>
      <c r="U399" s="29" t="inlineStr">
        <is>
          <t>Associate Software Engineer / Software Engineer</t>
        </is>
      </c>
      <c r="V399" s="29" t="inlineStr">
        <is>
          <t>Workiva: Associate SE · Broadridge India: SE · Nasdaq / AxiomSL: SE · Salesforce: AMTS · Atlassian: P30 Junior · 0–2 yrs · Freshworks: SE</t>
        </is>
      </c>
      <c r="W399" s="29" t="inlineStr">
        <is>
          <t>SFIA 9 · software development, programming; OWASP secure coding; cloud vendor certifications</t>
        </is>
      </c>
      <c r="X399" s="29" t="inlineStr">
        <is>
          <t>Core 2 · Future 2 · Functional 2 · Leadership not scored</t>
        </is>
      </c>
      <c r="Y399" s="52" t="n">
        <v>458</v>
      </c>
      <c r="Z399" s="53" t="inlineStr">
        <is>
          <t>IRIS2483</t>
        </is>
      </c>
      <c r="AA399" s="53" t="inlineStr">
        <is>
          <t>Employee</t>
        </is>
      </c>
      <c r="AB399" s="53" t="inlineStr">
        <is>
          <t>Active</t>
        </is>
      </c>
      <c r="AC399" s="53" t="inlineStr">
        <is>
          <t>Soham Narsinge</t>
        </is>
      </c>
      <c r="AD399" s="54" t="n">
        <v>46083</v>
      </c>
      <c r="AE399" s="53" t="inlineStr">
        <is>
          <t>Trainee Software Engineer</t>
        </is>
      </c>
      <c r="AF399" s="53" t="inlineStr">
        <is>
          <t>B.E</t>
        </is>
      </c>
      <c r="AG399" s="53" t="inlineStr">
        <is>
          <t>Prabhakar Mhadse</t>
        </is>
      </c>
      <c r="AH399" s="53" t="inlineStr">
        <is>
          <t>N-4</t>
        </is>
      </c>
      <c r="AI399" s="53" t="inlineStr">
        <is>
          <t>Individual Contributor</t>
        </is>
      </c>
      <c r="AJ399" s="53" t="inlineStr">
        <is>
          <t>0 years, 8 months, 0 days</t>
        </is>
      </c>
      <c r="AK399" s="53" t="inlineStr">
        <is>
          <t>0 years, 5 months, 23 days</t>
        </is>
      </c>
      <c r="AL399" s="53" t="inlineStr">
        <is>
          <t>Suptech</t>
        </is>
      </c>
      <c r="AM399" s="53" t="inlineStr">
        <is>
          <t>iFile</t>
        </is>
      </c>
      <c r="AN399" s="53" t="inlineStr">
        <is>
          <t>Technology</t>
        </is>
      </c>
      <c r="AO399" s="53" t="inlineStr">
        <is>
          <t>Development</t>
        </is>
      </c>
      <c r="AP399" s="53" t="inlineStr">
        <is>
          <t>Yes</t>
        </is>
      </c>
      <c r="AQ399" s="53" t="inlineStr">
        <is>
          <t>Product/Project</t>
        </is>
      </c>
      <c r="AR399" s="53" t="inlineStr">
        <is>
          <t>Python</t>
        </is>
      </c>
      <c r="AS399" s="53" t="inlineStr">
        <is>
          <t>Technical - Developer</t>
        </is>
      </c>
      <c r="AT399" s="53" t="n">
        <v>20</v>
      </c>
      <c r="AU399" s="53" t="inlineStr">
        <is>
          <t>Covered</t>
        </is>
      </c>
      <c r="AV399" s="53" t="n"/>
      <c r="AW399" s="53" t="n"/>
      <c r="AX399" s="53" t="n"/>
      <c r="AY399" s="53" t="n"/>
      <c r="AZ399" s="53" t="n"/>
      <c r="BA399" s="53" t="n"/>
      <c r="BB399" s="53" t="n"/>
      <c r="BC399" s="53" t="n"/>
      <c r="BD399" s="53" t="n"/>
      <c r="BE399" s="53" t="n"/>
      <c r="BF399" s="53" t="n"/>
      <c r="BG399" s="53" t="n"/>
      <c r="BH399" s="53" t="n"/>
      <c r="BI399" s="53" t="n"/>
      <c r="BJ399" s="53" t="n"/>
      <c r="BK399" s="53" t="n"/>
      <c r="BL399" s="53" t="n"/>
      <c r="BM399" s="53" t="n"/>
      <c r="BN399" s="53" t="n"/>
      <c r="BO399" s="53" t="n"/>
      <c r="BP399" s="53" t="n"/>
      <c r="BQ399" s="53" t="n"/>
      <c r="BR399" s="53" t="n"/>
      <c r="BS399" s="53" t="n"/>
      <c r="BT399" s="53" t="n"/>
      <c r="BU399" s="53" t="n"/>
      <c r="BV399" s="53" t="n"/>
      <c r="BW399" s="53" t="n"/>
      <c r="BX399" s="53" t="n"/>
      <c r="BY399" s="53" t="n"/>
      <c r="BZ399" s="53" t="n"/>
      <c r="CA399" s="53" t="n"/>
      <c r="CB399" s="53" t="n"/>
      <c r="CC399" s="53" t="n"/>
      <c r="CD399" s="53" t="n"/>
      <c r="CE399" s="53" t="n"/>
      <c r="CF399" s="53" t="n"/>
      <c r="CG399" s="53" t="n"/>
      <c r="CH399" s="53" t="n"/>
      <c r="CI399" s="53" t="n"/>
      <c r="CJ399" s="53" t="n"/>
      <c r="CK399" s="53" t="n"/>
      <c r="CL399" s="53" t="n"/>
      <c r="CM399" s="53" t="n"/>
      <c r="CN399" s="53" t="n"/>
      <c r="CO399" s="53" t="n"/>
      <c r="CP399" s="53" t="n"/>
      <c r="CQ399" s="53" t="n"/>
      <c r="CR399" s="53" t="n"/>
      <c r="CS399" s="53" t="n"/>
      <c r="CT399" s="53" t="n"/>
      <c r="CU399" s="53" t="n"/>
      <c r="CV399" s="53" t="n"/>
      <c r="CW399" s="53" t="n"/>
      <c r="CX399" s="53" t="n"/>
      <c r="CY399" s="53" t="n"/>
      <c r="CZ399" s="53" t="n"/>
      <c r="DA399" s="53" t="n"/>
      <c r="DB399" s="53" t="n"/>
      <c r="DC399" s="53" t="n"/>
      <c r="DD399" s="53" t="n"/>
      <c r="DE399" s="53" t="n"/>
      <c r="DF399" s="53" t="n"/>
      <c r="DG399" s="53" t="n"/>
      <c r="DH399" s="53" t="n"/>
      <c r="DI399" s="53" t="n"/>
      <c r="DJ399" s="53" t="n"/>
      <c r="DK399" s="53" t="n"/>
      <c r="DL399" s="53" t="n"/>
      <c r="DM399" s="53" t="n"/>
      <c r="DN399" s="53" t="n"/>
      <c r="DO399" s="53" t="n"/>
      <c r="DP399" s="53" t="n"/>
      <c r="DQ399" s="53" t="n"/>
      <c r="DR399" s="53" t="n"/>
      <c r="DS399" s="53" t="n"/>
      <c r="DT399" s="53" t="n"/>
      <c r="DU399" s="53" t="n"/>
      <c r="DV399" s="53" t="n"/>
      <c r="DW399" s="53" t="n"/>
      <c r="DX399" s="53" t="n"/>
      <c r="DY399" s="53" t="n"/>
      <c r="DZ399" s="53" t="n"/>
      <c r="EA399" s="53" t="n"/>
      <c r="EB399" s="53" t="n"/>
      <c r="EC399" s="53" t="n"/>
      <c r="ED399" s="53" t="n"/>
      <c r="EE399" s="53" t="n"/>
      <c r="EF399" s="53" t="n"/>
      <c r="EG399" s="53" t="n"/>
      <c r="EH399" s="53" t="n"/>
      <c r="EI399" s="53" t="n"/>
      <c r="EJ399" s="53" t="n"/>
      <c r="EK399" s="53" t="n"/>
      <c r="EL399" s="53" t="n"/>
      <c r="EM399" s="53" t="n"/>
      <c r="EN399" s="53" t="n"/>
      <c r="EO399" s="53" t="n"/>
      <c r="EP399" s="53" t="n"/>
      <c r="EQ399" s="53" t="n"/>
      <c r="ER399" s="53" t="n"/>
      <c r="ES399" s="53" t="n"/>
      <c r="ET399" s="53" t="n"/>
      <c r="EU399" s="53" t="n"/>
      <c r="EV399" s="53" t="n"/>
      <c r="EW399" s="52" t="n"/>
      <c r="EX399" s="53" t="n"/>
      <c r="EY399" s="53" t="n"/>
      <c r="EZ399" s="53" t="n"/>
      <c r="FA399" s="53" t="n"/>
      <c r="FB399" s="53" t="n"/>
      <c r="FC399" s="53" t="n"/>
      <c r="FD399" s="53" t="n"/>
      <c r="FE399" s="55" t="inlineStr">
        <is>
          <t>KRAs not received · manager to supply</t>
        </is>
      </c>
      <c r="FF399" s="56" t="n"/>
      <c r="FG399" s="56" t="n"/>
      <c r="FH399" s="56" t="n"/>
      <c r="FI399" s="56" t="n"/>
      <c r="FJ399" s="32" t="inlineStr">
        <is>
          <t>KRAs not received · manager to supply</t>
        </is>
      </c>
      <c r="FK399" s="56" t="n"/>
      <c r="FL399" s="56" t="n">
        <v>20</v>
      </c>
      <c r="FM399" s="32" t="inlineStr">
        <is>
          <t>Full survey answers not in the files received · How We Grow export needed · HR</t>
        </is>
      </c>
      <c r="FN399" s="56" t="inlineStr">
        <is>
          <t>—</t>
        </is>
      </c>
      <c r="FO399" s="56" t="inlineStr">
        <is>
          <t>—</t>
        </is>
      </c>
      <c r="FP399" s="56" t="inlineStr">
        <is>
          <t>—</t>
        </is>
      </c>
      <c r="FQ399" s="56" t="inlineStr">
        <is>
          <t>—</t>
        </is>
      </c>
      <c r="FR399" s="56"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0.5
Leadership: Evidence reads like A1: None described → matches the start
Business Impact: No survey or manager-mapping signal on criticality: kept at the start point.</t>
        </is>
      </c>
      <c r="FS399"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399" s="56" t="inlineStr">
        <is>
          <t>Self-identified: AI / automation · Project / programme management · Technical depth &amp; architecture · Product &amp; tool knowledge · Broader exposure &amp; ownership
For the next role: AI / automation · Leadership &amp; people management · Project / programme management · Technical depth &amp; architecture · Product &amp; tool knowledge · Broader exposure &amp; ownership</t>
        </is>
      </c>
      <c r="FU399" s="32" t="inlineStr">
        <is>
          <t>Full survey answers not in the files received · How We Grow export needed · HR</t>
        </is>
      </c>
    </row>
    <row r="400" ht="90" customHeight="1">
      <c r="A400" s="51" t="inlineStr">
        <is>
          <t>◂ Back</t>
        </is>
      </c>
      <c r="B400" s="29" t="inlineStr">
        <is>
          <t>Mapped</t>
        </is>
      </c>
      <c r="C400" s="28" t="inlineStr">
        <is>
          <t>iFile</t>
        </is>
      </c>
      <c r="D400" s="29" t="inlineStr">
        <is>
          <t>IRIS1593</t>
        </is>
      </c>
      <c r="E400" s="29" t="inlineStr">
        <is>
          <t>Rajeev Kumar</t>
        </is>
      </c>
      <c r="F400" s="29" t="inlineStr">
        <is>
          <t>Design</t>
        </is>
      </c>
      <c r="G400" s="29" t="inlineStr">
        <is>
          <t>Senior UI Developer</t>
        </is>
      </c>
      <c r="H400" s="29" t="inlineStr">
        <is>
          <t>UI Specialist – POD Lead</t>
        </is>
      </c>
      <c r="I400" s="29" t="inlineStr">
        <is>
          <t>L4 – Senior</t>
        </is>
      </c>
      <c r="J400" s="29" t="inlineStr">
        <is>
          <t>B1</t>
        </is>
      </c>
      <c r="K400" s="29" t="inlineStr">
        <is>
          <t>▲ Up</t>
        </is>
      </c>
      <c r="L400" s="29" t="inlineStr">
        <is>
          <t>Engineering &amp; Development</t>
        </is>
      </c>
      <c r="M400" s="29" t="inlineStr">
        <is>
          <t>Front-End / UI Development</t>
        </is>
      </c>
      <c r="N400" s="29" t="n"/>
      <c r="O400" s="29" t="n">
        <v>20</v>
      </c>
      <c r="P400" s="28" t="inlineStr">
        <is>
          <t>P3 / M2</t>
        </is>
      </c>
      <c r="Q400" s="29" t="inlineStr">
        <is>
          <t>Career / · Team Lead</t>
        </is>
      </c>
      <c r="R400" s="29" t="inlineStr">
        <is>
          <t>4 Enable</t>
        </is>
      </c>
      <c r="S400" s="29" t="inlineStr">
        <is>
          <t>4–7 yrs</t>
        </is>
      </c>
      <c r="T400" s="29" t="inlineStr">
        <is>
          <t>5–8 · 4–8</t>
        </is>
      </c>
      <c r="U400" s="29" t="inlineStr">
        <is>
          <t>Senior Software Engineer</t>
        </is>
      </c>
      <c r="V400" s="29" t="inlineStr">
        <is>
          <t>Workiva: SE / Senior SE · Broadridge India: Senior SE · Nasdaq / AxiomSL: Senior SE · Salesforce: MTS · Atlassian: P40 · Freshworks: Senior SE</t>
        </is>
      </c>
      <c r="W400" s="29" t="inlineStr">
        <is>
          <t>SFIA 9 · software development, programming; OWASP secure coding; cloud vendor certifications</t>
        </is>
      </c>
      <c r="X400" s="29" t="inlineStr">
        <is>
          <t>Core 3 · Future 3 · Functional 3 · Leadership 2</t>
        </is>
      </c>
      <c r="Y400" s="52" t="n">
        <v>130</v>
      </c>
      <c r="Z400" s="53" t="inlineStr">
        <is>
          <t>IRIS1593</t>
        </is>
      </c>
      <c r="AA400" s="53" t="inlineStr">
        <is>
          <t>Employee</t>
        </is>
      </c>
      <c r="AB400" s="53" t="inlineStr">
        <is>
          <t>Active</t>
        </is>
      </c>
      <c r="AC400" s="53" t="inlineStr">
        <is>
          <t>Rajeev Kumar</t>
        </is>
      </c>
      <c r="AD400" s="54" t="n">
        <v>42605</v>
      </c>
      <c r="AE400" s="53" t="inlineStr">
        <is>
          <t>Senior UI Developer</t>
        </is>
      </c>
      <c r="AF400" s="53" t="inlineStr">
        <is>
          <t>MCA</t>
        </is>
      </c>
      <c r="AG400" s="53" t="inlineStr">
        <is>
          <t>Pradip Dey</t>
        </is>
      </c>
      <c r="AH400" s="53" t="inlineStr">
        <is>
          <t>N-3</t>
        </is>
      </c>
      <c r="AI400" s="53" t="inlineStr">
        <is>
          <t>Manager</t>
        </is>
      </c>
      <c r="AJ400" s="53" t="inlineStr">
        <is>
          <t>5 years, 6 months, 0 days</t>
        </is>
      </c>
      <c r="AK400" s="53" t="inlineStr">
        <is>
          <t>10 years, 0 months, 2 days</t>
        </is>
      </c>
      <c r="AL400" s="53" t="inlineStr">
        <is>
          <t>Suptech</t>
        </is>
      </c>
      <c r="AM400" s="53" t="inlineStr">
        <is>
          <t>iFile</t>
        </is>
      </c>
      <c r="AN400" s="53" t="inlineStr">
        <is>
          <t>Design</t>
        </is>
      </c>
      <c r="AO400" s="53" t="inlineStr">
        <is>
          <t>UI</t>
        </is>
      </c>
      <c r="AP400" s="53" t="inlineStr">
        <is>
          <t>No</t>
        </is>
      </c>
      <c r="AQ400" s="53" t="inlineStr">
        <is>
          <t>Product/Project</t>
        </is>
      </c>
      <c r="AR400" s="53" t="inlineStr">
        <is>
          <t>UI</t>
        </is>
      </c>
      <c r="AS400" s="53" t="inlineStr">
        <is>
          <t>Technical - Developer</t>
        </is>
      </c>
      <c r="AT400" s="53" t="n">
        <v>20</v>
      </c>
      <c r="AU400" s="53" t="inlineStr">
        <is>
          <t>Covered</t>
        </is>
      </c>
      <c r="AV400" s="53" t="n"/>
      <c r="AW400" s="53" t="n"/>
      <c r="AX400" s="53" t="n"/>
      <c r="AY400" s="53" t="n"/>
      <c r="AZ400" s="53" t="n"/>
      <c r="BA400" s="53" t="n"/>
      <c r="BB400" s="53" t="n"/>
      <c r="BC400" s="53" t="n"/>
      <c r="BD400" s="53" t="n"/>
      <c r="BE400" s="53" t="n"/>
      <c r="BF400" s="53" t="n"/>
      <c r="BG400" s="53" t="n"/>
      <c r="BH400" s="53" t="n"/>
      <c r="BI400" s="53" t="n"/>
      <c r="BJ400" s="53" t="n"/>
      <c r="BK400" s="53" t="n"/>
      <c r="BL400" s="53" t="n"/>
      <c r="BM400" s="53" t="n"/>
      <c r="BN400" s="53" t="n"/>
      <c r="BO400" s="53" t="n"/>
      <c r="BP400" s="53" t="n"/>
      <c r="BQ400" s="53" t="n"/>
      <c r="BR400" s="53" t="n"/>
      <c r="BS400" s="53" t="n"/>
      <c r="BT400" s="53" t="n"/>
      <c r="BU400" s="53" t="n"/>
      <c r="BV400" s="53" t="n"/>
      <c r="BW400" s="53" t="n"/>
      <c r="BX400" s="53" t="n"/>
      <c r="BY400" s="53" t="n"/>
      <c r="BZ400" s="53" t="n"/>
      <c r="CA400" s="53" t="n"/>
      <c r="CB400" s="53" t="n"/>
      <c r="CC400" s="53" t="n"/>
      <c r="CD400" s="53" t="n"/>
      <c r="CE400" s="53" t="n"/>
      <c r="CF400" s="53" t="n"/>
      <c r="CG400" s="53" t="n"/>
      <c r="CH400" s="53" t="n"/>
      <c r="CI400" s="53" t="n"/>
      <c r="CJ400" s="53" t="n"/>
      <c r="CK400" s="53" t="n"/>
      <c r="CL400" s="53" t="n"/>
      <c r="CM400" s="53" t="n"/>
      <c r="CN400" s="53" t="n"/>
      <c r="CO400" s="53" t="n"/>
      <c r="CP400" s="53" t="n"/>
      <c r="CQ400" s="53" t="n"/>
      <c r="CR400" s="53" t="n"/>
      <c r="CS400" s="53" t="n"/>
      <c r="CT400" s="53" t="n"/>
      <c r="CU400" s="53" t="n"/>
      <c r="CV400" s="53" t="n"/>
      <c r="CW400" s="53" t="n"/>
      <c r="CX400" s="53" t="n"/>
      <c r="CY400" s="53" t="n"/>
      <c r="CZ400" s="53" t="n"/>
      <c r="DA400" s="53" t="n"/>
      <c r="DB400" s="53" t="n"/>
      <c r="DC400" s="53" t="n"/>
      <c r="DD400" s="53" t="inlineStr">
        <is>
          <t>IRIS1593</t>
        </is>
      </c>
      <c r="DE400" s="53" t="inlineStr">
        <is>
          <t>Employee</t>
        </is>
      </c>
      <c r="DF400" s="53" t="inlineStr">
        <is>
          <t>Active</t>
        </is>
      </c>
      <c r="DG400" s="53" t="inlineStr">
        <is>
          <t>Rajeev Kumar</t>
        </is>
      </c>
      <c r="DH400" s="54" t="n">
        <v>42605</v>
      </c>
      <c r="DI400" s="53" t="inlineStr">
        <is>
          <t>Senior UI Developer</t>
        </is>
      </c>
      <c r="DJ400" s="53" t="inlineStr">
        <is>
          <t>Engineering &amp; Development</t>
        </is>
      </c>
      <c r="DK400" s="53" t="inlineStr">
        <is>
          <t>Frontend / UI Engineering</t>
        </is>
      </c>
      <c r="DL400" s="53" t="inlineStr">
        <is>
          <t>Senior UI Developer</t>
        </is>
      </c>
      <c r="DM400" s="53" t="inlineStr">
        <is>
          <t>L4 – Senior</t>
        </is>
      </c>
      <c r="DN400" s="53" t="inlineStr">
        <is>
          <t>MCA</t>
        </is>
      </c>
      <c r="DO400" s="53" t="inlineStr">
        <is>
          <t>Pradip Dey</t>
        </is>
      </c>
      <c r="DP400" s="53" t="inlineStr">
        <is>
          <t>N-2</t>
        </is>
      </c>
      <c r="DQ400" s="53" t="inlineStr">
        <is>
          <t>Manager</t>
        </is>
      </c>
      <c r="DR400" s="53" t="inlineStr">
        <is>
          <t>5 years, 6 months, 0 days</t>
        </is>
      </c>
      <c r="DS400" s="53" t="inlineStr">
        <is>
          <t>9 years, 9 months, 28 days</t>
        </is>
      </c>
      <c r="DT400" s="53" t="inlineStr">
        <is>
          <t>15 years, 3 months, 28 days</t>
        </is>
      </c>
      <c r="DU400" s="53" t="n">
        <v>9.826712328767121</v>
      </c>
      <c r="DV400" s="53" t="inlineStr">
        <is>
          <t>Suptech</t>
        </is>
      </c>
      <c r="DW400" s="53" t="inlineStr">
        <is>
          <t>iFile</t>
        </is>
      </c>
      <c r="DX400" s="53" t="inlineStr">
        <is>
          <t>Design</t>
        </is>
      </c>
      <c r="DY400" s="53" t="inlineStr">
        <is>
          <t>UI</t>
        </is>
      </c>
      <c r="DZ400" s="53" t="inlineStr">
        <is>
          <t>No</t>
        </is>
      </c>
      <c r="EA400" s="53" t="inlineStr">
        <is>
          <t>Product/Project</t>
        </is>
      </c>
      <c r="EB400" s="53" t="inlineStr">
        <is>
          <t>UI</t>
        </is>
      </c>
      <c r="EC400" s="53" t="inlineStr">
        <is>
          <t>Technical - Developer</t>
        </is>
      </c>
      <c r="ED400" s="53" t="inlineStr">
        <is>
          <t>Remote - Mumbai</t>
        </is>
      </c>
      <c r="EE400" s="53" t="n"/>
      <c r="EF400" s="53"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EG400" s="53" t="inlineStr">
        <is>
          <t>Bank of Jamaica demo readiness
QCB, GTA UAT
QAWAEM application UI refresh</t>
        </is>
      </c>
      <c r="EH400" s="53" t="inlineStr">
        <is>
          <t>Meets Expectations</t>
        </is>
      </c>
      <c r="EI400" s="54" t="n">
        <v>45931</v>
      </c>
      <c r="EJ400" s="53" t="inlineStr">
        <is>
          <t>Senior UI Developer</t>
        </is>
      </c>
      <c r="EK400" s="53" t="n"/>
      <c r="EL400" s="53" t="n">
        <v>3</v>
      </c>
      <c r="EM400" s="53" t="inlineStr">
        <is>
          <t>Medium</t>
        </is>
      </c>
      <c r="EN400" s="53" t="inlineStr">
        <is>
          <t>Core Contributor</t>
        </is>
      </c>
      <c r="EO400" s="53" t="n"/>
      <c r="EP400" s="53" t="inlineStr">
        <is>
          <t>N</t>
        </is>
      </c>
      <c r="EQ400" s="53" t="inlineStr">
        <is>
          <t>Y</t>
        </is>
      </c>
      <c r="ER400" s="53" t="n"/>
      <c r="ES400" s="53" t="inlineStr">
        <is>
          <t>UI/UX</t>
        </is>
      </c>
      <c r="ET400" s="53" t="n"/>
      <c r="EU400" s="53" t="inlineStr">
        <is>
          <t>RBI</t>
        </is>
      </c>
      <c r="EV400" s="53" t="n"/>
      <c r="EW400" s="52" t="n"/>
      <c r="EX400" s="53" t="n"/>
      <c r="EY400" s="53" t="n"/>
      <c r="EZ400" s="53" t="n"/>
      <c r="FA400" s="53" t="n"/>
      <c r="FB400" s="53" t="n"/>
      <c r="FC400" s="53" t="n"/>
      <c r="FD400" s="53" t="n"/>
      <c r="FE400" s="57"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FF400" s="56" t="inlineStr">
        <is>
          <t>Bank of Jamaica demo readiness
QCB, GTA UAT
QAWAEM application UI refresh</t>
        </is>
      </c>
      <c r="FG400" s="56" t="n"/>
      <c r="FH400" s="56" t="inlineStr">
        <is>
          <t>Meets Expectations</t>
        </is>
      </c>
      <c r="FI400" s="56" t="n"/>
      <c r="FJ400" s="56" t="inlineStr">
        <is>
          <t>Received · manager annual, quarterly</t>
        </is>
      </c>
      <c r="FK400" s="56" t="inlineStr">
        <is>
          <t>Talent Mapping · iFile collated</t>
        </is>
      </c>
      <c r="FL400" s="56" t="n">
        <v>20</v>
      </c>
      <c r="FM400" s="32" t="inlineStr">
        <is>
          <t>Full survey answers not in the files received · How We Grow export needed · HR</t>
        </is>
      </c>
      <c r="FN400" s="56" t="inlineStr">
        <is>
          <t>—</t>
        </is>
      </c>
      <c r="FO400" s="56" t="inlineStr">
        <is>
          <t>—</t>
        </is>
      </c>
      <c r="FP400" s="56" t="inlineStr">
        <is>
          <t>—</t>
        </is>
      </c>
      <c r="FQ400" s="56" t="inlineStr">
        <is>
          <t>—</t>
        </is>
      </c>
      <c r="FR400" s="56"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moved down 0.5
Leadership: Evidence reads like A2: Coordinates developers; 1 report in HR; no mentoring described → moved down 0.5
Business Impact: Moved +0.5: the survey / manager mapping marks it business-critical.</t>
        </is>
      </c>
      <c r="FS400" s="56"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FT400" s="56" t="inlineStr">
        <is>
          <t>Self-identified: AI / automation · Technical depth &amp; architecture
For the next role: AI / automation · Technical depth &amp; architecture</t>
        </is>
      </c>
      <c r="FU400" s="32" t="inlineStr">
        <is>
          <t>Full survey answers not in the files received · How We Grow export needed · HR</t>
        </is>
      </c>
    </row>
    <row r="401" ht="90" customHeight="1">
      <c r="A401" s="51" t="inlineStr">
        <is>
          <t>◂ Back</t>
        </is>
      </c>
      <c r="B401" s="29" t="inlineStr">
        <is>
          <t>Mapped</t>
        </is>
      </c>
      <c r="C401" s="28" t="inlineStr">
        <is>
          <t>iFile</t>
        </is>
      </c>
      <c r="D401" s="29" t="inlineStr">
        <is>
          <t>IRIS2300</t>
        </is>
      </c>
      <c r="E401" s="29" t="inlineStr">
        <is>
          <t>Kishori Rajigare</t>
        </is>
      </c>
      <c r="F401" s="29" t="inlineStr">
        <is>
          <t>Design</t>
        </is>
      </c>
      <c r="G401" s="29" t="inlineStr">
        <is>
          <t>UI Developer</t>
        </is>
      </c>
      <c r="H401" s="29" t="inlineStr">
        <is>
          <t>Senior UI Developer</t>
        </is>
      </c>
      <c r="I401" s="29" t="inlineStr">
        <is>
          <t>L3 – Professional / Associate</t>
        </is>
      </c>
      <c r="J401" s="29" t="inlineStr">
        <is>
          <t>A3</t>
        </is>
      </c>
      <c r="K401" s="29" t="inlineStr">
        <is>
          <t>▲ Up</t>
        </is>
      </c>
      <c r="L401" s="29" t="inlineStr">
        <is>
          <t>Engineering &amp; Development</t>
        </is>
      </c>
      <c r="M401" s="29" t="inlineStr">
        <is>
          <t>Front-End / UI Development</t>
        </is>
      </c>
      <c r="N401" s="29" t="n"/>
      <c r="O401" s="29" t="n">
        <v>20</v>
      </c>
      <c r="P401" s="28" t="inlineStr">
        <is>
          <t>P2</t>
        </is>
      </c>
      <c r="Q401" s="29" t="inlineStr">
        <is>
          <t>Developing</t>
        </is>
      </c>
      <c r="R401" s="29" t="inlineStr">
        <is>
          <t>3 Apply</t>
        </is>
      </c>
      <c r="S401" s="29" t="inlineStr">
        <is>
          <t>2–4 yrs</t>
        </is>
      </c>
      <c r="T401" s="29" t="inlineStr">
        <is>
          <t>3–5 · 2–5</t>
        </is>
      </c>
      <c r="U401" s="29" t="inlineStr">
        <is>
          <t>Software Engineer</t>
        </is>
      </c>
      <c r="V401" s="29" t="inlineStr">
        <is>
          <t>Workiva: SE · Broadridge India: SE · Nasdaq / AxiomSL: SE · Salesforce: MTS · Atlassian: P40 · 3–7 yrs · Freshworks: Senior SE</t>
        </is>
      </c>
      <c r="W401" s="29" t="inlineStr">
        <is>
          <t>SFIA 9 · software development, programming; OWASP secure coding; cloud vendor certifications</t>
        </is>
      </c>
      <c r="X401" s="29" t="inlineStr">
        <is>
          <t>Core 2 · Future 2 · Functional 3 · Leadership not scored</t>
        </is>
      </c>
      <c r="Y401" s="52" t="n">
        <v>338</v>
      </c>
      <c r="Z401" s="53" t="inlineStr">
        <is>
          <t>IRIS2300</t>
        </is>
      </c>
      <c r="AA401" s="53" t="inlineStr">
        <is>
          <t>Employee</t>
        </is>
      </c>
      <c r="AB401" s="53" t="inlineStr">
        <is>
          <t>Active</t>
        </is>
      </c>
      <c r="AC401" s="53" t="inlineStr">
        <is>
          <t>Kishori Rajigare</t>
        </is>
      </c>
      <c r="AD401" s="54" t="n">
        <v>45526</v>
      </c>
      <c r="AE401" s="53" t="inlineStr">
        <is>
          <t>UI Developer</t>
        </is>
      </c>
      <c r="AF401" s="53" t="inlineStr">
        <is>
          <t>B.SC</t>
        </is>
      </c>
      <c r="AG401" s="53" t="inlineStr">
        <is>
          <t>Rajeev Kumar</t>
        </is>
      </c>
      <c r="AH401" s="53" t="inlineStr">
        <is>
          <t>N-4</t>
        </is>
      </c>
      <c r="AI401" s="53" t="inlineStr">
        <is>
          <t>Individual Contributor</t>
        </is>
      </c>
      <c r="AJ401" s="53" t="inlineStr">
        <is>
          <t>4 years, 7 months, 0 days</t>
        </is>
      </c>
      <c r="AK401" s="53" t="inlineStr">
        <is>
          <t>2 years, 0 months, 3 days</t>
        </is>
      </c>
      <c r="AL401" s="53" t="inlineStr">
        <is>
          <t>Suptech</t>
        </is>
      </c>
      <c r="AM401" s="53" t="inlineStr">
        <is>
          <t>iFile</t>
        </is>
      </c>
      <c r="AN401" s="53" t="inlineStr">
        <is>
          <t>Design</t>
        </is>
      </c>
      <c r="AO401" s="53" t="inlineStr">
        <is>
          <t>UI</t>
        </is>
      </c>
      <c r="AP401" s="53" t="inlineStr">
        <is>
          <t>No</t>
        </is>
      </c>
      <c r="AQ401" s="53" t="inlineStr">
        <is>
          <t>Product/Project</t>
        </is>
      </c>
      <c r="AR401" s="53" t="inlineStr">
        <is>
          <t>UI</t>
        </is>
      </c>
      <c r="AS401" s="53" t="inlineStr">
        <is>
          <t>Technical - Developer</t>
        </is>
      </c>
      <c r="AT401" s="53" t="n">
        <v>20</v>
      </c>
      <c r="AU401" s="53" t="inlineStr">
        <is>
          <t>Covered</t>
        </is>
      </c>
      <c r="AV401" s="53" t="n"/>
      <c r="AW401" s="53" t="n"/>
      <c r="AX401" s="53" t="n"/>
      <c r="AY401" s="53" t="n"/>
      <c r="AZ401" s="53" t="n"/>
      <c r="BA401" s="53" t="n"/>
      <c r="BB401" s="53" t="n"/>
      <c r="BC401" s="53" t="n"/>
      <c r="BD401" s="53" t="n"/>
      <c r="BE401" s="53" t="n"/>
      <c r="BF401" s="53" t="n"/>
      <c r="BG401" s="53" t="n"/>
      <c r="BH401" s="53" t="n"/>
      <c r="BI401" s="53" t="n"/>
      <c r="BJ401" s="53" t="n"/>
      <c r="BK401" s="53" t="n"/>
      <c r="BL401" s="53" t="n"/>
      <c r="BM401" s="53" t="n"/>
      <c r="BN401" s="53" t="n"/>
      <c r="BO401" s="53" t="n"/>
      <c r="BP401" s="53" t="n"/>
      <c r="BQ401" s="53" t="n"/>
      <c r="BR401" s="53" t="n"/>
      <c r="BS401" s="53" t="n"/>
      <c r="BT401" s="53" t="n"/>
      <c r="BU401" s="53" t="n"/>
      <c r="BV401" s="53" t="n"/>
      <c r="BW401" s="53" t="n"/>
      <c r="BX401" s="53" t="n"/>
      <c r="BY401" s="53" t="n"/>
      <c r="BZ401" s="53" t="n"/>
      <c r="CA401" s="53" t="n"/>
      <c r="CB401" s="53" t="n"/>
      <c r="CC401" s="53" t="n"/>
      <c r="CD401" s="53" t="n"/>
      <c r="CE401" s="53" t="n"/>
      <c r="CF401" s="53" t="n"/>
      <c r="CG401" s="53" t="n"/>
      <c r="CH401" s="53" t="n"/>
      <c r="CI401" s="53" t="n"/>
      <c r="CJ401" s="53" t="n"/>
      <c r="CK401" s="53" t="n"/>
      <c r="CL401" s="53" t="n"/>
      <c r="CM401" s="53" t="n"/>
      <c r="CN401" s="53" t="n"/>
      <c r="CO401" s="53" t="n"/>
      <c r="CP401" s="53" t="n"/>
      <c r="CQ401" s="53" t="n"/>
      <c r="CR401" s="53" t="n"/>
      <c r="CS401" s="53" t="n"/>
      <c r="CT401" s="53" t="n"/>
      <c r="CU401" s="53" t="n"/>
      <c r="CV401" s="53" t="n"/>
      <c r="CW401" s="53" t="n"/>
      <c r="CX401" s="53" t="n"/>
      <c r="CY401" s="53" t="n"/>
      <c r="CZ401" s="53" t="n"/>
      <c r="DA401" s="53" t="n"/>
      <c r="DB401" s="53" t="n"/>
      <c r="DC401" s="53" t="n"/>
      <c r="DD401" s="53" t="inlineStr">
        <is>
          <t>IRIS2300</t>
        </is>
      </c>
      <c r="DE401" s="53" t="inlineStr">
        <is>
          <t>Employee</t>
        </is>
      </c>
      <c r="DF401" s="53" t="inlineStr">
        <is>
          <t>Active</t>
        </is>
      </c>
      <c r="DG401" s="53" t="inlineStr">
        <is>
          <t>Kishori Rajigare</t>
        </is>
      </c>
      <c r="DH401" s="54" t="n">
        <v>45526</v>
      </c>
      <c r="DI401" s="53" t="inlineStr">
        <is>
          <t>UI Developer</t>
        </is>
      </c>
      <c r="DJ401" s="53" t="inlineStr">
        <is>
          <t>Engineering &amp; Development</t>
        </is>
      </c>
      <c r="DK401" s="53" t="inlineStr">
        <is>
          <t>Frontend / UI Engineering</t>
        </is>
      </c>
      <c r="DL401" s="53" t="inlineStr">
        <is>
          <t>UI Developer</t>
        </is>
      </c>
      <c r="DM401" s="53" t="inlineStr">
        <is>
          <t>L3 – Professional / Associate</t>
        </is>
      </c>
      <c r="DN401" s="53" t="inlineStr">
        <is>
          <t>B.SC</t>
        </is>
      </c>
      <c r="DO401" s="53" t="inlineStr">
        <is>
          <t>Rajeev Kumar</t>
        </is>
      </c>
      <c r="DP401" s="53" t="inlineStr">
        <is>
          <t>N-3</t>
        </is>
      </c>
      <c r="DQ401" s="53" t="inlineStr">
        <is>
          <t>Individual Contributor</t>
        </is>
      </c>
      <c r="DR401" s="53" t="inlineStr">
        <is>
          <t>4 years, 7 months, 0 days</t>
        </is>
      </c>
      <c r="DS401" s="53" t="inlineStr">
        <is>
          <t>1 years, 9 months, 29 days</t>
        </is>
      </c>
      <c r="DT401" s="53" t="inlineStr">
        <is>
          <t>6 years, 4 months, 29 days</t>
        </is>
      </c>
      <c r="DU401" s="53" t="n"/>
      <c r="DV401" s="53" t="inlineStr">
        <is>
          <t>Suptech</t>
        </is>
      </c>
      <c r="DW401" s="53" t="inlineStr">
        <is>
          <t>iFile</t>
        </is>
      </c>
      <c r="DX401" s="53" t="inlineStr">
        <is>
          <t>Design</t>
        </is>
      </c>
      <c r="DY401" s="53" t="inlineStr">
        <is>
          <t>UI</t>
        </is>
      </c>
      <c r="DZ401" s="53" t="inlineStr">
        <is>
          <t>No</t>
        </is>
      </c>
      <c r="EA401" s="53" t="inlineStr">
        <is>
          <t>Product/Project</t>
        </is>
      </c>
      <c r="EB401" s="53" t="inlineStr">
        <is>
          <t>UI</t>
        </is>
      </c>
      <c r="EC401" s="53" t="inlineStr">
        <is>
          <t>Technical - Developer</t>
        </is>
      </c>
      <c r="ED401" s="53" t="inlineStr">
        <is>
          <t>Hybrid</t>
        </is>
      </c>
      <c r="EE401" s="53"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EF401" s="53"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EG401" s="53"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EH401" s="53" t="n">
        <v>4</v>
      </c>
      <c r="EI401" s="54" t="n">
        <v>46188</v>
      </c>
      <c r="EJ401" s="53" t="inlineStr">
        <is>
          <t>UI Developer</t>
        </is>
      </c>
      <c r="EK401" s="53" t="inlineStr">
        <is>
          <t>No</t>
        </is>
      </c>
      <c r="EL401" s="53" t="n">
        <v>4</v>
      </c>
      <c r="EM401" s="53" t="inlineStr">
        <is>
          <t>High</t>
        </is>
      </c>
      <c r="EN401" s="53" t="inlineStr">
        <is>
          <t>Future Leader · High Performance / High Potential</t>
        </is>
      </c>
      <c r="EO401" s="53" t="inlineStr">
        <is>
          <t>Yes</t>
        </is>
      </c>
      <c r="EP401" s="53" t="inlineStr">
        <is>
          <t>Y</t>
        </is>
      </c>
      <c r="EQ401" s="53" t="inlineStr">
        <is>
          <t>Y</t>
        </is>
      </c>
      <c r="ER401" s="53" t="inlineStr">
        <is>
          <t>Not yet identified</t>
        </is>
      </c>
      <c r="ES401" s="53" t="inlineStr">
        <is>
          <t>Advanced UI; secure coding &amp; code-quality practices; unit/automated testing; system design fundamentals</t>
        </is>
      </c>
      <c r="ET401" s="53" t="inlineStr">
        <is>
          <t>Advanced UI/UX training: design systems &amp; component libraries, UX research &amp; usability testing fundamentals, interaction design &amp; prototyping · Figma, accessibility · WCAG standards, visual/interaction design leadership to guide UI direction for iFile.</t>
        </is>
      </c>
      <c r="EU401" s="53"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c r="EV401" s="53" t="n"/>
      <c r="EW401" s="52" t="n"/>
      <c r="EX401" s="53" t="n"/>
      <c r="EY401" s="53" t="n"/>
      <c r="EZ401" s="53" t="n"/>
      <c r="FA401" s="53" t="n"/>
      <c r="FB401" s="53" t="n"/>
      <c r="FC401" s="53" t="n"/>
      <c r="FD401" s="53" t="n"/>
      <c r="FE401" s="57"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FF401" s="56"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FG401" s="56"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FH401" s="56" t="inlineStr">
        <is>
          <t>4</t>
        </is>
      </c>
      <c r="FI401" s="56" t="n"/>
      <c r="FJ401" s="56" t="inlineStr">
        <is>
          <t>Received · manager annual, quarterly, self</t>
        </is>
      </c>
      <c r="FK401" s="56" t="inlineStr">
        <is>
          <t>Talent Mapping · iFile collated</t>
        </is>
      </c>
      <c r="FL401" s="56" t="n">
        <v>20</v>
      </c>
      <c r="FM401" s="32" t="inlineStr">
        <is>
          <t>Full survey answers not in the files received · How We Grow export needed · HR</t>
        </is>
      </c>
      <c r="FN401" s="56" t="inlineStr">
        <is>
          <t>—</t>
        </is>
      </c>
      <c r="FO401" s="56" t="inlineStr">
        <is>
          <t>—</t>
        </is>
      </c>
      <c r="FP401" s="56" t="inlineStr">
        <is>
          <t>—</t>
        </is>
      </c>
      <c r="FQ401" s="56" t="inlineStr">
        <is>
          <t>—</t>
        </is>
      </c>
      <c r="FR401" s="56"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leadership of others described → matches the start
Business Impact: Moved +0.5: the survey / manager mapping marks it business-critical.</t>
        </is>
      </c>
      <c r="FS401"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01" s="56" t="inlineStr">
        <is>
          <t>Self-identified: Answered · no common topic
For the next role: Answered · no common topic</t>
        </is>
      </c>
      <c r="FU401" s="32" t="inlineStr">
        <is>
          <t>Full survey answers not in the files received · How We Grow export needed · HR</t>
        </is>
      </c>
    </row>
    <row r="402" ht="90" customHeight="1">
      <c r="A402" s="51" t="inlineStr">
        <is>
          <t>◂ Back</t>
        </is>
      </c>
      <c r="B402" s="29" t="inlineStr">
        <is>
          <t>Mapped</t>
        </is>
      </c>
      <c r="C402" s="28" t="inlineStr">
        <is>
          <t>iFile</t>
        </is>
      </c>
      <c r="D402" s="29" t="inlineStr">
        <is>
          <t>IRIS1955</t>
        </is>
      </c>
      <c r="E402" s="29" t="inlineStr">
        <is>
          <t>Akbar Basha</t>
        </is>
      </c>
      <c r="F402" s="29" t="inlineStr">
        <is>
          <t>Technology</t>
        </is>
      </c>
      <c r="G402" s="29" t="inlineStr">
        <is>
          <t>Senior Software Engineer</t>
        </is>
      </c>
      <c r="H402" s="29" t="inlineStr">
        <is>
          <t>Senior Database Engineer</t>
        </is>
      </c>
      <c r="I402" s="29" t="inlineStr">
        <is>
          <t>L4 – Senior</t>
        </is>
      </c>
      <c r="J402" s="29" t="inlineStr">
        <is>
          <t>A3</t>
        </is>
      </c>
      <c r="K402" s="29" t="inlineStr">
        <is>
          <t>• Same level</t>
        </is>
      </c>
      <c r="L402" s="29" t="inlineStr">
        <is>
          <t>Engineering &amp; Development</t>
        </is>
      </c>
      <c r="M402" s="29" t="inlineStr">
        <is>
          <t>Data Engineering &amp; Database Development</t>
        </is>
      </c>
      <c r="N402" s="29" t="inlineStr">
        <is>
          <t>• Confirm the reporting line — Manager</t>
        </is>
      </c>
      <c r="O402" s="29" t="n">
        <v>20</v>
      </c>
      <c r="P402" s="28" t="inlineStr">
        <is>
          <t>P2</t>
        </is>
      </c>
      <c r="Q402" s="29" t="inlineStr">
        <is>
          <t>Developing</t>
        </is>
      </c>
      <c r="R402" s="29" t="inlineStr">
        <is>
          <t>3 Apply</t>
        </is>
      </c>
      <c r="S402" s="29" t="inlineStr">
        <is>
          <t>2–4 yrs</t>
        </is>
      </c>
      <c r="T402" s="29" t="inlineStr">
        <is>
          <t>3–5 · 2–5</t>
        </is>
      </c>
      <c r="U402" s="29" t="inlineStr">
        <is>
          <t>Software Engineer</t>
        </is>
      </c>
      <c r="V402" s="29" t="inlineStr">
        <is>
          <t>Workiva: SE · Broadridge India: SE · Nasdaq / AxiomSL: SE · Salesforce: MTS · Atlassian: P40 · 3–7 yrs · Freshworks: Senior SE</t>
        </is>
      </c>
      <c r="W402" s="29" t="inlineStr">
        <is>
          <t>SFIA 9 · software development, programming; OWASP secure coding; cloud vendor certifications</t>
        </is>
      </c>
      <c r="X402" s="29" t="inlineStr">
        <is>
          <t>Core 2 · Future 2 · Functional 3 · Leadership not scored</t>
        </is>
      </c>
      <c r="Y402" s="52" t="n">
        <v>199</v>
      </c>
      <c r="Z402" s="53" t="inlineStr">
        <is>
          <t>IRIS1955</t>
        </is>
      </c>
      <c r="AA402" s="53" t="inlineStr">
        <is>
          <t>Employee</t>
        </is>
      </c>
      <c r="AB402" s="53" t="inlineStr">
        <is>
          <t>Active</t>
        </is>
      </c>
      <c r="AC402" s="53" t="inlineStr">
        <is>
          <t>Akbar Basha</t>
        </is>
      </c>
      <c r="AD402" s="54" t="n">
        <v>44466</v>
      </c>
      <c r="AE402" s="53" t="inlineStr">
        <is>
          <t>Senior Software Engineer</t>
        </is>
      </c>
      <c r="AF402" s="53" t="inlineStr">
        <is>
          <t>B.SC</t>
        </is>
      </c>
      <c r="AG402" s="53" t="inlineStr">
        <is>
          <t>Pradip Dey</t>
        </is>
      </c>
      <c r="AH402" s="53" t="inlineStr">
        <is>
          <t>N-3</t>
        </is>
      </c>
      <c r="AI402" s="53" t="inlineStr">
        <is>
          <t>Manager</t>
        </is>
      </c>
      <c r="AJ402" s="53" t="inlineStr">
        <is>
          <t>3 years, 0 months, 0 days</t>
        </is>
      </c>
      <c r="AK402" s="53" t="inlineStr">
        <is>
          <t>4 years, 10 months, 29 days</t>
        </is>
      </c>
      <c r="AL402" s="53" t="inlineStr">
        <is>
          <t>Suptech</t>
        </is>
      </c>
      <c r="AM402" s="53" t="inlineStr">
        <is>
          <t>iFile</t>
        </is>
      </c>
      <c r="AN402" s="53" t="inlineStr">
        <is>
          <t>Technology</t>
        </is>
      </c>
      <c r="AO402" s="53" t="inlineStr">
        <is>
          <t>Development</t>
        </is>
      </c>
      <c r="AP402" s="53" t="inlineStr">
        <is>
          <t>Yes</t>
        </is>
      </c>
      <c r="AQ402" s="53" t="inlineStr">
        <is>
          <t>Product/Project</t>
        </is>
      </c>
      <c r="AR402" s="53" t="inlineStr">
        <is>
          <t>Talend</t>
        </is>
      </c>
      <c r="AS402" s="53" t="inlineStr">
        <is>
          <t>Technical - Developer</t>
        </is>
      </c>
      <c r="AT402" s="53" t="n">
        <v>20</v>
      </c>
      <c r="AU402" s="53" t="inlineStr">
        <is>
          <t>Covered</t>
        </is>
      </c>
      <c r="AV402" s="53" t="n"/>
      <c r="AW402" s="53" t="n"/>
      <c r="AX402" s="53" t="n"/>
      <c r="AY402" s="53" t="n"/>
      <c r="AZ402" s="53" t="n"/>
      <c r="BA402" s="53" t="n"/>
      <c r="BB402" s="53" t="n"/>
      <c r="BC402" s="53" t="n"/>
      <c r="BD402" s="53" t="n"/>
      <c r="BE402" s="53" t="n"/>
      <c r="BF402" s="53" t="n"/>
      <c r="BG402" s="53" t="n"/>
      <c r="BH402" s="53" t="n"/>
      <c r="BI402" s="53" t="n"/>
      <c r="BJ402" s="53" t="n"/>
      <c r="BK402" s="53" t="n"/>
      <c r="BL402" s="53" t="n"/>
      <c r="BM402" s="53" t="n"/>
      <c r="BN402" s="53" t="n"/>
      <c r="BO402" s="53" t="n"/>
      <c r="BP402" s="53" t="n"/>
      <c r="BQ402" s="53" t="n"/>
      <c r="BR402" s="53" t="n"/>
      <c r="BS402" s="53" t="n"/>
      <c r="BT402" s="53" t="n"/>
      <c r="BU402" s="53" t="n"/>
      <c r="BV402" s="53" t="n"/>
      <c r="BW402" s="53" t="n"/>
      <c r="BX402" s="53" t="n"/>
      <c r="BY402" s="53" t="n"/>
      <c r="BZ402" s="53" t="n"/>
      <c r="CA402" s="53" t="n"/>
      <c r="CB402" s="53" t="n"/>
      <c r="CC402" s="53" t="n"/>
      <c r="CD402" s="53" t="n"/>
      <c r="CE402" s="53" t="n"/>
      <c r="CF402" s="53" t="n"/>
      <c r="CG402" s="53" t="n"/>
      <c r="CH402" s="53" t="n"/>
      <c r="CI402" s="53" t="n"/>
      <c r="CJ402" s="53" t="n"/>
      <c r="CK402" s="53" t="n"/>
      <c r="CL402" s="53" t="n"/>
      <c r="CM402" s="53" t="n"/>
      <c r="CN402" s="53" t="n"/>
      <c r="CO402" s="53" t="n"/>
      <c r="CP402" s="53" t="n"/>
      <c r="CQ402" s="53" t="n"/>
      <c r="CR402" s="53" t="n"/>
      <c r="CS402" s="53" t="n"/>
      <c r="CT402" s="53" t="n"/>
      <c r="CU402" s="53" t="n"/>
      <c r="CV402" s="53" t="n"/>
      <c r="CW402" s="53" t="n"/>
      <c r="CX402" s="53" t="n"/>
      <c r="CY402" s="53" t="n"/>
      <c r="CZ402" s="53" t="n"/>
      <c r="DA402" s="53" t="n"/>
      <c r="DB402" s="53" t="n"/>
      <c r="DC402" s="53" t="n"/>
      <c r="DD402" s="53" t="inlineStr">
        <is>
          <t>IRIS1955</t>
        </is>
      </c>
      <c r="DE402" s="53" t="inlineStr">
        <is>
          <t>Employee</t>
        </is>
      </c>
      <c r="DF402" s="53" t="inlineStr">
        <is>
          <t>Active</t>
        </is>
      </c>
      <c r="DG402" s="53" t="inlineStr">
        <is>
          <t>Akbar Basha</t>
        </is>
      </c>
      <c r="DH402" s="54" t="n">
        <v>44466</v>
      </c>
      <c r="DI402" s="53" t="inlineStr">
        <is>
          <t>Senior Software Engineer</t>
        </is>
      </c>
      <c r="DJ402" s="53" t="inlineStr">
        <is>
          <t>Engineering &amp; Development</t>
        </is>
      </c>
      <c r="DK402" s="53" t="inlineStr">
        <is>
          <t>Software Engineering</t>
        </is>
      </c>
      <c r="DL402" s="53" t="inlineStr">
        <is>
          <t>Senior Software Engineer</t>
        </is>
      </c>
      <c r="DM402" s="53" t="inlineStr">
        <is>
          <t>L4 – Senior</t>
        </is>
      </c>
      <c r="DN402" s="53" t="inlineStr">
        <is>
          <t>B.SC</t>
        </is>
      </c>
      <c r="DO402" s="53" t="inlineStr">
        <is>
          <t>Pradip Dey</t>
        </is>
      </c>
      <c r="DP402" s="53" t="inlineStr">
        <is>
          <t>N-2</t>
        </is>
      </c>
      <c r="DQ402" s="53" t="inlineStr">
        <is>
          <t>Manager</t>
        </is>
      </c>
      <c r="DR402" s="53" t="inlineStr">
        <is>
          <t>3 years, 0 months, 0 days</t>
        </is>
      </c>
      <c r="DS402" s="53" t="inlineStr">
        <is>
          <t>4 years, 8 months, 24 days</t>
        </is>
      </c>
      <c r="DT402" s="53" t="inlineStr">
        <is>
          <t>7 years, 8 months, 24 days</t>
        </is>
      </c>
      <c r="DU402" s="53" t="n">
        <v>4.7324200913242</v>
      </c>
      <c r="DV402" s="53" t="inlineStr">
        <is>
          <t>Suptech</t>
        </is>
      </c>
      <c r="DW402" s="53" t="inlineStr">
        <is>
          <t>iFile</t>
        </is>
      </c>
      <c r="DX402" s="53" t="inlineStr">
        <is>
          <t>Technology</t>
        </is>
      </c>
      <c r="DY402" s="53" t="inlineStr">
        <is>
          <t>Development</t>
        </is>
      </c>
      <c r="DZ402" s="53" t="inlineStr">
        <is>
          <t>Yes</t>
        </is>
      </c>
      <c r="EA402" s="53" t="inlineStr">
        <is>
          <t>Product/Project</t>
        </is>
      </c>
      <c r="EB402" s="53" t="inlineStr">
        <is>
          <t>Talend</t>
        </is>
      </c>
      <c r="EC402" s="53" t="inlineStr">
        <is>
          <t>Technical - Developer</t>
        </is>
      </c>
      <c r="ED402" s="53" t="inlineStr">
        <is>
          <t>Work From Office - Turbhe</t>
        </is>
      </c>
      <c r="EE402" s="53" t="n"/>
      <c r="EF402" s="53" t="n"/>
      <c r="EG402" s="53" t="n"/>
      <c r="EH402" s="53" t="n"/>
      <c r="EI402" s="53" t="n"/>
      <c r="EJ402" s="53" t="inlineStr">
        <is>
          <t>Senior Software Engineer</t>
        </is>
      </c>
      <c r="EK402" s="53" t="n"/>
      <c r="EL402" s="53" t="n"/>
      <c r="EM402" s="53" t="n"/>
      <c r="EN402" s="53" t="n"/>
      <c r="EO402" s="53" t="n"/>
      <c r="EP402" s="53" t="n"/>
      <c r="EQ402" s="53" t="n"/>
      <c r="ER402" s="53" t="n"/>
      <c r="ES402" s="53" t="n"/>
      <c r="ET402" s="53" t="n"/>
      <c r="EU402" s="53" t="inlineStr">
        <is>
          <t>IRIS Instant - MBRS</t>
        </is>
      </c>
      <c r="EV402" s="53" t="n"/>
      <c r="EW402" s="52" t="n"/>
      <c r="EX402" s="53" t="n"/>
      <c r="EY402" s="53" t="n"/>
      <c r="EZ402" s="53" t="n"/>
      <c r="FA402" s="53" t="n"/>
      <c r="FB402" s="53" t="n"/>
      <c r="FC402" s="53" t="n"/>
      <c r="FD402" s="53" t="n"/>
      <c r="FE402" s="55" t="inlineStr">
        <is>
          <t>KRAs not received · manager to supply</t>
        </is>
      </c>
      <c r="FF402" s="56" t="n"/>
      <c r="FG402" s="56" t="n"/>
      <c r="FH402" s="56" t="n"/>
      <c r="FI402" s="56" t="n"/>
      <c r="FJ402" s="32" t="inlineStr">
        <is>
          <t>KRAs not received · manager to supply</t>
        </is>
      </c>
      <c r="FK402" s="56" t="n"/>
      <c r="FL402" s="56" t="n">
        <v>20</v>
      </c>
      <c r="FM402" s="32" t="inlineStr">
        <is>
          <t>Full survey answers not in the files received · How We Grow export needed · HR</t>
        </is>
      </c>
      <c r="FN402" s="56" t="inlineStr">
        <is>
          <t>—</t>
        </is>
      </c>
      <c r="FO402" s="56" t="inlineStr">
        <is>
          <t>—</t>
        </is>
      </c>
      <c r="FP402" s="56" t="inlineStr">
        <is>
          <t>—</t>
        </is>
      </c>
      <c r="FQ402" s="56" t="inlineStr">
        <is>
          <t>—</t>
        </is>
      </c>
      <c r="FR402" s="56"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solutions, some in production or client deliverables → moved down 0.5
Leadership: Evidence reads like A2: Shares technical knowledge with the team; no guiding of the one report described → moved down 0.5
Business Impact: No survey or manager-mapping signal on criticality: kept at the start point.</t>
        </is>
      </c>
      <c r="FS402"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402" s="56"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FU402" s="32" t="inlineStr">
        <is>
          <t>Full survey answers not in the files received · How We Grow export needed · HR</t>
        </is>
      </c>
    </row>
    <row r="403" ht="90" customHeight="1">
      <c r="A403" s="51" t="inlineStr">
        <is>
          <t>◂ Back</t>
        </is>
      </c>
      <c r="B403" s="29" t="inlineStr">
        <is>
          <t>Mapped</t>
        </is>
      </c>
      <c r="C403" s="28" t="inlineStr">
        <is>
          <t>iFile</t>
        </is>
      </c>
      <c r="D403" s="29" t="inlineStr">
        <is>
          <t>IRIS2484</t>
        </is>
      </c>
      <c r="E403" s="29" t="inlineStr">
        <is>
          <t>Vinay Gajula</t>
        </is>
      </c>
      <c r="F403" s="29" t="inlineStr">
        <is>
          <t>Technology</t>
        </is>
      </c>
      <c r="G403" s="29" t="inlineStr">
        <is>
          <t>Trainee Software Engineer</t>
        </is>
      </c>
      <c r="H403" s="29" t="inlineStr">
        <is>
          <t>Trainee AI/ML Engineer</t>
        </is>
      </c>
      <c r="I403" s="29" t="inlineStr">
        <is>
          <t>Not in current mapping files</t>
        </is>
      </c>
      <c r="J403" s="29" t="inlineStr">
        <is>
          <t>A1</t>
        </is>
      </c>
      <c r="K403" s="29" t="inlineStr">
        <is>
          <t>● Newly mapped</t>
        </is>
      </c>
      <c r="L403" s="29" t="inlineStr">
        <is>
          <t>Engineering &amp; Development</t>
        </is>
      </c>
      <c r="M403" s="29" t="inlineStr">
        <is>
          <t>AI / ML &amp; GenAI Engineering</t>
        </is>
      </c>
      <c r="N403" s="29" t="n"/>
      <c r="O403" s="29" t="n">
        <v>20</v>
      </c>
      <c r="P403" s="28" t="inlineStr">
        <is>
          <t>Entry / P1 · intern</t>
        </is>
      </c>
      <c r="Q403" s="29" t="inlineStr">
        <is>
          <t>Entry</t>
        </is>
      </c>
      <c r="R403" s="29" t="inlineStr">
        <is>
          <t>1 Follow</t>
        </is>
      </c>
      <c r="S403" s="29" t="inlineStr">
        <is>
          <t>0 yrs · fresher / intern</t>
        </is>
      </c>
      <c r="T403" s="29" t="inlineStr">
        <is>
          <t>—</t>
        </is>
      </c>
      <c r="U403" s="29" t="inlineStr">
        <is>
          <t>Associate Software Engineer</t>
        </is>
      </c>
      <c r="V403" s="29" t="inlineStr">
        <is>
          <t>—</t>
        </is>
      </c>
      <c r="W403" s="29" t="inlineStr">
        <is>
          <t>SFIA 9 · software development, programming; OWASP secure coding; cloud vendor certifications</t>
        </is>
      </c>
      <c r="X403" s="29" t="inlineStr">
        <is>
          <t>Core 1 · Future 1 · Functional 1 · Leadership not scored</t>
        </is>
      </c>
      <c r="Y403" s="52" t="n">
        <v>459</v>
      </c>
      <c r="Z403" s="53" t="inlineStr">
        <is>
          <t>IRIS2484</t>
        </is>
      </c>
      <c r="AA403" s="53" t="inlineStr">
        <is>
          <t>Employee</t>
        </is>
      </c>
      <c r="AB403" s="53" t="inlineStr">
        <is>
          <t>Active</t>
        </is>
      </c>
      <c r="AC403" s="53" t="inlineStr">
        <is>
          <t>Vinay Gajula</t>
        </is>
      </c>
      <c r="AD403" s="54" t="n">
        <v>46083</v>
      </c>
      <c r="AE403" s="53" t="inlineStr">
        <is>
          <t>Trainee Software Engineer</t>
        </is>
      </c>
      <c r="AF403" s="53" t="inlineStr">
        <is>
          <t>B.E</t>
        </is>
      </c>
      <c r="AG403" s="53" t="inlineStr">
        <is>
          <t>Akbar Basha</t>
        </is>
      </c>
      <c r="AH403" s="53" t="inlineStr">
        <is>
          <t>N-4</t>
        </is>
      </c>
      <c r="AI403" s="53" t="inlineStr">
        <is>
          <t>Individual Contributor</t>
        </is>
      </c>
      <c r="AJ403" s="53" t="inlineStr">
        <is>
          <t>0 years, 0 months, 0 days</t>
        </is>
      </c>
      <c r="AK403" s="53" t="inlineStr">
        <is>
          <t>0 years, 5 months, 23 days</t>
        </is>
      </c>
      <c r="AL403" s="53" t="inlineStr">
        <is>
          <t>Suptech</t>
        </is>
      </c>
      <c r="AM403" s="53" t="inlineStr">
        <is>
          <t>iFile</t>
        </is>
      </c>
      <c r="AN403" s="53" t="inlineStr">
        <is>
          <t>Technology</t>
        </is>
      </c>
      <c r="AO403" s="53" t="inlineStr">
        <is>
          <t>Development</t>
        </is>
      </c>
      <c r="AP403" s="53" t="inlineStr">
        <is>
          <t>Yes</t>
        </is>
      </c>
      <c r="AQ403" s="53" t="inlineStr">
        <is>
          <t>Product/Project</t>
        </is>
      </c>
      <c r="AR403" s="53" t="inlineStr">
        <is>
          <t>Python</t>
        </is>
      </c>
      <c r="AS403" s="53" t="inlineStr">
        <is>
          <t>Technical - Developer</t>
        </is>
      </c>
      <c r="AT403" s="53" t="n">
        <v>20</v>
      </c>
      <c r="AU403" s="53" t="inlineStr">
        <is>
          <t>Covered</t>
        </is>
      </c>
      <c r="AV403" s="53" t="n"/>
      <c r="AW403" s="53" t="n"/>
      <c r="AX403" s="53" t="n"/>
      <c r="AY403" s="53" t="n"/>
      <c r="AZ403" s="53" t="n"/>
      <c r="BA403" s="53" t="n"/>
      <c r="BB403" s="53" t="n"/>
      <c r="BC403" s="53" t="n"/>
      <c r="BD403" s="53" t="n"/>
      <c r="BE403" s="53" t="n"/>
      <c r="BF403" s="53" t="n"/>
      <c r="BG403" s="53" t="n"/>
      <c r="BH403" s="53" t="n"/>
      <c r="BI403" s="53" t="n"/>
      <c r="BJ403" s="53" t="n"/>
      <c r="BK403" s="53" t="n"/>
      <c r="BL403" s="53" t="n"/>
      <c r="BM403" s="53" t="n"/>
      <c r="BN403" s="53" t="n"/>
      <c r="BO403" s="53" t="n"/>
      <c r="BP403" s="53" t="n"/>
      <c r="BQ403" s="53" t="n"/>
      <c r="BR403" s="53" t="n"/>
      <c r="BS403" s="53" t="n"/>
      <c r="BT403" s="53" t="n"/>
      <c r="BU403" s="53" t="n"/>
      <c r="BV403" s="53" t="n"/>
      <c r="BW403" s="53" t="n"/>
      <c r="BX403" s="53" t="n"/>
      <c r="BY403" s="53" t="n"/>
      <c r="BZ403" s="53" t="n"/>
      <c r="CA403" s="53" t="n"/>
      <c r="CB403" s="53" t="n"/>
      <c r="CC403" s="53" t="n"/>
      <c r="CD403" s="53" t="n"/>
      <c r="CE403" s="53" t="n"/>
      <c r="CF403" s="53" t="n"/>
      <c r="CG403" s="53" t="n"/>
      <c r="CH403" s="53" t="n"/>
      <c r="CI403" s="53" t="n"/>
      <c r="CJ403" s="53" t="n"/>
      <c r="CK403" s="53" t="n"/>
      <c r="CL403" s="53" t="n"/>
      <c r="CM403" s="53" t="n"/>
      <c r="CN403" s="53" t="n"/>
      <c r="CO403" s="53" t="n"/>
      <c r="CP403" s="53" t="n"/>
      <c r="CQ403" s="53" t="n"/>
      <c r="CR403" s="53" t="n"/>
      <c r="CS403" s="53" t="n"/>
      <c r="CT403" s="53" t="n"/>
      <c r="CU403" s="53" t="n"/>
      <c r="CV403" s="53" t="n"/>
      <c r="CW403" s="53" t="n"/>
      <c r="CX403" s="53" t="n"/>
      <c r="CY403" s="53" t="n"/>
      <c r="CZ403" s="53" t="n"/>
      <c r="DA403" s="53" t="n"/>
      <c r="DB403" s="53" t="n"/>
      <c r="DC403" s="53" t="n"/>
      <c r="DD403" s="53" t="n"/>
      <c r="DE403" s="53" t="n"/>
      <c r="DF403" s="53" t="n"/>
      <c r="DG403" s="53" t="n"/>
      <c r="DH403" s="53" t="n"/>
      <c r="DI403" s="53" t="n"/>
      <c r="DJ403" s="53" t="n"/>
      <c r="DK403" s="53" t="n"/>
      <c r="DL403" s="53" t="n"/>
      <c r="DM403" s="53" t="n"/>
      <c r="DN403" s="53" t="n"/>
      <c r="DO403" s="53" t="n"/>
      <c r="DP403" s="53" t="n"/>
      <c r="DQ403" s="53" t="n"/>
      <c r="DR403" s="53" t="n"/>
      <c r="DS403" s="53" t="n"/>
      <c r="DT403" s="53" t="n"/>
      <c r="DU403" s="53" t="n"/>
      <c r="DV403" s="53" t="n"/>
      <c r="DW403" s="53" t="n"/>
      <c r="DX403" s="53" t="n"/>
      <c r="DY403" s="53" t="n"/>
      <c r="DZ403" s="53" t="n"/>
      <c r="EA403" s="53" t="n"/>
      <c r="EB403" s="53" t="n"/>
      <c r="EC403" s="53" t="n"/>
      <c r="ED403" s="53" t="n"/>
      <c r="EE403" s="53" t="n"/>
      <c r="EF403" s="53" t="n"/>
      <c r="EG403" s="53" t="n"/>
      <c r="EH403" s="53" t="n"/>
      <c r="EI403" s="53" t="n"/>
      <c r="EJ403" s="53" t="n"/>
      <c r="EK403" s="53" t="n"/>
      <c r="EL403" s="53" t="n"/>
      <c r="EM403" s="53" t="n"/>
      <c r="EN403" s="53" t="n"/>
      <c r="EO403" s="53" t="n"/>
      <c r="EP403" s="53" t="n"/>
      <c r="EQ403" s="53" t="n"/>
      <c r="ER403" s="53" t="n"/>
      <c r="ES403" s="53" t="n"/>
      <c r="ET403" s="53" t="n"/>
      <c r="EU403" s="53" t="n"/>
      <c r="EV403" s="53" t="n"/>
      <c r="EW403" s="52" t="n"/>
      <c r="EX403" s="53" t="n"/>
      <c r="EY403" s="53" t="n"/>
      <c r="EZ403" s="53" t="n"/>
      <c r="FA403" s="53" t="n"/>
      <c r="FB403" s="53" t="n"/>
      <c r="FC403" s="53" t="n"/>
      <c r="FD403" s="53" t="n"/>
      <c r="FE403" s="55" t="inlineStr">
        <is>
          <t>KRAs not received · manager to supply</t>
        </is>
      </c>
      <c r="FF403" s="56" t="n"/>
      <c r="FG403" s="56" t="n"/>
      <c r="FH403" s="56" t="n"/>
      <c r="FI403" s="56" t="n"/>
      <c r="FJ403" s="32" t="inlineStr">
        <is>
          <t>KRAs not received · manager to supply</t>
        </is>
      </c>
      <c r="FK403" s="56" t="n"/>
      <c r="FL403" s="56" t="n">
        <v>20</v>
      </c>
      <c r="FM403" s="32" t="inlineStr">
        <is>
          <t>Full survey answers not in the files received · How We Grow export needed · HR</t>
        </is>
      </c>
      <c r="FN403" s="56" t="inlineStr">
        <is>
          <t>—</t>
        </is>
      </c>
      <c r="FO403" s="56" t="inlineStr">
        <is>
          <t>—</t>
        </is>
      </c>
      <c r="FP403" s="56" t="inlineStr">
        <is>
          <t>—</t>
        </is>
      </c>
      <c r="FQ403" s="56" t="inlineStr">
        <is>
          <t>—</t>
        </is>
      </c>
      <c r="FR403" s="56" t="n"/>
      <c r="FS403"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403" s="56" t="inlineStr">
        <is>
          <t>Self-identified: AI / automation · Technical depth &amp; architecture · Product &amp; tool knowledge · Broader exposure &amp; ownership
For the next role: AI / automation · Technical depth &amp; architecture · Product &amp; tool knowledge · Broader exposure &amp; ownership</t>
        </is>
      </c>
      <c r="FU403" s="32" t="inlineStr">
        <is>
          <t>Full survey answers not in the files received · How We Grow export needed · HR</t>
        </is>
      </c>
    </row>
    <row r="404" ht="90" customHeight="1">
      <c r="A404" s="51" t="inlineStr">
        <is>
          <t>◂ Back</t>
        </is>
      </c>
      <c r="B404" s="29" t="inlineStr">
        <is>
          <t>Mapped</t>
        </is>
      </c>
      <c r="C404" s="28" t="inlineStr">
        <is>
          <t>iFile</t>
        </is>
      </c>
      <c r="D404" s="29" t="inlineStr">
        <is>
          <t>IRIS1982</t>
        </is>
      </c>
      <c r="E404" s="29" t="inlineStr">
        <is>
          <t>Apurva Kirtikar</t>
        </is>
      </c>
      <c r="F404" s="29" t="inlineStr">
        <is>
          <t>Sales</t>
        </is>
      </c>
      <c r="G404" s="29" t="inlineStr">
        <is>
          <t>Senior Manager- Pre sales</t>
        </is>
      </c>
      <c r="H404" s="29" t="inlineStr">
        <is>
          <t>Senior Account Executive – POD Lead</t>
        </is>
      </c>
      <c r="I404" s="29" t="inlineStr">
        <is>
          <t>L6 – Senior Manager</t>
        </is>
      </c>
      <c r="J404" s="29" t="inlineStr">
        <is>
          <t>B2</t>
        </is>
      </c>
      <c r="K404" s="29" t="inlineStr">
        <is>
          <t>▼ Down · protected</t>
        </is>
      </c>
      <c r="L404" s="29" t="inlineStr">
        <is>
          <t>Sales &amp; Business Development</t>
        </is>
      </c>
      <c r="M404" s="29" t="inlineStr">
        <is>
          <t>Sales Leadership</t>
        </is>
      </c>
      <c r="N404" s="29" t="n"/>
      <c r="O404" s="29" t="n">
        <v>20</v>
      </c>
      <c r="P404" s="28" t="inlineStr">
        <is>
          <t>P4 / M3</t>
        </is>
      </c>
      <c r="Q404" s="29" t="inlineStr">
        <is>
          <t>Senior / Manager</t>
        </is>
      </c>
      <c r="R404" s="29" t="inlineStr">
        <is>
          <t>4–5</t>
        </is>
      </c>
      <c r="S404" s="29" t="inlineStr">
        <is>
          <t>6–9 yrs</t>
        </is>
      </c>
      <c r="T404" s="29" t="inlineStr">
        <is>
          <t>7–10 · 6–11</t>
        </is>
      </c>
      <c r="U404" s="29" t="inlineStr">
        <is>
          <t>Senior Account Executive</t>
        </is>
      </c>
      <c r="V404" s="29" t="inlineStr">
        <is>
          <t>IRIS Vs Competitor Benchmark — SaaS sales ladder — IC: Mid-Market AE · IRIS Vs Competitor Benchmark — SaaS sales ladder — management: Sales Manager</t>
        </is>
      </c>
      <c r="W404" s="29" t="inlineStr">
        <is>
          <t>SaaS sales ladder · SDR → AE → Enterprise AE → VP / CRO; MEDDICC-style qualification</t>
        </is>
      </c>
      <c r="X404" s="29" t="inlineStr">
        <is>
          <t>Core 3 · Future 3 · Functional 4 · Leadership 3</t>
        </is>
      </c>
      <c r="Y404" s="52" t="n">
        <v>206</v>
      </c>
      <c r="Z404" s="53" t="inlineStr">
        <is>
          <t>IRIS1982</t>
        </is>
      </c>
      <c r="AA404" s="53" t="inlineStr">
        <is>
          <t>Employee</t>
        </is>
      </c>
      <c r="AB404" s="53" t="inlineStr">
        <is>
          <t>Active</t>
        </is>
      </c>
      <c r="AC404" s="53" t="inlineStr">
        <is>
          <t>Apurva Kirtikar</t>
        </is>
      </c>
      <c r="AD404" s="54" t="n">
        <v>44580</v>
      </c>
      <c r="AE404" s="53" t="inlineStr">
        <is>
          <t>Senior Manager- Pre sales</t>
        </is>
      </c>
      <c r="AF404" s="53" t="inlineStr">
        <is>
          <t>M.Com</t>
        </is>
      </c>
      <c r="AG404" s="53" t="inlineStr">
        <is>
          <t>Shailesh Gupta</t>
        </is>
      </c>
      <c r="AH404" s="53" t="inlineStr">
        <is>
          <t>N-2</t>
        </is>
      </c>
      <c r="AI404" s="53" t="inlineStr">
        <is>
          <t>Manager</t>
        </is>
      </c>
      <c r="AJ404" s="53" t="inlineStr">
        <is>
          <t>8 years, 0 months, 0 days</t>
        </is>
      </c>
      <c r="AK404" s="53" t="inlineStr">
        <is>
          <t>4 years, 7 months, 6 days</t>
        </is>
      </c>
      <c r="AL404" s="53" t="inlineStr">
        <is>
          <t>Suptech</t>
        </is>
      </c>
      <c r="AM404" s="53" t="inlineStr">
        <is>
          <t>iFile</t>
        </is>
      </c>
      <c r="AN404" s="53" t="inlineStr">
        <is>
          <t>Sales</t>
        </is>
      </c>
      <c r="AO404" s="53" t="inlineStr">
        <is>
          <t>Pre-Sales</t>
        </is>
      </c>
      <c r="AP404" s="53" t="inlineStr">
        <is>
          <t>No</t>
        </is>
      </c>
      <c r="AQ404" s="53" t="inlineStr">
        <is>
          <t>Sales, Marketing &amp; Support</t>
        </is>
      </c>
      <c r="AR404" s="53" t="inlineStr">
        <is>
          <t>Pre-Sales</t>
        </is>
      </c>
      <c r="AS404" s="53" t="inlineStr">
        <is>
          <t>Non-technical</t>
        </is>
      </c>
      <c r="AT404" s="53" t="n">
        <v>20</v>
      </c>
      <c r="AU404" s="53" t="inlineStr">
        <is>
          <t>Covered</t>
        </is>
      </c>
      <c r="AV404" s="53" t="n"/>
      <c r="AW404" s="53" t="n"/>
      <c r="AX404" s="53" t="n"/>
      <c r="AY404" s="53" t="n"/>
      <c r="AZ404" s="53" t="n"/>
      <c r="BA404" s="53" t="n"/>
      <c r="BB404" s="53" t="n"/>
      <c r="BC404" s="53" t="n"/>
      <c r="BD404" s="53" t="n"/>
      <c r="BE404" s="53" t="n"/>
      <c r="BF404" s="53" t="n"/>
      <c r="BG404" s="53" t="n"/>
      <c r="BH404" s="53" t="n"/>
      <c r="BI404" s="53" t="n"/>
      <c r="BJ404" s="53" t="n"/>
      <c r="BK404" s="53" t="n"/>
      <c r="BL404" s="53" t="n"/>
      <c r="BM404" s="53" t="n"/>
      <c r="BN404" s="53" t="n"/>
      <c r="BO404" s="53" t="n"/>
      <c r="BP404" s="53" t="n"/>
      <c r="BQ404" s="53" t="n"/>
      <c r="BR404" s="53" t="n"/>
      <c r="BS404" s="53" t="n"/>
      <c r="BT404" s="53" t="n"/>
      <c r="BU404" s="53" t="n"/>
      <c r="BV404" s="53" t="n"/>
      <c r="BW404" s="53" t="n"/>
      <c r="BX404" s="53" t="n"/>
      <c r="BY404" s="53" t="n"/>
      <c r="BZ404" s="53" t="n"/>
      <c r="CA404" s="53" t="n"/>
      <c r="CB404" s="53" t="n"/>
      <c r="CC404" s="53" t="n"/>
      <c r="CD404" s="53" t="n"/>
      <c r="CE404" s="53" t="n"/>
      <c r="CF404" s="53" t="n"/>
      <c r="CG404" s="53" t="n"/>
      <c r="CH404" s="53" t="n"/>
      <c r="CI404" s="53" t="n"/>
      <c r="CJ404" s="53" t="n"/>
      <c r="CK404" s="53" t="n"/>
      <c r="CL404" s="53" t="n"/>
      <c r="CM404" s="53" t="n"/>
      <c r="CN404" s="53" t="n"/>
      <c r="CO404" s="53" t="n"/>
      <c r="CP404" s="53" t="n"/>
      <c r="CQ404" s="53" t="n"/>
      <c r="CR404" s="53" t="n"/>
      <c r="CS404" s="53" t="n"/>
      <c r="CT404" s="53" t="n"/>
      <c r="CU404" s="53" t="n"/>
      <c r="CV404" s="53" t="n"/>
      <c r="CW404" s="53" t="n"/>
      <c r="CX404" s="53" t="n"/>
      <c r="CY404" s="53" t="n"/>
      <c r="CZ404" s="53" t="n"/>
      <c r="DA404" s="53" t="n"/>
      <c r="DB404" s="53" t="n"/>
      <c r="DC404" s="53" t="n"/>
      <c r="DD404" s="53" t="inlineStr">
        <is>
          <t>IRIS1982</t>
        </is>
      </c>
      <c r="DE404" s="53" t="inlineStr">
        <is>
          <t>Employee</t>
        </is>
      </c>
      <c r="DF404" s="53" t="inlineStr">
        <is>
          <t>Active</t>
        </is>
      </c>
      <c r="DG404" s="53" t="inlineStr">
        <is>
          <t>Apurva Kirtikar</t>
        </is>
      </c>
      <c r="DH404" s="54" t="n">
        <v>44580</v>
      </c>
      <c r="DI404" s="53" t="inlineStr">
        <is>
          <t>Senior Manager- Pre sales</t>
        </is>
      </c>
      <c r="DJ404" s="53" t="inlineStr">
        <is>
          <t>Sales &amp; Business Development</t>
        </is>
      </c>
      <c r="DK404" s="53" t="inlineStr">
        <is>
          <t>Pre-Sales / Solutions</t>
        </is>
      </c>
      <c r="DL404" s="53" t="inlineStr">
        <is>
          <t>Senior Manager- Pre sales</t>
        </is>
      </c>
      <c r="DM404" s="53" t="inlineStr">
        <is>
          <t>L6 – Senior Manager</t>
        </is>
      </c>
      <c r="DN404" s="53" t="inlineStr">
        <is>
          <t>M.Com</t>
        </is>
      </c>
      <c r="DO404" s="53" t="inlineStr">
        <is>
          <t>Shailesh Gupta</t>
        </is>
      </c>
      <c r="DP404" s="53" t="inlineStr">
        <is>
          <t>N-2</t>
        </is>
      </c>
      <c r="DQ404" s="53" t="inlineStr">
        <is>
          <t>Manager</t>
        </is>
      </c>
      <c r="DR404" s="53" t="inlineStr">
        <is>
          <t>8 years, 0 months, 0 days</t>
        </is>
      </c>
      <c r="DS404" s="53" t="inlineStr">
        <is>
          <t>4 years, 5 months, 1 days</t>
        </is>
      </c>
      <c r="DT404" s="53" t="inlineStr">
        <is>
          <t>12 years, 5 months, 1 days</t>
        </is>
      </c>
      <c r="DU404" s="53" t="n">
        <v>4.41940639269406</v>
      </c>
      <c r="DV404" s="53" t="inlineStr">
        <is>
          <t>Suptech</t>
        </is>
      </c>
      <c r="DW404" s="53" t="inlineStr">
        <is>
          <t>iFile</t>
        </is>
      </c>
      <c r="DX404" s="53" t="inlineStr">
        <is>
          <t>Sales</t>
        </is>
      </c>
      <c r="DY404" s="53" t="inlineStr">
        <is>
          <t>Pre-Sales</t>
        </is>
      </c>
      <c r="DZ404" s="53" t="inlineStr">
        <is>
          <t>No</t>
        </is>
      </c>
      <c r="EA404" s="53" t="inlineStr">
        <is>
          <t>Sales, Marketing &amp; Support</t>
        </is>
      </c>
      <c r="EB404" s="53" t="inlineStr">
        <is>
          <t>Pre-Sales</t>
        </is>
      </c>
      <c r="EC404" s="53" t="inlineStr">
        <is>
          <t>Non-technical</t>
        </is>
      </c>
      <c r="ED404" s="53" t="inlineStr">
        <is>
          <t>Hybrid</t>
        </is>
      </c>
      <c r="EE404" s="53" t="n"/>
      <c r="EF404" s="53"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EG404"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404" s="53" t="n">
        <v>4</v>
      </c>
      <c r="EI404" s="54" t="n">
        <v>46113</v>
      </c>
      <c r="EJ404" s="53" t="inlineStr">
        <is>
          <t>Senior Manager- Pre sales</t>
        </is>
      </c>
      <c r="EK404" s="53" t="inlineStr">
        <is>
          <t>Yes</t>
        </is>
      </c>
      <c r="EL404" s="53" t="n">
        <v>4</v>
      </c>
      <c r="EM404" s="53" t="inlineStr">
        <is>
          <t>Medium</t>
        </is>
      </c>
      <c r="EN404" s="53" t="inlineStr">
        <is>
          <t>High Impact / Growth Talent</t>
        </is>
      </c>
      <c r="EO404" s="53" t="inlineStr">
        <is>
          <t>No</t>
        </is>
      </c>
      <c r="EP404" s="53" t="inlineStr">
        <is>
          <t>No</t>
        </is>
      </c>
      <c r="EQ404" s="53" t="n"/>
      <c r="ER404" s="53" t="n"/>
      <c r="ES404" s="53" t="inlineStr">
        <is>
          <t>SaaS/RegTech product &amp; domain knowledge, Knowledge of competition - product and pricing, Knowledge of Tech trends and AI</t>
        </is>
      </c>
      <c r="ET404" s="53" t="n"/>
      <c r="EU404" s="53" t="n"/>
      <c r="EV404" s="53" t="n"/>
      <c r="EW404" s="52" t="n"/>
      <c r="EX404" s="53" t="n"/>
      <c r="EY404" s="53" t="n"/>
      <c r="EZ404" s="53" t="n"/>
      <c r="FA404" s="53" t="n"/>
      <c r="FB404" s="53" t="n"/>
      <c r="FC404" s="53" t="n"/>
      <c r="FD404" s="53" t="n"/>
      <c r="FE404" s="57" t="inlineStr">
        <is>
          <t>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FF404"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404" s="56" t="n"/>
      <c r="FH404" s="56" t="inlineStr">
        <is>
          <t>4</t>
        </is>
      </c>
      <c r="FI404" s="56" t="n"/>
      <c r="FJ404" s="56" t="inlineStr">
        <is>
          <t>Received · manager annual, quarterly</t>
        </is>
      </c>
      <c r="FK404" s="56" t="inlineStr">
        <is>
          <t>Talent Mapping · iFile collated</t>
        </is>
      </c>
      <c r="FL404" s="56" t="n">
        <v>20</v>
      </c>
      <c r="FM404" s="32" t="inlineStr">
        <is>
          <t>Full survey answers not in the files received · How We Grow export needed · HR</t>
        </is>
      </c>
      <c r="FN404" s="56" t="inlineStr">
        <is>
          <t>—</t>
        </is>
      </c>
      <c r="FO404" s="56" t="inlineStr">
        <is>
          <t>—</t>
        </is>
      </c>
      <c r="FP404" s="56" t="inlineStr">
        <is>
          <t>—</t>
        </is>
      </c>
      <c r="FQ404" s="56" t="inlineStr">
        <is>
          <t>—</t>
        </is>
      </c>
      <c r="FR404" s="56"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records and client meetings → moved down 0.2
Leadership: Evidence reads like A2: One direct report in HR data; only follow-ups with teams described → moved down 1
Business Impact: No survey or manager-mapping signal on criticality: kept at the start point.</t>
        </is>
      </c>
      <c r="FS404"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404" s="56" t="inlineStr">
        <is>
          <t>Self-identified: Broader exposure &amp; ownership
For the next role: Broader exposure &amp; ownership</t>
        </is>
      </c>
      <c r="FU404" s="32" t="inlineStr">
        <is>
          <t>Full survey answers not in the files received · How We Grow export needed · HR</t>
        </is>
      </c>
    </row>
    <row r="405" ht="90" customHeight="1">
      <c r="A405" s="51" t="inlineStr">
        <is>
          <t>◂ Back</t>
        </is>
      </c>
      <c r="B405" s="29" t="inlineStr">
        <is>
          <t>Mapped</t>
        </is>
      </c>
      <c r="C405" s="28" t="inlineStr">
        <is>
          <t>iFile</t>
        </is>
      </c>
      <c r="D405" s="29" t="inlineStr">
        <is>
          <t>IRIS2551</t>
        </is>
      </c>
      <c r="E405" s="29" t="inlineStr">
        <is>
          <t>Devam Khatri</t>
        </is>
      </c>
      <c r="F405" s="29" t="inlineStr">
        <is>
          <t>Sales</t>
        </is>
      </c>
      <c r="G405" s="29" t="inlineStr">
        <is>
          <t>Manager - Pre Sales</t>
        </is>
      </c>
      <c r="H405" s="29" t="inlineStr">
        <is>
          <t>Pre-Sales Specialist</t>
        </is>
      </c>
      <c r="I405" s="29" t="inlineStr">
        <is>
          <t>Not in current mapping files</t>
        </is>
      </c>
      <c r="J405" s="29" t="inlineStr">
        <is>
          <t>B1</t>
        </is>
      </c>
      <c r="K405" s="29" t="inlineStr">
        <is>
          <t>● Newly mapped</t>
        </is>
      </c>
      <c r="L405" s="29" t="inlineStr">
        <is>
          <t>Sales &amp; Business Development</t>
        </is>
      </c>
      <c r="M405" s="29" t="inlineStr">
        <is>
          <t>Pre-Sales &amp; Solution Demos</t>
        </is>
      </c>
      <c r="N405" s="29" t="n"/>
      <c r="O405" s="29" t="n">
        <v>20</v>
      </c>
      <c r="P405" s="28" t="inlineStr">
        <is>
          <t>P3 / M2</t>
        </is>
      </c>
      <c r="Q405" s="29" t="inlineStr">
        <is>
          <t>Career / · Team Lead</t>
        </is>
      </c>
      <c r="R405" s="29" t="inlineStr">
        <is>
          <t>4 Enable</t>
        </is>
      </c>
      <c r="S405" s="29" t="inlineStr">
        <is>
          <t>4–7 yrs</t>
        </is>
      </c>
      <c r="T405" s="29" t="inlineStr">
        <is>
          <t>5–8 · 4–8</t>
        </is>
      </c>
      <c r="U405" s="29" t="inlineStr">
        <is>
          <t>Account Executive</t>
        </is>
      </c>
      <c r="V405" s="29" t="inlineStr">
        <is>
          <t>IRIS Vs Competitor Benchmark — SaaS sales ladder — IC: Account Executive · SMB · IRIS Vs Competitor Benchmark — SaaS sales ladder — management: SDR Team Lead</t>
        </is>
      </c>
      <c r="W405" s="29" t="inlineStr">
        <is>
          <t>SaaS sales ladder · SDR → AE → Enterprise AE → VP / CRO; MEDDICC-style qualification</t>
        </is>
      </c>
      <c r="X405" s="29" t="inlineStr">
        <is>
          <t>Core 3 · Future 3 · Functional 3 · Leadership 1</t>
        </is>
      </c>
      <c r="Y405" s="52" t="n">
        <v>524</v>
      </c>
      <c r="Z405" s="53" t="inlineStr">
        <is>
          <t>IRIS2551</t>
        </is>
      </c>
      <c r="AA405" s="53" t="inlineStr">
        <is>
          <t>Employee</t>
        </is>
      </c>
      <c r="AB405" s="53" t="inlineStr">
        <is>
          <t>Active</t>
        </is>
      </c>
      <c r="AC405" s="53" t="inlineStr">
        <is>
          <t>Devam Khatri</t>
        </is>
      </c>
      <c r="AD405" s="54" t="n">
        <v>46237</v>
      </c>
      <c r="AE405" s="53" t="inlineStr">
        <is>
          <t>Manager - Pre Sales</t>
        </is>
      </c>
      <c r="AF405" s="53" t="inlineStr">
        <is>
          <t>MBA</t>
        </is>
      </c>
      <c r="AG405" s="53" t="inlineStr">
        <is>
          <t>Apurva Kirtikar</t>
        </is>
      </c>
      <c r="AH405" s="53" t="inlineStr">
        <is>
          <t>N-3</t>
        </is>
      </c>
      <c r="AI405" s="53" t="inlineStr">
        <is>
          <t>Individual Contributor</t>
        </is>
      </c>
      <c r="AJ405" s="53" t="inlineStr">
        <is>
          <t>5 years, 0 months, 0 days</t>
        </is>
      </c>
      <c r="AK405" s="53" t="inlineStr">
        <is>
          <t>0 years, 0 months, 22 days</t>
        </is>
      </c>
      <c r="AL405" s="53" t="inlineStr">
        <is>
          <t>Suptech</t>
        </is>
      </c>
      <c r="AM405" s="53" t="inlineStr">
        <is>
          <t>iFile</t>
        </is>
      </c>
      <c r="AN405" s="53" t="inlineStr">
        <is>
          <t>Sales</t>
        </is>
      </c>
      <c r="AO405" s="53" t="inlineStr">
        <is>
          <t>Pre-Sales</t>
        </is>
      </c>
      <c r="AP405" s="53" t="inlineStr">
        <is>
          <t>No</t>
        </is>
      </c>
      <c r="AQ405" s="53" t="inlineStr">
        <is>
          <t>Sales, Marketing &amp; Support</t>
        </is>
      </c>
      <c r="AR405" s="53" t="inlineStr">
        <is>
          <t>Pre-sales</t>
        </is>
      </c>
      <c r="AS405" s="53" t="inlineStr">
        <is>
          <t>Non-technical</t>
        </is>
      </c>
      <c r="AT405" s="53" t="n">
        <v>20</v>
      </c>
      <c r="AU405" s="53" t="inlineStr">
        <is>
          <t>Covered</t>
        </is>
      </c>
      <c r="AV405" s="53" t="n"/>
      <c r="AW405" s="53" t="n"/>
      <c r="AX405" s="53" t="n"/>
      <c r="AY405" s="53" t="n"/>
      <c r="AZ405" s="53" t="n"/>
      <c r="BA405" s="53" t="n"/>
      <c r="BB405" s="53" t="n"/>
      <c r="BC405" s="53" t="n"/>
      <c r="BD405" s="53" t="n"/>
      <c r="BE405" s="53" t="n"/>
      <c r="BF405" s="53" t="n"/>
      <c r="BG405" s="53" t="n"/>
      <c r="BH405" s="53" t="n"/>
      <c r="BI405" s="53" t="n"/>
      <c r="BJ405" s="53" t="n"/>
      <c r="BK405" s="53" t="n"/>
      <c r="BL405" s="53" t="n"/>
      <c r="BM405" s="53" t="n"/>
      <c r="BN405" s="53" t="n"/>
      <c r="BO405" s="53" t="n"/>
      <c r="BP405" s="53" t="n"/>
      <c r="BQ405" s="53" t="n"/>
      <c r="BR405" s="53" t="n"/>
      <c r="BS405" s="53" t="n"/>
      <c r="BT405" s="53" t="n"/>
      <c r="BU405" s="53" t="n"/>
      <c r="BV405" s="53" t="n"/>
      <c r="BW405" s="53" t="n"/>
      <c r="BX405" s="53" t="n"/>
      <c r="BY405" s="53" t="n"/>
      <c r="BZ405" s="53" t="n"/>
      <c r="CA405" s="53" t="n"/>
      <c r="CB405" s="53" t="n"/>
      <c r="CC405" s="53" t="n"/>
      <c r="CD405" s="53" t="n"/>
      <c r="CE405" s="53" t="n"/>
      <c r="CF405" s="53" t="n"/>
      <c r="CG405" s="53" t="n"/>
      <c r="CH405" s="53" t="n"/>
      <c r="CI405" s="53" t="n"/>
      <c r="CJ405" s="53" t="n"/>
      <c r="CK405" s="53" t="n"/>
      <c r="CL405" s="53" t="n"/>
      <c r="CM405" s="53" t="n"/>
      <c r="CN405" s="53" t="n"/>
      <c r="CO405" s="53" t="n"/>
      <c r="CP405" s="53" t="n"/>
      <c r="CQ405" s="53" t="n"/>
      <c r="CR405" s="53" t="n"/>
      <c r="CS405" s="53" t="n"/>
      <c r="CT405" s="53" t="n"/>
      <c r="CU405" s="53" t="n"/>
      <c r="CV405" s="53" t="n"/>
      <c r="CW405" s="53" t="n"/>
      <c r="CX405" s="53" t="n"/>
      <c r="CY405" s="53" t="n"/>
      <c r="CZ405" s="53" t="n"/>
      <c r="DA405" s="53" t="n"/>
      <c r="DB405" s="53" t="n"/>
      <c r="DC405" s="53" t="n"/>
      <c r="DD405" s="53" t="n"/>
      <c r="DE405" s="53" t="n"/>
      <c r="DF405" s="53" t="n"/>
      <c r="DG405" s="53" t="n"/>
      <c r="DH405" s="53" t="n"/>
      <c r="DI405" s="53" t="n"/>
      <c r="DJ405" s="53" t="n"/>
      <c r="DK405" s="53" t="n"/>
      <c r="DL405" s="53" t="n"/>
      <c r="DM405" s="53" t="n"/>
      <c r="DN405" s="53" t="n"/>
      <c r="DO405" s="53" t="n"/>
      <c r="DP405" s="53" t="n"/>
      <c r="DQ405" s="53" t="n"/>
      <c r="DR405" s="53" t="n"/>
      <c r="DS405" s="53" t="n"/>
      <c r="DT405" s="53" t="n"/>
      <c r="DU405" s="53" t="n"/>
      <c r="DV405" s="53" t="n"/>
      <c r="DW405" s="53" t="n"/>
      <c r="DX405" s="53" t="n"/>
      <c r="DY405" s="53" t="n"/>
      <c r="DZ405" s="53" t="n"/>
      <c r="EA405" s="53" t="n"/>
      <c r="EB405" s="53" t="n"/>
      <c r="EC405" s="53" t="n"/>
      <c r="ED405" s="53" t="n"/>
      <c r="EE405" s="53" t="n"/>
      <c r="EF405" s="53" t="n"/>
      <c r="EG405" s="53" t="n"/>
      <c r="EH405" s="53" t="n"/>
      <c r="EI405" s="53" t="n"/>
      <c r="EJ405" s="53" t="n"/>
      <c r="EK405" s="53" t="n"/>
      <c r="EL405" s="53" t="n"/>
      <c r="EM405" s="53" t="n"/>
      <c r="EN405" s="53" t="n"/>
      <c r="EO405" s="53" t="n"/>
      <c r="EP405" s="53" t="n"/>
      <c r="EQ405" s="53" t="n"/>
      <c r="ER405" s="53" t="n"/>
      <c r="ES405" s="53" t="n"/>
      <c r="ET405" s="53" t="n"/>
      <c r="EU405" s="53" t="n"/>
      <c r="EV405" s="53" t="n"/>
      <c r="EW405" s="52" t="n"/>
      <c r="EX405" s="53" t="n"/>
      <c r="EY405" s="53" t="n"/>
      <c r="EZ405" s="53" t="n"/>
      <c r="FA405" s="53" t="n"/>
      <c r="FB405" s="53" t="n"/>
      <c r="FC405" s="53" t="n"/>
      <c r="FD405" s="53" t="n"/>
      <c r="FE405" s="55" t="inlineStr">
        <is>
          <t>KRAs not received · manager to supply</t>
        </is>
      </c>
      <c r="FF405" s="56" t="n"/>
      <c r="FG405" s="56" t="n"/>
      <c r="FH405" s="56" t="n"/>
      <c r="FI405" s="56" t="n"/>
      <c r="FJ405" s="32" t="inlineStr">
        <is>
          <t>KRAs not received · manager to supply</t>
        </is>
      </c>
      <c r="FK405" s="56" t="n"/>
      <c r="FL405" s="56" t="n">
        <v>20</v>
      </c>
      <c r="FM405" s="32" t="inlineStr">
        <is>
          <t>Full survey answers not in the files received · How We Grow export needed · HR</t>
        </is>
      </c>
      <c r="FN405" s="56" t="inlineStr">
        <is>
          <t>—</t>
        </is>
      </c>
      <c r="FO405" s="56" t="inlineStr">
        <is>
          <t>—</t>
        </is>
      </c>
      <c r="FP405" s="56" t="inlineStr">
        <is>
          <t>—</t>
        </is>
      </c>
      <c r="FQ405" s="56" t="inlineStr">
        <is>
          <t>—</t>
        </is>
      </c>
      <c r="FR405" s="56"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monthly tracker; misses escalate and cost revenue → moved down 1
Leadership: Evidence reads like A1: No guidance or leadership of others described → moved down 1
Business Impact: No survey or manager-mapping signal on criticality: kept at the start point.</t>
        </is>
      </c>
      <c r="FS405" s="56" t="n"/>
      <c r="FT405" s="56" t="inlineStr">
        <is>
          <t>Self-identified: Answered · no common topic
For the next role: Answered · no common topic</t>
        </is>
      </c>
      <c r="FU405" s="32" t="inlineStr">
        <is>
          <t>Full survey answers not in the files received · How We Grow export needed · HR</t>
        </is>
      </c>
    </row>
    <row r="406" ht="90" customHeight="1">
      <c r="A406" s="51" t="inlineStr">
        <is>
          <t>◂ Back</t>
        </is>
      </c>
      <c r="B406" s="29" t="inlineStr">
        <is>
          <t>Mapped</t>
        </is>
      </c>
      <c r="C406" s="28" t="inlineStr">
        <is>
          <t>Datatech</t>
        </is>
      </c>
      <c r="D406" s="29" t="inlineStr">
        <is>
          <t>IRISDT0001</t>
        </is>
      </c>
      <c r="E406" s="29" t="inlineStr">
        <is>
          <t>Shilpa Dhobale</t>
        </is>
      </c>
      <c r="F406" s="29" t="inlineStr">
        <is>
          <t>Datatech Business Head</t>
        </is>
      </c>
      <c r="G406" s="29" t="inlineStr">
        <is>
          <t>Business Head - DataTech</t>
        </is>
      </c>
      <c r="H406" s="29" t="inlineStr">
        <is>
          <t>Business Head – DataTech</t>
        </is>
      </c>
      <c r="I406" s="29" t="inlineStr">
        <is>
          <t>L7 – Head / Sr Director</t>
        </is>
      </c>
      <c r="J406" s="29" t="inlineStr">
        <is>
          <t>D2</t>
        </is>
      </c>
      <c r="K406" s="29" t="inlineStr">
        <is>
          <t>▲ Up</t>
        </is>
      </c>
      <c r="L406" s="29" t="inlineStr">
        <is>
          <t>Executive Leadership</t>
        </is>
      </c>
      <c r="M406" s="29" t="inlineStr">
        <is>
          <t>Business Head</t>
        </is>
      </c>
      <c r="N406" s="29" t="inlineStr">
        <is>
          <t>• Survey response or KRAs describing the work · nothing on file — Employee + manager
• Correct the experience record — HR</t>
        </is>
      </c>
      <c r="O406" s="29" t="n">
        <v>0</v>
      </c>
      <c r="P406" s="28" t="inlineStr">
        <is>
          <t>E3–E4</t>
        </is>
      </c>
      <c r="Q406" s="29" t="inlineStr">
        <is>
          <t>SVP</t>
        </is>
      </c>
      <c r="R406" s="29" t="inlineStr">
        <is>
          <t>7 Set strategy</t>
        </is>
      </c>
      <c r="S406" s="29" t="inlineStr">
        <is>
          <t>18–24 yrs</t>
        </is>
      </c>
      <c r="T406" s="29" t="inlineStr">
        <is>
          <t>—</t>
        </is>
      </c>
      <c r="U406" s="29" t="inlineStr">
        <is>
          <t>Associate Vice President</t>
        </is>
      </c>
      <c r="V406" s="29" t="inlineStr">
        <is>
          <t>IRIS Vs Market Benchmark — Aon Radford / Mercer executive codes: E3–E4 SVP · IRIS Vs Competitor Benchmark — regtech / SaaS executive titles: SVP</t>
        </is>
      </c>
      <c r="W406" s="29" t="inlineStr">
        <is>
          <t>Aon Radford executive levels E1–E6; Mercer ET1–ET3; Korn Ferry Leadership Architect</t>
        </is>
      </c>
      <c r="X406" s="29" t="inlineStr">
        <is>
          <t>Core 5 · Future 4 · Functional 4 · Leadership 5</t>
        </is>
      </c>
      <c r="Y406" s="52" t="n">
        <v>538</v>
      </c>
      <c r="Z406" s="53" t="inlineStr">
        <is>
          <t>IRISDT0001</t>
        </is>
      </c>
      <c r="AA406" s="53" t="inlineStr">
        <is>
          <t>Employee</t>
        </is>
      </c>
      <c r="AB406" s="53" t="inlineStr">
        <is>
          <t>Active</t>
        </is>
      </c>
      <c r="AC406" s="53" t="inlineStr">
        <is>
          <t>Shilpa Dhobale</t>
        </is>
      </c>
      <c r="AD406" s="54" t="n">
        <v>45627</v>
      </c>
      <c r="AE406" s="53" t="inlineStr">
        <is>
          <t>Business Head - DataTech</t>
        </is>
      </c>
      <c r="AF406" s="53" t="inlineStr">
        <is>
          <t>CWA</t>
        </is>
      </c>
      <c r="AG406" s="53" t="inlineStr">
        <is>
          <t>Balachandran K</t>
        </is>
      </c>
      <c r="AH406" s="53" t="inlineStr">
        <is>
          <t>N-1</t>
        </is>
      </c>
      <c r="AI406" s="53" t="inlineStr">
        <is>
          <t>Manager</t>
        </is>
      </c>
      <c r="AJ406" s="53" t="inlineStr">
        <is>
          <t>2 years, 0 months, 0 days</t>
        </is>
      </c>
      <c r="AK406" s="53" t="inlineStr">
        <is>
          <t>1 years, 8 months, 24 days</t>
        </is>
      </c>
      <c r="AL406" s="53" t="inlineStr">
        <is>
          <t>Datatech</t>
        </is>
      </c>
      <c r="AM406" s="53" t="inlineStr">
        <is>
          <t>Datatech</t>
        </is>
      </c>
      <c r="AN406" s="53" t="inlineStr">
        <is>
          <t>Datatech Business Head</t>
        </is>
      </c>
      <c r="AO406" s="53" t="inlineStr">
        <is>
          <t>Client Engagement</t>
        </is>
      </c>
      <c r="AP406" s="53" t="inlineStr">
        <is>
          <t>No</t>
        </is>
      </c>
      <c r="AQ406" s="53" t="inlineStr">
        <is>
          <t>Client Engagement</t>
        </is>
      </c>
      <c r="AR406" s="53" t="inlineStr">
        <is>
          <t>Product Management</t>
        </is>
      </c>
      <c r="AS406" s="53" t="inlineStr">
        <is>
          <t>Technical · BA, PM and QA</t>
        </is>
      </c>
      <c r="AT406" s="53" t="n">
        <v>0</v>
      </c>
      <c r="AU406" s="53" t="inlineStr">
        <is>
          <t>E-Top management</t>
        </is>
      </c>
      <c r="AV406" s="53" t="n"/>
      <c r="AW406" s="53" t="n"/>
      <c r="AX406" s="53" t="n"/>
      <c r="AY406" s="53" t="n"/>
      <c r="AZ406" s="53" t="n"/>
      <c r="BA406" s="53" t="n"/>
      <c r="BB406" s="53" t="n"/>
      <c r="BC406" s="53" t="n"/>
      <c r="BD406" s="53" t="n"/>
      <c r="BE406" s="53" t="n"/>
      <c r="BF406" s="53" t="n"/>
      <c r="BG406" s="53" t="n"/>
      <c r="BH406" s="53" t="n"/>
      <c r="BI406" s="53" t="n"/>
      <c r="BJ406" s="53" t="n"/>
      <c r="BK406" s="53" t="n"/>
      <c r="BL406" s="53" t="n"/>
      <c r="BM406" s="53" t="n"/>
      <c r="BN406" s="53" t="n"/>
      <c r="BO406" s="53" t="n"/>
      <c r="BP406" s="53" t="n"/>
      <c r="BQ406" s="53" t="n"/>
      <c r="BR406" s="53" t="n"/>
      <c r="BS406" s="53" t="n"/>
      <c r="BT406" s="53" t="n"/>
      <c r="BU406" s="53" t="n"/>
      <c r="BV406" s="53" t="n"/>
      <c r="BW406" s="53" t="n"/>
      <c r="BX406" s="53" t="n"/>
      <c r="BY406" s="53" t="n"/>
      <c r="BZ406" s="53" t="n"/>
      <c r="CA406" s="53" t="n"/>
      <c r="CB406" s="53" t="n"/>
      <c r="CC406" s="53" t="n"/>
      <c r="CD406" s="53" t="n"/>
      <c r="CE406" s="53" t="n"/>
      <c r="CF406" s="53" t="n"/>
      <c r="CG406" s="53" t="n"/>
      <c r="CH406" s="53" t="n"/>
      <c r="CI406" s="53" t="n"/>
      <c r="CJ406" s="53" t="n"/>
      <c r="CK406" s="53" t="n"/>
      <c r="CL406" s="53" t="n"/>
      <c r="CM406" s="53" t="n"/>
      <c r="CN406" s="53" t="n"/>
      <c r="CO406" s="53" t="n"/>
      <c r="CP406" s="53" t="n"/>
      <c r="CQ406" s="53" t="n"/>
      <c r="CR406" s="53" t="n"/>
      <c r="CS406" s="53" t="n"/>
      <c r="CT406" s="53" t="n"/>
      <c r="CU406" s="53" t="n"/>
      <c r="CV406" s="53" t="n"/>
      <c r="CW406" s="53" t="n"/>
      <c r="CX406" s="53" t="n"/>
      <c r="CY406" s="53" t="n"/>
      <c r="CZ406" s="53" t="n"/>
      <c r="DA406" s="53" t="n"/>
      <c r="DB406" s="53" t="n"/>
      <c r="DC406" s="53" t="n"/>
      <c r="DD406" s="53" t="inlineStr">
        <is>
          <t>IRIS2325</t>
        </is>
      </c>
      <c r="DE406" s="53" t="inlineStr">
        <is>
          <t>Employee</t>
        </is>
      </c>
      <c r="DF406" s="53" t="inlineStr">
        <is>
          <t>Active</t>
        </is>
      </c>
      <c r="DG406" s="53" t="inlineStr">
        <is>
          <t>Shilpa Dhobale</t>
        </is>
      </c>
      <c r="DH406" s="54" t="n">
        <v>45627</v>
      </c>
      <c r="DI406" s="53" t="inlineStr">
        <is>
          <t>Head - Product Excellence</t>
        </is>
      </c>
      <c r="DJ406" s="53" t="inlineStr">
        <is>
          <t>Customer Success &amp; Support</t>
        </is>
      </c>
      <c r="DK406" s="53" t="inlineStr">
        <is>
          <t>Client / Product Support</t>
        </is>
      </c>
      <c r="DL406" s="53" t="inlineStr">
        <is>
          <t>Head - Product Excellence</t>
        </is>
      </c>
      <c r="DM406" s="53" t="inlineStr">
        <is>
          <t>L7 – Head / Sr Director</t>
        </is>
      </c>
      <c r="DN406" s="53" t="inlineStr">
        <is>
          <t>CWA</t>
        </is>
      </c>
      <c r="DO406" s="53" t="inlineStr">
        <is>
          <t>Balachandran K</t>
        </is>
      </c>
      <c r="DP406" s="53" t="inlineStr">
        <is>
          <t>N-1</t>
        </is>
      </c>
      <c r="DQ406" s="53" t="inlineStr">
        <is>
          <t>Manager</t>
        </is>
      </c>
      <c r="DR406" s="53" t="inlineStr">
        <is>
          <t>2 years, 0 months, 0 days</t>
        </is>
      </c>
      <c r="DS406" s="53" t="inlineStr">
        <is>
          <t>1 years, 6 months, 19 days</t>
        </is>
      </c>
      <c r="DT406" s="53" t="inlineStr">
        <is>
          <t>3 years, 6 months, 19 days</t>
        </is>
      </c>
      <c r="DU406" s="53" t="n">
        <v>1.55205479452055</v>
      </c>
      <c r="DV406" s="53" t="inlineStr">
        <is>
          <t>Datatech</t>
        </is>
      </c>
      <c r="DW406" s="53" t="inlineStr">
        <is>
          <t>Datatech</t>
        </is>
      </c>
      <c r="DX406" s="53" t="inlineStr">
        <is>
          <t>Datatech Business Head</t>
        </is>
      </c>
      <c r="DY406" s="53" t="inlineStr">
        <is>
          <t>Client Engagement</t>
        </is>
      </c>
      <c r="DZ406" s="53" t="inlineStr">
        <is>
          <t>No</t>
        </is>
      </c>
      <c r="EA406" s="53" t="inlineStr">
        <is>
          <t>Client Engagement</t>
        </is>
      </c>
      <c r="EB406" s="53" t="inlineStr">
        <is>
          <t>Product Management</t>
        </is>
      </c>
      <c r="EC406" s="53" t="inlineStr">
        <is>
          <t>Technical · BA, PM and QA</t>
        </is>
      </c>
      <c r="ED406" s="53" t="inlineStr">
        <is>
          <t>Turbhe</t>
        </is>
      </c>
      <c r="EE406" s="53" t="n"/>
      <c r="EF406" s="53" t="n"/>
      <c r="EG406" s="53" t="n"/>
      <c r="EH406" s="53" t="n">
        <v>3</v>
      </c>
      <c r="EI406" s="53" t="n"/>
      <c r="EJ406" s="53" t="inlineStr">
        <is>
          <t>Business Head</t>
        </is>
      </c>
      <c r="EK406" s="53" t="inlineStr">
        <is>
          <t>No</t>
        </is>
      </c>
      <c r="EL406" s="53" t="n">
        <v>3</v>
      </c>
      <c r="EM406" s="53" t="n">
        <v>3</v>
      </c>
      <c r="EN406" s="53" t="inlineStr">
        <is>
          <t>Future Leader</t>
        </is>
      </c>
      <c r="EO406" s="53" t="inlineStr">
        <is>
          <t>No</t>
        </is>
      </c>
      <c r="EP406" s="53" t="inlineStr">
        <is>
          <t>No</t>
        </is>
      </c>
      <c r="EQ406" s="53" t="inlineStr">
        <is>
          <t>Yes</t>
        </is>
      </c>
      <c r="ER406" s="53" t="n"/>
      <c r="ES406" s="53" t="inlineStr">
        <is>
          <t>Leaderdership coaching and stakeholder management,</t>
        </is>
      </c>
      <c r="ET406" s="53" t="inlineStr">
        <is>
          <t>leadership coaching</t>
        </is>
      </c>
      <c r="EU406" s="53" t="n"/>
      <c r="EV406" s="53" t="inlineStr">
        <is>
          <t>All</t>
        </is>
      </c>
      <c r="EW406" s="52" t="n"/>
      <c r="EX406" s="53" t="n"/>
      <c r="EY406" s="53" t="n"/>
      <c r="EZ406" s="53" t="n"/>
      <c r="FA406" s="53" t="n"/>
      <c r="FB406" s="53" t="n"/>
      <c r="FC406" s="53" t="n"/>
      <c r="FD406" s="53" t="inlineStr">
        <is>
          <t>IRIS2325</t>
        </is>
      </c>
      <c r="FE406" s="55" t="inlineStr">
        <is>
          <t>KRAs not received · manager to supply</t>
        </is>
      </c>
      <c r="FF406" s="56" t="n"/>
      <c r="FG406" s="56" t="n"/>
      <c r="FH406" s="56" t="inlineStr">
        <is>
          <t>3</t>
        </is>
      </c>
      <c r="FI406" s="56" t="n"/>
      <c r="FJ406" s="32" t="inlineStr">
        <is>
          <t>KRAs not received · manager to supply</t>
        </is>
      </c>
      <c r="FK406" s="56" t="inlineStr">
        <is>
          <t>Talent Mapping · Datatech</t>
        </is>
      </c>
      <c r="FL406" s="56" t="n">
        <v>0</v>
      </c>
      <c r="FM406" s="32" t="inlineStr">
        <is>
          <t>No survey response on file</t>
        </is>
      </c>
      <c r="FN406" s="56" t="inlineStr">
        <is>
          <t>—</t>
        </is>
      </c>
      <c r="FO406" s="56" t="inlineStr">
        <is>
          <t>—</t>
        </is>
      </c>
      <c r="FP406" s="56" t="inlineStr">
        <is>
          <t>—</t>
        </is>
      </c>
      <c r="FQ406" s="56" t="inlineStr">
        <is>
          <t>—</t>
        </is>
      </c>
      <c r="FR40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06" s="56" t="n"/>
      <c r="FT406" s="56" t="n"/>
      <c r="FU406" s="32" t="inlineStr">
        <is>
          <t>No survey response on file</t>
        </is>
      </c>
    </row>
    <row r="407" ht="90" customHeight="1">
      <c r="A407" s="51" t="inlineStr">
        <is>
          <t>◂ Back</t>
        </is>
      </c>
      <c r="B407" s="29" t="inlineStr">
        <is>
          <t>Mapped</t>
        </is>
      </c>
      <c r="C407" s="28" t="inlineStr">
        <is>
          <t>Datatech</t>
        </is>
      </c>
      <c r="D407" s="29" t="inlineStr">
        <is>
          <t>IRISDT0019</t>
        </is>
      </c>
      <c r="E407" s="29" t="inlineStr">
        <is>
          <t>Abhishek Gite</t>
        </is>
      </c>
      <c r="F407" s="29" t="inlineStr">
        <is>
          <t>Sales</t>
        </is>
      </c>
      <c r="G407" s="29" t="inlineStr">
        <is>
          <t>Head - Sales and Alliances</t>
        </is>
      </c>
      <c r="H407" s="29" t="inlineStr">
        <is>
          <t>Principal – Sales</t>
        </is>
      </c>
      <c r="I407" s="29" t="inlineStr">
        <is>
          <t>Not in current mapping files</t>
        </is>
      </c>
      <c r="J407" s="29" t="inlineStr">
        <is>
          <t>C1</t>
        </is>
      </c>
      <c r="K407" s="29" t="inlineStr">
        <is>
          <t>● Newly mapped</t>
        </is>
      </c>
      <c r="L407" s="29" t="inlineStr">
        <is>
          <t>Sales &amp; Business Development</t>
        </is>
      </c>
      <c r="M407" s="29" t="inlineStr">
        <is>
          <t>Sales Leadership</t>
        </is>
      </c>
      <c r="N407" s="29" t="inlineStr">
        <is>
          <t>• Survey response or KRAs describing the work · nothing on file — Employee + manager
• Confirm structure behind the senior title · org chart — Business head</t>
        </is>
      </c>
      <c r="O407" s="29" t="n">
        <v>0</v>
      </c>
      <c r="P407" s="28" t="inlineStr">
        <is>
          <t>P6 / M5</t>
        </is>
      </c>
      <c r="Q407" s="29" t="inlineStr">
        <is>
          <t>Principal / Director</t>
        </is>
      </c>
      <c r="R407" s="29" t="inlineStr">
        <is>
          <t>5–6</t>
        </is>
      </c>
      <c r="S407" s="29" t="inlineStr">
        <is>
          <t>10–14 yrs</t>
        </is>
      </c>
      <c r="T407" s="29" t="inlineStr">
        <is>
          <t>12–16 · 12–18</t>
        </is>
      </c>
      <c r="U407" s="29" t="inlineStr">
        <is>
          <t>—</t>
        </is>
      </c>
      <c r="V407" s="29" t="inlineStr">
        <is>
          <t>IRIS Vs Competitor Benchmark — SaaS sales ladder — IC: Strategic / Principal AE · IRIS Vs Competitor Benchmark — SaaS sales ladder — management: Regional Sales Head</t>
        </is>
      </c>
      <c r="W407" s="29" t="inlineStr">
        <is>
          <t>SaaS sales ladder · SDR → AE → Enterprise AE → VP / CRO; MEDDICC-style qualification</t>
        </is>
      </c>
      <c r="X407" s="29" t="inlineStr">
        <is>
          <t>Core 4 · Future 4 · Functional 4 · Leadership 4</t>
        </is>
      </c>
      <c r="Y407" s="52" t="n">
        <v>556</v>
      </c>
      <c r="Z407" s="53" t="inlineStr">
        <is>
          <t>IRISDT0019</t>
        </is>
      </c>
      <c r="AA407" s="53" t="inlineStr">
        <is>
          <t>Employee</t>
        </is>
      </c>
      <c r="AB407" s="53" t="inlineStr">
        <is>
          <t>Active</t>
        </is>
      </c>
      <c r="AC407" s="53" t="inlineStr">
        <is>
          <t>Abhishek Gite</t>
        </is>
      </c>
      <c r="AD407" s="54" t="n">
        <v>46174</v>
      </c>
      <c r="AE407" s="53" t="inlineStr">
        <is>
          <t>Head - Sales and Alliances</t>
        </is>
      </c>
      <c r="AF407" s="53" t="inlineStr">
        <is>
          <t>MBA</t>
        </is>
      </c>
      <c r="AG407" s="53" t="inlineStr">
        <is>
          <t>Shilpa Dhobale</t>
        </is>
      </c>
      <c r="AH407" s="53" t="inlineStr">
        <is>
          <t>N-2</t>
        </is>
      </c>
      <c r="AI407" s="53" t="inlineStr">
        <is>
          <t>Individual Contributor</t>
        </is>
      </c>
      <c r="AJ407" s="53" t="inlineStr">
        <is>
          <t>24 years, 0 months, 0 days</t>
        </is>
      </c>
      <c r="AK407" s="53" t="inlineStr">
        <is>
          <t>0 years, 2 months, 24 days</t>
        </is>
      </c>
      <c r="AL407" s="53" t="inlineStr">
        <is>
          <t>Datatech</t>
        </is>
      </c>
      <c r="AM407" s="53" t="inlineStr">
        <is>
          <t>Datatech</t>
        </is>
      </c>
      <c r="AN407" s="53" t="inlineStr">
        <is>
          <t>Sales</t>
        </is>
      </c>
      <c r="AO407" s="53" t="inlineStr">
        <is>
          <t>Sales</t>
        </is>
      </c>
      <c r="AP407" s="53" t="inlineStr">
        <is>
          <t>No</t>
        </is>
      </c>
      <c r="AQ407" s="53" t="inlineStr">
        <is>
          <t>Sales, Marketing &amp; Support</t>
        </is>
      </c>
      <c r="AR407" s="53" t="inlineStr">
        <is>
          <t>Sales</t>
        </is>
      </c>
      <c r="AS407" s="53" t="inlineStr">
        <is>
          <t>Non-technical</t>
        </is>
      </c>
      <c r="AT407" s="53" t="n">
        <v>0</v>
      </c>
      <c r="AU407" s="53" t="inlineStr">
        <is>
          <t>E-Top management</t>
        </is>
      </c>
      <c r="AV407" s="53" t="n"/>
      <c r="AW407" s="53" t="n"/>
      <c r="AX407" s="53" t="n"/>
      <c r="AY407" s="53" t="n"/>
      <c r="AZ407" s="53" t="n"/>
      <c r="BA407" s="53" t="n"/>
      <c r="BB407" s="53" t="n"/>
      <c r="BC407" s="53" t="n"/>
      <c r="BD407" s="53" t="n"/>
      <c r="BE407" s="53" t="n"/>
      <c r="BF407" s="53" t="n"/>
      <c r="BG407" s="53" t="n"/>
      <c r="BH407" s="53" t="n"/>
      <c r="BI407" s="53" t="n"/>
      <c r="BJ407" s="53" t="n"/>
      <c r="BK407" s="53" t="n"/>
      <c r="BL407" s="53" t="n"/>
      <c r="BM407" s="53" t="n"/>
      <c r="BN407" s="53" t="n"/>
      <c r="BO407" s="53" t="n"/>
      <c r="BP407" s="53" t="n"/>
      <c r="BQ407" s="53" t="n"/>
      <c r="BR407" s="53" t="n"/>
      <c r="BS407" s="53" t="n"/>
      <c r="BT407" s="53" t="n"/>
      <c r="BU407" s="53" t="n"/>
      <c r="BV407" s="53" t="n"/>
      <c r="BW407" s="53" t="n"/>
      <c r="BX407" s="53" t="n"/>
      <c r="BY407" s="53" t="n"/>
      <c r="BZ407" s="53" t="n"/>
      <c r="CA407" s="53" t="n"/>
      <c r="CB407" s="53" t="n"/>
      <c r="CC407" s="53" t="n"/>
      <c r="CD407" s="53" t="n"/>
      <c r="CE407" s="53" t="n"/>
      <c r="CF407" s="53" t="n"/>
      <c r="CG407" s="53" t="n"/>
      <c r="CH407" s="53" t="n"/>
      <c r="CI407" s="53" t="n"/>
      <c r="CJ407" s="53" t="n"/>
      <c r="CK407" s="53" t="n"/>
      <c r="CL407" s="53" t="n"/>
      <c r="CM407" s="53" t="n"/>
      <c r="CN407" s="53" t="n"/>
      <c r="CO407" s="53" t="n"/>
      <c r="CP407" s="53" t="n"/>
      <c r="CQ407" s="53" t="n"/>
      <c r="CR407" s="53" t="n"/>
      <c r="CS407" s="53" t="n"/>
      <c r="CT407" s="53" t="n"/>
      <c r="CU407" s="53" t="n"/>
      <c r="CV407" s="53" t="n"/>
      <c r="CW407" s="53" t="n"/>
      <c r="CX407" s="53" t="n"/>
      <c r="CY407" s="53" t="n"/>
      <c r="CZ407" s="53" t="n"/>
      <c r="DA407" s="53" t="n"/>
      <c r="DB407" s="53" t="n"/>
      <c r="DC407" s="53" t="n"/>
      <c r="DD407" s="53" t="n"/>
      <c r="DE407" s="53" t="inlineStr">
        <is>
          <t>Employee</t>
        </is>
      </c>
      <c r="DF407" s="53" t="inlineStr">
        <is>
          <t>Active</t>
        </is>
      </c>
      <c r="DG407" s="53" t="inlineStr">
        <is>
          <t>Abhishek Gite</t>
        </is>
      </c>
      <c r="DH407" s="53" t="n"/>
      <c r="DI407" s="53" t="inlineStr">
        <is>
          <t>Head - Sales and Alliances</t>
        </is>
      </c>
      <c r="DJ407" s="53" t="n"/>
      <c r="DK407" s="53" t="n"/>
      <c r="DL407" s="53" t="n"/>
      <c r="DM407" s="53" t="n"/>
      <c r="DN407" s="53" t="n"/>
      <c r="DO407" s="53" t="inlineStr">
        <is>
          <t>Shilpa Dhobale</t>
        </is>
      </c>
      <c r="DP407" s="53" t="n"/>
      <c r="DQ407" s="53" t="n"/>
      <c r="DR407" s="53" t="n"/>
      <c r="DS407" s="53" t="n"/>
      <c r="DT407" s="53" t="n"/>
      <c r="DU407" s="53" t="n"/>
      <c r="DV407" s="53" t="inlineStr">
        <is>
          <t>Datatech</t>
        </is>
      </c>
      <c r="DW407" s="53" t="inlineStr">
        <is>
          <t>Datatech</t>
        </is>
      </c>
      <c r="DX407" s="53" t="inlineStr">
        <is>
          <t>Sales</t>
        </is>
      </c>
      <c r="DY407" s="53" t="inlineStr">
        <is>
          <t>Sales</t>
        </is>
      </c>
      <c r="DZ407" s="53" t="inlineStr">
        <is>
          <t>No</t>
        </is>
      </c>
      <c r="EA407" s="53" t="inlineStr">
        <is>
          <t>Sales, Marketing &amp; Support</t>
        </is>
      </c>
      <c r="EB407" s="53" t="inlineStr">
        <is>
          <t>Sales</t>
        </is>
      </c>
      <c r="EC407" s="53" t="inlineStr">
        <is>
          <t>Non-technical</t>
        </is>
      </c>
      <c r="ED407" s="53" t="inlineStr">
        <is>
          <t>Turbhe</t>
        </is>
      </c>
      <c r="EE407" s="53" t="n"/>
      <c r="EF407" s="53" t="n"/>
      <c r="EG407" s="53" t="n"/>
      <c r="EH407" s="53" t="n">
        <v>3</v>
      </c>
      <c r="EI407" s="53" t="n"/>
      <c r="EJ407" s="53" t="inlineStr">
        <is>
          <t>Head - Sales and Alliances</t>
        </is>
      </c>
      <c r="EK407" s="53" t="inlineStr">
        <is>
          <t>No</t>
        </is>
      </c>
      <c r="EL407" s="53" t="n"/>
      <c r="EM407" s="53" t="n"/>
      <c r="EN407" s="53" t="inlineStr">
        <is>
          <t>Core Contributor</t>
        </is>
      </c>
      <c r="EO407" s="53" t="inlineStr">
        <is>
          <t>No</t>
        </is>
      </c>
      <c r="EP407" s="53" t="inlineStr">
        <is>
          <t>No</t>
        </is>
      </c>
      <c r="EQ407" s="53" t="n"/>
      <c r="ER407" s="53" t="n"/>
      <c r="ES407" s="53" t="n"/>
      <c r="ET407" s="53" t="n"/>
      <c r="EU407" s="53" t="n"/>
      <c r="EV407" s="53" t="n"/>
      <c r="EW407" s="52" t="n"/>
      <c r="EX407" s="53" t="n"/>
      <c r="EY407" s="53" t="n"/>
      <c r="EZ407" s="53" t="n"/>
      <c r="FA407" s="53" t="n"/>
      <c r="FB407" s="53" t="n"/>
      <c r="FC407" s="53" t="n"/>
      <c r="FD407" s="53" t="n"/>
      <c r="FE407" s="55" t="inlineStr">
        <is>
          <t>KRAs not received · manager to supply</t>
        </is>
      </c>
      <c r="FF407" s="56" t="n"/>
      <c r="FG407" s="56" t="n"/>
      <c r="FH407" s="56" t="inlineStr">
        <is>
          <t>3</t>
        </is>
      </c>
      <c r="FI407" s="56" t="n"/>
      <c r="FJ407" s="32" t="inlineStr">
        <is>
          <t>KRAs not received · manager to supply</t>
        </is>
      </c>
      <c r="FK407" s="56" t="inlineStr">
        <is>
          <t>Talent Mapping · Datatech</t>
        </is>
      </c>
      <c r="FL407" s="56" t="n">
        <v>0</v>
      </c>
      <c r="FM407" s="32" t="inlineStr">
        <is>
          <t>No survey response on file</t>
        </is>
      </c>
      <c r="FN407" s="56" t="inlineStr">
        <is>
          <t>—</t>
        </is>
      </c>
      <c r="FO407" s="56" t="inlineStr">
        <is>
          <t>—</t>
        </is>
      </c>
      <c r="FP407" s="56" t="inlineStr">
        <is>
          <t>—</t>
        </is>
      </c>
      <c r="FQ407" s="56" t="inlineStr">
        <is>
          <t>—</t>
        </is>
      </c>
      <c r="FR40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07"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407" s="56" t="n"/>
      <c r="FU407" s="32" t="inlineStr">
        <is>
          <t>No survey response on file</t>
        </is>
      </c>
    </row>
    <row r="408" ht="90" customHeight="1">
      <c r="A408" s="51" t="inlineStr">
        <is>
          <t>◂ Back</t>
        </is>
      </c>
      <c r="B408" s="29" t="inlineStr">
        <is>
          <t>Mapped</t>
        </is>
      </c>
      <c r="C408" s="28" t="inlineStr">
        <is>
          <t>Datatech</t>
        </is>
      </c>
      <c r="D408" s="29" t="inlineStr">
        <is>
          <t>IRISDT0006</t>
        </is>
      </c>
      <c r="E408" s="29" t="inlineStr">
        <is>
          <t>Sanghamitra Saxena</t>
        </is>
      </c>
      <c r="F408" s="29" t="inlineStr">
        <is>
          <t>Technology</t>
        </is>
      </c>
      <c r="G408" s="29" t="inlineStr">
        <is>
          <t>Solution Architect</t>
        </is>
      </c>
      <c r="H408" s="29" t="inlineStr">
        <is>
          <t>Solution Architect</t>
        </is>
      </c>
      <c r="I408" s="29" t="inlineStr">
        <is>
          <t>L3 – Professional / Associate</t>
        </is>
      </c>
      <c r="J408" s="29" t="inlineStr">
        <is>
          <t>C1</t>
        </is>
      </c>
      <c r="K408" s="29" t="inlineStr">
        <is>
          <t>▲ Up</t>
        </is>
      </c>
      <c r="L408" s="29" t="inlineStr">
        <is>
          <t>Engineering &amp; Architecture</t>
        </is>
      </c>
      <c r="M408" s="29" t="inlineStr">
        <is>
          <t>Solution &amp; Technical Architecture</t>
        </is>
      </c>
      <c r="N408" s="29" t="inlineStr">
        <is>
          <t>• Survey response or KRAs describing the work · nothing on file — Employee + manager</t>
        </is>
      </c>
      <c r="O408" s="29" t="n">
        <v>0</v>
      </c>
      <c r="P408" s="28" t="inlineStr">
        <is>
          <t>P6 / M5</t>
        </is>
      </c>
      <c r="Q408" s="29" t="inlineStr">
        <is>
          <t>Principal / Director</t>
        </is>
      </c>
      <c r="R408" s="29" t="inlineStr">
        <is>
          <t>5–6</t>
        </is>
      </c>
      <c r="S408" s="29" t="inlineStr">
        <is>
          <t>10–14 yrs</t>
        </is>
      </c>
      <c r="T408" s="29" t="inlineStr">
        <is>
          <t>12–16 · 12–18</t>
        </is>
      </c>
      <c r="U408" s="29" t="inlineStr">
        <is>
          <t>Chief / Enterprise Architect</t>
        </is>
      </c>
      <c r="V408" s="29" t="inlineStr">
        <is>
          <t>Nasdaq / AxiomSL: Principal SE · Salesforce: PMTS · Atlassian: P60 Principal · 10+ yrs · Freshworks: Senior Staff SE · IRIS Vs Competitor Benchmark — engineering managers: Senior EM / Director</t>
        </is>
      </c>
      <c r="W408" s="29" t="inlineStr">
        <is>
          <t>SFIA 9 · solution architecture; TOGAF; AWS / Azure architect certifications</t>
        </is>
      </c>
      <c r="X408" s="29" t="inlineStr">
        <is>
          <t>Core 4 · Future 4 · Functional 4 · Leadership 4</t>
        </is>
      </c>
      <c r="Y408" s="52" t="n">
        <v>541</v>
      </c>
      <c r="Z408" s="53" t="inlineStr">
        <is>
          <t>IRISDT0006</t>
        </is>
      </c>
      <c r="AA408" s="53" t="inlineStr">
        <is>
          <t>Employee</t>
        </is>
      </c>
      <c r="AB408" s="53" t="inlineStr">
        <is>
          <t>Active</t>
        </is>
      </c>
      <c r="AC408" s="53" t="inlineStr">
        <is>
          <t>Sanghamitra Saxena</t>
        </is>
      </c>
      <c r="AD408" s="54" t="n">
        <v>45848</v>
      </c>
      <c r="AE408" s="53" t="inlineStr">
        <is>
          <t>Solution Architect</t>
        </is>
      </c>
      <c r="AF408" s="53" t="inlineStr">
        <is>
          <t>M.Tech</t>
        </is>
      </c>
      <c r="AG408" s="53" t="inlineStr">
        <is>
          <t>Shilpa Dhobale</t>
        </is>
      </c>
      <c r="AH408" s="53" t="inlineStr">
        <is>
          <t>N-2</t>
        </is>
      </c>
      <c r="AI408" s="53" t="inlineStr">
        <is>
          <t>Individual Contributor</t>
        </is>
      </c>
      <c r="AJ408" s="53" t="inlineStr">
        <is>
          <t>11 years, 4 months, 0 days</t>
        </is>
      </c>
      <c r="AK408" s="53" t="inlineStr">
        <is>
          <t>1 years, 1 months, 15 days</t>
        </is>
      </c>
      <c r="AL408" s="53" t="inlineStr">
        <is>
          <t>Datatech</t>
        </is>
      </c>
      <c r="AM408" s="53" t="inlineStr">
        <is>
          <t>Datatech</t>
        </is>
      </c>
      <c r="AN408" s="53" t="inlineStr">
        <is>
          <t>Technology</t>
        </is>
      </c>
      <c r="AO408" s="53" t="inlineStr">
        <is>
          <t>Development</t>
        </is>
      </c>
      <c r="AP408" s="53" t="inlineStr">
        <is>
          <t>Yes</t>
        </is>
      </c>
      <c r="AQ408" s="53" t="inlineStr">
        <is>
          <t>Product/Project</t>
        </is>
      </c>
      <c r="AR408" s="53" t="inlineStr">
        <is>
          <t>Python</t>
        </is>
      </c>
      <c r="AS408" s="53" t="inlineStr">
        <is>
          <t>Technical - Developer</t>
        </is>
      </c>
      <c r="AT408" s="53" t="n">
        <v>0</v>
      </c>
      <c r="AU408" s="53" t="inlineStr">
        <is>
          <t>Excluded</t>
        </is>
      </c>
      <c r="AV408" s="53" t="n"/>
      <c r="AW408" s="53" t="n"/>
      <c r="AX408" s="53" t="n"/>
      <c r="AY408" s="53" t="n"/>
      <c r="AZ408" s="53" t="n"/>
      <c r="BA408" s="53" t="n"/>
      <c r="BB408" s="53" t="n"/>
      <c r="BC408" s="53" t="n"/>
      <c r="BD408" s="53" t="n"/>
      <c r="BE408" s="53" t="n"/>
      <c r="BF408" s="53" t="n"/>
      <c r="BG408" s="53" t="n"/>
      <c r="BH408" s="53" t="n"/>
      <c r="BI408" s="53" t="n"/>
      <c r="BJ408" s="53" t="n"/>
      <c r="BK408" s="53" t="n"/>
      <c r="BL408" s="53" t="n"/>
      <c r="BM408" s="53" t="n"/>
      <c r="BN408" s="53" t="n"/>
      <c r="BO408" s="53" t="n"/>
      <c r="BP408" s="53" t="n"/>
      <c r="BQ408" s="53" t="n"/>
      <c r="BR408" s="53" t="n"/>
      <c r="BS408" s="53" t="n"/>
      <c r="BT408" s="53" t="n"/>
      <c r="BU408" s="53" t="n"/>
      <c r="BV408" s="53" t="n"/>
      <c r="BW408" s="53" t="n"/>
      <c r="BX408" s="53" t="n"/>
      <c r="BY408" s="53" t="n"/>
      <c r="BZ408" s="53" t="n"/>
      <c r="CA408" s="53" t="n"/>
      <c r="CB408" s="53" t="n"/>
      <c r="CC408" s="53" t="n"/>
      <c r="CD408" s="53" t="n"/>
      <c r="CE408" s="53" t="n"/>
      <c r="CF408" s="53" t="n"/>
      <c r="CG408" s="53" t="n"/>
      <c r="CH408" s="53" t="n"/>
      <c r="CI408" s="53" t="n"/>
      <c r="CJ408" s="53" t="n"/>
      <c r="CK408" s="53" t="n"/>
      <c r="CL408" s="53" t="n"/>
      <c r="CM408" s="53" t="n"/>
      <c r="CN408" s="53" t="n"/>
      <c r="CO408" s="53" t="n"/>
      <c r="CP408" s="53" t="n"/>
      <c r="CQ408" s="53" t="n"/>
      <c r="CR408" s="53" t="n"/>
      <c r="CS408" s="53" t="n"/>
      <c r="CT408" s="53" t="n"/>
      <c r="CU408" s="53" t="n"/>
      <c r="CV408" s="53" t="n"/>
      <c r="CW408" s="53" t="n"/>
      <c r="CX408" s="53" t="n"/>
      <c r="CY408" s="53" t="n"/>
      <c r="CZ408" s="53" t="n"/>
      <c r="DA408" s="53" t="n"/>
      <c r="DB408" s="53" t="n"/>
      <c r="DC408" s="53" t="n"/>
      <c r="DD408" s="53" t="inlineStr">
        <is>
          <t>IRIS2403</t>
        </is>
      </c>
      <c r="DE408" s="53" t="inlineStr">
        <is>
          <t>Employee</t>
        </is>
      </c>
      <c r="DF408" s="53" t="inlineStr">
        <is>
          <t>Active</t>
        </is>
      </c>
      <c r="DG408" s="53" t="inlineStr">
        <is>
          <t>Sanghamitra Saxena</t>
        </is>
      </c>
      <c r="DH408" s="54" t="n">
        <v>45848</v>
      </c>
      <c r="DI408" s="53" t="inlineStr">
        <is>
          <t>Solution Architect</t>
        </is>
      </c>
      <c r="DJ408" s="53" t="inlineStr">
        <is>
          <t>Engineering &amp; Architecture</t>
        </is>
      </c>
      <c r="DK408" s="53" t="inlineStr">
        <is>
          <t>Solution / Software Architecture</t>
        </is>
      </c>
      <c r="DL408" s="53" t="inlineStr">
        <is>
          <t>Solution Architect</t>
        </is>
      </c>
      <c r="DM408" s="53" t="inlineStr">
        <is>
          <t>L3 – Professional / Associate</t>
        </is>
      </c>
      <c r="DN408" s="53" t="inlineStr">
        <is>
          <t>M.Tech</t>
        </is>
      </c>
      <c r="DO408" s="53" t="inlineStr">
        <is>
          <t>Shilpa Dhobale</t>
        </is>
      </c>
      <c r="DP408" s="53" t="inlineStr">
        <is>
          <t>N-2</t>
        </is>
      </c>
      <c r="DQ408" s="53" t="inlineStr">
        <is>
          <t>Individual Contributor</t>
        </is>
      </c>
      <c r="DR408" s="53" t="inlineStr">
        <is>
          <t>11 years, 4 months, 0 days</t>
        </is>
      </c>
      <c r="DS408" s="53" t="inlineStr">
        <is>
          <t>0 years, 11 months, 10 days</t>
        </is>
      </c>
      <c r="DT408" s="53" t="inlineStr">
        <is>
          <t>12 years, 3 months, 10 days</t>
        </is>
      </c>
      <c r="DU408" s="53" t="n">
        <v>0.0136986301369863</v>
      </c>
      <c r="DV408" s="53" t="inlineStr">
        <is>
          <t>Datatech</t>
        </is>
      </c>
      <c r="DW408" s="53" t="inlineStr">
        <is>
          <t>Datatech</t>
        </is>
      </c>
      <c r="DX408" s="53" t="inlineStr">
        <is>
          <t>Technology</t>
        </is>
      </c>
      <c r="DY408" s="53" t="inlineStr">
        <is>
          <t>Development</t>
        </is>
      </c>
      <c r="DZ408" s="53" t="inlineStr">
        <is>
          <t>Yes</t>
        </is>
      </c>
      <c r="EA408" s="53" t="inlineStr">
        <is>
          <t>Product/Project</t>
        </is>
      </c>
      <c r="EB408" s="53" t="inlineStr">
        <is>
          <t>Python</t>
        </is>
      </c>
      <c r="EC408" s="53" t="inlineStr">
        <is>
          <t>Technical - Developer</t>
        </is>
      </c>
      <c r="ED408" s="53" t="inlineStr">
        <is>
          <t>Hyderabad</t>
        </is>
      </c>
      <c r="EE408" s="53" t="n"/>
      <c r="EF408" s="53" t="n"/>
      <c r="EG408" s="53" t="n"/>
      <c r="EH408" s="53" t="n">
        <v>3</v>
      </c>
      <c r="EI408" s="53" t="n"/>
      <c r="EJ408" s="53" t="inlineStr">
        <is>
          <t>Solution Architect</t>
        </is>
      </c>
      <c r="EK408" s="53" t="inlineStr">
        <is>
          <t>No</t>
        </is>
      </c>
      <c r="EL408" s="53" t="n">
        <v>3</v>
      </c>
      <c r="EM408" s="53" t="n">
        <v>3</v>
      </c>
      <c r="EN408" s="53" t="inlineStr">
        <is>
          <t>Future Leader</t>
        </is>
      </c>
      <c r="EO408" s="53" t="inlineStr">
        <is>
          <t>No</t>
        </is>
      </c>
      <c r="EP408" s="53" t="inlineStr">
        <is>
          <t>No</t>
        </is>
      </c>
      <c r="EQ408" s="53" t="inlineStr">
        <is>
          <t>Yes</t>
        </is>
      </c>
      <c r="ER408" s="53" t="n"/>
      <c r="ES408" s="53" t="n"/>
      <c r="ET408" s="53" t="n"/>
      <c r="EU408" s="53" t="n"/>
      <c r="EV408" s="53" t="inlineStr">
        <is>
          <t>All</t>
        </is>
      </c>
      <c r="EW408" s="52" t="n"/>
      <c r="EX408" s="53" t="n"/>
      <c r="EY408" s="53" t="n"/>
      <c r="EZ408" s="53" t="n"/>
      <c r="FA408" s="53" t="n"/>
      <c r="FB408" s="53" t="n"/>
      <c r="FC408" s="53" t="n"/>
      <c r="FD408" s="53" t="inlineStr">
        <is>
          <t>IRIS2403</t>
        </is>
      </c>
      <c r="FE408" s="55" t="inlineStr">
        <is>
          <t>KRAs not received · manager to supply</t>
        </is>
      </c>
      <c r="FF408" s="56" t="n"/>
      <c r="FG408" s="56" t="n"/>
      <c r="FH408" s="56" t="inlineStr">
        <is>
          <t>3</t>
        </is>
      </c>
      <c r="FI408" s="56" t="n"/>
      <c r="FJ408" s="32" t="inlineStr">
        <is>
          <t>KRAs not received · manager to supply</t>
        </is>
      </c>
      <c r="FK408" s="56" t="inlineStr">
        <is>
          <t>Talent Mapping · Datatech</t>
        </is>
      </c>
      <c r="FL408" s="56" t="n">
        <v>0</v>
      </c>
      <c r="FM408" s="32" t="inlineStr">
        <is>
          <t>No survey response on file</t>
        </is>
      </c>
      <c r="FN408" s="56" t="inlineStr">
        <is>
          <t>—</t>
        </is>
      </c>
      <c r="FO408" s="56" t="inlineStr">
        <is>
          <t>—</t>
        </is>
      </c>
      <c r="FP408" s="56" t="inlineStr">
        <is>
          <t>—</t>
        </is>
      </c>
      <c r="FQ408" s="56" t="inlineStr">
        <is>
          <t>—</t>
        </is>
      </c>
      <c r="FR40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08" s="56"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FT408" s="56" t="n"/>
      <c r="FU408" s="32" t="inlineStr">
        <is>
          <t>No survey response on file</t>
        </is>
      </c>
    </row>
    <row r="409" ht="90" customHeight="1">
      <c r="A409" s="51" t="inlineStr">
        <is>
          <t>◂ Back</t>
        </is>
      </c>
      <c r="B409" s="29" t="inlineStr">
        <is>
          <t>Mapped</t>
        </is>
      </c>
      <c r="C409" s="28" t="inlineStr">
        <is>
          <t>Datatech</t>
        </is>
      </c>
      <c r="D409" s="29" t="inlineStr">
        <is>
          <t>IRISDTC002</t>
        </is>
      </c>
      <c r="E409" s="29" t="inlineStr">
        <is>
          <t>Akshay Shetty</t>
        </is>
      </c>
      <c r="F409" s="29" t="inlineStr">
        <is>
          <t>Technology</t>
        </is>
      </c>
      <c r="G409" s="29" t="inlineStr">
        <is>
          <t>Consultant -Lead Developer</t>
        </is>
      </c>
      <c r="H409" s="29" t="inlineStr">
        <is>
          <t>Senior Technical Specialist – POD Lead</t>
        </is>
      </c>
      <c r="I409" s="29" t="inlineStr">
        <is>
          <t>L5 – Lead · IC</t>
        </is>
      </c>
      <c r="J409" s="29" t="inlineStr">
        <is>
          <t>B2</t>
        </is>
      </c>
      <c r="K409" s="29" t="inlineStr">
        <is>
          <t>▼ Down · protected</t>
        </is>
      </c>
      <c r="L409" s="29" t="inlineStr">
        <is>
          <t>Engineering &amp; Development</t>
        </is>
      </c>
      <c r="M409" s="29" t="inlineStr">
        <is>
          <t>Backend Development</t>
        </is>
      </c>
      <c r="N409" s="29" t="n"/>
      <c r="O409" s="29" t="n">
        <v>0</v>
      </c>
      <c r="P409" s="28" t="inlineStr">
        <is>
          <t>P4 / M3</t>
        </is>
      </c>
      <c r="Q409" s="29" t="inlineStr">
        <is>
          <t>Senior / Manager</t>
        </is>
      </c>
      <c r="R409" s="29" t="inlineStr">
        <is>
          <t>4–5</t>
        </is>
      </c>
      <c r="S409" s="29" t="inlineStr">
        <is>
          <t>6–9 yrs</t>
        </is>
      </c>
      <c r="T409" s="29" t="inlineStr">
        <is>
          <t>7–10 · 6–11</t>
        </is>
      </c>
      <c r="U409" s="29" t="inlineStr">
        <is>
          <t>Lead / Staff Engineer</t>
        </is>
      </c>
      <c r="V409" s="29" t="inlineStr">
        <is>
          <t>Workiva: Senior SE · Broadridge India: Lead SE · Nasdaq / AxiomSL: Senior SE · Salesforce: SMTS · Atlassian: P50 Senior · 6–12 yrs · Freshworks: Lead SE</t>
        </is>
      </c>
      <c r="W409" s="29" t="inlineStr">
        <is>
          <t>SFIA 9 · software development, programming; OWASP secure coding; cloud vendor certifications</t>
        </is>
      </c>
      <c r="X409" s="29" t="inlineStr">
        <is>
          <t>Core 3 · Future 3 · Functional 4 · Leadership 3</t>
        </is>
      </c>
      <c r="Y409" s="52" t="n">
        <v>547</v>
      </c>
      <c r="Z409" s="53" t="inlineStr">
        <is>
          <t>IRISDTC002</t>
        </is>
      </c>
      <c r="AA409" s="53" t="inlineStr">
        <is>
          <t>On Contract</t>
        </is>
      </c>
      <c r="AB409" s="53" t="inlineStr">
        <is>
          <t>Active</t>
        </is>
      </c>
      <c r="AC409" s="53" t="inlineStr">
        <is>
          <t>Akshay Shetty</t>
        </is>
      </c>
      <c r="AD409" s="54" t="n">
        <v>45974</v>
      </c>
      <c r="AE409" s="53" t="inlineStr">
        <is>
          <t>Consultant -Lead Developer</t>
        </is>
      </c>
      <c r="AF409" s="53" t="inlineStr">
        <is>
          <t>M.Sc</t>
        </is>
      </c>
      <c r="AG409" s="53" t="inlineStr">
        <is>
          <t>Shilpa Dhobale</t>
        </is>
      </c>
      <c r="AH409" s="53" t="inlineStr">
        <is>
          <t>N-2</t>
        </is>
      </c>
      <c r="AI409" s="53" t="inlineStr">
        <is>
          <t>Manager</t>
        </is>
      </c>
      <c r="AJ409" s="53" t="inlineStr">
        <is>
          <t>9 years, 3 months, 0 days</t>
        </is>
      </c>
      <c r="AK409" s="53" t="inlineStr">
        <is>
          <t>0 years, 9 months, 12 days</t>
        </is>
      </c>
      <c r="AL409" s="53" t="inlineStr">
        <is>
          <t>Datatech</t>
        </is>
      </c>
      <c r="AM409" s="53" t="inlineStr">
        <is>
          <t>Datatech</t>
        </is>
      </c>
      <c r="AN409" s="53" t="inlineStr">
        <is>
          <t>Technology</t>
        </is>
      </c>
      <c r="AO409" s="53" t="inlineStr">
        <is>
          <t>Development</t>
        </is>
      </c>
      <c r="AP409" s="53" t="inlineStr">
        <is>
          <t>Yes</t>
        </is>
      </c>
      <c r="AQ409" s="53" t="inlineStr">
        <is>
          <t>Product/Project</t>
        </is>
      </c>
      <c r="AR409" s="53" t="inlineStr">
        <is>
          <t>Python</t>
        </is>
      </c>
      <c r="AS409" s="53" t="inlineStr">
        <is>
          <t>Technical - Developer</t>
        </is>
      </c>
      <c r="AT409" s="53" t="n">
        <v>0</v>
      </c>
      <c r="AU409" s="53" t="inlineStr">
        <is>
          <t>Excluded</t>
        </is>
      </c>
      <c r="AV409" s="53" t="n"/>
      <c r="AW409" s="53" t="n"/>
      <c r="AX409" s="53" t="n"/>
      <c r="AY409" s="53" t="n"/>
      <c r="AZ409" s="53" t="n"/>
      <c r="BA409" s="53" t="n"/>
      <c r="BB409" s="53" t="n"/>
      <c r="BC409" s="53" t="n"/>
      <c r="BD409" s="53" t="n"/>
      <c r="BE409" s="53" t="n"/>
      <c r="BF409" s="53" t="n"/>
      <c r="BG409" s="53" t="n"/>
      <c r="BH409" s="53" t="n"/>
      <c r="BI409" s="53" t="n"/>
      <c r="BJ409" s="53" t="n"/>
      <c r="BK409" s="53" t="n"/>
      <c r="BL409" s="53" t="n"/>
      <c r="BM409" s="53" t="n"/>
      <c r="BN409" s="53" t="n"/>
      <c r="BO409" s="53" t="n"/>
      <c r="BP409" s="53" t="n"/>
      <c r="BQ409" s="53" t="n"/>
      <c r="BR409" s="53" t="n"/>
      <c r="BS409" s="53" t="n"/>
      <c r="BT409" s="53" t="n"/>
      <c r="BU409" s="53" t="n"/>
      <c r="BV409" s="53" t="n"/>
      <c r="BW409" s="53" t="n"/>
      <c r="BX409" s="53" t="n"/>
      <c r="BY409" s="53" t="n"/>
      <c r="BZ409" s="53" t="n"/>
      <c r="CA409" s="53" t="n"/>
      <c r="CB409" s="53" t="n"/>
      <c r="CC409" s="53" t="n"/>
      <c r="CD409" s="53" t="n"/>
      <c r="CE409" s="53" t="n"/>
      <c r="CF409" s="53" t="n"/>
      <c r="CG409" s="53" t="n"/>
      <c r="CH409" s="53" t="n"/>
      <c r="CI409" s="53" t="n"/>
      <c r="CJ409" s="53" t="n"/>
      <c r="CK409" s="53" t="n"/>
      <c r="CL409" s="53" t="n"/>
      <c r="CM409" s="53" t="n"/>
      <c r="CN409" s="53" t="n"/>
      <c r="CO409" s="53" t="n"/>
      <c r="CP409" s="53" t="n"/>
      <c r="CQ409" s="53" t="n"/>
      <c r="CR409" s="53" t="n"/>
      <c r="CS409" s="53" t="n"/>
      <c r="CT409" s="53" t="n"/>
      <c r="CU409" s="53" t="n"/>
      <c r="CV409" s="53" t="n"/>
      <c r="CW409" s="53" t="n"/>
      <c r="CX409" s="53" t="n"/>
      <c r="CY409" s="53" t="n"/>
      <c r="CZ409" s="53" t="n"/>
      <c r="DA409" s="53" t="n"/>
      <c r="DB409" s="53" t="n"/>
      <c r="DC409" s="53" t="n"/>
      <c r="DD409" s="53" t="inlineStr">
        <is>
          <t>IRISC319</t>
        </is>
      </c>
      <c r="DE409" s="53" t="inlineStr">
        <is>
          <t>On Contract</t>
        </is>
      </c>
      <c r="DF409" s="53" t="inlineStr">
        <is>
          <t>Active</t>
        </is>
      </c>
      <c r="DG409" s="53" t="inlineStr">
        <is>
          <t>Akshay Shetty</t>
        </is>
      </c>
      <c r="DH409" s="54" t="n">
        <v>45974</v>
      </c>
      <c r="DI409" s="53" t="inlineStr">
        <is>
          <t>Consultant -Lead Developer</t>
        </is>
      </c>
      <c r="DJ409" s="53" t="inlineStr">
        <is>
          <t>Engineering &amp; Development</t>
        </is>
      </c>
      <c r="DK409" s="53" t="inlineStr">
        <is>
          <t>Backend Engineering · Python</t>
        </is>
      </c>
      <c r="DL409" s="53" t="inlineStr">
        <is>
          <t>Consultant -Lead Developer</t>
        </is>
      </c>
      <c r="DM409" s="53" t="inlineStr">
        <is>
          <t>L5 – Lead · IC</t>
        </is>
      </c>
      <c r="DN409" s="53" t="inlineStr">
        <is>
          <t>M.Sc</t>
        </is>
      </c>
      <c r="DO409" s="53" t="inlineStr">
        <is>
          <t>Shilpa Dhobale</t>
        </is>
      </c>
      <c r="DP409" s="53" t="inlineStr">
        <is>
          <t>N-2</t>
        </is>
      </c>
      <c r="DQ409" s="53" t="inlineStr">
        <is>
          <t>Manager</t>
        </is>
      </c>
      <c r="DR409" s="53" t="inlineStr">
        <is>
          <t>9 years, 3 months, 0 days</t>
        </is>
      </c>
      <c r="DS409" s="53" t="inlineStr">
        <is>
          <t>0 years, 7 months, 7 days</t>
        </is>
      </c>
      <c r="DT409" s="53" t="inlineStr">
        <is>
          <t>9 years, 10 months, 7 days</t>
        </is>
      </c>
      <c r="DU409" s="53" t="n">
        <v>0.602511415525114</v>
      </c>
      <c r="DV409" s="53" t="inlineStr">
        <is>
          <t>Datatech</t>
        </is>
      </c>
      <c r="DW409" s="53" t="inlineStr">
        <is>
          <t>Datatech</t>
        </is>
      </c>
      <c r="DX409" s="53" t="inlineStr">
        <is>
          <t>Technology</t>
        </is>
      </c>
      <c r="DY409" s="53" t="inlineStr">
        <is>
          <t>Development</t>
        </is>
      </c>
      <c r="DZ409" s="53" t="inlineStr">
        <is>
          <t>Yes</t>
        </is>
      </c>
      <c r="EA409" s="53" t="inlineStr">
        <is>
          <t>Product/Project</t>
        </is>
      </c>
      <c r="EB409" s="53" t="inlineStr">
        <is>
          <t>Python</t>
        </is>
      </c>
      <c r="EC409" s="53" t="inlineStr">
        <is>
          <t>Technical - Developer</t>
        </is>
      </c>
      <c r="ED409" s="53" t="inlineStr">
        <is>
          <t>Turbhe + Hybrid</t>
        </is>
      </c>
      <c r="EE409" s="53" t="n"/>
      <c r="EF409" s="53"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EG409" s="53"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EH409" s="53" t="n">
        <v>2</v>
      </c>
      <c r="EI409" s="53" t="n"/>
      <c r="EJ409" s="53" t="inlineStr">
        <is>
          <t>Consultant -Lead Developer</t>
        </is>
      </c>
      <c r="EK409" s="53" t="inlineStr">
        <is>
          <t>No</t>
        </is>
      </c>
      <c r="EL409" s="53" t="n">
        <v>2</v>
      </c>
      <c r="EM409" s="53" t="inlineStr">
        <is>
          <t>Low</t>
        </is>
      </c>
      <c r="EN409" s="53" t="inlineStr">
        <is>
          <t>Performance Risk</t>
        </is>
      </c>
      <c r="EO409" s="53" t="inlineStr">
        <is>
          <t>No</t>
        </is>
      </c>
      <c r="EP409" s="53" t="inlineStr">
        <is>
          <t>No</t>
        </is>
      </c>
      <c r="EQ409" s="53" t="inlineStr">
        <is>
          <t>No</t>
        </is>
      </c>
      <c r="ER409" s="53" t="n"/>
      <c r="ES409" s="53" t="inlineStr">
        <is>
          <t>Optimal use of AI
System Design Thinking
Flutter
Product Knowledge</t>
        </is>
      </c>
      <c r="ET409" s="53" t="n"/>
      <c r="EU409" s="53" t="n"/>
      <c r="EV409" s="53" t="inlineStr">
        <is>
          <t>Peridot App + backend</t>
        </is>
      </c>
      <c r="EW409" s="52" t="n"/>
      <c r="EX409" s="53" t="n"/>
      <c r="EY409" s="53" t="n"/>
      <c r="EZ409" s="53" t="n"/>
      <c r="FA409" s="53" t="n"/>
      <c r="FB409" s="53" t="n"/>
      <c r="FC409" s="53" t="n"/>
      <c r="FD409" s="53" t="inlineStr">
        <is>
          <t>IRISC319</t>
        </is>
      </c>
      <c r="FE409" s="57"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FF409" s="56"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FG409" s="56" t="n"/>
      <c r="FH409" s="56" t="inlineStr">
        <is>
          <t>2</t>
        </is>
      </c>
      <c r="FI409" s="56" t="n"/>
      <c r="FJ409" s="56" t="inlineStr">
        <is>
          <t>Received · manager annual, quarterly</t>
        </is>
      </c>
      <c r="FK409" s="56" t="inlineStr">
        <is>
          <t>Talent Mapping · Datatech</t>
        </is>
      </c>
      <c r="FL409" s="56" t="n">
        <v>0</v>
      </c>
      <c r="FM409" s="32" t="inlineStr">
        <is>
          <t>No survey response on file</t>
        </is>
      </c>
      <c r="FN409" s="56" t="inlineStr">
        <is>
          <t>—</t>
        </is>
      </c>
      <c r="FO409" s="56" t="inlineStr">
        <is>
          <t>—</t>
        </is>
      </c>
      <c r="FP409" s="56" t="inlineStr">
        <is>
          <t>—</t>
        </is>
      </c>
      <c r="FQ409" s="56" t="inlineStr">
        <is>
          <t>—</t>
        </is>
      </c>
      <c r="FR409" s="56"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end, change failure rate, vulnerability remediation → moved down 0.5
Leadership: Evidence reads like A3: 2 direct reports in HR data; no leadership activity described → moved down 0.5
Business Impact: No survey or manager-mapping signal on criticality: kept at the start point.</t>
        </is>
      </c>
      <c r="FS409"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409" s="56" t="n"/>
      <c r="FU409" s="32" t="inlineStr">
        <is>
          <t>No survey response on file</t>
        </is>
      </c>
    </row>
    <row r="410" ht="90" customHeight="1">
      <c r="A410" s="51" t="inlineStr">
        <is>
          <t>◂ Back</t>
        </is>
      </c>
      <c r="B410" s="29" t="inlineStr">
        <is>
          <t>Mapped</t>
        </is>
      </c>
      <c r="C410" s="28" t="inlineStr">
        <is>
          <t>Datatech</t>
        </is>
      </c>
      <c r="D410" s="29" t="inlineStr">
        <is>
          <t>IRISDT0002</t>
        </is>
      </c>
      <c r="E410" s="29" t="inlineStr">
        <is>
          <t>Niraj Santosh Patil</t>
        </is>
      </c>
      <c r="F410" s="29" t="inlineStr">
        <is>
          <t>Technology</t>
        </is>
      </c>
      <c r="G410" s="29" t="inlineStr">
        <is>
          <t>Junior Software Engineer</t>
        </is>
      </c>
      <c r="H410" s="29" t="inlineStr">
        <is>
          <t>Senior Software Engineer</t>
        </is>
      </c>
      <c r="I410" s="29" t="inlineStr">
        <is>
          <t>L2 – Trainee</t>
        </is>
      </c>
      <c r="J410" s="29" t="inlineStr">
        <is>
          <t>A3</t>
        </is>
      </c>
      <c r="K410" s="29" t="inlineStr">
        <is>
          <t>▲ Up</t>
        </is>
      </c>
      <c r="L410" s="29" t="inlineStr">
        <is>
          <t>Engineering &amp; Development</t>
        </is>
      </c>
      <c r="M410" s="29" t="inlineStr">
        <is>
          <t>Backend Development</t>
        </is>
      </c>
      <c r="N410" s="29" t="n"/>
      <c r="O410" s="29" t="n">
        <v>20</v>
      </c>
      <c r="P410" s="28" t="inlineStr">
        <is>
          <t>P2</t>
        </is>
      </c>
      <c r="Q410" s="29" t="inlineStr">
        <is>
          <t>Developing</t>
        </is>
      </c>
      <c r="R410" s="29" t="inlineStr">
        <is>
          <t>3 Apply</t>
        </is>
      </c>
      <c r="S410" s="29" t="inlineStr">
        <is>
          <t>2–4 yrs</t>
        </is>
      </c>
      <c r="T410" s="29" t="inlineStr">
        <is>
          <t>3–5 · 2–5</t>
        </is>
      </c>
      <c r="U410" s="29" t="inlineStr">
        <is>
          <t>Software Engineer</t>
        </is>
      </c>
      <c r="V410" s="29" t="inlineStr">
        <is>
          <t>Workiva: SE · Broadridge India: SE · Nasdaq / AxiomSL: SE · Salesforce: MTS · Atlassian: P40 · 3–7 yrs · Freshworks: Senior SE</t>
        </is>
      </c>
      <c r="W410" s="29" t="inlineStr">
        <is>
          <t>SFIA 9 · software development, programming; OWASP secure coding; cloud vendor certifications</t>
        </is>
      </c>
      <c r="X410" s="29" t="inlineStr">
        <is>
          <t>Core 2 · Future 2 · Functional 3 · Leadership not scored</t>
        </is>
      </c>
      <c r="Y410" s="52" t="n">
        <v>537</v>
      </c>
      <c r="Z410" s="53" t="inlineStr">
        <is>
          <t>IRISDT0002</t>
        </is>
      </c>
      <c r="AA410" s="53" t="inlineStr">
        <is>
          <t>Employee</t>
        </is>
      </c>
      <c r="AB410" s="53" t="inlineStr">
        <is>
          <t>Active</t>
        </is>
      </c>
      <c r="AC410" s="53" t="inlineStr">
        <is>
          <t>Niraj Santosh Patil</t>
        </is>
      </c>
      <c r="AD410" s="54" t="n">
        <v>45446</v>
      </c>
      <c r="AE410" s="53" t="inlineStr">
        <is>
          <t>Junior Software Engineer</t>
        </is>
      </c>
      <c r="AF410" s="53" t="inlineStr">
        <is>
          <t>B.Tech</t>
        </is>
      </c>
      <c r="AG410" s="53" t="inlineStr">
        <is>
          <t>Akshay Shetty</t>
        </is>
      </c>
      <c r="AH410" s="53" t="inlineStr">
        <is>
          <t>N-3</t>
        </is>
      </c>
      <c r="AI410" s="53" t="inlineStr">
        <is>
          <t>Individual Contributor</t>
        </is>
      </c>
      <c r="AJ410" s="53" t="inlineStr">
        <is>
          <t>0 years, 0 months, 0 days</t>
        </is>
      </c>
      <c r="AK410" s="53" t="inlineStr">
        <is>
          <t>2 years, 2 months, 22 days</t>
        </is>
      </c>
      <c r="AL410" s="53" t="inlineStr">
        <is>
          <t>Datatech</t>
        </is>
      </c>
      <c r="AM410" s="53" t="inlineStr">
        <is>
          <t>Datatech</t>
        </is>
      </c>
      <c r="AN410" s="53" t="inlineStr">
        <is>
          <t>Technology</t>
        </is>
      </c>
      <c r="AO410" s="53" t="inlineStr">
        <is>
          <t>Development</t>
        </is>
      </c>
      <c r="AP410" s="53" t="inlineStr">
        <is>
          <t>Yes</t>
        </is>
      </c>
      <c r="AQ410" s="53" t="inlineStr">
        <is>
          <t>Product/Project</t>
        </is>
      </c>
      <c r="AR410" s="53" t="inlineStr">
        <is>
          <t>Java</t>
        </is>
      </c>
      <c r="AS410" s="53" t="inlineStr">
        <is>
          <t>Technical - Developer</t>
        </is>
      </c>
      <c r="AT410" s="53" t="n">
        <v>20</v>
      </c>
      <c r="AU410" s="53" t="inlineStr">
        <is>
          <t>Covered</t>
        </is>
      </c>
      <c r="AV410" s="53" t="n"/>
      <c r="AW410" s="53" t="n"/>
      <c r="AX410" s="53" t="n"/>
      <c r="AY410" s="53" t="n"/>
      <c r="AZ410" s="53" t="n"/>
      <c r="BA410" s="53" t="n"/>
      <c r="BB410" s="53" t="n"/>
      <c r="BC410" s="53" t="n"/>
      <c r="BD410" s="53" t="n"/>
      <c r="BE410" s="53" t="n"/>
      <c r="BF410" s="53" t="n"/>
      <c r="BG410" s="53" t="n"/>
      <c r="BH410" s="53" t="n"/>
      <c r="BI410" s="53" t="n"/>
      <c r="BJ410" s="53" t="n"/>
      <c r="BK410" s="53" t="n"/>
      <c r="BL410" s="53" t="n"/>
      <c r="BM410" s="53" t="n"/>
      <c r="BN410" s="53" t="n"/>
      <c r="BO410" s="53" t="n"/>
      <c r="BP410" s="53" t="n"/>
      <c r="BQ410" s="53" t="n"/>
      <c r="BR410" s="53" t="n"/>
      <c r="BS410" s="53" t="n"/>
      <c r="BT410" s="53" t="n"/>
      <c r="BU410" s="53" t="n"/>
      <c r="BV410" s="53" t="n"/>
      <c r="BW410" s="53" t="n"/>
      <c r="BX410" s="53" t="n"/>
      <c r="BY410" s="53" t="n"/>
      <c r="BZ410" s="53" t="n"/>
      <c r="CA410" s="53" t="n"/>
      <c r="CB410" s="53" t="n"/>
      <c r="CC410" s="53" t="n"/>
      <c r="CD410" s="53" t="n"/>
      <c r="CE410" s="53" t="n"/>
      <c r="CF410" s="53" t="n"/>
      <c r="CG410" s="53" t="n"/>
      <c r="CH410" s="53" t="n"/>
      <c r="CI410" s="53" t="n"/>
      <c r="CJ410" s="53" t="n"/>
      <c r="CK410" s="53" t="n"/>
      <c r="CL410" s="53" t="n"/>
      <c r="CM410" s="53" t="n"/>
      <c r="CN410" s="53" t="n"/>
      <c r="CO410" s="53" t="n"/>
      <c r="CP410" s="53" t="n"/>
      <c r="CQ410" s="53" t="n"/>
      <c r="CR410" s="53" t="n"/>
      <c r="CS410" s="53" t="n"/>
      <c r="CT410" s="53" t="n"/>
      <c r="CU410" s="53" t="n"/>
      <c r="CV410" s="53" t="n"/>
      <c r="CW410" s="53" t="n"/>
      <c r="CX410" s="53" t="n"/>
      <c r="CY410" s="53" t="n"/>
      <c r="CZ410" s="53" t="n"/>
      <c r="DA410" s="53" t="n"/>
      <c r="DB410" s="53" t="n"/>
      <c r="DC410" s="53" t="n"/>
      <c r="DD410" s="53" t="inlineStr">
        <is>
          <t>IRIS2266</t>
        </is>
      </c>
      <c r="DE410" s="53" t="inlineStr">
        <is>
          <t>Employee</t>
        </is>
      </c>
      <c r="DF410" s="53" t="inlineStr">
        <is>
          <t>Active</t>
        </is>
      </c>
      <c r="DG410" s="53" t="inlineStr">
        <is>
          <t>Niraj Santosh Patil</t>
        </is>
      </c>
      <c r="DH410" s="54" t="n">
        <v>45446</v>
      </c>
      <c r="DI410" s="53" t="inlineStr">
        <is>
          <t>Trainee Software Engineer</t>
        </is>
      </c>
      <c r="DJ410" s="53" t="inlineStr">
        <is>
          <t>Engineering &amp; Development</t>
        </is>
      </c>
      <c r="DK410" s="53" t="inlineStr">
        <is>
          <t>Backend Engineering · Java</t>
        </is>
      </c>
      <c r="DL410" s="53" t="inlineStr">
        <is>
          <t>Trainee Software Engineer</t>
        </is>
      </c>
      <c r="DM410" s="53" t="inlineStr">
        <is>
          <t>L2 – Trainee</t>
        </is>
      </c>
      <c r="DN410" s="53" t="inlineStr">
        <is>
          <t>B.Tech</t>
        </is>
      </c>
      <c r="DO410" s="53" t="inlineStr">
        <is>
          <t>Akshay Shetty</t>
        </is>
      </c>
      <c r="DP410" s="53" t="inlineStr">
        <is>
          <t>N-3</t>
        </is>
      </c>
      <c r="DQ410" s="53" t="inlineStr">
        <is>
          <t>Individual Contributor</t>
        </is>
      </c>
      <c r="DR410" s="53" t="inlineStr">
        <is>
          <t>0 years, 0 months, 0 days</t>
        </is>
      </c>
      <c r="DS410" s="53" t="inlineStr">
        <is>
          <t>2 years, 0 months, 17 days</t>
        </is>
      </c>
      <c r="DT410" s="53" t="inlineStr">
        <is>
          <t>2 years, 0 months, 17 days</t>
        </is>
      </c>
      <c r="DU410" s="53" t="n"/>
      <c r="DV410" s="53" t="inlineStr">
        <is>
          <t>Datatech</t>
        </is>
      </c>
      <c r="DW410" s="53" t="inlineStr">
        <is>
          <t>Datatech</t>
        </is>
      </c>
      <c r="DX410" s="53" t="inlineStr">
        <is>
          <t>Technology</t>
        </is>
      </c>
      <c r="DY410" s="53" t="inlineStr">
        <is>
          <t>Development</t>
        </is>
      </c>
      <c r="DZ410" s="53" t="inlineStr">
        <is>
          <t>Yes</t>
        </is>
      </c>
      <c r="EA410" s="53" t="inlineStr">
        <is>
          <t>Product/Project</t>
        </is>
      </c>
      <c r="EB410" s="53" t="inlineStr">
        <is>
          <t>Java</t>
        </is>
      </c>
      <c r="EC410" s="53" t="inlineStr">
        <is>
          <t>Technical - Developer</t>
        </is>
      </c>
      <c r="ED410" s="53" t="inlineStr">
        <is>
          <t>Turbhe</t>
        </is>
      </c>
      <c r="EE410" s="53" t="n"/>
      <c r="EF410"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10"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10" s="53" t="n">
        <v>2</v>
      </c>
      <c r="EI410" s="53" t="n"/>
      <c r="EJ410" s="53" t="inlineStr">
        <is>
          <t>Trainee Software Engineer</t>
        </is>
      </c>
      <c r="EK410" s="53" t="inlineStr">
        <is>
          <t>No</t>
        </is>
      </c>
      <c r="EL410" s="53" t="n">
        <v>2</v>
      </c>
      <c r="EM410" s="53" t="inlineStr">
        <is>
          <t>Low</t>
        </is>
      </c>
      <c r="EN410" s="53" t="inlineStr">
        <is>
          <t>Performance Risk</t>
        </is>
      </c>
      <c r="EO410" s="53" t="inlineStr">
        <is>
          <t>No</t>
        </is>
      </c>
      <c r="EP410" s="53" t="inlineStr">
        <is>
          <t>No</t>
        </is>
      </c>
      <c r="EQ410" s="53" t="inlineStr">
        <is>
          <t>Yes</t>
        </is>
      </c>
      <c r="ER410" s="53" t="n"/>
      <c r="ES410" s="53" t="inlineStr">
        <is>
          <t>Optimal use of AI
System Design Thinking
Flutter, Django
Product Knowledge</t>
        </is>
      </c>
      <c r="ET410" s="53" t="n"/>
      <c r="EU410" s="53" t="n"/>
      <c r="EV410" s="53" t="inlineStr">
        <is>
          <t>Peridot App + backend</t>
        </is>
      </c>
      <c r="EW410" s="52" t="n"/>
      <c r="EX410" s="53" t="n"/>
      <c r="EY410" s="53" t="n"/>
      <c r="EZ410" s="53" t="n"/>
      <c r="FA410" s="53" t="n"/>
      <c r="FB410" s="53" t="n"/>
      <c r="FC410" s="53" t="n"/>
      <c r="FD410" s="53" t="inlineStr">
        <is>
          <t>IRIS2266</t>
        </is>
      </c>
      <c r="FE410"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10"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10" s="56" t="n"/>
      <c r="FH410" s="56" t="inlineStr">
        <is>
          <t>2</t>
        </is>
      </c>
      <c r="FI410" s="56" t="n"/>
      <c r="FJ410" s="56" t="inlineStr">
        <is>
          <t>Received · manager annual, quarterly</t>
        </is>
      </c>
      <c r="FK410" s="56" t="inlineStr">
        <is>
          <t>Talent Mapping · Datatech</t>
        </is>
      </c>
      <c r="FL410" s="56" t="n">
        <v>20</v>
      </c>
      <c r="FM410" s="32" t="inlineStr">
        <is>
          <t>Full survey answers not in the files received · How We Grow export needed · HR</t>
        </is>
      </c>
      <c r="FN410" s="56" t="inlineStr">
        <is>
          <t>—</t>
        </is>
      </c>
      <c r="FO410" s="56" t="inlineStr">
        <is>
          <t>—</t>
        </is>
      </c>
      <c r="FP410" s="56" t="inlineStr">
        <is>
          <t>—</t>
        </is>
      </c>
      <c r="FQ410" s="56" t="inlineStr">
        <is>
          <t>—</t>
        </is>
      </c>
      <c r="FR41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1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10" s="56" t="inlineStr">
        <is>
          <t>Self-identified: Technical depth &amp; architecture
For the next role: Technical depth &amp; architecture</t>
        </is>
      </c>
      <c r="FU410" s="32" t="inlineStr">
        <is>
          <t>Full survey answers not in the files received · How We Grow export needed · HR</t>
        </is>
      </c>
    </row>
    <row r="411" ht="90" customHeight="1">
      <c r="A411" s="51" t="inlineStr">
        <is>
          <t>◂ Back</t>
        </is>
      </c>
      <c r="B411" s="29" t="inlineStr">
        <is>
          <t>Mapped</t>
        </is>
      </c>
      <c r="C411" s="28" t="inlineStr">
        <is>
          <t>Datatech</t>
        </is>
      </c>
      <c r="D411" s="29" t="inlineStr">
        <is>
          <t>IRISDT0004</t>
        </is>
      </c>
      <c r="E411" s="29" t="inlineStr">
        <is>
          <t>Krishnadev Arya</t>
        </is>
      </c>
      <c r="F411" s="29" t="inlineStr">
        <is>
          <t>Technology</t>
        </is>
      </c>
      <c r="G411" s="29" t="inlineStr">
        <is>
          <t>Junior Software Engineer</t>
        </is>
      </c>
      <c r="H411" s="29" t="inlineStr">
        <is>
          <t>Software Engineer</t>
        </is>
      </c>
      <c r="I411" s="29" t="inlineStr">
        <is>
          <t>L3 – Professional / Associate</t>
        </is>
      </c>
      <c r="J411" s="29" t="inlineStr">
        <is>
          <t>A2</t>
        </is>
      </c>
      <c r="K411" s="29" t="inlineStr">
        <is>
          <t>• Same level</t>
        </is>
      </c>
      <c r="L411" s="29" t="inlineStr">
        <is>
          <t>Engineering &amp; Development</t>
        </is>
      </c>
      <c r="M411" s="29" t="inlineStr">
        <is>
          <t>Backend Development</t>
        </is>
      </c>
      <c r="N411" s="29" t="n"/>
      <c r="O411" s="29" t="n">
        <v>20</v>
      </c>
      <c r="P411" s="28" t="inlineStr">
        <is>
          <t>P1–P2</t>
        </is>
      </c>
      <c r="Q411" s="29" t="inlineStr">
        <is>
          <t>Entry / Developing</t>
        </is>
      </c>
      <c r="R411" s="29" t="inlineStr">
        <is>
          <t>2 Assist</t>
        </is>
      </c>
      <c r="S411" s="29" t="inlineStr">
        <is>
          <t>0–2 yrs</t>
        </is>
      </c>
      <c r="T411" s="29" t="inlineStr">
        <is>
          <t>1–3 · 0–3</t>
        </is>
      </c>
      <c r="U411" s="29" t="inlineStr">
        <is>
          <t>Associate Software Engineer / Software Engineer</t>
        </is>
      </c>
      <c r="V411" s="29" t="inlineStr">
        <is>
          <t>Workiva: Associate SE · Broadridge India: SE · Nasdaq / AxiomSL: SE · Salesforce: AMTS · Atlassian: P30 Junior · 0–2 yrs · Freshworks: SE</t>
        </is>
      </c>
      <c r="W411" s="29" t="inlineStr">
        <is>
          <t>SFIA 9 · software development, programming; OWASP secure coding; cloud vendor certifications</t>
        </is>
      </c>
      <c r="X411" s="29" t="inlineStr">
        <is>
          <t>Core 2 · Future 2 · Functional 2 · Leadership not scored</t>
        </is>
      </c>
      <c r="Y411" s="52" t="n">
        <v>540</v>
      </c>
      <c r="Z411" s="53" t="inlineStr">
        <is>
          <t>IRISDT0004</t>
        </is>
      </c>
      <c r="AA411" s="53" t="inlineStr">
        <is>
          <t>Employee</t>
        </is>
      </c>
      <c r="AB411" s="53" t="inlineStr">
        <is>
          <t>Active</t>
        </is>
      </c>
      <c r="AC411" s="53" t="inlineStr">
        <is>
          <t>Krishnadev Arya</t>
        </is>
      </c>
      <c r="AD411" s="54" t="n">
        <v>45666</v>
      </c>
      <c r="AE411" s="53" t="inlineStr">
        <is>
          <t>Junior Software Engineer</t>
        </is>
      </c>
      <c r="AF411" s="53" t="inlineStr">
        <is>
          <t>B.E</t>
        </is>
      </c>
      <c r="AG411" s="53" t="inlineStr">
        <is>
          <t>Akshay Shetty</t>
        </is>
      </c>
      <c r="AH411" s="53" t="inlineStr">
        <is>
          <t>N-3</t>
        </is>
      </c>
      <c r="AI411" s="53" t="inlineStr">
        <is>
          <t>Individual Contributor</t>
        </is>
      </c>
      <c r="AJ411" s="53" t="inlineStr">
        <is>
          <t>0 years, 0 months, 0 days</t>
        </is>
      </c>
      <c r="AK411" s="53" t="inlineStr">
        <is>
          <t>1 years, 7 months, 16 days</t>
        </is>
      </c>
      <c r="AL411" s="53" t="inlineStr">
        <is>
          <t>Datatech</t>
        </is>
      </c>
      <c r="AM411" s="53" t="inlineStr">
        <is>
          <t>Datatech</t>
        </is>
      </c>
      <c r="AN411" s="53" t="inlineStr">
        <is>
          <t>Technology</t>
        </is>
      </c>
      <c r="AO411" s="53" t="inlineStr">
        <is>
          <t>Development</t>
        </is>
      </c>
      <c r="AP411" s="53" t="inlineStr">
        <is>
          <t>Yes</t>
        </is>
      </c>
      <c r="AQ411" s="53" t="inlineStr">
        <is>
          <t>Product/Project</t>
        </is>
      </c>
      <c r="AR411" s="53" t="inlineStr">
        <is>
          <t>Java</t>
        </is>
      </c>
      <c r="AS411" s="53" t="inlineStr">
        <is>
          <t>Technical - Developer</t>
        </is>
      </c>
      <c r="AT411" s="53" t="n">
        <v>20</v>
      </c>
      <c r="AU411" s="53" t="inlineStr">
        <is>
          <t>Covered</t>
        </is>
      </c>
      <c r="AV411" s="53" t="n"/>
      <c r="AW411" s="53" t="n"/>
      <c r="AX411" s="53" t="n"/>
      <c r="AY411" s="53" t="n"/>
      <c r="AZ411" s="53" t="n"/>
      <c r="BA411" s="53" t="n"/>
      <c r="BB411" s="53" t="n"/>
      <c r="BC411" s="53" t="n"/>
      <c r="BD411" s="53" t="n"/>
      <c r="BE411" s="53" t="n"/>
      <c r="BF411" s="53" t="n"/>
      <c r="BG411" s="53" t="n"/>
      <c r="BH411" s="53" t="n"/>
      <c r="BI411" s="53" t="n"/>
      <c r="BJ411" s="53" t="n"/>
      <c r="BK411" s="53" t="n"/>
      <c r="BL411" s="53" t="n"/>
      <c r="BM411" s="53" t="n"/>
      <c r="BN411" s="53" t="n"/>
      <c r="BO411" s="53" t="n"/>
      <c r="BP411" s="53" t="n"/>
      <c r="BQ411" s="53" t="n"/>
      <c r="BR411" s="53" t="n"/>
      <c r="BS411" s="53" t="n"/>
      <c r="BT411" s="53" t="n"/>
      <c r="BU411" s="53" t="n"/>
      <c r="BV411" s="53" t="n"/>
      <c r="BW411" s="53" t="n"/>
      <c r="BX411" s="53" t="n"/>
      <c r="BY411" s="53" t="n"/>
      <c r="BZ411" s="53" t="n"/>
      <c r="CA411" s="53" t="n"/>
      <c r="CB411" s="53" t="n"/>
      <c r="CC411" s="53" t="n"/>
      <c r="CD411" s="53" t="n"/>
      <c r="CE411" s="53" t="n"/>
      <c r="CF411" s="53" t="n"/>
      <c r="CG411" s="53" t="n"/>
      <c r="CH411" s="53" t="n"/>
      <c r="CI411" s="53" t="n"/>
      <c r="CJ411" s="53" t="n"/>
      <c r="CK411" s="53" t="n"/>
      <c r="CL411" s="53" t="n"/>
      <c r="CM411" s="53" t="n"/>
      <c r="CN411" s="53" t="n"/>
      <c r="CO411" s="53" t="n"/>
      <c r="CP411" s="53" t="n"/>
      <c r="CQ411" s="53" t="n"/>
      <c r="CR411" s="53" t="n"/>
      <c r="CS411" s="53" t="n"/>
      <c r="CT411" s="53" t="n"/>
      <c r="CU411" s="53" t="n"/>
      <c r="CV411" s="53" t="n"/>
      <c r="CW411" s="53" t="n"/>
      <c r="CX411" s="53" t="n"/>
      <c r="CY411" s="53" t="n"/>
      <c r="CZ411" s="53" t="n"/>
      <c r="DA411" s="53" t="n"/>
      <c r="DB411" s="53" t="n"/>
      <c r="DC411" s="53" t="n"/>
      <c r="DD411" s="53" t="inlineStr">
        <is>
          <t>IRIS2332</t>
        </is>
      </c>
      <c r="DE411" s="53" t="inlineStr">
        <is>
          <t>Employee</t>
        </is>
      </c>
      <c r="DF411" s="53" t="inlineStr">
        <is>
          <t>Active</t>
        </is>
      </c>
      <c r="DG411" s="53" t="inlineStr">
        <is>
          <t>Krishnadev Arya</t>
        </is>
      </c>
      <c r="DH411" s="54" t="n">
        <v>45666</v>
      </c>
      <c r="DI411" s="53" t="inlineStr">
        <is>
          <t>Junior Software Engineer</t>
        </is>
      </c>
      <c r="DJ411" s="53" t="inlineStr">
        <is>
          <t>Engineering &amp; Development</t>
        </is>
      </c>
      <c r="DK411" s="53" t="inlineStr">
        <is>
          <t>Backend Engineering · Java</t>
        </is>
      </c>
      <c r="DL411" s="53" t="inlineStr">
        <is>
          <t>Junior Software Engineer</t>
        </is>
      </c>
      <c r="DM411" s="53" t="inlineStr">
        <is>
          <t>L3 – Professional / Associate</t>
        </is>
      </c>
      <c r="DN411" s="53" t="inlineStr">
        <is>
          <t>B.E</t>
        </is>
      </c>
      <c r="DO411" s="53" t="inlineStr">
        <is>
          <t>Akshay Shetty</t>
        </is>
      </c>
      <c r="DP411" s="53" t="inlineStr">
        <is>
          <t>N-3</t>
        </is>
      </c>
      <c r="DQ411" s="53" t="inlineStr">
        <is>
          <t>Individual Contributor</t>
        </is>
      </c>
      <c r="DR411" s="53" t="inlineStr">
        <is>
          <t>0 years, 0 months, 0 days</t>
        </is>
      </c>
      <c r="DS411" s="53" t="inlineStr">
        <is>
          <t>1 years, 5 months, 11 days</t>
        </is>
      </c>
      <c r="DT411" s="53" t="inlineStr">
        <is>
          <t>1 years, 5 months, 11 days</t>
        </is>
      </c>
      <c r="DU411" s="53" t="n"/>
      <c r="DV411" s="53" t="inlineStr">
        <is>
          <t>Datatech</t>
        </is>
      </c>
      <c r="DW411" s="53" t="inlineStr">
        <is>
          <t>Datatech</t>
        </is>
      </c>
      <c r="DX411" s="53" t="inlineStr">
        <is>
          <t>Technology</t>
        </is>
      </c>
      <c r="DY411" s="53" t="inlineStr">
        <is>
          <t>Development</t>
        </is>
      </c>
      <c r="DZ411" s="53" t="inlineStr">
        <is>
          <t>Yes</t>
        </is>
      </c>
      <c r="EA411" s="53" t="inlineStr">
        <is>
          <t>Product/Project</t>
        </is>
      </c>
      <c r="EB411" s="53" t="inlineStr">
        <is>
          <t>Java</t>
        </is>
      </c>
      <c r="EC411" s="53" t="inlineStr">
        <is>
          <t>Technical - Developer</t>
        </is>
      </c>
      <c r="ED411" s="53" t="inlineStr">
        <is>
          <t>Turbhe</t>
        </is>
      </c>
      <c r="EE411" s="53" t="n"/>
      <c r="EF411"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11"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11" s="53" t="n">
        <v>2</v>
      </c>
      <c r="EI411" s="53" t="n"/>
      <c r="EJ411" s="53" t="inlineStr">
        <is>
          <t>Junior Software Engineer</t>
        </is>
      </c>
      <c r="EK411" s="53" t="inlineStr">
        <is>
          <t>No</t>
        </is>
      </c>
      <c r="EL411" s="53" t="n">
        <v>2</v>
      </c>
      <c r="EM411" s="53" t="inlineStr">
        <is>
          <t>Low</t>
        </is>
      </c>
      <c r="EN411" s="53" t="inlineStr">
        <is>
          <t>Performance Risk</t>
        </is>
      </c>
      <c r="EO411" s="53" t="inlineStr">
        <is>
          <t>No</t>
        </is>
      </c>
      <c r="EP411" s="53" t="inlineStr">
        <is>
          <t>No</t>
        </is>
      </c>
      <c r="EQ411" s="53" t="inlineStr">
        <is>
          <t>Yes</t>
        </is>
      </c>
      <c r="ER411" s="53" t="n"/>
      <c r="ES411" s="53" t="inlineStr">
        <is>
          <t>Optimal use of AI
System Design Thinking
Flutter, Django
Product Knowledge</t>
        </is>
      </c>
      <c r="ET411" s="53" t="n"/>
      <c r="EU411" s="53" t="n"/>
      <c r="EV411" s="53" t="inlineStr">
        <is>
          <t>Peridot App + backend</t>
        </is>
      </c>
      <c r="EW411" s="52" t="n"/>
      <c r="EX411" s="53" t="n"/>
      <c r="EY411" s="53" t="n"/>
      <c r="EZ411" s="53" t="n"/>
      <c r="FA411" s="53" t="n"/>
      <c r="FB411" s="53" t="n"/>
      <c r="FC411" s="53" t="n"/>
      <c r="FD411" s="53" t="inlineStr">
        <is>
          <t>IRIS2332</t>
        </is>
      </c>
      <c r="FE411"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11"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11" s="56" t="n"/>
      <c r="FH411" s="56" t="inlineStr">
        <is>
          <t>2</t>
        </is>
      </c>
      <c r="FI411" s="56" t="n"/>
      <c r="FJ411" s="56" t="inlineStr">
        <is>
          <t>Received · manager annual, quarterly</t>
        </is>
      </c>
      <c r="FK411" s="56" t="inlineStr">
        <is>
          <t>Talent Mapping · Datatech</t>
        </is>
      </c>
      <c r="FL411" s="56" t="n">
        <v>20</v>
      </c>
      <c r="FM411" s="32" t="inlineStr">
        <is>
          <t>Full survey answers not in the files received · How We Grow export needed · HR</t>
        </is>
      </c>
      <c r="FN411" s="56" t="inlineStr">
        <is>
          <t>—</t>
        </is>
      </c>
      <c r="FO411" s="56" t="inlineStr">
        <is>
          <t>—</t>
        </is>
      </c>
      <c r="FP411" s="56" t="inlineStr">
        <is>
          <t>—</t>
        </is>
      </c>
      <c r="FQ411" s="56" t="inlineStr">
        <is>
          <t>—</t>
        </is>
      </c>
      <c r="FR41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11"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411" s="56" t="inlineStr">
        <is>
          <t>Self-identified: Project / programme management · Broader exposure &amp; ownership
For the next role: Project / programme management · Broader exposure &amp; ownership</t>
        </is>
      </c>
      <c r="FU411" s="32" t="inlineStr">
        <is>
          <t>Full survey answers not in the files received · How We Grow export needed · HR</t>
        </is>
      </c>
    </row>
    <row r="412" ht="90" customHeight="1">
      <c r="A412" s="51" t="inlineStr">
        <is>
          <t>◂ Back</t>
        </is>
      </c>
      <c r="B412" s="29" t="inlineStr">
        <is>
          <t>Mapped</t>
        </is>
      </c>
      <c r="C412" s="28" t="inlineStr">
        <is>
          <t>Datatech</t>
        </is>
      </c>
      <c r="D412" s="29" t="inlineStr">
        <is>
          <t>IRISDT0009</t>
        </is>
      </c>
      <c r="E412" s="29" t="inlineStr">
        <is>
          <t>Ankita Pathak</t>
        </is>
      </c>
      <c r="F412" s="29" t="inlineStr">
        <is>
          <t>Marketing</t>
        </is>
      </c>
      <c r="G412" s="29" t="inlineStr">
        <is>
          <t>Manager Marketing</t>
        </is>
      </c>
      <c r="H412" s="29" t="inlineStr">
        <is>
          <t>Marketing Specialist – POD Lead</t>
        </is>
      </c>
      <c r="I412" s="29" t="inlineStr">
        <is>
          <t>L5 – Manager</t>
        </is>
      </c>
      <c r="J412" s="29" t="inlineStr">
        <is>
          <t>B2</t>
        </is>
      </c>
      <c r="K412" s="29" t="inlineStr">
        <is>
          <t>▼ Down · protected</t>
        </is>
      </c>
      <c r="L412" s="29" t="inlineStr">
        <is>
          <t>Marketing &amp; Communications</t>
        </is>
      </c>
      <c r="M412" s="29" t="inlineStr">
        <is>
          <t>Marketing Leadership</t>
        </is>
      </c>
      <c r="N412" s="29" t="n"/>
      <c r="O412" s="29" t="n">
        <v>20</v>
      </c>
      <c r="P412" s="28" t="inlineStr">
        <is>
          <t>P4 / M3</t>
        </is>
      </c>
      <c r="Q412" s="29" t="inlineStr">
        <is>
          <t>Senior / Manager</t>
        </is>
      </c>
      <c r="R412" s="29" t="inlineStr">
        <is>
          <t>4–5</t>
        </is>
      </c>
      <c r="S412" s="29" t="inlineStr">
        <is>
          <t>6–9 yrs</t>
        </is>
      </c>
      <c r="T412" s="29" t="inlineStr">
        <is>
          <t>7–10 · 6–11</t>
        </is>
      </c>
      <c r="U412" s="29" t="inlineStr">
        <is>
          <t>Senior Executive / Specialist</t>
        </is>
      </c>
      <c r="V412" s="29" t="inlineStr">
        <is>
          <t>IRIS Vs Market Benchmark — CIM proficiency scale: 3–4 · IRIS Vs Competitor Benchmark — SaaS marketing ladder: Marketing Manager</t>
        </is>
      </c>
      <c r="W412" s="29" t="inlineStr">
        <is>
          <t>CIM Global Professional Marketing Framework — proficiency Aware → Active learner → Able → Accomplished → Authoritative</t>
        </is>
      </c>
      <c r="X412" s="29" t="inlineStr">
        <is>
          <t>Core 3 · Future 3 · Functional 4 · Leadership 3</t>
        </is>
      </c>
      <c r="Y412" s="52" t="n">
        <v>544</v>
      </c>
      <c r="Z412" s="53" t="inlineStr">
        <is>
          <t>IRISDT0009</t>
        </is>
      </c>
      <c r="AA412" s="53" t="inlineStr">
        <is>
          <t>Employee</t>
        </is>
      </c>
      <c r="AB412" s="53" t="inlineStr">
        <is>
          <t>Active</t>
        </is>
      </c>
      <c r="AC412" s="53" t="inlineStr">
        <is>
          <t>Ankita Pathak</t>
        </is>
      </c>
      <c r="AD412" s="54" t="n">
        <v>45880</v>
      </c>
      <c r="AE412" s="53" t="inlineStr">
        <is>
          <t>Manager Marketing</t>
        </is>
      </c>
      <c r="AF412" s="53" t="inlineStr">
        <is>
          <t>PGDBM</t>
        </is>
      </c>
      <c r="AG412" s="53" t="inlineStr">
        <is>
          <t>Shilpa Dhobale</t>
        </is>
      </c>
      <c r="AH412" s="53" t="inlineStr">
        <is>
          <t>N-2</t>
        </is>
      </c>
      <c r="AI412" s="53" t="inlineStr">
        <is>
          <t>Manager</t>
        </is>
      </c>
      <c r="AJ412" s="53" t="inlineStr">
        <is>
          <t>4 years, 7 months, 0 days</t>
        </is>
      </c>
      <c r="AK412" s="53" t="inlineStr">
        <is>
          <t>1 years, 0 months, 14 days</t>
        </is>
      </c>
      <c r="AL412" s="53" t="inlineStr">
        <is>
          <t>Datatech</t>
        </is>
      </c>
      <c r="AM412" s="53" t="inlineStr">
        <is>
          <t>Datatech</t>
        </is>
      </c>
      <c r="AN412" s="53" t="inlineStr">
        <is>
          <t>Marketing</t>
        </is>
      </c>
      <c r="AO412" s="53" t="inlineStr">
        <is>
          <t>Marketing</t>
        </is>
      </c>
      <c r="AP412" s="53" t="inlineStr">
        <is>
          <t>No</t>
        </is>
      </c>
      <c r="AQ412" s="53" t="inlineStr">
        <is>
          <t>Sales, Marketing &amp; Support</t>
        </is>
      </c>
      <c r="AR412" s="53" t="inlineStr">
        <is>
          <t>Marketing</t>
        </is>
      </c>
      <c r="AS412" s="53" t="inlineStr">
        <is>
          <t>Non-technical</t>
        </is>
      </c>
      <c r="AT412" s="53" t="n">
        <v>20</v>
      </c>
      <c r="AU412" s="53" t="inlineStr">
        <is>
          <t>Covered</t>
        </is>
      </c>
      <c r="AV412" s="53" t="n"/>
      <c r="AW412" s="53" t="n"/>
      <c r="AX412" s="53" t="n"/>
      <c r="AY412" s="53" t="n"/>
      <c r="AZ412" s="53" t="n"/>
      <c r="BA412" s="53" t="n"/>
      <c r="BB412" s="53" t="n"/>
      <c r="BC412" s="53" t="n"/>
      <c r="BD412" s="53" t="n"/>
      <c r="BE412" s="53" t="n"/>
      <c r="BF412" s="53" t="n"/>
      <c r="BG412" s="53" t="n"/>
      <c r="BH412" s="53" t="n"/>
      <c r="BI412" s="53" t="n"/>
      <c r="BJ412" s="53" t="n"/>
      <c r="BK412" s="53" t="n"/>
      <c r="BL412" s="53" t="n"/>
      <c r="BM412" s="53" t="n"/>
      <c r="BN412" s="53" t="n"/>
      <c r="BO412" s="53" t="n"/>
      <c r="BP412" s="53" t="n"/>
      <c r="BQ412" s="53" t="n"/>
      <c r="BR412" s="53" t="n"/>
      <c r="BS412" s="53" t="n"/>
      <c r="BT412" s="53" t="n"/>
      <c r="BU412" s="53" t="n"/>
      <c r="BV412" s="53" t="n"/>
      <c r="BW412" s="53" t="n"/>
      <c r="BX412" s="53" t="n"/>
      <c r="BY412" s="53" t="n"/>
      <c r="BZ412" s="53" t="n"/>
      <c r="CA412" s="53" t="n"/>
      <c r="CB412" s="53" t="n"/>
      <c r="CC412" s="53" t="n"/>
      <c r="CD412" s="53" t="n"/>
      <c r="CE412" s="53" t="n"/>
      <c r="CF412" s="53" t="n"/>
      <c r="CG412" s="53" t="n"/>
      <c r="CH412" s="53" t="n"/>
      <c r="CI412" s="53" t="n"/>
      <c r="CJ412" s="53" t="n"/>
      <c r="CK412" s="53" t="n"/>
      <c r="CL412" s="53" t="n"/>
      <c r="CM412" s="53" t="n"/>
      <c r="CN412" s="53" t="n"/>
      <c r="CO412" s="53" t="n"/>
      <c r="CP412" s="53" t="n"/>
      <c r="CQ412" s="53" t="n"/>
      <c r="CR412" s="53" t="n"/>
      <c r="CS412" s="53" t="n"/>
      <c r="CT412" s="53" t="n"/>
      <c r="CU412" s="53" t="n"/>
      <c r="CV412" s="53" t="n"/>
      <c r="CW412" s="53" t="n"/>
      <c r="CX412" s="53" t="n"/>
      <c r="CY412" s="53" t="n"/>
      <c r="CZ412" s="53" t="n"/>
      <c r="DA412" s="53" t="n"/>
      <c r="DB412" s="53" t="n"/>
      <c r="DC412" s="53" t="n"/>
      <c r="DD412" s="53" t="inlineStr">
        <is>
          <t>IRIS2417</t>
        </is>
      </c>
      <c r="DE412" s="53" t="inlineStr">
        <is>
          <t>Employee</t>
        </is>
      </c>
      <c r="DF412" s="53" t="inlineStr">
        <is>
          <t>Active</t>
        </is>
      </c>
      <c r="DG412" s="53" t="inlineStr">
        <is>
          <t>Ankita Pathak</t>
        </is>
      </c>
      <c r="DH412" s="54" t="n">
        <v>45880</v>
      </c>
      <c r="DI412" s="53" t="inlineStr">
        <is>
          <t>Manager Marketing</t>
        </is>
      </c>
      <c r="DJ412" s="53" t="inlineStr">
        <is>
          <t>Marketing &amp; Communications</t>
        </is>
      </c>
      <c r="DK412" s="53" t="inlineStr">
        <is>
          <t>Demand Generation / Brand</t>
        </is>
      </c>
      <c r="DL412" s="53" t="inlineStr">
        <is>
          <t>Manager Marketing</t>
        </is>
      </c>
      <c r="DM412" s="53" t="inlineStr">
        <is>
          <t>L5 – Manager</t>
        </is>
      </c>
      <c r="DN412" s="53" t="inlineStr">
        <is>
          <t>PGDBM</t>
        </is>
      </c>
      <c r="DO412" s="53" t="inlineStr">
        <is>
          <t>Shilpa Dhobale</t>
        </is>
      </c>
      <c r="DP412" s="53" t="inlineStr">
        <is>
          <t>N-2</t>
        </is>
      </c>
      <c r="DQ412" s="53" t="inlineStr">
        <is>
          <t>Manager</t>
        </is>
      </c>
      <c r="DR412" s="53" t="inlineStr">
        <is>
          <t>4 years, 7 months, 0 days</t>
        </is>
      </c>
      <c r="DS412" s="53" t="inlineStr">
        <is>
          <t>0 years, 10 months, 9 days</t>
        </is>
      </c>
      <c r="DT412" s="53" t="inlineStr">
        <is>
          <t>5 years, 5 months, 9 days</t>
        </is>
      </c>
      <c r="DU412" s="53" t="n">
        <v>0.8579908675799089</v>
      </c>
      <c r="DV412" s="53" t="inlineStr">
        <is>
          <t>Datatech</t>
        </is>
      </c>
      <c r="DW412" s="53" t="inlineStr">
        <is>
          <t>Datatech</t>
        </is>
      </c>
      <c r="DX412" s="53" t="inlineStr">
        <is>
          <t>Marketing</t>
        </is>
      </c>
      <c r="DY412" s="53" t="inlineStr">
        <is>
          <t>Marketing</t>
        </is>
      </c>
      <c r="DZ412" s="53" t="inlineStr">
        <is>
          <t>No</t>
        </is>
      </c>
      <c r="EA412" s="53" t="inlineStr">
        <is>
          <t>Sales, Marketing &amp; Support</t>
        </is>
      </c>
      <c r="EB412" s="53" t="inlineStr">
        <is>
          <t>Marketing</t>
        </is>
      </c>
      <c r="EC412" s="53" t="inlineStr">
        <is>
          <t>Non-technical</t>
        </is>
      </c>
      <c r="ED412" s="53" t="inlineStr">
        <is>
          <t>Turbhe</t>
        </is>
      </c>
      <c r="EE412" s="53" t="n"/>
      <c r="EF412" s="53" t="n"/>
      <c r="EG412" s="53" t="n"/>
      <c r="EH412" s="53" t="n">
        <v>3</v>
      </c>
      <c r="EI412" s="53" t="n"/>
      <c r="EJ412" s="53" t="inlineStr">
        <is>
          <t>Manager Marketing</t>
        </is>
      </c>
      <c r="EK412" s="53" t="inlineStr">
        <is>
          <t>Yes</t>
        </is>
      </c>
      <c r="EL412" s="53" t="n">
        <v>3</v>
      </c>
      <c r="EM412" s="53" t="n">
        <v>3</v>
      </c>
      <c r="EN412" s="53" t="inlineStr">
        <is>
          <t>High Impact / Growth Talent</t>
        </is>
      </c>
      <c r="EO412" s="53" t="inlineStr">
        <is>
          <t>No</t>
        </is>
      </c>
      <c r="EP412" s="53" t="inlineStr">
        <is>
          <t>Yes</t>
        </is>
      </c>
      <c r="EQ412" s="53" t="inlineStr">
        <is>
          <t>Yes</t>
        </is>
      </c>
      <c r="ER412" s="53" t="n"/>
      <c r="ES412" s="53" t="inlineStr">
        <is>
          <t>Performance marketing, Leadership coaching</t>
        </is>
      </c>
      <c r="ET412" s="53" t="n"/>
      <c r="EU412" s="53" t="n"/>
      <c r="EV412" s="53" t="inlineStr">
        <is>
          <t>All</t>
        </is>
      </c>
      <c r="EW412" s="52" t="n"/>
      <c r="EX412" s="53" t="n"/>
      <c r="EY412" s="53" t="n"/>
      <c r="EZ412" s="53" t="n"/>
      <c r="FA412" s="53" t="n"/>
      <c r="FB412" s="53" t="n"/>
      <c r="FC412" s="53" t="n"/>
      <c r="FD412" s="53" t="inlineStr">
        <is>
          <t>IRIS2417</t>
        </is>
      </c>
      <c r="FE412" s="55" t="inlineStr">
        <is>
          <t>KRAs not received · manager to supply</t>
        </is>
      </c>
      <c r="FF412" s="56" t="n"/>
      <c r="FG412" s="56" t="n"/>
      <c r="FH412" s="56" t="inlineStr">
        <is>
          <t>3</t>
        </is>
      </c>
      <c r="FI412" s="56" t="n"/>
      <c r="FJ412" s="32" t="inlineStr">
        <is>
          <t>KRAs not received · manager to supply</t>
        </is>
      </c>
      <c r="FK412" s="56" t="inlineStr">
        <is>
          <t>Talent Mapping · Datatech</t>
        </is>
      </c>
      <c r="FL412" s="56" t="n">
        <v>20</v>
      </c>
      <c r="FM412" s="32" t="inlineStr">
        <is>
          <t>Full survey answers not in the files received · How We Grow export needed · HR</t>
        </is>
      </c>
      <c r="FN412" s="56" t="inlineStr">
        <is>
          <t>—</t>
        </is>
      </c>
      <c r="FO412" s="56" t="inlineStr">
        <is>
          <t>—</t>
        </is>
      </c>
      <c r="FP412" s="56" t="inlineStr">
        <is>
          <t>—</t>
        </is>
      </c>
      <c r="FQ412" s="56" t="inlineStr">
        <is>
          <t>—</t>
        </is>
      </c>
      <c r="FR412" s="56"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strategy execution, user acquisition and engagement for IRIS MSME; three-person team → moved down 0.5
Leadership: Evidence reads like B1: 3 direct reports · HR; builds the function's processes; people management not described → matches the start
Business Impact: Moved +0.5: the survey / manager mapping marks it business-critical.</t>
        </is>
      </c>
      <c r="FS412" s="56" t="n"/>
      <c r="FT412" s="56" t="inlineStr">
        <is>
          <t>Self-identified: Strategy &amp; business acumen · Marketing &amp; content
For the next role: Leadership &amp; people management · Strategy &amp; business acumen · Marketing &amp; content</t>
        </is>
      </c>
      <c r="FU412" s="32" t="inlineStr">
        <is>
          <t>Full survey answers not in the files received · How We Grow export needed · HR</t>
        </is>
      </c>
    </row>
    <row r="413" ht="90" customHeight="1">
      <c r="A413" s="51" t="inlineStr">
        <is>
          <t>◂ Back</t>
        </is>
      </c>
      <c r="B413" s="29" t="inlineStr">
        <is>
          <t>Mapped</t>
        </is>
      </c>
      <c r="C413" s="28" t="inlineStr">
        <is>
          <t>Datatech</t>
        </is>
      </c>
      <c r="D413" s="29" t="inlineStr">
        <is>
          <t>IRISDTC001</t>
        </is>
      </c>
      <c r="E413" s="29" t="inlineStr">
        <is>
          <t>Lalit Subhash Dhamale</t>
        </is>
      </c>
      <c r="F413" s="29" t="inlineStr">
        <is>
          <t>Marketing</t>
        </is>
      </c>
      <c r="G413" s="29" t="inlineStr">
        <is>
          <t>Social Media &amp; ORM Specialist</t>
        </is>
      </c>
      <c r="H413" s="29" t="inlineStr">
        <is>
          <t>Senior Digital Marketing Associate</t>
        </is>
      </c>
      <c r="I413" s="29" t="inlineStr">
        <is>
          <t>Not in current mapping files</t>
        </is>
      </c>
      <c r="J413" s="29" t="inlineStr">
        <is>
          <t>A3</t>
        </is>
      </c>
      <c r="K413" s="29" t="inlineStr">
        <is>
          <t>● Newly mapped</t>
        </is>
      </c>
      <c r="L413" s="29" t="inlineStr">
        <is>
          <t>Marketing &amp; Communications</t>
        </is>
      </c>
      <c r="M413" s="29" t="inlineStr">
        <is>
          <t>Digital Marketing, Web &amp; Social</t>
        </is>
      </c>
      <c r="N413" s="29" t="n"/>
      <c r="O413" s="29" t="n">
        <v>20</v>
      </c>
      <c r="P413" s="28" t="inlineStr">
        <is>
          <t>P2</t>
        </is>
      </c>
      <c r="Q413" s="29" t="inlineStr">
        <is>
          <t>Developing</t>
        </is>
      </c>
      <c r="R413" s="29" t="inlineStr">
        <is>
          <t>3 Apply</t>
        </is>
      </c>
      <c r="S413" s="29" t="inlineStr">
        <is>
          <t>2–4 yrs</t>
        </is>
      </c>
      <c r="T413" s="29" t="inlineStr">
        <is>
          <t>3–5 · 2–5</t>
        </is>
      </c>
      <c r="U413" s="29" t="inlineStr">
        <is>
          <t>Marketing Executive</t>
        </is>
      </c>
      <c r="V413" s="29" t="inlineStr">
        <is>
          <t>IRIS Vs Market Benchmark — CIM proficiency scale: 2–3 · IRIS Vs Competitor Benchmark — SaaS marketing ladder: Marketing Specialist</t>
        </is>
      </c>
      <c r="W413" s="29" t="inlineStr">
        <is>
          <t>CIM Global Professional Marketing Framework — proficiency Aware → Active learner → Able → Accomplished → Authoritative</t>
        </is>
      </c>
      <c r="X413" s="29" t="inlineStr">
        <is>
          <t>Core 2 · Future 2 · Functional 3 · Leadership not scored</t>
        </is>
      </c>
      <c r="Y413" s="52" t="n">
        <v>555</v>
      </c>
      <c r="Z413" s="53" t="inlineStr">
        <is>
          <t>IRISDTC001</t>
        </is>
      </c>
      <c r="AA413" s="53" t="inlineStr">
        <is>
          <t>On Contract</t>
        </is>
      </c>
      <c r="AB413" s="53" t="inlineStr">
        <is>
          <t>Active</t>
        </is>
      </c>
      <c r="AC413" s="53" t="inlineStr">
        <is>
          <t>Lalit Subhash Dhamale</t>
        </is>
      </c>
      <c r="AD413" s="54" t="n">
        <v>46163</v>
      </c>
      <c r="AE413" s="53" t="inlineStr">
        <is>
          <t>Social Media &amp; ORM Specialist</t>
        </is>
      </c>
      <c r="AF413" s="53" t="inlineStr">
        <is>
          <t>Diploma in Chemical Engineering</t>
        </is>
      </c>
      <c r="AG413" s="53" t="inlineStr">
        <is>
          <t>Ankita Pathak</t>
        </is>
      </c>
      <c r="AH413" s="53" t="inlineStr">
        <is>
          <t>N-3</t>
        </is>
      </c>
      <c r="AI413" s="53" t="inlineStr">
        <is>
          <t>Individual Contributor</t>
        </is>
      </c>
      <c r="AJ413" s="53" t="inlineStr">
        <is>
          <t>2 years, 7 months, 0 days</t>
        </is>
      </c>
      <c r="AK413" s="53" t="inlineStr">
        <is>
          <t>0 years, 3 months, 4 days</t>
        </is>
      </c>
      <c r="AL413" s="53" t="inlineStr">
        <is>
          <t>Datatech</t>
        </is>
      </c>
      <c r="AM413" s="53" t="inlineStr">
        <is>
          <t>Datatech</t>
        </is>
      </c>
      <c r="AN413" s="53" t="inlineStr">
        <is>
          <t>Marketing</t>
        </is>
      </c>
      <c r="AO413" s="53" t="inlineStr">
        <is>
          <t>Marketing</t>
        </is>
      </c>
      <c r="AP413" s="53" t="inlineStr">
        <is>
          <t>No</t>
        </is>
      </c>
      <c r="AQ413" s="53" t="inlineStr">
        <is>
          <t>Sales, Marketing &amp; Support</t>
        </is>
      </c>
      <c r="AR413" s="53" t="inlineStr">
        <is>
          <t>Marketing</t>
        </is>
      </c>
      <c r="AS413" s="53" t="inlineStr">
        <is>
          <t>Non-technical</t>
        </is>
      </c>
      <c r="AT413" s="53" t="n">
        <v>20</v>
      </c>
      <c r="AU413" s="53" t="inlineStr">
        <is>
          <t>Covered</t>
        </is>
      </c>
      <c r="AV413" s="53" t="n"/>
      <c r="AW413" s="53" t="n"/>
      <c r="AX413" s="53" t="n"/>
      <c r="AY413" s="53" t="n"/>
      <c r="AZ413" s="53" t="n"/>
      <c r="BA413" s="53" t="n"/>
      <c r="BB413" s="53" t="n"/>
      <c r="BC413" s="53" t="n"/>
      <c r="BD413" s="53" t="n"/>
      <c r="BE413" s="53" t="n"/>
      <c r="BF413" s="53" t="n"/>
      <c r="BG413" s="53" t="n"/>
      <c r="BH413" s="53" t="n"/>
      <c r="BI413" s="53" t="n"/>
      <c r="BJ413" s="53" t="n"/>
      <c r="BK413" s="53" t="n"/>
      <c r="BL413" s="53" t="n"/>
      <c r="BM413" s="53" t="n"/>
      <c r="BN413" s="53" t="n"/>
      <c r="BO413" s="53" t="n"/>
      <c r="BP413" s="53" t="n"/>
      <c r="BQ413" s="53" t="n"/>
      <c r="BR413" s="53" t="n"/>
      <c r="BS413" s="53" t="n"/>
      <c r="BT413" s="53" t="n"/>
      <c r="BU413" s="53" t="n"/>
      <c r="BV413" s="53" t="n"/>
      <c r="BW413" s="53" t="n"/>
      <c r="BX413" s="53" t="n"/>
      <c r="BY413" s="53" t="n"/>
      <c r="BZ413" s="53" t="n"/>
      <c r="CA413" s="53" t="n"/>
      <c r="CB413" s="53" t="n"/>
      <c r="CC413" s="53" t="n"/>
      <c r="CD413" s="53" t="n"/>
      <c r="CE413" s="53" t="n"/>
      <c r="CF413" s="53" t="n"/>
      <c r="CG413" s="53" t="n"/>
      <c r="CH413" s="53" t="n"/>
      <c r="CI413" s="53" t="n"/>
      <c r="CJ413" s="53" t="n"/>
      <c r="CK413" s="53" t="n"/>
      <c r="CL413" s="53" t="n"/>
      <c r="CM413" s="53" t="n"/>
      <c r="CN413" s="53" t="n"/>
      <c r="CO413" s="53" t="n"/>
      <c r="CP413" s="53" t="n"/>
      <c r="CQ413" s="53" t="n"/>
      <c r="CR413" s="53" t="n"/>
      <c r="CS413" s="53" t="n"/>
      <c r="CT413" s="53" t="n"/>
      <c r="CU413" s="53" t="n"/>
      <c r="CV413" s="53" t="n"/>
      <c r="CW413" s="53" t="n"/>
      <c r="CX413" s="53" t="n"/>
      <c r="CY413" s="53" t="n"/>
      <c r="CZ413" s="53" t="n"/>
      <c r="DA413" s="53" t="n"/>
      <c r="DB413" s="53" t="n"/>
      <c r="DC413" s="53" t="n"/>
      <c r="DD413" s="53" t="n"/>
      <c r="DE413" s="53" t="inlineStr">
        <is>
          <t>On Contract</t>
        </is>
      </c>
      <c r="DF413" s="53" t="inlineStr">
        <is>
          <t>Active</t>
        </is>
      </c>
      <c r="DG413" s="53" t="inlineStr">
        <is>
          <t>Lalit Dhamale</t>
        </is>
      </c>
      <c r="DH413" s="53" t="n"/>
      <c r="DI413" s="53" t="inlineStr">
        <is>
          <t>Social Media &amp; ORM Specialist</t>
        </is>
      </c>
      <c r="DJ413" s="53" t="n"/>
      <c r="DK413" s="53" t="n"/>
      <c r="DL413" s="53" t="n"/>
      <c r="DM413" s="53" t="n"/>
      <c r="DN413" s="53" t="n"/>
      <c r="DO413" s="53" t="inlineStr">
        <is>
          <t>Ankita Pathak</t>
        </is>
      </c>
      <c r="DP413" s="53" t="n"/>
      <c r="DQ413" s="53" t="n"/>
      <c r="DR413" s="53" t="n"/>
      <c r="DS413" s="53" t="n"/>
      <c r="DT413" s="53" t="n"/>
      <c r="DU413" s="53" t="n"/>
      <c r="DV413" s="53" t="inlineStr">
        <is>
          <t>Datatech</t>
        </is>
      </c>
      <c r="DW413" s="53" t="inlineStr">
        <is>
          <t>Datatech</t>
        </is>
      </c>
      <c r="DX413" s="53" t="inlineStr">
        <is>
          <t>Marketing</t>
        </is>
      </c>
      <c r="DY413" s="53" t="inlineStr">
        <is>
          <t>Marketing</t>
        </is>
      </c>
      <c r="DZ413" s="53" t="inlineStr">
        <is>
          <t>No</t>
        </is>
      </c>
      <c r="EA413" s="53" t="inlineStr">
        <is>
          <t>Sales, Marketing &amp; Support</t>
        </is>
      </c>
      <c r="EB413" s="53" t="inlineStr">
        <is>
          <t>Marketing</t>
        </is>
      </c>
      <c r="EC413" s="53" t="inlineStr">
        <is>
          <t>Non-technical</t>
        </is>
      </c>
      <c r="ED413" s="53" t="inlineStr">
        <is>
          <t>Turbhe</t>
        </is>
      </c>
      <c r="EE413" s="53" t="n"/>
      <c r="EF413" s="53"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EG413" s="53" t="n"/>
      <c r="EH413" s="53" t="n"/>
      <c r="EI413" s="53" t="inlineStr">
        <is>
          <t>46223</t>
        </is>
      </c>
      <c r="EJ413" s="53" t="inlineStr">
        <is>
          <t>Social Media &amp; ORM Executive</t>
        </is>
      </c>
      <c r="EK413" s="53" t="inlineStr">
        <is>
          <t>No</t>
        </is>
      </c>
      <c r="EL413" s="53" t="inlineStr">
        <is>
          <t>4</t>
        </is>
      </c>
      <c r="EM413" s="53" t="inlineStr">
        <is>
          <t>High</t>
        </is>
      </c>
      <c r="EN413" s="53" t="inlineStr">
        <is>
          <t>Reliable Specialist</t>
        </is>
      </c>
      <c r="EO413" s="53" t="inlineStr">
        <is>
          <t>No</t>
        </is>
      </c>
      <c r="EP413" s="53" t="inlineStr">
        <is>
          <t>Yes</t>
        </is>
      </c>
      <c r="EQ413" s="53" t="inlineStr">
        <is>
          <t>Yes</t>
        </is>
      </c>
      <c r="ER413" s="53" t="n"/>
      <c r="ES413" s="53" t="inlineStr">
        <is>
          <t>ASO Training</t>
        </is>
      </c>
      <c r="ET413" s="53" t="n"/>
      <c r="EU413" s="53" t="n"/>
      <c r="EV413" s="53" t="inlineStr">
        <is>
          <t>All</t>
        </is>
      </c>
      <c r="EW413" s="52" t="n"/>
      <c r="EX413" s="53" t="n"/>
      <c r="EY413" s="53" t="n"/>
      <c r="EZ413" s="53" t="n"/>
      <c r="FA413" s="53" t="n"/>
      <c r="FB413" s="53" t="n"/>
      <c r="FC413" s="53" t="inlineStr">
        <is>
          <t>Employee Category; Employee Status; Employee Name; Designation; Reporting Manager; Business Line; Product/Others; Department; Sub Functional Categorization; Core Development; Functional Categorization; Skill Sets; Technical/Non-technical; Location; Annual KRAs · objective Measurable Minimum 5 - set by Manager; Last Performance Discussion date; Correct Designation; Is a structural Change needed for better future; Quarterly Performance Rating; Potential Rating · High/Med/Low; 9-Box Placement; Ready for Promotion; Fast Tracker · Y/N; Critical Role · Y/N; Training Needs identified for current Role; Projects/Delivery/client Assigned</t>
        </is>
      </c>
      <c r="FD413" s="53" t="n"/>
      <c r="FE413" s="57"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FF413" s="56" t="n"/>
      <c r="FG413" s="56" t="n"/>
      <c r="FH413" s="56" t="n"/>
      <c r="FI413" s="56" t="n"/>
      <c r="FJ413" s="56" t="inlineStr">
        <is>
          <t>Received · manager annual</t>
        </is>
      </c>
      <c r="FK413" s="56" t="inlineStr">
        <is>
          <t>Talent Mapping · Datatech</t>
        </is>
      </c>
      <c r="FL413" s="56" t="n">
        <v>20</v>
      </c>
      <c r="FM413" s="32" t="inlineStr">
        <is>
          <t>Full survey answers not in the files received · How We Grow export needed · HR</t>
        </is>
      </c>
      <c r="FN413" s="56" t="inlineStr">
        <is>
          <t>—</t>
        </is>
      </c>
      <c r="FO413" s="56" t="inlineStr">
        <is>
          <t>—</t>
        </is>
      </c>
      <c r="FP413" s="56" t="inlineStr">
        <is>
          <t>—</t>
        </is>
      </c>
      <c r="FQ413" s="56" t="inlineStr">
        <is>
          <t>—</t>
        </is>
      </c>
      <c r="FR413" s="56"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or hashtags → moved down 1
Leadership: Evidence reads like A1: No guidance or leadership of others described → moved down 1
Business Impact: No survey or manager-mapping signal on criticality: kept at the start point.</t>
        </is>
      </c>
      <c r="FS413" s="56" t="n"/>
      <c r="FT413" s="56" t="inlineStr">
        <is>
          <t>Self-identified: Product &amp; tool knowledge · Marketing &amp; content
For the next role: Product &amp; tool knowledge · Marketing &amp; content</t>
        </is>
      </c>
      <c r="FU413" s="32" t="inlineStr">
        <is>
          <t>Full survey answers not in the files received · How We Grow export needed · HR</t>
        </is>
      </c>
    </row>
    <row r="414" ht="90" customHeight="1">
      <c r="A414" s="51" t="inlineStr">
        <is>
          <t>◂ Back</t>
        </is>
      </c>
      <c r="B414" s="29" t="inlineStr">
        <is>
          <t>Mapped</t>
        </is>
      </c>
      <c r="C414" s="28" t="inlineStr">
        <is>
          <t>Datatech</t>
        </is>
      </c>
      <c r="D414" s="29" t="inlineStr">
        <is>
          <t>IRISDT0007</t>
        </is>
      </c>
      <c r="E414" s="29" t="inlineStr">
        <is>
          <t>Vasundhara Lella</t>
        </is>
      </c>
      <c r="F414" s="29" t="inlineStr">
        <is>
          <t>Marketing</t>
        </is>
      </c>
      <c r="G414" s="29" t="inlineStr">
        <is>
          <t>Content Marketer</t>
        </is>
      </c>
      <c r="H414" s="29" t="inlineStr">
        <is>
          <t>Senior Content Marketing Associate</t>
        </is>
      </c>
      <c r="I414" s="29" t="inlineStr">
        <is>
          <t>L3 – Professional / Associate</t>
        </is>
      </c>
      <c r="J414" s="29" t="inlineStr">
        <is>
          <t>A3</t>
        </is>
      </c>
      <c r="K414" s="29" t="inlineStr">
        <is>
          <t>▲ Up</t>
        </is>
      </c>
      <c r="L414" s="29" t="inlineStr">
        <is>
          <t>Marketing &amp; Communications</t>
        </is>
      </c>
      <c r="M414" s="29" t="inlineStr">
        <is>
          <t>Content Marketing</t>
        </is>
      </c>
      <c r="N414" s="29" t="n"/>
      <c r="O414" s="29" t="n">
        <v>20</v>
      </c>
      <c r="P414" s="28" t="inlineStr">
        <is>
          <t>P2</t>
        </is>
      </c>
      <c r="Q414" s="29" t="inlineStr">
        <is>
          <t>Developing</t>
        </is>
      </c>
      <c r="R414" s="29" t="inlineStr">
        <is>
          <t>3 Apply</t>
        </is>
      </c>
      <c r="S414" s="29" t="inlineStr">
        <is>
          <t>2–4 yrs</t>
        </is>
      </c>
      <c r="T414" s="29" t="inlineStr">
        <is>
          <t>3–5 · 2–5</t>
        </is>
      </c>
      <c r="U414" s="29" t="inlineStr">
        <is>
          <t>Marketing Executive</t>
        </is>
      </c>
      <c r="V414" s="29" t="inlineStr">
        <is>
          <t>IRIS Vs Market Benchmark — CIM proficiency scale: 2–3 · IRIS Vs Competitor Benchmark — SaaS marketing ladder: Marketing Specialist</t>
        </is>
      </c>
      <c r="W414" s="29" t="inlineStr">
        <is>
          <t>CIM Global Professional Marketing Framework — proficiency Aware → Active learner → Able → Accomplished → Authoritative</t>
        </is>
      </c>
      <c r="X414" s="29" t="inlineStr">
        <is>
          <t>Core 2 · Future 2 · Functional 3 · Leadership not scored</t>
        </is>
      </c>
      <c r="Y414" s="52" t="n">
        <v>542</v>
      </c>
      <c r="Z414" s="53" t="inlineStr">
        <is>
          <t>IRISDT0007</t>
        </is>
      </c>
      <c r="AA414" s="53" t="inlineStr">
        <is>
          <t>Employee</t>
        </is>
      </c>
      <c r="AB414" s="53" t="inlineStr">
        <is>
          <t>Active</t>
        </is>
      </c>
      <c r="AC414" s="53" t="inlineStr">
        <is>
          <t>Vasundhara Lella</t>
        </is>
      </c>
      <c r="AD414" s="54" t="n">
        <v>45873</v>
      </c>
      <c r="AE414" s="53" t="inlineStr">
        <is>
          <t>Content Marketer</t>
        </is>
      </c>
      <c r="AF414" s="53" t="inlineStr">
        <is>
          <t>B.Tech</t>
        </is>
      </c>
      <c r="AG414" s="53" t="inlineStr">
        <is>
          <t>Ankita Pathak</t>
        </is>
      </c>
      <c r="AH414" s="53" t="inlineStr">
        <is>
          <t>N-3</t>
        </is>
      </c>
      <c r="AI414" s="53" t="inlineStr">
        <is>
          <t>Individual Contributor</t>
        </is>
      </c>
      <c r="AJ414" s="53" t="inlineStr">
        <is>
          <t>3 years, 3 months, 0 days</t>
        </is>
      </c>
      <c r="AK414" s="53" t="inlineStr">
        <is>
          <t>1 years, 0 months, 21 days</t>
        </is>
      </c>
      <c r="AL414" s="53" t="inlineStr">
        <is>
          <t>Datatech</t>
        </is>
      </c>
      <c r="AM414" s="53" t="inlineStr">
        <is>
          <t>Datatech</t>
        </is>
      </c>
      <c r="AN414" s="53" t="inlineStr">
        <is>
          <t>Marketing</t>
        </is>
      </c>
      <c r="AO414" s="53" t="inlineStr">
        <is>
          <t>Marketing</t>
        </is>
      </c>
      <c r="AP414" s="53" t="inlineStr">
        <is>
          <t>No</t>
        </is>
      </c>
      <c r="AQ414" s="53" t="inlineStr">
        <is>
          <t>Sales, Marketing &amp; Support</t>
        </is>
      </c>
      <c r="AR414" s="53" t="inlineStr">
        <is>
          <t>Marketing</t>
        </is>
      </c>
      <c r="AS414" s="53" t="inlineStr">
        <is>
          <t>Non-technical</t>
        </is>
      </c>
      <c r="AT414" s="53" t="n">
        <v>20</v>
      </c>
      <c r="AU414" s="53" t="inlineStr">
        <is>
          <t>Covered</t>
        </is>
      </c>
      <c r="AV414" s="53" t="n"/>
      <c r="AW414" s="53" t="n"/>
      <c r="AX414" s="53" t="n"/>
      <c r="AY414" s="53" t="n"/>
      <c r="AZ414" s="53" t="n"/>
      <c r="BA414" s="53" t="n"/>
      <c r="BB414" s="53" t="n"/>
      <c r="BC414" s="53" t="n"/>
      <c r="BD414" s="53" t="n"/>
      <c r="BE414" s="53" t="n"/>
      <c r="BF414" s="53" t="n"/>
      <c r="BG414" s="53" t="n"/>
      <c r="BH414" s="53" t="n"/>
      <c r="BI414" s="53" t="n"/>
      <c r="BJ414" s="53" t="n"/>
      <c r="BK414" s="53" t="n"/>
      <c r="BL414" s="53" t="n"/>
      <c r="BM414" s="53" t="n"/>
      <c r="BN414" s="53" t="n"/>
      <c r="BO414" s="53" t="n"/>
      <c r="BP414" s="53" t="n"/>
      <c r="BQ414" s="53" t="n"/>
      <c r="BR414" s="53" t="n"/>
      <c r="BS414" s="53" t="n"/>
      <c r="BT414" s="53" t="n"/>
      <c r="BU414" s="53" t="n"/>
      <c r="BV414" s="53" t="n"/>
      <c r="BW414" s="53" t="n"/>
      <c r="BX414" s="53" t="n"/>
      <c r="BY414" s="53" t="n"/>
      <c r="BZ414" s="53" t="n"/>
      <c r="CA414" s="53" t="n"/>
      <c r="CB414" s="53" t="n"/>
      <c r="CC414" s="53" t="n"/>
      <c r="CD414" s="53" t="n"/>
      <c r="CE414" s="53" t="n"/>
      <c r="CF414" s="53" t="n"/>
      <c r="CG414" s="53" t="n"/>
      <c r="CH414" s="53" t="n"/>
      <c r="CI414" s="53" t="n"/>
      <c r="CJ414" s="53" t="n"/>
      <c r="CK414" s="53" t="n"/>
      <c r="CL414" s="53" t="n"/>
      <c r="CM414" s="53" t="n"/>
      <c r="CN414" s="53" t="n"/>
      <c r="CO414" s="53" t="n"/>
      <c r="CP414" s="53" t="n"/>
      <c r="CQ414" s="53" t="n"/>
      <c r="CR414" s="53" t="n"/>
      <c r="CS414" s="53" t="n"/>
      <c r="CT414" s="53" t="n"/>
      <c r="CU414" s="53" t="n"/>
      <c r="CV414" s="53" t="n"/>
      <c r="CW414" s="53" t="n"/>
      <c r="CX414" s="53" t="n"/>
      <c r="CY414" s="53" t="n"/>
      <c r="CZ414" s="53" t="n"/>
      <c r="DA414" s="53" t="n"/>
      <c r="DB414" s="53" t="n"/>
      <c r="DC414" s="53" t="n"/>
      <c r="DD414" s="53" t="inlineStr">
        <is>
          <t>IRIS2414</t>
        </is>
      </c>
      <c r="DE414" s="53" t="inlineStr">
        <is>
          <t>Employee</t>
        </is>
      </c>
      <c r="DF414" s="53" t="inlineStr">
        <is>
          <t>Active</t>
        </is>
      </c>
      <c r="DG414" s="53" t="inlineStr">
        <is>
          <t>Vasundhara Lella</t>
        </is>
      </c>
      <c r="DH414" s="54" t="n">
        <v>45873</v>
      </c>
      <c r="DI414" s="53" t="inlineStr">
        <is>
          <t>Content Marketer</t>
        </is>
      </c>
      <c r="DJ414" s="53" t="inlineStr">
        <is>
          <t>Marketing &amp; Communications</t>
        </is>
      </c>
      <c r="DK414" s="53" t="inlineStr">
        <is>
          <t>Content Marketing</t>
        </is>
      </c>
      <c r="DL414" s="53" t="inlineStr">
        <is>
          <t>Content Marketer</t>
        </is>
      </c>
      <c r="DM414" s="53" t="inlineStr">
        <is>
          <t>L3 – Professional / Associate</t>
        </is>
      </c>
      <c r="DN414" s="53" t="inlineStr">
        <is>
          <t>B.Tech</t>
        </is>
      </c>
      <c r="DO414" s="53" t="inlineStr">
        <is>
          <t>Ankita Pathak</t>
        </is>
      </c>
      <c r="DP414" s="53" t="inlineStr">
        <is>
          <t>N-3</t>
        </is>
      </c>
      <c r="DQ414" s="53" t="inlineStr">
        <is>
          <t>Individual Contributor</t>
        </is>
      </c>
      <c r="DR414" s="53" t="inlineStr">
        <is>
          <t>3 years, 3 months, 0 days</t>
        </is>
      </c>
      <c r="DS414" s="53" t="inlineStr">
        <is>
          <t>0 years, 10 months, 16 days</t>
        </is>
      </c>
      <c r="DT414" s="53" t="inlineStr">
        <is>
          <t>4 years, 1 months, 16 days</t>
        </is>
      </c>
      <c r="DU414" s="53" t="n"/>
      <c r="DV414" s="53" t="inlineStr">
        <is>
          <t>Datatech</t>
        </is>
      </c>
      <c r="DW414" s="53" t="inlineStr">
        <is>
          <t>Datatech</t>
        </is>
      </c>
      <c r="DX414" s="53" t="inlineStr">
        <is>
          <t>Marketing</t>
        </is>
      </c>
      <c r="DY414" s="53" t="inlineStr">
        <is>
          <t>Marketing</t>
        </is>
      </c>
      <c r="DZ414" s="53" t="inlineStr">
        <is>
          <t>No</t>
        </is>
      </c>
      <c r="EA414" s="53" t="inlineStr">
        <is>
          <t>Sales, Marketing &amp; Support</t>
        </is>
      </c>
      <c r="EB414" s="53" t="inlineStr">
        <is>
          <t>Marketing</t>
        </is>
      </c>
      <c r="EC414" s="53" t="inlineStr">
        <is>
          <t>Non-technical</t>
        </is>
      </c>
      <c r="ED414" s="53" t="inlineStr">
        <is>
          <t>Hyderabad</t>
        </is>
      </c>
      <c r="EE414" s="53" t="n"/>
      <c r="EF414" s="53"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EG414" s="53" t="n"/>
      <c r="EH414" s="53" t="n">
        <v>3</v>
      </c>
      <c r="EI414" s="54" t="n">
        <v>46223</v>
      </c>
      <c r="EJ414" s="53" t="inlineStr">
        <is>
          <t>Content &amp; SEO Executive</t>
        </is>
      </c>
      <c r="EK414" s="53" t="inlineStr">
        <is>
          <t>No</t>
        </is>
      </c>
      <c r="EL414" s="53" t="n">
        <v>3</v>
      </c>
      <c r="EM414" s="53" t="inlineStr">
        <is>
          <t>Medium</t>
        </is>
      </c>
      <c r="EN414" s="53" t="inlineStr">
        <is>
          <t>Performance Risk</t>
        </is>
      </c>
      <c r="EO414" s="53" t="inlineStr">
        <is>
          <t>No</t>
        </is>
      </c>
      <c r="EP414" s="53" t="inlineStr">
        <is>
          <t>No</t>
        </is>
      </c>
      <c r="EQ414" s="53" t="inlineStr">
        <is>
          <t>Yes</t>
        </is>
      </c>
      <c r="ER414" s="53" t="n"/>
      <c r="ES414" s="53" t="inlineStr">
        <is>
          <t>SEMRush certification course
SEO Course</t>
        </is>
      </c>
      <c r="ET414" s="53" t="n"/>
      <c r="EU414" s="53" t="n"/>
      <c r="EV414" s="53" t="inlineStr">
        <is>
          <t>All</t>
        </is>
      </c>
      <c r="EW414" s="52" t="n"/>
      <c r="EX414" s="53" t="n"/>
      <c r="EY414" s="53" t="n"/>
      <c r="EZ414" s="53" t="n"/>
      <c r="FA414" s="53" t="n"/>
      <c r="FB414" s="53" t="n"/>
      <c r="FC414" s="53" t="n"/>
      <c r="FD414" s="53" t="inlineStr">
        <is>
          <t>IRIS2414</t>
        </is>
      </c>
      <c r="FE414" s="57"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FF414" s="56" t="n"/>
      <c r="FG414" s="56" t="n"/>
      <c r="FH414" s="56" t="inlineStr">
        <is>
          <t>3</t>
        </is>
      </c>
      <c r="FI414" s="56" t="n"/>
      <c r="FJ414" s="56" t="inlineStr">
        <is>
          <t>Received · manager annual</t>
        </is>
      </c>
      <c r="FK414" s="56" t="inlineStr">
        <is>
          <t>Talent Mapping · Datatech</t>
        </is>
      </c>
      <c r="FL414" s="56" t="n">
        <v>20</v>
      </c>
      <c r="FM414" s="32" t="inlineStr">
        <is>
          <t>Full survey answers not in the files received · How We Grow export needed · HR</t>
        </is>
      </c>
      <c r="FN414" s="56" t="inlineStr">
        <is>
          <t>—</t>
        </is>
      </c>
      <c r="FO414" s="56" t="inlineStr">
        <is>
          <t>—</t>
        </is>
      </c>
      <c r="FP414" s="56" t="inlineStr">
        <is>
          <t>—</t>
        </is>
      </c>
      <c r="FQ414" s="56" t="inlineStr">
        <is>
          <t>—</t>
        </is>
      </c>
      <c r="FR414" s="56"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FS414"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414" s="56" t="inlineStr">
        <is>
          <t>Self-identified: Marketing &amp; content
For the next role: Marketing &amp; content</t>
        </is>
      </c>
      <c r="FU414" s="32" t="inlineStr">
        <is>
          <t>Full survey answers not in the files received · How We Grow export needed · HR</t>
        </is>
      </c>
    </row>
    <row r="415" ht="90" customHeight="1">
      <c r="A415" s="51" t="inlineStr">
        <is>
          <t>◂ Back</t>
        </is>
      </c>
      <c r="B415" s="29" t="inlineStr">
        <is>
          <t>Mapped</t>
        </is>
      </c>
      <c r="C415" s="28" t="inlineStr">
        <is>
          <t>Datatech</t>
        </is>
      </c>
      <c r="D415" s="29" t="inlineStr">
        <is>
          <t>IRISDTC006</t>
        </is>
      </c>
      <c r="E415" s="29" t="inlineStr">
        <is>
          <t>Vaishnavi Dhuri</t>
        </is>
      </c>
      <c r="F415" s="29" t="inlineStr">
        <is>
          <t>Marketing</t>
        </is>
      </c>
      <c r="G415" s="29" t="inlineStr">
        <is>
          <t>Graphic Designer and Video Editor</t>
        </is>
      </c>
      <c r="H415" s="29" t="inlineStr">
        <is>
          <t>Designer</t>
        </is>
      </c>
      <c r="I415" s="29" t="inlineStr">
        <is>
          <t>Not in current mapping files</t>
        </is>
      </c>
      <c r="J415" s="29" t="inlineStr">
        <is>
          <t>A2</t>
        </is>
      </c>
      <c r="K415" s="29" t="inlineStr">
        <is>
          <t>● Newly mapped</t>
        </is>
      </c>
      <c r="L415" s="29" t="inlineStr">
        <is>
          <t>Design &amp; Creative</t>
        </is>
      </c>
      <c r="M415" s="29" t="inlineStr">
        <is>
          <t>Brand, Graphic &amp; Video Design</t>
        </is>
      </c>
      <c r="N415" s="29" t="inlineStr">
        <is>
          <t>• Total experience · outside + at IRIS — HR — HRIS
• Confirm prior experience · provisional placement — HR</t>
        </is>
      </c>
      <c r="O415" s="29" t="n">
        <v>20</v>
      </c>
      <c r="P415" s="28" t="inlineStr">
        <is>
          <t>P1–P2</t>
        </is>
      </c>
      <c r="Q415" s="29" t="inlineStr">
        <is>
          <t>Entry / Developing</t>
        </is>
      </c>
      <c r="R415" s="29" t="inlineStr">
        <is>
          <t>2 Assist</t>
        </is>
      </c>
      <c r="S415" s="29" t="inlineStr">
        <is>
          <t>0–2 yrs</t>
        </is>
      </c>
      <c r="T415" s="29" t="inlineStr">
        <is>
          <t>1–3 · 0–3</t>
        </is>
      </c>
      <c r="U415" s="29" t="inlineStr">
        <is>
          <t>Junior Designer / Designer</t>
        </is>
      </c>
      <c r="V415" s="29" t="inlineStr">
        <is>
          <t>IRIS Vs Competitor Benchmark — UX / design ladder: Junior Designer</t>
        </is>
      </c>
      <c r="W415" s="29" t="inlineStr">
        <is>
          <t>UX career ladder Junior → Designer → Senior → Lead → Principal; WCAG accessibility</t>
        </is>
      </c>
      <c r="X415" s="29" t="inlineStr">
        <is>
          <t>Core 2 · Future 2 · Functional 2 · Leadership not scored</t>
        </is>
      </c>
      <c r="Y415" s="52" t="n">
        <v>562</v>
      </c>
      <c r="Z415" s="53" t="inlineStr">
        <is>
          <t>IRISDTC006</t>
        </is>
      </c>
      <c r="AA415" s="53" t="inlineStr">
        <is>
          <t>On Contract</t>
        </is>
      </c>
      <c r="AB415" s="53" t="inlineStr">
        <is>
          <t>Active</t>
        </is>
      </c>
      <c r="AC415" s="53" t="inlineStr">
        <is>
          <t>Vaishnavi Dhuri</t>
        </is>
      </c>
      <c r="AD415" s="54" t="n">
        <v>46252</v>
      </c>
      <c r="AE415" s="53" t="inlineStr">
        <is>
          <t>Graphic Designer and Video Editor</t>
        </is>
      </c>
      <c r="AF415" s="53" t="inlineStr">
        <is>
          <t>Bachelor of Science</t>
        </is>
      </c>
      <c r="AG415" s="53" t="inlineStr">
        <is>
          <t>Ankita Pathak</t>
        </is>
      </c>
      <c r="AH415" s="53" t="inlineStr">
        <is>
          <t>N-3</t>
        </is>
      </c>
      <c r="AI415" s="53" t="inlineStr">
        <is>
          <t>Individual Contributor</t>
        </is>
      </c>
      <c r="AJ415" s="53" t="n"/>
      <c r="AK415" s="53" t="n"/>
      <c r="AL415" s="53" t="inlineStr">
        <is>
          <t>Datatech</t>
        </is>
      </c>
      <c r="AM415" s="53" t="inlineStr">
        <is>
          <t>Datatech</t>
        </is>
      </c>
      <c r="AN415" s="53" t="inlineStr">
        <is>
          <t>Marketing</t>
        </is>
      </c>
      <c r="AO415" s="53" t="inlineStr">
        <is>
          <t>Marketing</t>
        </is>
      </c>
      <c r="AP415" s="53" t="inlineStr">
        <is>
          <t>No</t>
        </is>
      </c>
      <c r="AQ415" s="53" t="inlineStr">
        <is>
          <t>Sales, Marketing &amp; Support</t>
        </is>
      </c>
      <c r="AR415" s="53" t="inlineStr">
        <is>
          <t>Marketing</t>
        </is>
      </c>
      <c r="AS415" s="53" t="inlineStr">
        <is>
          <t>Non-technical</t>
        </is>
      </c>
      <c r="AT415" s="53" t="n">
        <v>20</v>
      </c>
      <c r="AU415" s="53" t="inlineStr">
        <is>
          <t>Covered</t>
        </is>
      </c>
      <c r="AV415" s="53" t="n"/>
      <c r="AW415" s="53" t="n"/>
      <c r="AX415" s="53" t="n"/>
      <c r="AY415" s="53" t="n"/>
      <c r="AZ415" s="53" t="n"/>
      <c r="BA415" s="53" t="n"/>
      <c r="BB415" s="53" t="n"/>
      <c r="BC415" s="53" t="n"/>
      <c r="BD415" s="53" t="n"/>
      <c r="BE415" s="53" t="n"/>
      <c r="BF415" s="53" t="n"/>
      <c r="BG415" s="53" t="n"/>
      <c r="BH415" s="53" t="n"/>
      <c r="BI415" s="53" t="n"/>
      <c r="BJ415" s="53" t="n"/>
      <c r="BK415" s="53" t="n"/>
      <c r="BL415" s="53" t="n"/>
      <c r="BM415" s="53" t="n"/>
      <c r="BN415" s="53" t="n"/>
      <c r="BO415" s="53" t="n"/>
      <c r="BP415" s="53" t="n"/>
      <c r="BQ415" s="53" t="n"/>
      <c r="BR415" s="53" t="n"/>
      <c r="BS415" s="53" t="n"/>
      <c r="BT415" s="53" t="n"/>
      <c r="BU415" s="53" t="n"/>
      <c r="BV415" s="53" t="n"/>
      <c r="BW415" s="53" t="n"/>
      <c r="BX415" s="53" t="n"/>
      <c r="BY415" s="53" t="n"/>
      <c r="BZ415" s="53" t="n"/>
      <c r="CA415" s="53" t="n"/>
      <c r="CB415" s="53" t="n"/>
      <c r="CC415" s="53" t="n"/>
      <c r="CD415" s="53" t="n"/>
      <c r="CE415" s="53" t="n"/>
      <c r="CF415" s="53" t="n"/>
      <c r="CG415" s="53" t="n"/>
      <c r="CH415" s="53" t="n"/>
      <c r="CI415" s="53" t="n"/>
      <c r="CJ415" s="53" t="n"/>
      <c r="CK415" s="53" t="n"/>
      <c r="CL415" s="53" t="n"/>
      <c r="CM415" s="53" t="n"/>
      <c r="CN415" s="53" t="n"/>
      <c r="CO415" s="53" t="n"/>
      <c r="CP415" s="53" t="n"/>
      <c r="CQ415" s="53" t="n"/>
      <c r="CR415" s="53" t="n"/>
      <c r="CS415" s="53" t="n"/>
      <c r="CT415" s="53" t="n"/>
      <c r="CU415" s="53" t="n"/>
      <c r="CV415" s="53" t="n"/>
      <c r="CW415" s="53" t="n"/>
      <c r="CX415" s="53" t="n"/>
      <c r="CY415" s="53" t="n"/>
      <c r="CZ415" s="53" t="n"/>
      <c r="DA415" s="53" t="n"/>
      <c r="DB415" s="53" t="n"/>
      <c r="DC415" s="53" t="n"/>
      <c r="DD415" s="53" t="n"/>
      <c r="DE415" s="53" t="n"/>
      <c r="DF415" s="53" t="n"/>
      <c r="DG415" s="53" t="n"/>
      <c r="DH415" s="53" t="n"/>
      <c r="DI415" s="53" t="n"/>
      <c r="DJ415" s="53" t="n"/>
      <c r="DK415" s="53" t="n"/>
      <c r="DL415" s="53" t="n"/>
      <c r="DM415" s="53" t="n"/>
      <c r="DN415" s="53" t="n"/>
      <c r="DO415" s="53" t="n"/>
      <c r="DP415" s="53" t="n"/>
      <c r="DQ415" s="53" t="n"/>
      <c r="DR415" s="53" t="n"/>
      <c r="DS415" s="53" t="n"/>
      <c r="DT415" s="53" t="n"/>
      <c r="DU415" s="53" t="n"/>
      <c r="DV415" s="53" t="n"/>
      <c r="DW415" s="53" t="n"/>
      <c r="DX415" s="53" t="n"/>
      <c r="DY415" s="53" t="n"/>
      <c r="DZ415" s="53" t="n"/>
      <c r="EA415" s="53" t="n"/>
      <c r="EB415" s="53" t="n"/>
      <c r="EC415" s="53" t="n"/>
      <c r="ED415" s="53" t="n"/>
      <c r="EE415" s="53" t="n"/>
      <c r="EF415" s="53" t="n"/>
      <c r="EG415" s="53" t="n"/>
      <c r="EH415" s="53" t="n"/>
      <c r="EI415" s="53" t="n"/>
      <c r="EJ415" s="53" t="n"/>
      <c r="EK415" s="53" t="n"/>
      <c r="EL415" s="53" t="n"/>
      <c r="EM415" s="53" t="n"/>
      <c r="EN415" s="53" t="n"/>
      <c r="EO415" s="53" t="n"/>
      <c r="EP415" s="53" t="n"/>
      <c r="EQ415" s="53" t="n"/>
      <c r="ER415" s="53" t="n"/>
      <c r="ES415" s="53" t="n"/>
      <c r="ET415" s="53" t="n"/>
      <c r="EU415" s="53" t="n"/>
      <c r="EV415" s="53" t="n"/>
      <c r="EW415" s="52" t="n"/>
      <c r="EX415" s="53" t="n"/>
      <c r="EY415" s="53" t="n"/>
      <c r="EZ415" s="53" t="n"/>
      <c r="FA415" s="53" t="n"/>
      <c r="FB415" s="53" t="n"/>
      <c r="FC415" s="53" t="n"/>
      <c r="FD415" s="53" t="n"/>
      <c r="FE415" s="55" t="inlineStr">
        <is>
          <t>KRAs not received · manager to supply</t>
        </is>
      </c>
      <c r="FF415" s="56" t="n"/>
      <c r="FG415" s="56" t="n"/>
      <c r="FH415" s="56" t="n"/>
      <c r="FI415" s="56" t="n"/>
      <c r="FJ415" s="32" t="inlineStr">
        <is>
          <t>KRAs not received · manager to supply</t>
        </is>
      </c>
      <c r="FK415" s="56" t="n"/>
      <c r="FL415" s="56" t="n">
        <v>20</v>
      </c>
      <c r="FM415" s="32" t="inlineStr">
        <is>
          <t>Full survey answers not in the files received · How We Grow export needed · HR</t>
        </is>
      </c>
      <c r="FN415" s="56" t="inlineStr">
        <is>
          <t>—</t>
        </is>
      </c>
      <c r="FO415" s="56" t="inlineStr">
        <is>
          <t>—</t>
        </is>
      </c>
      <c r="FP415" s="56" t="inlineStr">
        <is>
          <t>—</t>
        </is>
      </c>
      <c r="FQ415" s="56" t="inlineStr">
        <is>
          <t>—</t>
        </is>
      </c>
      <c r="FR415" s="56"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accountability claimed → matches the start
Leadership: Evidence reads like A1: No guiding or leading of others described → matches the start
Business Impact: No survey or manager-mapping signal on criticality: kept at the start point.</t>
        </is>
      </c>
      <c r="FS41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415" s="56" t="inlineStr">
        <is>
          <t>Self-identified: Product &amp; tool knowledge · Marketing &amp; content
For the next role: Product &amp; tool knowledge · Marketing &amp; content</t>
        </is>
      </c>
      <c r="FU415" s="32" t="inlineStr">
        <is>
          <t>Full survey answers not in the files received · How We Grow export needed · HR</t>
        </is>
      </c>
    </row>
    <row r="416" ht="90" customHeight="1">
      <c r="A416" s="51" t="inlineStr">
        <is>
          <t>◂ Back</t>
        </is>
      </c>
      <c r="B416" s="29" t="inlineStr">
        <is>
          <t>Mapped</t>
        </is>
      </c>
      <c r="C416" s="28" t="inlineStr">
        <is>
          <t>Datatech</t>
        </is>
      </c>
      <c r="D416" s="29" t="inlineStr">
        <is>
          <t>IRISDT0008</t>
        </is>
      </c>
      <c r="E416" s="29" t="inlineStr">
        <is>
          <t>Nilesh Majumdar</t>
        </is>
      </c>
      <c r="F416" s="29" t="inlineStr">
        <is>
          <t>Product Management</t>
        </is>
      </c>
      <c r="G416" s="29" t="inlineStr">
        <is>
          <t>Senior Product Manager</t>
        </is>
      </c>
      <c r="H416" s="29" t="inlineStr">
        <is>
          <t>Product Manager</t>
        </is>
      </c>
      <c r="I416" s="29" t="inlineStr">
        <is>
          <t>L5 – Manager</t>
        </is>
      </c>
      <c r="J416" s="29" t="inlineStr">
        <is>
          <t>B2</t>
        </is>
      </c>
      <c r="K416" s="29" t="inlineStr">
        <is>
          <t>• Same level</t>
        </is>
      </c>
      <c r="L416" s="29" t="inlineStr">
        <is>
          <t>Product Management</t>
        </is>
      </c>
      <c r="M416" s="29" t="inlineStr">
        <is>
          <t>Product Management</t>
        </is>
      </c>
      <c r="N416" s="29" t="inlineStr">
        <is>
          <t>• Confirm structure behind the senior title · org chart — Business head</t>
        </is>
      </c>
      <c r="O416" s="29" t="n">
        <v>20</v>
      </c>
      <c r="P416" s="28" t="inlineStr">
        <is>
          <t>P4 / M3</t>
        </is>
      </c>
      <c r="Q416" s="29" t="inlineStr">
        <is>
          <t>Senior / Manager</t>
        </is>
      </c>
      <c r="R416" s="29" t="inlineStr">
        <is>
          <t>4–5</t>
        </is>
      </c>
      <c r="S416" s="29" t="inlineStr">
        <is>
          <t>6–9 yrs</t>
        </is>
      </c>
      <c r="T416" s="29" t="inlineStr">
        <is>
          <t>7–10 · 6–11</t>
        </is>
      </c>
      <c r="U416" s="29" t="inlineStr">
        <is>
          <t>Manager</t>
        </is>
      </c>
      <c r="V416" s="29" t="inlineStr">
        <is>
          <t>IRIS Vs Competitor Benchmark — SaaS product ladder: Senior PM</t>
        </is>
      </c>
      <c r="W416" s="29" t="inlineStr">
        <is>
          <t>Pragmatic Institute Framework · 37 activities, 7 categories; AIPMM</t>
        </is>
      </c>
      <c r="X416" s="29" t="inlineStr">
        <is>
          <t>Core 3 · Future 3 · Functional 4 · Leadership 3</t>
        </is>
      </c>
      <c r="Y416" s="52" t="n">
        <v>543</v>
      </c>
      <c r="Z416" s="53" t="inlineStr">
        <is>
          <t>IRISDT0008</t>
        </is>
      </c>
      <c r="AA416" s="53" t="inlineStr">
        <is>
          <t>Employee</t>
        </is>
      </c>
      <c r="AB416" s="53" t="inlineStr">
        <is>
          <t>Active</t>
        </is>
      </c>
      <c r="AC416" s="53" t="inlineStr">
        <is>
          <t>Nilesh Majumdar</t>
        </is>
      </c>
      <c r="AD416" s="54" t="n">
        <v>45873</v>
      </c>
      <c r="AE416" s="53" t="inlineStr">
        <is>
          <t>Senior Product Manager</t>
        </is>
      </c>
      <c r="AF416" s="53" t="inlineStr">
        <is>
          <t>MBA</t>
        </is>
      </c>
      <c r="AG416" s="53" t="inlineStr">
        <is>
          <t>Shilpa Dhobale</t>
        </is>
      </c>
      <c r="AH416" s="53" t="inlineStr">
        <is>
          <t>N-2</t>
        </is>
      </c>
      <c r="AI416" s="53" t="inlineStr">
        <is>
          <t>Manager</t>
        </is>
      </c>
      <c r="AJ416" s="53" t="inlineStr">
        <is>
          <t>6 years, 0 months, 0 days</t>
        </is>
      </c>
      <c r="AK416" s="53" t="inlineStr">
        <is>
          <t>1 years, 0 months, 21 days</t>
        </is>
      </c>
      <c r="AL416" s="53" t="inlineStr">
        <is>
          <t>Datatech</t>
        </is>
      </c>
      <c r="AM416" s="53" t="inlineStr">
        <is>
          <t>Datatech</t>
        </is>
      </c>
      <c r="AN416" s="53" t="inlineStr">
        <is>
          <t>Product Management</t>
        </is>
      </c>
      <c r="AO416" s="53" t="inlineStr">
        <is>
          <t>Client Engagement</t>
        </is>
      </c>
      <c r="AP416" s="53" t="inlineStr">
        <is>
          <t>No</t>
        </is>
      </c>
      <c r="AQ416" s="53" t="inlineStr">
        <is>
          <t>Client Engagement</t>
        </is>
      </c>
      <c r="AR416" s="53" t="inlineStr">
        <is>
          <t>Product Management</t>
        </is>
      </c>
      <c r="AS416" s="53" t="inlineStr">
        <is>
          <t>Technical · BA, PM and QA</t>
        </is>
      </c>
      <c r="AT416" s="53" t="n">
        <v>20</v>
      </c>
      <c r="AU416" s="53" t="inlineStr">
        <is>
          <t>Covered</t>
        </is>
      </c>
      <c r="AV416" s="53" t="n"/>
      <c r="AW416" s="53" t="n"/>
      <c r="AX416" s="53" t="n"/>
      <c r="AY416" s="53" t="n"/>
      <c r="AZ416" s="53" t="n"/>
      <c r="BA416" s="53" t="n"/>
      <c r="BB416" s="53" t="n"/>
      <c r="BC416" s="53" t="n"/>
      <c r="BD416" s="53" t="n"/>
      <c r="BE416" s="53" t="n"/>
      <c r="BF416" s="53" t="n"/>
      <c r="BG416" s="53" t="n"/>
      <c r="BH416" s="53" t="n"/>
      <c r="BI416" s="53" t="n"/>
      <c r="BJ416" s="53" t="n"/>
      <c r="BK416" s="53" t="n"/>
      <c r="BL416" s="53" t="n"/>
      <c r="BM416" s="53" t="n"/>
      <c r="BN416" s="53" t="n"/>
      <c r="BO416" s="53" t="n"/>
      <c r="BP416" s="53" t="n"/>
      <c r="BQ416" s="53" t="n"/>
      <c r="BR416" s="53" t="n"/>
      <c r="BS416" s="53" t="n"/>
      <c r="BT416" s="53" t="n"/>
      <c r="BU416" s="53" t="n"/>
      <c r="BV416" s="53" t="n"/>
      <c r="BW416" s="53" t="n"/>
      <c r="BX416" s="53" t="n"/>
      <c r="BY416" s="53" t="n"/>
      <c r="BZ416" s="53" t="n"/>
      <c r="CA416" s="53" t="n"/>
      <c r="CB416" s="53" t="n"/>
      <c r="CC416" s="53" t="n"/>
      <c r="CD416" s="53" t="n"/>
      <c r="CE416" s="53" t="n"/>
      <c r="CF416" s="53" t="n"/>
      <c r="CG416" s="53" t="n"/>
      <c r="CH416" s="53" t="n"/>
      <c r="CI416" s="53" t="n"/>
      <c r="CJ416" s="53" t="n"/>
      <c r="CK416" s="53" t="n"/>
      <c r="CL416" s="53" t="n"/>
      <c r="CM416" s="53" t="n"/>
      <c r="CN416" s="53" t="n"/>
      <c r="CO416" s="53" t="n"/>
      <c r="CP416" s="53" t="n"/>
      <c r="CQ416" s="53" t="n"/>
      <c r="CR416" s="53" t="n"/>
      <c r="CS416" s="53" t="n"/>
      <c r="CT416" s="53" t="n"/>
      <c r="CU416" s="53" t="n"/>
      <c r="CV416" s="53" t="n"/>
      <c r="CW416" s="53" t="n"/>
      <c r="CX416" s="53" t="n"/>
      <c r="CY416" s="53" t="n"/>
      <c r="CZ416" s="53" t="n"/>
      <c r="DA416" s="53" t="n"/>
      <c r="DB416" s="53" t="n"/>
      <c r="DC416" s="53" t="n"/>
      <c r="DD416" s="53" t="inlineStr">
        <is>
          <t>IRIS2415</t>
        </is>
      </c>
      <c r="DE416" s="53" t="inlineStr">
        <is>
          <t>Employee</t>
        </is>
      </c>
      <c r="DF416" s="53" t="inlineStr">
        <is>
          <t>Active</t>
        </is>
      </c>
      <c r="DG416" s="53" t="inlineStr">
        <is>
          <t>Nilesh Majumdar</t>
        </is>
      </c>
      <c r="DH416" s="54" t="n">
        <v>45873</v>
      </c>
      <c r="DI416" s="53" t="inlineStr">
        <is>
          <t>Senior Product Manager</t>
        </is>
      </c>
      <c r="DJ416" s="53" t="inlineStr">
        <is>
          <t>Product Management</t>
        </is>
      </c>
      <c r="DK416" s="53" t="inlineStr">
        <is>
          <t>Product Management</t>
        </is>
      </c>
      <c r="DL416" s="53" t="inlineStr">
        <is>
          <t>Senior Product Manager</t>
        </is>
      </c>
      <c r="DM416" s="53" t="inlineStr">
        <is>
          <t>L5 – Manager</t>
        </is>
      </c>
      <c r="DN416" s="53" t="inlineStr">
        <is>
          <t>MBA</t>
        </is>
      </c>
      <c r="DO416" s="53" t="inlineStr">
        <is>
          <t>Shilpa Dhobale</t>
        </is>
      </c>
      <c r="DP416" s="53" t="inlineStr">
        <is>
          <t>N-2</t>
        </is>
      </c>
      <c r="DQ416" s="53" t="inlineStr">
        <is>
          <t>Manager</t>
        </is>
      </c>
      <c r="DR416" s="53" t="inlineStr">
        <is>
          <t>6 years, 0 months, 0 days</t>
        </is>
      </c>
      <c r="DS416" s="53" t="inlineStr">
        <is>
          <t>0 years, 10 months, 16 days</t>
        </is>
      </c>
      <c r="DT416" s="53" t="inlineStr">
        <is>
          <t>6 years, 10 months, 16 days</t>
        </is>
      </c>
      <c r="DU416" s="53" t="n">
        <v>0.87716894977169</v>
      </c>
      <c r="DV416" s="53" t="inlineStr">
        <is>
          <t>Datatech</t>
        </is>
      </c>
      <c r="DW416" s="53" t="inlineStr">
        <is>
          <t>Datatech</t>
        </is>
      </c>
      <c r="DX416" s="53" t="inlineStr">
        <is>
          <t>Product Management</t>
        </is>
      </c>
      <c r="DY416" s="53" t="inlineStr">
        <is>
          <t>Client Engagement</t>
        </is>
      </c>
      <c r="DZ416" s="53" t="inlineStr">
        <is>
          <t>No</t>
        </is>
      </c>
      <c r="EA416" s="53" t="inlineStr">
        <is>
          <t>Client Engagement</t>
        </is>
      </c>
      <c r="EB416" s="53" t="inlineStr">
        <is>
          <t>Product Management</t>
        </is>
      </c>
      <c r="EC416" s="53" t="inlineStr">
        <is>
          <t>Technical · BA, PM and QA</t>
        </is>
      </c>
      <c r="ED416" s="53" t="inlineStr">
        <is>
          <t>Turbhe. Shifting to Kolkata for some time for personal reasons</t>
        </is>
      </c>
      <c r="EE416" s="53" t="n"/>
      <c r="EF416" s="53" t="n"/>
      <c r="EG416" s="53" t="n"/>
      <c r="EH416" s="53" t="n">
        <v>3</v>
      </c>
      <c r="EI416" s="53" t="n"/>
      <c r="EJ416" s="53" t="inlineStr">
        <is>
          <t>Senior Product Manager</t>
        </is>
      </c>
      <c r="EK416" s="53" t="inlineStr">
        <is>
          <t>No</t>
        </is>
      </c>
      <c r="EL416" s="53" t="n">
        <v>3</v>
      </c>
      <c r="EM416" s="53" t="n">
        <v>3</v>
      </c>
      <c r="EN416" s="53" t="inlineStr">
        <is>
          <t>Future Leader</t>
        </is>
      </c>
      <c r="EO416" s="53" t="inlineStr">
        <is>
          <t>No</t>
        </is>
      </c>
      <c r="EP416" s="53" t="inlineStr">
        <is>
          <t>Yes</t>
        </is>
      </c>
      <c r="EQ416" s="53" t="inlineStr">
        <is>
          <t>Yes</t>
        </is>
      </c>
      <c r="ER416" s="53" t="n"/>
      <c r="ES416" s="53" t="n"/>
      <c r="ET416" s="53" t="n"/>
      <c r="EU416" s="53" t="n"/>
      <c r="EV416" s="53" t="inlineStr">
        <is>
          <t>All</t>
        </is>
      </c>
      <c r="EW416" s="52" t="n"/>
      <c r="EX416" s="53" t="n"/>
      <c r="EY416" s="53" t="n"/>
      <c r="EZ416" s="53" t="n"/>
      <c r="FA416" s="53" t="n"/>
      <c r="FB416" s="53" t="n"/>
      <c r="FC416" s="53" t="n"/>
      <c r="FD416" s="53" t="inlineStr">
        <is>
          <t>IRIS2415</t>
        </is>
      </c>
      <c r="FE416" s="55" t="inlineStr">
        <is>
          <t>KRAs not received · manager to supply</t>
        </is>
      </c>
      <c r="FF416" s="56" t="n"/>
      <c r="FG416" s="56" t="n"/>
      <c r="FH416" s="56" t="inlineStr">
        <is>
          <t>3</t>
        </is>
      </c>
      <c r="FI416" s="56" t="n"/>
      <c r="FJ416" s="32" t="inlineStr">
        <is>
          <t>KRAs not received · manager to supply</t>
        </is>
      </c>
      <c r="FK416" s="56" t="inlineStr">
        <is>
          <t>Talent Mapping · Datatech</t>
        </is>
      </c>
      <c r="FL416" s="56" t="n">
        <v>20</v>
      </c>
      <c r="FM416" s="32" t="inlineStr">
        <is>
          <t>Full survey answers not in the files received · How We Grow export needed · HR</t>
        </is>
      </c>
      <c r="FN416" s="56" t="inlineStr">
        <is>
          <t>—</t>
        </is>
      </c>
      <c r="FO416" s="56" t="inlineStr">
        <is>
          <t>—</t>
        </is>
      </c>
      <c r="FP416" s="56" t="inlineStr">
        <is>
          <t>—</t>
        </is>
      </c>
      <c r="FQ416" s="56" t="inlineStr">
        <is>
          <t>—</t>
        </is>
      </c>
      <c r="FR416" s="56"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adoption, retention and product revenue; answerable for PMs' decisions → moved up 0.5
Leadership: Evidence reads like B2: Leads the PM team; six direct reports → matches the start
Business Impact: Moved +0.5: the survey / manager mapping marks it business-critical.</t>
        </is>
      </c>
      <c r="FS416"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416" s="56" t="inlineStr">
        <is>
          <t>Self-identified: Product &amp; tool knowledge · Broader exposure &amp; ownership
For the next role: Product &amp; tool knowledge · Broader exposure &amp; ownership</t>
        </is>
      </c>
      <c r="FU416" s="32" t="inlineStr">
        <is>
          <t>Full survey answers not in the files received · How We Grow export needed · HR</t>
        </is>
      </c>
    </row>
    <row r="417" ht="90" customHeight="1">
      <c r="A417" s="51" t="inlineStr">
        <is>
          <t>◂ Back</t>
        </is>
      </c>
      <c r="B417" s="29" t="inlineStr">
        <is>
          <t>Mapped</t>
        </is>
      </c>
      <c r="C417" s="28" t="inlineStr">
        <is>
          <t>Datatech</t>
        </is>
      </c>
      <c r="D417" s="29" t="inlineStr">
        <is>
          <t>IRISDT0010</t>
        </is>
      </c>
      <c r="E417" s="29" t="inlineStr">
        <is>
          <t>Piyush Raj</t>
        </is>
      </c>
      <c r="F417" s="29" t="inlineStr">
        <is>
          <t>Product Management</t>
        </is>
      </c>
      <c r="G417" s="29" t="inlineStr">
        <is>
          <t>Product Manager</t>
        </is>
      </c>
      <c r="H417" s="29" t="inlineStr">
        <is>
          <t>Product Manager</t>
        </is>
      </c>
      <c r="I417" s="29" t="inlineStr">
        <is>
          <t>L5 – Manager</t>
        </is>
      </c>
      <c r="J417" s="29" t="inlineStr">
        <is>
          <t>B2</t>
        </is>
      </c>
      <c r="K417" s="29" t="inlineStr">
        <is>
          <t>• Same level</t>
        </is>
      </c>
      <c r="L417" s="29" t="inlineStr">
        <is>
          <t>Product Management</t>
        </is>
      </c>
      <c r="M417" s="29" t="inlineStr">
        <is>
          <t>Product Management</t>
        </is>
      </c>
      <c r="N417" s="29" t="n"/>
      <c r="O417" s="29" t="n">
        <v>20</v>
      </c>
      <c r="P417" s="28" t="inlineStr">
        <is>
          <t>P4 / M3</t>
        </is>
      </c>
      <c r="Q417" s="29" t="inlineStr">
        <is>
          <t>Senior / Manager</t>
        </is>
      </c>
      <c r="R417" s="29" t="inlineStr">
        <is>
          <t>4–5</t>
        </is>
      </c>
      <c r="S417" s="29" t="inlineStr">
        <is>
          <t>6–9 yrs</t>
        </is>
      </c>
      <c r="T417" s="29" t="inlineStr">
        <is>
          <t>7–10 · 6–11</t>
        </is>
      </c>
      <c r="U417" s="29" t="inlineStr">
        <is>
          <t>Senior Product Manager</t>
        </is>
      </c>
      <c r="V417" s="29" t="inlineStr">
        <is>
          <t>IRIS Vs Competitor Benchmark — SaaS product ladder: Senior PM</t>
        </is>
      </c>
      <c r="W417" s="29" t="inlineStr">
        <is>
          <t>Pragmatic Institute Framework · 37 activities, 7 categories; AIPMM</t>
        </is>
      </c>
      <c r="X417" s="29" t="inlineStr">
        <is>
          <t>Core 3 · Future 3 · Functional 4 · Leadership 2</t>
        </is>
      </c>
      <c r="Y417" s="52" t="n">
        <v>545</v>
      </c>
      <c r="Z417" s="53" t="inlineStr">
        <is>
          <t>IRISDT0010</t>
        </is>
      </c>
      <c r="AA417" s="53" t="inlineStr">
        <is>
          <t>Employee</t>
        </is>
      </c>
      <c r="AB417" s="53" t="inlineStr">
        <is>
          <t>Active</t>
        </is>
      </c>
      <c r="AC417" s="53" t="inlineStr">
        <is>
          <t>Piyush Raj</t>
        </is>
      </c>
      <c r="AD417" s="54" t="n">
        <v>45894</v>
      </c>
      <c r="AE417" s="53" t="inlineStr">
        <is>
          <t>Product Manager</t>
        </is>
      </c>
      <c r="AF417" s="53" t="inlineStr">
        <is>
          <t>PGDM</t>
        </is>
      </c>
      <c r="AG417" s="53" t="inlineStr">
        <is>
          <t>Nilesh Majumdar</t>
        </is>
      </c>
      <c r="AH417" s="53" t="inlineStr">
        <is>
          <t>N-3</t>
        </is>
      </c>
      <c r="AI417" s="53" t="inlineStr">
        <is>
          <t>Individual Contributor</t>
        </is>
      </c>
      <c r="AJ417" s="53" t="inlineStr">
        <is>
          <t>7 years, 0 months, 0 days</t>
        </is>
      </c>
      <c r="AK417" s="53" t="inlineStr">
        <is>
          <t>1 years, 0 months, 0 days</t>
        </is>
      </c>
      <c r="AL417" s="53" t="inlineStr">
        <is>
          <t>Datatech</t>
        </is>
      </c>
      <c r="AM417" s="53" t="inlineStr">
        <is>
          <t>Datatech</t>
        </is>
      </c>
      <c r="AN417" s="53" t="inlineStr">
        <is>
          <t>Product Management</t>
        </is>
      </c>
      <c r="AO417" s="53" t="inlineStr">
        <is>
          <t>Client Engagement</t>
        </is>
      </c>
      <c r="AP417" s="53" t="inlineStr">
        <is>
          <t>No</t>
        </is>
      </c>
      <c r="AQ417" s="53" t="inlineStr">
        <is>
          <t>Client Engagement</t>
        </is>
      </c>
      <c r="AR417" s="53" t="inlineStr">
        <is>
          <t>Product Management</t>
        </is>
      </c>
      <c r="AS417" s="53" t="inlineStr">
        <is>
          <t>Technical · BA, PM and QA</t>
        </is>
      </c>
      <c r="AT417" s="53" t="n">
        <v>20</v>
      </c>
      <c r="AU417" s="53" t="inlineStr">
        <is>
          <t>Covered</t>
        </is>
      </c>
      <c r="AV417" s="53" t="n"/>
      <c r="AW417" s="53" t="n"/>
      <c r="AX417" s="53" t="n"/>
      <c r="AY417" s="53" t="n"/>
      <c r="AZ417" s="53" t="n"/>
      <c r="BA417" s="53" t="n"/>
      <c r="BB417" s="53" t="n"/>
      <c r="BC417" s="53" t="n"/>
      <c r="BD417" s="53" t="n"/>
      <c r="BE417" s="53" t="n"/>
      <c r="BF417" s="53" t="n"/>
      <c r="BG417" s="53" t="n"/>
      <c r="BH417" s="53" t="n"/>
      <c r="BI417" s="53" t="n"/>
      <c r="BJ417" s="53" t="n"/>
      <c r="BK417" s="53" t="n"/>
      <c r="BL417" s="53" t="n"/>
      <c r="BM417" s="53" t="n"/>
      <c r="BN417" s="53" t="n"/>
      <c r="BO417" s="53" t="n"/>
      <c r="BP417" s="53" t="n"/>
      <c r="BQ417" s="53" t="n"/>
      <c r="BR417" s="53" t="n"/>
      <c r="BS417" s="53" t="n"/>
      <c r="BT417" s="53" t="n"/>
      <c r="BU417" s="53" t="n"/>
      <c r="BV417" s="53" t="n"/>
      <c r="BW417" s="53" t="n"/>
      <c r="BX417" s="53" t="n"/>
      <c r="BY417" s="53" t="n"/>
      <c r="BZ417" s="53" t="n"/>
      <c r="CA417" s="53" t="n"/>
      <c r="CB417" s="53" t="n"/>
      <c r="CC417" s="53" t="n"/>
      <c r="CD417" s="53" t="n"/>
      <c r="CE417" s="53" t="n"/>
      <c r="CF417" s="53" t="n"/>
      <c r="CG417" s="53" t="n"/>
      <c r="CH417" s="53" t="n"/>
      <c r="CI417" s="53" t="n"/>
      <c r="CJ417" s="53" t="n"/>
      <c r="CK417" s="53" t="n"/>
      <c r="CL417" s="53" t="n"/>
      <c r="CM417" s="53" t="n"/>
      <c r="CN417" s="53" t="n"/>
      <c r="CO417" s="53" t="n"/>
      <c r="CP417" s="53" t="n"/>
      <c r="CQ417" s="53" t="n"/>
      <c r="CR417" s="53" t="n"/>
      <c r="CS417" s="53" t="n"/>
      <c r="CT417" s="53" t="n"/>
      <c r="CU417" s="53" t="n"/>
      <c r="CV417" s="53" t="n"/>
      <c r="CW417" s="53" t="n"/>
      <c r="CX417" s="53" t="n"/>
      <c r="CY417" s="53" t="n"/>
      <c r="CZ417" s="53" t="n"/>
      <c r="DA417" s="53" t="n"/>
      <c r="DB417" s="53" t="n"/>
      <c r="DC417" s="53" t="n"/>
      <c r="DD417" s="53" t="inlineStr">
        <is>
          <t>IRIS2425</t>
        </is>
      </c>
      <c r="DE417" s="53" t="inlineStr">
        <is>
          <t>Employee</t>
        </is>
      </c>
      <c r="DF417" s="53" t="inlineStr">
        <is>
          <t>Active</t>
        </is>
      </c>
      <c r="DG417" s="53" t="inlineStr">
        <is>
          <t>Piyush Raj</t>
        </is>
      </c>
      <c r="DH417" s="54" t="n">
        <v>45894</v>
      </c>
      <c r="DI417" s="53" t="inlineStr">
        <is>
          <t>Product Manager</t>
        </is>
      </c>
      <c r="DJ417" s="53" t="inlineStr">
        <is>
          <t>Product Management</t>
        </is>
      </c>
      <c r="DK417" s="53" t="inlineStr">
        <is>
          <t>Product Management</t>
        </is>
      </c>
      <c r="DL417" s="53" t="inlineStr">
        <is>
          <t>Product Manager</t>
        </is>
      </c>
      <c r="DM417" s="53" t="inlineStr">
        <is>
          <t>L5 – Manager</t>
        </is>
      </c>
      <c r="DN417" s="53" t="inlineStr">
        <is>
          <t>PGDM</t>
        </is>
      </c>
      <c r="DO417" s="53" t="inlineStr">
        <is>
          <t>Nilesh Majumdar</t>
        </is>
      </c>
      <c r="DP417" s="53" t="inlineStr">
        <is>
          <t>N-3</t>
        </is>
      </c>
      <c r="DQ417" s="53" t="inlineStr">
        <is>
          <t>Individual Contributor</t>
        </is>
      </c>
      <c r="DR417" s="53" t="inlineStr">
        <is>
          <t>7 years, 0 months, 0 days</t>
        </is>
      </c>
      <c r="DS417" s="53" t="inlineStr">
        <is>
          <t>0 years, 9 months, 26 days</t>
        </is>
      </c>
      <c r="DT417" s="53" t="inlineStr">
        <is>
          <t>7 years, 9 months, 26 days</t>
        </is>
      </c>
      <c r="DU417" s="53" t="n"/>
      <c r="DV417" s="53" t="inlineStr">
        <is>
          <t>Datatech</t>
        </is>
      </c>
      <c r="DW417" s="53" t="inlineStr">
        <is>
          <t>Datatech</t>
        </is>
      </c>
      <c r="DX417" s="53" t="inlineStr">
        <is>
          <t>Product Management</t>
        </is>
      </c>
      <c r="DY417" s="53" t="inlineStr">
        <is>
          <t>Client Engagement</t>
        </is>
      </c>
      <c r="DZ417" s="53" t="inlineStr">
        <is>
          <t>No</t>
        </is>
      </c>
      <c r="EA417" s="53" t="inlineStr">
        <is>
          <t>Client Engagement</t>
        </is>
      </c>
      <c r="EB417" s="53" t="inlineStr">
        <is>
          <t>Product Management</t>
        </is>
      </c>
      <c r="EC417" s="53" t="inlineStr">
        <is>
          <t>Technical · BA, PM and QA</t>
        </is>
      </c>
      <c r="ED417" s="53" t="inlineStr">
        <is>
          <t>Turbhe. Shifting to remote for health reasons</t>
        </is>
      </c>
      <c r="EE417" s="53"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EF417" s="53"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EG417" s="53"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EH417" s="53" t="n">
        <v>4</v>
      </c>
      <c r="EI417" s="54" t="n">
        <v>46205</v>
      </c>
      <c r="EJ417" s="53" t="inlineStr">
        <is>
          <t>Product Manager</t>
        </is>
      </c>
      <c r="EK417" s="53" t="inlineStr">
        <is>
          <t>No</t>
        </is>
      </c>
      <c r="EL417" s="53" t="n">
        <v>4</v>
      </c>
      <c r="EM417" s="53" t="inlineStr">
        <is>
          <t>High</t>
        </is>
      </c>
      <c r="EN417" s="53" t="inlineStr">
        <is>
          <t>High Impact / Growth Talent</t>
        </is>
      </c>
      <c r="EO417" s="53" t="inlineStr">
        <is>
          <t>No</t>
        </is>
      </c>
      <c r="EP417" s="53" t="inlineStr">
        <is>
          <t>Yes</t>
        </is>
      </c>
      <c r="EQ417" s="53" t="inlineStr">
        <is>
          <t>Yes</t>
        </is>
      </c>
      <c r="ER417" s="53" t="n"/>
      <c r="ES417" s="53" t="inlineStr">
        <is>
          <t>Data Analysis</t>
        </is>
      </c>
      <c r="ET417" s="53" t="n"/>
      <c r="EU417" s="53" t="n"/>
      <c r="EV417" s="53" t="inlineStr">
        <is>
          <t>Peridot App</t>
        </is>
      </c>
      <c r="EW417" s="52" t="n"/>
      <c r="EX417" s="53" t="n"/>
      <c r="EY417" s="53" t="n"/>
      <c r="EZ417" s="53" t="n"/>
      <c r="FA417" s="53" t="n"/>
      <c r="FB417" s="53" t="n"/>
      <c r="FC417" s="53" t="n"/>
      <c r="FD417" s="53" t="inlineStr">
        <is>
          <t>IRIS2425</t>
        </is>
      </c>
      <c r="FE417" s="57"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FF417" s="56"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FG417" s="56"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FH417" s="56" t="inlineStr">
        <is>
          <t>4</t>
        </is>
      </c>
      <c r="FI417" s="56" t="n"/>
      <c r="FJ417" s="56" t="inlineStr">
        <is>
          <t>Received · manager annual, quarterly, self</t>
        </is>
      </c>
      <c r="FK417" s="56" t="inlineStr">
        <is>
          <t>Talent Mapping · Datatech</t>
        </is>
      </c>
      <c r="FL417" s="56" t="n">
        <v>20</v>
      </c>
      <c r="FM417" s="32" t="inlineStr">
        <is>
          <t>Full survey answers not in the files received · How We Grow export needed · HR</t>
        </is>
      </c>
      <c r="FN417" s="56" t="inlineStr">
        <is>
          <t>—</t>
        </is>
      </c>
      <c r="FO417" s="56" t="inlineStr">
        <is>
          <t>—</t>
        </is>
      </c>
      <c r="FP417" s="56" t="inlineStr">
        <is>
          <t>—</t>
        </is>
      </c>
      <c r="FQ417" s="56" t="inlineStr">
        <is>
          <t>—</t>
        </is>
      </c>
      <c r="FR417" s="56" t="inlineStr">
        <is>
          <t>Business Impact: Moved +0.5: the survey / manager mapping marks it business-critical.</t>
        </is>
      </c>
      <c r="FS417"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417" s="56" t="inlineStr">
        <is>
          <t>Self-identified: AI / automation · Product &amp; tool knowledge · Client, sales &amp; stakeholders · Strategy &amp; business acumen · Broader exposure &amp; ownership
For the next role: AI / automation · Product &amp; tool knowledge · Client, sales &amp; stakeholders · Strategy &amp; business acumen · Broader exposure &amp; ownership</t>
        </is>
      </c>
      <c r="FU417" s="32" t="inlineStr">
        <is>
          <t>Full survey answers not in the files received · How We Grow export needed · HR</t>
        </is>
      </c>
    </row>
    <row r="418" ht="90" customHeight="1">
      <c r="A418" s="51" t="inlineStr">
        <is>
          <t>◂ Back</t>
        </is>
      </c>
      <c r="B418" s="29" t="inlineStr">
        <is>
          <t>Mapped</t>
        </is>
      </c>
      <c r="C418" s="28" t="inlineStr">
        <is>
          <t>Datatech</t>
        </is>
      </c>
      <c r="D418" s="29" t="inlineStr">
        <is>
          <t>IRISDT0024</t>
        </is>
      </c>
      <c r="E418" s="29" t="inlineStr">
        <is>
          <t>Ayushi Maurya</t>
        </is>
      </c>
      <c r="F418" s="29" t="inlineStr">
        <is>
          <t>Product Management</t>
        </is>
      </c>
      <c r="G418" s="29" t="inlineStr">
        <is>
          <t>Product Manager</t>
        </is>
      </c>
      <c r="H418" s="29" t="inlineStr">
        <is>
          <t>Associate Product Manager</t>
        </is>
      </c>
      <c r="I418" s="29" t="inlineStr">
        <is>
          <t>Not in current mapping files</t>
        </is>
      </c>
      <c r="J418" s="29" t="inlineStr">
        <is>
          <t>B1</t>
        </is>
      </c>
      <c r="K418" s="29" t="inlineStr">
        <is>
          <t>● Newly mapped</t>
        </is>
      </c>
      <c r="L418" s="29" t="inlineStr">
        <is>
          <t>Product Management</t>
        </is>
      </c>
      <c r="M418" s="29" t="inlineStr">
        <is>
          <t>Product Management</t>
        </is>
      </c>
      <c r="N418" s="29" t="inlineStr">
        <is>
          <t>• Total experience · outside + at IRIS — HR — HRIS
• Confirm prior experience · provisional placement — HR</t>
        </is>
      </c>
      <c r="O418" s="29" t="n">
        <v>20</v>
      </c>
      <c r="P418" s="28" t="inlineStr">
        <is>
          <t>P3 / M2</t>
        </is>
      </c>
      <c r="Q418" s="29" t="inlineStr">
        <is>
          <t>Career / · Team Lead</t>
        </is>
      </c>
      <c r="R418" s="29" t="inlineStr">
        <is>
          <t>4 Enable</t>
        </is>
      </c>
      <c r="S418" s="29" t="inlineStr">
        <is>
          <t>4–7 yrs</t>
        </is>
      </c>
      <c r="T418" s="29" t="inlineStr">
        <is>
          <t>5–8 · 4–8</t>
        </is>
      </c>
      <c r="U418" s="29" t="inlineStr">
        <is>
          <t>Product Manager</t>
        </is>
      </c>
      <c r="V418" s="29" t="inlineStr">
        <is>
          <t>IRIS Vs Competitor Benchmark — SaaS product ladder: Product Manager</t>
        </is>
      </c>
      <c r="W418" s="29" t="inlineStr">
        <is>
          <t>Pragmatic Institute Framework · 37 activities, 7 categories; AIPMM</t>
        </is>
      </c>
      <c r="X418" s="29" t="inlineStr">
        <is>
          <t>Core 3 · Future 3 · Functional 3 · Leadership 1</t>
        </is>
      </c>
      <c r="Y418" s="52" t="n">
        <v>564</v>
      </c>
      <c r="Z418" s="53" t="inlineStr">
        <is>
          <t>IRISDT0024</t>
        </is>
      </c>
      <c r="AA418" s="53" t="inlineStr">
        <is>
          <t>Employee</t>
        </is>
      </c>
      <c r="AB418" s="53" t="inlineStr">
        <is>
          <t>Active</t>
        </is>
      </c>
      <c r="AC418" s="53" t="inlineStr">
        <is>
          <t>Ayushi Maurya</t>
        </is>
      </c>
      <c r="AD418" s="54" t="n">
        <v>46268</v>
      </c>
      <c r="AE418" s="53" t="inlineStr">
        <is>
          <t>Product Manager</t>
        </is>
      </c>
      <c r="AF418" s="53" t="inlineStr">
        <is>
          <t>M.Tech</t>
        </is>
      </c>
      <c r="AG418" s="53" t="inlineStr">
        <is>
          <t>Nilesh Majumdar</t>
        </is>
      </c>
      <c r="AH418" s="53" t="inlineStr">
        <is>
          <t>N-3</t>
        </is>
      </c>
      <c r="AI418" s="53" t="inlineStr">
        <is>
          <t>Individual Contributor</t>
        </is>
      </c>
      <c r="AJ418" s="53" t="n"/>
      <c r="AK418" s="53" t="n"/>
      <c r="AL418" s="53" t="inlineStr">
        <is>
          <t>Datatech</t>
        </is>
      </c>
      <c r="AM418" s="53" t="inlineStr">
        <is>
          <t>Datatech</t>
        </is>
      </c>
      <c r="AN418" s="53" t="inlineStr">
        <is>
          <t>Product Management</t>
        </is>
      </c>
      <c r="AO418" s="53" t="inlineStr">
        <is>
          <t>Client Engagement</t>
        </is>
      </c>
      <c r="AP418" s="53" t="inlineStr">
        <is>
          <t>No</t>
        </is>
      </c>
      <c r="AQ418" s="53" t="inlineStr">
        <is>
          <t>Client Engagement</t>
        </is>
      </c>
      <c r="AR418" s="53" t="inlineStr">
        <is>
          <t>Product Management</t>
        </is>
      </c>
      <c r="AS418" s="53" t="inlineStr">
        <is>
          <t>Technical · BA, PM and QA</t>
        </is>
      </c>
      <c r="AT418" s="53" t="n">
        <v>20</v>
      </c>
      <c r="AU418" s="53" t="inlineStr">
        <is>
          <t>Covered</t>
        </is>
      </c>
      <c r="AV418" s="53" t="n"/>
      <c r="AW418" s="53" t="n"/>
      <c r="AX418" s="53" t="n"/>
      <c r="AY418" s="53" t="n"/>
      <c r="AZ418" s="53" t="n"/>
      <c r="BA418" s="53" t="n"/>
      <c r="BB418" s="53" t="n"/>
      <c r="BC418" s="53" t="n"/>
      <c r="BD418" s="53" t="n"/>
      <c r="BE418" s="53" t="n"/>
      <c r="BF418" s="53" t="n"/>
      <c r="BG418" s="53" t="n"/>
      <c r="BH418" s="53" t="n"/>
      <c r="BI418" s="53" t="n"/>
      <c r="BJ418" s="53" t="n"/>
      <c r="BK418" s="53" t="n"/>
      <c r="BL418" s="53" t="n"/>
      <c r="BM418" s="53" t="n"/>
      <c r="BN418" s="53" t="n"/>
      <c r="BO418" s="53" t="n"/>
      <c r="BP418" s="53" t="n"/>
      <c r="BQ418" s="53" t="n"/>
      <c r="BR418" s="53" t="n"/>
      <c r="BS418" s="53" t="n"/>
      <c r="BT418" s="53" t="n"/>
      <c r="BU418" s="53" t="n"/>
      <c r="BV418" s="53" t="n"/>
      <c r="BW418" s="53" t="n"/>
      <c r="BX418" s="53" t="n"/>
      <c r="BY418" s="53" t="n"/>
      <c r="BZ418" s="53" t="n"/>
      <c r="CA418" s="53" t="n"/>
      <c r="CB418" s="53" t="n"/>
      <c r="CC418" s="53" t="n"/>
      <c r="CD418" s="53" t="n"/>
      <c r="CE418" s="53" t="n"/>
      <c r="CF418" s="53" t="n"/>
      <c r="CG418" s="53" t="n"/>
      <c r="CH418" s="53" t="n"/>
      <c r="CI418" s="53" t="n"/>
      <c r="CJ418" s="53" t="n"/>
      <c r="CK418" s="53" t="n"/>
      <c r="CL418" s="53" t="n"/>
      <c r="CM418" s="53" t="n"/>
      <c r="CN418" s="53" t="n"/>
      <c r="CO418" s="53" t="n"/>
      <c r="CP418" s="53" t="n"/>
      <c r="CQ418" s="53" t="n"/>
      <c r="CR418" s="53" t="n"/>
      <c r="CS418" s="53" t="n"/>
      <c r="CT418" s="53" t="n"/>
      <c r="CU418" s="53" t="n"/>
      <c r="CV418" s="53" t="n"/>
      <c r="CW418" s="53" t="n"/>
      <c r="CX418" s="53" t="n"/>
      <c r="CY418" s="53" t="n"/>
      <c r="CZ418" s="53" t="n"/>
      <c r="DA418" s="53" t="n"/>
      <c r="DB418" s="53" t="n"/>
      <c r="DC418" s="53" t="n"/>
      <c r="DD418" s="53" t="n"/>
      <c r="DE418" s="53" t="n"/>
      <c r="DF418" s="53" t="n"/>
      <c r="DG418" s="53" t="n"/>
      <c r="DH418" s="53" t="n"/>
      <c r="DI418" s="53" t="n"/>
      <c r="DJ418" s="53" t="n"/>
      <c r="DK418" s="53" t="n"/>
      <c r="DL418" s="53" t="n"/>
      <c r="DM418" s="53" t="n"/>
      <c r="DN418" s="53" t="n"/>
      <c r="DO418" s="53" t="n"/>
      <c r="DP418" s="53" t="n"/>
      <c r="DQ418" s="53" t="n"/>
      <c r="DR418" s="53" t="n"/>
      <c r="DS418" s="53" t="n"/>
      <c r="DT418" s="53" t="n"/>
      <c r="DU418" s="53" t="n"/>
      <c r="DV418" s="53" t="n"/>
      <c r="DW418" s="53" t="n"/>
      <c r="DX418" s="53" t="n"/>
      <c r="DY418" s="53" t="n"/>
      <c r="DZ418" s="53" t="n"/>
      <c r="EA418" s="53" t="n"/>
      <c r="EB418" s="53" t="n"/>
      <c r="EC418" s="53" t="n"/>
      <c r="ED418" s="53" t="n"/>
      <c r="EE418" s="53" t="n"/>
      <c r="EF418" s="53" t="n"/>
      <c r="EG418" s="53" t="n"/>
      <c r="EH418" s="53" t="n"/>
      <c r="EI418" s="53" t="n"/>
      <c r="EJ418" s="53" t="n"/>
      <c r="EK418" s="53" t="n"/>
      <c r="EL418" s="53" t="n"/>
      <c r="EM418" s="53" t="n"/>
      <c r="EN418" s="53" t="n"/>
      <c r="EO418" s="53" t="n"/>
      <c r="EP418" s="53" t="n"/>
      <c r="EQ418" s="53" t="n"/>
      <c r="ER418" s="53" t="n"/>
      <c r="ES418" s="53" t="n"/>
      <c r="ET418" s="53" t="n"/>
      <c r="EU418" s="53" t="n"/>
      <c r="EV418" s="53" t="n"/>
      <c r="EW418" s="52" t="n"/>
      <c r="EX418" s="53" t="n"/>
      <c r="EY418" s="53" t="n"/>
      <c r="EZ418" s="53" t="n"/>
      <c r="FA418" s="53" t="n"/>
      <c r="FB418" s="53" t="n"/>
      <c r="FC418" s="53" t="n"/>
      <c r="FD418" s="53" t="n"/>
      <c r="FE418" s="55" t="inlineStr">
        <is>
          <t>KRAs not received · manager to supply</t>
        </is>
      </c>
      <c r="FF418" s="56" t="n"/>
      <c r="FG418" s="56" t="n"/>
      <c r="FH418" s="56" t="n"/>
      <c r="FI418" s="56" t="n"/>
      <c r="FJ418" s="32" t="inlineStr">
        <is>
          <t>KRAs not received · manager to supply</t>
        </is>
      </c>
      <c r="FK418" s="56" t="n"/>
      <c r="FL418" s="56" t="n">
        <v>20</v>
      </c>
      <c r="FM418" s="32" t="inlineStr">
        <is>
          <t>Full survey answers not in the files received · How We Grow export needed · HR</t>
        </is>
      </c>
      <c r="FN418" s="56" t="inlineStr">
        <is>
          <t>—</t>
        </is>
      </c>
      <c r="FO418" s="56" t="inlineStr">
        <is>
          <t>—</t>
        </is>
      </c>
      <c r="FP418" s="56" t="inlineStr">
        <is>
          <t>—</t>
        </is>
      </c>
      <c r="FQ418" s="56" t="inlineStr">
        <is>
          <t>—</t>
        </is>
      </c>
      <c r="FR418" s="56"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identifying the field for a new product launch → moved down 1
Leadership: Evidence reads like A1: No guidance or leadership of others described → moved down 1
Business Impact: No survey or manager-mapping signal on criticality: kept at the start point.</t>
        </is>
      </c>
      <c r="FS418"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418" s="56" t="inlineStr">
        <is>
          <t>Self-identified: Broader exposure &amp; ownership
For the next role: Broader exposure &amp; ownership</t>
        </is>
      </c>
      <c r="FU418" s="32" t="inlineStr">
        <is>
          <t>Full survey answers not in the files received · How We Grow export needed · HR</t>
        </is>
      </c>
    </row>
    <row r="419" ht="90" customHeight="1">
      <c r="A419" s="51" t="inlineStr">
        <is>
          <t>◂ Back</t>
        </is>
      </c>
      <c r="B419" s="29" t="inlineStr">
        <is>
          <t>Mapped</t>
        </is>
      </c>
      <c r="C419" s="28" t="inlineStr">
        <is>
          <t>Datatech</t>
        </is>
      </c>
      <c r="D419" s="29" t="inlineStr">
        <is>
          <t>IRISDT0021</t>
        </is>
      </c>
      <c r="E419" s="29" t="inlineStr">
        <is>
          <t>Gaurav Bansal</t>
        </is>
      </c>
      <c r="F419" s="29" t="inlineStr">
        <is>
          <t>Product Management</t>
        </is>
      </c>
      <c r="G419" s="29" t="inlineStr">
        <is>
          <t>Product Manager</t>
        </is>
      </c>
      <c r="H419" s="29" t="inlineStr">
        <is>
          <t>Associate Product Manager</t>
        </is>
      </c>
      <c r="I419" s="29" t="inlineStr">
        <is>
          <t>Not in current mapping files</t>
        </is>
      </c>
      <c r="J419" s="29" t="inlineStr">
        <is>
          <t>B1</t>
        </is>
      </c>
      <c r="K419" s="29" t="inlineStr">
        <is>
          <t>● Newly mapped</t>
        </is>
      </c>
      <c r="L419" s="29" t="inlineStr">
        <is>
          <t>Product Management</t>
        </is>
      </c>
      <c r="M419" s="29" t="inlineStr">
        <is>
          <t>Product Management</t>
        </is>
      </c>
      <c r="N419" s="29" t="n"/>
      <c r="O419" s="29" t="n">
        <v>20</v>
      </c>
      <c r="P419" s="28" t="inlineStr">
        <is>
          <t>P3 / M2</t>
        </is>
      </c>
      <c r="Q419" s="29" t="inlineStr">
        <is>
          <t>Career / · Team Lead</t>
        </is>
      </c>
      <c r="R419" s="29" t="inlineStr">
        <is>
          <t>4 Enable</t>
        </is>
      </c>
      <c r="S419" s="29" t="inlineStr">
        <is>
          <t>4–7 yrs</t>
        </is>
      </c>
      <c r="T419" s="29" t="inlineStr">
        <is>
          <t>5–8 · 4–8</t>
        </is>
      </c>
      <c r="U419" s="29" t="inlineStr">
        <is>
          <t>Product Manager</t>
        </is>
      </c>
      <c r="V419" s="29" t="inlineStr">
        <is>
          <t>IRIS Vs Competitor Benchmark — SaaS product ladder: Product Manager</t>
        </is>
      </c>
      <c r="W419" s="29" t="inlineStr">
        <is>
          <t>Pragmatic Institute Framework · 37 activities, 7 categories; AIPMM</t>
        </is>
      </c>
      <c r="X419" s="29" t="inlineStr">
        <is>
          <t>Core 3 · Future 3 · Functional 3 · Leadership 1</t>
        </is>
      </c>
      <c r="Y419" s="52" t="n">
        <v>559</v>
      </c>
      <c r="Z419" s="53" t="inlineStr">
        <is>
          <t>IRISDT0021</t>
        </is>
      </c>
      <c r="AA419" s="53" t="inlineStr">
        <is>
          <t>Employee</t>
        </is>
      </c>
      <c r="AB419" s="53" t="inlineStr">
        <is>
          <t>Active</t>
        </is>
      </c>
      <c r="AC419" s="53" t="inlineStr">
        <is>
          <t>Gaurav Bansal</t>
        </is>
      </c>
      <c r="AD419" s="54" t="n">
        <v>46212</v>
      </c>
      <c r="AE419" s="53" t="inlineStr">
        <is>
          <t>Product Manager</t>
        </is>
      </c>
      <c r="AF419" s="53" t="inlineStr">
        <is>
          <t>B.Tech</t>
        </is>
      </c>
      <c r="AG419" s="53" t="inlineStr">
        <is>
          <t>Nilesh Majumdar</t>
        </is>
      </c>
      <c r="AH419" s="53" t="inlineStr">
        <is>
          <t>N-3</t>
        </is>
      </c>
      <c r="AI419" s="53" t="inlineStr">
        <is>
          <t>Individual Contributor</t>
        </is>
      </c>
      <c r="AJ419" s="53" t="inlineStr">
        <is>
          <t>2 years, 2 months, 0 days</t>
        </is>
      </c>
      <c r="AK419" s="53" t="inlineStr">
        <is>
          <t>0 years, 1 months, 16 days</t>
        </is>
      </c>
      <c r="AL419" s="53" t="inlineStr">
        <is>
          <t>Datatech</t>
        </is>
      </c>
      <c r="AM419" s="53" t="inlineStr">
        <is>
          <t>Datatech</t>
        </is>
      </c>
      <c r="AN419" s="53" t="inlineStr">
        <is>
          <t>Product Management</t>
        </is>
      </c>
      <c r="AO419" s="53" t="inlineStr">
        <is>
          <t>Client Engagement</t>
        </is>
      </c>
      <c r="AP419" s="53" t="inlineStr">
        <is>
          <t>No</t>
        </is>
      </c>
      <c r="AQ419" s="53" t="inlineStr">
        <is>
          <t>Client Engagement</t>
        </is>
      </c>
      <c r="AR419" s="53" t="inlineStr">
        <is>
          <t>Product Management</t>
        </is>
      </c>
      <c r="AS419" s="53" t="inlineStr">
        <is>
          <t>Technical · BA, PM and QA</t>
        </is>
      </c>
      <c r="AT419" s="53" t="n">
        <v>20</v>
      </c>
      <c r="AU419" s="53" t="inlineStr">
        <is>
          <t>Covered</t>
        </is>
      </c>
      <c r="AV419" s="53" t="n"/>
      <c r="AW419" s="53" t="n"/>
      <c r="AX419" s="53" t="n"/>
      <c r="AY419" s="53" t="n"/>
      <c r="AZ419" s="53" t="n"/>
      <c r="BA419" s="53" t="n"/>
      <c r="BB419" s="53" t="n"/>
      <c r="BC419" s="53" t="n"/>
      <c r="BD419" s="53" t="n"/>
      <c r="BE419" s="53" t="n"/>
      <c r="BF419" s="53" t="n"/>
      <c r="BG419" s="53" t="n"/>
      <c r="BH419" s="53" t="n"/>
      <c r="BI419" s="53" t="n"/>
      <c r="BJ419" s="53" t="n"/>
      <c r="BK419" s="53" t="n"/>
      <c r="BL419" s="53" t="n"/>
      <c r="BM419" s="53" t="n"/>
      <c r="BN419" s="53" t="n"/>
      <c r="BO419" s="53" t="n"/>
      <c r="BP419" s="53" t="n"/>
      <c r="BQ419" s="53" t="n"/>
      <c r="BR419" s="53" t="n"/>
      <c r="BS419" s="53" t="n"/>
      <c r="BT419" s="53" t="n"/>
      <c r="BU419" s="53" t="n"/>
      <c r="BV419" s="53" t="n"/>
      <c r="BW419" s="53" t="n"/>
      <c r="BX419" s="53" t="n"/>
      <c r="BY419" s="53" t="n"/>
      <c r="BZ419" s="53" t="n"/>
      <c r="CA419" s="53" t="n"/>
      <c r="CB419" s="53" t="n"/>
      <c r="CC419" s="53" t="n"/>
      <c r="CD419" s="53" t="n"/>
      <c r="CE419" s="53" t="n"/>
      <c r="CF419" s="53" t="n"/>
      <c r="CG419" s="53" t="n"/>
      <c r="CH419" s="53" t="n"/>
      <c r="CI419" s="53" t="n"/>
      <c r="CJ419" s="53" t="n"/>
      <c r="CK419" s="53" t="n"/>
      <c r="CL419" s="53" t="n"/>
      <c r="CM419" s="53" t="n"/>
      <c r="CN419" s="53" t="n"/>
      <c r="CO419" s="53" t="n"/>
      <c r="CP419" s="53" t="n"/>
      <c r="CQ419" s="53" t="n"/>
      <c r="CR419" s="53" t="n"/>
      <c r="CS419" s="53" t="n"/>
      <c r="CT419" s="53" t="n"/>
      <c r="CU419" s="53" t="n"/>
      <c r="CV419" s="53" t="n"/>
      <c r="CW419" s="53" t="n"/>
      <c r="CX419" s="53" t="n"/>
      <c r="CY419" s="53" t="n"/>
      <c r="CZ419" s="53" t="n"/>
      <c r="DA419" s="53" t="n"/>
      <c r="DB419" s="53" t="n"/>
      <c r="DC419" s="53" t="n"/>
      <c r="DD419" s="53" t="n"/>
      <c r="DE419" s="53" t="inlineStr">
        <is>
          <t>Employee</t>
        </is>
      </c>
      <c r="DF419" s="53" t="inlineStr">
        <is>
          <t>Active</t>
        </is>
      </c>
      <c r="DG419" s="53" t="inlineStr">
        <is>
          <t>Gaurav Bansal</t>
        </is>
      </c>
      <c r="DH419" s="53" t="n"/>
      <c r="DI419" s="53" t="inlineStr">
        <is>
          <t>Product Manager</t>
        </is>
      </c>
      <c r="DJ419" s="53" t="n"/>
      <c r="DK419" s="53" t="n"/>
      <c r="DL419" s="53" t="n"/>
      <c r="DM419" s="53" t="n"/>
      <c r="DN419" s="53" t="n"/>
      <c r="DO419" s="53" t="inlineStr">
        <is>
          <t>Nilesh Majumdar</t>
        </is>
      </c>
      <c r="DP419" s="53" t="n"/>
      <c r="DQ419" s="53" t="n"/>
      <c r="DR419" s="53" t="n"/>
      <c r="DS419" s="53" t="n"/>
      <c r="DT419" s="53" t="n"/>
      <c r="DU419" s="53" t="n"/>
      <c r="DV419" s="53" t="inlineStr">
        <is>
          <t>Datatech</t>
        </is>
      </c>
      <c r="DW419" s="53" t="inlineStr">
        <is>
          <t>Datatech</t>
        </is>
      </c>
      <c r="DX419" s="53" t="inlineStr">
        <is>
          <t>Product Management</t>
        </is>
      </c>
      <c r="DY419" s="53" t="inlineStr">
        <is>
          <t>Client Engagement</t>
        </is>
      </c>
      <c r="DZ419" s="53" t="inlineStr">
        <is>
          <t>No</t>
        </is>
      </c>
      <c r="EA419" s="53" t="inlineStr">
        <is>
          <t>Client Engagement</t>
        </is>
      </c>
      <c r="EB419" s="53" t="inlineStr">
        <is>
          <t>Product Management</t>
        </is>
      </c>
      <c r="EC419" s="53" t="inlineStr">
        <is>
          <t>Technical · BA, PM and QA</t>
        </is>
      </c>
      <c r="ED419" s="53" t="inlineStr">
        <is>
          <t>Bengaluru</t>
        </is>
      </c>
      <c r="EE419" s="53" t="n"/>
      <c r="EF419" s="53" t="n"/>
      <c r="EG419" s="53" t="n"/>
      <c r="EH419" s="53" t="n"/>
      <c r="EI419" s="53" t="n"/>
      <c r="EJ419" s="53" t="n"/>
      <c r="EK419" s="53" t="n"/>
      <c r="EL419" s="53" t="n"/>
      <c r="EM419" s="53" t="n"/>
      <c r="EN419" s="53" t="n"/>
      <c r="EO419" s="53" t="n"/>
      <c r="EP419" s="53" t="inlineStr">
        <is>
          <t>No</t>
        </is>
      </c>
      <c r="EQ419" s="53" t="n"/>
      <c r="ER419" s="53" t="n"/>
      <c r="ES419" s="53" t="n"/>
      <c r="ET419" s="53" t="n"/>
      <c r="EU419" s="53" t="n"/>
      <c r="EV419" s="53" t="inlineStr">
        <is>
          <t>All</t>
        </is>
      </c>
      <c r="EW419" s="52" t="n"/>
      <c r="EX419" s="53" t="n"/>
      <c r="EY419" s="53" t="n"/>
      <c r="EZ419" s="53" t="n"/>
      <c r="FA419" s="53" t="n"/>
      <c r="FB419" s="53" t="n"/>
      <c r="FC419" s="53" t="n"/>
      <c r="FD419" s="53" t="n"/>
      <c r="FE419" s="55" t="inlineStr">
        <is>
          <t>KRAs not received · manager to supply</t>
        </is>
      </c>
      <c r="FF419" s="56" t="n"/>
      <c r="FG419" s="56" t="n"/>
      <c r="FH419" s="56" t="n"/>
      <c r="FI419" s="56" t="n"/>
      <c r="FJ419" s="32" t="inlineStr">
        <is>
          <t>KRAs not received · manager to supply</t>
        </is>
      </c>
      <c r="FK419" s="56" t="n"/>
      <c r="FL419" s="56" t="n">
        <v>20</v>
      </c>
      <c r="FM419" s="32" t="inlineStr">
        <is>
          <t>Full survey answers not in the files received · How We Grow export needed · HR</t>
        </is>
      </c>
      <c r="FN419" s="56" t="inlineStr">
        <is>
          <t>—</t>
        </is>
      </c>
      <c r="FO419" s="56" t="inlineStr">
        <is>
          <t>—</t>
        </is>
      </c>
      <c r="FP419" s="56" t="inlineStr">
        <is>
          <t>—</t>
        </is>
      </c>
      <c r="FQ419" s="56" t="inlineStr">
        <is>
          <t>—</t>
        </is>
      </c>
      <c r="FR419" s="56"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moved down 0.5
Leadership: Evidence reads like A1: Coordinates with sales, operations, dev and design; no guidance of others described → moved down 0.5
Business Impact: No survey or manager-mapping signal on criticality: kept at the start point.</t>
        </is>
      </c>
      <c r="FS419"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419" s="56" t="inlineStr">
        <is>
          <t>Self-identified: Answered · no common topic
For the next role: Answered · no common topic</t>
        </is>
      </c>
      <c r="FU419" s="32" t="inlineStr">
        <is>
          <t>Full survey answers not in the files received · How We Grow export needed · HR</t>
        </is>
      </c>
    </row>
    <row r="420" ht="90" customHeight="1">
      <c r="A420" s="51" t="inlineStr">
        <is>
          <t>◂ Back</t>
        </is>
      </c>
      <c r="B420" s="29" t="inlineStr">
        <is>
          <t>Mapped</t>
        </is>
      </c>
      <c r="C420" s="28" t="inlineStr">
        <is>
          <t>Datatech</t>
        </is>
      </c>
      <c r="D420" s="29" t="inlineStr">
        <is>
          <t>IRISDT0014</t>
        </is>
      </c>
      <c r="E420" s="29" t="inlineStr">
        <is>
          <t>Supriya Patil</t>
        </is>
      </c>
      <c r="F420" s="29" t="inlineStr">
        <is>
          <t>Quality Assurance</t>
        </is>
      </c>
      <c r="G420" s="29" t="inlineStr">
        <is>
          <t>QA Engineer</t>
        </is>
      </c>
      <c r="H420" s="29" t="inlineStr">
        <is>
          <t>Senior QA Engineer</t>
        </is>
      </c>
      <c r="I420" s="29" t="inlineStr">
        <is>
          <t>L3 – Professional / Associate</t>
        </is>
      </c>
      <c r="J420" s="29" t="inlineStr">
        <is>
          <t>A3</t>
        </is>
      </c>
      <c r="K420" s="29" t="inlineStr">
        <is>
          <t>▲ Up</t>
        </is>
      </c>
      <c r="L420" s="29" t="inlineStr">
        <is>
          <t>Quality Assurance</t>
        </is>
      </c>
      <c r="M420" s="29" t="inlineStr">
        <is>
          <t>Functional &amp; Domain Testing</t>
        </is>
      </c>
      <c r="N420" s="29" t="n"/>
      <c r="O420" s="29" t="n">
        <v>20</v>
      </c>
      <c r="P420" s="28" t="inlineStr">
        <is>
          <t>P2</t>
        </is>
      </c>
      <c r="Q420" s="29" t="inlineStr">
        <is>
          <t>Developing</t>
        </is>
      </c>
      <c r="R420" s="29" t="inlineStr">
        <is>
          <t>3 Apply</t>
        </is>
      </c>
      <c r="S420" s="29" t="inlineStr">
        <is>
          <t>2–4 yrs</t>
        </is>
      </c>
      <c r="T420" s="29" t="inlineStr">
        <is>
          <t>3–5 · 2–5</t>
        </is>
      </c>
      <c r="U420" s="29" t="inlineStr">
        <is>
          <t>QA Engineer</t>
        </is>
      </c>
      <c r="V420" s="29" t="inlineStr">
        <is>
          <t>Workiva: SE · Broadridge India: SE · Nasdaq / AxiomSL: SE · IRIS Vs Market Benchmark — ISTQB certification pathway: Foundation</t>
        </is>
      </c>
      <c r="W420" s="29" t="inlineStr">
        <is>
          <t>ISTQB Foundation → Advanced → Expert; SFIA testing</t>
        </is>
      </c>
      <c r="X420" s="29" t="inlineStr">
        <is>
          <t>Core 2 · Future 2 · Functional 3 · Leadership not scored</t>
        </is>
      </c>
      <c r="Y420" s="52" t="n">
        <v>550</v>
      </c>
      <c r="Z420" s="53" t="inlineStr">
        <is>
          <t>IRISDT0014</t>
        </is>
      </c>
      <c r="AA420" s="53" t="inlineStr">
        <is>
          <t>Employee</t>
        </is>
      </c>
      <c r="AB420" s="53" t="inlineStr">
        <is>
          <t>Active</t>
        </is>
      </c>
      <c r="AC420" s="53" t="inlineStr">
        <is>
          <t>Supriya Patil</t>
        </is>
      </c>
      <c r="AD420" s="54" t="n">
        <v>46055</v>
      </c>
      <c r="AE420" s="53" t="inlineStr">
        <is>
          <t>QA Engineer</t>
        </is>
      </c>
      <c r="AF420" s="53" t="inlineStr">
        <is>
          <t>B.E</t>
        </is>
      </c>
      <c r="AG420" s="53" t="inlineStr">
        <is>
          <t>Nilesh Majumdar</t>
        </is>
      </c>
      <c r="AH420" s="53" t="inlineStr">
        <is>
          <t>N-3</t>
        </is>
      </c>
      <c r="AI420" s="53" t="inlineStr">
        <is>
          <t>Individual Contributor</t>
        </is>
      </c>
      <c r="AJ420" s="53" t="inlineStr">
        <is>
          <t>6 years, 8 months, 0 days</t>
        </is>
      </c>
      <c r="AK420" s="53" t="inlineStr">
        <is>
          <t>0 years, 6 months, 23 days</t>
        </is>
      </c>
      <c r="AL420" s="53" t="inlineStr">
        <is>
          <t>Datatech</t>
        </is>
      </c>
      <c r="AM420" s="53" t="inlineStr">
        <is>
          <t>Datatech</t>
        </is>
      </c>
      <c r="AN420" s="53" t="inlineStr">
        <is>
          <t>Quality Assurance</t>
        </is>
      </c>
      <c r="AO420" s="53" t="inlineStr">
        <is>
          <t>Quality Assurance</t>
        </is>
      </c>
      <c r="AP420" s="53" t="inlineStr">
        <is>
          <t>No</t>
        </is>
      </c>
      <c r="AQ420" s="53" t="inlineStr">
        <is>
          <t>Product/Project</t>
        </is>
      </c>
      <c r="AR420" s="53" t="inlineStr">
        <is>
          <t>Software Testing</t>
        </is>
      </c>
      <c r="AS420" s="53" t="inlineStr">
        <is>
          <t>Technical · BA, PM and QA</t>
        </is>
      </c>
      <c r="AT420" s="53" t="n">
        <v>20</v>
      </c>
      <c r="AU420" s="53" t="inlineStr">
        <is>
          <t>Covered</t>
        </is>
      </c>
      <c r="AV420" s="53" t="n"/>
      <c r="AW420" s="53" t="n"/>
      <c r="AX420" s="53" t="n"/>
      <c r="AY420" s="53" t="n"/>
      <c r="AZ420" s="53" t="n"/>
      <c r="BA420" s="53" t="n"/>
      <c r="BB420" s="53" t="n"/>
      <c r="BC420" s="53" t="n"/>
      <c r="BD420" s="53" t="n"/>
      <c r="BE420" s="53" t="n"/>
      <c r="BF420" s="53" t="n"/>
      <c r="BG420" s="53" t="n"/>
      <c r="BH420" s="53" t="n"/>
      <c r="BI420" s="53" t="n"/>
      <c r="BJ420" s="53" t="n"/>
      <c r="BK420" s="53" t="n"/>
      <c r="BL420" s="53" t="n"/>
      <c r="BM420" s="53" t="n"/>
      <c r="BN420" s="53" t="n"/>
      <c r="BO420" s="53" t="n"/>
      <c r="BP420" s="53" t="n"/>
      <c r="BQ420" s="53" t="n"/>
      <c r="BR420" s="53" t="n"/>
      <c r="BS420" s="53" t="n"/>
      <c r="BT420" s="53" t="n"/>
      <c r="BU420" s="53" t="n"/>
      <c r="BV420" s="53" t="n"/>
      <c r="BW420" s="53" t="n"/>
      <c r="BX420" s="53" t="n"/>
      <c r="BY420" s="53" t="n"/>
      <c r="BZ420" s="53" t="n"/>
      <c r="CA420" s="53" t="n"/>
      <c r="CB420" s="53" t="n"/>
      <c r="CC420" s="53" t="n"/>
      <c r="CD420" s="53" t="n"/>
      <c r="CE420" s="53" t="n"/>
      <c r="CF420" s="53" t="n"/>
      <c r="CG420" s="53" t="n"/>
      <c r="CH420" s="53" t="n"/>
      <c r="CI420" s="53" t="n"/>
      <c r="CJ420" s="53" t="n"/>
      <c r="CK420" s="53" t="n"/>
      <c r="CL420" s="53" t="n"/>
      <c r="CM420" s="53" t="n"/>
      <c r="CN420" s="53" t="n"/>
      <c r="CO420" s="53" t="n"/>
      <c r="CP420" s="53" t="n"/>
      <c r="CQ420" s="53" t="n"/>
      <c r="CR420" s="53" t="n"/>
      <c r="CS420" s="53" t="n"/>
      <c r="CT420" s="53" t="n"/>
      <c r="CU420" s="53" t="n"/>
      <c r="CV420" s="53" t="n"/>
      <c r="CW420" s="53" t="n"/>
      <c r="CX420" s="53" t="n"/>
      <c r="CY420" s="53" t="n"/>
      <c r="CZ420" s="53" t="n"/>
      <c r="DA420" s="53" t="n"/>
      <c r="DB420" s="53" t="n"/>
      <c r="DC420" s="53" t="n"/>
      <c r="DD420" s="53" t="inlineStr">
        <is>
          <t>IRIS2467</t>
        </is>
      </c>
      <c r="DE420" s="53" t="inlineStr">
        <is>
          <t>Employee</t>
        </is>
      </c>
      <c r="DF420" s="53" t="inlineStr">
        <is>
          <t>Active</t>
        </is>
      </c>
      <c r="DG420" s="53" t="inlineStr">
        <is>
          <t>Supriya Patil</t>
        </is>
      </c>
      <c r="DH420" s="54" t="n">
        <v>46055</v>
      </c>
      <c r="DI420" s="53" t="inlineStr">
        <is>
          <t>QA Engineer</t>
        </is>
      </c>
      <c r="DJ420" s="53" t="inlineStr">
        <is>
          <t>Quality Assurance</t>
        </is>
      </c>
      <c r="DK420" s="53" t="inlineStr">
        <is>
          <t>Quality Engineering</t>
        </is>
      </c>
      <c r="DL420" s="53" t="inlineStr">
        <is>
          <t>QA Engineer</t>
        </is>
      </c>
      <c r="DM420" s="53" t="inlineStr">
        <is>
          <t>L3 – Professional / Associate</t>
        </is>
      </c>
      <c r="DN420" s="53" t="inlineStr">
        <is>
          <t>B.E</t>
        </is>
      </c>
      <c r="DO420" s="53" t="inlineStr">
        <is>
          <t>Nilesh Majumdar</t>
        </is>
      </c>
      <c r="DP420" s="53" t="inlineStr">
        <is>
          <t>N-3</t>
        </is>
      </c>
      <c r="DQ420" s="53" t="inlineStr">
        <is>
          <t>Individual Contributor</t>
        </is>
      </c>
      <c r="DR420" s="53" t="inlineStr">
        <is>
          <t>6 years, 8 months, 0 days</t>
        </is>
      </c>
      <c r="DS420" s="53" t="inlineStr">
        <is>
          <t>0 years, 4 months, 18 days</t>
        </is>
      </c>
      <c r="DT420" s="53" t="inlineStr">
        <is>
          <t>7 years, 0 months, 18 days</t>
        </is>
      </c>
      <c r="DU420" s="53" t="n"/>
      <c r="DV420" s="53" t="inlineStr">
        <is>
          <t>Datatech</t>
        </is>
      </c>
      <c r="DW420" s="53" t="inlineStr">
        <is>
          <t>Datatech</t>
        </is>
      </c>
      <c r="DX420" s="53" t="inlineStr">
        <is>
          <t>Quality Assurance</t>
        </is>
      </c>
      <c r="DY420" s="53" t="inlineStr">
        <is>
          <t>Quality Assurance</t>
        </is>
      </c>
      <c r="DZ420" s="53" t="inlineStr">
        <is>
          <t>No</t>
        </is>
      </c>
      <c r="EA420" s="53" t="inlineStr">
        <is>
          <t>Product/Project</t>
        </is>
      </c>
      <c r="EB420" s="53" t="inlineStr">
        <is>
          <t>Software Testing</t>
        </is>
      </c>
      <c r="EC420" s="53" t="inlineStr">
        <is>
          <t>Technical · BA, PM and QA</t>
        </is>
      </c>
      <c r="ED420" s="53" t="inlineStr">
        <is>
          <t>Turbhe</t>
        </is>
      </c>
      <c r="EE420" s="53" t="n"/>
      <c r="EF420" s="53"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EG420" s="53"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EH420" s="53" t="n">
        <v>3</v>
      </c>
      <c r="EI420" s="53" t="inlineStr">
        <is>
          <t>Aprl 2026</t>
        </is>
      </c>
      <c r="EJ420" s="53" t="inlineStr">
        <is>
          <t>QA Engineer</t>
        </is>
      </c>
      <c r="EK420" s="53" t="inlineStr">
        <is>
          <t>No</t>
        </is>
      </c>
      <c r="EL420" s="53" t="n">
        <v>3</v>
      </c>
      <c r="EM420" s="53" t="inlineStr">
        <is>
          <t>Medium</t>
        </is>
      </c>
      <c r="EN420" s="53" t="inlineStr">
        <is>
          <t>Core Contributor</t>
        </is>
      </c>
      <c r="EO420" s="53" t="inlineStr">
        <is>
          <t>No</t>
        </is>
      </c>
      <c r="EP420" s="53" t="inlineStr">
        <is>
          <t>No</t>
        </is>
      </c>
      <c r="EQ420" s="53" t="inlineStr">
        <is>
          <t>Yes</t>
        </is>
      </c>
      <c r="ER420" s="53" t="n"/>
      <c r="ES420" s="53" t="inlineStr">
        <is>
          <t>AI for testing and automation</t>
        </is>
      </c>
      <c r="ET420" s="53" t="n"/>
      <c r="EU420" s="53" t="n"/>
      <c r="EV420" s="53" t="inlineStr">
        <is>
          <t>All</t>
        </is>
      </c>
      <c r="EW420" s="52" t="n"/>
      <c r="EX420" s="53" t="n"/>
      <c r="EY420" s="53" t="n"/>
      <c r="EZ420" s="53" t="n"/>
      <c r="FA420" s="53" t="n"/>
      <c r="FB420" s="53" t="n"/>
      <c r="FC420" s="53" t="n"/>
      <c r="FD420" s="53" t="inlineStr">
        <is>
          <t>IRIS2467</t>
        </is>
      </c>
      <c r="FE420" s="57"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FF420" s="56"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FG420" s="56" t="n"/>
      <c r="FH420" s="56" t="inlineStr">
        <is>
          <t>3</t>
        </is>
      </c>
      <c r="FI420" s="56" t="n"/>
      <c r="FJ420" s="56" t="inlineStr">
        <is>
          <t>Received · manager annual, quarterly</t>
        </is>
      </c>
      <c r="FK420" s="56" t="inlineStr">
        <is>
          <t>Talent Mapping · Datatech</t>
        </is>
      </c>
      <c r="FL420" s="56" t="n">
        <v>20</v>
      </c>
      <c r="FM420" s="32" t="inlineStr">
        <is>
          <t>Full survey answers not in the files received · How We Grow export needed · HR</t>
        </is>
      </c>
      <c r="FN420" s="56" t="inlineStr">
        <is>
          <t>—</t>
        </is>
      </c>
      <c r="FO420" s="56" t="inlineStr">
        <is>
          <t>—</t>
        </is>
      </c>
      <c r="FP420" s="56" t="inlineStr">
        <is>
          <t>—</t>
        </is>
      </c>
      <c r="FQ420" s="56" t="inlineStr">
        <is>
          <t>—</t>
        </is>
      </c>
      <c r="FR420" s="56"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feature breaking in production reflects on own testing → moved up 0.5
Leadership: Evidence reads like A1: No guiding or leading of others described → matches the start
Business Impact: Moved +0.5: the survey / manager mapping marks it business-critical.</t>
        </is>
      </c>
      <c r="FS42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420" s="56" t="inlineStr">
        <is>
          <t>Self-identified: AI / automation · Leadership &amp; people management · Technical depth &amp; architecture · Testing &amp; quality · Strategy &amp; business acumen · Broader exposure &amp; ownership
For the next role: AI / automation · Leadership &amp; people management · Technical depth &amp; architecture · Testing &amp; quality · Strategy &amp; business acumen · Broader exposure &amp; ownership</t>
        </is>
      </c>
      <c r="FU420" s="32" t="inlineStr">
        <is>
          <t>Full survey answers not in the files received · How We Grow export needed · HR</t>
        </is>
      </c>
    </row>
    <row r="421" ht="90" customHeight="1">
      <c r="A421" s="51" t="inlineStr">
        <is>
          <t>◂ Back</t>
        </is>
      </c>
      <c r="B421" s="29" t="inlineStr">
        <is>
          <t>Mapped</t>
        </is>
      </c>
      <c r="C421" s="28" t="inlineStr">
        <is>
          <t>Datatech</t>
        </is>
      </c>
      <c r="D421" s="29" t="inlineStr">
        <is>
          <t>IRISDT0020</t>
        </is>
      </c>
      <c r="E421" s="29" t="inlineStr">
        <is>
          <t>Utkarsh Sagar Bafana</t>
        </is>
      </c>
      <c r="F421" s="29" t="inlineStr">
        <is>
          <t>Technology</t>
        </is>
      </c>
      <c r="G421" s="29" t="inlineStr">
        <is>
          <t>UX Designer</t>
        </is>
      </c>
      <c r="H421" s="29" t="inlineStr">
        <is>
          <t>Senior Product Designer</t>
        </is>
      </c>
      <c r="I421" s="29" t="inlineStr">
        <is>
          <t>Not in current mapping files</t>
        </is>
      </c>
      <c r="J421" s="29" t="inlineStr">
        <is>
          <t>A3</t>
        </is>
      </c>
      <c r="K421" s="29" t="inlineStr">
        <is>
          <t>● Newly mapped</t>
        </is>
      </c>
      <c r="L421" s="29" t="inlineStr">
        <is>
          <t>Design &amp; Creative</t>
        </is>
      </c>
      <c r="M421" s="29" t="inlineStr">
        <is>
          <t>UX / UI Design</t>
        </is>
      </c>
      <c r="N421" s="29" t="n"/>
      <c r="O421" s="29" t="n">
        <v>20</v>
      </c>
      <c r="P421" s="28" t="inlineStr">
        <is>
          <t>P2</t>
        </is>
      </c>
      <c r="Q421" s="29" t="inlineStr">
        <is>
          <t>Developing</t>
        </is>
      </c>
      <c r="R421" s="29" t="inlineStr">
        <is>
          <t>3 Apply</t>
        </is>
      </c>
      <c r="S421" s="29" t="inlineStr">
        <is>
          <t>2–4 yrs</t>
        </is>
      </c>
      <c r="T421" s="29" t="inlineStr">
        <is>
          <t>3–5 · 2–5</t>
        </is>
      </c>
      <c r="U421" s="29" t="inlineStr">
        <is>
          <t>Designer</t>
        </is>
      </c>
      <c r="V421" s="29" t="inlineStr">
        <is>
          <t>IRIS Vs Competitor Benchmark — UX / design ladder: Designer</t>
        </is>
      </c>
      <c r="W421" s="29" t="inlineStr">
        <is>
          <t>UX career ladder Junior → Designer → Senior → Lead → Principal; WCAG accessibility</t>
        </is>
      </c>
      <c r="X421" s="29" t="inlineStr">
        <is>
          <t>Core 2 · Future 2 · Functional 3 · Leadership not scored</t>
        </is>
      </c>
      <c r="Y421" s="52" t="n">
        <v>558</v>
      </c>
      <c r="Z421" s="53" t="inlineStr">
        <is>
          <t>IRISDT0020</t>
        </is>
      </c>
      <c r="AA421" s="53" t="inlineStr">
        <is>
          <t>Employee</t>
        </is>
      </c>
      <c r="AB421" s="53" t="inlineStr">
        <is>
          <t>Active</t>
        </is>
      </c>
      <c r="AC421" s="53" t="inlineStr">
        <is>
          <t>Utkarsh Sagar Bafana</t>
        </is>
      </c>
      <c r="AD421" s="54" t="n">
        <v>46209</v>
      </c>
      <c r="AE421" s="53" t="inlineStr">
        <is>
          <t>UX Designer</t>
        </is>
      </c>
      <c r="AF421" s="53" t="inlineStr">
        <is>
          <t>Bachelors of Vocational Studies</t>
        </is>
      </c>
      <c r="AG421" s="53" t="inlineStr">
        <is>
          <t>Nilesh Majumdar</t>
        </is>
      </c>
      <c r="AH421" s="53" t="inlineStr">
        <is>
          <t>N-3</t>
        </is>
      </c>
      <c r="AI421" s="53" t="inlineStr">
        <is>
          <t>Individual Contributor</t>
        </is>
      </c>
      <c r="AJ421" s="53" t="inlineStr">
        <is>
          <t>4 years, 5 months, 4 days</t>
        </is>
      </c>
      <c r="AK421" s="53" t="inlineStr">
        <is>
          <t>0 years, 1 months, 19 days</t>
        </is>
      </c>
      <c r="AL421" s="53" t="inlineStr">
        <is>
          <t>Datatech</t>
        </is>
      </c>
      <c r="AM421" s="53" t="inlineStr">
        <is>
          <t>Datatech</t>
        </is>
      </c>
      <c r="AN421" s="53" t="inlineStr">
        <is>
          <t>Technology</t>
        </is>
      </c>
      <c r="AO421" s="53" t="inlineStr">
        <is>
          <t>Development</t>
        </is>
      </c>
      <c r="AP421" s="53" t="inlineStr">
        <is>
          <t>Yes</t>
        </is>
      </c>
      <c r="AQ421" s="53" t="inlineStr">
        <is>
          <t>Product/Project</t>
        </is>
      </c>
      <c r="AR421" s="53" t="inlineStr">
        <is>
          <t>UX Designer</t>
        </is>
      </c>
      <c r="AS421" s="53" t="inlineStr">
        <is>
          <t>Technical - Developer</t>
        </is>
      </c>
      <c r="AT421" s="53" t="n">
        <v>20</v>
      </c>
      <c r="AU421" s="53" t="inlineStr">
        <is>
          <t>Covered</t>
        </is>
      </c>
      <c r="AV421" s="53" t="n"/>
      <c r="AW421" s="53" t="n"/>
      <c r="AX421" s="53" t="n"/>
      <c r="AY421" s="53" t="n"/>
      <c r="AZ421" s="53" t="n"/>
      <c r="BA421" s="53" t="n"/>
      <c r="BB421" s="53" t="n"/>
      <c r="BC421" s="53" t="n"/>
      <c r="BD421" s="53" t="n"/>
      <c r="BE421" s="53" t="n"/>
      <c r="BF421" s="53" t="n"/>
      <c r="BG421" s="53" t="n"/>
      <c r="BH421" s="53" t="n"/>
      <c r="BI421" s="53" t="n"/>
      <c r="BJ421" s="53" t="n"/>
      <c r="BK421" s="53" t="n"/>
      <c r="BL421" s="53" t="n"/>
      <c r="BM421" s="53" t="n"/>
      <c r="BN421" s="53" t="n"/>
      <c r="BO421" s="53" t="n"/>
      <c r="BP421" s="53" t="n"/>
      <c r="BQ421" s="53" t="n"/>
      <c r="BR421" s="53" t="n"/>
      <c r="BS421" s="53" t="n"/>
      <c r="BT421" s="53" t="n"/>
      <c r="BU421" s="53" t="n"/>
      <c r="BV421" s="53" t="n"/>
      <c r="BW421" s="53" t="n"/>
      <c r="BX421" s="53" t="n"/>
      <c r="BY421" s="53" t="n"/>
      <c r="BZ421" s="53" t="n"/>
      <c r="CA421" s="53" t="n"/>
      <c r="CB421" s="53" t="n"/>
      <c r="CC421" s="53" t="n"/>
      <c r="CD421" s="53" t="n"/>
      <c r="CE421" s="53" t="n"/>
      <c r="CF421" s="53" t="n"/>
      <c r="CG421" s="53" t="n"/>
      <c r="CH421" s="53" t="n"/>
      <c r="CI421" s="53" t="n"/>
      <c r="CJ421" s="53" t="n"/>
      <c r="CK421" s="53" t="n"/>
      <c r="CL421" s="53" t="n"/>
      <c r="CM421" s="53" t="n"/>
      <c r="CN421" s="53" t="n"/>
      <c r="CO421" s="53" t="n"/>
      <c r="CP421" s="53" t="n"/>
      <c r="CQ421" s="53" t="n"/>
      <c r="CR421" s="53" t="n"/>
      <c r="CS421" s="53" t="n"/>
      <c r="CT421" s="53" t="n"/>
      <c r="CU421" s="53" t="n"/>
      <c r="CV421" s="53" t="n"/>
      <c r="CW421" s="53" t="n"/>
      <c r="CX421" s="53" t="n"/>
      <c r="CY421" s="53" t="n"/>
      <c r="CZ421" s="53" t="n"/>
      <c r="DA421" s="53" t="n"/>
      <c r="DB421" s="53" t="n"/>
      <c r="DC421" s="53" t="n"/>
      <c r="DD421" s="53" t="n"/>
      <c r="DE421" s="53" t="inlineStr">
        <is>
          <t>Employee</t>
        </is>
      </c>
      <c r="DF421" s="53" t="inlineStr">
        <is>
          <t>Active</t>
        </is>
      </c>
      <c r="DG421" s="53" t="inlineStr">
        <is>
          <t>Utkarsh Bafna</t>
        </is>
      </c>
      <c r="DH421" s="53" t="n"/>
      <c r="DI421" s="53" t="inlineStr">
        <is>
          <t>UX Designer</t>
        </is>
      </c>
      <c r="DJ421" s="53" t="n"/>
      <c r="DK421" s="53" t="n"/>
      <c r="DL421" s="53" t="n"/>
      <c r="DM421" s="53" t="n"/>
      <c r="DN421" s="53" t="n"/>
      <c r="DO421" s="53" t="inlineStr">
        <is>
          <t>Nilesh Majumdar</t>
        </is>
      </c>
      <c r="DP421" s="53" t="n"/>
      <c r="DQ421" s="53" t="n"/>
      <c r="DR421" s="53" t="n"/>
      <c r="DS421" s="53" t="n"/>
      <c r="DT421" s="53" t="n"/>
      <c r="DU421" s="53" t="n"/>
      <c r="DV421" s="53" t="inlineStr">
        <is>
          <t>Datatech</t>
        </is>
      </c>
      <c r="DW421" s="53" t="inlineStr">
        <is>
          <t>Datatech</t>
        </is>
      </c>
      <c r="DX421" s="53" t="inlineStr">
        <is>
          <t>Product Management</t>
        </is>
      </c>
      <c r="DY421" s="53" t="inlineStr">
        <is>
          <t>Client Engagement</t>
        </is>
      </c>
      <c r="DZ421" s="53" t="inlineStr">
        <is>
          <t>No</t>
        </is>
      </c>
      <c r="EA421" s="53" t="inlineStr">
        <is>
          <t>Client Engagement</t>
        </is>
      </c>
      <c r="EB421" s="53" t="inlineStr">
        <is>
          <t>Product Management</t>
        </is>
      </c>
      <c r="EC421" s="53" t="inlineStr">
        <is>
          <t>Technical · BA, PM and QA</t>
        </is>
      </c>
      <c r="ED421" s="53" t="inlineStr">
        <is>
          <t>Turbhe</t>
        </is>
      </c>
      <c r="EE421" s="53" t="n"/>
      <c r="EF421" s="53" t="n"/>
      <c r="EG421" s="53" t="n"/>
      <c r="EH421" s="53" t="n"/>
      <c r="EI421" s="53" t="n"/>
      <c r="EJ421" s="53" t="n"/>
      <c r="EK421" s="53" t="n"/>
      <c r="EL421" s="53" t="n"/>
      <c r="EM421" s="53" t="n"/>
      <c r="EN421" s="53" t="n"/>
      <c r="EO421" s="53" t="n"/>
      <c r="EP421" s="53" t="inlineStr">
        <is>
          <t>No</t>
        </is>
      </c>
      <c r="EQ421" s="53" t="n"/>
      <c r="ER421" s="53" t="n"/>
      <c r="ES421" s="53" t="n"/>
      <c r="ET421" s="53" t="n"/>
      <c r="EU421" s="53" t="n"/>
      <c r="EV421" s="53" t="inlineStr">
        <is>
          <t>All</t>
        </is>
      </c>
      <c r="EW421" s="52" t="n"/>
      <c r="EX421" s="53" t="n"/>
      <c r="EY421" s="53" t="n"/>
      <c r="EZ421" s="53" t="n"/>
      <c r="FA421" s="53" t="n"/>
      <c r="FB421" s="53" t="n"/>
      <c r="FC421" s="53" t="inlineStr">
        <is>
          <t>Employee Category; Employee Status; Employee Name; Designation; Reporting Manager; Business Line; Product/Others; Department; Sub Functional Categorization; Core Development; Functional Categorization; Skill Sets; Technical/Non-technical; Location; Fast Tracker · Y/N; Projects/Delivery/client Assigned</t>
        </is>
      </c>
      <c r="FD421" s="53" t="n"/>
      <c r="FE421" s="55" t="inlineStr">
        <is>
          <t>KRAs not received · manager to supply</t>
        </is>
      </c>
      <c r="FF421" s="56" t="n"/>
      <c r="FG421" s="56" t="n"/>
      <c r="FH421" s="56" t="n"/>
      <c r="FI421" s="56" t="n"/>
      <c r="FJ421" s="32" t="inlineStr">
        <is>
          <t>KRAs not received · manager to supply</t>
        </is>
      </c>
      <c r="FK421" s="56" t="n"/>
      <c r="FL421" s="56" t="n">
        <v>20</v>
      </c>
      <c r="FM421" s="32" t="inlineStr">
        <is>
          <t>Full survey answers not in the files received · How We Grow export needed · HR</t>
        </is>
      </c>
      <c r="FN421" s="56" t="inlineStr">
        <is>
          <t>—</t>
        </is>
      </c>
      <c r="FO421" s="56" t="inlineStr">
        <is>
          <t>—</t>
        </is>
      </c>
      <c r="FP421" s="56" t="inlineStr">
        <is>
          <t>—</t>
        </is>
      </c>
      <c r="FQ421" s="56" t="inlineStr">
        <is>
          <t>—</t>
        </is>
      </c>
      <c r="FR421" s="56"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moved down 0.5
Leadership: Evidence reads like A1: None described → moved down 0.5
Business Impact: No survey or manager-mapping signal on criticality: kept at the start point.</t>
        </is>
      </c>
      <c r="FS421" s="56" t="n"/>
      <c r="FT421" s="56" t="inlineStr">
        <is>
          <t>Self-identified: Product &amp; tool knowledge
For the next role: Product &amp; tool knowledge</t>
        </is>
      </c>
      <c r="FU421" s="32" t="inlineStr">
        <is>
          <t>Full survey answers not in the files received · How We Grow export needed · HR</t>
        </is>
      </c>
    </row>
    <row r="422" ht="90" customHeight="1">
      <c r="A422" s="51" t="inlineStr">
        <is>
          <t>◂ Back</t>
        </is>
      </c>
      <c r="B422" s="29" t="inlineStr">
        <is>
          <t>Mapped</t>
        </is>
      </c>
      <c r="C422" s="28" t="inlineStr">
        <is>
          <t>Datatech</t>
        </is>
      </c>
      <c r="D422" s="29" t="inlineStr">
        <is>
          <t>IRISDTN001</t>
        </is>
      </c>
      <c r="E422" s="29" t="inlineStr">
        <is>
          <t>Riyanka Dey</t>
        </is>
      </c>
      <c r="F422" s="29" t="inlineStr">
        <is>
          <t>Technology</t>
        </is>
      </c>
      <c r="G422" s="29" t="inlineStr">
        <is>
          <t>Intern</t>
        </is>
      </c>
      <c r="H422" s="29" t="inlineStr">
        <is>
          <t>Intern – Product Operations &amp; Research</t>
        </is>
      </c>
      <c r="I422" s="29" t="inlineStr">
        <is>
          <t>Not in current mapping files</t>
        </is>
      </c>
      <c r="J422" s="29" t="inlineStr">
        <is>
          <t>A1</t>
        </is>
      </c>
      <c r="K422" s="29" t="inlineStr">
        <is>
          <t>● Newly mapped</t>
        </is>
      </c>
      <c r="L422" s="29" t="inlineStr">
        <is>
          <t>Product Management</t>
        </is>
      </c>
      <c r="M422" s="29" t="inlineStr">
        <is>
          <t>Product Operations &amp; Research</t>
        </is>
      </c>
      <c r="N422" s="29" t="n"/>
      <c r="O422" s="29" t="n">
        <v>20</v>
      </c>
      <c r="P422" s="28" t="inlineStr">
        <is>
          <t>Entry / P1 · intern</t>
        </is>
      </c>
      <c r="Q422" s="29" t="inlineStr">
        <is>
          <t>Entry</t>
        </is>
      </c>
      <c r="R422" s="29" t="inlineStr">
        <is>
          <t>1 Follow</t>
        </is>
      </c>
      <c r="S422" s="29" t="inlineStr">
        <is>
          <t>0 yrs · fresher / intern</t>
        </is>
      </c>
      <c r="T422" s="29" t="inlineStr">
        <is>
          <t>—</t>
        </is>
      </c>
      <c r="U422" s="29" t="inlineStr">
        <is>
          <t>Product Analyst</t>
        </is>
      </c>
      <c r="V422" s="29" t="inlineStr">
        <is>
          <t>—</t>
        </is>
      </c>
      <c r="W422" s="29" t="inlineStr">
        <is>
          <t>Pragmatic Institute Framework · 37 activities, 7 categories; AIPMM</t>
        </is>
      </c>
      <c r="X422" s="29" t="inlineStr">
        <is>
          <t>Core 1 · Future 1 · Functional 1 · Leadership not scored</t>
        </is>
      </c>
      <c r="Y422" s="52" t="n">
        <v>561</v>
      </c>
      <c r="Z422" s="53" t="inlineStr">
        <is>
          <t>IRISDTN001</t>
        </is>
      </c>
      <c r="AA422" s="53" t="inlineStr">
        <is>
          <t>Intern</t>
        </is>
      </c>
      <c r="AB422" s="53" t="inlineStr">
        <is>
          <t>Active</t>
        </is>
      </c>
      <c r="AC422" s="53" t="inlineStr">
        <is>
          <t>Riyanka Dey</t>
        </is>
      </c>
      <c r="AD422" s="54" t="n">
        <v>46240</v>
      </c>
      <c r="AE422" s="53" t="inlineStr">
        <is>
          <t>Intern</t>
        </is>
      </c>
      <c r="AF422" s="53" t="inlineStr">
        <is>
          <t>B.E</t>
        </is>
      </c>
      <c r="AG422" s="53" t="inlineStr">
        <is>
          <t>Nilesh Majumdar</t>
        </is>
      </c>
      <c r="AH422" s="53" t="inlineStr">
        <is>
          <t>N-3</t>
        </is>
      </c>
      <c r="AI422" s="53" t="inlineStr">
        <is>
          <t>Individual Contributor</t>
        </is>
      </c>
      <c r="AJ422" s="53" t="inlineStr">
        <is>
          <t>0 years, 6 months, 0 days</t>
        </is>
      </c>
      <c r="AK422" s="53" t="inlineStr">
        <is>
          <t>0 years, 0 months, 19 days</t>
        </is>
      </c>
      <c r="AL422" s="53" t="inlineStr">
        <is>
          <t>Datatech</t>
        </is>
      </c>
      <c r="AM422" s="53" t="inlineStr">
        <is>
          <t>Datatech</t>
        </is>
      </c>
      <c r="AN422" s="53" t="inlineStr">
        <is>
          <t>Technology</t>
        </is>
      </c>
      <c r="AO422" s="53" t="inlineStr">
        <is>
          <t>Development</t>
        </is>
      </c>
      <c r="AP422" s="53" t="n"/>
      <c r="AQ422" s="53" t="n"/>
      <c r="AR422" s="53" t="inlineStr">
        <is>
          <t>Data Analyst</t>
        </is>
      </c>
      <c r="AS422" s="53" t="n"/>
      <c r="AT422" s="53" t="n">
        <v>20</v>
      </c>
      <c r="AU422" s="53" t="inlineStr">
        <is>
          <t>Covered</t>
        </is>
      </c>
      <c r="AV422" s="53" t="n"/>
      <c r="AW422" s="53" t="n"/>
      <c r="AX422" s="53" t="n"/>
      <c r="AY422" s="53" t="n"/>
      <c r="AZ422" s="53" t="n"/>
      <c r="BA422" s="53" t="n"/>
      <c r="BB422" s="53" t="n"/>
      <c r="BC422" s="53" t="n"/>
      <c r="BD422" s="53" t="n"/>
      <c r="BE422" s="53" t="n"/>
      <c r="BF422" s="53" t="n"/>
      <c r="BG422" s="53" t="n"/>
      <c r="BH422" s="53" t="n"/>
      <c r="BI422" s="53" t="n"/>
      <c r="BJ422" s="53" t="n"/>
      <c r="BK422" s="53" t="n"/>
      <c r="BL422" s="53" t="n"/>
      <c r="BM422" s="53" t="n"/>
      <c r="BN422" s="53" t="n"/>
      <c r="BO422" s="53" t="n"/>
      <c r="BP422" s="53" t="n"/>
      <c r="BQ422" s="53" t="n"/>
      <c r="BR422" s="53" t="n"/>
      <c r="BS422" s="53" t="n"/>
      <c r="BT422" s="53" t="n"/>
      <c r="BU422" s="53" t="n"/>
      <c r="BV422" s="53" t="n"/>
      <c r="BW422" s="53" t="n"/>
      <c r="BX422" s="53" t="n"/>
      <c r="BY422" s="53" t="n"/>
      <c r="BZ422" s="53" t="n"/>
      <c r="CA422" s="53" t="n"/>
      <c r="CB422" s="53" t="n"/>
      <c r="CC422" s="53" t="n"/>
      <c r="CD422" s="53" t="n"/>
      <c r="CE422" s="53" t="n"/>
      <c r="CF422" s="53" t="n"/>
      <c r="CG422" s="53" t="n"/>
      <c r="CH422" s="53" t="n"/>
      <c r="CI422" s="53" t="n"/>
      <c r="CJ422" s="53" t="n"/>
      <c r="CK422" s="53" t="n"/>
      <c r="CL422" s="53" t="n"/>
      <c r="CM422" s="53" t="n"/>
      <c r="CN422" s="53" t="n"/>
      <c r="CO422" s="53" t="n"/>
      <c r="CP422" s="53" t="n"/>
      <c r="CQ422" s="53" t="n"/>
      <c r="CR422" s="53" t="n"/>
      <c r="CS422" s="53" t="n"/>
      <c r="CT422" s="53" t="n"/>
      <c r="CU422" s="53" t="n"/>
      <c r="CV422" s="53" t="n"/>
      <c r="CW422" s="53" t="n"/>
      <c r="CX422" s="53" t="n"/>
      <c r="CY422" s="53" t="n"/>
      <c r="CZ422" s="53" t="n"/>
      <c r="DA422" s="53" t="n"/>
      <c r="DB422" s="53" t="n"/>
      <c r="DC422" s="53" t="n"/>
      <c r="DD422" s="53" t="n"/>
      <c r="DE422" s="53" t="n"/>
      <c r="DF422" s="53" t="n"/>
      <c r="DG422" s="53" t="n"/>
      <c r="DH422" s="53" t="n"/>
      <c r="DI422" s="53" t="n"/>
      <c r="DJ422" s="53" t="n"/>
      <c r="DK422" s="53" t="n"/>
      <c r="DL422" s="53" t="n"/>
      <c r="DM422" s="53" t="n"/>
      <c r="DN422" s="53" t="n"/>
      <c r="DO422" s="53" t="n"/>
      <c r="DP422" s="53" t="n"/>
      <c r="DQ422" s="53" t="n"/>
      <c r="DR422" s="53" t="n"/>
      <c r="DS422" s="53" t="n"/>
      <c r="DT422" s="53" t="n"/>
      <c r="DU422" s="53" t="n"/>
      <c r="DV422" s="53" t="n"/>
      <c r="DW422" s="53" t="n"/>
      <c r="DX422" s="53" t="n"/>
      <c r="DY422" s="53" t="n"/>
      <c r="DZ422" s="53" t="n"/>
      <c r="EA422" s="53" t="n"/>
      <c r="EB422" s="53" t="n"/>
      <c r="EC422" s="53" t="n"/>
      <c r="ED422" s="53" t="n"/>
      <c r="EE422" s="53" t="n"/>
      <c r="EF422" s="53" t="n"/>
      <c r="EG422" s="53" t="n"/>
      <c r="EH422" s="53" t="n"/>
      <c r="EI422" s="53" t="n"/>
      <c r="EJ422" s="53" t="n"/>
      <c r="EK422" s="53" t="n"/>
      <c r="EL422" s="53" t="n"/>
      <c r="EM422" s="53" t="n"/>
      <c r="EN422" s="53" t="n"/>
      <c r="EO422" s="53" t="n"/>
      <c r="EP422" s="53" t="n"/>
      <c r="EQ422" s="53" t="n"/>
      <c r="ER422" s="53" t="n"/>
      <c r="ES422" s="53" t="n"/>
      <c r="ET422" s="53" t="n"/>
      <c r="EU422" s="53" t="n"/>
      <c r="EV422" s="53" t="n"/>
      <c r="EW422" s="52" t="n"/>
      <c r="EX422" s="53" t="n"/>
      <c r="EY422" s="53" t="n"/>
      <c r="EZ422" s="53" t="n"/>
      <c r="FA422" s="53" t="n"/>
      <c r="FB422" s="53" t="n"/>
      <c r="FC422" s="53" t="n"/>
      <c r="FD422" s="53" t="n"/>
      <c r="FE422" s="55" t="inlineStr">
        <is>
          <t>KRAs not received · manager to supply</t>
        </is>
      </c>
      <c r="FF422" s="56" t="n"/>
      <c r="FG422" s="56" t="n"/>
      <c r="FH422" s="56" t="n"/>
      <c r="FI422" s="56" t="n"/>
      <c r="FJ422" s="32" t="inlineStr">
        <is>
          <t>KRAs not received · manager to supply</t>
        </is>
      </c>
      <c r="FK422" s="56" t="n"/>
      <c r="FL422" s="56" t="n">
        <v>20</v>
      </c>
      <c r="FM422" s="32" t="inlineStr">
        <is>
          <t>Full survey answers not in the files received · How We Grow export needed · HR</t>
        </is>
      </c>
      <c r="FN422" s="56" t="inlineStr">
        <is>
          <t>—</t>
        </is>
      </c>
      <c r="FO422" s="56" t="inlineStr">
        <is>
          <t>—</t>
        </is>
      </c>
      <c r="FP422" s="56" t="inlineStr">
        <is>
          <t>—</t>
        </is>
      </c>
      <c r="FQ422" s="56" t="inlineStr">
        <is>
          <t>—</t>
        </is>
      </c>
      <c r="FR422" s="56" t="n"/>
      <c r="FS422" s="56" t="n"/>
      <c r="FT422" s="56" t="inlineStr">
        <is>
          <t>Self-identified: Domain, regulatory &amp; XBRL · Product &amp; tool knowledge · Strategy &amp; business acumen · Broader exposure &amp; ownership
For the next role: Domain, regulatory &amp; XBRL · Product &amp; tool knowledge · Strategy &amp; business acumen · Broader exposure &amp; ownership</t>
        </is>
      </c>
      <c r="FU422" s="32" t="inlineStr">
        <is>
          <t>Full survey answers not in the files received · How We Grow export needed · HR</t>
        </is>
      </c>
    </row>
    <row r="423" ht="90" customHeight="1">
      <c r="A423" s="51" t="inlineStr">
        <is>
          <t>◂ Back</t>
        </is>
      </c>
      <c r="B423" s="29" t="inlineStr">
        <is>
          <t>Mapped</t>
        </is>
      </c>
      <c r="C423" s="28" t="inlineStr">
        <is>
          <t>Datatech</t>
        </is>
      </c>
      <c r="D423" s="29" t="inlineStr">
        <is>
          <t>IRISDT0011</t>
        </is>
      </c>
      <c r="E423" s="29" t="inlineStr">
        <is>
          <t>Raghin Nair</t>
        </is>
      </c>
      <c r="F423" s="29" t="inlineStr">
        <is>
          <t>Datatech - Outreach</t>
        </is>
      </c>
      <c r="G423" s="29" t="inlineStr">
        <is>
          <t>Program Lead</t>
        </is>
      </c>
      <c r="H423" s="29" t="inlineStr">
        <is>
          <t>Program Manager – Outreach</t>
        </is>
      </c>
      <c r="I423" s="29" t="inlineStr">
        <is>
          <t>L5 – Lead · IC</t>
        </is>
      </c>
      <c r="J423" s="29" t="inlineStr">
        <is>
          <t>B2</t>
        </is>
      </c>
      <c r="K423" s="29" t="inlineStr">
        <is>
          <t>▼ Down · protected</t>
        </is>
      </c>
      <c r="L423" s="29" t="inlineStr">
        <is>
          <t>Sales &amp; Business Development</t>
        </is>
      </c>
      <c r="M423" s="29" t="inlineStr">
        <is>
          <t>Field Outreach &amp; Programme Sales</t>
        </is>
      </c>
      <c r="N423" s="29" t="n"/>
      <c r="O423" s="29" t="n">
        <v>20</v>
      </c>
      <c r="P423" s="28" t="inlineStr">
        <is>
          <t>P4 / M3</t>
        </is>
      </c>
      <c r="Q423" s="29" t="inlineStr">
        <is>
          <t>Senior / Manager</t>
        </is>
      </c>
      <c r="R423" s="29" t="inlineStr">
        <is>
          <t>4–5</t>
        </is>
      </c>
      <c r="S423" s="29" t="inlineStr">
        <is>
          <t>6–9 yrs</t>
        </is>
      </c>
      <c r="T423" s="29" t="inlineStr">
        <is>
          <t>7–10 · 6–11</t>
        </is>
      </c>
      <c r="U423" s="29" t="inlineStr">
        <is>
          <t>Manager</t>
        </is>
      </c>
      <c r="V423" s="29" t="inlineStr">
        <is>
          <t>IRIS Vs Competitor Benchmark — SaaS sales ladder — IC: Mid-Market AE · IRIS Vs Competitor Benchmark — SaaS sales ladder — management: Sales Manager</t>
        </is>
      </c>
      <c r="W423" s="29" t="inlineStr">
        <is>
          <t>SaaS sales ladder · SDR → AE → Enterprise AE → VP / CRO; MEDDICC-style qualification</t>
        </is>
      </c>
      <c r="X423" s="29" t="inlineStr">
        <is>
          <t>Core 3 · Future 3 · Functional 4 · Leadership 3</t>
        </is>
      </c>
      <c r="Y423" s="52" t="n">
        <v>546</v>
      </c>
      <c r="Z423" s="53" t="inlineStr">
        <is>
          <t>IRISDT0011</t>
        </is>
      </c>
      <c r="AA423" s="53" t="inlineStr">
        <is>
          <t>Employee</t>
        </is>
      </c>
      <c r="AB423" s="53" t="inlineStr">
        <is>
          <t>Active</t>
        </is>
      </c>
      <c r="AC423" s="53" t="inlineStr">
        <is>
          <t>Raghin Nair</t>
        </is>
      </c>
      <c r="AD423" s="54" t="n">
        <v>45946</v>
      </c>
      <c r="AE423" s="53" t="inlineStr">
        <is>
          <t>Program Lead</t>
        </is>
      </c>
      <c r="AF423" s="53" t="inlineStr">
        <is>
          <t>B.Com</t>
        </is>
      </c>
      <c r="AG423" s="53" t="inlineStr">
        <is>
          <t>Shilpa Dhobale</t>
        </is>
      </c>
      <c r="AH423" s="53" t="inlineStr">
        <is>
          <t>N-2</t>
        </is>
      </c>
      <c r="AI423" s="53" t="inlineStr">
        <is>
          <t>Manager</t>
        </is>
      </c>
      <c r="AJ423" s="53" t="inlineStr">
        <is>
          <t>18 years, 6 months, 0 days</t>
        </is>
      </c>
      <c r="AK423" s="53" t="inlineStr">
        <is>
          <t>0 years, 10 months, 9 days</t>
        </is>
      </c>
      <c r="AL423" s="53" t="inlineStr">
        <is>
          <t>Datatech</t>
        </is>
      </c>
      <c r="AM423" s="53" t="inlineStr">
        <is>
          <t>Datatech</t>
        </is>
      </c>
      <c r="AN423" s="53" t="inlineStr">
        <is>
          <t>Datatech - Outreach</t>
        </is>
      </c>
      <c r="AO423" s="53" t="inlineStr">
        <is>
          <t>Sales</t>
        </is>
      </c>
      <c r="AP423" s="53" t="inlineStr">
        <is>
          <t>No</t>
        </is>
      </c>
      <c r="AQ423" s="53" t="inlineStr">
        <is>
          <t>Sales, Marketing &amp; Support</t>
        </is>
      </c>
      <c r="AR423" s="53" t="inlineStr">
        <is>
          <t>Sales</t>
        </is>
      </c>
      <c r="AS423" s="53" t="inlineStr">
        <is>
          <t>Technical · BA, PM and QA</t>
        </is>
      </c>
      <c r="AT423" s="53" t="n">
        <v>20</v>
      </c>
      <c r="AU423" s="53" t="inlineStr">
        <is>
          <t>Covered</t>
        </is>
      </c>
      <c r="AV423" s="53" t="n"/>
      <c r="AW423" s="53" t="n"/>
      <c r="AX423" s="53" t="n"/>
      <c r="AY423" s="53" t="n"/>
      <c r="AZ423" s="53" t="n"/>
      <c r="BA423" s="53" t="n"/>
      <c r="BB423" s="53" t="n"/>
      <c r="BC423" s="53" t="n"/>
      <c r="BD423" s="53" t="n"/>
      <c r="BE423" s="53" t="n"/>
      <c r="BF423" s="53" t="n"/>
      <c r="BG423" s="53" t="n"/>
      <c r="BH423" s="53" t="n"/>
      <c r="BI423" s="53" t="n"/>
      <c r="BJ423" s="53" t="n"/>
      <c r="BK423" s="53" t="n"/>
      <c r="BL423" s="53" t="n"/>
      <c r="BM423" s="53" t="n"/>
      <c r="BN423" s="53" t="n"/>
      <c r="BO423" s="53" t="n"/>
      <c r="BP423" s="53" t="n"/>
      <c r="BQ423" s="53" t="n"/>
      <c r="BR423" s="53" t="n"/>
      <c r="BS423" s="53" t="n"/>
      <c r="BT423" s="53" t="n"/>
      <c r="BU423" s="53" t="n"/>
      <c r="BV423" s="53" t="n"/>
      <c r="BW423" s="53" t="n"/>
      <c r="BX423" s="53" t="n"/>
      <c r="BY423" s="53" t="n"/>
      <c r="BZ423" s="53" t="n"/>
      <c r="CA423" s="53" t="n"/>
      <c r="CB423" s="53" t="n"/>
      <c r="CC423" s="53" t="n"/>
      <c r="CD423" s="53" t="n"/>
      <c r="CE423" s="53" t="n"/>
      <c r="CF423" s="53" t="n"/>
      <c r="CG423" s="53" t="n"/>
      <c r="CH423" s="53" t="n"/>
      <c r="CI423" s="53" t="n"/>
      <c r="CJ423" s="53" t="n"/>
      <c r="CK423" s="53" t="n"/>
      <c r="CL423" s="53" t="n"/>
      <c r="CM423" s="53" t="n"/>
      <c r="CN423" s="53" t="n"/>
      <c r="CO423" s="53" t="n"/>
      <c r="CP423" s="53" t="n"/>
      <c r="CQ423" s="53" t="n"/>
      <c r="CR423" s="53" t="n"/>
      <c r="CS423" s="53" t="n"/>
      <c r="CT423" s="53" t="n"/>
      <c r="CU423" s="53" t="n"/>
      <c r="CV423" s="53" t="n"/>
      <c r="CW423" s="53" t="n"/>
      <c r="CX423" s="53" t="n"/>
      <c r="CY423" s="53" t="n"/>
      <c r="CZ423" s="53" t="n"/>
      <c r="DA423" s="53" t="n"/>
      <c r="DB423" s="53" t="n"/>
      <c r="DC423" s="53" t="n"/>
      <c r="DD423" s="53" t="inlineStr">
        <is>
          <t>IRIS2439</t>
        </is>
      </c>
      <c r="DE423" s="53" t="inlineStr">
        <is>
          <t>Employee</t>
        </is>
      </c>
      <c r="DF423" s="53" t="inlineStr">
        <is>
          <t>Active</t>
        </is>
      </c>
      <c r="DG423" s="53" t="inlineStr">
        <is>
          <t>Raghin Nair</t>
        </is>
      </c>
      <c r="DH423" s="54" t="n">
        <v>45946</v>
      </c>
      <c r="DI423" s="53" t="inlineStr">
        <is>
          <t>Program Lead</t>
        </is>
      </c>
      <c r="DJ423" s="53" t="inlineStr">
        <is>
          <t>Project &amp; Program Management</t>
        </is>
      </c>
      <c r="DK423" s="53" t="inlineStr">
        <is>
          <t>Program Management</t>
        </is>
      </c>
      <c r="DL423" s="53" t="inlineStr">
        <is>
          <t>Program Lead</t>
        </is>
      </c>
      <c r="DM423" s="53" t="inlineStr">
        <is>
          <t>L5 – Lead · IC</t>
        </is>
      </c>
      <c r="DN423" s="53" t="inlineStr">
        <is>
          <t>B.Com</t>
        </is>
      </c>
      <c r="DO423" s="53" t="inlineStr">
        <is>
          <t>Shilpa Dhobale</t>
        </is>
      </c>
      <c r="DP423" s="53" t="inlineStr">
        <is>
          <t>N-2</t>
        </is>
      </c>
      <c r="DQ423" s="53" t="inlineStr">
        <is>
          <t>Manager</t>
        </is>
      </c>
      <c r="DR423" s="53" t="inlineStr">
        <is>
          <t>18 years, 6 months, 0 days</t>
        </is>
      </c>
      <c r="DS423" s="53" t="inlineStr">
        <is>
          <t>0 years, 8 months, 4 days</t>
        </is>
      </c>
      <c r="DT423" s="53" t="inlineStr">
        <is>
          <t>19 years, 2 months, 4 days</t>
        </is>
      </c>
      <c r="DU423" s="53" t="n">
        <v>0.677625570776256</v>
      </c>
      <c r="DV423" s="53" t="inlineStr">
        <is>
          <t>Datatech</t>
        </is>
      </c>
      <c r="DW423" s="53" t="inlineStr">
        <is>
          <t>Datatech</t>
        </is>
      </c>
      <c r="DX423" s="53" t="inlineStr">
        <is>
          <t>Datatech - Outreach</t>
        </is>
      </c>
      <c r="DY423" s="53" t="inlineStr">
        <is>
          <t>Client Engagement</t>
        </is>
      </c>
      <c r="DZ423" s="53" t="inlineStr">
        <is>
          <t>No</t>
        </is>
      </c>
      <c r="EA423" s="53" t="inlineStr">
        <is>
          <t>Client Engagement</t>
        </is>
      </c>
      <c r="EB423" s="53" t="inlineStr">
        <is>
          <t>Product Management</t>
        </is>
      </c>
      <c r="EC423" s="53" t="inlineStr">
        <is>
          <t>Technical · BA, PM and QA</t>
        </is>
      </c>
      <c r="ED423" s="53" t="inlineStr">
        <is>
          <t>Turbhe</t>
        </is>
      </c>
      <c r="EE423" s="53" t="n"/>
      <c r="EF423" s="53" t="n"/>
      <c r="EG423" s="53" t="n"/>
      <c r="EH423" s="53" t="n">
        <v>3</v>
      </c>
      <c r="EI423" s="53" t="n"/>
      <c r="EJ423" s="53" t="inlineStr">
        <is>
          <t>Program Lead</t>
        </is>
      </c>
      <c r="EK423" s="53" t="inlineStr">
        <is>
          <t>Yes</t>
        </is>
      </c>
      <c r="EL423" s="53" t="n">
        <v>3</v>
      </c>
      <c r="EM423" s="53" t="n">
        <v>3</v>
      </c>
      <c r="EN423" s="53" t="inlineStr">
        <is>
          <t>Core Contributor</t>
        </is>
      </c>
      <c r="EO423" s="53" t="inlineStr">
        <is>
          <t>No</t>
        </is>
      </c>
      <c r="EP423" s="53" t="inlineStr">
        <is>
          <t>No</t>
        </is>
      </c>
      <c r="EQ423" s="53" t="inlineStr">
        <is>
          <t>Yes</t>
        </is>
      </c>
      <c r="ER423" s="53" t="n"/>
      <c r="ES423" s="53" t="n"/>
      <c r="ET423" s="53" t="n"/>
      <c r="EU423" s="53" t="n"/>
      <c r="EV423" s="53" t="inlineStr">
        <is>
          <t>All</t>
        </is>
      </c>
      <c r="EW423" s="52" t="n"/>
      <c r="EX423" s="53" t="n"/>
      <c r="EY423" s="53" t="n"/>
      <c r="EZ423" s="53" t="n"/>
      <c r="FA423" s="53" t="n"/>
      <c r="FB423" s="53" t="n"/>
      <c r="FC423" s="53" t="n"/>
      <c r="FD423" s="53" t="inlineStr">
        <is>
          <t>IRIS2439</t>
        </is>
      </c>
      <c r="FE423" s="55" t="inlineStr">
        <is>
          <t>KRAs not received · manager to supply</t>
        </is>
      </c>
      <c r="FF423" s="56" t="n"/>
      <c r="FG423" s="56" t="n"/>
      <c r="FH423" s="56" t="inlineStr">
        <is>
          <t>3</t>
        </is>
      </c>
      <c r="FI423" s="56" t="n"/>
      <c r="FJ423" s="32" t="inlineStr">
        <is>
          <t>KRAs not received · manager to supply</t>
        </is>
      </c>
      <c r="FK423" s="56" t="inlineStr">
        <is>
          <t>Talent Mapping · Datatech</t>
        </is>
      </c>
      <c r="FL423" s="56" t="n">
        <v>20</v>
      </c>
      <c r="FM423" s="32" t="inlineStr">
        <is>
          <t>Full survey answers not in the files received · How We Grow export needed · HR</t>
        </is>
      </c>
      <c r="FN423" s="56" t="inlineStr">
        <is>
          <t>—</t>
        </is>
      </c>
      <c r="FO423" s="56" t="inlineStr">
        <is>
          <t>—</t>
        </is>
      </c>
      <c r="FP423" s="56" t="inlineStr">
        <is>
          <t>—</t>
        </is>
      </c>
      <c r="FQ423" s="56" t="inlineStr">
        <is>
          <t>—</t>
        </is>
      </c>
      <c r="FR423" s="56"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business targets → matches the start
Leadership: Evidence reads like B2: Lists team management and team performance; 6 direct reports → matches the start
Business Impact: Moved +0.5: the survey / manager mapping marks it business-critical.</t>
        </is>
      </c>
      <c r="FS423"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FT423" s="56" t="inlineStr">
        <is>
          <t>Self-identified: Data, SQL &amp; analytics · Client, sales &amp; stakeholders · Strategy &amp; business acumen
For the next role: Data, SQL &amp; analytics · Client, sales &amp; stakeholders · Strategy &amp; business acumen</t>
        </is>
      </c>
      <c r="FU423" s="32" t="inlineStr">
        <is>
          <t>Full survey answers not in the files received · How We Grow export needed · HR</t>
        </is>
      </c>
    </row>
    <row r="424" ht="90" customHeight="1">
      <c r="A424" s="51" t="inlineStr">
        <is>
          <t>◂ Back</t>
        </is>
      </c>
      <c r="B424" s="29" t="inlineStr">
        <is>
          <t>Mapped</t>
        </is>
      </c>
      <c r="C424" s="28" t="inlineStr">
        <is>
          <t>Datatech</t>
        </is>
      </c>
      <c r="D424" s="29" t="inlineStr">
        <is>
          <t>IRISDT0012</t>
        </is>
      </c>
      <c r="E424" s="29" t="inlineStr">
        <is>
          <t>Jeevan Khokale</t>
        </is>
      </c>
      <c r="F424" s="29" t="inlineStr">
        <is>
          <t>Datatech - Outreach</t>
        </is>
      </c>
      <c r="G424" s="29" t="inlineStr">
        <is>
          <t>Program Manager</t>
        </is>
      </c>
      <c r="H424" s="29" t="inlineStr">
        <is>
          <t>Senior Program Specialist – POD Lead</t>
        </is>
      </c>
      <c r="I424" s="29" t="inlineStr">
        <is>
          <t>L5 – Manager</t>
        </is>
      </c>
      <c r="J424" s="29" t="inlineStr">
        <is>
          <t>B2</t>
        </is>
      </c>
      <c r="K424" s="29" t="inlineStr">
        <is>
          <t>• Same level</t>
        </is>
      </c>
      <c r="L424" s="29" t="inlineStr">
        <is>
          <t>Sales &amp; Business Development</t>
        </is>
      </c>
      <c r="M424" s="29" t="inlineStr">
        <is>
          <t>Field Outreach &amp; Programme Sales</t>
        </is>
      </c>
      <c r="N424" s="29" t="n"/>
      <c r="O424" s="29" t="n">
        <v>20</v>
      </c>
      <c r="P424" s="28" t="inlineStr">
        <is>
          <t>P4 / M3</t>
        </is>
      </c>
      <c r="Q424" s="29" t="inlineStr">
        <is>
          <t>Senior / Manager</t>
        </is>
      </c>
      <c r="R424" s="29" t="inlineStr">
        <is>
          <t>4–5</t>
        </is>
      </c>
      <c r="S424" s="29" t="inlineStr">
        <is>
          <t>6–9 yrs</t>
        </is>
      </c>
      <c r="T424" s="29" t="inlineStr">
        <is>
          <t>7–10 · 6–11</t>
        </is>
      </c>
      <c r="U424" s="29" t="inlineStr">
        <is>
          <t>Senior Account Executive</t>
        </is>
      </c>
      <c r="V424" s="29" t="inlineStr">
        <is>
          <t>IRIS Vs Competitor Benchmark — SaaS sales ladder — IC: Mid-Market AE · IRIS Vs Competitor Benchmark — SaaS sales ladder — management: Sales Manager</t>
        </is>
      </c>
      <c r="W424" s="29" t="inlineStr">
        <is>
          <t>SaaS sales ladder · SDR → AE → Enterprise AE → VP / CRO; MEDDICC-style qualification</t>
        </is>
      </c>
      <c r="X424" s="29" t="inlineStr">
        <is>
          <t>Core 3 · Future 3 · Functional 4 · Leadership 3</t>
        </is>
      </c>
      <c r="Y424" s="52" t="n">
        <v>548</v>
      </c>
      <c r="Z424" s="53" t="inlineStr">
        <is>
          <t>IRISDT0012</t>
        </is>
      </c>
      <c r="AA424" s="53" t="inlineStr">
        <is>
          <t>Employee</t>
        </is>
      </c>
      <c r="AB424" s="53" t="inlineStr">
        <is>
          <t>Active</t>
        </is>
      </c>
      <c r="AC424" s="53" t="inlineStr">
        <is>
          <t>Jeevan Khokale</t>
        </is>
      </c>
      <c r="AD424" s="54" t="n">
        <v>46027</v>
      </c>
      <c r="AE424" s="53" t="inlineStr">
        <is>
          <t>Program Manager</t>
        </is>
      </c>
      <c r="AF424" s="53" t="inlineStr">
        <is>
          <t>MBA</t>
        </is>
      </c>
      <c r="AG424" s="53" t="inlineStr">
        <is>
          <t>Raghin Nair</t>
        </is>
      </c>
      <c r="AH424" s="53" t="inlineStr">
        <is>
          <t>N-3</t>
        </is>
      </c>
      <c r="AI424" s="53" t="inlineStr">
        <is>
          <t>Manager</t>
        </is>
      </c>
      <c r="AJ424" s="53" t="inlineStr">
        <is>
          <t>7 years, 3 months, 0 days</t>
        </is>
      </c>
      <c r="AK424" s="53" t="inlineStr">
        <is>
          <t>0 years, 7 months, 20 days</t>
        </is>
      </c>
      <c r="AL424" s="53" t="inlineStr">
        <is>
          <t>Datatech</t>
        </is>
      </c>
      <c r="AM424" s="53" t="inlineStr">
        <is>
          <t>Datatech</t>
        </is>
      </c>
      <c r="AN424" s="53" t="inlineStr">
        <is>
          <t>Datatech - Outreach</t>
        </is>
      </c>
      <c r="AO424" s="53" t="inlineStr">
        <is>
          <t>Sales</t>
        </is>
      </c>
      <c r="AP424" s="53" t="inlineStr">
        <is>
          <t>No</t>
        </is>
      </c>
      <c r="AQ424" s="53" t="inlineStr">
        <is>
          <t>Sales, Marketing &amp; Support</t>
        </is>
      </c>
      <c r="AR424" s="53" t="inlineStr">
        <is>
          <t>Sales</t>
        </is>
      </c>
      <c r="AS424" s="53" t="inlineStr">
        <is>
          <t>Non-technical</t>
        </is>
      </c>
      <c r="AT424" s="53" t="n">
        <v>20</v>
      </c>
      <c r="AU424" s="53" t="inlineStr">
        <is>
          <t>Covered</t>
        </is>
      </c>
      <c r="AV424" s="53" t="n"/>
      <c r="AW424" s="53" t="n"/>
      <c r="AX424" s="53" t="n"/>
      <c r="AY424" s="53" t="n"/>
      <c r="AZ424" s="53" t="n"/>
      <c r="BA424" s="53" t="n"/>
      <c r="BB424" s="53" t="n"/>
      <c r="BC424" s="53" t="n"/>
      <c r="BD424" s="53" t="n"/>
      <c r="BE424" s="53" t="n"/>
      <c r="BF424" s="53" t="n"/>
      <c r="BG424" s="53" t="n"/>
      <c r="BH424" s="53" t="n"/>
      <c r="BI424" s="53" t="n"/>
      <c r="BJ424" s="53" t="n"/>
      <c r="BK424" s="53" t="n"/>
      <c r="BL424" s="53" t="n"/>
      <c r="BM424" s="53" t="n"/>
      <c r="BN424" s="53" t="n"/>
      <c r="BO424" s="53" t="n"/>
      <c r="BP424" s="53" t="n"/>
      <c r="BQ424" s="53" t="n"/>
      <c r="BR424" s="53" t="n"/>
      <c r="BS424" s="53" t="n"/>
      <c r="BT424" s="53" t="n"/>
      <c r="BU424" s="53" t="n"/>
      <c r="BV424" s="53" t="n"/>
      <c r="BW424" s="53" t="n"/>
      <c r="BX424" s="53" t="n"/>
      <c r="BY424" s="53" t="n"/>
      <c r="BZ424" s="53" t="n"/>
      <c r="CA424" s="53" t="n"/>
      <c r="CB424" s="53" t="n"/>
      <c r="CC424" s="53" t="n"/>
      <c r="CD424" s="53" t="n"/>
      <c r="CE424" s="53" t="n"/>
      <c r="CF424" s="53" t="n"/>
      <c r="CG424" s="53" t="n"/>
      <c r="CH424" s="53" t="n"/>
      <c r="CI424" s="53" t="n"/>
      <c r="CJ424" s="53" t="n"/>
      <c r="CK424" s="53" t="n"/>
      <c r="CL424" s="53" t="n"/>
      <c r="CM424" s="53" t="n"/>
      <c r="CN424" s="53" t="n"/>
      <c r="CO424" s="53" t="n"/>
      <c r="CP424" s="53" t="n"/>
      <c r="CQ424" s="53" t="n"/>
      <c r="CR424" s="53" t="n"/>
      <c r="CS424" s="53" t="n"/>
      <c r="CT424" s="53" t="n"/>
      <c r="CU424" s="53" t="n"/>
      <c r="CV424" s="53" t="n"/>
      <c r="CW424" s="53" t="n"/>
      <c r="CX424" s="53" t="n"/>
      <c r="CY424" s="53" t="n"/>
      <c r="CZ424" s="53" t="n"/>
      <c r="DA424" s="53" t="n"/>
      <c r="DB424" s="53" t="n"/>
      <c r="DC424" s="53" t="n"/>
      <c r="DD424" s="53" t="inlineStr">
        <is>
          <t>IRIS2460</t>
        </is>
      </c>
      <c r="DE424" s="53" t="inlineStr">
        <is>
          <t>Employee</t>
        </is>
      </c>
      <c r="DF424" s="53" t="inlineStr">
        <is>
          <t>Active</t>
        </is>
      </c>
      <c r="DG424" s="53" t="inlineStr">
        <is>
          <t>Jeevan Khokale</t>
        </is>
      </c>
      <c r="DH424" s="54" t="n">
        <v>46027</v>
      </c>
      <c r="DI424" s="53" t="inlineStr">
        <is>
          <t>Program Manager</t>
        </is>
      </c>
      <c r="DJ424" s="53" t="inlineStr">
        <is>
          <t>Project &amp; Program Management</t>
        </is>
      </c>
      <c r="DK424" s="53" t="inlineStr">
        <is>
          <t>Program Management</t>
        </is>
      </c>
      <c r="DL424" s="53" t="inlineStr">
        <is>
          <t>Program Manager</t>
        </is>
      </c>
      <c r="DM424" s="53" t="inlineStr">
        <is>
          <t>L5 – Manager</t>
        </is>
      </c>
      <c r="DN424" s="53" t="inlineStr">
        <is>
          <t>MBA</t>
        </is>
      </c>
      <c r="DO424" s="53" t="inlineStr">
        <is>
          <t>Raghin Nair</t>
        </is>
      </c>
      <c r="DP424" s="53" t="inlineStr">
        <is>
          <t>N-3</t>
        </is>
      </c>
      <c r="DQ424" s="53" t="inlineStr">
        <is>
          <t>Manager</t>
        </is>
      </c>
      <c r="DR424" s="53" t="inlineStr">
        <is>
          <t>7 years, 3 months, 0 days</t>
        </is>
      </c>
      <c r="DS424" s="53" t="inlineStr">
        <is>
          <t>0 years, 5 months, 15 days</t>
        </is>
      </c>
      <c r="DT424" s="53" t="inlineStr">
        <is>
          <t>7 years, 8 months, 15 days</t>
        </is>
      </c>
      <c r="DU424" s="53" t="n">
        <v>0.457762557077626</v>
      </c>
      <c r="DV424" s="53" t="inlineStr">
        <is>
          <t>Datatech</t>
        </is>
      </c>
      <c r="DW424" s="53" t="inlineStr">
        <is>
          <t>Datatech</t>
        </is>
      </c>
      <c r="DX424" s="53" t="inlineStr">
        <is>
          <t>Datatech - Outreach</t>
        </is>
      </c>
      <c r="DY424" s="53" t="inlineStr">
        <is>
          <t>Sales</t>
        </is>
      </c>
      <c r="DZ424" s="53" t="inlineStr">
        <is>
          <t>No</t>
        </is>
      </c>
      <c r="EA424" s="53" t="inlineStr">
        <is>
          <t>Sales, Marketing &amp; Support</t>
        </is>
      </c>
      <c r="EB424" s="53" t="inlineStr">
        <is>
          <t>Sales</t>
        </is>
      </c>
      <c r="EC424" s="53" t="inlineStr">
        <is>
          <t>Non-technical</t>
        </is>
      </c>
      <c r="ED424" s="53" t="inlineStr">
        <is>
          <t>Bengaluru</t>
        </is>
      </c>
      <c r="EE424" s="53" t="n"/>
      <c r="EF424" s="53"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EG424" s="53"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EH424" s="53" t="n">
        <v>3</v>
      </c>
      <c r="EI424" s="54" t="n">
        <v>46199</v>
      </c>
      <c r="EJ424" s="53" t="inlineStr">
        <is>
          <t>Program Manager</t>
        </is>
      </c>
      <c r="EK424" s="53" t="inlineStr">
        <is>
          <t>No</t>
        </is>
      </c>
      <c r="EL424" s="53" t="n">
        <v>3</v>
      </c>
      <c r="EM424" s="53" t="inlineStr">
        <is>
          <t>Medium</t>
        </is>
      </c>
      <c r="EN424" s="53" t="inlineStr">
        <is>
          <t>Core Contributor</t>
        </is>
      </c>
      <c r="EO424" s="53" t="inlineStr">
        <is>
          <t>No</t>
        </is>
      </c>
      <c r="EP424" s="53" t="inlineStr">
        <is>
          <t>Yes</t>
        </is>
      </c>
      <c r="EQ424" s="53" t="inlineStr">
        <is>
          <t>No</t>
        </is>
      </c>
      <c r="ER424" s="53" t="n"/>
      <c r="ES424" s="53" t="inlineStr">
        <is>
          <t>Product knowledge · loan/BHR products; Objection handling; Sales approach/pitch technique</t>
        </is>
      </c>
      <c r="ET424" s="53" t="inlineStr">
        <is>
          <t>Target role: Onground Team Lead · formalizing existing informal management of Lakshmikanth. Development: team-lead training - performance management, coaching juniors, structured 1:1s. Review date: 31-08-2026</t>
        </is>
      </c>
      <c r="EU424" s="53" t="n"/>
      <c r="EV424" s="53" t="inlineStr">
        <is>
          <t>Peridot App</t>
        </is>
      </c>
      <c r="EW424" s="52" t="n"/>
      <c r="EX424" s="53" t="n"/>
      <c r="EY424" s="53" t="n"/>
      <c r="EZ424" s="53" t="n"/>
      <c r="FA424" s="53" t="n"/>
      <c r="FB424" s="53" t="n"/>
      <c r="FC424" s="53" t="n"/>
      <c r="FD424" s="53" t="inlineStr">
        <is>
          <t>IRIS2460</t>
        </is>
      </c>
      <c r="FE424" s="57"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FF424" s="56"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FG424" s="56" t="n"/>
      <c r="FH424" s="56" t="inlineStr">
        <is>
          <t>3</t>
        </is>
      </c>
      <c r="FI424" s="56" t="n"/>
      <c r="FJ424" s="56" t="inlineStr">
        <is>
          <t>Received · manager annual, quarterly</t>
        </is>
      </c>
      <c r="FK424" s="56" t="inlineStr">
        <is>
          <t>Talent Mapping · Datatech</t>
        </is>
      </c>
      <c r="FL424" s="56" t="n">
        <v>20</v>
      </c>
      <c r="FM424" s="32" t="inlineStr">
        <is>
          <t>Full survey answers not in the files received · How We Grow export needed · HR</t>
        </is>
      </c>
      <c r="FN424" s="56" t="inlineStr">
        <is>
          <t>—</t>
        </is>
      </c>
      <c r="FO424" s="56" t="inlineStr">
        <is>
          <t>—</t>
        </is>
      </c>
      <c r="FP424" s="56" t="inlineStr">
        <is>
          <t>—</t>
        </is>
      </c>
      <c r="FQ424" s="56" t="inlineStr">
        <is>
          <t>—</t>
        </is>
      </c>
      <c r="FR424" s="56"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relationships; missed work loses business → moved down 0.8
Leadership: Evidence reads like A2: No guidance of others described; HR shows 1 report → moved down 1
Business Impact: No survey or manager-mapping signal on criticality: kept at the start point.</t>
        </is>
      </c>
      <c r="FS424"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FT424" s="56"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FU424" s="32" t="inlineStr">
        <is>
          <t>Full survey answers not in the files received · How We Grow export needed · HR</t>
        </is>
      </c>
    </row>
    <row r="425" ht="90" customHeight="1">
      <c r="A425" s="51" t="inlineStr">
        <is>
          <t>◂ Back</t>
        </is>
      </c>
      <c r="B425" s="29" t="inlineStr">
        <is>
          <t>Mapped</t>
        </is>
      </c>
      <c r="C425" s="28" t="inlineStr">
        <is>
          <t>Datatech</t>
        </is>
      </c>
      <c r="D425" s="29" t="inlineStr">
        <is>
          <t>IRISDT0017</t>
        </is>
      </c>
      <c r="E425" s="29" t="inlineStr">
        <is>
          <t>Lakshmikantha RN</t>
        </is>
      </c>
      <c r="F425" s="29" t="inlineStr">
        <is>
          <t>Datatech - Outreach</t>
        </is>
      </c>
      <c r="G425" s="29" t="inlineStr">
        <is>
          <t>Program Executive - MSME</t>
        </is>
      </c>
      <c r="H425" s="29" t="inlineStr">
        <is>
          <t>Senior Program Executive</t>
        </is>
      </c>
      <c r="I425" s="29" t="inlineStr">
        <is>
          <t>L3 – Professional / Associate</t>
        </is>
      </c>
      <c r="J425" s="29" t="inlineStr">
        <is>
          <t>A3</t>
        </is>
      </c>
      <c r="K425" s="29" t="inlineStr">
        <is>
          <t>▲ Up</t>
        </is>
      </c>
      <c r="L425" s="29" t="inlineStr">
        <is>
          <t>Sales &amp; Business Development</t>
        </is>
      </c>
      <c r="M425" s="29" t="inlineStr">
        <is>
          <t>Field Outreach &amp; Programme Sales</t>
        </is>
      </c>
      <c r="N425" s="29" t="n"/>
      <c r="O425" s="29" t="n">
        <v>20</v>
      </c>
      <c r="P425" s="28" t="inlineStr">
        <is>
          <t>P2</t>
        </is>
      </c>
      <c r="Q425" s="29" t="inlineStr">
        <is>
          <t>Developing</t>
        </is>
      </c>
      <c r="R425" s="29" t="inlineStr">
        <is>
          <t>3 Apply</t>
        </is>
      </c>
      <c r="S425" s="29" t="inlineStr">
        <is>
          <t>2–4 yrs</t>
        </is>
      </c>
      <c r="T425" s="29" t="inlineStr">
        <is>
          <t>3–5 · 2–5</t>
        </is>
      </c>
      <c r="U425" s="29" t="inlineStr">
        <is>
          <t>SDR / Inside Sales</t>
        </is>
      </c>
      <c r="V425" s="29" t="inlineStr">
        <is>
          <t>IRIS Vs Competitor Benchmark — SaaS sales ladder — IC: Senior SDR</t>
        </is>
      </c>
      <c r="W425" s="29" t="inlineStr">
        <is>
          <t>SaaS sales ladder · SDR → AE → Enterprise AE → VP / CRO; MEDDICC-style qualification</t>
        </is>
      </c>
      <c r="X425" s="29" t="inlineStr">
        <is>
          <t>Core 2 · Future 2 · Functional 3 · Leadership not scored</t>
        </is>
      </c>
      <c r="Y425" s="52" t="n">
        <v>552</v>
      </c>
      <c r="Z425" s="53" t="inlineStr">
        <is>
          <t>IRISDT0017</t>
        </is>
      </c>
      <c r="AA425" s="53" t="inlineStr">
        <is>
          <t>Employee</t>
        </is>
      </c>
      <c r="AB425" s="53" t="inlineStr">
        <is>
          <t>Active</t>
        </is>
      </c>
      <c r="AC425" s="53" t="inlineStr">
        <is>
          <t>Lakshmikantha RN</t>
        </is>
      </c>
      <c r="AD425" s="54" t="n">
        <v>46086</v>
      </c>
      <c r="AE425" s="53" t="inlineStr">
        <is>
          <t>Program Executive - MSME</t>
        </is>
      </c>
      <c r="AF425" s="53" t="inlineStr">
        <is>
          <t>MBA</t>
        </is>
      </c>
      <c r="AG425" s="53" t="inlineStr">
        <is>
          <t>Jeevan Khokale</t>
        </is>
      </c>
      <c r="AH425" s="53" t="inlineStr">
        <is>
          <t>N-4</t>
        </is>
      </c>
      <c r="AI425" s="53" t="inlineStr">
        <is>
          <t>Individual Contributor</t>
        </is>
      </c>
      <c r="AJ425" s="53" t="inlineStr">
        <is>
          <t>2 years, 4 months, 0 days</t>
        </is>
      </c>
      <c r="AK425" s="53" t="inlineStr">
        <is>
          <t>0 years, 5 months, 20 days</t>
        </is>
      </c>
      <c r="AL425" s="53" t="inlineStr">
        <is>
          <t>Datatech</t>
        </is>
      </c>
      <c r="AM425" s="53" t="inlineStr">
        <is>
          <t>Datatech</t>
        </is>
      </c>
      <c r="AN425" s="53" t="inlineStr">
        <is>
          <t>Datatech - Outreach</t>
        </is>
      </c>
      <c r="AO425" s="53" t="inlineStr">
        <is>
          <t>Sales</t>
        </is>
      </c>
      <c r="AP425" s="53" t="inlineStr">
        <is>
          <t>No</t>
        </is>
      </c>
      <c r="AQ425" s="53" t="inlineStr">
        <is>
          <t>Sales, Marketing &amp; Support</t>
        </is>
      </c>
      <c r="AR425" s="53" t="inlineStr">
        <is>
          <t>Sales</t>
        </is>
      </c>
      <c r="AS425" s="53" t="inlineStr">
        <is>
          <t>Non-technical</t>
        </is>
      </c>
      <c r="AT425" s="53" t="n">
        <v>20</v>
      </c>
      <c r="AU425" s="53" t="inlineStr">
        <is>
          <t>Covered</t>
        </is>
      </c>
      <c r="AV425" s="53" t="n"/>
      <c r="AW425" s="53" t="n"/>
      <c r="AX425" s="53" t="n"/>
      <c r="AY425" s="53" t="n"/>
      <c r="AZ425" s="53" t="n"/>
      <c r="BA425" s="53" t="n"/>
      <c r="BB425" s="53" t="n"/>
      <c r="BC425" s="53" t="n"/>
      <c r="BD425" s="53" t="n"/>
      <c r="BE425" s="53" t="n"/>
      <c r="BF425" s="53" t="n"/>
      <c r="BG425" s="53" t="n"/>
      <c r="BH425" s="53" t="n"/>
      <c r="BI425" s="53" t="n"/>
      <c r="BJ425" s="53" t="n"/>
      <c r="BK425" s="53" t="n"/>
      <c r="BL425" s="53" t="n"/>
      <c r="BM425" s="53" t="n"/>
      <c r="BN425" s="53" t="n"/>
      <c r="BO425" s="53" t="n"/>
      <c r="BP425" s="53" t="n"/>
      <c r="BQ425" s="53" t="n"/>
      <c r="BR425" s="53" t="n"/>
      <c r="BS425" s="53" t="n"/>
      <c r="BT425" s="53" t="n"/>
      <c r="BU425" s="53" t="n"/>
      <c r="BV425" s="53" t="n"/>
      <c r="BW425" s="53" t="n"/>
      <c r="BX425" s="53" t="n"/>
      <c r="BY425" s="53" t="n"/>
      <c r="BZ425" s="53" t="n"/>
      <c r="CA425" s="53" t="n"/>
      <c r="CB425" s="53" t="n"/>
      <c r="CC425" s="53" t="n"/>
      <c r="CD425" s="53" t="n"/>
      <c r="CE425" s="53" t="n"/>
      <c r="CF425" s="53" t="n"/>
      <c r="CG425" s="53" t="n"/>
      <c r="CH425" s="53" t="n"/>
      <c r="CI425" s="53" t="n"/>
      <c r="CJ425" s="53" t="n"/>
      <c r="CK425" s="53" t="n"/>
      <c r="CL425" s="53" t="n"/>
      <c r="CM425" s="53" t="n"/>
      <c r="CN425" s="53" t="n"/>
      <c r="CO425" s="53" t="n"/>
      <c r="CP425" s="53" t="n"/>
      <c r="CQ425" s="53" t="n"/>
      <c r="CR425" s="53" t="n"/>
      <c r="CS425" s="53" t="n"/>
      <c r="CT425" s="53" t="n"/>
      <c r="CU425" s="53" t="n"/>
      <c r="CV425" s="53" t="n"/>
      <c r="CW425" s="53" t="n"/>
      <c r="CX425" s="53" t="n"/>
      <c r="CY425" s="53" t="n"/>
      <c r="CZ425" s="53" t="n"/>
      <c r="DA425" s="53" t="n"/>
      <c r="DB425" s="53" t="n"/>
      <c r="DC425" s="53" t="n"/>
      <c r="DD425" s="53" t="inlineStr">
        <is>
          <t>IRIS2490</t>
        </is>
      </c>
      <c r="DE425" s="53" t="inlineStr">
        <is>
          <t>Employee</t>
        </is>
      </c>
      <c r="DF425" s="53" t="inlineStr">
        <is>
          <t>Active</t>
        </is>
      </c>
      <c r="DG425" s="53" t="inlineStr">
        <is>
          <t>Lakshmikantha RN</t>
        </is>
      </c>
      <c r="DH425" s="54" t="n">
        <v>46086</v>
      </c>
      <c r="DI425" s="53" t="inlineStr">
        <is>
          <t>Program Executive - MSME</t>
        </is>
      </c>
      <c r="DJ425" s="53" t="inlineStr">
        <is>
          <t>Project &amp; Program Management</t>
        </is>
      </c>
      <c r="DK425" s="53" t="inlineStr">
        <is>
          <t>Program Management</t>
        </is>
      </c>
      <c r="DL425" s="53" t="inlineStr">
        <is>
          <t>Program Executive - MSME</t>
        </is>
      </c>
      <c r="DM425" s="53" t="inlineStr">
        <is>
          <t>L3 – Professional / Associate</t>
        </is>
      </c>
      <c r="DN425" s="53" t="inlineStr">
        <is>
          <t>MBA</t>
        </is>
      </c>
      <c r="DO425" s="53" t="inlineStr">
        <is>
          <t>Jeevan Khokale</t>
        </is>
      </c>
      <c r="DP425" s="53" t="inlineStr">
        <is>
          <t>N-4</t>
        </is>
      </c>
      <c r="DQ425" s="53" t="inlineStr">
        <is>
          <t>Individual Contributor</t>
        </is>
      </c>
      <c r="DR425" s="53" t="inlineStr">
        <is>
          <t>2 years, 4 months, 0 days</t>
        </is>
      </c>
      <c r="DS425" s="53" t="inlineStr">
        <is>
          <t>0 years, 3 months, 15 days</t>
        </is>
      </c>
      <c r="DT425" s="53" t="inlineStr">
        <is>
          <t>2 years, 7 months, 15 days</t>
        </is>
      </c>
      <c r="DU425" s="53" t="n"/>
      <c r="DV425" s="53" t="inlineStr">
        <is>
          <t>Datatech</t>
        </is>
      </c>
      <c r="DW425" s="53" t="inlineStr">
        <is>
          <t>Datatech</t>
        </is>
      </c>
      <c r="DX425" s="53" t="inlineStr">
        <is>
          <t>Datatech - Outreach</t>
        </is>
      </c>
      <c r="DY425" s="53" t="inlineStr">
        <is>
          <t>Sales</t>
        </is>
      </c>
      <c r="DZ425" s="53" t="inlineStr">
        <is>
          <t>No</t>
        </is>
      </c>
      <c r="EA425" s="53" t="inlineStr">
        <is>
          <t>Sales, Marketing &amp; Support</t>
        </is>
      </c>
      <c r="EB425" s="53" t="inlineStr">
        <is>
          <t>Sales</t>
        </is>
      </c>
      <c r="EC425" s="53" t="inlineStr">
        <is>
          <t>Non-technical</t>
        </is>
      </c>
      <c r="ED425" s="53" t="inlineStr">
        <is>
          <t>Bengaluru</t>
        </is>
      </c>
      <c r="EE425" s="53" t="n"/>
      <c r="EF425" s="53"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EG425" s="53" t="inlineStr">
        <is>
          <t>1. MSME Onboarding - Target: 210 MSMEs this quarter
2. Business Loan Applications - Target: 60 applications this quarter
3. BHR Sales - Target: 30 BHR units this quarter</t>
        </is>
      </c>
      <c r="EH425" s="53" t="n">
        <v>3</v>
      </c>
      <c r="EI425" s="54" t="n">
        <v>46199</v>
      </c>
      <c r="EJ425" s="53" t="inlineStr">
        <is>
          <t>Program Executive - MSME</t>
        </is>
      </c>
      <c r="EK425" s="53" t="inlineStr">
        <is>
          <t>No</t>
        </is>
      </c>
      <c r="EL425" s="53" t="n">
        <v>3</v>
      </c>
      <c r="EM425" s="53" t="inlineStr">
        <is>
          <t>Medium</t>
        </is>
      </c>
      <c r="EN425" s="53" t="inlineStr">
        <is>
          <t>Core Contributor</t>
        </is>
      </c>
      <c r="EO425" s="53" t="inlineStr">
        <is>
          <t>No</t>
        </is>
      </c>
      <c r="EP425" s="53" t="inlineStr">
        <is>
          <t>Yes</t>
        </is>
      </c>
      <c r="EQ425" s="53" t="inlineStr">
        <is>
          <t>No</t>
        </is>
      </c>
      <c r="ER425" s="53" t="n"/>
      <c r="ES425" s="53" t="inlineStr">
        <is>
          <t>Product knowledge · loan/BHR products; Objection handling; Sales approach/pitch technique</t>
        </is>
      </c>
      <c r="ET425" s="53" t="inlineStr">
        <is>
          <t>Target role: Senior Field Associate · interim step. Development: deepen product/sales skill first, before layering on management scope. Review date: 31-08-2026</t>
        </is>
      </c>
      <c r="EU425" s="53" t="n"/>
      <c r="EV425" s="53" t="inlineStr">
        <is>
          <t>Peridot App</t>
        </is>
      </c>
      <c r="EW425" s="52" t="n"/>
      <c r="EX425" s="53" t="n"/>
      <c r="EY425" s="53" t="n"/>
      <c r="EZ425" s="53" t="n"/>
      <c r="FA425" s="53" t="n"/>
      <c r="FB425" s="53" t="n"/>
      <c r="FC425" s="53" t="n"/>
      <c r="FD425" s="53" t="inlineStr">
        <is>
          <t>IRIS2490</t>
        </is>
      </c>
      <c r="FE425" s="57"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FF425" s="56" t="inlineStr">
        <is>
          <t>1. MSME Onboarding - Target: 210 MSMEs this quarter
2. Business Loan Applications - Target: 60 applications this quarter
3. BHR Sales - Target: 30 BHR units this quarter</t>
        </is>
      </c>
      <c r="FG425" s="56" t="n"/>
      <c r="FH425" s="56" t="inlineStr">
        <is>
          <t>3</t>
        </is>
      </c>
      <c r="FI425" s="56" t="n"/>
      <c r="FJ425" s="56" t="inlineStr">
        <is>
          <t>Received · manager annual, quarterly</t>
        </is>
      </c>
      <c r="FK425" s="56" t="inlineStr">
        <is>
          <t>Talent Mapping · Datatech</t>
        </is>
      </c>
      <c r="FL425" s="56" t="n">
        <v>20</v>
      </c>
      <c r="FM425" s="32" t="inlineStr">
        <is>
          <t>Full survey answers not in the files received · How We Grow export needed · HR</t>
        </is>
      </c>
      <c r="FN425" s="56" t="inlineStr">
        <is>
          <t>—</t>
        </is>
      </c>
      <c r="FO425" s="56" t="inlineStr">
        <is>
          <t>—</t>
        </is>
      </c>
      <c r="FP425" s="56" t="inlineStr">
        <is>
          <t>—</t>
        </is>
      </c>
      <c r="FQ425" s="56" t="inlineStr">
        <is>
          <t>—</t>
        </is>
      </c>
      <c r="FR425" s="56"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start
Leadership: Evidence reads like A1: No guidance or leadership of others described → matches the start
Business Impact: No survey or manager-mapping signal on criticality: kept at the start point.</t>
        </is>
      </c>
      <c r="FS425"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5" s="56" t="inlineStr">
        <is>
          <t>Self-identified: Leadership &amp; people management · Client, sales &amp; stakeholders
For the next role: Leadership &amp; people management · Client, sales &amp; stakeholders</t>
        </is>
      </c>
      <c r="FU425" s="32" t="inlineStr">
        <is>
          <t>Full survey answers not in the files received · How We Grow export needed · HR</t>
        </is>
      </c>
    </row>
    <row r="426" ht="90" customHeight="1">
      <c r="A426" s="51" t="inlineStr">
        <is>
          <t>◂ Back</t>
        </is>
      </c>
      <c r="B426" s="29" t="inlineStr">
        <is>
          <t>Mapped</t>
        </is>
      </c>
      <c r="C426" s="28" t="inlineStr">
        <is>
          <t>Datatech</t>
        </is>
      </c>
      <c r="D426" s="29" t="inlineStr">
        <is>
          <t>IRISDT0013</t>
        </is>
      </c>
      <c r="E426" s="29" t="inlineStr">
        <is>
          <t>Bharati Durgaprasad Paranjape</t>
        </is>
      </c>
      <c r="F426" s="29" t="inlineStr">
        <is>
          <t>Datatech - Outreach</t>
        </is>
      </c>
      <c r="G426" s="29" t="inlineStr">
        <is>
          <t>Program Executive - MSME</t>
        </is>
      </c>
      <c r="H426" s="29" t="inlineStr">
        <is>
          <t>Senior Program Executive</t>
        </is>
      </c>
      <c r="I426" s="29" t="inlineStr">
        <is>
          <t>L3 – Professional / Associate</t>
        </is>
      </c>
      <c r="J426" s="29" t="inlineStr">
        <is>
          <t>A3</t>
        </is>
      </c>
      <c r="K426" s="29" t="inlineStr">
        <is>
          <t>▲ Up</t>
        </is>
      </c>
      <c r="L426" s="29" t="inlineStr">
        <is>
          <t>Sales &amp; Business Development</t>
        </is>
      </c>
      <c r="M426" s="29" t="inlineStr">
        <is>
          <t>Field Outreach &amp; Programme Sales</t>
        </is>
      </c>
      <c r="N426" s="29" t="n"/>
      <c r="O426" s="29" t="n">
        <v>19</v>
      </c>
      <c r="P426" s="28" t="inlineStr">
        <is>
          <t>P2</t>
        </is>
      </c>
      <c r="Q426" s="29" t="inlineStr">
        <is>
          <t>Developing</t>
        </is>
      </c>
      <c r="R426" s="29" t="inlineStr">
        <is>
          <t>3 Apply</t>
        </is>
      </c>
      <c r="S426" s="29" t="inlineStr">
        <is>
          <t>2–4 yrs</t>
        </is>
      </c>
      <c r="T426" s="29" t="inlineStr">
        <is>
          <t>3–5 · 2–5</t>
        </is>
      </c>
      <c r="U426" s="29" t="inlineStr">
        <is>
          <t>SDR / Inside Sales</t>
        </is>
      </c>
      <c r="V426" s="29" t="inlineStr">
        <is>
          <t>IRIS Vs Competitor Benchmark — SaaS sales ladder — IC: Senior SDR</t>
        </is>
      </c>
      <c r="W426" s="29" t="inlineStr">
        <is>
          <t>SaaS sales ladder · SDR → AE → Enterprise AE → VP / CRO; MEDDICC-style qualification</t>
        </is>
      </c>
      <c r="X426" s="29" t="inlineStr">
        <is>
          <t>Core 2 · Future 2 · Functional 3 · Leadership not scored</t>
        </is>
      </c>
      <c r="Y426" s="52" t="n">
        <v>549</v>
      </c>
      <c r="Z426" s="53" t="inlineStr">
        <is>
          <t>IRISDT0013</t>
        </is>
      </c>
      <c r="AA426" s="53" t="inlineStr">
        <is>
          <t>Employee</t>
        </is>
      </c>
      <c r="AB426" s="53" t="inlineStr">
        <is>
          <t>Active</t>
        </is>
      </c>
      <c r="AC426" s="53" t="inlineStr">
        <is>
          <t>Bharati Durgaprasad Paranjape</t>
        </is>
      </c>
      <c r="AD426" s="54" t="n">
        <v>46027</v>
      </c>
      <c r="AE426" s="53" t="inlineStr">
        <is>
          <t>Program Executive - MSME</t>
        </is>
      </c>
      <c r="AF426" s="53" t="inlineStr">
        <is>
          <t>MA</t>
        </is>
      </c>
      <c r="AG426" s="53" t="inlineStr">
        <is>
          <t>Raghin Nair</t>
        </is>
      </c>
      <c r="AH426" s="53" t="inlineStr">
        <is>
          <t>N-3</t>
        </is>
      </c>
      <c r="AI426" s="53" t="inlineStr">
        <is>
          <t>Individual Contributor</t>
        </is>
      </c>
      <c r="AJ426" s="53" t="inlineStr">
        <is>
          <t>3 years, 8 months, 0 days</t>
        </is>
      </c>
      <c r="AK426" s="53" t="inlineStr">
        <is>
          <t>0 years, 7 months, 20 days</t>
        </is>
      </c>
      <c r="AL426" s="53" t="inlineStr">
        <is>
          <t>Datatech</t>
        </is>
      </c>
      <c r="AM426" s="53" t="inlineStr">
        <is>
          <t>Datatech</t>
        </is>
      </c>
      <c r="AN426" s="53" t="inlineStr">
        <is>
          <t>Datatech - Outreach</t>
        </is>
      </c>
      <c r="AO426" s="53" t="inlineStr">
        <is>
          <t>Sales</t>
        </is>
      </c>
      <c r="AP426" s="53" t="inlineStr">
        <is>
          <t>No</t>
        </is>
      </c>
      <c r="AQ426" s="53" t="inlineStr">
        <is>
          <t>Sales, Marketing &amp; Support</t>
        </is>
      </c>
      <c r="AR426" s="53" t="inlineStr">
        <is>
          <t>Sales</t>
        </is>
      </c>
      <c r="AS426" s="53" t="inlineStr">
        <is>
          <t>Non-technical</t>
        </is>
      </c>
      <c r="AT426" s="53" t="n">
        <v>20</v>
      </c>
      <c r="AU426" s="53" t="inlineStr">
        <is>
          <t>Covered</t>
        </is>
      </c>
      <c r="AV426" s="53" t="n"/>
      <c r="AW426" s="53" t="n"/>
      <c r="AX426" s="53" t="n"/>
      <c r="AY426" s="53" t="n"/>
      <c r="AZ426" s="53" t="n"/>
      <c r="BA426" s="53" t="n"/>
      <c r="BB426" s="53" t="n"/>
      <c r="BC426" s="53" t="n"/>
      <c r="BD426" s="53" t="n"/>
      <c r="BE426" s="53" t="n"/>
      <c r="BF426" s="53" t="n"/>
      <c r="BG426" s="53" t="n"/>
      <c r="BH426" s="53" t="n"/>
      <c r="BI426" s="53" t="n"/>
      <c r="BJ426" s="53" t="n"/>
      <c r="BK426" s="53" t="n"/>
      <c r="BL426" s="53" t="n"/>
      <c r="BM426" s="53" t="n"/>
      <c r="BN426" s="53" t="n"/>
      <c r="BO426" s="53" t="n"/>
      <c r="BP426" s="53" t="n"/>
      <c r="BQ426" s="53" t="n"/>
      <c r="BR426" s="53" t="n"/>
      <c r="BS426" s="53" t="n"/>
      <c r="BT426" s="53" t="n"/>
      <c r="BU426" s="53" t="n"/>
      <c r="BV426" s="53" t="n"/>
      <c r="BW426" s="53" t="n"/>
      <c r="BX426" s="53" t="n"/>
      <c r="BY426" s="53" t="n"/>
      <c r="BZ426" s="53" t="n"/>
      <c r="CA426" s="53" t="n"/>
      <c r="CB426" s="53" t="n"/>
      <c r="CC426" s="53" t="n"/>
      <c r="CD426" s="53" t="n"/>
      <c r="CE426" s="53" t="n"/>
      <c r="CF426" s="53" t="n"/>
      <c r="CG426" s="53" t="n"/>
      <c r="CH426" s="53" t="n"/>
      <c r="CI426" s="53" t="n"/>
      <c r="CJ426" s="53" t="n"/>
      <c r="CK426" s="53" t="n"/>
      <c r="CL426" s="53" t="n"/>
      <c r="CM426" s="53" t="n"/>
      <c r="CN426" s="53" t="n"/>
      <c r="CO426" s="53" t="n"/>
      <c r="CP426" s="53" t="n"/>
      <c r="CQ426" s="53" t="n"/>
      <c r="CR426" s="53" t="n"/>
      <c r="CS426" s="53" t="n"/>
      <c r="CT426" s="53" t="n"/>
      <c r="CU426" s="53" t="n"/>
      <c r="CV426" s="53" t="n"/>
      <c r="CW426" s="53" t="n"/>
      <c r="CX426" s="53" t="n"/>
      <c r="CY426" s="53" t="n"/>
      <c r="CZ426" s="53" t="n"/>
      <c r="DA426" s="53" t="n"/>
      <c r="DB426" s="53" t="n"/>
      <c r="DC426" s="53" t="n"/>
      <c r="DD426" s="53" t="inlineStr">
        <is>
          <t>IRIS2461</t>
        </is>
      </c>
      <c r="DE426" s="53" t="inlineStr">
        <is>
          <t>Employee</t>
        </is>
      </c>
      <c r="DF426" s="53" t="inlineStr">
        <is>
          <t>Active</t>
        </is>
      </c>
      <c r="DG426" s="53" t="inlineStr">
        <is>
          <t>Bharati Durgaprasad Paranjape</t>
        </is>
      </c>
      <c r="DH426" s="54" t="n">
        <v>46027</v>
      </c>
      <c r="DI426" s="53" t="inlineStr">
        <is>
          <t>Program Executive - MSME</t>
        </is>
      </c>
      <c r="DJ426" s="53" t="inlineStr">
        <is>
          <t>Project &amp; Program Management</t>
        </is>
      </c>
      <c r="DK426" s="53" t="inlineStr">
        <is>
          <t>Program Management</t>
        </is>
      </c>
      <c r="DL426" s="53" t="inlineStr">
        <is>
          <t>Program Executive - MSME</t>
        </is>
      </c>
      <c r="DM426" s="53" t="inlineStr">
        <is>
          <t>L3 – Professional / Associate</t>
        </is>
      </c>
      <c r="DN426" s="53" t="inlineStr">
        <is>
          <t>MA</t>
        </is>
      </c>
      <c r="DO426" s="53" t="inlineStr">
        <is>
          <t>Raghin Nair</t>
        </is>
      </c>
      <c r="DP426" s="53" t="inlineStr">
        <is>
          <t>N-3</t>
        </is>
      </c>
      <c r="DQ426" s="53" t="inlineStr">
        <is>
          <t>Individual Contributor</t>
        </is>
      </c>
      <c r="DR426" s="53" t="inlineStr">
        <is>
          <t>3 years, 8 months, 0 days</t>
        </is>
      </c>
      <c r="DS426" s="53" t="inlineStr">
        <is>
          <t>0 years, 5 months, 15 days</t>
        </is>
      </c>
      <c r="DT426" s="53" t="inlineStr">
        <is>
          <t>4 years, 1 months, 15 days</t>
        </is>
      </c>
      <c r="DU426" s="53" t="n"/>
      <c r="DV426" s="53" t="inlineStr">
        <is>
          <t>Datatech</t>
        </is>
      </c>
      <c r="DW426" s="53" t="inlineStr">
        <is>
          <t>Datatech</t>
        </is>
      </c>
      <c r="DX426" s="53" t="inlineStr">
        <is>
          <t>Datatech - Outreach</t>
        </is>
      </c>
      <c r="DY426" s="53" t="inlineStr">
        <is>
          <t>Sales</t>
        </is>
      </c>
      <c r="DZ426" s="53" t="inlineStr">
        <is>
          <t>No</t>
        </is>
      </c>
      <c r="EA426" s="53" t="inlineStr">
        <is>
          <t>Sales, Marketing &amp; Support</t>
        </is>
      </c>
      <c r="EB426" s="53" t="inlineStr">
        <is>
          <t>Sales</t>
        </is>
      </c>
      <c r="EC426" s="53" t="inlineStr">
        <is>
          <t>Non-technical</t>
        </is>
      </c>
      <c r="ED426" s="53" t="inlineStr">
        <is>
          <t>Panaji</t>
        </is>
      </c>
      <c r="EE426" s="53" t="n"/>
      <c r="EF426" s="53"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EG426" s="53" t="inlineStr">
        <is>
          <t>1. MSME Onboarding - Target: 90 MSMEs this quarter
2. Business Loan Applications - Target: 115 applications this quarter
3. BHR Sales - Target: 50 BHR units this quarter
4. Government/MOU Connect - Minimum 1 touchpoint/month, logged</t>
        </is>
      </c>
      <c r="EH426" s="53" t="n">
        <v>3</v>
      </c>
      <c r="EI426" s="54" t="n">
        <v>46199</v>
      </c>
      <c r="EJ426" s="53" t="inlineStr">
        <is>
          <t>Program Executive - MSME</t>
        </is>
      </c>
      <c r="EK426" s="53" t="inlineStr">
        <is>
          <t>No</t>
        </is>
      </c>
      <c r="EL426" s="53" t="n">
        <v>3</v>
      </c>
      <c r="EM426" s="53" t="inlineStr">
        <is>
          <t>Medium</t>
        </is>
      </c>
      <c r="EN426" s="53" t="inlineStr">
        <is>
          <t>Emerging Talent</t>
        </is>
      </c>
      <c r="EO426" s="53" t="inlineStr">
        <is>
          <t>No</t>
        </is>
      </c>
      <c r="EP426" s="53" t="inlineStr">
        <is>
          <t>No</t>
        </is>
      </c>
      <c r="EQ426" s="53" t="inlineStr">
        <is>
          <t>No</t>
        </is>
      </c>
      <c r="ER426" s="53" t="n"/>
      <c r="ES426" s="53" t="inlineStr">
        <is>
          <t>Product knowledge · loan/BHR products; Objection handling; Sales approach/pitch technique</t>
        </is>
      </c>
      <c r="ET426" s="53" t="inlineStr">
        <is>
          <t>Target role: Senior Field Associate · interim step. Development: deepen product/sales skill first, before layering on management scope. Review date: 31-08-2026</t>
        </is>
      </c>
      <c r="EU426" s="53" t="n"/>
      <c r="EV426" s="53" t="inlineStr">
        <is>
          <t>Peridot App</t>
        </is>
      </c>
      <c r="EW426" s="52" t="n"/>
      <c r="EX426" s="53" t="n"/>
      <c r="EY426" s="53" t="n"/>
      <c r="EZ426" s="53" t="n"/>
      <c r="FA426" s="53" t="n"/>
      <c r="FB426" s="53" t="n"/>
      <c r="FC426" s="53" t="n"/>
      <c r="FD426" s="53" t="inlineStr">
        <is>
          <t>IRIS2461</t>
        </is>
      </c>
      <c r="FE426" s="57"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FF426" s="56" t="inlineStr">
        <is>
          <t>1. MSME Onboarding - Target: 90 MSMEs this quarter
2. Business Loan Applications - Target: 115 applications this quarter
3. BHR Sales - Target: 50 BHR units this quarter
4. Government/MOU Connect - Minimum 1 touchpoint/month, logged</t>
        </is>
      </c>
      <c r="FG426" s="56" t="n"/>
      <c r="FH426" s="56" t="inlineStr">
        <is>
          <t>3</t>
        </is>
      </c>
      <c r="FI426" s="56" t="n"/>
      <c r="FJ426" s="56" t="inlineStr">
        <is>
          <t>Received · manager annual, quarterly</t>
        </is>
      </c>
      <c r="FK426" s="56" t="inlineStr">
        <is>
          <t>Talent Mapping · Datatech</t>
        </is>
      </c>
      <c r="FL426" s="56" t="n">
        <v>19</v>
      </c>
      <c r="FM426" s="32" t="inlineStr">
        <is>
          <t>Full survey answers not in the files received · How We Grow export needed · HR</t>
        </is>
      </c>
      <c r="FN426" s="56" t="inlineStr">
        <is>
          <t>—</t>
        </is>
      </c>
      <c r="FO426" s="56" t="inlineStr">
        <is>
          <t>—</t>
        </is>
      </c>
      <c r="FP426" s="56" t="inlineStr">
        <is>
          <t>—</t>
        </is>
      </c>
      <c r="FQ426" s="56" t="inlineStr">
        <is>
          <t>—</t>
        </is>
      </c>
      <c r="FR426" s="56"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the start
Leadership: Evidence reads like A1: No guidance or leadership of others described → matches the start
Business Impact: No survey or manager-mapping signal on criticality: kept at the start point.</t>
        </is>
      </c>
      <c r="FS426"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6" s="56" t="inlineStr">
        <is>
          <t>Self-identified: Client, sales &amp; stakeholders
For the next role: Client, sales &amp; stakeholders</t>
        </is>
      </c>
      <c r="FU426" s="32" t="inlineStr">
        <is>
          <t>Full survey answers not in the files received · How We Grow export needed · HR</t>
        </is>
      </c>
    </row>
    <row r="427" ht="90" customHeight="1">
      <c r="A427" s="51" t="inlineStr">
        <is>
          <t>◂ Back</t>
        </is>
      </c>
      <c r="B427" s="29" t="inlineStr">
        <is>
          <t>Mapped</t>
        </is>
      </c>
      <c r="C427" s="28" t="inlineStr">
        <is>
          <t>Datatech</t>
        </is>
      </c>
      <c r="D427" s="29" t="inlineStr">
        <is>
          <t>IRISDT0003</t>
        </is>
      </c>
      <c r="E427" s="29" t="inlineStr">
        <is>
          <t>Nalini Niranjan Damisetti</t>
        </is>
      </c>
      <c r="F427" s="29" t="inlineStr">
        <is>
          <t>Datatech - Outreach</t>
        </is>
      </c>
      <c r="G427" s="29" t="inlineStr">
        <is>
          <t>Program Coordinator</t>
        </is>
      </c>
      <c r="H427" s="29" t="inlineStr">
        <is>
          <t>Senior Program Executive</t>
        </is>
      </c>
      <c r="I427" s="29" t="inlineStr">
        <is>
          <t>L3 – Professional / Associate</t>
        </is>
      </c>
      <c r="J427" s="29" t="inlineStr">
        <is>
          <t>A3</t>
        </is>
      </c>
      <c r="K427" s="29" t="inlineStr">
        <is>
          <t>▲ Up</t>
        </is>
      </c>
      <c r="L427" s="29" t="inlineStr">
        <is>
          <t>Sales &amp; Business Development</t>
        </is>
      </c>
      <c r="M427" s="29" t="inlineStr">
        <is>
          <t>Field Outreach &amp; Programme Sales</t>
        </is>
      </c>
      <c r="N427" s="29" t="n"/>
      <c r="O427" s="29" t="n">
        <v>20</v>
      </c>
      <c r="P427" s="28" t="inlineStr">
        <is>
          <t>P2</t>
        </is>
      </c>
      <c r="Q427" s="29" t="inlineStr">
        <is>
          <t>Developing</t>
        </is>
      </c>
      <c r="R427" s="29" t="inlineStr">
        <is>
          <t>3 Apply</t>
        </is>
      </c>
      <c r="S427" s="29" t="inlineStr">
        <is>
          <t>2–4 yrs</t>
        </is>
      </c>
      <c r="T427" s="29" t="inlineStr">
        <is>
          <t>3–5 · 2–5</t>
        </is>
      </c>
      <c r="U427" s="29" t="inlineStr">
        <is>
          <t>SDR / Inside Sales</t>
        </is>
      </c>
      <c r="V427" s="29" t="inlineStr">
        <is>
          <t>IRIS Vs Competitor Benchmark — SaaS sales ladder — IC: Senior SDR</t>
        </is>
      </c>
      <c r="W427" s="29" t="inlineStr">
        <is>
          <t>SaaS sales ladder · SDR → AE → Enterprise AE → VP / CRO; MEDDICC-style qualification</t>
        </is>
      </c>
      <c r="X427" s="29" t="inlineStr">
        <is>
          <t>Core 2 · Future 2 · Functional 3 · Leadership not scored</t>
        </is>
      </c>
      <c r="Y427" s="52" t="n">
        <v>539</v>
      </c>
      <c r="Z427" s="53" t="inlineStr">
        <is>
          <t>IRISDT0003</t>
        </is>
      </c>
      <c r="AA427" s="53" t="inlineStr">
        <is>
          <t>Employee</t>
        </is>
      </c>
      <c r="AB427" s="53" t="inlineStr">
        <is>
          <t>Active</t>
        </is>
      </c>
      <c r="AC427" s="53" t="inlineStr">
        <is>
          <t>Nalini Niranjan Damisetti</t>
        </is>
      </c>
      <c r="AD427" s="54" t="n">
        <v>45628</v>
      </c>
      <c r="AE427" s="53" t="inlineStr">
        <is>
          <t>Program Coordinator</t>
        </is>
      </c>
      <c r="AF427" s="53" t="inlineStr">
        <is>
          <t>PGDM</t>
        </is>
      </c>
      <c r="AG427" s="53" t="inlineStr">
        <is>
          <t>Raghin Nair</t>
        </is>
      </c>
      <c r="AH427" s="53" t="inlineStr">
        <is>
          <t>N-3</t>
        </is>
      </c>
      <c r="AI427" s="53" t="inlineStr">
        <is>
          <t>Individual Contributor</t>
        </is>
      </c>
      <c r="AJ427" s="53" t="inlineStr">
        <is>
          <t>5 years, 6 months, 0 days</t>
        </is>
      </c>
      <c r="AK427" s="53" t="inlineStr">
        <is>
          <t>1 years, 8 months, 23 days</t>
        </is>
      </c>
      <c r="AL427" s="53" t="inlineStr">
        <is>
          <t>Datatech</t>
        </is>
      </c>
      <c r="AM427" s="53" t="inlineStr">
        <is>
          <t>Datatech</t>
        </is>
      </c>
      <c r="AN427" s="53" t="inlineStr">
        <is>
          <t>Datatech - Outreach</t>
        </is>
      </c>
      <c r="AO427" s="53" t="inlineStr">
        <is>
          <t>Sales</t>
        </is>
      </c>
      <c r="AP427" s="53" t="inlineStr">
        <is>
          <t>No</t>
        </is>
      </c>
      <c r="AQ427" s="53" t="inlineStr">
        <is>
          <t>Sales, Marketing &amp; Support</t>
        </is>
      </c>
      <c r="AR427" s="53" t="inlineStr">
        <is>
          <t>Sales</t>
        </is>
      </c>
      <c r="AS427" s="53" t="inlineStr">
        <is>
          <t>Non-technical</t>
        </is>
      </c>
      <c r="AT427" s="53" t="n">
        <v>20</v>
      </c>
      <c r="AU427" s="53" t="inlineStr">
        <is>
          <t>Covered</t>
        </is>
      </c>
      <c r="AV427" s="53" t="n"/>
      <c r="AW427" s="53" t="n"/>
      <c r="AX427" s="53" t="n"/>
      <c r="AY427" s="53" t="n"/>
      <c r="AZ427" s="53" t="n"/>
      <c r="BA427" s="53" t="n"/>
      <c r="BB427" s="53" t="n"/>
      <c r="BC427" s="53" t="n"/>
      <c r="BD427" s="53" t="n"/>
      <c r="BE427" s="53" t="n"/>
      <c r="BF427" s="53" t="n"/>
      <c r="BG427" s="53" t="n"/>
      <c r="BH427" s="53" t="n"/>
      <c r="BI427" s="53" t="n"/>
      <c r="BJ427" s="53" t="n"/>
      <c r="BK427" s="53" t="n"/>
      <c r="BL427" s="53" t="n"/>
      <c r="BM427" s="53" t="n"/>
      <c r="BN427" s="53" t="n"/>
      <c r="BO427" s="53" t="n"/>
      <c r="BP427" s="53" t="n"/>
      <c r="BQ427" s="53" t="n"/>
      <c r="BR427" s="53" t="n"/>
      <c r="BS427" s="53" t="n"/>
      <c r="BT427" s="53" t="n"/>
      <c r="BU427" s="53" t="n"/>
      <c r="BV427" s="53" t="n"/>
      <c r="BW427" s="53" t="n"/>
      <c r="BX427" s="53" t="n"/>
      <c r="BY427" s="53" t="n"/>
      <c r="BZ427" s="53" t="n"/>
      <c r="CA427" s="53" t="n"/>
      <c r="CB427" s="53" t="n"/>
      <c r="CC427" s="53" t="n"/>
      <c r="CD427" s="53" t="n"/>
      <c r="CE427" s="53" t="n"/>
      <c r="CF427" s="53" t="n"/>
      <c r="CG427" s="53" t="n"/>
      <c r="CH427" s="53" t="n"/>
      <c r="CI427" s="53" t="n"/>
      <c r="CJ427" s="53" t="n"/>
      <c r="CK427" s="53" t="n"/>
      <c r="CL427" s="53" t="n"/>
      <c r="CM427" s="53" t="n"/>
      <c r="CN427" s="53" t="n"/>
      <c r="CO427" s="53" t="n"/>
      <c r="CP427" s="53" t="n"/>
      <c r="CQ427" s="53" t="n"/>
      <c r="CR427" s="53" t="n"/>
      <c r="CS427" s="53" t="n"/>
      <c r="CT427" s="53" t="n"/>
      <c r="CU427" s="53" t="n"/>
      <c r="CV427" s="53" t="n"/>
      <c r="CW427" s="53" t="n"/>
      <c r="CX427" s="53" t="n"/>
      <c r="CY427" s="53" t="n"/>
      <c r="CZ427" s="53" t="n"/>
      <c r="DA427" s="53" t="n"/>
      <c r="DB427" s="53" t="n"/>
      <c r="DC427" s="53" t="n"/>
      <c r="DD427" s="53" t="inlineStr">
        <is>
          <t>IRIS2326</t>
        </is>
      </c>
      <c r="DE427" s="53" t="inlineStr">
        <is>
          <t>Employee</t>
        </is>
      </c>
      <c r="DF427" s="53" t="inlineStr">
        <is>
          <t>Active</t>
        </is>
      </c>
      <c r="DG427" s="53" t="inlineStr">
        <is>
          <t>Nalini Niranjan Damisetti</t>
        </is>
      </c>
      <c r="DH427" s="54" t="n">
        <v>45628</v>
      </c>
      <c r="DI427" s="53" t="inlineStr">
        <is>
          <t>Program Coordinator</t>
        </is>
      </c>
      <c r="DJ427" s="53" t="inlineStr">
        <is>
          <t>Executive Leadership</t>
        </is>
      </c>
      <c r="DK427" s="53" t="inlineStr">
        <is>
          <t>Business / Functional Leadership</t>
        </is>
      </c>
      <c r="DL427" s="53" t="inlineStr">
        <is>
          <t>Program Coordinator</t>
        </is>
      </c>
      <c r="DM427" s="53" t="inlineStr">
        <is>
          <t>L3 – Professional / Associate</t>
        </is>
      </c>
      <c r="DN427" s="53" t="inlineStr">
        <is>
          <t>PGDM</t>
        </is>
      </c>
      <c r="DO427" s="53" t="inlineStr">
        <is>
          <t>Raghin Nair</t>
        </is>
      </c>
      <c r="DP427" s="53" t="inlineStr">
        <is>
          <t>N-3</t>
        </is>
      </c>
      <c r="DQ427" s="53" t="inlineStr">
        <is>
          <t>Manager</t>
        </is>
      </c>
      <c r="DR427" s="53" t="inlineStr">
        <is>
          <t>5 years, 6 months, 0 days</t>
        </is>
      </c>
      <c r="DS427" s="53" t="inlineStr">
        <is>
          <t>1 years, 6 months, 18 days</t>
        </is>
      </c>
      <c r="DT427" s="53" t="inlineStr">
        <is>
          <t>7 years, 0 months, 18 days</t>
        </is>
      </c>
      <c r="DU427" s="53" t="n">
        <v>1.54931506849315</v>
      </c>
      <c r="DV427" s="53" t="inlineStr">
        <is>
          <t>Datatech</t>
        </is>
      </c>
      <c r="DW427" s="53" t="inlineStr">
        <is>
          <t>Datatech</t>
        </is>
      </c>
      <c r="DX427" s="53" t="inlineStr">
        <is>
          <t>Datatech - Outreach</t>
        </is>
      </c>
      <c r="DY427" s="53" t="inlineStr">
        <is>
          <t>Sales</t>
        </is>
      </c>
      <c r="DZ427" s="53" t="inlineStr">
        <is>
          <t>No</t>
        </is>
      </c>
      <c r="EA427" s="53" t="inlineStr">
        <is>
          <t>Sales, Marketing &amp; Support</t>
        </is>
      </c>
      <c r="EB427" s="53" t="inlineStr">
        <is>
          <t>Sales</t>
        </is>
      </c>
      <c r="EC427" s="53" t="inlineStr">
        <is>
          <t>Non-technical</t>
        </is>
      </c>
      <c r="ED427" s="53" t="inlineStr">
        <is>
          <t>Hyderabad</t>
        </is>
      </c>
      <c r="EE427" s="53" t="n"/>
      <c r="EF427" s="53"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EG427" s="53" t="inlineStr">
        <is>
          <t>1. MSME Onboarding - Target: 70 MSMEs this quarter
2. Business Loan Applications - Target: 90 applications this quarter
3. BHR Sales - Target: 30 BHR units this quarter
4. Government/MOU Connect - Minimum 1 touchpoint/month, logged</t>
        </is>
      </c>
      <c r="EH427" s="53" t="n">
        <v>3</v>
      </c>
      <c r="EI427" s="54" t="n">
        <v>46199</v>
      </c>
      <c r="EJ427" s="53" t="inlineStr">
        <is>
          <t>Program Coordinator</t>
        </is>
      </c>
      <c r="EK427" s="53" t="inlineStr">
        <is>
          <t>No</t>
        </is>
      </c>
      <c r="EL427" s="53" t="n">
        <v>3</v>
      </c>
      <c r="EM427" s="53" t="inlineStr">
        <is>
          <t>Medium</t>
        </is>
      </c>
      <c r="EN427" s="53" t="inlineStr">
        <is>
          <t>Performance Risk</t>
        </is>
      </c>
      <c r="EO427" s="53" t="inlineStr">
        <is>
          <t>No</t>
        </is>
      </c>
      <c r="EP427" s="53" t="inlineStr">
        <is>
          <t>No</t>
        </is>
      </c>
      <c r="EQ427" s="53" t="inlineStr">
        <is>
          <t>No</t>
        </is>
      </c>
      <c r="ER427" s="53" t="n"/>
      <c r="ES427" s="53" t="inlineStr">
        <is>
          <t>Objection handling · converting hesitant MSMEs; BHR selling</t>
        </is>
      </c>
      <c r="ET427" s="53" t="n"/>
      <c r="EU427" s="53" t="n"/>
      <c r="EV427" s="53" t="inlineStr">
        <is>
          <t>Peridot App</t>
        </is>
      </c>
      <c r="EW427" s="52" t="n"/>
      <c r="EX427" s="53" t="n"/>
      <c r="EY427" s="53" t="n"/>
      <c r="EZ427" s="53" t="n"/>
      <c r="FA427" s="53" t="n"/>
      <c r="FB427" s="53" t="n"/>
      <c r="FC427" s="53" t="n"/>
      <c r="FD427" s="53" t="inlineStr">
        <is>
          <t>IRIS2326</t>
        </is>
      </c>
      <c r="FE427" s="57"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FF427" s="56" t="inlineStr">
        <is>
          <t>1. MSME Onboarding - Target: 70 MSMEs this quarter
2. Business Loan Applications - Target: 90 applications this quarter
3. BHR Sales - Target: 30 BHR units this quarter
4. Government/MOU Connect - Minimum 1 touchpoint/month, logged</t>
        </is>
      </c>
      <c r="FG427" s="56" t="n"/>
      <c r="FH427" s="56" t="inlineStr">
        <is>
          <t>3</t>
        </is>
      </c>
      <c r="FI427" s="56" t="n"/>
      <c r="FJ427" s="56" t="inlineStr">
        <is>
          <t>Received · manager annual, quarterly</t>
        </is>
      </c>
      <c r="FK427" s="56" t="inlineStr">
        <is>
          <t>Talent Mapping · Datatech</t>
        </is>
      </c>
      <c r="FL427" s="56" t="n">
        <v>20</v>
      </c>
      <c r="FM427" s="32" t="inlineStr">
        <is>
          <t>Full survey answers not in the files received · How We Grow export needed · HR</t>
        </is>
      </c>
      <c r="FN427" s="56" t="inlineStr">
        <is>
          <t>—</t>
        </is>
      </c>
      <c r="FO427" s="56" t="inlineStr">
        <is>
          <t>—</t>
        </is>
      </c>
      <c r="FP427" s="56" t="inlineStr">
        <is>
          <t>—</t>
        </is>
      </c>
      <c r="FQ427" s="56" t="inlineStr">
        <is>
          <t>—</t>
        </is>
      </c>
      <c r="FR427" s="56"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start
Leadership: Evidence reads like A1: No guidance or leadership of others described → matches the start
Business Impact: No survey or manager-mapping signal on criticality: kept at the start point.</t>
        </is>
      </c>
      <c r="FS427"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7" s="56" t="inlineStr">
        <is>
          <t>Self-identified: Answered · no common topic
For the next role: Answered · no common topic</t>
        </is>
      </c>
      <c r="FU427" s="32" t="inlineStr">
        <is>
          <t>Full survey answers not in the files received · How We Grow export needed · HR</t>
        </is>
      </c>
    </row>
    <row r="428" ht="90" customHeight="1">
      <c r="A428" s="51" t="inlineStr">
        <is>
          <t>◂ Back</t>
        </is>
      </c>
      <c r="B428" s="29" t="inlineStr">
        <is>
          <t>Mapped</t>
        </is>
      </c>
      <c r="C428" s="28" t="inlineStr">
        <is>
          <t>Datatech</t>
        </is>
      </c>
      <c r="D428" s="29" t="inlineStr">
        <is>
          <t>IRISDT0015</t>
        </is>
      </c>
      <c r="E428" s="29" t="inlineStr">
        <is>
          <t>Jothi Pillai</t>
        </is>
      </c>
      <c r="F428" s="29" t="inlineStr">
        <is>
          <t>Datatech - Outreach</t>
        </is>
      </c>
      <c r="G428" s="29" t="inlineStr">
        <is>
          <t>Operations Executive</t>
        </is>
      </c>
      <c r="H428" s="29" t="inlineStr">
        <is>
          <t>Program Executive</t>
        </is>
      </c>
      <c r="I428" s="29" t="inlineStr">
        <is>
          <t>L3 – Professional / Associate</t>
        </is>
      </c>
      <c r="J428" s="29" t="inlineStr">
        <is>
          <t>A2</t>
        </is>
      </c>
      <c r="K428" s="29" t="inlineStr">
        <is>
          <t>• Same level</t>
        </is>
      </c>
      <c r="L428" s="29" t="inlineStr">
        <is>
          <t>Sales &amp; Business Development</t>
        </is>
      </c>
      <c r="M428" s="29" t="inlineStr">
        <is>
          <t>Field Outreach &amp; Programme Sales</t>
        </is>
      </c>
      <c r="N428" s="29" t="n"/>
      <c r="O428" s="29" t="n">
        <v>0</v>
      </c>
      <c r="P428" s="28" t="inlineStr">
        <is>
          <t>P1–P2</t>
        </is>
      </c>
      <c r="Q428" s="29" t="inlineStr">
        <is>
          <t>Entry / Developing</t>
        </is>
      </c>
      <c r="R428" s="29" t="inlineStr">
        <is>
          <t>2 Assist</t>
        </is>
      </c>
      <c r="S428" s="29" t="inlineStr">
        <is>
          <t>0–2 yrs</t>
        </is>
      </c>
      <c r="T428" s="29" t="inlineStr">
        <is>
          <t>1–3 · 0–3</t>
        </is>
      </c>
      <c r="U428" s="29" t="inlineStr">
        <is>
          <t>SDR · entry / SDR / Inside Sales</t>
        </is>
      </c>
      <c r="V428" s="29" t="inlineStr">
        <is>
          <t>IRIS Vs Competitor Benchmark — SaaS sales ladder — IC: SDR / BDR</t>
        </is>
      </c>
      <c r="W428" s="29" t="inlineStr">
        <is>
          <t>SaaS sales ladder · SDR → AE → Enterprise AE → VP / CRO; MEDDICC-style qualification</t>
        </is>
      </c>
      <c r="X428" s="29" t="inlineStr">
        <is>
          <t>Core 2 · Future 2 · Functional 2 · Leadership not scored</t>
        </is>
      </c>
      <c r="Y428" s="52" t="n">
        <v>551</v>
      </c>
      <c r="Z428" s="53" t="inlineStr">
        <is>
          <t>IRISDT0015</t>
        </is>
      </c>
      <c r="AA428" s="53" t="inlineStr">
        <is>
          <t>Employee</t>
        </is>
      </c>
      <c r="AB428" s="53" t="inlineStr">
        <is>
          <t>Active</t>
        </is>
      </c>
      <c r="AC428" s="53" t="inlineStr">
        <is>
          <t>Jothi Pillai</t>
        </is>
      </c>
      <c r="AD428" s="54" t="n">
        <v>46083</v>
      </c>
      <c r="AE428" s="53" t="inlineStr">
        <is>
          <t>Operations Executive</t>
        </is>
      </c>
      <c r="AF428" s="53" t="inlineStr">
        <is>
          <t>B.Com</t>
        </is>
      </c>
      <c r="AG428" s="53" t="inlineStr">
        <is>
          <t>Raghin Nair</t>
        </is>
      </c>
      <c r="AH428" s="53" t="inlineStr">
        <is>
          <t>N-3</t>
        </is>
      </c>
      <c r="AI428" s="53" t="inlineStr">
        <is>
          <t>Individual Contributor</t>
        </is>
      </c>
      <c r="AJ428" s="53" t="inlineStr">
        <is>
          <t>0 years, 7 months, 0 days</t>
        </is>
      </c>
      <c r="AK428" s="53" t="inlineStr">
        <is>
          <t>0 years, 5 months, 23 days</t>
        </is>
      </c>
      <c r="AL428" s="53" t="inlineStr">
        <is>
          <t>Datatech</t>
        </is>
      </c>
      <c r="AM428" s="53" t="inlineStr">
        <is>
          <t>Datatech</t>
        </is>
      </c>
      <c r="AN428" s="53" t="inlineStr">
        <is>
          <t>Datatech - Outreach</t>
        </is>
      </c>
      <c r="AO428" s="53" t="inlineStr">
        <is>
          <t>Sales</t>
        </is>
      </c>
      <c r="AP428" s="53" t="inlineStr">
        <is>
          <t>No</t>
        </is>
      </c>
      <c r="AQ428" s="53" t="inlineStr">
        <is>
          <t>Sales, Marketing &amp; Support</t>
        </is>
      </c>
      <c r="AR428" s="53" t="inlineStr">
        <is>
          <t>Sales</t>
        </is>
      </c>
      <c r="AS428" s="53" t="inlineStr">
        <is>
          <t>Non-technical</t>
        </is>
      </c>
      <c r="AT428" s="53" t="n">
        <v>0</v>
      </c>
      <c r="AU428" s="53" t="inlineStr">
        <is>
          <t>Excluded</t>
        </is>
      </c>
      <c r="AV428" s="53" t="n"/>
      <c r="AW428" s="53" t="n"/>
      <c r="AX428" s="53" t="n"/>
      <c r="AY428" s="53" t="n"/>
      <c r="AZ428" s="53" t="n"/>
      <c r="BA428" s="53" t="n"/>
      <c r="BB428" s="53" t="n"/>
      <c r="BC428" s="53" t="n"/>
      <c r="BD428" s="53" t="n"/>
      <c r="BE428" s="53" t="n"/>
      <c r="BF428" s="53" t="n"/>
      <c r="BG428" s="53" t="n"/>
      <c r="BH428" s="53" t="n"/>
      <c r="BI428" s="53" t="n"/>
      <c r="BJ428" s="53" t="n"/>
      <c r="BK428" s="53" t="n"/>
      <c r="BL428" s="53" t="n"/>
      <c r="BM428" s="53" t="n"/>
      <c r="BN428" s="53" t="n"/>
      <c r="BO428" s="53" t="n"/>
      <c r="BP428" s="53" t="n"/>
      <c r="BQ428" s="53" t="n"/>
      <c r="BR428" s="53" t="n"/>
      <c r="BS428" s="53" t="n"/>
      <c r="BT428" s="53" t="n"/>
      <c r="BU428" s="53" t="n"/>
      <c r="BV428" s="53" t="n"/>
      <c r="BW428" s="53" t="n"/>
      <c r="BX428" s="53" t="n"/>
      <c r="BY428" s="53" t="n"/>
      <c r="BZ428" s="53" t="n"/>
      <c r="CA428" s="53" t="n"/>
      <c r="CB428" s="53" t="n"/>
      <c r="CC428" s="53" t="n"/>
      <c r="CD428" s="53" t="n"/>
      <c r="CE428" s="53" t="n"/>
      <c r="CF428" s="53" t="n"/>
      <c r="CG428" s="53" t="n"/>
      <c r="CH428" s="53" t="n"/>
      <c r="CI428" s="53" t="n"/>
      <c r="CJ428" s="53" t="n"/>
      <c r="CK428" s="53" t="n"/>
      <c r="CL428" s="53" t="n"/>
      <c r="CM428" s="53" t="n"/>
      <c r="CN428" s="53" t="n"/>
      <c r="CO428" s="53" t="n"/>
      <c r="CP428" s="53" t="n"/>
      <c r="CQ428" s="53" t="n"/>
      <c r="CR428" s="53" t="n"/>
      <c r="CS428" s="53" t="n"/>
      <c r="CT428" s="53" t="n"/>
      <c r="CU428" s="53" t="n"/>
      <c r="CV428" s="53" t="n"/>
      <c r="CW428" s="53" t="n"/>
      <c r="CX428" s="53" t="n"/>
      <c r="CY428" s="53" t="n"/>
      <c r="CZ428" s="53" t="n"/>
      <c r="DA428" s="53" t="n"/>
      <c r="DB428" s="53" t="n"/>
      <c r="DC428" s="53" t="n"/>
      <c r="DD428" s="53" t="inlineStr">
        <is>
          <t>IRIS2486</t>
        </is>
      </c>
      <c r="DE428" s="53" t="inlineStr">
        <is>
          <t>Employee</t>
        </is>
      </c>
      <c r="DF428" s="53" t="inlineStr">
        <is>
          <t>Active</t>
        </is>
      </c>
      <c r="DG428" s="53" t="inlineStr">
        <is>
          <t>Jothi Pillai</t>
        </is>
      </c>
      <c r="DH428" s="54" t="n">
        <v>46083</v>
      </c>
      <c r="DI428" s="53" t="inlineStr">
        <is>
          <t>Operations Executive</t>
        </is>
      </c>
      <c r="DJ428" s="53" t="inlineStr">
        <is>
          <t>Sales &amp; Business Development</t>
        </is>
      </c>
      <c r="DK428" s="53" t="inlineStr">
        <is>
          <t>Sales Development · SDR</t>
        </is>
      </c>
      <c r="DL428" s="53" t="inlineStr">
        <is>
          <t>Operations Executive</t>
        </is>
      </c>
      <c r="DM428" s="53" t="inlineStr">
        <is>
          <t>L3 – Professional / Associate</t>
        </is>
      </c>
      <c r="DN428" s="53" t="inlineStr">
        <is>
          <t>B.Com</t>
        </is>
      </c>
      <c r="DO428" s="53" t="inlineStr">
        <is>
          <t>Raghin Nair</t>
        </is>
      </c>
      <c r="DP428" s="53" t="inlineStr">
        <is>
          <t>N-3</t>
        </is>
      </c>
      <c r="DQ428" s="53" t="inlineStr">
        <is>
          <t>Individual Contributor</t>
        </is>
      </c>
      <c r="DR428" s="53" t="inlineStr">
        <is>
          <t>0 years, 7 months, 0 days</t>
        </is>
      </c>
      <c r="DS428" s="53" t="inlineStr">
        <is>
          <t>0 years, 3 months, 18 days</t>
        </is>
      </c>
      <c r="DT428" s="53" t="inlineStr">
        <is>
          <t>0 years, 10 months, 18 days</t>
        </is>
      </c>
      <c r="DU428" s="53" t="n"/>
      <c r="DV428" s="53" t="inlineStr">
        <is>
          <t>Datatech</t>
        </is>
      </c>
      <c r="DW428" s="53" t="inlineStr">
        <is>
          <t>Datatech</t>
        </is>
      </c>
      <c r="DX428" s="53" t="inlineStr">
        <is>
          <t>Datatech - Outreach</t>
        </is>
      </c>
      <c r="DY428" s="53" t="inlineStr">
        <is>
          <t>Sales</t>
        </is>
      </c>
      <c r="DZ428" s="53" t="inlineStr">
        <is>
          <t>No</t>
        </is>
      </c>
      <c r="EA428" s="53" t="inlineStr">
        <is>
          <t>Sales, Marketing &amp; Support</t>
        </is>
      </c>
      <c r="EB428" s="53" t="inlineStr">
        <is>
          <t>Sales</t>
        </is>
      </c>
      <c r="EC428" s="53" t="inlineStr">
        <is>
          <t>Non-technical</t>
        </is>
      </c>
      <c r="ED428" s="53" t="inlineStr">
        <is>
          <t>Turbhe</t>
        </is>
      </c>
      <c r="EE428" s="53" t="n"/>
      <c r="EF428" s="53" t="inlineStr">
        <is>
          <t>1. Business Loan Applications - Achieve 40% Submit-to-Bank ratio, ramping quarter over quarter to 40% · Baseline: ~10% - Weightage: 55%
2. BHR Sales - Sell 240 BHR units per quarter - Weightage: 45%</t>
        </is>
      </c>
      <c r="EG428" s="53" t="inlineStr">
        <is>
          <t>1. Business Loan Applications - Submit-to-Bank ratio target this quarter: 40%
2. BHR Sales - Target: 60 BHR units this quarter</t>
        </is>
      </c>
      <c r="EH428" s="53" t="n">
        <v>2</v>
      </c>
      <c r="EI428" s="54" t="n">
        <v>46225</v>
      </c>
      <c r="EJ428" s="53" t="inlineStr">
        <is>
          <t>Operations Executive</t>
        </is>
      </c>
      <c r="EK428" s="53" t="inlineStr">
        <is>
          <t>No</t>
        </is>
      </c>
      <c r="EL428" s="53" t="n">
        <v>2</v>
      </c>
      <c r="EM428" s="53" t="inlineStr">
        <is>
          <t>Low</t>
        </is>
      </c>
      <c r="EN428" s="53" t="inlineStr">
        <is>
          <t>Underperformer / Exit Risk</t>
        </is>
      </c>
      <c r="EO428" s="53" t="inlineStr">
        <is>
          <t>No</t>
        </is>
      </c>
      <c r="EP428" s="53" t="inlineStr">
        <is>
          <t>No</t>
        </is>
      </c>
      <c r="EQ428" s="53" t="inlineStr">
        <is>
          <t>Yes</t>
        </is>
      </c>
      <c r="ER428" s="53" t="n"/>
      <c r="ES428" s="53" t="inlineStr">
        <is>
          <t>Prioritization/pipeline management; Objection handling; Product knowledge; Sales approach/confidence on calls</t>
        </is>
      </c>
      <c r="ET428" s="53" t="n"/>
      <c r="EU428" s="53" t="n"/>
      <c r="EV428" s="53" t="inlineStr">
        <is>
          <t>Peridot App</t>
        </is>
      </c>
      <c r="EW428" s="52" t="n"/>
      <c r="EX428" s="53" t="n"/>
      <c r="EY428" s="53" t="n"/>
      <c r="EZ428" s="53" t="n"/>
      <c r="FA428" s="53" t="n"/>
      <c r="FB428" s="53" t="n"/>
      <c r="FC428" s="53" t="n"/>
      <c r="FD428" s="53" t="inlineStr">
        <is>
          <t>IRIS2486</t>
        </is>
      </c>
      <c r="FE428" s="57" t="inlineStr">
        <is>
          <t>1. Business Loan Applications - Achieve 40% Submit-to-Bank ratio, ramping quarter over quarter to 40% · Baseline: ~10% - Weightage: 55%
2. BHR Sales - Sell 240 BHR units per quarter - Weightage: 45%</t>
        </is>
      </c>
      <c r="FF428" s="56" t="inlineStr">
        <is>
          <t>1. Business Loan Applications - Submit-to-Bank ratio target this quarter: 40%
2. BHR Sales - Target: 60 BHR units this quarter</t>
        </is>
      </c>
      <c r="FG428" s="56" t="n"/>
      <c r="FH428" s="56" t="inlineStr">
        <is>
          <t>2</t>
        </is>
      </c>
      <c r="FI428" s="56" t="n"/>
      <c r="FJ428" s="56" t="inlineStr">
        <is>
          <t>Received · manager annual, quarterly</t>
        </is>
      </c>
      <c r="FK428" s="56" t="inlineStr">
        <is>
          <t>Talent Mapping · Datatech</t>
        </is>
      </c>
      <c r="FL428" s="56" t="n">
        <v>0</v>
      </c>
      <c r="FM428" s="32" t="inlineStr">
        <is>
          <t>No survey response on file</t>
        </is>
      </c>
      <c r="FN428" s="56" t="inlineStr">
        <is>
          <t>—</t>
        </is>
      </c>
      <c r="FO428" s="56" t="inlineStr">
        <is>
          <t>—</t>
        </is>
      </c>
      <c r="FP428" s="56" t="inlineStr">
        <is>
          <t>—</t>
        </is>
      </c>
      <c r="FQ428" s="56" t="inlineStr">
        <is>
          <t>—</t>
        </is>
      </c>
      <c r="FR428" s="56"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Evidence reads like A1: KRAs are 100% individual targets; no people responsibility → matches the start
Business Impact: Moved +0.5: the survey / manager mapping marks it business-critical.</t>
        </is>
      </c>
      <c r="FS428"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FT428" s="56" t="n"/>
      <c r="FU428" s="32" t="inlineStr">
        <is>
          <t>No survey response on file</t>
        </is>
      </c>
    </row>
    <row r="429" ht="90" customHeight="1">
      <c r="A429" s="51" t="inlineStr">
        <is>
          <t>◂ Back</t>
        </is>
      </c>
      <c r="B429" s="29" t="inlineStr">
        <is>
          <t>Mapped</t>
        </is>
      </c>
      <c r="C429" s="28" t="inlineStr">
        <is>
          <t>Datatech</t>
        </is>
      </c>
      <c r="D429" s="29" t="inlineStr">
        <is>
          <t>IRISDTC004</t>
        </is>
      </c>
      <c r="E429" s="29" t="inlineStr">
        <is>
          <t>Sameeksha More</t>
        </is>
      </c>
      <c r="F429" s="29" t="inlineStr">
        <is>
          <t>Datatech - Outreach</t>
        </is>
      </c>
      <c r="G429" s="29" t="inlineStr">
        <is>
          <t>MIS Associate</t>
        </is>
      </c>
      <c r="H429" s="29" t="inlineStr">
        <is>
          <t>MIS Associate</t>
        </is>
      </c>
      <c r="I429" s="29" t="inlineStr">
        <is>
          <t>Not in current mapping files</t>
        </is>
      </c>
      <c r="J429" s="29" t="inlineStr">
        <is>
          <t>A2</t>
        </is>
      </c>
      <c r="K429" s="29" t="inlineStr">
        <is>
          <t>● Newly mapped</t>
        </is>
      </c>
      <c r="L429" s="29" t="inlineStr">
        <is>
          <t>Data &amp; Analytics</t>
        </is>
      </c>
      <c r="M429" s="29" t="inlineStr">
        <is>
          <t>MIS &amp; Business Reporting</t>
        </is>
      </c>
      <c r="N429" s="29" t="n"/>
      <c r="O429" s="29" t="n">
        <v>20</v>
      </c>
      <c r="P429" s="28" t="inlineStr">
        <is>
          <t>P1–P2</t>
        </is>
      </c>
      <c r="Q429" s="29" t="inlineStr">
        <is>
          <t>Entry / Developing</t>
        </is>
      </c>
      <c r="R429" s="29" t="inlineStr">
        <is>
          <t>2 Assist</t>
        </is>
      </c>
      <c r="S429" s="29" t="inlineStr">
        <is>
          <t>0–2 yrs</t>
        </is>
      </c>
      <c r="T429" s="29" t="inlineStr">
        <is>
          <t>1–3 · 0–3</t>
        </is>
      </c>
      <c r="U429" s="29" t="inlineStr">
        <is>
          <t>Junior Data Analyst / Data Analyst</t>
        </is>
      </c>
      <c r="V429" s="29" t="inlineStr">
        <is>
          <t>Atlassian company-wide P-levels: P30 Analyst · IRIS Vs Competitor Benchmark — data analyst ladder: Data Analyst I</t>
        </is>
      </c>
      <c r="W429" s="29" t="inlineStr">
        <is>
          <t>DAMA-DMBOK · 11 knowledge areas around data governance</t>
        </is>
      </c>
      <c r="X429" s="29" t="inlineStr">
        <is>
          <t>Core 2 · Future 2 · Functional 2 · Leadership not scored</t>
        </is>
      </c>
      <c r="Y429" s="52" t="n">
        <v>557</v>
      </c>
      <c r="Z429" s="53" t="inlineStr">
        <is>
          <t>IRISDTC004</t>
        </is>
      </c>
      <c r="AA429" s="53" t="inlineStr">
        <is>
          <t>On Contract</t>
        </is>
      </c>
      <c r="AB429" s="53" t="inlineStr">
        <is>
          <t>Active</t>
        </is>
      </c>
      <c r="AC429" s="53" t="inlineStr">
        <is>
          <t>Sameeksha More</t>
        </is>
      </c>
      <c r="AD429" s="54" t="n">
        <v>46181</v>
      </c>
      <c r="AE429" s="53" t="inlineStr">
        <is>
          <t>MIS Associate</t>
        </is>
      </c>
      <c r="AF429" s="53" t="inlineStr">
        <is>
          <t>Diploma In Computer Technology</t>
        </is>
      </c>
      <c r="AG429" s="53" t="inlineStr">
        <is>
          <t>Raghin Nair</t>
        </is>
      </c>
      <c r="AH429" s="53" t="inlineStr">
        <is>
          <t>N-3</t>
        </is>
      </c>
      <c r="AI429" s="53" t="inlineStr">
        <is>
          <t>Individual Contributor</t>
        </is>
      </c>
      <c r="AJ429" s="53" t="inlineStr">
        <is>
          <t>0 years, 3 months, 0 days</t>
        </is>
      </c>
      <c r="AK429" s="53" t="inlineStr">
        <is>
          <t>0 years, 2 months, 17 days</t>
        </is>
      </c>
      <c r="AL429" s="53" t="inlineStr">
        <is>
          <t>Datatech</t>
        </is>
      </c>
      <c r="AM429" s="53" t="inlineStr">
        <is>
          <t>Datatech</t>
        </is>
      </c>
      <c r="AN429" s="53" t="inlineStr">
        <is>
          <t>Datatech - Outreach</t>
        </is>
      </c>
      <c r="AO429" s="53" t="inlineStr">
        <is>
          <t>Sales</t>
        </is>
      </c>
      <c r="AP429" s="53" t="inlineStr">
        <is>
          <t>No</t>
        </is>
      </c>
      <c r="AQ429" s="53" t="inlineStr">
        <is>
          <t>Sales, Marketing &amp; Support</t>
        </is>
      </c>
      <c r="AR429" s="53" t="inlineStr">
        <is>
          <t>Sales</t>
        </is>
      </c>
      <c r="AS429" s="53" t="inlineStr">
        <is>
          <t>Non-technical</t>
        </is>
      </c>
      <c r="AT429" s="53" t="n">
        <v>20</v>
      </c>
      <c r="AU429" s="53" t="inlineStr">
        <is>
          <t>Covered</t>
        </is>
      </c>
      <c r="AV429" s="53" t="n"/>
      <c r="AW429" s="53" t="n"/>
      <c r="AX429" s="53" t="n"/>
      <c r="AY429" s="53" t="n"/>
      <c r="AZ429" s="53" t="n"/>
      <c r="BA429" s="53" t="n"/>
      <c r="BB429" s="53" t="n"/>
      <c r="BC429" s="53" t="n"/>
      <c r="BD429" s="53" t="n"/>
      <c r="BE429" s="53" t="n"/>
      <c r="BF429" s="53" t="n"/>
      <c r="BG429" s="53" t="n"/>
      <c r="BH429" s="53" t="n"/>
      <c r="BI429" s="53" t="n"/>
      <c r="BJ429" s="53" t="n"/>
      <c r="BK429" s="53" t="n"/>
      <c r="BL429" s="53" t="n"/>
      <c r="BM429" s="53" t="n"/>
      <c r="BN429" s="53" t="n"/>
      <c r="BO429" s="53" t="n"/>
      <c r="BP429" s="53" t="n"/>
      <c r="BQ429" s="53" t="n"/>
      <c r="BR429" s="53" t="n"/>
      <c r="BS429" s="53" t="n"/>
      <c r="BT429" s="53" t="n"/>
      <c r="BU429" s="53" t="n"/>
      <c r="BV429" s="53" t="n"/>
      <c r="BW429" s="53" t="n"/>
      <c r="BX429" s="53" t="n"/>
      <c r="BY429" s="53" t="n"/>
      <c r="BZ429" s="53" t="n"/>
      <c r="CA429" s="53" t="n"/>
      <c r="CB429" s="53" t="n"/>
      <c r="CC429" s="53" t="n"/>
      <c r="CD429" s="53" t="n"/>
      <c r="CE429" s="53" t="n"/>
      <c r="CF429" s="53" t="n"/>
      <c r="CG429" s="53" t="n"/>
      <c r="CH429" s="53" t="n"/>
      <c r="CI429" s="53" t="n"/>
      <c r="CJ429" s="53" t="n"/>
      <c r="CK429" s="53" t="n"/>
      <c r="CL429" s="53" t="n"/>
      <c r="CM429" s="53" t="n"/>
      <c r="CN429" s="53" t="n"/>
      <c r="CO429" s="53" t="n"/>
      <c r="CP429" s="53" t="n"/>
      <c r="CQ429" s="53" t="n"/>
      <c r="CR429" s="53" t="n"/>
      <c r="CS429" s="53" t="n"/>
      <c r="CT429" s="53" t="n"/>
      <c r="CU429" s="53" t="n"/>
      <c r="CV429" s="53" t="n"/>
      <c r="CW429" s="53" t="n"/>
      <c r="CX429" s="53" t="n"/>
      <c r="CY429" s="53" t="n"/>
      <c r="CZ429" s="53" t="n"/>
      <c r="DA429" s="53" t="n"/>
      <c r="DB429" s="53" t="n"/>
      <c r="DC429" s="53" t="n"/>
      <c r="DD429" s="53" t="n"/>
      <c r="DE429" s="53" t="inlineStr">
        <is>
          <t>On Contract</t>
        </is>
      </c>
      <c r="DF429" s="53" t="inlineStr">
        <is>
          <t>Active</t>
        </is>
      </c>
      <c r="DG429" s="53" t="inlineStr">
        <is>
          <t>Sameeksha More</t>
        </is>
      </c>
      <c r="DH429" s="53" t="n"/>
      <c r="DI429" s="53" t="inlineStr">
        <is>
          <t>MIS Associate</t>
        </is>
      </c>
      <c r="DJ429" s="53" t="n"/>
      <c r="DK429" s="53" t="n"/>
      <c r="DL429" s="53" t="n"/>
      <c r="DM429" s="53" t="n"/>
      <c r="DN429" s="53" t="n"/>
      <c r="DO429" s="53" t="inlineStr">
        <is>
          <t>Raghin Nair</t>
        </is>
      </c>
      <c r="DP429" s="53" t="n"/>
      <c r="DQ429" s="53" t="n"/>
      <c r="DR429" s="53" t="n"/>
      <c r="DS429" s="53" t="n"/>
      <c r="DT429" s="53" t="n"/>
      <c r="DU429" s="53" t="n"/>
      <c r="DV429" s="53" t="inlineStr">
        <is>
          <t>Datatech</t>
        </is>
      </c>
      <c r="DW429" s="53" t="inlineStr">
        <is>
          <t>Datatech</t>
        </is>
      </c>
      <c r="DX429" s="53" t="inlineStr">
        <is>
          <t>Datatech - Outreach</t>
        </is>
      </c>
      <c r="DY429" s="53" t="inlineStr">
        <is>
          <t>Sales</t>
        </is>
      </c>
      <c r="DZ429" s="53" t="inlineStr">
        <is>
          <t>No</t>
        </is>
      </c>
      <c r="EA429" s="53" t="inlineStr">
        <is>
          <t>Sales, Marketing &amp; Support</t>
        </is>
      </c>
      <c r="EB429" s="53" t="inlineStr">
        <is>
          <t>Support</t>
        </is>
      </c>
      <c r="EC429" s="53" t="inlineStr">
        <is>
          <t>Non-technical</t>
        </is>
      </c>
      <c r="ED429" s="53" t="inlineStr">
        <is>
          <t>Turbhe</t>
        </is>
      </c>
      <c r="EE429" s="53" t="n"/>
      <c r="EF429" s="53" t="inlineStr">
        <is>
          <t>1. Accuracy - Maintain report error rate below 20% - Weightage: 50%
2. Turnaround Time · TAT - Deliver reports within 24 hours of request, no exceptions - Weightage: 50%</t>
        </is>
      </c>
      <c r="EG429" s="53" t="inlineStr">
        <is>
          <t>Same accuracy/TAT standard as annual, adjusted for this quarter's expected report volume: 12 reports
1. Accuracy - error rate below 20%
2. TAT - within 24 hours/days of request</t>
        </is>
      </c>
      <c r="EH429" s="53" t="n">
        <v>4</v>
      </c>
      <c r="EI429" s="53" t="n"/>
      <c r="EJ429" s="53" t="inlineStr">
        <is>
          <t>MIS Associate</t>
        </is>
      </c>
      <c r="EK429" s="53" t="inlineStr">
        <is>
          <t>No</t>
        </is>
      </c>
      <c r="EL429" s="53" t="n">
        <v>4</v>
      </c>
      <c r="EM429" s="53" t="inlineStr">
        <is>
          <t>Medium</t>
        </is>
      </c>
      <c r="EN429" s="53" t="inlineStr">
        <is>
          <t>Core Contributor</t>
        </is>
      </c>
      <c r="EO429" s="53" t="inlineStr">
        <is>
          <t>No</t>
        </is>
      </c>
      <c r="EP429" s="53" t="inlineStr">
        <is>
          <t>Yes</t>
        </is>
      </c>
      <c r="EQ429" s="53" t="inlineStr">
        <is>
          <t>Yes</t>
        </is>
      </c>
      <c r="ER429" s="53" t="n"/>
      <c r="ES429" s="53" t="n"/>
      <c r="ET429" s="53" t="inlineStr">
        <is>
          <t>Decision: Contract extension · not conversion at this point for 6-12 months.</t>
        </is>
      </c>
      <c r="EU429" s="53" t="n"/>
      <c r="EV429" s="53" t="inlineStr">
        <is>
          <t>All</t>
        </is>
      </c>
      <c r="EW429" s="52" t="n"/>
      <c r="EX429" s="53" t="n"/>
      <c r="EY429" s="53" t="n"/>
      <c r="EZ429" s="53" t="n"/>
      <c r="FA429" s="53" t="n"/>
      <c r="FB429" s="53" t="n"/>
      <c r="FC429" s="53" t="n"/>
      <c r="FD429" s="53" t="n"/>
      <c r="FE429" s="57" t="inlineStr">
        <is>
          <t>1. Accuracy - Maintain report error rate below 20% - Weightage: 50%
2. Turnaround Time · TAT - Deliver reports within 24 hours of request, no exceptions - Weightage: 50%</t>
        </is>
      </c>
      <c r="FF429" s="56" t="inlineStr">
        <is>
          <t>Same accuracy/TAT standard as annual, adjusted for this quarter's expected report volume: 12 reports
1. Accuracy - error rate below 20%
2. TAT - within 24 hours/days of request</t>
        </is>
      </c>
      <c r="FG429" s="56" t="n"/>
      <c r="FH429" s="56" t="inlineStr">
        <is>
          <t>4</t>
        </is>
      </c>
      <c r="FI429" s="56" t="n"/>
      <c r="FJ429" s="56" t="inlineStr">
        <is>
          <t>Received · manager annual, quarterly</t>
        </is>
      </c>
      <c r="FK429" s="56" t="inlineStr">
        <is>
          <t>Talent Mapping · Datatech</t>
        </is>
      </c>
      <c r="FL429" s="56" t="n">
        <v>20</v>
      </c>
      <c r="FM429" s="32" t="inlineStr">
        <is>
          <t>Full survey answers not in the files received · How We Grow export needed · HR</t>
        </is>
      </c>
      <c r="FN429" s="56" t="inlineStr">
        <is>
          <t>—</t>
        </is>
      </c>
      <c r="FO429" s="56" t="inlineStr">
        <is>
          <t>—</t>
        </is>
      </c>
      <c r="FP429" s="56" t="inlineStr">
        <is>
          <t>—</t>
        </is>
      </c>
      <c r="FQ429" s="56" t="inlineStr">
        <is>
          <t>—</t>
        </is>
      </c>
      <c r="FR429" s="56"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start
Leadership: Evidence reads like A1: No guidance or leadership of others described → matches the start
Business Impact: Moved +0.5: the survey / manager mapping marks it business-critical.</t>
        </is>
      </c>
      <c r="FS429" s="56" t="n"/>
      <c r="FT429" s="56" t="inlineStr">
        <is>
          <t>Self-identified: Technical depth &amp; architecture · Data, SQL &amp; analytics
For the next role: Technical depth &amp; architecture · Data, SQL &amp; analytics</t>
        </is>
      </c>
      <c r="FU429" s="32" t="inlineStr">
        <is>
          <t>Full survey answers not in the files received · How We Grow export needed · HR</t>
        </is>
      </c>
    </row>
    <row r="430" ht="90" customHeight="1">
      <c r="A430" s="51" t="inlineStr">
        <is>
          <t>◂ Back</t>
        </is>
      </c>
      <c r="B430" s="29" t="inlineStr">
        <is>
          <t>Mapped</t>
        </is>
      </c>
      <c r="C430" s="28" t="inlineStr">
        <is>
          <t>Datatech</t>
        </is>
      </c>
      <c r="D430" s="29" t="inlineStr">
        <is>
          <t>IRISDTC003</t>
        </is>
      </c>
      <c r="E430" s="29" t="inlineStr">
        <is>
          <t>Vaibhav Dukare</t>
        </is>
      </c>
      <c r="F430" s="29" t="inlineStr">
        <is>
          <t>Datatech - Outreach</t>
        </is>
      </c>
      <c r="G430" s="29" t="inlineStr">
        <is>
          <t>Customer Engagement Executive</t>
        </is>
      </c>
      <c r="H430" s="29" t="inlineStr">
        <is>
          <t>Program Executive</t>
        </is>
      </c>
      <c r="I430" s="29" t="inlineStr">
        <is>
          <t>L3 – Professional / Associate</t>
        </is>
      </c>
      <c r="J430" s="29" t="inlineStr">
        <is>
          <t>A2</t>
        </is>
      </c>
      <c r="K430" s="29" t="inlineStr">
        <is>
          <t>• Same level</t>
        </is>
      </c>
      <c r="L430" s="29" t="inlineStr">
        <is>
          <t>Sales &amp; Business Development</t>
        </is>
      </c>
      <c r="M430" s="29" t="inlineStr">
        <is>
          <t>Field Outreach &amp; Programme Sales</t>
        </is>
      </c>
      <c r="N430" s="29" t="n"/>
      <c r="O430" s="29" t="n">
        <v>19</v>
      </c>
      <c r="P430" s="28" t="inlineStr">
        <is>
          <t>P1–P2</t>
        </is>
      </c>
      <c r="Q430" s="29" t="inlineStr">
        <is>
          <t>Entry / Developing</t>
        </is>
      </c>
      <c r="R430" s="29" t="inlineStr">
        <is>
          <t>2 Assist</t>
        </is>
      </c>
      <c r="S430" s="29" t="inlineStr">
        <is>
          <t>0–2 yrs</t>
        </is>
      </c>
      <c r="T430" s="29" t="inlineStr">
        <is>
          <t>1–3 · 0–3</t>
        </is>
      </c>
      <c r="U430" s="29" t="inlineStr">
        <is>
          <t>SDR · entry / SDR / Inside Sales</t>
        </is>
      </c>
      <c r="V430" s="29" t="inlineStr">
        <is>
          <t>IRIS Vs Competitor Benchmark — SaaS sales ladder — IC: SDR / BDR</t>
        </is>
      </c>
      <c r="W430" s="29" t="inlineStr">
        <is>
          <t>SaaS sales ladder · SDR → AE → Enterprise AE → VP / CRO; MEDDICC-style qualification</t>
        </is>
      </c>
      <c r="X430" s="29" t="inlineStr">
        <is>
          <t>Core 2 · Future 2 · Functional 2 · Leadership not scored</t>
        </is>
      </c>
      <c r="Y430" s="52" t="n">
        <v>554</v>
      </c>
      <c r="Z430" s="53" t="inlineStr">
        <is>
          <t>IRISDTC003</t>
        </is>
      </c>
      <c r="AA430" s="53" t="inlineStr">
        <is>
          <t>On Contract</t>
        </is>
      </c>
      <c r="AB430" s="53" t="inlineStr">
        <is>
          <t>Active</t>
        </is>
      </c>
      <c r="AC430" s="53" t="inlineStr">
        <is>
          <t>Vaibhav Dukare</t>
        </is>
      </c>
      <c r="AD430" s="54" t="n">
        <v>46114</v>
      </c>
      <c r="AE430" s="53" t="inlineStr">
        <is>
          <t>Customer Engagement Executive</t>
        </is>
      </c>
      <c r="AF430" s="53" t="inlineStr">
        <is>
          <t>B.E</t>
        </is>
      </c>
      <c r="AG430" s="53" t="inlineStr">
        <is>
          <t>Raghin Nair</t>
        </is>
      </c>
      <c r="AH430" s="53" t="inlineStr">
        <is>
          <t>N-3</t>
        </is>
      </c>
      <c r="AI430" s="53" t="inlineStr">
        <is>
          <t>Individual Contributor</t>
        </is>
      </c>
      <c r="AJ430" s="53" t="inlineStr">
        <is>
          <t>1 years, 2 months, 0 days</t>
        </is>
      </c>
      <c r="AK430" s="53" t="inlineStr">
        <is>
          <t>0 years, 2 months, 13 days</t>
        </is>
      </c>
      <c r="AL430" s="53" t="inlineStr">
        <is>
          <t>Datatech</t>
        </is>
      </c>
      <c r="AM430" s="53" t="inlineStr">
        <is>
          <t>Datatech</t>
        </is>
      </c>
      <c r="AN430" s="53" t="inlineStr">
        <is>
          <t>Datatech - Outreach</t>
        </is>
      </c>
      <c r="AO430" s="53" t="inlineStr">
        <is>
          <t>Sales</t>
        </is>
      </c>
      <c r="AP430" s="53" t="inlineStr">
        <is>
          <t>No</t>
        </is>
      </c>
      <c r="AQ430" s="53" t="inlineStr">
        <is>
          <t>Sales, Marketing &amp; Support</t>
        </is>
      </c>
      <c r="AR430" s="53" t="inlineStr">
        <is>
          <t>Sales</t>
        </is>
      </c>
      <c r="AS430" s="53" t="inlineStr">
        <is>
          <t>Non-technical</t>
        </is>
      </c>
      <c r="AT430" s="53" t="n">
        <v>20</v>
      </c>
      <c r="AU430" s="53" t="inlineStr">
        <is>
          <t>Covered</t>
        </is>
      </c>
      <c r="AV430" s="53" t="n"/>
      <c r="AW430" s="53" t="n"/>
      <c r="AX430" s="53" t="n"/>
      <c r="AY430" s="53" t="n"/>
      <c r="AZ430" s="53" t="n"/>
      <c r="BA430" s="53" t="n"/>
      <c r="BB430" s="53" t="n"/>
      <c r="BC430" s="53" t="n"/>
      <c r="BD430" s="53" t="n"/>
      <c r="BE430" s="53" t="n"/>
      <c r="BF430" s="53" t="n"/>
      <c r="BG430" s="53" t="n"/>
      <c r="BH430" s="53" t="n"/>
      <c r="BI430" s="53" t="n"/>
      <c r="BJ430" s="53" t="n"/>
      <c r="BK430" s="53" t="n"/>
      <c r="BL430" s="53" t="n"/>
      <c r="BM430" s="53" t="n"/>
      <c r="BN430" s="53" t="n"/>
      <c r="BO430" s="53" t="n"/>
      <c r="BP430" s="53" t="n"/>
      <c r="BQ430" s="53" t="n"/>
      <c r="BR430" s="53" t="n"/>
      <c r="BS430" s="53" t="n"/>
      <c r="BT430" s="53" t="n"/>
      <c r="BU430" s="53" t="n"/>
      <c r="BV430" s="53" t="n"/>
      <c r="BW430" s="53" t="n"/>
      <c r="BX430" s="53" t="n"/>
      <c r="BY430" s="53" t="n"/>
      <c r="BZ430" s="53" t="n"/>
      <c r="CA430" s="53" t="n"/>
      <c r="CB430" s="53" t="n"/>
      <c r="CC430" s="53" t="n"/>
      <c r="CD430" s="53" t="n"/>
      <c r="CE430" s="53" t="n"/>
      <c r="CF430" s="53" t="n"/>
      <c r="CG430" s="53" t="n"/>
      <c r="CH430" s="53" t="n"/>
      <c r="CI430" s="53" t="n"/>
      <c r="CJ430" s="53" t="n"/>
      <c r="CK430" s="53" t="n"/>
      <c r="CL430" s="53" t="n"/>
      <c r="CM430" s="53" t="n"/>
      <c r="CN430" s="53" t="n"/>
      <c r="CO430" s="53" t="n"/>
      <c r="CP430" s="53" t="n"/>
      <c r="CQ430" s="53" t="n"/>
      <c r="CR430" s="53" t="n"/>
      <c r="CS430" s="53" t="n"/>
      <c r="CT430" s="53" t="n"/>
      <c r="CU430" s="53" t="n"/>
      <c r="CV430" s="53" t="n"/>
      <c r="CW430" s="53" t="n"/>
      <c r="CX430" s="53" t="n"/>
      <c r="CY430" s="53" t="n"/>
      <c r="CZ430" s="53" t="n"/>
      <c r="DA430" s="53" t="n"/>
      <c r="DB430" s="53" t="n"/>
      <c r="DC430" s="53" t="n"/>
      <c r="DD430" s="53" t="inlineStr">
        <is>
          <t>IRISC346</t>
        </is>
      </c>
      <c r="DE430" s="53" t="inlineStr">
        <is>
          <t>On Contract</t>
        </is>
      </c>
      <c r="DF430" s="53" t="inlineStr">
        <is>
          <t>Active</t>
        </is>
      </c>
      <c r="DG430" s="53" t="inlineStr">
        <is>
          <t>Vaibhav Dukare</t>
        </is>
      </c>
      <c r="DH430" s="54" t="n">
        <v>46114</v>
      </c>
      <c r="DI430" s="53" t="inlineStr">
        <is>
          <t>Customer Engagement Executive</t>
        </is>
      </c>
      <c r="DJ430" s="53" t="inlineStr">
        <is>
          <t>Sales &amp; Business Development</t>
        </is>
      </c>
      <c r="DK430" s="53" t="inlineStr">
        <is>
          <t>Sales Development · SDR</t>
        </is>
      </c>
      <c r="DL430" s="53" t="inlineStr">
        <is>
          <t>Customer Engagement Executive</t>
        </is>
      </c>
      <c r="DM430" s="53" t="inlineStr">
        <is>
          <t>L3 – Professional / Associate</t>
        </is>
      </c>
      <c r="DN430" s="53" t="inlineStr">
        <is>
          <t>B.E</t>
        </is>
      </c>
      <c r="DO430" s="53" t="inlineStr">
        <is>
          <t>Raghin Nair</t>
        </is>
      </c>
      <c r="DP430" s="53" t="inlineStr">
        <is>
          <t>N-3</t>
        </is>
      </c>
      <c r="DQ430" s="53" t="inlineStr">
        <is>
          <t>Individual Contributor</t>
        </is>
      </c>
      <c r="DR430" s="53" t="inlineStr">
        <is>
          <t>1 years, 2 months, 0 days</t>
        </is>
      </c>
      <c r="DS430" s="53" t="inlineStr">
        <is>
          <t>0 years, 2 months, 18 days</t>
        </is>
      </c>
      <c r="DT430" s="53" t="inlineStr">
        <is>
          <t>1 years, 4 months, 18 days</t>
        </is>
      </c>
      <c r="DU430" s="53" t="n"/>
      <c r="DV430" s="53" t="inlineStr">
        <is>
          <t>Datatech</t>
        </is>
      </c>
      <c r="DW430" s="53" t="inlineStr">
        <is>
          <t>Datatech</t>
        </is>
      </c>
      <c r="DX430" s="53" t="inlineStr">
        <is>
          <t>Datatech - Outreach</t>
        </is>
      </c>
      <c r="DY430" s="53" t="inlineStr">
        <is>
          <t>Sales</t>
        </is>
      </c>
      <c r="DZ430" s="53" t="inlineStr">
        <is>
          <t>No</t>
        </is>
      </c>
      <c r="EA430" s="53" t="inlineStr">
        <is>
          <t>Sales, Marketing &amp; Support</t>
        </is>
      </c>
      <c r="EB430" s="53" t="inlineStr">
        <is>
          <t>Sales</t>
        </is>
      </c>
      <c r="EC430" s="53" t="inlineStr">
        <is>
          <t>Non-technical</t>
        </is>
      </c>
      <c r="ED430" s="53" t="inlineStr">
        <is>
          <t>Turbhe</t>
        </is>
      </c>
      <c r="EE430" s="53" t="n"/>
      <c r="EF430" s="53" t="inlineStr">
        <is>
          <t>1. Business Loan Applications - Achieve 40% Submit-to-Bank ratio, ramping quarter over quarter to 40% · Baseline: ~10% - Weightage: 55%
2. BHR Sales - Sell 240 BHR units per quarter - Weightage: 45%</t>
        </is>
      </c>
      <c r="EG430" s="53" t="inlineStr">
        <is>
          <t>1. Business Loan Applications - Submit-to-Bank ratio target this quarter: 40%
2. BHR Sales - Target: 60 BHR units this quarter</t>
        </is>
      </c>
      <c r="EH430" s="53" t="n">
        <v>3</v>
      </c>
      <c r="EI430" s="54" t="n">
        <v>46225</v>
      </c>
      <c r="EJ430" s="53" t="inlineStr">
        <is>
          <t>Customer Engagement Executive</t>
        </is>
      </c>
      <c r="EK430" s="53" t="inlineStr">
        <is>
          <t>No</t>
        </is>
      </c>
      <c r="EL430" s="53" t="n">
        <v>3</v>
      </c>
      <c r="EM430" s="53" t="inlineStr">
        <is>
          <t>Medium</t>
        </is>
      </c>
      <c r="EN430" s="53" t="inlineStr">
        <is>
          <t>Core Contributor</t>
        </is>
      </c>
      <c r="EO430" s="53" t="inlineStr">
        <is>
          <t>No</t>
        </is>
      </c>
      <c r="EP430" s="53" t="inlineStr">
        <is>
          <t>Yes</t>
        </is>
      </c>
      <c r="EQ430" s="53" t="inlineStr">
        <is>
          <t>Yes</t>
        </is>
      </c>
      <c r="ER430" s="53" t="n"/>
      <c r="ES430" s="53" t="inlineStr">
        <is>
          <t>Prioritization/pipeline management - case prioritization, knowing when to move on vs. push further on a stuck file</t>
        </is>
      </c>
      <c r="ET430" s="53" t="inlineStr">
        <is>
          <t>Target role: Senior Telecaller / potential Team Lead - Mumbai calling team, contingent on closing prioritization/pipeline-management gap.</t>
        </is>
      </c>
      <c r="EU430" s="53" t="n"/>
      <c r="EV430" s="53" t="inlineStr">
        <is>
          <t>Peridot App</t>
        </is>
      </c>
      <c r="EW430" s="52" t="n"/>
      <c r="EX430" s="53" t="n"/>
      <c r="EY430" s="53" t="n"/>
      <c r="EZ430" s="53" t="n"/>
      <c r="FA430" s="53" t="n"/>
      <c r="FB430" s="53" t="n"/>
      <c r="FC430" s="53" t="n"/>
      <c r="FD430" s="53" t="inlineStr">
        <is>
          <t>IRISC346</t>
        </is>
      </c>
      <c r="FE430" s="57" t="inlineStr">
        <is>
          <t>1. Business Loan Applications - Achieve 40% Submit-to-Bank ratio, ramping quarter over quarter to 40% · Baseline: ~10% - Weightage: 55%
2. BHR Sales - Sell 240 BHR units per quarter - Weightage: 45%</t>
        </is>
      </c>
      <c r="FF430" s="56" t="inlineStr">
        <is>
          <t>1. Business Loan Applications - Submit-to-Bank ratio target this quarter: 40%
2. BHR Sales - Target: 60 BHR units this quarter</t>
        </is>
      </c>
      <c r="FG430" s="56" t="n"/>
      <c r="FH430" s="56" t="inlineStr">
        <is>
          <t>3</t>
        </is>
      </c>
      <c r="FI430" s="56" t="n"/>
      <c r="FJ430" s="56" t="inlineStr">
        <is>
          <t>Received · manager annual, quarterly</t>
        </is>
      </c>
      <c r="FK430" s="56" t="inlineStr">
        <is>
          <t>Talent Mapping · Datatech</t>
        </is>
      </c>
      <c r="FL430" s="56" t="n">
        <v>19</v>
      </c>
      <c r="FM430" s="32" t="inlineStr">
        <is>
          <t>Full survey answers not in the files received · How We Grow export needed · HR</t>
        </is>
      </c>
      <c r="FN430" s="56" t="inlineStr">
        <is>
          <t>—</t>
        </is>
      </c>
      <c r="FO430" s="56" t="inlineStr">
        <is>
          <t>—</t>
        </is>
      </c>
      <c r="FP430" s="56" t="inlineStr">
        <is>
          <t>—</t>
        </is>
      </c>
      <c r="FQ430" s="56" t="inlineStr">
        <is>
          <t>—</t>
        </is>
      </c>
      <c r="FR430" s="56"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leads for MSMEs → matches the start
Leadership: Evidence reads like A1: No guidance or leadership of others described → matches the start
Business Impact: Moved +0.5: the survey / manager mapping marks it business-critical.</t>
        </is>
      </c>
      <c r="FS430"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FT430" s="56" t="inlineStr">
        <is>
          <t>Self-identified: Client, sales &amp; stakeholders
For the next role: Client, sales &amp; stakeholders</t>
        </is>
      </c>
      <c r="FU430" s="32" t="inlineStr">
        <is>
          <t>Full survey answers not in the files received · How We Grow export needed · HR</t>
        </is>
      </c>
    </row>
    <row r="431" ht="90" customHeight="1">
      <c r="A431" s="51" t="inlineStr">
        <is>
          <t>◂ Back</t>
        </is>
      </c>
      <c r="B431" s="29" t="inlineStr">
        <is>
          <t>Mapped</t>
        </is>
      </c>
      <c r="C431" s="28" t="inlineStr">
        <is>
          <t>Datatech</t>
        </is>
      </c>
      <c r="D431" s="29" t="inlineStr">
        <is>
          <t>IRISDT0023</t>
        </is>
      </c>
      <c r="E431" s="29" t="inlineStr">
        <is>
          <t>Sachinam Sawant</t>
        </is>
      </c>
      <c r="F431" s="29" t="inlineStr">
        <is>
          <t>Product Management</t>
        </is>
      </c>
      <c r="G431" s="29" t="inlineStr">
        <is>
          <t>Regulatory &amp; Policy Lead</t>
        </is>
      </c>
      <c r="H431" s="29" t="inlineStr">
        <is>
          <t>Product Manager</t>
        </is>
      </c>
      <c r="I431" s="29" t="inlineStr">
        <is>
          <t>Not in current mapping files</t>
        </is>
      </c>
      <c r="J431" s="29" t="inlineStr">
        <is>
          <t>B2</t>
        </is>
      </c>
      <c r="K431" s="29" t="inlineStr">
        <is>
          <t>● Newly mapped</t>
        </is>
      </c>
      <c r="L431" s="29" t="inlineStr">
        <is>
          <t>Product Management</t>
        </is>
      </c>
      <c r="M431" s="29" t="inlineStr">
        <is>
          <t>Product Management</t>
        </is>
      </c>
      <c r="N431" s="29" t="inlineStr">
        <is>
          <t>• Total experience · outside + at IRIS — HR — HRIS
• Confirm prior experience · provisional placement — HR</t>
        </is>
      </c>
      <c r="O431" s="29" t="n">
        <v>20</v>
      </c>
      <c r="P431" s="28" t="inlineStr">
        <is>
          <t>P4 / M3</t>
        </is>
      </c>
      <c r="Q431" s="29" t="inlineStr">
        <is>
          <t>Senior / Manager</t>
        </is>
      </c>
      <c r="R431" s="29" t="inlineStr">
        <is>
          <t>4–5</t>
        </is>
      </c>
      <c r="S431" s="29" t="inlineStr">
        <is>
          <t>6–9 yrs</t>
        </is>
      </c>
      <c r="T431" s="29" t="inlineStr">
        <is>
          <t>7–10 · 6–11</t>
        </is>
      </c>
      <c r="U431" s="29" t="inlineStr">
        <is>
          <t>Senior Product Manager</t>
        </is>
      </c>
      <c r="V431" s="29" t="inlineStr">
        <is>
          <t>IRIS Vs Competitor Benchmark — SaaS product ladder: Senior PM</t>
        </is>
      </c>
      <c r="W431" s="29" t="inlineStr">
        <is>
          <t>Pragmatic Institute Framework · 37 activities, 7 categories; AIPMM</t>
        </is>
      </c>
      <c r="X431" s="29" t="inlineStr">
        <is>
          <t>Core 3 · Future 3 · Functional 4 · Leadership 2</t>
        </is>
      </c>
      <c r="Y431" s="52" t="n">
        <v>563</v>
      </c>
      <c r="Z431" s="53" t="inlineStr">
        <is>
          <t>IRISDT0023</t>
        </is>
      </c>
      <c r="AA431" s="53" t="inlineStr">
        <is>
          <t>Employee</t>
        </is>
      </c>
      <c r="AB431" s="53" t="inlineStr">
        <is>
          <t>Active</t>
        </is>
      </c>
      <c r="AC431" s="53" t="inlineStr">
        <is>
          <t>Sachinam Sawant</t>
        </is>
      </c>
      <c r="AD431" s="54" t="n">
        <v>46254</v>
      </c>
      <c r="AE431" s="53" t="inlineStr">
        <is>
          <t>Regulatory &amp; Policy Lead</t>
        </is>
      </c>
      <c r="AF431" s="53" t="inlineStr">
        <is>
          <t>CA</t>
        </is>
      </c>
      <c r="AG431" s="53" t="inlineStr">
        <is>
          <t>Shilpa Dhobale</t>
        </is>
      </c>
      <c r="AH431" s="53" t="inlineStr">
        <is>
          <t>N-2</t>
        </is>
      </c>
      <c r="AI431" s="53" t="inlineStr">
        <is>
          <t>Individual Contributor</t>
        </is>
      </c>
      <c r="AJ431" s="53" t="n"/>
      <c r="AK431" s="53" t="inlineStr">
        <is>
          <t>0 years, 0 months, 5 days</t>
        </is>
      </c>
      <c r="AL431" s="53" t="inlineStr">
        <is>
          <t>Datatech</t>
        </is>
      </c>
      <c r="AM431" s="53" t="inlineStr">
        <is>
          <t>Datatech</t>
        </is>
      </c>
      <c r="AN431" s="53" t="inlineStr">
        <is>
          <t>Product Management</t>
        </is>
      </c>
      <c r="AO431" s="53" t="inlineStr">
        <is>
          <t>Client Engagement</t>
        </is>
      </c>
      <c r="AP431" s="53" t="inlineStr">
        <is>
          <t>No</t>
        </is>
      </c>
      <c r="AQ431" s="53" t="inlineStr">
        <is>
          <t>Client Engagement</t>
        </is>
      </c>
      <c r="AR431" s="53" t="inlineStr">
        <is>
          <t>Product Management</t>
        </is>
      </c>
      <c r="AS431" s="53" t="inlineStr">
        <is>
          <t>Technical · BA, PM and QA</t>
        </is>
      </c>
      <c r="AT431" s="53" t="n">
        <v>20</v>
      </c>
      <c r="AU431" s="53" t="inlineStr">
        <is>
          <t>Covered</t>
        </is>
      </c>
      <c r="AV431" s="53" t="n"/>
      <c r="AW431" s="53" t="n"/>
      <c r="AX431" s="53" t="n"/>
      <c r="AY431" s="53" t="n"/>
      <c r="AZ431" s="53" t="n"/>
      <c r="BA431" s="53" t="n"/>
      <c r="BB431" s="53" t="n"/>
      <c r="BC431" s="53" t="n"/>
      <c r="BD431" s="53" t="n"/>
      <c r="BE431" s="53" t="n"/>
      <c r="BF431" s="53" t="n"/>
      <c r="BG431" s="53" t="n"/>
      <c r="BH431" s="53" t="n"/>
      <c r="BI431" s="53" t="n"/>
      <c r="BJ431" s="53" t="n"/>
      <c r="BK431" s="53" t="n"/>
      <c r="BL431" s="53" t="n"/>
      <c r="BM431" s="53" t="n"/>
      <c r="BN431" s="53" t="n"/>
      <c r="BO431" s="53" t="n"/>
      <c r="BP431" s="53" t="n"/>
      <c r="BQ431" s="53" t="n"/>
      <c r="BR431" s="53" t="n"/>
      <c r="BS431" s="53" t="n"/>
      <c r="BT431" s="53" t="n"/>
      <c r="BU431" s="53" t="n"/>
      <c r="BV431" s="53" t="n"/>
      <c r="BW431" s="53" t="n"/>
      <c r="BX431" s="53" t="n"/>
      <c r="BY431" s="53" t="n"/>
      <c r="BZ431" s="53" t="n"/>
      <c r="CA431" s="53" t="n"/>
      <c r="CB431" s="53" t="n"/>
      <c r="CC431" s="53" t="n"/>
      <c r="CD431" s="53" t="n"/>
      <c r="CE431" s="53" t="n"/>
      <c r="CF431" s="53" t="n"/>
      <c r="CG431" s="53" t="n"/>
      <c r="CH431" s="53" t="n"/>
      <c r="CI431" s="53" t="n"/>
      <c r="CJ431" s="53" t="n"/>
      <c r="CK431" s="53" t="n"/>
      <c r="CL431" s="53" t="n"/>
      <c r="CM431" s="53" t="n"/>
      <c r="CN431" s="53" t="n"/>
      <c r="CO431" s="53" t="n"/>
      <c r="CP431" s="53" t="n"/>
      <c r="CQ431" s="53" t="n"/>
      <c r="CR431" s="53" t="n"/>
      <c r="CS431" s="53" t="n"/>
      <c r="CT431" s="53" t="n"/>
      <c r="CU431" s="53" t="n"/>
      <c r="CV431" s="53" t="n"/>
      <c r="CW431" s="53" t="n"/>
      <c r="CX431" s="53" t="n"/>
      <c r="CY431" s="53" t="n"/>
      <c r="CZ431" s="53" t="n"/>
      <c r="DA431" s="53" t="n"/>
      <c r="DB431" s="53" t="n"/>
      <c r="DC431" s="53" t="n"/>
      <c r="DD431" s="53" t="n"/>
      <c r="DE431" s="53" t="n"/>
      <c r="DF431" s="53" t="n"/>
      <c r="DG431" s="53" t="n"/>
      <c r="DH431" s="53" t="n"/>
      <c r="DI431" s="53" t="n"/>
      <c r="DJ431" s="53" t="n"/>
      <c r="DK431" s="53" t="n"/>
      <c r="DL431" s="53" t="n"/>
      <c r="DM431" s="53" t="n"/>
      <c r="DN431" s="53" t="n"/>
      <c r="DO431" s="53" t="n"/>
      <c r="DP431" s="53" t="n"/>
      <c r="DQ431" s="53" t="n"/>
      <c r="DR431" s="53" t="n"/>
      <c r="DS431" s="53" t="n"/>
      <c r="DT431" s="53" t="n"/>
      <c r="DU431" s="53" t="n"/>
      <c r="DV431" s="53" t="n"/>
      <c r="DW431" s="53" t="n"/>
      <c r="DX431" s="53" t="n"/>
      <c r="DY431" s="53" t="n"/>
      <c r="DZ431" s="53" t="n"/>
      <c r="EA431" s="53" t="n"/>
      <c r="EB431" s="53" t="n"/>
      <c r="EC431" s="53" t="n"/>
      <c r="ED431" s="53" t="n"/>
      <c r="EE431" s="53" t="n"/>
      <c r="EF431" s="53" t="n"/>
      <c r="EG431" s="53" t="n"/>
      <c r="EH431" s="53" t="n"/>
      <c r="EI431" s="53" t="n"/>
      <c r="EJ431" s="53" t="n"/>
      <c r="EK431" s="53" t="n"/>
      <c r="EL431" s="53" t="n"/>
      <c r="EM431" s="53" t="n"/>
      <c r="EN431" s="53" t="n"/>
      <c r="EO431" s="53" t="n"/>
      <c r="EP431" s="53" t="n"/>
      <c r="EQ431" s="53" t="n"/>
      <c r="ER431" s="53" t="n"/>
      <c r="ES431" s="53" t="n"/>
      <c r="ET431" s="53" t="n"/>
      <c r="EU431" s="53" t="n"/>
      <c r="EV431" s="53" t="n"/>
      <c r="EW431" s="52" t="n"/>
      <c r="EX431" s="53" t="n"/>
      <c r="EY431" s="53" t="n"/>
      <c r="EZ431" s="53" t="n"/>
      <c r="FA431" s="53" t="n"/>
      <c r="FB431" s="53" t="n"/>
      <c r="FC431" s="53" t="n"/>
      <c r="FD431" s="53" t="n"/>
      <c r="FE431" s="55" t="inlineStr">
        <is>
          <t>KRAs not received · manager to supply</t>
        </is>
      </c>
      <c r="FF431" s="56" t="n"/>
      <c r="FG431" s="56" t="n"/>
      <c r="FH431" s="56" t="n"/>
      <c r="FI431" s="56" t="n"/>
      <c r="FJ431" s="32" t="inlineStr">
        <is>
          <t>KRAs not received · manager to supply</t>
        </is>
      </c>
      <c r="FK431" s="56" t="n"/>
      <c r="FL431" s="56" t="n">
        <v>20</v>
      </c>
      <c r="FM431" s="32" t="inlineStr">
        <is>
          <t>Full survey answers not in the files received · How We Grow export needed · HR</t>
        </is>
      </c>
      <c r="FN431" s="56" t="inlineStr">
        <is>
          <t>—</t>
        </is>
      </c>
      <c r="FO431" s="56" t="inlineStr">
        <is>
          <t>—</t>
        </is>
      </c>
      <c r="FP431" s="56" t="inlineStr">
        <is>
          <t>—</t>
        </is>
      </c>
      <c r="FQ431" s="56" t="inlineStr">
        <is>
          <t>—</t>
        </is>
      </c>
      <c r="FR431" s="56"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compliance problems for users → moved down 0.5
Leadership: Evidence reads like A1: Communicates with developers; no guidance or leadership of others described → moved down 0.5
Business Impact: No survey or manager-mapping signal on criticality: kept at the start point.</t>
        </is>
      </c>
      <c r="FS431"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431" s="56" t="inlineStr">
        <is>
          <t>Self-identified: Broader exposure &amp; ownership
For the next role: Broader exposure &amp; ownership</t>
        </is>
      </c>
      <c r="FU431" s="32" t="inlineStr">
        <is>
          <t>Full survey answers not in the files received · How We Grow export needed · HR</t>
        </is>
      </c>
    </row>
    <row r="432" ht="90" customHeight="1">
      <c r="A432" s="51" t="inlineStr">
        <is>
          <t>◂ Back</t>
        </is>
      </c>
      <c r="B432" s="29" t="inlineStr">
        <is>
          <t>Mapped</t>
        </is>
      </c>
      <c r="C432" s="28" t="inlineStr">
        <is>
          <t>Datatech</t>
        </is>
      </c>
      <c r="D432" s="29" t="inlineStr">
        <is>
          <t>IRISDT0018</t>
        </is>
      </c>
      <c r="E432" s="29" t="inlineStr">
        <is>
          <t>Shivam Dhumal</t>
        </is>
      </c>
      <c r="F432" s="29" t="inlineStr">
        <is>
          <t>Technology</t>
        </is>
      </c>
      <c r="G432" s="29" t="inlineStr">
        <is>
          <t>Software Engineer</t>
        </is>
      </c>
      <c r="H432" s="29" t="inlineStr">
        <is>
          <t>Senior Software Engineer</t>
        </is>
      </c>
      <c r="I432" s="29" t="inlineStr">
        <is>
          <t>L3 – Professional / Associate</t>
        </is>
      </c>
      <c r="J432" s="29" t="inlineStr">
        <is>
          <t>A3</t>
        </is>
      </c>
      <c r="K432" s="29" t="inlineStr">
        <is>
          <t>▲ Up</t>
        </is>
      </c>
      <c r="L432" s="29" t="inlineStr">
        <is>
          <t>Engineering &amp; Development</t>
        </is>
      </c>
      <c r="M432" s="29" t="inlineStr">
        <is>
          <t>Backend Development</t>
        </is>
      </c>
      <c r="N432" s="29" t="n"/>
      <c r="O432" s="29" t="n">
        <v>20</v>
      </c>
      <c r="P432" s="28" t="inlineStr">
        <is>
          <t>P2</t>
        </is>
      </c>
      <c r="Q432" s="29" t="inlineStr">
        <is>
          <t>Developing</t>
        </is>
      </c>
      <c r="R432" s="29" t="inlineStr">
        <is>
          <t>3 Apply</t>
        </is>
      </c>
      <c r="S432" s="29" t="inlineStr">
        <is>
          <t>2–4 yrs</t>
        </is>
      </c>
      <c r="T432" s="29" t="inlineStr">
        <is>
          <t>3–5 · 2–5</t>
        </is>
      </c>
      <c r="U432" s="29" t="inlineStr">
        <is>
          <t>Software Engineer</t>
        </is>
      </c>
      <c r="V432" s="29" t="inlineStr">
        <is>
          <t>Workiva: SE · Broadridge India: SE · Nasdaq / AxiomSL: SE · Salesforce: MTS · Atlassian: P40 · 3–7 yrs · Freshworks: Senior SE</t>
        </is>
      </c>
      <c r="W432" s="29" t="inlineStr">
        <is>
          <t>SFIA 9 · software development, programming; OWASP secure coding; cloud vendor certifications</t>
        </is>
      </c>
      <c r="X432" s="29" t="inlineStr">
        <is>
          <t>Core 2 · Future 2 · Functional 3 · Leadership not scored</t>
        </is>
      </c>
      <c r="Y432" s="52" t="n">
        <v>553</v>
      </c>
      <c r="Z432" s="53" t="inlineStr">
        <is>
          <t>IRISDT0018</t>
        </is>
      </c>
      <c r="AA432" s="53" t="inlineStr">
        <is>
          <t>Employee</t>
        </is>
      </c>
      <c r="AB432" s="53" t="inlineStr">
        <is>
          <t>Active</t>
        </is>
      </c>
      <c r="AC432" s="53" t="inlineStr">
        <is>
          <t>Shivam Dhumal</t>
        </is>
      </c>
      <c r="AD432" s="54" t="n">
        <v>46114</v>
      </c>
      <c r="AE432" s="53" t="inlineStr">
        <is>
          <t>Software Engineer</t>
        </is>
      </c>
      <c r="AF432" s="53" t="inlineStr">
        <is>
          <t>B.Tech</t>
        </is>
      </c>
      <c r="AG432" s="53" t="inlineStr">
        <is>
          <t>Shilpa Dhobale</t>
        </is>
      </c>
      <c r="AH432" s="53" t="inlineStr">
        <is>
          <t>N-2</t>
        </is>
      </c>
      <c r="AI432" s="53" t="inlineStr">
        <is>
          <t>Individual Contributor</t>
        </is>
      </c>
      <c r="AJ432" s="53" t="inlineStr">
        <is>
          <t>4 years, 1 months, 0 days</t>
        </is>
      </c>
      <c r="AK432" s="53" t="inlineStr">
        <is>
          <t>0 years, 4 months, 23 days</t>
        </is>
      </c>
      <c r="AL432" s="53" t="inlineStr">
        <is>
          <t>Datatech</t>
        </is>
      </c>
      <c r="AM432" s="53" t="inlineStr">
        <is>
          <t>Datatech</t>
        </is>
      </c>
      <c r="AN432" s="53" t="inlineStr">
        <is>
          <t>Technology</t>
        </is>
      </c>
      <c r="AO432" s="53" t="inlineStr">
        <is>
          <t>Development</t>
        </is>
      </c>
      <c r="AP432" s="53" t="inlineStr">
        <is>
          <t>Yes</t>
        </is>
      </c>
      <c r="AQ432" s="53" t="inlineStr">
        <is>
          <t>Product/Project</t>
        </is>
      </c>
      <c r="AR432" s="53" t="inlineStr">
        <is>
          <t>Python</t>
        </is>
      </c>
      <c r="AS432" s="53" t="inlineStr">
        <is>
          <t>Technical - Developer</t>
        </is>
      </c>
      <c r="AT432" s="53" t="n">
        <v>20</v>
      </c>
      <c r="AU432" s="53" t="inlineStr">
        <is>
          <t>Covered</t>
        </is>
      </c>
      <c r="AV432" s="53" t="n"/>
      <c r="AW432" s="53" t="n"/>
      <c r="AX432" s="53" t="n"/>
      <c r="AY432" s="53" t="n"/>
      <c r="AZ432" s="53" t="n"/>
      <c r="BA432" s="53" t="n"/>
      <c r="BB432" s="53" t="n"/>
      <c r="BC432" s="53" t="n"/>
      <c r="BD432" s="53" t="n"/>
      <c r="BE432" s="53" t="n"/>
      <c r="BF432" s="53" t="n"/>
      <c r="BG432" s="53" t="n"/>
      <c r="BH432" s="53" t="n"/>
      <c r="BI432" s="53" t="n"/>
      <c r="BJ432" s="53" t="n"/>
      <c r="BK432" s="53" t="n"/>
      <c r="BL432" s="53" t="n"/>
      <c r="BM432" s="53" t="n"/>
      <c r="BN432" s="53" t="n"/>
      <c r="BO432" s="53" t="n"/>
      <c r="BP432" s="53" t="n"/>
      <c r="BQ432" s="53" t="n"/>
      <c r="BR432" s="53" t="n"/>
      <c r="BS432" s="53" t="n"/>
      <c r="BT432" s="53" t="n"/>
      <c r="BU432" s="53" t="n"/>
      <c r="BV432" s="53" t="n"/>
      <c r="BW432" s="53" t="n"/>
      <c r="BX432" s="53" t="n"/>
      <c r="BY432" s="53" t="n"/>
      <c r="BZ432" s="53" t="n"/>
      <c r="CA432" s="53" t="n"/>
      <c r="CB432" s="53" t="n"/>
      <c r="CC432" s="53" t="n"/>
      <c r="CD432" s="53" t="n"/>
      <c r="CE432" s="53" t="n"/>
      <c r="CF432" s="53" t="n"/>
      <c r="CG432" s="53" t="n"/>
      <c r="CH432" s="53" t="n"/>
      <c r="CI432" s="53" t="n"/>
      <c r="CJ432" s="53" t="n"/>
      <c r="CK432" s="53" t="n"/>
      <c r="CL432" s="53" t="n"/>
      <c r="CM432" s="53" t="n"/>
      <c r="CN432" s="53" t="n"/>
      <c r="CO432" s="53" t="n"/>
      <c r="CP432" s="53" t="n"/>
      <c r="CQ432" s="53" t="n"/>
      <c r="CR432" s="53" t="n"/>
      <c r="CS432" s="53" t="n"/>
      <c r="CT432" s="53" t="n"/>
      <c r="CU432" s="53" t="n"/>
      <c r="CV432" s="53" t="n"/>
      <c r="CW432" s="53" t="n"/>
      <c r="CX432" s="53" t="n"/>
      <c r="CY432" s="53" t="n"/>
      <c r="CZ432" s="53" t="n"/>
      <c r="DA432" s="53" t="n"/>
      <c r="DB432" s="53" t="n"/>
      <c r="DC432" s="53" t="n"/>
      <c r="DD432" s="53" t="inlineStr">
        <is>
          <t>IRIS2503</t>
        </is>
      </c>
      <c r="DE432" s="53" t="inlineStr">
        <is>
          <t>Employee</t>
        </is>
      </c>
      <c r="DF432" s="53" t="inlineStr">
        <is>
          <t>Active</t>
        </is>
      </c>
      <c r="DG432" s="53" t="inlineStr">
        <is>
          <t>Shivam Dhumal</t>
        </is>
      </c>
      <c r="DH432" s="54" t="n">
        <v>46114</v>
      </c>
      <c r="DI432" s="53" t="inlineStr">
        <is>
          <t>Software Engineer</t>
        </is>
      </c>
      <c r="DJ432" s="53" t="inlineStr">
        <is>
          <t>Engineering &amp; Development</t>
        </is>
      </c>
      <c r="DK432" s="53" t="inlineStr">
        <is>
          <t>Backend Engineering · Python</t>
        </is>
      </c>
      <c r="DL432" s="53" t="inlineStr">
        <is>
          <t>Software Engineer</t>
        </is>
      </c>
      <c r="DM432" s="53" t="inlineStr">
        <is>
          <t>L3 – Professional / Associate</t>
        </is>
      </c>
      <c r="DN432" s="53" t="inlineStr">
        <is>
          <t>B.Tech</t>
        </is>
      </c>
      <c r="DO432" s="53" t="inlineStr">
        <is>
          <t>Shilpa Dhobale</t>
        </is>
      </c>
      <c r="DP432" s="53" t="inlineStr">
        <is>
          <t>N-2</t>
        </is>
      </c>
      <c r="DQ432" s="53" t="inlineStr">
        <is>
          <t>Individual Contributor</t>
        </is>
      </c>
      <c r="DR432" s="53" t="inlineStr">
        <is>
          <t>4 years, 1 months, 0 days</t>
        </is>
      </c>
      <c r="DS432" s="53" t="inlineStr">
        <is>
          <t>0 years, 2 months, 18 days</t>
        </is>
      </c>
      <c r="DT432" s="53" t="inlineStr">
        <is>
          <t>4 years, 3 months, 18 days</t>
        </is>
      </c>
      <c r="DU432" s="53" t="n"/>
      <c r="DV432" s="53" t="inlineStr">
        <is>
          <t>Datatech</t>
        </is>
      </c>
      <c r="DW432" s="53" t="inlineStr">
        <is>
          <t>Datatech</t>
        </is>
      </c>
      <c r="DX432" s="53" t="inlineStr">
        <is>
          <t>Technology</t>
        </is>
      </c>
      <c r="DY432" s="53" t="inlineStr">
        <is>
          <t>Development</t>
        </is>
      </c>
      <c r="DZ432" s="53" t="inlineStr">
        <is>
          <t>Yes</t>
        </is>
      </c>
      <c r="EA432" s="53" t="inlineStr">
        <is>
          <t>Product/Project</t>
        </is>
      </c>
      <c r="EB432" s="53" t="inlineStr">
        <is>
          <t>Python</t>
        </is>
      </c>
      <c r="EC432" s="53" t="inlineStr">
        <is>
          <t>Technical - Developer</t>
        </is>
      </c>
      <c r="ED432" s="53" t="inlineStr">
        <is>
          <t>Turbhe</t>
        </is>
      </c>
      <c r="EE432" s="53" t="n"/>
      <c r="EF432"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32"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32" s="53" t="n">
        <v>3</v>
      </c>
      <c r="EI432" s="53" t="n"/>
      <c r="EJ432" s="53" t="inlineStr">
        <is>
          <t>Software Engineer</t>
        </is>
      </c>
      <c r="EK432" s="53" t="inlineStr">
        <is>
          <t>No</t>
        </is>
      </c>
      <c r="EL432" s="53" t="n">
        <v>3</v>
      </c>
      <c r="EM432" s="53" t="inlineStr">
        <is>
          <t>Medium</t>
        </is>
      </c>
      <c r="EN432" s="53" t="inlineStr">
        <is>
          <t>Emerging Talent</t>
        </is>
      </c>
      <c r="EO432" s="53" t="inlineStr">
        <is>
          <t>No</t>
        </is>
      </c>
      <c r="EP432" s="53" t="inlineStr">
        <is>
          <t>Yes</t>
        </is>
      </c>
      <c r="EQ432" s="53" t="inlineStr">
        <is>
          <t>Yes</t>
        </is>
      </c>
      <c r="ER432" s="53" t="n"/>
      <c r="ES432" s="53" t="inlineStr">
        <is>
          <t>Solution Architecture and System Design</t>
        </is>
      </c>
      <c r="ET432" s="53" t="n"/>
      <c r="EU432" s="53" t="n"/>
      <c r="EV432" s="53" t="inlineStr">
        <is>
          <t>Peridot Backend</t>
        </is>
      </c>
      <c r="EW432" s="52" t="n"/>
      <c r="EX432" s="53" t="n"/>
      <c r="EY432" s="53" t="n"/>
      <c r="EZ432" s="53" t="n"/>
      <c r="FA432" s="53" t="n"/>
      <c r="FB432" s="53" t="n"/>
      <c r="FC432" s="53" t="n"/>
      <c r="FD432" s="53" t="inlineStr">
        <is>
          <t>IRIS2503</t>
        </is>
      </c>
      <c r="FE432"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32"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32" s="56" t="n"/>
      <c r="FH432" s="56" t="inlineStr">
        <is>
          <t>3</t>
        </is>
      </c>
      <c r="FI432" s="56" t="n"/>
      <c r="FJ432" s="56" t="inlineStr">
        <is>
          <t>Received · manager annual, quarterly</t>
        </is>
      </c>
      <c r="FK432" s="56" t="inlineStr">
        <is>
          <t>Talent Mapping · Datatech</t>
        </is>
      </c>
      <c r="FL432" s="56" t="n">
        <v>20</v>
      </c>
      <c r="FM432" s="32" t="inlineStr">
        <is>
          <t>Full survey answers not in the files received · How We Grow export needed · HR</t>
        </is>
      </c>
      <c r="FN432" s="56" t="inlineStr">
        <is>
          <t>—</t>
        </is>
      </c>
      <c r="FO432" s="56" t="inlineStr">
        <is>
          <t>—</t>
        </is>
      </c>
      <c r="FP432" s="56" t="inlineStr">
        <is>
          <t>—</t>
        </is>
      </c>
      <c r="FQ432" s="56" t="inlineStr">
        <is>
          <t>—</t>
        </is>
      </c>
      <c r="FR432" s="56" t="inlineStr">
        <is>
          <t>Business Impact: Moved +0.5: the survey / manager mapping marks it business-critical.</t>
        </is>
      </c>
      <c r="FS43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32"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432" s="32" t="inlineStr">
        <is>
          <t>Full survey answers not in the files received · How We Grow export needed · HR</t>
        </is>
      </c>
    </row>
    <row r="433" ht="90" customHeight="1">
      <c r="A433" s="51" t="inlineStr">
        <is>
          <t>◂ Back</t>
        </is>
      </c>
      <c r="B433" s="29" t="inlineStr">
        <is>
          <t>Mapped</t>
        </is>
      </c>
      <c r="C433" s="28" t="inlineStr">
        <is>
          <t>Datatech</t>
        </is>
      </c>
      <c r="D433" s="29" t="inlineStr">
        <is>
          <t>IRISDTC005</t>
        </is>
      </c>
      <c r="E433" s="29" t="inlineStr">
        <is>
          <t>Smita Londhe</t>
        </is>
      </c>
      <c r="F433" s="29" t="inlineStr">
        <is>
          <t>Quality Assurance</t>
        </is>
      </c>
      <c r="G433" s="29" t="inlineStr">
        <is>
          <t>QA Engineer</t>
        </is>
      </c>
      <c r="H433" s="29" t="inlineStr">
        <is>
          <t>Senior QA Automation Engineer</t>
        </is>
      </c>
      <c r="I433" s="29" t="inlineStr">
        <is>
          <t>Not in current mapping files</t>
        </is>
      </c>
      <c r="J433" s="29" t="inlineStr">
        <is>
          <t>A3</t>
        </is>
      </c>
      <c r="K433" s="29" t="inlineStr">
        <is>
          <t>● Newly mapped</t>
        </is>
      </c>
      <c r="L433" s="29" t="inlineStr">
        <is>
          <t>Quality Assurance</t>
        </is>
      </c>
      <c r="M433" s="29" t="inlineStr">
        <is>
          <t>Test Automation</t>
        </is>
      </c>
      <c r="N433" s="29" t="inlineStr">
        <is>
          <t>• Correct the experience record — HR</t>
        </is>
      </c>
      <c r="O433" s="29" t="n">
        <v>20</v>
      </c>
      <c r="P433" s="28" t="inlineStr">
        <is>
          <t>P2</t>
        </is>
      </c>
      <c r="Q433" s="29" t="inlineStr">
        <is>
          <t>Developing</t>
        </is>
      </c>
      <c r="R433" s="29" t="inlineStr">
        <is>
          <t>3 Apply</t>
        </is>
      </c>
      <c r="S433" s="29" t="inlineStr">
        <is>
          <t>2–4 yrs</t>
        </is>
      </c>
      <c r="T433" s="29" t="inlineStr">
        <is>
          <t>3–5 · 2–5</t>
        </is>
      </c>
      <c r="U433" s="29" t="inlineStr">
        <is>
          <t>QA Engineer</t>
        </is>
      </c>
      <c r="V433" s="29" t="inlineStr">
        <is>
          <t>Workiva: SE · Broadridge India: SE · Nasdaq / AxiomSL: SE · IRIS Vs Market Benchmark — ISTQB certification pathway: Foundation</t>
        </is>
      </c>
      <c r="W433" s="29" t="inlineStr">
        <is>
          <t>ISTQB Foundation → Advanced → Expert; SFIA testing</t>
        </is>
      </c>
      <c r="X433" s="29" t="inlineStr">
        <is>
          <t>Core 2 · Future 2 · Functional 3 · Leadership not scored</t>
        </is>
      </c>
      <c r="Y433" s="52" t="n">
        <v>560</v>
      </c>
      <c r="Z433" s="53" t="inlineStr">
        <is>
          <t>IRISDTC005</t>
        </is>
      </c>
      <c r="AA433" s="53" t="inlineStr">
        <is>
          <t>On Contract</t>
        </is>
      </c>
      <c r="AB433" s="53" t="inlineStr">
        <is>
          <t>Active</t>
        </is>
      </c>
      <c r="AC433" s="53" t="inlineStr">
        <is>
          <t>Smita Londhe</t>
        </is>
      </c>
      <c r="AD433" s="54" t="n">
        <v>46237</v>
      </c>
      <c r="AE433" s="53" t="inlineStr">
        <is>
          <t>QA Engineer</t>
        </is>
      </c>
      <c r="AF433" s="53" t="inlineStr">
        <is>
          <t>M.E</t>
        </is>
      </c>
      <c r="AG433" s="53" t="inlineStr">
        <is>
          <t>Shilpa Dhobale</t>
        </is>
      </c>
      <c r="AH433" s="53" t="inlineStr">
        <is>
          <t>N-2</t>
        </is>
      </c>
      <c r="AI433" s="53" t="inlineStr">
        <is>
          <t>Individual Contributor</t>
        </is>
      </c>
      <c r="AJ433" s="53" t="inlineStr">
        <is>
          <t>3 years, 7 months, 0 days</t>
        </is>
      </c>
      <c r="AK433" s="53" t="inlineStr">
        <is>
          <t>0 years, 0 months, 22 days</t>
        </is>
      </c>
      <c r="AL433" s="53" t="inlineStr">
        <is>
          <t>Datatech</t>
        </is>
      </c>
      <c r="AM433" s="53" t="inlineStr">
        <is>
          <t>Datatech</t>
        </is>
      </c>
      <c r="AN433" s="53" t="inlineStr">
        <is>
          <t>Quality Assurance</t>
        </is>
      </c>
      <c r="AO433" s="53" t="inlineStr">
        <is>
          <t>Quality Assurance</t>
        </is>
      </c>
      <c r="AP433" s="53" t="inlineStr">
        <is>
          <t>No</t>
        </is>
      </c>
      <c r="AQ433" s="53" t="inlineStr">
        <is>
          <t>Product/Project</t>
        </is>
      </c>
      <c r="AR433" s="53" t="inlineStr">
        <is>
          <t>Software Testing</t>
        </is>
      </c>
      <c r="AS433" s="53" t="inlineStr">
        <is>
          <t>Technical · BA, PM and QA</t>
        </is>
      </c>
      <c r="AT433" s="53" t="n">
        <v>20</v>
      </c>
      <c r="AU433" s="53" t="inlineStr">
        <is>
          <t>Covered</t>
        </is>
      </c>
      <c r="AV433" s="53" t="n"/>
      <c r="AW433" s="53" t="n"/>
      <c r="AX433" s="53" t="n"/>
      <c r="AY433" s="53" t="n"/>
      <c r="AZ433" s="53" t="n"/>
      <c r="BA433" s="53" t="n"/>
      <c r="BB433" s="53" t="n"/>
      <c r="BC433" s="53" t="n"/>
      <c r="BD433" s="53" t="n"/>
      <c r="BE433" s="53" t="n"/>
      <c r="BF433" s="53" t="n"/>
      <c r="BG433" s="53" t="n"/>
      <c r="BH433" s="53" t="n"/>
      <c r="BI433" s="53" t="n"/>
      <c r="BJ433" s="53" t="n"/>
      <c r="BK433" s="53" t="n"/>
      <c r="BL433" s="53" t="n"/>
      <c r="BM433" s="53" t="n"/>
      <c r="BN433" s="53" t="n"/>
      <c r="BO433" s="53" t="n"/>
      <c r="BP433" s="53" t="n"/>
      <c r="BQ433" s="53" t="n"/>
      <c r="BR433" s="53" t="n"/>
      <c r="BS433" s="53" t="n"/>
      <c r="BT433" s="53" t="n"/>
      <c r="BU433" s="53" t="n"/>
      <c r="BV433" s="53" t="n"/>
      <c r="BW433" s="53" t="n"/>
      <c r="BX433" s="53" t="n"/>
      <c r="BY433" s="53" t="n"/>
      <c r="BZ433" s="53" t="n"/>
      <c r="CA433" s="53" t="n"/>
      <c r="CB433" s="53" t="n"/>
      <c r="CC433" s="53" t="n"/>
      <c r="CD433" s="53" t="n"/>
      <c r="CE433" s="53" t="n"/>
      <c r="CF433" s="53" t="n"/>
      <c r="CG433" s="53" t="n"/>
      <c r="CH433" s="53" t="n"/>
      <c r="CI433" s="53" t="n"/>
      <c r="CJ433" s="53" t="n"/>
      <c r="CK433" s="53" t="n"/>
      <c r="CL433" s="53" t="n"/>
      <c r="CM433" s="53" t="n"/>
      <c r="CN433" s="53" t="n"/>
      <c r="CO433" s="53" t="n"/>
      <c r="CP433" s="53" t="n"/>
      <c r="CQ433" s="53" t="n"/>
      <c r="CR433" s="53" t="n"/>
      <c r="CS433" s="53" t="n"/>
      <c r="CT433" s="53" t="n"/>
      <c r="CU433" s="53" t="n"/>
      <c r="CV433" s="53" t="n"/>
      <c r="CW433" s="53" t="n"/>
      <c r="CX433" s="53" t="n"/>
      <c r="CY433" s="53" t="n"/>
      <c r="CZ433" s="53" t="n"/>
      <c r="DA433" s="53" t="n"/>
      <c r="DB433" s="53" t="n"/>
      <c r="DC433" s="53" t="n"/>
      <c r="DD433" s="53" t="n"/>
      <c r="DE433" s="53" t="n"/>
      <c r="DF433" s="53" t="n"/>
      <c r="DG433" s="53" t="n"/>
      <c r="DH433" s="53" t="n"/>
      <c r="DI433" s="53" t="n"/>
      <c r="DJ433" s="53" t="n"/>
      <c r="DK433" s="53" t="n"/>
      <c r="DL433" s="53" t="n"/>
      <c r="DM433" s="53" t="n"/>
      <c r="DN433" s="53" t="n"/>
      <c r="DO433" s="53" t="n"/>
      <c r="DP433" s="53" t="n"/>
      <c r="DQ433" s="53" t="n"/>
      <c r="DR433" s="53" t="n"/>
      <c r="DS433" s="53" t="n"/>
      <c r="DT433" s="53" t="n"/>
      <c r="DU433" s="53" t="n"/>
      <c r="DV433" s="53" t="n"/>
      <c r="DW433" s="53" t="n"/>
      <c r="DX433" s="53" t="n"/>
      <c r="DY433" s="53" t="n"/>
      <c r="DZ433" s="53" t="n"/>
      <c r="EA433" s="53" t="n"/>
      <c r="EB433" s="53" t="n"/>
      <c r="EC433" s="53" t="n"/>
      <c r="ED433" s="53" t="n"/>
      <c r="EE433" s="53" t="n"/>
      <c r="EF433" s="53" t="n"/>
      <c r="EG433" s="53" t="n"/>
      <c r="EH433" s="53" t="n"/>
      <c r="EI433" s="53" t="n"/>
      <c r="EJ433" s="53" t="n"/>
      <c r="EK433" s="53" t="n"/>
      <c r="EL433" s="53" t="n"/>
      <c r="EM433" s="53" t="n"/>
      <c r="EN433" s="53" t="n"/>
      <c r="EO433" s="53" t="n"/>
      <c r="EP433" s="53" t="n"/>
      <c r="EQ433" s="53" t="n"/>
      <c r="ER433" s="53" t="n"/>
      <c r="ES433" s="53" t="n"/>
      <c r="ET433" s="53" t="n"/>
      <c r="EU433" s="53" t="n"/>
      <c r="EV433" s="53" t="n"/>
      <c r="EW433" s="52" t="n"/>
      <c r="EX433" s="53" t="n"/>
      <c r="EY433" s="53" t="n"/>
      <c r="EZ433" s="53" t="n"/>
      <c r="FA433" s="53" t="n"/>
      <c r="FB433" s="53" t="n"/>
      <c r="FC433" s="53" t="n"/>
      <c r="FD433" s="53" t="n"/>
      <c r="FE433" s="55" t="inlineStr">
        <is>
          <t>KRAs not received · manager to supply</t>
        </is>
      </c>
      <c r="FF433" s="56" t="n"/>
      <c r="FG433" s="56" t="n"/>
      <c r="FH433" s="56" t="n"/>
      <c r="FI433" s="56" t="n"/>
      <c r="FJ433" s="32" t="inlineStr">
        <is>
          <t>KRAs not received · manager to supply</t>
        </is>
      </c>
      <c r="FK433" s="56" t="n"/>
      <c r="FL433" s="56" t="n">
        <v>20</v>
      </c>
      <c r="FM433" s="32" t="inlineStr">
        <is>
          <t>Full survey answers not in the files received · How We Grow export needed · HR</t>
        </is>
      </c>
      <c r="FN433" s="56" t="inlineStr">
        <is>
          <t>—</t>
        </is>
      </c>
      <c r="FO433" s="56" t="inlineStr">
        <is>
          <t>—</t>
        </is>
      </c>
      <c r="FP433" s="56" t="inlineStr">
        <is>
          <t>—</t>
        </is>
      </c>
      <c r="FQ433" s="56" t="inlineStr">
        <is>
          <t>—</t>
        </is>
      </c>
      <c r="FR433" s="56"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production → moved up 0.5
Leadership: Evidence reads like A1: No guiding or leading of others described → matches the start
Business Impact: No survey or manager-mapping signal on criticality: kept at the start point.</t>
        </is>
      </c>
      <c r="FS433"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433" s="56" t="inlineStr">
        <is>
          <t>Self-identified: AI / automation · Technical depth &amp; architecture · Data, SQL &amp; analytics · Product &amp; tool knowledge · Broader exposure &amp; ownership
For the next role: AI / automation · Technical depth &amp; architecture · Testing &amp; quality · Data, SQL &amp; analytics · Product &amp; tool knowledge · Broader exposure &amp; ownership</t>
        </is>
      </c>
      <c r="FU433" s="32" t="inlineStr">
        <is>
          <t>Full survey answers not in the files received · How We Grow export needed · HR</t>
        </is>
      </c>
    </row>
    <row r="434" ht="90" customHeight="1">
      <c r="A434" s="51" t="inlineStr">
        <is>
          <t>◂ Back</t>
        </is>
      </c>
      <c r="B434" s="29" t="inlineStr">
        <is>
          <t>Mapped</t>
        </is>
      </c>
      <c r="C434" s="28" t="inlineStr">
        <is>
          <t>iFile</t>
        </is>
      </c>
      <c r="D434" s="29" t="inlineStr">
        <is>
          <t>IRIS0362</t>
        </is>
      </c>
      <c r="E434" s="29" t="inlineStr">
        <is>
          <t>Rahul Dhamne</t>
        </is>
      </c>
      <c r="F434" s="29" t="inlineStr">
        <is>
          <t>XBRL Consulting</t>
        </is>
      </c>
      <c r="G434" s="29" t="inlineStr">
        <is>
          <t>Head Consulting</t>
        </is>
      </c>
      <c r="H434" s="29" t="inlineStr">
        <is>
          <t>Head – Consulting</t>
        </is>
      </c>
      <c r="I434" s="29" t="inlineStr">
        <is>
          <t>L7 – Head / Sr Director</t>
        </is>
      </c>
      <c r="J434" s="29" t="inlineStr">
        <is>
          <t>C2</t>
        </is>
      </c>
      <c r="K434" s="29" t="inlineStr">
        <is>
          <t>• Same level</t>
        </is>
      </c>
      <c r="L434" s="29" t="inlineStr">
        <is>
          <t>Executive Leadership</t>
        </is>
      </c>
      <c r="M434" s="29" t="inlineStr">
        <is>
          <t>Business Head</t>
        </is>
      </c>
      <c r="N434" s="29" t="inlineStr">
        <is>
          <t>• Survey response or KRAs describing the work · nothing on file — Employee + manager</t>
        </is>
      </c>
      <c r="O434" s="29" t="n">
        <v>0</v>
      </c>
      <c r="P434" s="28" t="inlineStr">
        <is>
          <t>P7 / M6</t>
        </is>
      </c>
      <c r="Q434" s="29" t="inlineStr">
        <is>
          <t>— / Senior Director</t>
        </is>
      </c>
      <c r="R434" s="29" t="inlineStr">
        <is>
          <t>6 Initiate, influence</t>
        </is>
      </c>
      <c r="S434" s="29" t="inlineStr">
        <is>
          <t>12–17 yrs</t>
        </is>
      </c>
      <c r="T434" s="29" t="inlineStr">
        <is>
          <t>—</t>
        </is>
      </c>
      <c r="U434" s="29" t="inlineStr">
        <is>
          <t>Senior Head / General Manager</t>
        </is>
      </c>
      <c r="V434" s="29" t="inlineStr">
        <is>
          <t>Big Four: Director</t>
        </is>
      </c>
      <c r="W434" s="29" t="inlineStr">
        <is>
          <t>XBRL US GAAP Certificate · AICPA &amp; XBRL US; XBRL International specifications; IFRS / US GAAP / Ind AS</t>
        </is>
      </c>
      <c r="X434" s="29" t="inlineStr">
        <is>
          <t>Core 4 · Future 4 · Functional 5 · Leadership 4</t>
        </is>
      </c>
      <c r="Y434" s="52" t="n">
        <v>49</v>
      </c>
      <c r="Z434" s="53" t="inlineStr">
        <is>
          <t>IRIS0362</t>
        </is>
      </c>
      <c r="AA434" s="53" t="inlineStr">
        <is>
          <t>Employee</t>
        </is>
      </c>
      <c r="AB434" s="53" t="inlineStr">
        <is>
          <t>Active</t>
        </is>
      </c>
      <c r="AC434" s="53" t="inlineStr">
        <is>
          <t>Rahul Dhamne</t>
        </is>
      </c>
      <c r="AD434" s="54" t="n">
        <v>40247</v>
      </c>
      <c r="AE434" s="53" t="inlineStr">
        <is>
          <t>Head Consulting</t>
        </is>
      </c>
      <c r="AF434" s="53" t="inlineStr">
        <is>
          <t>CA</t>
        </is>
      </c>
      <c r="AG434" s="53" t="inlineStr">
        <is>
          <t>Balachandran K</t>
        </is>
      </c>
      <c r="AH434" s="53" t="inlineStr">
        <is>
          <t>N-1</t>
        </is>
      </c>
      <c r="AI434" s="53" t="inlineStr">
        <is>
          <t>Manager</t>
        </is>
      </c>
      <c r="AJ434" s="53" t="inlineStr">
        <is>
          <t>0 years, 5 months, 0 days</t>
        </is>
      </c>
      <c r="AK434" s="53" t="inlineStr">
        <is>
          <t>16 years, 5 months, 15 days</t>
        </is>
      </c>
      <c r="AL434" s="53" t="inlineStr">
        <is>
          <t>Suptech</t>
        </is>
      </c>
      <c r="AM434" s="53" t="inlineStr">
        <is>
          <t>iFile</t>
        </is>
      </c>
      <c r="AN434" s="53" t="inlineStr">
        <is>
          <t>XBRL Consulting</t>
        </is>
      </c>
      <c r="AO434" s="53" t="inlineStr">
        <is>
          <t>Consulting</t>
        </is>
      </c>
      <c r="AP434" s="53" t="inlineStr">
        <is>
          <t>No</t>
        </is>
      </c>
      <c r="AQ434" s="53" t="inlineStr">
        <is>
          <t>Professional Services</t>
        </is>
      </c>
      <c r="AR434" s="53" t="inlineStr">
        <is>
          <t>XBRL Domain</t>
        </is>
      </c>
      <c r="AS434" s="53" t="inlineStr">
        <is>
          <t>Non-technical</t>
        </is>
      </c>
      <c r="AT434" s="53" t="n">
        <v>0</v>
      </c>
      <c r="AU434" s="53" t="inlineStr">
        <is>
          <t>E-Top management</t>
        </is>
      </c>
      <c r="AV434" s="53" t="n"/>
      <c r="AW434" s="53" t="n"/>
      <c r="AX434" s="53" t="n"/>
      <c r="AY434" s="53" t="n"/>
      <c r="AZ434" s="53" t="n"/>
      <c r="BA434" s="53" t="n"/>
      <c r="BB434" s="53" t="n"/>
      <c r="BC434" s="53" t="n"/>
      <c r="BD434" s="53" t="n"/>
      <c r="BE434" s="53" t="n"/>
      <c r="BF434" s="53" t="n"/>
      <c r="BG434" s="53" t="n"/>
      <c r="BH434" s="53" t="n"/>
      <c r="BI434" s="53" t="n"/>
      <c r="BJ434" s="53" t="n"/>
      <c r="BK434" s="53" t="n"/>
      <c r="BL434" s="53" t="n"/>
      <c r="BM434" s="53" t="n"/>
      <c r="BN434" s="53" t="n"/>
      <c r="BO434" s="53" t="n"/>
      <c r="BP434" s="53" t="n"/>
      <c r="BQ434" s="53" t="n"/>
      <c r="BR434" s="53" t="n"/>
      <c r="BS434" s="53" t="n"/>
      <c r="BT434" s="53" t="n"/>
      <c r="BU434" s="53" t="n"/>
      <c r="BV434" s="53" t="n"/>
      <c r="BW434" s="53" t="n"/>
      <c r="BX434" s="53" t="n"/>
      <c r="BY434" s="53" t="n"/>
      <c r="BZ434" s="53" t="n"/>
      <c r="CA434" s="53" t="n"/>
      <c r="CB434" s="53" t="n"/>
      <c r="CC434" s="53" t="n"/>
      <c r="CD434" s="53" t="n"/>
      <c r="CE434" s="53" t="n"/>
      <c r="CF434" s="53" t="n"/>
      <c r="CG434" s="53" t="n"/>
      <c r="CH434" s="53" t="n"/>
      <c r="CI434" s="53" t="n"/>
      <c r="CJ434" s="53" t="n"/>
      <c r="CK434" s="53" t="n"/>
      <c r="CL434" s="53" t="n"/>
      <c r="CM434" s="53" t="n"/>
      <c r="CN434" s="53" t="n"/>
      <c r="CO434" s="53" t="n"/>
      <c r="CP434" s="53" t="n"/>
      <c r="CQ434" s="53" t="n"/>
      <c r="CR434" s="53" t="n"/>
      <c r="CS434" s="53" t="n"/>
      <c r="CT434" s="53" t="n"/>
      <c r="CU434" s="53" t="n"/>
      <c r="CV434" s="53" t="n"/>
      <c r="CW434" s="53" t="n"/>
      <c r="CX434" s="53" t="n"/>
      <c r="CY434" s="53" t="n"/>
      <c r="CZ434" s="53" t="n"/>
      <c r="DA434" s="53" t="n"/>
      <c r="DB434" s="53" t="n"/>
      <c r="DC434" s="53" t="n"/>
      <c r="DD434" s="53" t="inlineStr">
        <is>
          <t>IRIS0362</t>
        </is>
      </c>
      <c r="DE434" s="53" t="inlineStr">
        <is>
          <t>Employee</t>
        </is>
      </c>
      <c r="DF434" s="53" t="inlineStr">
        <is>
          <t>Active</t>
        </is>
      </c>
      <c r="DG434" s="53" t="inlineStr">
        <is>
          <t>Rahul Dhamne</t>
        </is>
      </c>
      <c r="DH434" s="54" t="n">
        <v>40247</v>
      </c>
      <c r="DI434" s="53" t="inlineStr">
        <is>
          <t>Head Consulting</t>
        </is>
      </c>
      <c r="DJ434" s="53" t="inlineStr">
        <is>
          <t>Consulting &amp; Professional Services</t>
        </is>
      </c>
      <c r="DK434" s="53" t="inlineStr">
        <is>
          <t>XBRL / Regulatory Reporting</t>
        </is>
      </c>
      <c r="DL434" s="53" t="inlineStr">
        <is>
          <t>Head Consulting</t>
        </is>
      </c>
      <c r="DM434" s="53" t="inlineStr">
        <is>
          <t>L7 – Head / Sr Director</t>
        </is>
      </c>
      <c r="DN434" s="53" t="inlineStr">
        <is>
          <t>CA</t>
        </is>
      </c>
      <c r="DO434" s="53" t="inlineStr">
        <is>
          <t>Balachandran K</t>
        </is>
      </c>
      <c r="DP434" s="53" t="inlineStr">
        <is>
          <t>N-1</t>
        </is>
      </c>
      <c r="DQ434" s="53" t="inlineStr">
        <is>
          <t>Manager</t>
        </is>
      </c>
      <c r="DR434" s="53" t="inlineStr">
        <is>
          <t>0 years, 5 months, 0 days</t>
        </is>
      </c>
      <c r="DS434" s="53" t="inlineStr">
        <is>
          <t>16 years, 3 months, 10 days
16 years, 5 months, 1 days</t>
        </is>
      </c>
      <c r="DT434" s="53" t="inlineStr">
        <is>
          <t>16 years, 8 months, 10 days
16 years, 10 months, 1 days</t>
        </is>
      </c>
      <c r="DU434" s="53" t="inlineStr">
        <is>
          <t>16.277397260274</t>
        </is>
      </c>
      <c r="DV434" s="53" t="inlineStr">
        <is>
          <t>Suptech</t>
        </is>
      </c>
      <c r="DW434" s="53" t="inlineStr">
        <is>
          <t>iFile</t>
        </is>
      </c>
      <c r="DX434" s="53" t="inlineStr">
        <is>
          <t>XBRL Consulting</t>
        </is>
      </c>
      <c r="DY434" s="53" t="inlineStr">
        <is>
          <t>Consulting</t>
        </is>
      </c>
      <c r="DZ434" s="53" t="inlineStr">
        <is>
          <t>No</t>
        </is>
      </c>
      <c r="EA434" s="53" t="inlineStr">
        <is>
          <t>Professional Services</t>
        </is>
      </c>
      <c r="EB434" s="53" t="inlineStr">
        <is>
          <t>XBRL Domain</t>
        </is>
      </c>
      <c r="EC434" s="53" t="inlineStr">
        <is>
          <t>Non-technical</t>
        </is>
      </c>
      <c r="ED434" s="53" t="inlineStr">
        <is>
          <t>Work From Office - Turbhe</t>
        </is>
      </c>
      <c r="EE434" s="53" t="n"/>
      <c r="EF434" s="53" t="inlineStr">
        <is>
          <t>N/A – span owner · assessor</t>
        </is>
      </c>
      <c r="EG434" s="53" t="inlineStr">
        <is>
          <t>N/A – span owner · assessor</t>
        </is>
      </c>
      <c r="EH434" s="53" t="inlineStr">
        <is>
          <t>N/A – span owner · assessor</t>
        </is>
      </c>
      <c r="EI434" s="53" t="inlineStr">
        <is>
          <t>N/A – span owner · assessor</t>
        </is>
      </c>
      <c r="EJ434" s="53" t="inlineStr">
        <is>
          <t>Head Consulting</t>
        </is>
      </c>
      <c r="EK434" s="53" t="inlineStr">
        <is>
          <t>No change</t>
        </is>
      </c>
      <c r="EL434" s="53" t="inlineStr">
        <is>
          <t>N/A – span owner · assessor</t>
        </is>
      </c>
      <c r="EM434" s="53" t="inlineStr">
        <is>
          <t>N/A – span owner · assessor</t>
        </is>
      </c>
      <c r="EN434" s="53" t="inlineStr">
        <is>
          <t>N/A – span owner · assessor</t>
        </is>
      </c>
      <c r="EO434" s="53" t="n"/>
      <c r="EP434" s="53" t="n"/>
      <c r="EQ434" s="53" t="n"/>
      <c r="ER434" s="53" t="inlineStr">
        <is>
          <t>N/A – span owner · assessor</t>
        </is>
      </c>
      <c r="ES434" s="53" t="inlineStr">
        <is>
          <t>XBRL taxonomy &amp; regulatory updates; domain/accounting refreshers; quality &amp; accuracy practices; tooling proficiency | People management: goal-setting &amp; feedback, 1:1 coaching, performance conversations</t>
        </is>
      </c>
      <c r="ET434" s="53" t="inlineStr">
        <is>
          <t>Leadership development: strategic thinking, cross-functional influence, financial/business acumen, succession &amp; talent development, change management, executive communication</t>
        </is>
      </c>
      <c r="EU434" s="53" t="n"/>
      <c r="EV434" s="53" t="n"/>
      <c r="EW434" s="52" t="n"/>
      <c r="EX434" s="53" t="n"/>
      <c r="EY434" s="53" t="n"/>
      <c r="EZ434" s="53" t="n"/>
      <c r="FA434" s="53" t="n"/>
      <c r="FB434" s="53" t="n"/>
      <c r="FC434" s="53" t="inlineStr">
        <is>
          <t>EXP Current IRIS; Total Experience; Avg Exp in IRIS; Annual KRAs · objective Measurable Minimum 5 - set by Manager; Quarterly KRAs; Tentative Rating for Q1 · Scale 1-5; Last Performance Discussion date; Correct Designation; Is a structural Change needed for better future; Quarterly Performance Rating; Potential Rating · High/Med/Low; 9-Box Placement; Name of Successor Identified; Training Needs identified for current Role; Training Needs identified if · If promotion Ready</t>
        </is>
      </c>
      <c r="FD434" s="53" t="n"/>
      <c r="FE434" s="57" t="inlineStr">
        <is>
          <t>N/A – span owner · assessor</t>
        </is>
      </c>
      <c r="FF434" s="56" t="inlineStr">
        <is>
          <t>N/A – span owner · assessor</t>
        </is>
      </c>
      <c r="FG434" s="56" t="n"/>
      <c r="FH434" s="56" t="inlineStr">
        <is>
          <t>N/A – span owner · assessor</t>
        </is>
      </c>
      <c r="FI434" s="56" t="n"/>
      <c r="FJ434" s="56" t="inlineStr">
        <is>
          <t>Received · manager annual, quarterly</t>
        </is>
      </c>
      <c r="FK434" s="56" t="inlineStr">
        <is>
          <t>Talent Mapping · iFile collated</t>
        </is>
      </c>
      <c r="FL434" s="56" t="n">
        <v>0</v>
      </c>
      <c r="FM434" s="32" t="inlineStr">
        <is>
          <t>No survey response on file</t>
        </is>
      </c>
      <c r="FN434" s="56" t="inlineStr">
        <is>
          <t>—</t>
        </is>
      </c>
      <c r="FO434" s="56" t="inlineStr">
        <is>
          <t>—</t>
        </is>
      </c>
      <c r="FP434" s="56" t="inlineStr">
        <is>
          <t>—</t>
        </is>
      </c>
      <c r="FQ434" s="56" t="inlineStr">
        <is>
          <t>—</t>
        </is>
      </c>
      <c r="FR43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34" s="56" t="n"/>
      <c r="FT434" s="56" t="n"/>
      <c r="FU434" s="32" t="inlineStr">
        <is>
          <t>No survey response on file</t>
        </is>
      </c>
    </row>
    <row r="435" ht="90" customHeight="1">
      <c r="A435" s="51" t="inlineStr">
        <is>
          <t>◂ Back</t>
        </is>
      </c>
      <c r="B435" s="29" t="inlineStr">
        <is>
          <t>Mapped</t>
        </is>
      </c>
      <c r="C435" s="28" t="inlineStr">
        <is>
          <t>iFile</t>
        </is>
      </c>
      <c r="D435" s="29" t="inlineStr">
        <is>
          <t>IRIS2306</t>
        </is>
      </c>
      <c r="E435" s="29" t="inlineStr">
        <is>
          <t>Akshay Jain</t>
        </is>
      </c>
      <c r="F435" s="29" t="inlineStr">
        <is>
          <t>XBRL Consulting</t>
        </is>
      </c>
      <c r="G435" s="29" t="inlineStr">
        <is>
          <t>Lead Consultant</t>
        </is>
      </c>
      <c r="H435" s="29" t="inlineStr">
        <is>
          <t>Senior Taxonomy Specialist</t>
        </is>
      </c>
      <c r="I435" s="29" t="inlineStr">
        <is>
          <t>L5 – Lead · IC</t>
        </is>
      </c>
      <c r="J435" s="29" t="inlineStr">
        <is>
          <t>B2</t>
        </is>
      </c>
      <c r="K435" s="29" t="inlineStr">
        <is>
          <t>▼ Down · protected</t>
        </is>
      </c>
      <c r="L435" s="29" t="inlineStr">
        <is>
          <t>Consulting &amp; Professional Services</t>
        </is>
      </c>
      <c r="M435" s="29" t="inlineStr">
        <is>
          <t>Taxonomy Design &amp; Regulatory Consulting</t>
        </is>
      </c>
      <c r="N435" s="29" t="n"/>
      <c r="O435" s="29" t="n">
        <v>14</v>
      </c>
      <c r="P435" s="28" t="inlineStr">
        <is>
          <t>P4 / M3</t>
        </is>
      </c>
      <c r="Q435" s="29" t="inlineStr">
        <is>
          <t>Senior / Manager</t>
        </is>
      </c>
      <c r="R435" s="29" t="inlineStr">
        <is>
          <t>4–5</t>
        </is>
      </c>
      <c r="S435" s="29" t="inlineStr">
        <is>
          <t>6–9 yrs</t>
        </is>
      </c>
      <c r="T435" s="29" t="inlineStr">
        <is>
          <t>7–10 · 6–11</t>
        </is>
      </c>
      <c r="U435" s="29" t="inlineStr">
        <is>
          <t>Senior Consultant / Team Lead</t>
        </is>
      </c>
      <c r="V435" s="29" t="inlineStr">
        <is>
          <t>Big Four: Manager · IRIS Vs Market Benchmark — XBRL US credential pathway: Certificate + review authority</t>
        </is>
      </c>
      <c r="W435" s="29" t="inlineStr">
        <is>
          <t>XBRL US GAAP Certificate · AICPA &amp; XBRL US; XBRL International specifications; IFRS / US GAAP / Ind AS</t>
        </is>
      </c>
      <c r="X435" s="29" t="inlineStr">
        <is>
          <t>Core 3 · Future 3 · Functional 4 · Leadership 2</t>
        </is>
      </c>
      <c r="Y435" s="52" t="n">
        <v>341</v>
      </c>
      <c r="Z435" s="53" t="inlineStr">
        <is>
          <t>IRIS2306</t>
        </is>
      </c>
      <c r="AA435" s="53" t="inlineStr">
        <is>
          <t>Employee</t>
        </is>
      </c>
      <c r="AB435" s="53" t="inlineStr">
        <is>
          <t>Active</t>
        </is>
      </c>
      <c r="AC435" s="53" t="inlineStr">
        <is>
          <t>Akshay Jain</t>
        </is>
      </c>
      <c r="AD435" s="54" t="n">
        <v>45547</v>
      </c>
      <c r="AE435" s="53" t="inlineStr">
        <is>
          <t>Lead Consultant</t>
        </is>
      </c>
      <c r="AF435" s="53" t="inlineStr">
        <is>
          <t>CWA</t>
        </is>
      </c>
      <c r="AG435" s="53" t="inlineStr">
        <is>
          <t>Rahul Dhamne</t>
        </is>
      </c>
      <c r="AH435" s="53" t="inlineStr">
        <is>
          <t>N-2</t>
        </is>
      </c>
      <c r="AI435" s="53" t="inlineStr">
        <is>
          <t>Individual Contributor</t>
        </is>
      </c>
      <c r="AJ435" s="53" t="inlineStr">
        <is>
          <t>11 years, 9 months, 0 days</t>
        </is>
      </c>
      <c r="AK435" s="53" t="inlineStr">
        <is>
          <t>1 years, 11 months, 13 days</t>
        </is>
      </c>
      <c r="AL435" s="53" t="inlineStr">
        <is>
          <t>Suptech</t>
        </is>
      </c>
      <c r="AM435" s="53" t="inlineStr">
        <is>
          <t>iFile</t>
        </is>
      </c>
      <c r="AN435" s="53" t="inlineStr">
        <is>
          <t>XBRL Consulting</t>
        </is>
      </c>
      <c r="AO435" s="53" t="inlineStr">
        <is>
          <t>Consulting</t>
        </is>
      </c>
      <c r="AP435" s="53" t="inlineStr">
        <is>
          <t>No</t>
        </is>
      </c>
      <c r="AQ435" s="53" t="inlineStr">
        <is>
          <t>Professional Services</t>
        </is>
      </c>
      <c r="AR435" s="53" t="inlineStr">
        <is>
          <t>XBRL Domain</t>
        </is>
      </c>
      <c r="AS435" s="53" t="inlineStr">
        <is>
          <t>Non-technical</t>
        </is>
      </c>
      <c r="AT435" s="53" t="n">
        <v>20</v>
      </c>
      <c r="AU435" s="53" t="inlineStr">
        <is>
          <t>Covered</t>
        </is>
      </c>
      <c r="AV435" s="53" t="n"/>
      <c r="AW435" s="53" t="n"/>
      <c r="AX435" s="53" t="n"/>
      <c r="AY435" s="53" t="n"/>
      <c r="AZ435" s="53" t="n"/>
      <c r="BA435" s="53" t="n"/>
      <c r="BB435" s="53" t="n"/>
      <c r="BC435" s="53" t="n"/>
      <c r="BD435" s="53" t="n"/>
      <c r="BE435" s="53" t="n"/>
      <c r="BF435" s="53" t="n"/>
      <c r="BG435" s="53" t="n"/>
      <c r="BH435" s="53" t="n"/>
      <c r="BI435" s="53" t="n"/>
      <c r="BJ435" s="53" t="n"/>
      <c r="BK435" s="53" t="n"/>
      <c r="BL435" s="53" t="n"/>
      <c r="BM435" s="53" t="n"/>
      <c r="BN435" s="53" t="n"/>
      <c r="BO435" s="53" t="n"/>
      <c r="BP435" s="53" t="n"/>
      <c r="BQ435" s="53" t="n"/>
      <c r="BR435" s="53" t="n"/>
      <c r="BS435" s="53" t="n"/>
      <c r="BT435" s="53" t="n"/>
      <c r="BU435" s="53" t="n"/>
      <c r="BV435" s="53" t="n"/>
      <c r="BW435" s="53" t="n"/>
      <c r="BX435" s="53" t="n"/>
      <c r="BY435" s="53" t="n"/>
      <c r="BZ435" s="53" t="n"/>
      <c r="CA435" s="53" t="n"/>
      <c r="CB435" s="53" t="n"/>
      <c r="CC435" s="53" t="n"/>
      <c r="CD435" s="53" t="n"/>
      <c r="CE435" s="53" t="n"/>
      <c r="CF435" s="53" t="n"/>
      <c r="CG435" s="53" t="n"/>
      <c r="CH435" s="53" t="n"/>
      <c r="CI435" s="53" t="n"/>
      <c r="CJ435" s="53" t="n"/>
      <c r="CK435" s="53" t="n"/>
      <c r="CL435" s="53" t="n"/>
      <c r="CM435" s="53" t="n"/>
      <c r="CN435" s="53" t="n"/>
      <c r="CO435" s="53" t="n"/>
      <c r="CP435" s="53" t="n"/>
      <c r="CQ435" s="53" t="n"/>
      <c r="CR435" s="53" t="n"/>
      <c r="CS435" s="53" t="n"/>
      <c r="CT435" s="53" t="n"/>
      <c r="CU435" s="53" t="n"/>
      <c r="CV435" s="53" t="n"/>
      <c r="CW435" s="53" t="n"/>
      <c r="CX435" s="53" t="n"/>
      <c r="CY435" s="53" t="n"/>
      <c r="CZ435" s="53" t="n"/>
      <c r="DA435" s="53" t="n"/>
      <c r="DB435" s="53" t="n"/>
      <c r="DC435" s="53" t="n"/>
      <c r="DD435" s="53" t="inlineStr">
        <is>
          <t>IRIS2306</t>
        </is>
      </c>
      <c r="DE435" s="53" t="inlineStr">
        <is>
          <t>Employee</t>
        </is>
      </c>
      <c r="DF435" s="53" t="inlineStr">
        <is>
          <t>Active</t>
        </is>
      </c>
      <c r="DG435" s="53" t="inlineStr">
        <is>
          <t>Akshay Jain</t>
        </is>
      </c>
      <c r="DH435" s="54" t="n">
        <v>45547</v>
      </c>
      <c r="DI435" s="53" t="inlineStr">
        <is>
          <t>Lead Consultant</t>
        </is>
      </c>
      <c r="DJ435" s="53" t="inlineStr">
        <is>
          <t>Consulting &amp; Professional Services</t>
        </is>
      </c>
      <c r="DK435" s="53" t="inlineStr">
        <is>
          <t>XBRL / Regulatory Reporting</t>
        </is>
      </c>
      <c r="DL435" s="53" t="inlineStr">
        <is>
          <t>Lead Consultant</t>
        </is>
      </c>
      <c r="DM435" s="53" t="inlineStr">
        <is>
          <t>L5 – Lead · IC</t>
        </is>
      </c>
      <c r="DN435" s="53" t="inlineStr">
        <is>
          <t>CWA</t>
        </is>
      </c>
      <c r="DO435" s="53" t="inlineStr">
        <is>
          <t>Rahul Dhamne</t>
        </is>
      </c>
      <c r="DP435" s="53" t="inlineStr">
        <is>
          <t>N-2</t>
        </is>
      </c>
      <c r="DQ435" s="53" t="inlineStr">
        <is>
          <t>Individual Contributor</t>
        </is>
      </c>
      <c r="DR435" s="53" t="inlineStr">
        <is>
          <t>11 years, 9 months, 0 days</t>
        </is>
      </c>
      <c r="DS435" s="53" t="inlineStr">
        <is>
          <t>1 years, 9 months, 8 days</t>
        </is>
      </c>
      <c r="DT435" s="53" t="inlineStr">
        <is>
          <t>13 years, 6 months, 8 days</t>
        </is>
      </c>
      <c r="DU435" s="53" t="n"/>
      <c r="DV435" s="53" t="inlineStr">
        <is>
          <t>Suptech</t>
        </is>
      </c>
      <c r="DW435" s="53" t="inlineStr">
        <is>
          <t>iFile</t>
        </is>
      </c>
      <c r="DX435" s="53" t="inlineStr">
        <is>
          <t>XBRL Consulting</t>
        </is>
      </c>
      <c r="DY435" s="53" t="inlineStr">
        <is>
          <t>Consulting</t>
        </is>
      </c>
      <c r="DZ435" s="53" t="inlineStr">
        <is>
          <t>No</t>
        </is>
      </c>
      <c r="EA435" s="53" t="inlineStr">
        <is>
          <t>Professional Services</t>
        </is>
      </c>
      <c r="EB435" s="53" t="inlineStr">
        <is>
          <t>XBRL Domain</t>
        </is>
      </c>
      <c r="EC435" s="53" t="inlineStr">
        <is>
          <t>Non-technical</t>
        </is>
      </c>
      <c r="ED435" s="53" t="inlineStr">
        <is>
          <t>Work From Office - Turbhe</t>
        </is>
      </c>
      <c r="EE435" s="53" t="n"/>
      <c r="EF435"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5"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5" s="53" t="inlineStr">
        <is>
          <t>5 – Outstanding</t>
        </is>
      </c>
      <c r="EI435" s="53" t="inlineStr">
        <is>
          <t>Last appraisal in Oct 2025</t>
        </is>
      </c>
      <c r="EJ435" s="53" t="inlineStr">
        <is>
          <t>Lead Consultant</t>
        </is>
      </c>
      <c r="EK435" s="53" t="inlineStr">
        <is>
          <t>No change</t>
        </is>
      </c>
      <c r="EL435" s="53" t="n">
        <v>4</v>
      </c>
      <c r="EM435" s="53" t="inlineStr">
        <is>
          <t>High</t>
        </is>
      </c>
      <c r="EN435" s="53" t="inlineStr">
        <is>
          <t>Future Leader</t>
        </is>
      </c>
      <c r="EO435" s="53" t="n"/>
      <c r="EP435" s="53" t="inlineStr">
        <is>
          <t>yes</t>
        </is>
      </c>
      <c r="EQ435" s="53" t="n"/>
      <c r="ER435" s="53" t="inlineStr">
        <is>
          <t>To be identified</t>
        </is>
      </c>
      <c r="ES435" s="53" t="inlineStr">
        <is>
          <t>XBRL taxonomy &amp; regulatory updates; domain/accounting refreshers; quality &amp; accuracy practices; tooling proficiency</t>
        </is>
      </c>
      <c r="ET435" s="53" t="inlineStr">
        <is>
          <t>Transition to leadership: people management &amp; delegation, mentoring/coaching, project ownership &amp; stakeholder management, prioritisation under ambiguity, presentation &amp; influence skills</t>
        </is>
      </c>
      <c r="EU435" s="53" t="n"/>
      <c r="EV435" s="53" t="n"/>
      <c r="EW435" s="52" t="n"/>
      <c r="EX435" s="53" t="n"/>
      <c r="EY435" s="53" t="n"/>
      <c r="EZ435" s="53" t="n"/>
      <c r="FA435" s="53" t="n"/>
      <c r="FB435" s="53" t="n"/>
      <c r="FC435" s="53" t="n"/>
      <c r="FD435" s="53" t="n"/>
      <c r="FE435"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5"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5" s="56" t="n"/>
      <c r="FH435" s="56" t="inlineStr">
        <is>
          <t>5 – Outstanding</t>
        </is>
      </c>
      <c r="FI435" s="56" t="n"/>
      <c r="FJ435" s="56" t="inlineStr">
        <is>
          <t>Received · manager annual, quarterly</t>
        </is>
      </c>
      <c r="FK435" s="56" t="inlineStr">
        <is>
          <t>Talent Mapping · iFile collated</t>
        </is>
      </c>
      <c r="FL435" s="56" t="n">
        <v>14</v>
      </c>
      <c r="FM435" s="32" t="inlineStr">
        <is>
          <t>Full survey answers not in the files received · How We Grow export needed · HR</t>
        </is>
      </c>
      <c r="FN435" s="56" t="inlineStr">
        <is>
          <t>—</t>
        </is>
      </c>
      <c r="FO435" s="56" t="inlineStr">
        <is>
          <t>—</t>
        </is>
      </c>
      <c r="FP435" s="56" t="inlineStr">
        <is>
          <t>—</t>
        </is>
      </c>
      <c r="FQ435" s="56" t="inlineStr">
        <is>
          <t>—</t>
        </is>
      </c>
      <c r="FR435" s="56"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moved down 0.5
Leadership: Evidence reads like A1: No leading, mentoring or team described despite Lead title → moved down 0.5
Business Impact: No survey or manager-mapping signal on criticality: kept at the start point.</t>
        </is>
      </c>
      <c r="FS435" s="56" t="inlineStr">
        <is>
          <t>Common themes in role-holders' answers: taxonomy
Measured on · manager-set KRA themes: ifile business · analyst contribute · resolve · domain delivery · serve analyst · milestones on-time.</t>
        </is>
      </c>
      <c r="FT435" s="56" t="n"/>
      <c r="FU435" s="32" t="inlineStr">
        <is>
          <t>Full survey answers not in the files received · How We Grow export needed · HR</t>
        </is>
      </c>
    </row>
    <row r="436" ht="90" customHeight="1">
      <c r="A436" s="51" t="inlineStr">
        <is>
          <t>◂ Back</t>
        </is>
      </c>
      <c r="B436" s="29" t="inlineStr">
        <is>
          <t>Mapped</t>
        </is>
      </c>
      <c r="C436" s="28" t="inlineStr">
        <is>
          <t>iFile</t>
        </is>
      </c>
      <c r="D436" s="29" t="inlineStr">
        <is>
          <t>IRIS0448</t>
        </is>
      </c>
      <c r="E436" s="29" t="inlineStr">
        <is>
          <t>Kulanand Rupani</t>
        </is>
      </c>
      <c r="F436" s="29" t="inlineStr">
        <is>
          <t>XBRL Consulting</t>
        </is>
      </c>
      <c r="G436" s="29" t="inlineStr">
        <is>
          <t>Consultant</t>
        </is>
      </c>
      <c r="H436" s="29" t="inlineStr">
        <is>
          <t>Senior Taxonomy Specialist</t>
        </is>
      </c>
      <c r="I436" s="29" t="inlineStr">
        <is>
          <t>L3 – Professional / Associate</t>
        </is>
      </c>
      <c r="J436" s="29" t="inlineStr">
        <is>
          <t>B2</t>
        </is>
      </c>
      <c r="K436" s="29" t="inlineStr">
        <is>
          <t>▲ Up</t>
        </is>
      </c>
      <c r="L436" s="29" t="inlineStr">
        <is>
          <t>Consulting &amp; Professional Services</t>
        </is>
      </c>
      <c r="M436" s="29" t="inlineStr">
        <is>
          <t>Taxonomy Design &amp; Regulatory Consulting</t>
        </is>
      </c>
      <c r="N436" s="29" t="inlineStr">
        <is>
          <t>• Confirm the reporting line — Manager</t>
        </is>
      </c>
      <c r="O436" s="29" t="n">
        <v>20</v>
      </c>
      <c r="P436" s="28" t="inlineStr">
        <is>
          <t>P4 / M3</t>
        </is>
      </c>
      <c r="Q436" s="29" t="inlineStr">
        <is>
          <t>Senior / Manager</t>
        </is>
      </c>
      <c r="R436" s="29" t="inlineStr">
        <is>
          <t>4–5</t>
        </is>
      </c>
      <c r="S436" s="29" t="inlineStr">
        <is>
          <t>6–9 yrs</t>
        </is>
      </c>
      <c r="T436" s="29" t="inlineStr">
        <is>
          <t>7–10 · 6–11</t>
        </is>
      </c>
      <c r="U436" s="29" t="inlineStr">
        <is>
          <t>Senior Consultant / Team Lead</t>
        </is>
      </c>
      <c r="V436" s="29" t="inlineStr">
        <is>
          <t>Big Four: Manager · IRIS Vs Market Benchmark — XBRL US credential pathway: Certificate + review authority</t>
        </is>
      </c>
      <c r="W436" s="29" t="inlineStr">
        <is>
          <t>XBRL US GAAP Certificate · AICPA &amp; XBRL US; XBRL International specifications; IFRS / US GAAP / Ind AS</t>
        </is>
      </c>
      <c r="X436" s="29" t="inlineStr">
        <is>
          <t>Core 3 · Future 3 · Functional 4 · Leadership 2</t>
        </is>
      </c>
      <c r="Y436" s="52" t="n">
        <v>59</v>
      </c>
      <c r="Z436" s="53" t="inlineStr">
        <is>
          <t>IRIS0448</t>
        </is>
      </c>
      <c r="AA436" s="53" t="inlineStr">
        <is>
          <t>Employee</t>
        </is>
      </c>
      <c r="AB436" s="53" t="inlineStr">
        <is>
          <t>Active</t>
        </is>
      </c>
      <c r="AC436" s="53" t="inlineStr">
        <is>
          <t>Kulanand Rupani</t>
        </is>
      </c>
      <c r="AD436" s="54" t="n">
        <v>40378</v>
      </c>
      <c r="AE436" s="53" t="inlineStr">
        <is>
          <t>Consultant</t>
        </is>
      </c>
      <c r="AF436" s="53" t="inlineStr">
        <is>
          <t>ICWA</t>
        </is>
      </c>
      <c r="AG436" s="53" t="inlineStr">
        <is>
          <t>Rahul Dhamne</t>
        </is>
      </c>
      <c r="AH436" s="53" t="inlineStr">
        <is>
          <t>N-2</t>
        </is>
      </c>
      <c r="AI436" s="53" t="inlineStr">
        <is>
          <t>Individual Contributor</t>
        </is>
      </c>
      <c r="AJ436" s="53" t="inlineStr">
        <is>
          <t>0 years, 0 months, 0 days</t>
        </is>
      </c>
      <c r="AK436" s="53" t="inlineStr">
        <is>
          <t>16 years, 1 months, 6 days</t>
        </is>
      </c>
      <c r="AL436" s="53" t="inlineStr">
        <is>
          <t>Suptech</t>
        </is>
      </c>
      <c r="AM436" s="53" t="inlineStr">
        <is>
          <t>iFile</t>
        </is>
      </c>
      <c r="AN436" s="53" t="inlineStr">
        <is>
          <t>XBRL Consulting</t>
        </is>
      </c>
      <c r="AO436" s="53" t="inlineStr">
        <is>
          <t>Consulting</t>
        </is>
      </c>
      <c r="AP436" s="53" t="inlineStr">
        <is>
          <t>No</t>
        </is>
      </c>
      <c r="AQ436" s="53" t="inlineStr">
        <is>
          <t>Professional Services</t>
        </is>
      </c>
      <c r="AR436" s="53" t="inlineStr">
        <is>
          <t>XBRL Domain</t>
        </is>
      </c>
      <c r="AS436" s="53" t="inlineStr">
        <is>
          <t>Non-technical</t>
        </is>
      </c>
      <c r="AT436" s="53" t="n">
        <v>20</v>
      </c>
      <c r="AU436" s="53" t="inlineStr">
        <is>
          <t>Covered</t>
        </is>
      </c>
      <c r="AV436" s="53" t="n"/>
      <c r="AW436" s="53" t="n"/>
      <c r="AX436" s="53" t="n"/>
      <c r="AY436" s="53" t="n"/>
      <c r="AZ436" s="53" t="n"/>
      <c r="BA436" s="53" t="n"/>
      <c r="BB436" s="53" t="n"/>
      <c r="BC436" s="53" t="n"/>
      <c r="BD436" s="53" t="n"/>
      <c r="BE436" s="53" t="n"/>
      <c r="BF436" s="53" t="n"/>
      <c r="BG436" s="53" t="n"/>
      <c r="BH436" s="53" t="n"/>
      <c r="BI436" s="53" t="n"/>
      <c r="BJ436" s="53" t="n"/>
      <c r="BK436" s="53" t="n"/>
      <c r="BL436" s="53" t="n"/>
      <c r="BM436" s="53" t="n"/>
      <c r="BN436" s="53" t="n"/>
      <c r="BO436" s="53" t="n"/>
      <c r="BP436" s="53" t="n"/>
      <c r="BQ436" s="53" t="n"/>
      <c r="BR436" s="53" t="n"/>
      <c r="BS436" s="53" t="n"/>
      <c r="BT436" s="53" t="n"/>
      <c r="BU436" s="53" t="n"/>
      <c r="BV436" s="53" t="n"/>
      <c r="BW436" s="53" t="n"/>
      <c r="BX436" s="53" t="n"/>
      <c r="BY436" s="53" t="n"/>
      <c r="BZ436" s="53" t="n"/>
      <c r="CA436" s="53" t="n"/>
      <c r="CB436" s="53" t="n"/>
      <c r="CC436" s="53" t="n"/>
      <c r="CD436" s="53" t="n"/>
      <c r="CE436" s="53" t="n"/>
      <c r="CF436" s="53" t="n"/>
      <c r="CG436" s="53" t="n"/>
      <c r="CH436" s="53" t="n"/>
      <c r="CI436" s="53" t="n"/>
      <c r="CJ436" s="53" t="n"/>
      <c r="CK436" s="53" t="n"/>
      <c r="CL436" s="53" t="n"/>
      <c r="CM436" s="53" t="n"/>
      <c r="CN436" s="53" t="n"/>
      <c r="CO436" s="53" t="n"/>
      <c r="CP436" s="53" t="n"/>
      <c r="CQ436" s="53" t="n"/>
      <c r="CR436" s="53" t="n"/>
      <c r="CS436" s="53" t="n"/>
      <c r="CT436" s="53" t="n"/>
      <c r="CU436" s="53" t="n"/>
      <c r="CV436" s="53" t="n"/>
      <c r="CW436" s="53" t="n"/>
      <c r="CX436" s="53" t="n"/>
      <c r="CY436" s="53" t="n"/>
      <c r="CZ436" s="53" t="n"/>
      <c r="DA436" s="53" t="n"/>
      <c r="DB436" s="53" t="n"/>
      <c r="DC436" s="53" t="n"/>
      <c r="DD436" s="53" t="inlineStr">
        <is>
          <t>IRIS0448</t>
        </is>
      </c>
      <c r="DE436" s="53" t="inlineStr">
        <is>
          <t>Employee</t>
        </is>
      </c>
      <c r="DF436" s="53" t="inlineStr">
        <is>
          <t>Active</t>
        </is>
      </c>
      <c r="DG436" s="53" t="inlineStr">
        <is>
          <t>Kulanand Rupani</t>
        </is>
      </c>
      <c r="DH436" s="54" t="n">
        <v>40378</v>
      </c>
      <c r="DI436" s="53" t="inlineStr">
        <is>
          <t>Consultant</t>
        </is>
      </c>
      <c r="DJ436" s="53" t="inlineStr">
        <is>
          <t>Consulting &amp; Professional Services</t>
        </is>
      </c>
      <c r="DK436" s="53" t="inlineStr">
        <is>
          <t>XBRL / Regulatory Reporting</t>
        </is>
      </c>
      <c r="DL436" s="53" t="inlineStr">
        <is>
          <t>Consultant</t>
        </is>
      </c>
      <c r="DM436" s="53" t="inlineStr">
        <is>
          <t>L3 – Professional / Associate</t>
        </is>
      </c>
      <c r="DN436" s="53" t="inlineStr">
        <is>
          <t>ICWA</t>
        </is>
      </c>
      <c r="DO436" s="53" t="inlineStr">
        <is>
          <t>Jayshree Margi</t>
        </is>
      </c>
      <c r="DP436" s="53" t="inlineStr">
        <is>
          <t>N-3</t>
        </is>
      </c>
      <c r="DQ436" s="53" t="inlineStr">
        <is>
          <t>Individual Contributor</t>
        </is>
      </c>
      <c r="DR436" s="53" t="inlineStr">
        <is>
          <t>0 years, 0 months, 0 days</t>
        </is>
      </c>
      <c r="DS436" s="53" t="inlineStr">
        <is>
          <t>15 years, 11 months, 1 days</t>
        </is>
      </c>
      <c r="DT436" s="53" t="inlineStr">
        <is>
          <t>15 years, 11 months, 1 days</t>
        </is>
      </c>
      <c r="DU436" s="53" t="n"/>
      <c r="DV436" s="53" t="inlineStr">
        <is>
          <t>Suptech</t>
        </is>
      </c>
      <c r="DW436" s="53" t="inlineStr">
        <is>
          <t>iFile</t>
        </is>
      </c>
      <c r="DX436" s="53" t="inlineStr">
        <is>
          <t>XBRL Consulting</t>
        </is>
      </c>
      <c r="DY436" s="53" t="inlineStr">
        <is>
          <t>Consulting</t>
        </is>
      </c>
      <c r="DZ436" s="53" t="inlineStr">
        <is>
          <t>No</t>
        </is>
      </c>
      <c r="EA436" s="53" t="inlineStr">
        <is>
          <t>Professional Services</t>
        </is>
      </c>
      <c r="EB436" s="53" t="inlineStr">
        <is>
          <t>XBRL Domain</t>
        </is>
      </c>
      <c r="EC436" s="53" t="inlineStr">
        <is>
          <t>Non-technical</t>
        </is>
      </c>
      <c r="ED436" s="53" t="inlineStr">
        <is>
          <t>Remote - Mumbai</t>
        </is>
      </c>
      <c r="EE436" s="53" t="n"/>
      <c r="EF436"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6"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6" s="53" t="inlineStr">
        <is>
          <t>3 – Meets Expectations</t>
        </is>
      </c>
      <c r="EI436" s="53" t="inlineStr">
        <is>
          <t>Last appraisal in Oct 2025</t>
        </is>
      </c>
      <c r="EJ436" s="53" t="inlineStr">
        <is>
          <t>Consultant</t>
        </is>
      </c>
      <c r="EK436" s="53" t="inlineStr">
        <is>
          <t>No change</t>
        </is>
      </c>
      <c r="EL436" s="53" t="n">
        <v>3</v>
      </c>
      <c r="EM436" s="53" t="inlineStr">
        <is>
          <t>Medium</t>
        </is>
      </c>
      <c r="EN436" s="53" t="inlineStr">
        <is>
          <t>Trusted Professional</t>
        </is>
      </c>
      <c r="EO436" s="53" t="n"/>
      <c r="EP436" s="53" t="inlineStr">
        <is>
          <t>No</t>
        </is>
      </c>
      <c r="EQ436" s="53" t="n"/>
      <c r="ER436" s="53" t="inlineStr">
        <is>
          <t>To be identified</t>
        </is>
      </c>
      <c r="ES436" s="53" t="inlineStr">
        <is>
          <t>XBRL taxonomy &amp; regulatory updates; domain/accounting refreshers; quality &amp; accuracy practices; tooling proficiency</t>
        </is>
      </c>
      <c r="ET436" s="53" t="inlineStr">
        <is>
          <t>Transition to leadership: people management &amp; delegation, mentoring/coaching, project ownership &amp; stakeholder management, prioritisation under ambiguity, presentation &amp; influence skills</t>
        </is>
      </c>
      <c r="EU436" s="53" t="n"/>
      <c r="EV436" s="53" t="n"/>
      <c r="EW436" s="52" t="n"/>
      <c r="EX436" s="53" t="n"/>
      <c r="EY436" s="53" t="n"/>
      <c r="EZ436" s="53" t="n"/>
      <c r="FA436" s="53" t="n"/>
      <c r="FB436" s="53" t="n"/>
      <c r="FC436" s="53" t="n"/>
      <c r="FD436" s="53" t="n"/>
      <c r="FE436"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6"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6" s="56" t="n"/>
      <c r="FH436" s="56" t="inlineStr">
        <is>
          <t>3 – Meets Expectations</t>
        </is>
      </c>
      <c r="FI436" s="56" t="n"/>
      <c r="FJ436" s="56" t="inlineStr">
        <is>
          <t>Received · manager annual, quarterly</t>
        </is>
      </c>
      <c r="FK436" s="56" t="inlineStr">
        <is>
          <t>Talent Mapping · iFile collated</t>
        </is>
      </c>
      <c r="FL436" s="56" t="n">
        <v>20</v>
      </c>
      <c r="FM436" s="32" t="inlineStr">
        <is>
          <t>Full survey answers not in the files received · How We Grow export needed · HR</t>
        </is>
      </c>
      <c r="FN436" s="56" t="inlineStr">
        <is>
          <t>—</t>
        </is>
      </c>
      <c r="FO436" s="56" t="inlineStr">
        <is>
          <t>—</t>
        </is>
      </c>
      <c r="FP436" s="56" t="inlineStr">
        <is>
          <t>—</t>
        </is>
      </c>
      <c r="FQ436" s="56" t="inlineStr">
        <is>
          <t>—</t>
        </is>
      </c>
      <c r="FR436" s="56"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accountable for overall delivery of RBI CIMS taxonomy returns and change requests → moved up 1
Leadership: Evidence reads like B1: Leads the taxonomy team and assigns its work; no formal reports in HR data → moved up 1
Business Impact: No survey or manager-mapping signal on criticality: kept at the start point.</t>
        </is>
      </c>
      <c r="FS436" s="56" t="inlineStr">
        <is>
          <t>Common themes in role-holders' answers: taxonomy
Measured on · manager-set KRA themes: ifile business · analyst contribute · resolve · domain delivery · serve analyst · milestones on-time.</t>
        </is>
      </c>
      <c r="FT436" s="56" t="inlineStr">
        <is>
          <t>Self-identified: AI / automation · Technical depth &amp; architecture · Domain, regulatory &amp; XBRL
For the next role: AI / automation · Leadership &amp; people management · Project / programme management · Technical depth &amp; architecture · Domain, regulatory &amp; XBRL</t>
        </is>
      </c>
      <c r="FU436" s="32" t="inlineStr">
        <is>
          <t>Full survey answers not in the files received · How We Grow export needed · HR</t>
        </is>
      </c>
    </row>
    <row r="437" ht="90" customHeight="1">
      <c r="A437" s="51" t="inlineStr">
        <is>
          <t>◂ Back</t>
        </is>
      </c>
      <c r="B437" s="29" t="inlineStr">
        <is>
          <t>Mapped</t>
        </is>
      </c>
      <c r="C437" s="28" t="inlineStr">
        <is>
          <t>iFile</t>
        </is>
      </c>
      <c r="D437" s="29" t="inlineStr">
        <is>
          <t>IRIS1035</t>
        </is>
      </c>
      <c r="E437" s="29" t="inlineStr">
        <is>
          <t>Shraddha Bagul</t>
        </is>
      </c>
      <c r="F437" s="29" t="inlineStr">
        <is>
          <t>XBRL Consulting</t>
        </is>
      </c>
      <c r="G437" s="29" t="inlineStr">
        <is>
          <t>Lead Consultant</t>
        </is>
      </c>
      <c r="H437" s="29" t="inlineStr">
        <is>
          <t>Senior Manager – Taxonomy Consulting</t>
        </is>
      </c>
      <c r="I437" s="29" t="inlineStr">
        <is>
          <t>L5 – Lead · IC</t>
        </is>
      </c>
      <c r="J437" s="29" t="inlineStr">
        <is>
          <t>B2</t>
        </is>
      </c>
      <c r="K437" s="29" t="inlineStr">
        <is>
          <t>• Same level</t>
        </is>
      </c>
      <c r="L437" s="29" t="inlineStr">
        <is>
          <t>Consulting &amp; Professional Services</t>
        </is>
      </c>
      <c r="M437" s="29" t="inlineStr">
        <is>
          <t>Taxonomy Design &amp; Regulatory Consulting</t>
        </is>
      </c>
      <c r="N437" s="29" t="n"/>
      <c r="O437" s="29" t="n">
        <v>20</v>
      </c>
      <c r="P437" s="28" t="inlineStr">
        <is>
          <t>P4 / M3</t>
        </is>
      </c>
      <c r="Q437" s="29" t="inlineStr">
        <is>
          <t>Senior / Manager</t>
        </is>
      </c>
      <c r="R437" s="29" t="inlineStr">
        <is>
          <t>4–5</t>
        </is>
      </c>
      <c r="S437" s="29" t="inlineStr">
        <is>
          <t>6–9 yrs</t>
        </is>
      </c>
      <c r="T437" s="29" t="inlineStr">
        <is>
          <t>7–10 · 6–11</t>
        </is>
      </c>
      <c r="U437" s="29" t="inlineStr">
        <is>
          <t>Senior Manager</t>
        </is>
      </c>
      <c r="V437" s="29" t="inlineStr">
        <is>
          <t>Big Four: Manager · IRIS Vs Market Benchmark — XBRL US credential pathway: Certificate + review authority</t>
        </is>
      </c>
      <c r="W437" s="29" t="inlineStr">
        <is>
          <t>XBRL US GAAP Certificate · AICPA &amp; XBRL US; XBRL International specifications; IFRS / US GAAP / Ind AS</t>
        </is>
      </c>
      <c r="X437" s="29" t="inlineStr">
        <is>
          <t>Core 3 · Future 3 · Functional 4 · Leadership 3</t>
        </is>
      </c>
      <c r="Y437" s="52" t="n">
        <v>105</v>
      </c>
      <c r="Z437" s="53" t="inlineStr">
        <is>
          <t>IRIS1035</t>
        </is>
      </c>
      <c r="AA437" s="53" t="inlineStr">
        <is>
          <t>Employee</t>
        </is>
      </c>
      <c r="AB437" s="53" t="inlineStr">
        <is>
          <t>Active</t>
        </is>
      </c>
      <c r="AC437" s="53" t="inlineStr">
        <is>
          <t>Shraddha Bagul</t>
        </is>
      </c>
      <c r="AD437" s="54" t="n">
        <v>40891</v>
      </c>
      <c r="AE437" s="53" t="inlineStr">
        <is>
          <t>Lead Consultant</t>
        </is>
      </c>
      <c r="AF437" s="53" t="inlineStr">
        <is>
          <t>CA</t>
        </is>
      </c>
      <c r="AG437" s="53" t="inlineStr">
        <is>
          <t>Rahul Dhamne</t>
        </is>
      </c>
      <c r="AH437" s="53" t="inlineStr">
        <is>
          <t>N-2</t>
        </is>
      </c>
      <c r="AI437" s="53" t="inlineStr">
        <is>
          <t>Manager</t>
        </is>
      </c>
      <c r="AJ437" s="53" t="inlineStr">
        <is>
          <t>0 years, 0 months, 0 days</t>
        </is>
      </c>
      <c r="AK437" s="53" t="inlineStr">
        <is>
          <t>14 years, 8 months, 11 days</t>
        </is>
      </c>
      <c r="AL437" s="53" t="inlineStr">
        <is>
          <t>Suptech</t>
        </is>
      </c>
      <c r="AM437" s="53" t="inlineStr">
        <is>
          <t>iFile</t>
        </is>
      </c>
      <c r="AN437" s="53" t="inlineStr">
        <is>
          <t>XBRL Consulting</t>
        </is>
      </c>
      <c r="AO437" s="53" t="inlineStr">
        <is>
          <t>Consulting</t>
        </is>
      </c>
      <c r="AP437" s="53" t="inlineStr">
        <is>
          <t>No</t>
        </is>
      </c>
      <c r="AQ437" s="53" t="inlineStr">
        <is>
          <t>Professional Services</t>
        </is>
      </c>
      <c r="AR437" s="53" t="inlineStr">
        <is>
          <t>XBRL Domain</t>
        </is>
      </c>
      <c r="AS437" s="53" t="inlineStr">
        <is>
          <t>Non-technical</t>
        </is>
      </c>
      <c r="AT437" s="53" t="n">
        <v>20</v>
      </c>
      <c r="AU437" s="53" t="inlineStr">
        <is>
          <t>Covered</t>
        </is>
      </c>
      <c r="AV437" s="53" t="n"/>
      <c r="AW437" s="53" t="n"/>
      <c r="AX437" s="53" t="n"/>
      <c r="AY437" s="53" t="n"/>
      <c r="AZ437" s="53" t="n"/>
      <c r="BA437" s="53" t="n"/>
      <c r="BB437" s="53" t="n"/>
      <c r="BC437" s="53" t="n"/>
      <c r="BD437" s="53" t="n"/>
      <c r="BE437" s="53" t="n"/>
      <c r="BF437" s="53" t="n"/>
      <c r="BG437" s="53" t="n"/>
      <c r="BH437" s="53" t="n"/>
      <c r="BI437" s="53" t="n"/>
      <c r="BJ437" s="53" t="n"/>
      <c r="BK437" s="53" t="n"/>
      <c r="BL437" s="53" t="n"/>
      <c r="BM437" s="53" t="n"/>
      <c r="BN437" s="53" t="n"/>
      <c r="BO437" s="53" t="n"/>
      <c r="BP437" s="53" t="n"/>
      <c r="BQ437" s="53" t="n"/>
      <c r="BR437" s="53" t="n"/>
      <c r="BS437" s="53" t="n"/>
      <c r="BT437" s="53" t="n"/>
      <c r="BU437" s="53" t="n"/>
      <c r="BV437" s="53" t="n"/>
      <c r="BW437" s="53" t="n"/>
      <c r="BX437" s="53" t="n"/>
      <c r="BY437" s="53" t="n"/>
      <c r="BZ437" s="53" t="n"/>
      <c r="CA437" s="53" t="n"/>
      <c r="CB437" s="53" t="n"/>
      <c r="CC437" s="53" t="n"/>
      <c r="CD437" s="53" t="n"/>
      <c r="CE437" s="53" t="n"/>
      <c r="CF437" s="53" t="n"/>
      <c r="CG437" s="53" t="n"/>
      <c r="CH437" s="53" t="n"/>
      <c r="CI437" s="53" t="n"/>
      <c r="CJ437" s="53" t="n"/>
      <c r="CK437" s="53" t="n"/>
      <c r="CL437" s="53" t="n"/>
      <c r="CM437" s="53" t="n"/>
      <c r="CN437" s="53" t="n"/>
      <c r="CO437" s="53" t="n"/>
      <c r="CP437" s="53" t="n"/>
      <c r="CQ437" s="53" t="n"/>
      <c r="CR437" s="53" t="n"/>
      <c r="CS437" s="53" t="n"/>
      <c r="CT437" s="53" t="n"/>
      <c r="CU437" s="53" t="n"/>
      <c r="CV437" s="53" t="n"/>
      <c r="CW437" s="53" t="n"/>
      <c r="CX437" s="53" t="n"/>
      <c r="CY437" s="53" t="n"/>
      <c r="CZ437" s="53" t="n"/>
      <c r="DA437" s="53" t="n"/>
      <c r="DB437" s="53" t="n"/>
      <c r="DC437" s="53" t="n"/>
      <c r="DD437" s="53" t="inlineStr">
        <is>
          <t>IRIS1035</t>
        </is>
      </c>
      <c r="DE437" s="53" t="inlineStr">
        <is>
          <t>Employee</t>
        </is>
      </c>
      <c r="DF437" s="53" t="inlineStr">
        <is>
          <t>Active</t>
        </is>
      </c>
      <c r="DG437" s="53" t="inlineStr">
        <is>
          <t>Shraddha Bagul</t>
        </is>
      </c>
      <c r="DH437" s="54" t="n">
        <v>40891</v>
      </c>
      <c r="DI437" s="53" t="inlineStr">
        <is>
          <t>Lead Consultant</t>
        </is>
      </c>
      <c r="DJ437" s="53" t="inlineStr">
        <is>
          <t>Consulting &amp; Professional Services</t>
        </is>
      </c>
      <c r="DK437" s="53" t="inlineStr">
        <is>
          <t>XBRL / Regulatory Reporting</t>
        </is>
      </c>
      <c r="DL437" s="53" t="inlineStr">
        <is>
          <t>Lead Consultant</t>
        </is>
      </c>
      <c r="DM437" s="53" t="inlineStr">
        <is>
          <t>L5 – Lead · IC</t>
        </is>
      </c>
      <c r="DN437" s="53" t="inlineStr">
        <is>
          <t>CA</t>
        </is>
      </c>
      <c r="DO437" s="53" t="inlineStr">
        <is>
          <t>Rahul Dhamne</t>
        </is>
      </c>
      <c r="DP437" s="53" t="inlineStr">
        <is>
          <t>N-2</t>
        </is>
      </c>
      <c r="DQ437" s="53" t="inlineStr">
        <is>
          <t>Manager</t>
        </is>
      </c>
      <c r="DR437" s="53" t="inlineStr">
        <is>
          <t>0 years, 0 months, 0 days</t>
        </is>
      </c>
      <c r="DS437" s="53" t="inlineStr">
        <is>
          <t>14 years, 6 months, 6 days</t>
        </is>
      </c>
      <c r="DT437" s="53" t="inlineStr">
        <is>
          <t>14 years, 6 months, 6 days</t>
        </is>
      </c>
      <c r="DU437" s="53" t="n">
        <v>14.5164383561644</v>
      </c>
      <c r="DV437" s="53" t="inlineStr">
        <is>
          <t>Suptech</t>
        </is>
      </c>
      <c r="DW437" s="53" t="inlineStr">
        <is>
          <t>iFile</t>
        </is>
      </c>
      <c r="DX437" s="53" t="inlineStr">
        <is>
          <t>XBRL Consulting</t>
        </is>
      </c>
      <c r="DY437" s="53" t="inlineStr">
        <is>
          <t>Consulting</t>
        </is>
      </c>
      <c r="DZ437" s="53" t="inlineStr">
        <is>
          <t>No</t>
        </is>
      </c>
      <c r="EA437" s="53" t="inlineStr">
        <is>
          <t>Professional Services</t>
        </is>
      </c>
      <c r="EB437" s="53" t="inlineStr">
        <is>
          <t>XBRL Domain</t>
        </is>
      </c>
      <c r="EC437" s="53" t="inlineStr">
        <is>
          <t>Non-technical</t>
        </is>
      </c>
      <c r="ED437" s="53" t="inlineStr">
        <is>
          <t>Work From Office - Turbhe</t>
        </is>
      </c>
      <c r="EE437" s="53" t="n"/>
      <c r="EF437"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7"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7" s="53" t="inlineStr">
        <is>
          <t>5 – Outstanding</t>
        </is>
      </c>
      <c r="EI437" s="53" t="inlineStr">
        <is>
          <t>Last appraisal in Oct 2025</t>
        </is>
      </c>
      <c r="EJ437" s="53" t="inlineStr">
        <is>
          <t>Lead Consultant</t>
        </is>
      </c>
      <c r="EK437" s="53" t="inlineStr">
        <is>
          <t>No change</t>
        </is>
      </c>
      <c r="EL437" s="53" t="n">
        <v>5</v>
      </c>
      <c r="EM437" s="53" t="inlineStr">
        <is>
          <t>High</t>
        </is>
      </c>
      <c r="EN437" s="53" t="inlineStr">
        <is>
          <t>Future Leader</t>
        </is>
      </c>
      <c r="EO437" s="53" t="n"/>
      <c r="EP437" s="53" t="inlineStr">
        <is>
          <t>yes</t>
        </is>
      </c>
      <c r="EQ437" s="53" t="n"/>
      <c r="ER437" s="53" t="inlineStr">
        <is>
          <t>To be identified</t>
        </is>
      </c>
      <c r="ES437" s="53" t="inlineStr">
        <is>
          <t>XBRL taxonomy &amp; regulatory updates; domain/accounting refreshers; quality &amp; accuracy practices; tooling proficiency | People management: goal-setting &amp; feedback, 1:1 coaching, performance conversations</t>
        </is>
      </c>
      <c r="ET437" s="53" t="inlineStr">
        <is>
          <t>Leadership development: strategic thinking, cross-functional influence, financial/business acumen, succession &amp; talent development, change management, executive communication</t>
        </is>
      </c>
      <c r="EU437" s="53" t="inlineStr">
        <is>
          <t>QCB,PFRDA,RMA,Texting - All iFile projects</t>
        </is>
      </c>
      <c r="EV437" s="53" t="n"/>
      <c r="EW437" s="52" t="n"/>
      <c r="EX437" s="53" t="n"/>
      <c r="EY437" s="53" t="n"/>
      <c r="EZ437" s="53" t="n"/>
      <c r="FA437" s="53" t="n"/>
      <c r="FB437" s="53" t="n"/>
      <c r="FC437" s="53" t="n"/>
      <c r="FD437" s="53" t="n"/>
      <c r="FE437"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7"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7" s="56" t="n"/>
      <c r="FH437" s="56" t="inlineStr">
        <is>
          <t>5 – Outstanding</t>
        </is>
      </c>
      <c r="FI437" s="56" t="n"/>
      <c r="FJ437" s="56" t="inlineStr">
        <is>
          <t>Received · manager annual, quarterly</t>
        </is>
      </c>
      <c r="FK437" s="56" t="inlineStr">
        <is>
          <t>Talent Mapping · iFile collated</t>
        </is>
      </c>
      <c r="FL437" s="56" t="n">
        <v>20</v>
      </c>
      <c r="FM437" s="32" t="inlineStr">
        <is>
          <t>Full survey answers not in the files received · How We Grow export needed · HR</t>
        </is>
      </c>
      <c r="FN437" s="56" t="inlineStr">
        <is>
          <t>—</t>
        </is>
      </c>
      <c r="FO437" s="56" t="inlineStr">
        <is>
          <t>—</t>
        </is>
      </c>
      <c r="FP437" s="56" t="inlineStr">
        <is>
          <t>—</t>
        </is>
      </c>
      <c r="FQ437" s="56" t="inlineStr">
        <is>
          <t>—</t>
        </is>
      </c>
      <c r="FR437" s="56"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matches the start
Leadership: Evidence reads like B2: 13 direct reports; resource planning and training team members → matches the start
Business Impact: No survey or manager-mapping signal on criticality: kept at the start point.</t>
        </is>
      </c>
      <c r="FS437"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FT437" s="56" t="inlineStr">
        <is>
          <t>Self-identified: AI / automation · Communication &amp; presentation
For the next role: AI / automation · Communication &amp; presentation</t>
        </is>
      </c>
      <c r="FU437" s="32" t="inlineStr">
        <is>
          <t>Full survey answers not in the files received · How We Grow export needed · HR</t>
        </is>
      </c>
    </row>
    <row r="438" ht="90" customHeight="1">
      <c r="A438" s="51" t="inlineStr">
        <is>
          <t>◂ Back</t>
        </is>
      </c>
      <c r="B438" s="29" t="inlineStr">
        <is>
          <t>Mapped</t>
        </is>
      </c>
      <c r="C438" s="28" t="inlineStr">
        <is>
          <t>iFile</t>
        </is>
      </c>
      <c r="D438" s="29" t="inlineStr">
        <is>
          <t>IRIS0828</t>
        </is>
      </c>
      <c r="E438" s="29" t="inlineStr">
        <is>
          <t>Anirudh Singh Bartwal</t>
        </is>
      </c>
      <c r="F438" s="29" t="inlineStr">
        <is>
          <t>XBRL Consulting</t>
        </is>
      </c>
      <c r="G438" s="29" t="inlineStr">
        <is>
          <t>Senior consultant</t>
        </is>
      </c>
      <c r="H438" s="29" t="inlineStr">
        <is>
          <t>Senior Taxonomy Specialist</t>
        </is>
      </c>
      <c r="I438" s="29" t="inlineStr">
        <is>
          <t>L4 – Senior</t>
        </is>
      </c>
      <c r="J438" s="29" t="inlineStr">
        <is>
          <t>B1</t>
        </is>
      </c>
      <c r="K438" s="29" t="inlineStr">
        <is>
          <t>▲ Up</t>
        </is>
      </c>
      <c r="L438" s="29" t="inlineStr">
        <is>
          <t>Consulting &amp; Professional Services</t>
        </is>
      </c>
      <c r="M438" s="29" t="inlineStr">
        <is>
          <t>Taxonomy Design &amp; Regulatory Consulting</t>
        </is>
      </c>
      <c r="N438" s="29" t="n"/>
      <c r="O438" s="29" t="n">
        <v>20</v>
      </c>
      <c r="P438" s="28" t="inlineStr">
        <is>
          <t>P3 / M2</t>
        </is>
      </c>
      <c r="Q438" s="29" t="inlineStr">
        <is>
          <t>Career / · Team Lead</t>
        </is>
      </c>
      <c r="R438" s="29" t="inlineStr">
        <is>
          <t>4 Enable</t>
        </is>
      </c>
      <c r="S438" s="29" t="inlineStr">
        <is>
          <t>4–7 yrs</t>
        </is>
      </c>
      <c r="T438" s="29" t="inlineStr">
        <is>
          <t>5–8 · 4–8</t>
        </is>
      </c>
      <c r="U438" s="29" t="inlineStr">
        <is>
          <t>Senior Consultant / Team Lead</t>
        </is>
      </c>
      <c r="V438" s="29" t="inlineStr">
        <is>
          <t>Big Four: Senior Consultant · IRIS Vs Market Benchmark — XBRL US credential pathway: Certificate + specialist taxonomy</t>
        </is>
      </c>
      <c r="W438" s="29" t="inlineStr">
        <is>
          <t>XBRL US GAAP Certificate · AICPA &amp; XBRL US; XBRL International specifications; IFRS / US GAAP / Ind AS</t>
        </is>
      </c>
      <c r="X438" s="29" t="inlineStr">
        <is>
          <t>Core 3 · Future 3 · Functional 3 · Leadership 1</t>
        </is>
      </c>
      <c r="Y438" s="52" t="n">
        <v>94</v>
      </c>
      <c r="Z438" s="53" t="inlineStr">
        <is>
          <t>IRIS0828</t>
        </is>
      </c>
      <c r="AA438" s="53" t="inlineStr">
        <is>
          <t>Employee</t>
        </is>
      </c>
      <c r="AB438" s="53" t="inlineStr">
        <is>
          <t>Active</t>
        </is>
      </c>
      <c r="AC438" s="53" t="inlineStr">
        <is>
          <t>Anirudh Singh Bartwal</t>
        </is>
      </c>
      <c r="AD438" s="54" t="n">
        <v>40777</v>
      </c>
      <c r="AE438" s="53" t="inlineStr">
        <is>
          <t>Senior consultant</t>
        </is>
      </c>
      <c r="AF438" s="53" t="inlineStr">
        <is>
          <t>B.Com</t>
        </is>
      </c>
      <c r="AG438" s="53" t="inlineStr">
        <is>
          <t>Shraddha Bagul</t>
        </is>
      </c>
      <c r="AH438" s="53" t="inlineStr">
        <is>
          <t>N-3</t>
        </is>
      </c>
      <c r="AI438" s="53" t="inlineStr">
        <is>
          <t>Individual Contributor</t>
        </is>
      </c>
      <c r="AJ438" s="53" t="inlineStr">
        <is>
          <t>1 years, 8 months, 0 days</t>
        </is>
      </c>
      <c r="AK438" s="53" t="inlineStr">
        <is>
          <t>15 years, 0 months, 3 days</t>
        </is>
      </c>
      <c r="AL438" s="53" t="inlineStr">
        <is>
          <t>Suptech</t>
        </is>
      </c>
      <c r="AM438" s="53" t="inlineStr">
        <is>
          <t>iFile</t>
        </is>
      </c>
      <c r="AN438" s="53" t="inlineStr">
        <is>
          <t>XBRL Consulting</t>
        </is>
      </c>
      <c r="AO438" s="53" t="inlineStr">
        <is>
          <t>Consulting</t>
        </is>
      </c>
      <c r="AP438" s="53" t="inlineStr">
        <is>
          <t>No</t>
        </is>
      </c>
      <c r="AQ438" s="53" t="inlineStr">
        <is>
          <t>Professional Services</t>
        </is>
      </c>
      <c r="AR438" s="53" t="inlineStr">
        <is>
          <t>XBRL Domain</t>
        </is>
      </c>
      <c r="AS438" s="53" t="inlineStr">
        <is>
          <t>Non-technical</t>
        </is>
      </c>
      <c r="AT438" s="53" t="n">
        <v>20</v>
      </c>
      <c r="AU438" s="53" t="inlineStr">
        <is>
          <t>Covered</t>
        </is>
      </c>
      <c r="AV438" s="53" t="n"/>
      <c r="AW438" s="53" t="n"/>
      <c r="AX438" s="53" t="n"/>
      <c r="AY438" s="53" t="n"/>
      <c r="AZ438" s="53" t="n"/>
      <c r="BA438" s="53" t="n"/>
      <c r="BB438" s="53" t="n"/>
      <c r="BC438" s="53" t="n"/>
      <c r="BD438" s="53" t="n"/>
      <c r="BE438" s="53" t="n"/>
      <c r="BF438" s="53" t="n"/>
      <c r="BG438" s="53" t="n"/>
      <c r="BH438" s="53" t="n"/>
      <c r="BI438" s="53" t="n"/>
      <c r="BJ438" s="53" t="n"/>
      <c r="BK438" s="53" t="n"/>
      <c r="BL438" s="53" t="n"/>
      <c r="BM438" s="53" t="n"/>
      <c r="BN438" s="53" t="n"/>
      <c r="BO438" s="53" t="n"/>
      <c r="BP438" s="53" t="n"/>
      <c r="BQ438" s="53" t="n"/>
      <c r="BR438" s="53" t="n"/>
      <c r="BS438" s="53" t="n"/>
      <c r="BT438" s="53" t="n"/>
      <c r="BU438" s="53" t="n"/>
      <c r="BV438" s="53" t="n"/>
      <c r="BW438" s="53" t="n"/>
      <c r="BX438" s="53" t="n"/>
      <c r="BY438" s="53" t="n"/>
      <c r="BZ438" s="53" t="n"/>
      <c r="CA438" s="53" t="n"/>
      <c r="CB438" s="53" t="n"/>
      <c r="CC438" s="53" t="n"/>
      <c r="CD438" s="53" t="n"/>
      <c r="CE438" s="53" t="n"/>
      <c r="CF438" s="53" t="n"/>
      <c r="CG438" s="53" t="n"/>
      <c r="CH438" s="53" t="n"/>
      <c r="CI438" s="53" t="n"/>
      <c r="CJ438" s="53" t="n"/>
      <c r="CK438" s="53" t="n"/>
      <c r="CL438" s="53" t="n"/>
      <c r="CM438" s="53" t="n"/>
      <c r="CN438" s="53" t="n"/>
      <c r="CO438" s="53" t="n"/>
      <c r="CP438" s="53" t="n"/>
      <c r="CQ438" s="53" t="n"/>
      <c r="CR438" s="53" t="n"/>
      <c r="CS438" s="53" t="n"/>
      <c r="CT438" s="53" t="n"/>
      <c r="CU438" s="53" t="n"/>
      <c r="CV438" s="53" t="n"/>
      <c r="CW438" s="53" t="n"/>
      <c r="CX438" s="53" t="n"/>
      <c r="CY438" s="53" t="n"/>
      <c r="CZ438" s="53" t="n"/>
      <c r="DA438" s="53" t="n"/>
      <c r="DB438" s="53" t="n"/>
      <c r="DC438" s="53" t="n"/>
      <c r="DD438" s="53" t="inlineStr">
        <is>
          <t>IRIS0828</t>
        </is>
      </c>
      <c r="DE438" s="53" t="inlineStr">
        <is>
          <t>Employee</t>
        </is>
      </c>
      <c r="DF438" s="53" t="inlineStr">
        <is>
          <t>Active</t>
        </is>
      </c>
      <c r="DG438" s="53" t="inlineStr">
        <is>
          <t>Anirudh Singh Bartwal</t>
        </is>
      </c>
      <c r="DH438" s="54" t="n">
        <v>40777</v>
      </c>
      <c r="DI438" s="53" t="inlineStr">
        <is>
          <t>Senior consultant</t>
        </is>
      </c>
      <c r="DJ438" s="53" t="inlineStr">
        <is>
          <t>Consulting &amp; Professional Services</t>
        </is>
      </c>
      <c r="DK438" s="53" t="inlineStr">
        <is>
          <t>XBRL / Regulatory Reporting</t>
        </is>
      </c>
      <c r="DL438" s="53" t="inlineStr">
        <is>
          <t>Senior consultant</t>
        </is>
      </c>
      <c r="DM438" s="53" t="inlineStr">
        <is>
          <t>L4 – Senior</t>
        </is>
      </c>
      <c r="DN438" s="53" t="inlineStr">
        <is>
          <t>B.Com</t>
        </is>
      </c>
      <c r="DO438" s="53" t="inlineStr">
        <is>
          <t>Shraddha Bagul</t>
        </is>
      </c>
      <c r="DP438" s="53" t="inlineStr">
        <is>
          <t>N-3</t>
        </is>
      </c>
      <c r="DQ438" s="53" t="inlineStr">
        <is>
          <t>Individual Contributor</t>
        </is>
      </c>
      <c r="DR438" s="53" t="inlineStr">
        <is>
          <t>1 years, 8 months, 0 days</t>
        </is>
      </c>
      <c r="DS438" s="53" t="inlineStr">
        <is>
          <t>14 years, 9 months, 29 days</t>
        </is>
      </c>
      <c r="DT438" s="53" t="inlineStr">
        <is>
          <t>16 years, 5 months, 29 days</t>
        </is>
      </c>
      <c r="DU438" s="53" t="n"/>
      <c r="DV438" s="53" t="inlineStr">
        <is>
          <t>Suptech</t>
        </is>
      </c>
      <c r="DW438" s="53" t="inlineStr">
        <is>
          <t>iFile</t>
        </is>
      </c>
      <c r="DX438" s="53" t="inlineStr">
        <is>
          <t>XBRL Consulting</t>
        </is>
      </c>
      <c r="DY438" s="53" t="inlineStr">
        <is>
          <t>Consulting</t>
        </is>
      </c>
      <c r="DZ438" s="53" t="inlineStr">
        <is>
          <t>No</t>
        </is>
      </c>
      <c r="EA438" s="53" t="inlineStr">
        <is>
          <t>Professional Services</t>
        </is>
      </c>
      <c r="EB438" s="53" t="inlineStr">
        <is>
          <t>XBRL Domain</t>
        </is>
      </c>
      <c r="EC438" s="53" t="inlineStr">
        <is>
          <t>Non-technical</t>
        </is>
      </c>
      <c r="ED438" s="53" t="inlineStr">
        <is>
          <t>Work From Office - Turbhe</t>
        </is>
      </c>
      <c r="EE438" s="53" t="n"/>
      <c r="EF438"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38" s="53" t="inlineStr">
        <is>
          <t>1. Complete Q1 taxonomy build/test tasks on schedule · &gt;=95% on-time.
2. Close assigned iFILE support tickets within SLA.
3. Finish Q1 Excel/Webform test cycles with defect leakage &lt;2%.</t>
        </is>
      </c>
      <c r="EH438" s="53" t="inlineStr">
        <is>
          <t>3 – Meets Expectations</t>
        </is>
      </c>
      <c r="EI438" s="53" t="inlineStr">
        <is>
          <t>Last appraisal in Oct 2025</t>
        </is>
      </c>
      <c r="EJ438" s="53" t="inlineStr">
        <is>
          <t>Senior consultant</t>
        </is>
      </c>
      <c r="EK438" s="53" t="inlineStr">
        <is>
          <t>No change</t>
        </is>
      </c>
      <c r="EL438" s="53" t="n">
        <v>3</v>
      </c>
      <c r="EM438" s="53" t="inlineStr">
        <is>
          <t>Medium</t>
        </is>
      </c>
      <c r="EN438" s="53" t="inlineStr">
        <is>
          <t>Trusted Professional</t>
        </is>
      </c>
      <c r="EO438" s="53" t="n"/>
      <c r="EP438" s="53" t="inlineStr">
        <is>
          <t>No</t>
        </is>
      </c>
      <c r="EQ438" s="53" t="n"/>
      <c r="ER438" s="53" t="inlineStr">
        <is>
          <t>To be identified</t>
        </is>
      </c>
      <c r="ES438" s="53" t="inlineStr">
        <is>
          <t>XBRL taxonomy &amp; regulatory updates; domain/accounting refreshers; quality &amp; accuracy practices; tooling proficiency</t>
        </is>
      </c>
      <c r="ET438" s="53" t="inlineStr">
        <is>
          <t>Transition to leadership: people management &amp; delegation, mentoring/coaching, project ownership &amp; stakeholder management, prioritisation under ambiguity, presentation &amp; influence skills</t>
        </is>
      </c>
      <c r="EU438" s="53" t="n"/>
      <c r="EV438" s="53" t="n"/>
      <c r="EW438" s="52" t="n"/>
      <c r="EX438" s="53" t="n"/>
      <c r="EY438" s="53" t="n"/>
      <c r="EZ438" s="53" t="n"/>
      <c r="FA438" s="53" t="n"/>
      <c r="FB438" s="53" t="n"/>
      <c r="FC438" s="53" t="n"/>
      <c r="FD438" s="53" t="n"/>
      <c r="FE438"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38" s="56" t="inlineStr">
        <is>
          <t>1. Complete Q1 taxonomy build/test tasks on schedule · &gt;=95% on-time.
2. Close assigned iFILE support tickets within SLA · &gt;=90%.
3. Finish Q1 Excel/Webform test cycles with defect leakage &lt;2%.</t>
        </is>
      </c>
      <c r="FG438" s="56" t="n"/>
      <c r="FH438" s="56" t="inlineStr">
        <is>
          <t>3 – Meets Expectations</t>
        </is>
      </c>
      <c r="FI438" s="56" t="n"/>
      <c r="FJ438" s="56" t="inlineStr">
        <is>
          <t>Received · manager annual, quarterly</t>
        </is>
      </c>
      <c r="FK438" s="56" t="inlineStr">
        <is>
          <t>Talent Mapping · iFile collated</t>
        </is>
      </c>
      <c r="FL438" s="56" t="n">
        <v>20</v>
      </c>
      <c r="FM438" s="32" t="inlineStr">
        <is>
          <t>Full survey answers not in the files received · How We Grow export needed · HR</t>
        </is>
      </c>
      <c r="FN438" s="56" t="inlineStr">
        <is>
          <t>—</t>
        </is>
      </c>
      <c r="FO438" s="56" t="inlineStr">
        <is>
          <t>—</t>
        </is>
      </c>
      <c r="FP438" s="56" t="inlineStr">
        <is>
          <t>—</t>
        </is>
      </c>
      <c r="FQ438" s="56" t="inlineStr">
        <is>
          <t>—</t>
        </is>
      </c>
      <c r="FR438" s="56"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delivery delay → moved down 1
Leadership: Evidence reads like A3: Training new joinees is a listed responsibility → moved down 0.5
Business Impact: No survey or manager-mapping signal on criticality: kept at the start point.</t>
        </is>
      </c>
      <c r="FS438"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38" s="56" t="inlineStr">
        <is>
          <t>Self-identified: Client, sales &amp; stakeholders · Communication &amp; presentation
For the next role: Client, sales &amp; stakeholders · Communication &amp; presentation</t>
        </is>
      </c>
      <c r="FU438" s="32" t="inlineStr">
        <is>
          <t>Full survey answers not in the files received · How We Grow export needed · HR</t>
        </is>
      </c>
    </row>
    <row r="439" ht="90" customHeight="1">
      <c r="A439" s="51" t="inlineStr">
        <is>
          <t>◂ Back</t>
        </is>
      </c>
      <c r="B439" s="29" t="inlineStr">
        <is>
          <t>Mapped</t>
        </is>
      </c>
      <c r="C439" s="28" t="inlineStr">
        <is>
          <t>iFile</t>
        </is>
      </c>
      <c r="D439" s="29" t="inlineStr">
        <is>
          <t>IRIS2457</t>
        </is>
      </c>
      <c r="E439" s="29" t="inlineStr">
        <is>
          <t>Mayuri Ashok Mhetar</t>
        </is>
      </c>
      <c r="F439" s="29" t="inlineStr">
        <is>
          <t>XBRL Consulting</t>
        </is>
      </c>
      <c r="G439" s="29" t="inlineStr">
        <is>
          <t>XBRL Conversion Specialist</t>
        </is>
      </c>
      <c r="H439" s="29" t="inlineStr">
        <is>
          <t>Senior Financial Analyst</t>
        </is>
      </c>
      <c r="I439" s="29" t="inlineStr">
        <is>
          <t>L3 – Professional / Associate</t>
        </is>
      </c>
      <c r="J439" s="29" t="inlineStr">
        <is>
          <t>A3</t>
        </is>
      </c>
      <c r="K439" s="29" t="inlineStr">
        <is>
          <t>▲ Up</t>
        </is>
      </c>
      <c r="L439" s="29" t="inlineStr">
        <is>
          <t>Consulting &amp; Professional Services</t>
        </is>
      </c>
      <c r="M439" s="29" t="inlineStr">
        <is>
          <t>XBRL Tagging, Conversion &amp; Filing</t>
        </is>
      </c>
      <c r="N439" s="29" t="n"/>
      <c r="O439" s="29" t="n">
        <v>20</v>
      </c>
      <c r="P439" s="28" t="inlineStr">
        <is>
          <t>P2</t>
        </is>
      </c>
      <c r="Q439" s="29" t="inlineStr">
        <is>
          <t>Developing</t>
        </is>
      </c>
      <c r="R439" s="29" t="inlineStr">
        <is>
          <t>3 Apply</t>
        </is>
      </c>
      <c r="S439" s="29" t="inlineStr">
        <is>
          <t>2–4 yrs</t>
        </is>
      </c>
      <c r="T439" s="29" t="inlineStr">
        <is>
          <t>3–5 · 2–5</t>
        </is>
      </c>
      <c r="U439" s="29" t="inlineStr">
        <is>
          <t>Senior Analyst / Associate</t>
        </is>
      </c>
      <c r="V439" s="29" t="inlineStr">
        <is>
          <t>DataTracks: Senior Associate · 2–5 yrs · Big Four: Consultant · IRIS Vs Market Benchmark — XBRL US credential pathway: XBRL US GAAP Certificate</t>
        </is>
      </c>
      <c r="W439" s="29" t="inlineStr">
        <is>
          <t>XBRL US GAAP Certificate · AICPA &amp; XBRL US; XBRL International specifications; IFRS / US GAAP / Ind AS</t>
        </is>
      </c>
      <c r="X439" s="29" t="inlineStr">
        <is>
          <t>Core 2 · Future 2 · Functional 3 · Leadership not scored</t>
        </is>
      </c>
      <c r="Y439" s="52" t="n">
        <v>427</v>
      </c>
      <c r="Z439" s="53" t="inlineStr">
        <is>
          <t>IRIS2457</t>
        </is>
      </c>
      <c r="AA439" s="53" t="inlineStr">
        <is>
          <t>Employee</t>
        </is>
      </c>
      <c r="AB439" s="53" t="inlineStr">
        <is>
          <t>Active</t>
        </is>
      </c>
      <c r="AC439" s="53" t="inlineStr">
        <is>
          <t>Mayuri Ashok Mhetar</t>
        </is>
      </c>
      <c r="AD439" s="54" t="n">
        <v>46023</v>
      </c>
      <c r="AE439" s="53" t="inlineStr">
        <is>
          <t>XBRL Conversion Specialist</t>
        </is>
      </c>
      <c r="AF439" s="53" t="inlineStr">
        <is>
          <t>B.Com</t>
        </is>
      </c>
      <c r="AG439" s="53" t="inlineStr">
        <is>
          <t>Shraddha Bagul</t>
        </is>
      </c>
      <c r="AH439" s="53" t="inlineStr">
        <is>
          <t>N-3</t>
        </is>
      </c>
      <c r="AI439" s="53" t="inlineStr">
        <is>
          <t>Individual Contributor</t>
        </is>
      </c>
      <c r="AJ439" s="53" t="inlineStr">
        <is>
          <t>2 years, 6 months, 0 days</t>
        </is>
      </c>
      <c r="AK439" s="53" t="inlineStr">
        <is>
          <t>0 years, 7 months, 24 days</t>
        </is>
      </c>
      <c r="AL439" s="53" t="inlineStr">
        <is>
          <t>Suptech</t>
        </is>
      </c>
      <c r="AM439" s="53" t="inlineStr">
        <is>
          <t>iFile</t>
        </is>
      </c>
      <c r="AN439" s="53" t="inlineStr">
        <is>
          <t>XBRL Consulting</t>
        </is>
      </c>
      <c r="AO439" s="53" t="inlineStr">
        <is>
          <t>Consulting</t>
        </is>
      </c>
      <c r="AP439" s="53" t="inlineStr">
        <is>
          <t>No</t>
        </is>
      </c>
      <c r="AQ439" s="53" t="inlineStr">
        <is>
          <t>Professional Services</t>
        </is>
      </c>
      <c r="AR439" s="53" t="inlineStr">
        <is>
          <t>XBRL Domain</t>
        </is>
      </c>
      <c r="AS439" s="53" t="inlineStr">
        <is>
          <t>Non-technical</t>
        </is>
      </c>
      <c r="AT439" s="53" t="n">
        <v>20</v>
      </c>
      <c r="AU439" s="53" t="inlineStr">
        <is>
          <t>Covered</t>
        </is>
      </c>
      <c r="AV439" s="53" t="n"/>
      <c r="AW439" s="53" t="n"/>
      <c r="AX439" s="53" t="n"/>
      <c r="AY439" s="53" t="n"/>
      <c r="AZ439" s="53" t="n"/>
      <c r="BA439" s="53" t="n"/>
      <c r="BB439" s="53" t="n"/>
      <c r="BC439" s="53" t="n"/>
      <c r="BD439" s="53" t="n"/>
      <c r="BE439" s="53" t="n"/>
      <c r="BF439" s="53" t="n"/>
      <c r="BG439" s="53" t="n"/>
      <c r="BH439" s="53" t="n"/>
      <c r="BI439" s="53" t="n"/>
      <c r="BJ439" s="53" t="n"/>
      <c r="BK439" s="53" t="n"/>
      <c r="BL439" s="53" t="n"/>
      <c r="BM439" s="53" t="n"/>
      <c r="BN439" s="53" t="n"/>
      <c r="BO439" s="53" t="n"/>
      <c r="BP439" s="53" t="n"/>
      <c r="BQ439" s="53" t="n"/>
      <c r="BR439" s="53" t="n"/>
      <c r="BS439" s="53" t="n"/>
      <c r="BT439" s="53" t="n"/>
      <c r="BU439" s="53" t="n"/>
      <c r="BV439" s="53" t="n"/>
      <c r="BW439" s="53" t="n"/>
      <c r="BX439" s="53" t="n"/>
      <c r="BY439" s="53" t="n"/>
      <c r="BZ439" s="53" t="n"/>
      <c r="CA439" s="53" t="n"/>
      <c r="CB439" s="53" t="n"/>
      <c r="CC439" s="53" t="n"/>
      <c r="CD439" s="53" t="n"/>
      <c r="CE439" s="53" t="n"/>
      <c r="CF439" s="53" t="n"/>
      <c r="CG439" s="53" t="n"/>
      <c r="CH439" s="53" t="n"/>
      <c r="CI439" s="53" t="n"/>
      <c r="CJ439" s="53" t="n"/>
      <c r="CK439" s="53" t="n"/>
      <c r="CL439" s="53" t="n"/>
      <c r="CM439" s="53" t="n"/>
      <c r="CN439" s="53" t="n"/>
      <c r="CO439" s="53" t="n"/>
      <c r="CP439" s="53" t="n"/>
      <c r="CQ439" s="53" t="n"/>
      <c r="CR439" s="53" t="n"/>
      <c r="CS439" s="53" t="n"/>
      <c r="CT439" s="53" t="n"/>
      <c r="CU439" s="53" t="n"/>
      <c r="CV439" s="53" t="n"/>
      <c r="CW439" s="53" t="n"/>
      <c r="CX439" s="53" t="n"/>
      <c r="CY439" s="53" t="n"/>
      <c r="CZ439" s="53" t="n"/>
      <c r="DA439" s="53" t="n"/>
      <c r="DB439" s="53" t="n"/>
      <c r="DC439" s="53" t="n"/>
      <c r="DD439" s="53" t="inlineStr">
        <is>
          <t>IRIS2457</t>
        </is>
      </c>
      <c r="DE439" s="53" t="inlineStr">
        <is>
          <t>Employee</t>
        </is>
      </c>
      <c r="DF439" s="53" t="inlineStr">
        <is>
          <t>Active</t>
        </is>
      </c>
      <c r="DG439" s="53" t="inlineStr">
        <is>
          <t>Mayuri Ashok Mhetar</t>
        </is>
      </c>
      <c r="DH439" s="54" t="n">
        <v>46023</v>
      </c>
      <c r="DI439" s="53" t="inlineStr">
        <is>
          <t>XBRL Conversion Specialist</t>
        </is>
      </c>
      <c r="DJ439" s="53" t="inlineStr">
        <is>
          <t>Consulting &amp; Professional Services</t>
        </is>
      </c>
      <c r="DK439" s="53" t="inlineStr">
        <is>
          <t>XBRL / Regulatory Reporting</t>
        </is>
      </c>
      <c r="DL439" s="53" t="inlineStr">
        <is>
          <t>XBRL Conversion Specialist</t>
        </is>
      </c>
      <c r="DM439" s="53" t="inlineStr">
        <is>
          <t>L3 – Professional / Associate</t>
        </is>
      </c>
      <c r="DN439" s="53" t="inlineStr">
        <is>
          <t>B.Com</t>
        </is>
      </c>
      <c r="DO439" s="53" t="inlineStr">
        <is>
          <t>Shraddha Bagul</t>
        </is>
      </c>
      <c r="DP439" s="53" t="inlineStr">
        <is>
          <t>N-3</t>
        </is>
      </c>
      <c r="DQ439" s="53" t="inlineStr">
        <is>
          <t>Individual Contributor</t>
        </is>
      </c>
      <c r="DR439" s="53" t="inlineStr">
        <is>
          <t>2 years, 6 months, 0 days</t>
        </is>
      </c>
      <c r="DS439" s="53" t="inlineStr">
        <is>
          <t>0 years, 5 months, 19 days</t>
        </is>
      </c>
      <c r="DT439" s="53" t="inlineStr">
        <is>
          <t>2 years, 11 months, 19 days</t>
        </is>
      </c>
      <c r="DU439" s="53" t="n"/>
      <c r="DV439" s="53" t="inlineStr">
        <is>
          <t>Suptech</t>
        </is>
      </c>
      <c r="DW439" s="53" t="inlineStr">
        <is>
          <t>iFile</t>
        </is>
      </c>
      <c r="DX439" s="53" t="inlineStr">
        <is>
          <t>XBRL Consulting</t>
        </is>
      </c>
      <c r="DY439" s="53" t="inlineStr">
        <is>
          <t>Consulting</t>
        </is>
      </c>
      <c r="DZ439" s="53" t="inlineStr">
        <is>
          <t>No</t>
        </is>
      </c>
      <c r="EA439" s="53" t="inlineStr">
        <is>
          <t>Professional Services</t>
        </is>
      </c>
      <c r="EB439" s="53" t="inlineStr">
        <is>
          <t>XBRL Domain</t>
        </is>
      </c>
      <c r="EC439" s="53" t="inlineStr">
        <is>
          <t>Non-technical</t>
        </is>
      </c>
      <c r="ED439" s="53" t="inlineStr">
        <is>
          <t>Work From Office - Turbhe</t>
        </is>
      </c>
      <c r="EE439" s="53" t="n"/>
      <c r="EF439"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39" s="53" t="inlineStr">
        <is>
          <t>1. Complete Q1 taxonomy build/test tasks on schedule · &gt;=95% on-time.
2. Close assigned iFILE support tickets within SLA.
3. Finish Q1 Excel/Webform test cycles with defect leakage &lt;2%.</t>
        </is>
      </c>
      <c r="EH439" s="53" t="inlineStr">
        <is>
          <t>3 – Meets Expectations</t>
        </is>
      </c>
      <c r="EI439" s="53" t="inlineStr">
        <is>
          <t>Last appraisal in Oct 2025</t>
        </is>
      </c>
      <c r="EJ439" s="53" t="inlineStr">
        <is>
          <t>XBRL Conversion Specialist</t>
        </is>
      </c>
      <c r="EK439" s="53" t="inlineStr">
        <is>
          <t>No change</t>
        </is>
      </c>
      <c r="EL439" s="53" t="n">
        <v>3</v>
      </c>
      <c r="EM439" s="53" t="inlineStr">
        <is>
          <t>Medium</t>
        </is>
      </c>
      <c r="EN439" s="53" t="inlineStr">
        <is>
          <t>Core Contributor</t>
        </is>
      </c>
      <c r="EO439" s="53" t="n"/>
      <c r="EP439" s="53" t="inlineStr">
        <is>
          <t>No</t>
        </is>
      </c>
      <c r="EQ439" s="53" t="n"/>
      <c r="ER439" s="53" t="inlineStr">
        <is>
          <t>To be identified</t>
        </is>
      </c>
      <c r="ES439" s="53" t="inlineStr">
        <is>
          <t>XBRL taxonomy &amp; regulatory updates; domain/accounting refreshers; quality &amp; accuracy practices; tooling proficiency</t>
        </is>
      </c>
      <c r="ET439" s="53" t="inlineStr">
        <is>
          <t>Transition to leadership: people management &amp; delegation, mentoring/coaching, project ownership &amp; stakeholder management, prioritisation under ambiguity, presentation &amp; influence skills</t>
        </is>
      </c>
      <c r="EU439" s="53" t="n"/>
      <c r="EV439" s="53" t="n"/>
      <c r="EW439" s="52" t="n"/>
      <c r="EX439" s="53" t="n"/>
      <c r="EY439" s="53" t="n"/>
      <c r="EZ439" s="53" t="n"/>
      <c r="FA439" s="53" t="n"/>
      <c r="FB439" s="53" t="n"/>
      <c r="FC439" s="53" t="n"/>
      <c r="FD439" s="53" t="n"/>
      <c r="FE439"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39" s="56" t="inlineStr">
        <is>
          <t>1. Complete Q1 taxonomy build/test tasks on schedule · &gt;=95% on-time.
2. Close assigned iFILE support tickets within SLA · &gt;=90%.
3. Finish Q1 Excel/Webform test cycles with defect leakage &lt;2%.</t>
        </is>
      </c>
      <c r="FG439" s="56" t="n"/>
      <c r="FH439" s="56" t="inlineStr">
        <is>
          <t>3 – Meets Expectations</t>
        </is>
      </c>
      <c r="FI439" s="56" t="n"/>
      <c r="FJ439" s="56" t="inlineStr">
        <is>
          <t>Received · manager annual, quarterly</t>
        </is>
      </c>
      <c r="FK439" s="56" t="inlineStr">
        <is>
          <t>Talent Mapping · iFile collated</t>
        </is>
      </c>
      <c r="FL439" s="56" t="n">
        <v>20</v>
      </c>
      <c r="FM439" s="32" t="inlineStr">
        <is>
          <t>Full survey answers not in the files received · How We Grow export needed · HR</t>
        </is>
      </c>
      <c r="FN439" s="56" t="inlineStr">
        <is>
          <t>—</t>
        </is>
      </c>
      <c r="FO439" s="56" t="inlineStr">
        <is>
          <t>—</t>
        </is>
      </c>
      <c r="FP439" s="56" t="inlineStr">
        <is>
          <t>—</t>
        </is>
      </c>
      <c r="FQ439" s="56" t="inlineStr">
        <is>
          <t>—</t>
        </is>
      </c>
      <c r="FR439" s="56"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missed defects cause development rework → matches the start
Leadership: Evidence reads like A1: None described → matches the start
Business Impact: No survey or manager-mapping signal on criticality: kept at the start point.</t>
        </is>
      </c>
      <c r="FS43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39" s="56" t="inlineStr">
        <is>
          <t>Self-identified: Testing &amp; quality · Broader exposure &amp; ownership
For the next role: Testing &amp; quality · Product &amp; tool knowledge · Broader exposure &amp; ownership</t>
        </is>
      </c>
      <c r="FU439" s="32" t="inlineStr">
        <is>
          <t>Full survey answers not in the files received · How We Grow export needed · HR</t>
        </is>
      </c>
    </row>
    <row r="440" ht="90" customHeight="1">
      <c r="A440" s="51" t="inlineStr">
        <is>
          <t>◂ Back</t>
        </is>
      </c>
      <c r="B440" s="29" t="inlineStr">
        <is>
          <t>Mapped</t>
        </is>
      </c>
      <c r="C440" s="28" t="inlineStr">
        <is>
          <t>iFile</t>
        </is>
      </c>
      <c r="D440" s="29" t="inlineStr">
        <is>
          <t>IRIS2458</t>
        </is>
      </c>
      <c r="E440" s="29" t="inlineStr">
        <is>
          <t>Musaf Shaikh</t>
        </is>
      </c>
      <c r="F440" s="29" t="inlineStr">
        <is>
          <t>XBRL Consulting</t>
        </is>
      </c>
      <c r="G440" s="29" t="inlineStr">
        <is>
          <t>XBRL Conversion Specialist</t>
        </is>
      </c>
      <c r="H440" s="29" t="inlineStr">
        <is>
          <t>Senior Financial Analyst</t>
        </is>
      </c>
      <c r="I440" s="29" t="inlineStr">
        <is>
          <t>L3 – Professional / Associate</t>
        </is>
      </c>
      <c r="J440" s="29" t="inlineStr">
        <is>
          <t>A3</t>
        </is>
      </c>
      <c r="K440" s="29" t="inlineStr">
        <is>
          <t>▲ Up</t>
        </is>
      </c>
      <c r="L440" s="29" t="inlineStr">
        <is>
          <t>Consulting &amp; Professional Services</t>
        </is>
      </c>
      <c r="M440" s="29" t="inlineStr">
        <is>
          <t>XBRL Tagging, Conversion &amp; Filing</t>
        </is>
      </c>
      <c r="N440" s="29" t="n"/>
      <c r="O440" s="29" t="n">
        <v>0</v>
      </c>
      <c r="P440" s="28" t="inlineStr">
        <is>
          <t>P2</t>
        </is>
      </c>
      <c r="Q440" s="29" t="inlineStr">
        <is>
          <t>Developing</t>
        </is>
      </c>
      <c r="R440" s="29" t="inlineStr">
        <is>
          <t>3 Apply</t>
        </is>
      </c>
      <c r="S440" s="29" t="inlineStr">
        <is>
          <t>2–4 yrs</t>
        </is>
      </c>
      <c r="T440" s="29" t="inlineStr">
        <is>
          <t>3–5 · 2–5</t>
        </is>
      </c>
      <c r="U440" s="29" t="inlineStr">
        <is>
          <t>Senior Analyst / Associate</t>
        </is>
      </c>
      <c r="V440" s="29" t="inlineStr">
        <is>
          <t>DataTracks: Senior Associate · 2–5 yrs · Big Four: Consultant · IRIS Vs Market Benchmark — XBRL US credential pathway: XBRL US GAAP Certificate</t>
        </is>
      </c>
      <c r="W440" s="29" t="inlineStr">
        <is>
          <t>XBRL US GAAP Certificate · AICPA &amp; XBRL US; XBRL International specifications; IFRS / US GAAP / Ind AS</t>
        </is>
      </c>
      <c r="X440" s="29" t="inlineStr">
        <is>
          <t>Core 2 · Future 2 · Functional 3 · Leadership not scored</t>
        </is>
      </c>
      <c r="Y440" s="52" t="n">
        <v>428</v>
      </c>
      <c r="Z440" s="53" t="inlineStr">
        <is>
          <t>IRIS2458</t>
        </is>
      </c>
      <c r="AA440" s="53" t="inlineStr">
        <is>
          <t>Employee</t>
        </is>
      </c>
      <c r="AB440" s="53" t="inlineStr">
        <is>
          <t>Active</t>
        </is>
      </c>
      <c r="AC440" s="53" t="inlineStr">
        <is>
          <t>Musaf Shaikh</t>
        </is>
      </c>
      <c r="AD440" s="54" t="n">
        <v>46023</v>
      </c>
      <c r="AE440" s="53" t="inlineStr">
        <is>
          <t>XBRL Conversion Specialist</t>
        </is>
      </c>
      <c r="AF440" s="53" t="inlineStr">
        <is>
          <t>B.Com</t>
        </is>
      </c>
      <c r="AG440" s="53" t="inlineStr">
        <is>
          <t>Shraddha Bagul</t>
        </is>
      </c>
      <c r="AH440" s="53" t="inlineStr">
        <is>
          <t>N-3</t>
        </is>
      </c>
      <c r="AI440" s="53" t="inlineStr">
        <is>
          <t>Individual Contributor</t>
        </is>
      </c>
      <c r="AJ440" s="53" t="inlineStr">
        <is>
          <t>1 years, 6 months, 0 days</t>
        </is>
      </c>
      <c r="AK440" s="53" t="inlineStr">
        <is>
          <t>0 years, 7 months, 24 days</t>
        </is>
      </c>
      <c r="AL440" s="53" t="inlineStr">
        <is>
          <t>Suptech</t>
        </is>
      </c>
      <c r="AM440" s="53" t="inlineStr">
        <is>
          <t>iFile</t>
        </is>
      </c>
      <c r="AN440" s="53" t="inlineStr">
        <is>
          <t>XBRL Consulting</t>
        </is>
      </c>
      <c r="AO440" s="53" t="inlineStr">
        <is>
          <t>Consulting</t>
        </is>
      </c>
      <c r="AP440" s="53" t="inlineStr">
        <is>
          <t>No</t>
        </is>
      </c>
      <c r="AQ440" s="53" t="inlineStr">
        <is>
          <t>Professional Services</t>
        </is>
      </c>
      <c r="AR440" s="53" t="inlineStr">
        <is>
          <t>XBRL Domain</t>
        </is>
      </c>
      <c r="AS440" s="53" t="inlineStr">
        <is>
          <t>Non-technical</t>
        </is>
      </c>
      <c r="AT440" s="53" t="n">
        <v>0</v>
      </c>
      <c r="AU440" s="53" t="inlineStr">
        <is>
          <t>Excluded</t>
        </is>
      </c>
      <c r="AV440" s="53" t="n"/>
      <c r="AW440" s="53" t="n"/>
      <c r="AX440" s="53" t="n"/>
      <c r="AY440" s="53" t="n"/>
      <c r="AZ440" s="53" t="n"/>
      <c r="BA440" s="53" t="n"/>
      <c r="BB440" s="53" t="n"/>
      <c r="BC440" s="53" t="n"/>
      <c r="BD440" s="53" t="n"/>
      <c r="BE440" s="53" t="n"/>
      <c r="BF440" s="53" t="n"/>
      <c r="BG440" s="53" t="n"/>
      <c r="BH440" s="53" t="n"/>
      <c r="BI440" s="53" t="n"/>
      <c r="BJ440" s="53" t="n"/>
      <c r="BK440" s="53" t="n"/>
      <c r="BL440" s="53" t="n"/>
      <c r="BM440" s="53" t="n"/>
      <c r="BN440" s="53" t="n"/>
      <c r="BO440" s="53" t="n"/>
      <c r="BP440" s="53" t="n"/>
      <c r="BQ440" s="53" t="n"/>
      <c r="BR440" s="53" t="n"/>
      <c r="BS440" s="53" t="n"/>
      <c r="BT440" s="53" t="n"/>
      <c r="BU440" s="53" t="n"/>
      <c r="BV440" s="53" t="n"/>
      <c r="BW440" s="53" t="n"/>
      <c r="BX440" s="53" t="n"/>
      <c r="BY440" s="53" t="n"/>
      <c r="BZ440" s="53" t="n"/>
      <c r="CA440" s="53" t="n"/>
      <c r="CB440" s="53" t="n"/>
      <c r="CC440" s="53" t="n"/>
      <c r="CD440" s="53" t="n"/>
      <c r="CE440" s="53" t="n"/>
      <c r="CF440" s="53" t="n"/>
      <c r="CG440" s="53" t="n"/>
      <c r="CH440" s="53" t="n"/>
      <c r="CI440" s="53" t="n"/>
      <c r="CJ440" s="53" t="n"/>
      <c r="CK440" s="53" t="n"/>
      <c r="CL440" s="53" t="n"/>
      <c r="CM440" s="53" t="n"/>
      <c r="CN440" s="53" t="n"/>
      <c r="CO440" s="53" t="n"/>
      <c r="CP440" s="53" t="n"/>
      <c r="CQ440" s="53" t="n"/>
      <c r="CR440" s="53" t="n"/>
      <c r="CS440" s="53" t="n"/>
      <c r="CT440" s="53" t="n"/>
      <c r="CU440" s="53" t="n"/>
      <c r="CV440" s="53" t="n"/>
      <c r="CW440" s="53" t="n"/>
      <c r="CX440" s="53" t="n"/>
      <c r="CY440" s="53" t="n"/>
      <c r="CZ440" s="53" t="n"/>
      <c r="DA440" s="53" t="n"/>
      <c r="DB440" s="53" t="n"/>
      <c r="DC440" s="53" t="n"/>
      <c r="DD440" s="53" t="inlineStr">
        <is>
          <t>IRIS2458</t>
        </is>
      </c>
      <c r="DE440" s="53" t="inlineStr">
        <is>
          <t>Employee</t>
        </is>
      </c>
      <c r="DF440" s="53" t="inlineStr">
        <is>
          <t>Active</t>
        </is>
      </c>
      <c r="DG440" s="53" t="inlineStr">
        <is>
          <t>Musaf Shaikh</t>
        </is>
      </c>
      <c r="DH440" s="54" t="n">
        <v>46023</v>
      </c>
      <c r="DI440" s="53" t="inlineStr">
        <is>
          <t>XBRL Conversion Specialist</t>
        </is>
      </c>
      <c r="DJ440" s="53" t="inlineStr">
        <is>
          <t>Consulting &amp; Professional Services</t>
        </is>
      </c>
      <c r="DK440" s="53" t="inlineStr">
        <is>
          <t>XBRL / Regulatory Reporting</t>
        </is>
      </c>
      <c r="DL440" s="53" t="inlineStr">
        <is>
          <t>XBRL Conversion Specialist</t>
        </is>
      </c>
      <c r="DM440" s="53" t="inlineStr">
        <is>
          <t>L3 – Professional / Associate</t>
        </is>
      </c>
      <c r="DN440" s="53" t="inlineStr">
        <is>
          <t>B.Com</t>
        </is>
      </c>
      <c r="DO440" s="53" t="inlineStr">
        <is>
          <t>Shraddha Bagul</t>
        </is>
      </c>
      <c r="DP440" s="53" t="inlineStr">
        <is>
          <t>N-3</t>
        </is>
      </c>
      <c r="DQ440" s="53" t="inlineStr">
        <is>
          <t>Individual Contributor</t>
        </is>
      </c>
      <c r="DR440" s="53" t="inlineStr">
        <is>
          <t>1 years, 6 months, 0 days</t>
        </is>
      </c>
      <c r="DS440" s="53" t="inlineStr">
        <is>
          <t>0 years, 5 months, 19 days</t>
        </is>
      </c>
      <c r="DT440" s="53" t="inlineStr">
        <is>
          <t>1 years, 11 months, 19 days</t>
        </is>
      </c>
      <c r="DU440" s="53" t="n"/>
      <c r="DV440" s="53" t="inlineStr">
        <is>
          <t>Suptech</t>
        </is>
      </c>
      <c r="DW440" s="53" t="inlineStr">
        <is>
          <t>iFile</t>
        </is>
      </c>
      <c r="DX440" s="53" t="inlineStr">
        <is>
          <t>XBRL Consulting</t>
        </is>
      </c>
      <c r="DY440" s="53" t="inlineStr">
        <is>
          <t>Consulting</t>
        </is>
      </c>
      <c r="DZ440" s="53" t="inlineStr">
        <is>
          <t>No</t>
        </is>
      </c>
      <c r="EA440" s="53" t="inlineStr">
        <is>
          <t>Professional Services</t>
        </is>
      </c>
      <c r="EB440" s="53" t="inlineStr">
        <is>
          <t>XBRL Domain</t>
        </is>
      </c>
      <c r="EC440" s="53" t="inlineStr">
        <is>
          <t>Non-technical</t>
        </is>
      </c>
      <c r="ED440" s="53" t="inlineStr">
        <is>
          <t>Work From Office - Turbhe</t>
        </is>
      </c>
      <c r="EE440" s="53" t="n"/>
      <c r="EF440"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0" s="53" t="inlineStr">
        <is>
          <t>1. Complete Q1 IRIS Instant release-testing cycles at full coverage · defect leakage &lt;2%.
2. Meet Q1 conversion turnaround &amp; accuracy targets.
3. Resolve &gt;=90% of client support queries within SLA.</t>
        </is>
      </c>
      <c r="EH440" s="53" t="inlineStr">
        <is>
          <t>3 – Meets Expectations</t>
        </is>
      </c>
      <c r="EI440" s="53" t="inlineStr">
        <is>
          <t>Last appraisal in Oct 2025</t>
        </is>
      </c>
      <c r="EJ440" s="53" t="inlineStr">
        <is>
          <t>XBRL Conversion Specialist</t>
        </is>
      </c>
      <c r="EK440" s="53" t="inlineStr">
        <is>
          <t>No change</t>
        </is>
      </c>
      <c r="EL440" s="53" t="n">
        <v>3</v>
      </c>
      <c r="EM440" s="53" t="inlineStr">
        <is>
          <t>Medium</t>
        </is>
      </c>
      <c r="EN440" s="53" t="inlineStr">
        <is>
          <t>Core Contributor</t>
        </is>
      </c>
      <c r="EO440" s="53" t="n"/>
      <c r="EP440" s="53" t="inlineStr">
        <is>
          <t>No</t>
        </is>
      </c>
      <c r="EQ440" s="53" t="n"/>
      <c r="ER440" s="53" t="inlineStr">
        <is>
          <t>To be identified</t>
        </is>
      </c>
      <c r="ES440" s="53" t="inlineStr">
        <is>
          <t>XBRL taxonomy &amp; regulatory updates; domain/accounting refreshers; quality &amp; accuracy practices; tooling proficiency</t>
        </is>
      </c>
      <c r="ET440" s="53" t="inlineStr">
        <is>
          <t>Transition to leadership: people management &amp; delegation, mentoring/coaching, project ownership &amp; stakeholder management, prioritisation under ambiguity, presentation &amp; influence skills</t>
        </is>
      </c>
      <c r="EU440" s="53" t="n"/>
      <c r="EV440" s="53" t="n"/>
      <c r="EW440" s="52" t="n"/>
      <c r="EX440" s="53" t="n"/>
      <c r="EY440" s="53" t="n"/>
      <c r="EZ440" s="53" t="n"/>
      <c r="FA440" s="53" t="n"/>
      <c r="FB440" s="53" t="n"/>
      <c r="FC440" s="53" t="n"/>
      <c r="FD440" s="53" t="n"/>
      <c r="FE440"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0" s="56" t="inlineStr">
        <is>
          <t>1. Complete Q1 IRIS Instant release-testing cycles at full coverage · defect leakage &lt;2%.
2. Meet Q1 conversion turnaround &amp; accuracy targets · &gt;=98%.
3. Resolve &gt;=90% of client support queries within SLA.</t>
        </is>
      </c>
      <c r="FG440" s="56" t="n"/>
      <c r="FH440" s="56" t="inlineStr">
        <is>
          <t>3 – Meets Expectations</t>
        </is>
      </c>
      <c r="FI440" s="56" t="n"/>
      <c r="FJ440" s="56" t="inlineStr">
        <is>
          <t>Received · manager annual, quarterly</t>
        </is>
      </c>
      <c r="FK440" s="56" t="inlineStr">
        <is>
          <t>Talent Mapping · iFile collated</t>
        </is>
      </c>
      <c r="FL440" s="56" t="n">
        <v>0</v>
      </c>
      <c r="FM440" s="32" t="inlineStr">
        <is>
          <t>No survey response on file</t>
        </is>
      </c>
      <c r="FN440" s="56" t="inlineStr">
        <is>
          <t>—</t>
        </is>
      </c>
      <c r="FO440" s="56" t="inlineStr">
        <is>
          <t>—</t>
        </is>
      </c>
      <c r="FP440" s="56" t="inlineStr">
        <is>
          <t>—</t>
        </is>
      </c>
      <c r="FQ440" s="56" t="inlineStr">
        <is>
          <t>—</t>
        </is>
      </c>
      <c r="FR440" s="56"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turnaround and SLA on own conversions and client queries → matches the start
Leadership: Evidence reads like A1: KRA note lists no people responsibilities → matches the start
Business Impact: No survey or manager-mapping signal on criticality: kept at the start point.</t>
        </is>
      </c>
      <c r="FS44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0" s="56" t="n"/>
      <c r="FU440" s="32" t="inlineStr">
        <is>
          <t>No survey response on file</t>
        </is>
      </c>
    </row>
    <row r="441" ht="90" customHeight="1">
      <c r="A441" s="51" t="inlineStr">
        <is>
          <t>◂ Back</t>
        </is>
      </c>
      <c r="B441" s="29" t="inlineStr">
        <is>
          <t>Mapped</t>
        </is>
      </c>
      <c r="C441" s="28" t="inlineStr">
        <is>
          <t>iFile</t>
        </is>
      </c>
      <c r="D441" s="29" t="inlineStr">
        <is>
          <t>IRIS2088</t>
        </is>
      </c>
      <c r="E441" s="29" t="inlineStr">
        <is>
          <t>Pawan Khot</t>
        </is>
      </c>
      <c r="F441" s="29" t="inlineStr">
        <is>
          <t>XBRL Consulting</t>
        </is>
      </c>
      <c r="G441" s="29" t="inlineStr">
        <is>
          <t>Image Processing Specialist</t>
        </is>
      </c>
      <c r="H441" s="29" t="inlineStr">
        <is>
          <t>Senior Taxonomy Analyst</t>
        </is>
      </c>
      <c r="I441" s="29" t="inlineStr">
        <is>
          <t>Not in current mapping files</t>
        </is>
      </c>
      <c r="J441" s="29" t="inlineStr">
        <is>
          <t>A3</t>
        </is>
      </c>
      <c r="K441" s="29" t="inlineStr">
        <is>
          <t>● Newly mapped</t>
        </is>
      </c>
      <c r="L441" s="29" t="inlineStr">
        <is>
          <t>Consulting &amp; Professional Services</t>
        </is>
      </c>
      <c r="M441" s="29" t="inlineStr">
        <is>
          <t>Taxonomy Design &amp; Regulatory Consulting</t>
        </is>
      </c>
      <c r="N441" s="29" t="n"/>
      <c r="O441" s="29" t="n">
        <v>20</v>
      </c>
      <c r="P441" s="28" t="inlineStr">
        <is>
          <t>P2</t>
        </is>
      </c>
      <c r="Q441" s="29" t="inlineStr">
        <is>
          <t>Developing</t>
        </is>
      </c>
      <c r="R441" s="29" t="inlineStr">
        <is>
          <t>3 Apply</t>
        </is>
      </c>
      <c r="S441" s="29" t="inlineStr">
        <is>
          <t>2–4 yrs</t>
        </is>
      </c>
      <c r="T441" s="29" t="inlineStr">
        <is>
          <t>3–5 · 2–5</t>
        </is>
      </c>
      <c r="U441" s="29" t="inlineStr">
        <is>
          <t>Senior Analyst / Associate</t>
        </is>
      </c>
      <c r="V441" s="29" t="inlineStr">
        <is>
          <t>DataTracks: Senior Associate · 2–5 yrs · Big Four: Consultant · IRIS Vs Market Benchmark — XBRL US credential pathway: XBRL US GAAP Certificate</t>
        </is>
      </c>
      <c r="W441" s="29" t="inlineStr">
        <is>
          <t>XBRL US GAAP Certificate · AICPA &amp; XBRL US; XBRL International specifications; IFRS / US GAAP / Ind AS</t>
        </is>
      </c>
      <c r="X441" s="29" t="inlineStr">
        <is>
          <t>Core 2 · Future 2 · Functional 3 · Leadership not scored</t>
        </is>
      </c>
      <c r="Y441" s="52" t="n">
        <v>257</v>
      </c>
      <c r="Z441" s="53" t="inlineStr">
        <is>
          <t>IRIS2088</t>
        </is>
      </c>
      <c r="AA441" s="53" t="inlineStr">
        <is>
          <t>Employee</t>
        </is>
      </c>
      <c r="AB441" s="53" t="inlineStr">
        <is>
          <t>Active</t>
        </is>
      </c>
      <c r="AC441" s="53" t="inlineStr">
        <is>
          <t>Pawan Khot</t>
        </is>
      </c>
      <c r="AD441" s="54" t="n">
        <v>44928</v>
      </c>
      <c r="AE441" s="53" t="inlineStr">
        <is>
          <t>Image Processing Specialist</t>
        </is>
      </c>
      <c r="AF441" s="53" t="inlineStr">
        <is>
          <t>B.Com</t>
        </is>
      </c>
      <c r="AG441" s="53" t="inlineStr">
        <is>
          <t>Shraddha Bagul</t>
        </is>
      </c>
      <c r="AH441" s="53" t="inlineStr">
        <is>
          <t>N-3</t>
        </is>
      </c>
      <c r="AI441" s="53" t="inlineStr">
        <is>
          <t>Individual Contributor</t>
        </is>
      </c>
      <c r="AJ441" s="53" t="inlineStr">
        <is>
          <t>0 years, 0 months, 0 days</t>
        </is>
      </c>
      <c r="AK441" s="53" t="inlineStr">
        <is>
          <t>3 years, 7 months, 23 days</t>
        </is>
      </c>
      <c r="AL441" s="53" t="inlineStr">
        <is>
          <t>Suptech</t>
        </is>
      </c>
      <c r="AM441" s="53" t="inlineStr">
        <is>
          <t>iFile</t>
        </is>
      </c>
      <c r="AN441" s="53" t="inlineStr">
        <is>
          <t>XBRL Consulting</t>
        </is>
      </c>
      <c r="AO441" s="53" t="inlineStr">
        <is>
          <t>Consulting</t>
        </is>
      </c>
      <c r="AP441" s="53" t="inlineStr">
        <is>
          <t>No</t>
        </is>
      </c>
      <c r="AQ441" s="53" t="inlineStr">
        <is>
          <t>Professional Services</t>
        </is>
      </c>
      <c r="AR441" s="53" t="inlineStr">
        <is>
          <t>XBRL Domain</t>
        </is>
      </c>
      <c r="AS441" s="53" t="inlineStr">
        <is>
          <t>Non-technical</t>
        </is>
      </c>
      <c r="AT441" s="53" t="n">
        <v>20</v>
      </c>
      <c r="AU441" s="53" t="inlineStr">
        <is>
          <t>Covered</t>
        </is>
      </c>
      <c r="AV441" s="53" t="n"/>
      <c r="AW441" s="53" t="n"/>
      <c r="AX441" s="53" t="n"/>
      <c r="AY441" s="53" t="n"/>
      <c r="AZ441" s="53" t="n"/>
      <c r="BA441" s="53" t="n"/>
      <c r="BB441" s="53" t="n"/>
      <c r="BC441" s="53" t="n"/>
      <c r="BD441" s="53" t="n"/>
      <c r="BE441" s="53" t="n"/>
      <c r="BF441" s="53" t="n"/>
      <c r="BG441" s="53" t="n"/>
      <c r="BH441" s="53" t="n"/>
      <c r="BI441" s="53" t="n"/>
      <c r="BJ441" s="53" t="n"/>
      <c r="BK441" s="53" t="n"/>
      <c r="BL441" s="53" t="n"/>
      <c r="BM441" s="53" t="n"/>
      <c r="BN441" s="53" t="n"/>
      <c r="BO441" s="53" t="n"/>
      <c r="BP441" s="53" t="n"/>
      <c r="BQ441" s="53" t="n"/>
      <c r="BR441" s="53" t="n"/>
      <c r="BS441" s="53" t="n"/>
      <c r="BT441" s="53" t="n"/>
      <c r="BU441" s="53" t="n"/>
      <c r="BV441" s="53" t="n"/>
      <c r="BW441" s="53" t="n"/>
      <c r="BX441" s="53" t="n"/>
      <c r="BY441" s="53" t="n"/>
      <c r="BZ441" s="53" t="n"/>
      <c r="CA441" s="53" t="n"/>
      <c r="CB441" s="53" t="n"/>
      <c r="CC441" s="53" t="n"/>
      <c r="CD441" s="53" t="n"/>
      <c r="CE441" s="53" t="n"/>
      <c r="CF441" s="53" t="n"/>
      <c r="CG441" s="53" t="n"/>
      <c r="CH441" s="53" t="n"/>
      <c r="CI441" s="53" t="n"/>
      <c r="CJ441" s="53" t="n"/>
      <c r="CK441" s="53" t="n"/>
      <c r="CL441" s="53" t="n"/>
      <c r="CM441" s="53" t="n"/>
      <c r="CN441" s="53" t="n"/>
      <c r="CO441" s="53" t="n"/>
      <c r="CP441" s="53" t="n"/>
      <c r="CQ441" s="53" t="n"/>
      <c r="CR441" s="53" t="n"/>
      <c r="CS441" s="53" t="n"/>
      <c r="CT441" s="53" t="n"/>
      <c r="CU441" s="53" t="n"/>
      <c r="CV441" s="53" t="n"/>
      <c r="CW441" s="53" t="n"/>
      <c r="CX441" s="53" t="n"/>
      <c r="CY441" s="53" t="n"/>
      <c r="CZ441" s="53" t="n"/>
      <c r="DA441" s="53" t="n"/>
      <c r="DB441" s="53" t="n"/>
      <c r="DC441" s="53" t="n"/>
      <c r="DD441" s="53" t="n"/>
      <c r="DE441" s="53" t="n"/>
      <c r="DF441" s="53" t="n"/>
      <c r="DG441" s="53" t="n"/>
      <c r="DH441" s="53" t="n"/>
      <c r="DI441" s="53" t="n"/>
      <c r="DJ441" s="53" t="n"/>
      <c r="DK441" s="53" t="n"/>
      <c r="DL441" s="53" t="n"/>
      <c r="DM441" s="53" t="n"/>
      <c r="DN441" s="53" t="n"/>
      <c r="DO441" s="53" t="n"/>
      <c r="DP441" s="53" t="n"/>
      <c r="DQ441" s="53" t="n"/>
      <c r="DR441" s="53" t="n"/>
      <c r="DS441" s="53" t="n"/>
      <c r="DT441" s="53" t="n"/>
      <c r="DU441" s="53" t="n"/>
      <c r="DV441" s="53" t="n"/>
      <c r="DW441" s="53" t="n"/>
      <c r="DX441" s="53" t="n"/>
      <c r="DY441" s="53" t="n"/>
      <c r="DZ441" s="53" t="n"/>
      <c r="EA441" s="53" t="n"/>
      <c r="EB441" s="53" t="n"/>
      <c r="EC441" s="53" t="n"/>
      <c r="ED441" s="53" t="n"/>
      <c r="EE441" s="53" t="n"/>
      <c r="EF441" s="53" t="n"/>
      <c r="EG441" s="53" t="n"/>
      <c r="EH441" s="53" t="n"/>
      <c r="EI441" s="53" t="n"/>
      <c r="EJ441" s="53" t="n"/>
      <c r="EK441" s="53" t="n"/>
      <c r="EL441" s="53" t="n"/>
      <c r="EM441" s="53" t="n"/>
      <c r="EN441" s="53" t="n"/>
      <c r="EO441" s="53" t="n"/>
      <c r="EP441" s="53" t="n"/>
      <c r="EQ441" s="53" t="n"/>
      <c r="ER441" s="53" t="n"/>
      <c r="ES441" s="53" t="n"/>
      <c r="ET441" s="53" t="n"/>
      <c r="EU441" s="53" t="n"/>
      <c r="EV441" s="53" t="n"/>
      <c r="EW441" s="52" t="n"/>
      <c r="EX441" s="53" t="n"/>
      <c r="EY441" s="53" t="n"/>
      <c r="EZ441" s="53" t="n"/>
      <c r="FA441" s="53" t="n"/>
      <c r="FB441" s="53" t="n"/>
      <c r="FC441" s="53" t="n"/>
      <c r="FD441" s="53" t="n"/>
      <c r="FE441" s="55" t="inlineStr">
        <is>
          <t>KRAs not received · manager to supply</t>
        </is>
      </c>
      <c r="FF441" s="56" t="n"/>
      <c r="FG441" s="56" t="n"/>
      <c r="FH441" s="56" t="n"/>
      <c r="FI441" s="56" t="n"/>
      <c r="FJ441" s="32" t="inlineStr">
        <is>
          <t>KRAs not received · manager to supply</t>
        </is>
      </c>
      <c r="FK441" s="56" t="n"/>
      <c r="FL441" s="56" t="n">
        <v>20</v>
      </c>
      <c r="FM441" s="32" t="inlineStr">
        <is>
          <t>Full survey answers not in the files received · How We Grow export needed · HR</t>
        </is>
      </c>
      <c r="FN441" s="56" t="inlineStr">
        <is>
          <t>—</t>
        </is>
      </c>
      <c r="FO441" s="56" t="inlineStr">
        <is>
          <t>—</t>
        </is>
      </c>
      <c r="FP441" s="56" t="inlineStr">
        <is>
          <t>—</t>
        </is>
      </c>
      <c r="FQ441" s="56" t="inlineStr">
        <is>
          <t>—</t>
        </is>
      </c>
      <c r="FR441" s="56"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None described → moved down 0.5
Business Impact: No survey or manager-mapping signal on criticality: kept at the start point.</t>
        </is>
      </c>
      <c r="FS441"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1" s="56" t="inlineStr">
        <is>
          <t>Self-identified: Data, SQL &amp; analytics · Domain, regulatory &amp; XBRL
For the next role: Data, SQL &amp; analytics · Domain, regulatory &amp; XBRL</t>
        </is>
      </c>
      <c r="FU441" s="32" t="inlineStr">
        <is>
          <t>Full survey answers not in the files received · How We Grow export needed · HR</t>
        </is>
      </c>
    </row>
    <row r="442" ht="90" customHeight="1">
      <c r="A442" s="51" t="inlineStr">
        <is>
          <t>◂ Back</t>
        </is>
      </c>
      <c r="B442" s="29" t="inlineStr">
        <is>
          <t>Mapped</t>
        </is>
      </c>
      <c r="C442" s="28" t="inlineStr">
        <is>
          <t>iFile</t>
        </is>
      </c>
      <c r="D442" s="29" t="inlineStr">
        <is>
          <t>IRISC339</t>
        </is>
      </c>
      <c r="E442" s="29" t="inlineStr">
        <is>
          <t>Pranali Khanavkar</t>
        </is>
      </c>
      <c r="F442" s="29" t="inlineStr">
        <is>
          <t>XBRL Consulting</t>
        </is>
      </c>
      <c r="G442" s="29" t="inlineStr">
        <is>
          <t>Consultant</t>
        </is>
      </c>
      <c r="H442" s="29" t="inlineStr">
        <is>
          <t>Senior Taxonomy Analyst</t>
        </is>
      </c>
      <c r="I442" s="29" t="inlineStr">
        <is>
          <t>L3 – Professional / Associate</t>
        </is>
      </c>
      <c r="J442" s="29" t="inlineStr">
        <is>
          <t>A3</t>
        </is>
      </c>
      <c r="K442" s="29" t="inlineStr">
        <is>
          <t>▲ Up</t>
        </is>
      </c>
      <c r="L442" s="29" t="inlineStr">
        <is>
          <t>Consulting &amp; Professional Services</t>
        </is>
      </c>
      <c r="M442" s="29" t="inlineStr">
        <is>
          <t>Taxonomy Design &amp; Regulatory Consulting</t>
        </is>
      </c>
      <c r="N442" s="29" t="inlineStr">
        <is>
          <t>• Correct the experience record — HR</t>
        </is>
      </c>
      <c r="O442" s="29" t="n">
        <v>20</v>
      </c>
      <c r="P442" s="28" t="inlineStr">
        <is>
          <t>P2</t>
        </is>
      </c>
      <c r="Q442" s="29" t="inlineStr">
        <is>
          <t>Developing</t>
        </is>
      </c>
      <c r="R442" s="29" t="inlineStr">
        <is>
          <t>3 Apply</t>
        </is>
      </c>
      <c r="S442" s="29" t="inlineStr">
        <is>
          <t>2–4 yrs</t>
        </is>
      </c>
      <c r="T442" s="29" t="inlineStr">
        <is>
          <t>3–5 · 2–5</t>
        </is>
      </c>
      <c r="U442" s="29" t="inlineStr">
        <is>
          <t>Senior Analyst / Associate</t>
        </is>
      </c>
      <c r="V442" s="29" t="inlineStr">
        <is>
          <t>DataTracks: Senior Associate · 2–5 yrs · Big Four: Consultant · IRIS Vs Market Benchmark — XBRL US credential pathway: XBRL US GAAP Certificate</t>
        </is>
      </c>
      <c r="W442" s="29" t="inlineStr">
        <is>
          <t>XBRL US GAAP Certificate · AICPA &amp; XBRL US; XBRL International specifications; IFRS / US GAAP / Ind AS</t>
        </is>
      </c>
      <c r="X442" s="29" t="inlineStr">
        <is>
          <t>Core 2 · Future 2 · Functional 3 · Leadership not scored</t>
        </is>
      </c>
      <c r="Y442" s="52" t="n">
        <v>447</v>
      </c>
      <c r="Z442" s="53" t="inlineStr">
        <is>
          <t>IRISC339</t>
        </is>
      </c>
      <c r="AA442" s="53" t="inlineStr">
        <is>
          <t>On Contract</t>
        </is>
      </c>
      <c r="AB442" s="53" t="inlineStr">
        <is>
          <t>Active</t>
        </is>
      </c>
      <c r="AC442" s="53" t="inlineStr">
        <is>
          <t>Pranali Khanavkar</t>
        </is>
      </c>
      <c r="AD442" s="54" t="n">
        <v>46055</v>
      </c>
      <c r="AE442" s="53" t="inlineStr">
        <is>
          <t>Consultant</t>
        </is>
      </c>
      <c r="AF442" s="53" t="inlineStr">
        <is>
          <t>B.Com</t>
        </is>
      </c>
      <c r="AG442" s="53" t="inlineStr">
        <is>
          <t>Shraddha Bagul</t>
        </is>
      </c>
      <c r="AH442" s="53" t="inlineStr">
        <is>
          <t>N-3</t>
        </is>
      </c>
      <c r="AI442" s="53" t="inlineStr">
        <is>
          <t>Individual Contributor</t>
        </is>
      </c>
      <c r="AJ442" s="53" t="inlineStr">
        <is>
          <t>7 years, 2 months, 0 days</t>
        </is>
      </c>
      <c r="AK442" s="53" t="inlineStr">
        <is>
          <t>0 years, 6 months, 23 days</t>
        </is>
      </c>
      <c r="AL442" s="53" t="inlineStr">
        <is>
          <t>Suptech</t>
        </is>
      </c>
      <c r="AM442" s="53" t="inlineStr">
        <is>
          <t>iFile</t>
        </is>
      </c>
      <c r="AN442" s="53" t="inlineStr">
        <is>
          <t>XBRL Consulting</t>
        </is>
      </c>
      <c r="AO442" s="53" t="inlineStr">
        <is>
          <t>Consulting</t>
        </is>
      </c>
      <c r="AP442" s="53" t="inlineStr">
        <is>
          <t>No</t>
        </is>
      </c>
      <c r="AQ442" s="53" t="inlineStr">
        <is>
          <t>Professional Services</t>
        </is>
      </c>
      <c r="AR442" s="53" t="inlineStr">
        <is>
          <t>XBRL Domain</t>
        </is>
      </c>
      <c r="AS442" s="53" t="inlineStr">
        <is>
          <t>Non-technical</t>
        </is>
      </c>
      <c r="AT442" s="53" t="n">
        <v>20</v>
      </c>
      <c r="AU442" s="53" t="inlineStr">
        <is>
          <t>Covered</t>
        </is>
      </c>
      <c r="AV442" s="53" t="n"/>
      <c r="AW442" s="53" t="n"/>
      <c r="AX442" s="53" t="n"/>
      <c r="AY442" s="53" t="n"/>
      <c r="AZ442" s="53" t="n"/>
      <c r="BA442" s="53" t="n"/>
      <c r="BB442" s="53" t="n"/>
      <c r="BC442" s="53" t="n"/>
      <c r="BD442" s="53" t="n"/>
      <c r="BE442" s="53" t="n"/>
      <c r="BF442" s="53" t="n"/>
      <c r="BG442" s="53" t="n"/>
      <c r="BH442" s="53" t="n"/>
      <c r="BI442" s="53" t="n"/>
      <c r="BJ442" s="53" t="n"/>
      <c r="BK442" s="53" t="n"/>
      <c r="BL442" s="53" t="n"/>
      <c r="BM442" s="53" t="n"/>
      <c r="BN442" s="53" t="n"/>
      <c r="BO442" s="53" t="n"/>
      <c r="BP442" s="53" t="n"/>
      <c r="BQ442" s="53" t="n"/>
      <c r="BR442" s="53" t="n"/>
      <c r="BS442" s="53" t="n"/>
      <c r="BT442" s="53" t="n"/>
      <c r="BU442" s="53" t="n"/>
      <c r="BV442" s="53" t="n"/>
      <c r="BW442" s="53" t="n"/>
      <c r="BX442" s="53" t="n"/>
      <c r="BY442" s="53" t="n"/>
      <c r="BZ442" s="53" t="n"/>
      <c r="CA442" s="53" t="n"/>
      <c r="CB442" s="53" t="n"/>
      <c r="CC442" s="53" t="n"/>
      <c r="CD442" s="53" t="n"/>
      <c r="CE442" s="53" t="n"/>
      <c r="CF442" s="53" t="n"/>
      <c r="CG442" s="53" t="n"/>
      <c r="CH442" s="53" t="n"/>
      <c r="CI442" s="53" t="n"/>
      <c r="CJ442" s="53" t="n"/>
      <c r="CK442" s="53" t="n"/>
      <c r="CL442" s="53" t="n"/>
      <c r="CM442" s="53" t="n"/>
      <c r="CN442" s="53" t="n"/>
      <c r="CO442" s="53" t="n"/>
      <c r="CP442" s="53" t="n"/>
      <c r="CQ442" s="53" t="n"/>
      <c r="CR442" s="53" t="n"/>
      <c r="CS442" s="53" t="n"/>
      <c r="CT442" s="53" t="n"/>
      <c r="CU442" s="53" t="n"/>
      <c r="CV442" s="53" t="n"/>
      <c r="CW442" s="53" t="n"/>
      <c r="CX442" s="53" t="n"/>
      <c r="CY442" s="53" t="n"/>
      <c r="CZ442" s="53" t="n"/>
      <c r="DA442" s="53" t="n"/>
      <c r="DB442" s="53" t="n"/>
      <c r="DC442" s="53" t="n"/>
      <c r="DD442" s="53" t="inlineStr">
        <is>
          <t>IRISC339</t>
        </is>
      </c>
      <c r="DE442" s="53" t="inlineStr">
        <is>
          <t>On Contract</t>
        </is>
      </c>
      <c r="DF442" s="53" t="inlineStr">
        <is>
          <t>Active</t>
        </is>
      </c>
      <c r="DG442" s="53" t="inlineStr">
        <is>
          <t>Pranali Khanavkar</t>
        </is>
      </c>
      <c r="DH442" s="54" t="n">
        <v>46055</v>
      </c>
      <c r="DI442" s="53" t="inlineStr">
        <is>
          <t>Consultant</t>
        </is>
      </c>
      <c r="DJ442" s="53" t="inlineStr">
        <is>
          <t>Consulting &amp; Professional Services</t>
        </is>
      </c>
      <c r="DK442" s="53" t="inlineStr">
        <is>
          <t>XBRL / Regulatory Reporting</t>
        </is>
      </c>
      <c r="DL442" s="53" t="inlineStr">
        <is>
          <t>Consultant</t>
        </is>
      </c>
      <c r="DM442" s="53" t="inlineStr">
        <is>
          <t>L3 – Professional / Associate</t>
        </is>
      </c>
      <c r="DN442" s="53" t="inlineStr">
        <is>
          <t>B.Com</t>
        </is>
      </c>
      <c r="DO442" s="53" t="inlineStr">
        <is>
          <t>Shraddha Bagul</t>
        </is>
      </c>
      <c r="DP442" s="53" t="inlineStr">
        <is>
          <t>N-3</t>
        </is>
      </c>
      <c r="DQ442" s="53" t="inlineStr">
        <is>
          <t>Individual Contributor</t>
        </is>
      </c>
      <c r="DR442" s="53" t="inlineStr">
        <is>
          <t>7 years, 2 months, 0 days</t>
        </is>
      </c>
      <c r="DS442" s="53" t="inlineStr">
        <is>
          <t>0 years, 4 months, 18 days</t>
        </is>
      </c>
      <c r="DT442" s="53" t="inlineStr">
        <is>
          <t>7 years, 6 months, 18 days</t>
        </is>
      </c>
      <c r="DU442" s="53" t="n"/>
      <c r="DV442" s="53" t="inlineStr">
        <is>
          <t>Suptech</t>
        </is>
      </c>
      <c r="DW442" s="53" t="inlineStr">
        <is>
          <t>iFile</t>
        </is>
      </c>
      <c r="DX442" s="53" t="inlineStr">
        <is>
          <t>XBRL Consulting</t>
        </is>
      </c>
      <c r="DY442" s="53" t="inlineStr">
        <is>
          <t>Consulting</t>
        </is>
      </c>
      <c r="DZ442" s="53" t="inlineStr">
        <is>
          <t>No</t>
        </is>
      </c>
      <c r="EA442" s="53" t="inlineStr">
        <is>
          <t>Professional Services</t>
        </is>
      </c>
      <c r="EB442" s="53" t="inlineStr">
        <is>
          <t>XBRL Domain</t>
        </is>
      </c>
      <c r="EC442" s="53" t="inlineStr">
        <is>
          <t>Non-technical</t>
        </is>
      </c>
      <c r="ED442" s="53" t="inlineStr">
        <is>
          <t>Remote - Mumbai</t>
        </is>
      </c>
      <c r="EE442" s="53" t="n"/>
      <c r="EF442"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2" s="53" t="inlineStr">
        <is>
          <t>1. Complete Q1 IRIS Instant release-testing cycles at full coverage · defect leakage &lt;2%.
2. Meet Q1 conversion turnaround &amp; accuracy targets.
3. Resolve &gt;=90% of client support queries within SLA.</t>
        </is>
      </c>
      <c r="EH442" s="53" t="inlineStr">
        <is>
          <t>3 – Meets Expectations</t>
        </is>
      </c>
      <c r="EI442" s="53" t="n"/>
      <c r="EJ442" s="53" t="inlineStr">
        <is>
          <t>XBRL Conversion Specialist</t>
        </is>
      </c>
      <c r="EK442" s="53" t="inlineStr">
        <is>
          <t>No change</t>
        </is>
      </c>
      <c r="EL442" s="53" t="n">
        <v>3</v>
      </c>
      <c r="EM442" s="53" t="inlineStr">
        <is>
          <t>Low</t>
        </is>
      </c>
      <c r="EN442" s="53" t="inlineStr">
        <is>
          <t>Core Contributor</t>
        </is>
      </c>
      <c r="EO442" s="53" t="n"/>
      <c r="EP442" s="53" t="inlineStr">
        <is>
          <t>No</t>
        </is>
      </c>
      <c r="EQ442" s="53" t="n"/>
      <c r="ER442" s="53" t="inlineStr">
        <is>
          <t>To be identified</t>
        </is>
      </c>
      <c r="ES442" s="53" t="inlineStr">
        <is>
          <t>XBRL taxonomy &amp; regulatory updates; domain/accounting refreshers; quality &amp; accuracy practices; tooling proficiency</t>
        </is>
      </c>
      <c r="ET442" s="53" t="inlineStr">
        <is>
          <t>Transition to leadership: people management &amp; delegation, mentoring/coaching, project ownership &amp; stakeholder management, prioritisation under ambiguity, presentation &amp; influence skills</t>
        </is>
      </c>
      <c r="EU442" s="53" t="n"/>
      <c r="EV442" s="53" t="n"/>
      <c r="EW442" s="52" t="n"/>
      <c r="EX442" s="53" t="n"/>
      <c r="EY442" s="53" t="n"/>
      <c r="EZ442" s="53" t="n"/>
      <c r="FA442" s="53" t="n"/>
      <c r="FB442" s="53" t="n"/>
      <c r="FC442" s="53" t="n"/>
      <c r="FD442" s="53" t="n"/>
      <c r="FE442"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2" s="56" t="inlineStr">
        <is>
          <t>1. Complete Q1 IRIS Instant release-testing cycles at full coverage · defect leakage &lt;2%.
2. Meet Q1 conversion turnaround &amp; accuracy targets · &gt;=98%.
3. Resolve &gt;=90% of client support queries within SLA.</t>
        </is>
      </c>
      <c r="FG442" s="56" t="n"/>
      <c r="FH442" s="56" t="inlineStr">
        <is>
          <t>3 – Meets Expectations</t>
        </is>
      </c>
      <c r="FI442" s="56" t="n"/>
      <c r="FJ442" s="56" t="inlineStr">
        <is>
          <t>Received · manager annual, quarterly</t>
        </is>
      </c>
      <c r="FK442" s="56" t="inlineStr">
        <is>
          <t>Talent Mapping · iFile collated</t>
        </is>
      </c>
      <c r="FL442" s="56" t="n">
        <v>20</v>
      </c>
      <c r="FM442" s="32" t="inlineStr">
        <is>
          <t>Full survey answers not in the files received · How We Grow export needed · HR</t>
        </is>
      </c>
      <c r="FN442" s="56" t="inlineStr">
        <is>
          <t>—</t>
        </is>
      </c>
      <c r="FO442" s="56" t="inlineStr">
        <is>
          <t>—</t>
        </is>
      </c>
      <c r="FP442" s="56" t="inlineStr">
        <is>
          <t>—</t>
        </is>
      </c>
      <c r="FQ442" s="56" t="inlineStr">
        <is>
          <t>—</t>
        </is>
      </c>
      <c r="FR442" s="56"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escalation → matches the start
Leadership: Evidence reads like A1: None described → matches the start
Business Impact: No survey or manager-mapping signal on criticality: kept at the start point.</t>
        </is>
      </c>
      <c r="FS442"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2" s="56" t="inlineStr">
        <is>
          <t>Self-identified: AI / automation · Product &amp; tool knowledge
For the next role: AI / automation · Product &amp; tool knowledge</t>
        </is>
      </c>
      <c r="FU442" s="32" t="inlineStr">
        <is>
          <t>Full survey answers not in the files received · How We Grow export needed · HR</t>
        </is>
      </c>
    </row>
    <row r="443" ht="90" customHeight="1">
      <c r="A443" s="51" t="inlineStr">
        <is>
          <t>◂ Back</t>
        </is>
      </c>
      <c r="B443" s="29" t="inlineStr">
        <is>
          <t>Mapped</t>
        </is>
      </c>
      <c r="C443" s="28" t="inlineStr">
        <is>
          <t>iFile</t>
        </is>
      </c>
      <c r="D443" s="29" t="inlineStr">
        <is>
          <t>IRISC343</t>
        </is>
      </c>
      <c r="E443" s="29" t="inlineStr">
        <is>
          <t>Tuku Deb</t>
        </is>
      </c>
      <c r="F443" s="29" t="inlineStr">
        <is>
          <t>XBRL Consulting</t>
        </is>
      </c>
      <c r="G443" s="29" t="inlineStr">
        <is>
          <t>XBRL Conversion Specialist</t>
        </is>
      </c>
      <c r="H443" s="29" t="inlineStr">
        <is>
          <t>Senior Financial Analyst</t>
        </is>
      </c>
      <c r="I443" s="29" t="inlineStr">
        <is>
          <t>L3 – Professional / Associate</t>
        </is>
      </c>
      <c r="J443" s="29" t="inlineStr">
        <is>
          <t>A3</t>
        </is>
      </c>
      <c r="K443" s="29" t="inlineStr">
        <is>
          <t>▲ Up</t>
        </is>
      </c>
      <c r="L443" s="29" t="inlineStr">
        <is>
          <t>Consulting &amp; Professional Services</t>
        </is>
      </c>
      <c r="M443" s="29" t="inlineStr">
        <is>
          <t>XBRL Tagging, Conversion &amp; Filing</t>
        </is>
      </c>
      <c r="N443" s="29" t="n"/>
      <c r="O443" s="29" t="n">
        <v>20</v>
      </c>
      <c r="P443" s="28" t="inlineStr">
        <is>
          <t>P2</t>
        </is>
      </c>
      <c r="Q443" s="29" t="inlineStr">
        <is>
          <t>Developing</t>
        </is>
      </c>
      <c r="R443" s="29" t="inlineStr">
        <is>
          <t>3 Apply</t>
        </is>
      </c>
      <c r="S443" s="29" t="inlineStr">
        <is>
          <t>2–4 yrs</t>
        </is>
      </c>
      <c r="T443" s="29" t="inlineStr">
        <is>
          <t>3–5 · 2–5</t>
        </is>
      </c>
      <c r="U443" s="29" t="inlineStr">
        <is>
          <t>Senior Analyst / Associate</t>
        </is>
      </c>
      <c r="V443" s="29" t="inlineStr">
        <is>
          <t>DataTracks: Senior Associate · 2–5 yrs · Big Four: Consultant · IRIS Vs Market Benchmark — XBRL US credential pathway: XBRL US GAAP Certificate</t>
        </is>
      </c>
      <c r="W443" s="29" t="inlineStr">
        <is>
          <t>XBRL US GAAP Certificate · AICPA &amp; XBRL US; XBRL International specifications; IFRS / US GAAP / Ind AS</t>
        </is>
      </c>
      <c r="X443" s="29" t="inlineStr">
        <is>
          <t>Core 2 · Future 2 · Functional 3 · Leadership not scored</t>
        </is>
      </c>
      <c r="Y443" s="52" t="n">
        <v>457</v>
      </c>
      <c r="Z443" s="53" t="inlineStr">
        <is>
          <t>IRISC343</t>
        </is>
      </c>
      <c r="AA443" s="53" t="inlineStr">
        <is>
          <t>On Contract</t>
        </is>
      </c>
      <c r="AB443" s="53" t="inlineStr">
        <is>
          <t>Active</t>
        </is>
      </c>
      <c r="AC443" s="53" t="inlineStr">
        <is>
          <t>Tuku Deb</t>
        </is>
      </c>
      <c r="AD443" s="54" t="n">
        <v>46076</v>
      </c>
      <c r="AE443" s="53" t="inlineStr">
        <is>
          <t>XBRL Conversion Specialist</t>
        </is>
      </c>
      <c r="AF443" s="53" t="inlineStr">
        <is>
          <t>PGDM</t>
        </is>
      </c>
      <c r="AG443" s="53" t="inlineStr">
        <is>
          <t>Shraddha Bagul</t>
        </is>
      </c>
      <c r="AH443" s="53" t="inlineStr">
        <is>
          <t>N-3</t>
        </is>
      </c>
      <c r="AI443" s="53" t="inlineStr">
        <is>
          <t>Individual Contributor</t>
        </is>
      </c>
      <c r="AJ443" s="53" t="inlineStr">
        <is>
          <t>2 years, 3 months, 0 days</t>
        </is>
      </c>
      <c r="AK443" s="53" t="inlineStr">
        <is>
          <t>0 years, 6 months, 2 days</t>
        </is>
      </c>
      <c r="AL443" s="53" t="inlineStr">
        <is>
          <t>Suptech</t>
        </is>
      </c>
      <c r="AM443" s="53" t="inlineStr">
        <is>
          <t>iFile</t>
        </is>
      </c>
      <c r="AN443" s="53" t="inlineStr">
        <is>
          <t>XBRL Consulting</t>
        </is>
      </c>
      <c r="AO443" s="53" t="inlineStr">
        <is>
          <t>Consulting</t>
        </is>
      </c>
      <c r="AP443" s="53" t="inlineStr">
        <is>
          <t>No</t>
        </is>
      </c>
      <c r="AQ443" s="53" t="inlineStr">
        <is>
          <t>Professional Services</t>
        </is>
      </c>
      <c r="AR443" s="53" t="inlineStr">
        <is>
          <t>XBRL Domain</t>
        </is>
      </c>
      <c r="AS443" s="53" t="inlineStr">
        <is>
          <t>Non-technical</t>
        </is>
      </c>
      <c r="AT443" s="53" t="n">
        <v>20</v>
      </c>
      <c r="AU443" s="53" t="inlineStr">
        <is>
          <t>Covered</t>
        </is>
      </c>
      <c r="AV443" s="53" t="n"/>
      <c r="AW443" s="53" t="n"/>
      <c r="AX443" s="53" t="n"/>
      <c r="AY443" s="53" t="n"/>
      <c r="AZ443" s="53" t="n"/>
      <c r="BA443" s="53" t="n"/>
      <c r="BB443" s="53" t="n"/>
      <c r="BC443" s="53" t="n"/>
      <c r="BD443" s="53" t="n"/>
      <c r="BE443" s="53" t="n"/>
      <c r="BF443" s="53" t="n"/>
      <c r="BG443" s="53" t="n"/>
      <c r="BH443" s="53" t="n"/>
      <c r="BI443" s="53" t="n"/>
      <c r="BJ443" s="53" t="n"/>
      <c r="BK443" s="53" t="n"/>
      <c r="BL443" s="53" t="n"/>
      <c r="BM443" s="53" t="n"/>
      <c r="BN443" s="53" t="n"/>
      <c r="BO443" s="53" t="n"/>
      <c r="BP443" s="53" t="n"/>
      <c r="BQ443" s="53" t="n"/>
      <c r="BR443" s="53" t="n"/>
      <c r="BS443" s="53" t="n"/>
      <c r="BT443" s="53" t="n"/>
      <c r="BU443" s="53" t="n"/>
      <c r="BV443" s="53" t="n"/>
      <c r="BW443" s="53" t="n"/>
      <c r="BX443" s="53" t="n"/>
      <c r="BY443" s="53" t="n"/>
      <c r="BZ443" s="53" t="n"/>
      <c r="CA443" s="53" t="n"/>
      <c r="CB443" s="53" t="n"/>
      <c r="CC443" s="53" t="n"/>
      <c r="CD443" s="53" t="n"/>
      <c r="CE443" s="53" t="n"/>
      <c r="CF443" s="53" t="n"/>
      <c r="CG443" s="53" t="n"/>
      <c r="CH443" s="53" t="n"/>
      <c r="CI443" s="53" t="n"/>
      <c r="CJ443" s="53" t="n"/>
      <c r="CK443" s="53" t="n"/>
      <c r="CL443" s="53" t="n"/>
      <c r="CM443" s="53" t="n"/>
      <c r="CN443" s="53" t="n"/>
      <c r="CO443" s="53" t="n"/>
      <c r="CP443" s="53" t="n"/>
      <c r="CQ443" s="53" t="n"/>
      <c r="CR443" s="53" t="n"/>
      <c r="CS443" s="53" t="n"/>
      <c r="CT443" s="53" t="n"/>
      <c r="CU443" s="53" t="n"/>
      <c r="CV443" s="53" t="n"/>
      <c r="CW443" s="53" t="n"/>
      <c r="CX443" s="53" t="n"/>
      <c r="CY443" s="53" t="n"/>
      <c r="CZ443" s="53" t="n"/>
      <c r="DA443" s="53" t="n"/>
      <c r="DB443" s="53" t="n"/>
      <c r="DC443" s="53" t="n"/>
      <c r="DD443" s="53" t="inlineStr">
        <is>
          <t>IRISC343</t>
        </is>
      </c>
      <c r="DE443" s="53" t="inlineStr">
        <is>
          <t>On Contract</t>
        </is>
      </c>
      <c r="DF443" s="53" t="inlineStr">
        <is>
          <t>Active</t>
        </is>
      </c>
      <c r="DG443" s="53" t="inlineStr">
        <is>
          <t>Tuku Deb</t>
        </is>
      </c>
      <c r="DH443" s="54" t="n">
        <v>46076</v>
      </c>
      <c r="DI443" s="53" t="inlineStr">
        <is>
          <t>XBRL Conversion Specialist</t>
        </is>
      </c>
      <c r="DJ443" s="53" t="inlineStr">
        <is>
          <t>Consulting &amp; Professional Services</t>
        </is>
      </c>
      <c r="DK443" s="53" t="inlineStr">
        <is>
          <t>XBRL / Regulatory Reporting</t>
        </is>
      </c>
      <c r="DL443" s="53" t="inlineStr">
        <is>
          <t>XBRL Conversion Specialist</t>
        </is>
      </c>
      <c r="DM443" s="53" t="inlineStr">
        <is>
          <t>L3 – Professional / Associate</t>
        </is>
      </c>
      <c r="DN443" s="53" t="inlineStr">
        <is>
          <t>PGDM</t>
        </is>
      </c>
      <c r="DO443" s="53" t="inlineStr">
        <is>
          <t>Shraddha Bagul</t>
        </is>
      </c>
      <c r="DP443" s="53" t="inlineStr">
        <is>
          <t>N-3</t>
        </is>
      </c>
      <c r="DQ443" s="53" t="inlineStr">
        <is>
          <t>Individual Contributor</t>
        </is>
      </c>
      <c r="DR443" s="53" t="inlineStr">
        <is>
          <t>2 years, 3 months, 0 days</t>
        </is>
      </c>
      <c r="DS443" s="53" t="inlineStr">
        <is>
          <t>0 years, 3 months, 28 days</t>
        </is>
      </c>
      <c r="DT443" s="53" t="inlineStr">
        <is>
          <t>2 years, 6 months, 28 days</t>
        </is>
      </c>
      <c r="DU443" s="53" t="n"/>
      <c r="DV443" s="53" t="inlineStr">
        <is>
          <t>Suptech</t>
        </is>
      </c>
      <c r="DW443" s="53" t="inlineStr">
        <is>
          <t>iFile</t>
        </is>
      </c>
      <c r="DX443" s="53" t="inlineStr">
        <is>
          <t>XBRL Consulting</t>
        </is>
      </c>
      <c r="DY443" s="53" t="inlineStr">
        <is>
          <t>Consulting</t>
        </is>
      </c>
      <c r="DZ443" s="53" t="inlineStr">
        <is>
          <t>No</t>
        </is>
      </c>
      <c r="EA443" s="53" t="inlineStr">
        <is>
          <t>Professional Services</t>
        </is>
      </c>
      <c r="EB443" s="53" t="inlineStr">
        <is>
          <t>XBRL Domain</t>
        </is>
      </c>
      <c r="EC443" s="53" t="inlineStr">
        <is>
          <t>Non-technical</t>
        </is>
      </c>
      <c r="ED443" s="53" t="inlineStr">
        <is>
          <t>Work From Office - Turbhe</t>
        </is>
      </c>
      <c r="EE443" s="53" t="n"/>
      <c r="EF443"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3" s="53" t="inlineStr">
        <is>
          <t>1. Complete Q1 IRIS Instant release-testing cycles at full coverage · defect leakage &lt;2%.
2. Meet Q1 conversion turnaround &amp; accuracy targets.
3. Resolve &gt;=90% of client support queries within SLA.</t>
        </is>
      </c>
      <c r="EH443" s="53" t="inlineStr">
        <is>
          <t>3 – Meets Expectations</t>
        </is>
      </c>
      <c r="EI443" s="53" t="n"/>
      <c r="EJ443" s="53" t="inlineStr">
        <is>
          <t>XBRL Conversion Specialist</t>
        </is>
      </c>
      <c r="EK443" s="53" t="inlineStr">
        <is>
          <t>No change</t>
        </is>
      </c>
      <c r="EL443" s="53" t="n">
        <v>3</v>
      </c>
      <c r="EM443" s="53" t="inlineStr">
        <is>
          <t>Medium</t>
        </is>
      </c>
      <c r="EN443" s="53" t="inlineStr">
        <is>
          <t>Core Contributor</t>
        </is>
      </c>
      <c r="EO443" s="53" t="n"/>
      <c r="EP443" s="53" t="inlineStr">
        <is>
          <t>No</t>
        </is>
      </c>
      <c r="EQ443" s="53" t="n"/>
      <c r="ER443" s="53" t="inlineStr">
        <is>
          <t>To be identified</t>
        </is>
      </c>
      <c r="ES443" s="53" t="inlineStr">
        <is>
          <t>XBRL taxonomy &amp; regulatory updates; domain/accounting refreshers; quality &amp; accuracy practices; tooling proficiency</t>
        </is>
      </c>
      <c r="ET443" s="53" t="inlineStr">
        <is>
          <t>Transition to leadership: people management &amp; delegation, mentoring/coaching, project ownership &amp; stakeholder management, prioritisation under ambiguity, presentation &amp; influence skills</t>
        </is>
      </c>
      <c r="EU443" s="53" t="inlineStr">
        <is>
          <t>RBI,CBJ</t>
        </is>
      </c>
      <c r="EV443" s="53" t="n"/>
      <c r="EW443" s="52" t="n"/>
      <c r="EX443" s="53" t="n"/>
      <c r="EY443" s="53" t="n"/>
      <c r="EZ443" s="53" t="n"/>
      <c r="FA443" s="53" t="n"/>
      <c r="FB443" s="53" t="n"/>
      <c r="FC443" s="53" t="n"/>
      <c r="FD443" s="53" t="n"/>
      <c r="FE443"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3" s="56" t="inlineStr">
        <is>
          <t>1. Complete Q1 IRIS Instant release-testing cycles at full coverage · defect leakage &lt;2%.
2. Meet Q1 conversion turnaround &amp; accuracy targets · &gt;=98%.
3. Resolve &gt;=90% of client support queries within SLA.</t>
        </is>
      </c>
      <c r="FG443" s="56" t="n"/>
      <c r="FH443" s="56" t="inlineStr">
        <is>
          <t>3 – Meets Expectations</t>
        </is>
      </c>
      <c r="FI443" s="56" t="n"/>
      <c r="FJ443" s="56" t="inlineStr">
        <is>
          <t>Received · manager annual, quarterly</t>
        </is>
      </c>
      <c r="FK443" s="56" t="inlineStr">
        <is>
          <t>Talent Mapping · iFile collated</t>
        </is>
      </c>
      <c r="FL443" s="56" t="n">
        <v>20</v>
      </c>
      <c r="FM443" s="32" t="inlineStr">
        <is>
          <t>Full survey answers not in the files received · How We Grow export needed · HR</t>
        </is>
      </c>
      <c r="FN443" s="56" t="inlineStr">
        <is>
          <t>—</t>
        </is>
      </c>
      <c r="FO443" s="56" t="inlineStr">
        <is>
          <t>—</t>
        </is>
      </c>
      <c r="FP443" s="56" t="inlineStr">
        <is>
          <t>—</t>
        </is>
      </c>
      <c r="FQ443" s="56" t="inlineStr">
        <is>
          <t>—</t>
        </is>
      </c>
      <c r="FR443" s="56"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Evidence reads like A1: None described → matches the start
Business Impact: No survey or manager-mapping signal on criticality: kept at the start point.</t>
        </is>
      </c>
      <c r="FS44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3" s="56" t="inlineStr">
        <is>
          <t>Self-identified: AI / automation · Technical depth &amp; architecture · Data, SQL &amp; analytics
For the next role: AI / automation · Technical depth &amp; architecture · Data, SQL &amp; analytics</t>
        </is>
      </c>
      <c r="FU443" s="32" t="inlineStr">
        <is>
          <t>Full survey answers not in the files received · How We Grow export needed · HR</t>
        </is>
      </c>
    </row>
    <row r="444" ht="90" customHeight="1">
      <c r="A444" s="51" t="inlineStr">
        <is>
          <t>◂ Back</t>
        </is>
      </c>
      <c r="B444" s="29" t="inlineStr">
        <is>
          <t>Mapped</t>
        </is>
      </c>
      <c r="C444" s="28" t="inlineStr">
        <is>
          <t>iFile</t>
        </is>
      </c>
      <c r="D444" s="29" t="inlineStr">
        <is>
          <t>IRIS2247</t>
        </is>
      </c>
      <c r="E444" s="29" t="inlineStr">
        <is>
          <t>Unnati Kamble</t>
        </is>
      </c>
      <c r="F444" s="29" t="inlineStr">
        <is>
          <t>XBRL Consulting</t>
        </is>
      </c>
      <c r="G444" s="29" t="inlineStr">
        <is>
          <t>Consultant</t>
        </is>
      </c>
      <c r="H444" s="29" t="inlineStr">
        <is>
          <t>Senior Taxonomy Analyst</t>
        </is>
      </c>
      <c r="I444" s="29" t="inlineStr">
        <is>
          <t>L3 – Professional / Associate</t>
        </is>
      </c>
      <c r="J444" s="29" t="inlineStr">
        <is>
          <t>A3</t>
        </is>
      </c>
      <c r="K444" s="29" t="inlineStr">
        <is>
          <t>▲ Up</t>
        </is>
      </c>
      <c r="L444" s="29" t="inlineStr">
        <is>
          <t>Consulting &amp; Professional Services</t>
        </is>
      </c>
      <c r="M444" s="29" t="inlineStr">
        <is>
          <t>Taxonomy Design &amp; Regulatory Consulting</t>
        </is>
      </c>
      <c r="N444" s="29" t="n"/>
      <c r="O444" s="29" t="n">
        <v>19</v>
      </c>
      <c r="P444" s="28" t="inlineStr">
        <is>
          <t>P2</t>
        </is>
      </c>
      <c r="Q444" s="29" t="inlineStr">
        <is>
          <t>Developing</t>
        </is>
      </c>
      <c r="R444" s="29" t="inlineStr">
        <is>
          <t>3 Apply</t>
        </is>
      </c>
      <c r="S444" s="29" t="inlineStr">
        <is>
          <t>2–4 yrs</t>
        </is>
      </c>
      <c r="T444" s="29" t="inlineStr">
        <is>
          <t>3–5 · 2–5</t>
        </is>
      </c>
      <c r="U444" s="29" t="inlineStr">
        <is>
          <t>Senior Analyst / Associate</t>
        </is>
      </c>
      <c r="V444" s="29" t="inlineStr">
        <is>
          <t>DataTracks: Senior Associate · 2–5 yrs · Big Four: Consultant · IRIS Vs Market Benchmark — XBRL US credential pathway: XBRL US GAAP Certificate</t>
        </is>
      </c>
      <c r="W444" s="29" t="inlineStr">
        <is>
          <t>XBRL US GAAP Certificate · AICPA &amp; XBRL US; XBRL International specifications; IFRS / US GAAP / Ind AS</t>
        </is>
      </c>
      <c r="X444" s="29" t="inlineStr">
        <is>
          <t>Core 2 · Future 2 · Functional 3 · Leadership not scored</t>
        </is>
      </c>
      <c r="Y444" s="52" t="n">
        <v>315</v>
      </c>
      <c r="Z444" s="53" t="inlineStr">
        <is>
          <t>IRIS2247</t>
        </is>
      </c>
      <c r="AA444" s="53" t="inlineStr">
        <is>
          <t>Employee</t>
        </is>
      </c>
      <c r="AB444" s="53" t="inlineStr">
        <is>
          <t>Active</t>
        </is>
      </c>
      <c r="AC444" s="53" t="inlineStr">
        <is>
          <t>Unnati Kamble</t>
        </is>
      </c>
      <c r="AD444" s="54" t="n">
        <v>45421</v>
      </c>
      <c r="AE444" s="53" t="inlineStr">
        <is>
          <t>Consultant</t>
        </is>
      </c>
      <c r="AF444" s="53" t="inlineStr">
        <is>
          <t>CA</t>
        </is>
      </c>
      <c r="AG444" s="53" t="inlineStr">
        <is>
          <t>Shraddha Bagul</t>
        </is>
      </c>
      <c r="AH444" s="53" t="inlineStr">
        <is>
          <t>N-3</t>
        </is>
      </c>
      <c r="AI444" s="53" t="inlineStr">
        <is>
          <t>Individual Contributor</t>
        </is>
      </c>
      <c r="AJ444" s="53" t="inlineStr">
        <is>
          <t>5 years, 1 months, 0 days</t>
        </is>
      </c>
      <c r="AK444" s="53" t="inlineStr">
        <is>
          <t>2 years, 3 months, 16 days</t>
        </is>
      </c>
      <c r="AL444" s="53" t="inlineStr">
        <is>
          <t>Suptech</t>
        </is>
      </c>
      <c r="AM444" s="53" t="inlineStr">
        <is>
          <t>iFile</t>
        </is>
      </c>
      <c r="AN444" s="53" t="inlineStr">
        <is>
          <t>XBRL Consulting</t>
        </is>
      </c>
      <c r="AO444" s="53" t="inlineStr">
        <is>
          <t>Consulting</t>
        </is>
      </c>
      <c r="AP444" s="53" t="inlineStr">
        <is>
          <t>No</t>
        </is>
      </c>
      <c r="AQ444" s="53" t="inlineStr">
        <is>
          <t>Professional Services</t>
        </is>
      </c>
      <c r="AR444" s="53" t="inlineStr">
        <is>
          <t>XBRL Domain</t>
        </is>
      </c>
      <c r="AS444" s="53" t="inlineStr">
        <is>
          <t>Non-technical</t>
        </is>
      </c>
      <c r="AT444" s="53" t="n">
        <v>20</v>
      </c>
      <c r="AU444" s="53" t="inlineStr">
        <is>
          <t>Covered</t>
        </is>
      </c>
      <c r="AV444" s="53" t="n"/>
      <c r="AW444" s="53" t="n"/>
      <c r="AX444" s="53" t="n"/>
      <c r="AY444" s="53" t="n"/>
      <c r="AZ444" s="53" t="n"/>
      <c r="BA444" s="53" t="n"/>
      <c r="BB444" s="53" t="n"/>
      <c r="BC444" s="53" t="n"/>
      <c r="BD444" s="53" t="n"/>
      <c r="BE444" s="53" t="n"/>
      <c r="BF444" s="53" t="n"/>
      <c r="BG444" s="53" t="n"/>
      <c r="BH444" s="53" t="n"/>
      <c r="BI444" s="53" t="n"/>
      <c r="BJ444" s="53" t="n"/>
      <c r="BK444" s="53" t="n"/>
      <c r="BL444" s="53" t="n"/>
      <c r="BM444" s="53" t="n"/>
      <c r="BN444" s="53" t="n"/>
      <c r="BO444" s="53" t="n"/>
      <c r="BP444" s="53" t="n"/>
      <c r="BQ444" s="53" t="n"/>
      <c r="BR444" s="53" t="n"/>
      <c r="BS444" s="53" t="n"/>
      <c r="BT444" s="53" t="n"/>
      <c r="BU444" s="53" t="n"/>
      <c r="BV444" s="53" t="n"/>
      <c r="BW444" s="53" t="n"/>
      <c r="BX444" s="53" t="n"/>
      <c r="BY444" s="53" t="n"/>
      <c r="BZ444" s="53" t="n"/>
      <c r="CA444" s="53" t="n"/>
      <c r="CB444" s="53" t="n"/>
      <c r="CC444" s="53" t="n"/>
      <c r="CD444" s="53" t="n"/>
      <c r="CE444" s="53" t="n"/>
      <c r="CF444" s="53" t="n"/>
      <c r="CG444" s="53" t="n"/>
      <c r="CH444" s="53" t="n"/>
      <c r="CI444" s="53" t="n"/>
      <c r="CJ444" s="53" t="n"/>
      <c r="CK444" s="53" t="n"/>
      <c r="CL444" s="53" t="n"/>
      <c r="CM444" s="53" t="n"/>
      <c r="CN444" s="53" t="n"/>
      <c r="CO444" s="53" t="n"/>
      <c r="CP444" s="53" t="n"/>
      <c r="CQ444" s="53" t="n"/>
      <c r="CR444" s="53" t="n"/>
      <c r="CS444" s="53" t="n"/>
      <c r="CT444" s="53" t="n"/>
      <c r="CU444" s="53" t="n"/>
      <c r="CV444" s="53" t="n"/>
      <c r="CW444" s="53" t="n"/>
      <c r="CX444" s="53" t="n"/>
      <c r="CY444" s="53" t="n"/>
      <c r="CZ444" s="53" t="n"/>
      <c r="DA444" s="53" t="n"/>
      <c r="DB444" s="53" t="n"/>
      <c r="DC444" s="53" t="n"/>
      <c r="DD444" s="53" t="inlineStr">
        <is>
          <t>IRIS2247</t>
        </is>
      </c>
      <c r="DE444" s="53" t="inlineStr">
        <is>
          <t>Employee</t>
        </is>
      </c>
      <c r="DF444" s="53" t="inlineStr">
        <is>
          <t>Active</t>
        </is>
      </c>
      <c r="DG444" s="53" t="inlineStr">
        <is>
          <t>Unnati Kamble</t>
        </is>
      </c>
      <c r="DH444" s="54" t="n">
        <v>45421</v>
      </c>
      <c r="DI444" s="53" t="inlineStr">
        <is>
          <t>Consultant</t>
        </is>
      </c>
      <c r="DJ444" s="53" t="inlineStr">
        <is>
          <t>Consulting &amp; Professional Services</t>
        </is>
      </c>
      <c r="DK444" s="53" t="inlineStr">
        <is>
          <t>XBRL / Regulatory Reporting</t>
        </is>
      </c>
      <c r="DL444" s="53" t="inlineStr">
        <is>
          <t>Consultant</t>
        </is>
      </c>
      <c r="DM444" s="53" t="inlineStr">
        <is>
          <t>L3 – Professional / Associate</t>
        </is>
      </c>
      <c r="DN444" s="53" t="inlineStr">
        <is>
          <t>CA</t>
        </is>
      </c>
      <c r="DO444" s="53" t="inlineStr">
        <is>
          <t>Shraddha Bagul</t>
        </is>
      </c>
      <c r="DP444" s="53" t="inlineStr">
        <is>
          <t>N-3</t>
        </is>
      </c>
      <c r="DQ444" s="53" t="inlineStr">
        <is>
          <t>Individual Contributor</t>
        </is>
      </c>
      <c r="DR444" s="53" t="inlineStr">
        <is>
          <t>5 years, 1 months, 0 days</t>
        </is>
      </c>
      <c r="DS444" s="53" t="inlineStr">
        <is>
          <t>2 years, 1 months, 11 days</t>
        </is>
      </c>
      <c r="DT444" s="53" t="inlineStr">
        <is>
          <t>7 years, 2 months, 11 days</t>
        </is>
      </c>
      <c r="DU444" s="53" t="n"/>
      <c r="DV444" s="53" t="inlineStr">
        <is>
          <t>Suptech</t>
        </is>
      </c>
      <c r="DW444" s="53" t="inlineStr">
        <is>
          <t>iFile</t>
        </is>
      </c>
      <c r="DX444" s="53" t="inlineStr">
        <is>
          <t>XBRL Consulting</t>
        </is>
      </c>
      <c r="DY444" s="53" t="inlineStr">
        <is>
          <t>Consulting</t>
        </is>
      </c>
      <c r="DZ444" s="53" t="inlineStr">
        <is>
          <t>No</t>
        </is>
      </c>
      <c r="EA444" s="53" t="inlineStr">
        <is>
          <t>Professional Services</t>
        </is>
      </c>
      <c r="EB444" s="53" t="inlineStr">
        <is>
          <t>XBRL Domain</t>
        </is>
      </c>
      <c r="EC444" s="53" t="inlineStr">
        <is>
          <t>Non-technical</t>
        </is>
      </c>
      <c r="ED444" s="53" t="inlineStr">
        <is>
          <t>Hybrid</t>
        </is>
      </c>
      <c r="EE444" s="53" t="n"/>
      <c r="EF444"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44" s="53" t="inlineStr">
        <is>
          <t>1. Complete Q1 taxonomy build/test tasks on schedule · &gt;=95% on-time.
2. Close assigned iFILE support tickets within SLA.
3. Finish Q1 Excel/Webform test cycles with defect leakage &lt;2%.</t>
        </is>
      </c>
      <c r="EH444" s="53" t="inlineStr">
        <is>
          <t>3 – Meets Expectations</t>
        </is>
      </c>
      <c r="EI444" s="53" t="inlineStr">
        <is>
          <t>Last appraisal in Oct 2025</t>
        </is>
      </c>
      <c r="EJ444" s="53" t="inlineStr">
        <is>
          <t>Consultant</t>
        </is>
      </c>
      <c r="EK444" s="53" t="inlineStr">
        <is>
          <t>No change</t>
        </is>
      </c>
      <c r="EL444" s="53" t="n">
        <v>3</v>
      </c>
      <c r="EM444" s="53" t="inlineStr">
        <is>
          <t>Low</t>
        </is>
      </c>
      <c r="EN444" s="53" t="inlineStr">
        <is>
          <t>Misplaced Talent / Enigma</t>
        </is>
      </c>
      <c r="EO444" s="53" t="n"/>
      <c r="EP444" s="53" t="inlineStr">
        <is>
          <t>No</t>
        </is>
      </c>
      <c r="EQ444" s="53" t="n"/>
      <c r="ER444" s="53" t="inlineStr">
        <is>
          <t>To be identified</t>
        </is>
      </c>
      <c r="ES444" s="53" t="inlineStr">
        <is>
          <t>XBRL taxonomy &amp; regulatory updates; domain/accounting refreshers; quality &amp; accuracy practices; tooling proficiency</t>
        </is>
      </c>
      <c r="ET444" s="53" t="inlineStr">
        <is>
          <t>Transition to leadership: people management &amp; delegation, mentoring/coaching, project ownership &amp; stakeholder management, prioritisation under ambiguity, presentation &amp; influence skills</t>
        </is>
      </c>
      <c r="EU444" s="53" t="inlineStr">
        <is>
          <t>RBI</t>
        </is>
      </c>
      <c r="EV444" s="53" t="n"/>
      <c r="EW444" s="52" t="n"/>
      <c r="EX444" s="53" t="n"/>
      <c r="EY444" s="53" t="n"/>
      <c r="EZ444" s="53" t="n"/>
      <c r="FA444" s="53" t="n"/>
      <c r="FB444" s="53" t="n"/>
      <c r="FC444" s="53" t="n"/>
      <c r="FD444" s="53" t="n"/>
      <c r="FE444"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44" s="56" t="inlineStr">
        <is>
          <t>1. Complete Q1 taxonomy build/test tasks on schedule · &gt;=95% on-time.
2. Close assigned iFILE support tickets within SLA · &gt;=90%.
3. Finish Q1 Excel/Webform test cycles with defect leakage &lt;2%.</t>
        </is>
      </c>
      <c r="FG444" s="56" t="n"/>
      <c r="FH444" s="56" t="inlineStr">
        <is>
          <t>3 – Meets Expectations</t>
        </is>
      </c>
      <c r="FI444" s="56" t="n"/>
      <c r="FJ444" s="56" t="inlineStr">
        <is>
          <t>Received · manager annual, quarterly</t>
        </is>
      </c>
      <c r="FK444" s="56" t="inlineStr">
        <is>
          <t>Talent Mapping · iFile collated</t>
        </is>
      </c>
      <c r="FL444" s="56" t="n">
        <v>19</v>
      </c>
      <c r="FM444" s="32" t="inlineStr">
        <is>
          <t>Full survey answers not in the files received · How We Grow export needed · HR</t>
        </is>
      </c>
      <c r="FN444" s="56" t="inlineStr">
        <is>
          <t>—</t>
        </is>
      </c>
      <c r="FO444" s="56" t="inlineStr">
        <is>
          <t>—</t>
        </is>
      </c>
      <c r="FP444" s="56" t="inlineStr">
        <is>
          <t>—</t>
        </is>
      </c>
      <c r="FQ444" s="56" t="inlineStr">
        <is>
          <t>—</t>
        </is>
      </c>
      <c r="FR444" s="56"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validations; errors cause escalations and rework → moved down 0.5
Leadership: Evidence reads like A1: None described → moved down 0.5
Business Impact: No survey or manager-mapping signal on criticality: kept at the start point.</t>
        </is>
      </c>
      <c r="FS444"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4" s="56" t="inlineStr">
        <is>
          <t>Self-identified: AI / automation
For the next role: AI / automation</t>
        </is>
      </c>
      <c r="FU444" s="32" t="inlineStr">
        <is>
          <t>Full survey answers not in the files received · How We Grow export needed · HR</t>
        </is>
      </c>
    </row>
    <row r="445" ht="90" customHeight="1">
      <c r="A445" s="51" t="inlineStr">
        <is>
          <t>◂ Back</t>
        </is>
      </c>
      <c r="B445" s="29" t="inlineStr">
        <is>
          <t>Mapped</t>
        </is>
      </c>
      <c r="C445" s="28" t="inlineStr">
        <is>
          <t>iFile</t>
        </is>
      </c>
      <c r="D445" s="29" t="inlineStr">
        <is>
          <t>IRIS2144</t>
        </is>
      </c>
      <c r="E445" s="29" t="inlineStr">
        <is>
          <t>Vaishnavi Deshpande</t>
        </is>
      </c>
      <c r="F445" s="29" t="inlineStr">
        <is>
          <t>XBRL Consulting</t>
        </is>
      </c>
      <c r="G445" s="29" t="inlineStr">
        <is>
          <t>Consultant</t>
        </is>
      </c>
      <c r="H445" s="29" t="inlineStr">
        <is>
          <t>Taxonomy Specialist</t>
        </is>
      </c>
      <c r="I445" s="29" t="inlineStr">
        <is>
          <t>L3 – Professional / Associate</t>
        </is>
      </c>
      <c r="J445" s="29" t="inlineStr">
        <is>
          <t>A3</t>
        </is>
      </c>
      <c r="K445" s="29" t="inlineStr">
        <is>
          <t>▲ Up</t>
        </is>
      </c>
      <c r="L445" s="29" t="inlineStr">
        <is>
          <t>Consulting &amp; Professional Services</t>
        </is>
      </c>
      <c r="M445" s="29" t="inlineStr">
        <is>
          <t>Taxonomy Design &amp; Regulatory Consulting</t>
        </is>
      </c>
      <c r="N445" s="29" t="n"/>
      <c r="O445" s="29" t="n">
        <v>20</v>
      </c>
      <c r="P445" s="28" t="inlineStr">
        <is>
          <t>P2</t>
        </is>
      </c>
      <c r="Q445" s="29" t="inlineStr">
        <is>
          <t>Developing</t>
        </is>
      </c>
      <c r="R445" s="29" t="inlineStr">
        <is>
          <t>3 Apply</t>
        </is>
      </c>
      <c r="S445" s="29" t="inlineStr">
        <is>
          <t>2–4 yrs</t>
        </is>
      </c>
      <c r="T445" s="29" t="inlineStr">
        <is>
          <t>3–5 · 2–5</t>
        </is>
      </c>
      <c r="U445" s="29" t="inlineStr">
        <is>
          <t>Consultant / Senior Associate</t>
        </is>
      </c>
      <c r="V445" s="29" t="inlineStr">
        <is>
          <t>DataTracks: Senior Associate · 2–5 yrs · Big Four: Consultant · IRIS Vs Market Benchmark — XBRL US credential pathway: XBRL US GAAP Certificate</t>
        </is>
      </c>
      <c r="W445" s="29" t="inlineStr">
        <is>
          <t>XBRL US GAAP Certificate · AICPA &amp; XBRL US; XBRL International specifications; IFRS / US GAAP / Ind AS</t>
        </is>
      </c>
      <c r="X445" s="29" t="inlineStr">
        <is>
          <t>Core 2 · Future 2 · Functional 3 · Leadership not scored</t>
        </is>
      </c>
      <c r="Y445" s="52" t="n">
        <v>275</v>
      </c>
      <c r="Z445" s="53" t="inlineStr">
        <is>
          <t>IRIS2144</t>
        </is>
      </c>
      <c r="AA445" s="53" t="inlineStr">
        <is>
          <t>Employee</t>
        </is>
      </c>
      <c r="AB445" s="53" t="inlineStr">
        <is>
          <t>Active</t>
        </is>
      </c>
      <c r="AC445" s="53" t="inlineStr">
        <is>
          <t>Vaishnavi Deshpande</t>
        </is>
      </c>
      <c r="AD445" s="54" t="n">
        <v>45078</v>
      </c>
      <c r="AE445" s="53" t="inlineStr">
        <is>
          <t>Consultant</t>
        </is>
      </c>
      <c r="AF445" s="53" t="inlineStr">
        <is>
          <t>Cost Accountant</t>
        </is>
      </c>
      <c r="AG445" s="53" t="inlineStr">
        <is>
          <t>Shraddha Bagul</t>
        </is>
      </c>
      <c r="AH445" s="53" t="inlineStr">
        <is>
          <t>N-3</t>
        </is>
      </c>
      <c r="AI445" s="53" t="inlineStr">
        <is>
          <t>Individual Contributor</t>
        </is>
      </c>
      <c r="AJ445" s="53" t="inlineStr">
        <is>
          <t>5 years, 11 months, 0 days</t>
        </is>
      </c>
      <c r="AK445" s="53" t="inlineStr">
        <is>
          <t>3 years, 2 months, 24 days</t>
        </is>
      </c>
      <c r="AL445" s="53" t="inlineStr">
        <is>
          <t>Suptech</t>
        </is>
      </c>
      <c r="AM445" s="53" t="inlineStr">
        <is>
          <t>iFile</t>
        </is>
      </c>
      <c r="AN445" s="53" t="inlineStr">
        <is>
          <t>XBRL Consulting</t>
        </is>
      </c>
      <c r="AO445" s="53" t="inlineStr">
        <is>
          <t>Consulting</t>
        </is>
      </c>
      <c r="AP445" s="53" t="inlineStr">
        <is>
          <t>No</t>
        </is>
      </c>
      <c r="AQ445" s="53" t="inlineStr">
        <is>
          <t>Professional Services</t>
        </is>
      </c>
      <c r="AR445" s="53" t="inlineStr">
        <is>
          <t>XBRL Domain</t>
        </is>
      </c>
      <c r="AS445" s="53" t="inlineStr">
        <is>
          <t>Non-technical</t>
        </is>
      </c>
      <c r="AT445" s="53" t="n">
        <v>20</v>
      </c>
      <c r="AU445" s="53" t="inlineStr">
        <is>
          <t>Covered</t>
        </is>
      </c>
      <c r="AV445" s="53" t="n"/>
      <c r="AW445" s="53" t="n"/>
      <c r="AX445" s="53" t="n"/>
      <c r="AY445" s="53" t="n"/>
      <c r="AZ445" s="53" t="n"/>
      <c r="BA445" s="53" t="n"/>
      <c r="BB445" s="53" t="n"/>
      <c r="BC445" s="53" t="n"/>
      <c r="BD445" s="53" t="n"/>
      <c r="BE445" s="53" t="n"/>
      <c r="BF445" s="53" t="n"/>
      <c r="BG445" s="53" t="n"/>
      <c r="BH445" s="53" t="n"/>
      <c r="BI445" s="53" t="n"/>
      <c r="BJ445" s="53" t="n"/>
      <c r="BK445" s="53" t="n"/>
      <c r="BL445" s="53" t="n"/>
      <c r="BM445" s="53" t="n"/>
      <c r="BN445" s="53" t="n"/>
      <c r="BO445" s="53" t="n"/>
      <c r="BP445" s="53" t="n"/>
      <c r="BQ445" s="53" t="n"/>
      <c r="BR445" s="53" t="n"/>
      <c r="BS445" s="53" t="n"/>
      <c r="BT445" s="53" t="n"/>
      <c r="BU445" s="53" t="n"/>
      <c r="BV445" s="53" t="n"/>
      <c r="BW445" s="53" t="n"/>
      <c r="BX445" s="53" t="n"/>
      <c r="BY445" s="53" t="n"/>
      <c r="BZ445" s="53" t="n"/>
      <c r="CA445" s="53" t="n"/>
      <c r="CB445" s="53" t="n"/>
      <c r="CC445" s="53" t="n"/>
      <c r="CD445" s="53" t="n"/>
      <c r="CE445" s="53" t="n"/>
      <c r="CF445" s="53" t="n"/>
      <c r="CG445" s="53" t="n"/>
      <c r="CH445" s="53" t="n"/>
      <c r="CI445" s="53" t="n"/>
      <c r="CJ445" s="53" t="n"/>
      <c r="CK445" s="53" t="n"/>
      <c r="CL445" s="53" t="n"/>
      <c r="CM445" s="53" t="n"/>
      <c r="CN445" s="53" t="n"/>
      <c r="CO445" s="53" t="n"/>
      <c r="CP445" s="53" t="n"/>
      <c r="CQ445" s="53" t="n"/>
      <c r="CR445" s="53" t="n"/>
      <c r="CS445" s="53" t="n"/>
      <c r="CT445" s="53" t="n"/>
      <c r="CU445" s="53" t="n"/>
      <c r="CV445" s="53" t="n"/>
      <c r="CW445" s="53" t="n"/>
      <c r="CX445" s="53" t="n"/>
      <c r="CY445" s="53" t="n"/>
      <c r="CZ445" s="53" t="n"/>
      <c r="DA445" s="53" t="n"/>
      <c r="DB445" s="53" t="n"/>
      <c r="DC445" s="53" t="n"/>
      <c r="DD445" s="53" t="inlineStr">
        <is>
          <t>IRIS2144</t>
        </is>
      </c>
      <c r="DE445" s="53" t="inlineStr">
        <is>
          <t>Employee</t>
        </is>
      </c>
      <c r="DF445" s="53" t="inlineStr">
        <is>
          <t>Active</t>
        </is>
      </c>
      <c r="DG445" s="53" t="inlineStr">
        <is>
          <t>Vaishnavi Deshpande</t>
        </is>
      </c>
      <c r="DH445" s="54" t="n">
        <v>45078</v>
      </c>
      <c r="DI445" s="53" t="inlineStr">
        <is>
          <t>Consultant</t>
        </is>
      </c>
      <c r="DJ445" s="53" t="inlineStr">
        <is>
          <t>Consulting &amp; Professional Services</t>
        </is>
      </c>
      <c r="DK445" s="53" t="inlineStr">
        <is>
          <t>XBRL / Regulatory Reporting</t>
        </is>
      </c>
      <c r="DL445" s="53" t="inlineStr">
        <is>
          <t>Consultant</t>
        </is>
      </c>
      <c r="DM445" s="53" t="inlineStr">
        <is>
          <t>L3 – Professional / Associate</t>
        </is>
      </c>
      <c r="DN445" s="53" t="inlineStr">
        <is>
          <t>Cost Accountant</t>
        </is>
      </c>
      <c r="DO445" s="53" t="inlineStr">
        <is>
          <t>Shraddha Bagul</t>
        </is>
      </c>
      <c r="DP445" s="53" t="inlineStr">
        <is>
          <t>N-3</t>
        </is>
      </c>
      <c r="DQ445" s="53" t="inlineStr">
        <is>
          <t>Individual Contributor</t>
        </is>
      </c>
      <c r="DR445" s="53" t="inlineStr">
        <is>
          <t>5 years, 11 months, 0 days</t>
        </is>
      </c>
      <c r="DS445" s="53" t="inlineStr">
        <is>
          <t>3 years, 0 months, 19 days</t>
        </is>
      </c>
      <c r="DT445" s="53" t="inlineStr">
        <is>
          <t>8 years, 11 months, 19 days</t>
        </is>
      </c>
      <c r="DU445" s="53" t="n"/>
      <c r="DV445" s="53" t="inlineStr">
        <is>
          <t>Suptech</t>
        </is>
      </c>
      <c r="DW445" s="53" t="inlineStr">
        <is>
          <t>iFile</t>
        </is>
      </c>
      <c r="DX445" s="53" t="inlineStr">
        <is>
          <t>XBRL Consulting</t>
        </is>
      </c>
      <c r="DY445" s="53" t="inlineStr">
        <is>
          <t>Consulting</t>
        </is>
      </c>
      <c r="DZ445" s="53" t="inlineStr">
        <is>
          <t>No</t>
        </is>
      </c>
      <c r="EA445" s="53" t="inlineStr">
        <is>
          <t>Professional Services</t>
        </is>
      </c>
      <c r="EB445" s="53" t="inlineStr">
        <is>
          <t>XBRL Domain</t>
        </is>
      </c>
      <c r="EC445" s="53" t="inlineStr">
        <is>
          <t>Non-technical</t>
        </is>
      </c>
      <c r="ED445" s="53" t="inlineStr">
        <is>
          <t>Remote- Outside Mumbai</t>
        </is>
      </c>
      <c r="EE445" s="53" t="n"/>
      <c r="EF445"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45" s="53" t="inlineStr">
        <is>
          <t>1. Complete Q1 taxonomy build/test tasks on schedule · &gt;=95% on-time.
2. Close assigned iFILE support tickets within SLA.
3. Finish Q1 Excel/Webform test cycles with defect leakage &lt;2%.</t>
        </is>
      </c>
      <c r="EH445" s="53" t="inlineStr">
        <is>
          <t>4 - Exceeds Expectations</t>
        </is>
      </c>
      <c r="EI445" s="53" t="inlineStr">
        <is>
          <t>Last appraisal in Oct 2025</t>
        </is>
      </c>
      <c r="EJ445" s="53" t="inlineStr">
        <is>
          <t>Consultant</t>
        </is>
      </c>
      <c r="EK445" s="53" t="inlineStr">
        <is>
          <t>No change</t>
        </is>
      </c>
      <c r="EL445" s="53" t="n">
        <v>4</v>
      </c>
      <c r="EM445" s="53" t="inlineStr">
        <is>
          <t>High</t>
        </is>
      </c>
      <c r="EN445" s="53" t="inlineStr">
        <is>
          <t>High Impact / Growth Talent</t>
        </is>
      </c>
      <c r="EO445" s="53" t="n"/>
      <c r="EP445" s="53" t="inlineStr">
        <is>
          <t>No</t>
        </is>
      </c>
      <c r="EQ445" s="53" t="n"/>
      <c r="ER445" s="53" t="inlineStr">
        <is>
          <t>To be identified</t>
        </is>
      </c>
      <c r="ES445" s="53" t="inlineStr">
        <is>
          <t>XBRL taxonomy &amp; regulatory updates; domain/accounting refreshers; quality &amp; accuracy practices; tooling proficiency</t>
        </is>
      </c>
      <c r="ET445" s="53" t="inlineStr">
        <is>
          <t>Transition to leadership: people management &amp; delegation, mentoring/coaching, project ownership &amp; stakeholder management, prioritisation under ambiguity, presentation &amp; influence skills</t>
        </is>
      </c>
      <c r="EU445" s="53" t="inlineStr">
        <is>
          <t>Testing - All iFIle projects</t>
        </is>
      </c>
      <c r="EV445" s="53" t="n"/>
      <c r="EW445" s="52" t="n"/>
      <c r="EX445" s="53" t="n"/>
      <c r="EY445" s="53" t="n"/>
      <c r="EZ445" s="53" t="n"/>
      <c r="FA445" s="53" t="n"/>
      <c r="FB445" s="53" t="n"/>
      <c r="FC445" s="53" t="n"/>
      <c r="FD445" s="53" t="n"/>
      <c r="FE445"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45" s="56" t="inlineStr">
        <is>
          <t>1. Complete Q1 taxonomy build/test tasks on schedule · &gt;=95% on-time.
2. Close assigned iFILE support tickets within SLA · &gt;=90%.
3. Finish Q1 Excel/Webform test cycles with defect leakage &lt;2%.</t>
        </is>
      </c>
      <c r="FG445" s="56" t="n"/>
      <c r="FH445" s="56" t="inlineStr">
        <is>
          <t>4 - Exceeds Expectations</t>
        </is>
      </c>
      <c r="FI445" s="56" t="n"/>
      <c r="FJ445" s="56" t="inlineStr">
        <is>
          <t>Received · manager annual, quarterly</t>
        </is>
      </c>
      <c r="FK445" s="56" t="inlineStr">
        <is>
          <t>Talent Mapping · iFile collated</t>
        </is>
      </c>
      <c r="FL445" s="56" t="n">
        <v>20</v>
      </c>
      <c r="FM445" s="32" t="inlineStr">
        <is>
          <t>Full survey answers not in the files received · How We Grow export needed · HR</t>
        </is>
      </c>
      <c r="FN445" s="56" t="inlineStr">
        <is>
          <t>—</t>
        </is>
      </c>
      <c r="FO445" s="56" t="inlineStr">
        <is>
          <t>—</t>
        </is>
      </c>
      <c r="FP445" s="56" t="inlineStr">
        <is>
          <t>—</t>
        </is>
      </c>
      <c r="FQ445" s="56" t="inlineStr">
        <is>
          <t>—</t>
        </is>
      </c>
      <c r="FR445" s="56"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development, testing and delivery; errors cause escalation → matches the start
Leadership: Evidence reads like A2: Domain SME and cross-team support; no regular guiding of juniors → matches the start
Business Impact: No survey or manager-mapping signal on criticality: kept at the start point.</t>
        </is>
      </c>
      <c r="FS445"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5" s="56" t="inlineStr">
        <is>
          <t>Self-identified: AI / automation · Communication &amp; presentation · Certification / formal course
For the next role: AI / automation · Client, sales &amp; stakeholders · Communication &amp; presentation · Certification / formal course</t>
        </is>
      </c>
      <c r="FU445" s="32" t="inlineStr">
        <is>
          <t>Full survey answers not in the files received · How We Grow export needed · HR</t>
        </is>
      </c>
    </row>
    <row r="446" ht="90" customHeight="1">
      <c r="A446" s="51" t="inlineStr">
        <is>
          <t>◂ Back</t>
        </is>
      </c>
      <c r="B446" s="29" t="inlineStr">
        <is>
          <t>Mapped</t>
        </is>
      </c>
      <c r="C446" s="28" t="inlineStr">
        <is>
          <t>iFile</t>
        </is>
      </c>
      <c r="D446" s="29" t="inlineStr">
        <is>
          <t>IRISC322</t>
        </is>
      </c>
      <c r="E446" s="29" t="inlineStr">
        <is>
          <t>Bhanu Vardhan Nelly</t>
        </is>
      </c>
      <c r="F446" s="29" t="inlineStr">
        <is>
          <t>XBRL Consulting</t>
        </is>
      </c>
      <c r="G446" s="29" t="inlineStr">
        <is>
          <t>XBRL Conversion Specialist</t>
        </is>
      </c>
      <c r="H446" s="29" t="inlineStr">
        <is>
          <t>Financial Analyst</t>
        </is>
      </c>
      <c r="I446" s="29" t="inlineStr">
        <is>
          <t>L3 – Professional / Associate</t>
        </is>
      </c>
      <c r="J446" s="29" t="inlineStr">
        <is>
          <t>A2</t>
        </is>
      </c>
      <c r="K446" s="29" t="inlineStr">
        <is>
          <t>• Same level</t>
        </is>
      </c>
      <c r="L446" s="29" t="inlineStr">
        <is>
          <t>Consulting &amp; Professional Services</t>
        </is>
      </c>
      <c r="M446" s="29" t="inlineStr">
        <is>
          <t>XBRL Tagging, Conversion &amp; Filing</t>
        </is>
      </c>
      <c r="N446" s="29" t="n"/>
      <c r="O446" s="29" t="n">
        <v>20</v>
      </c>
      <c r="P446" s="28" t="inlineStr">
        <is>
          <t>P1–P2</t>
        </is>
      </c>
      <c r="Q446" s="29" t="inlineStr">
        <is>
          <t>Entry / Developing</t>
        </is>
      </c>
      <c r="R446" s="29" t="inlineStr">
        <is>
          <t>2 Assist</t>
        </is>
      </c>
      <c r="S446" s="29" t="inlineStr">
        <is>
          <t>0–2 yrs</t>
        </is>
      </c>
      <c r="T446" s="29" t="inlineStr">
        <is>
          <t>1–3 · 0–3</t>
        </is>
      </c>
      <c r="U446" s="29" t="inlineStr">
        <is>
          <t>Analyst / Senior Analyst / Associate</t>
        </is>
      </c>
      <c r="V446" s="29" t="inlineStr">
        <is>
          <t>Toppan Merrill: XBRL Financial Analyst, Associate · DataTracks: Associate · Big Four: Analyst</t>
        </is>
      </c>
      <c r="W446" s="29" t="inlineStr">
        <is>
          <t>XBRL US GAAP Certificate · AICPA &amp; XBRL US; XBRL International specifications; IFRS / US GAAP / Ind AS</t>
        </is>
      </c>
      <c r="X446" s="29" t="inlineStr">
        <is>
          <t>Core 2 · Future 2 · Functional 2 · Leadership not scored</t>
        </is>
      </c>
      <c r="Y446" s="52" t="n">
        <v>417</v>
      </c>
      <c r="Z446" s="53" t="inlineStr">
        <is>
          <t>IRISC322</t>
        </is>
      </c>
      <c r="AA446" s="53" t="inlineStr">
        <is>
          <t>On Contract</t>
        </is>
      </c>
      <c r="AB446" s="53" t="inlineStr">
        <is>
          <t>Active</t>
        </is>
      </c>
      <c r="AC446" s="53" t="inlineStr">
        <is>
          <t>Bhanu Vardhan Nelly</t>
        </is>
      </c>
      <c r="AD446" s="54" t="n">
        <v>45995</v>
      </c>
      <c r="AE446" s="53" t="inlineStr">
        <is>
          <t>XBRL Conversion Specialist</t>
        </is>
      </c>
      <c r="AF446" s="53" t="inlineStr">
        <is>
          <t>Bachelor in Accounting &amp; Finance</t>
        </is>
      </c>
      <c r="AG446" s="53" t="inlineStr">
        <is>
          <t>Shraddha Bagul</t>
        </is>
      </c>
      <c r="AH446" s="53" t="inlineStr">
        <is>
          <t>N-3</t>
        </is>
      </c>
      <c r="AI446" s="53" t="inlineStr">
        <is>
          <t>Individual Contributor</t>
        </is>
      </c>
      <c r="AJ446" s="53" t="inlineStr">
        <is>
          <t>0 years, 7 months, 0 days</t>
        </is>
      </c>
      <c r="AK446" s="53" t="inlineStr">
        <is>
          <t>0 years, 8 months, 21 days</t>
        </is>
      </c>
      <c r="AL446" s="53" t="inlineStr">
        <is>
          <t>Suptech</t>
        </is>
      </c>
      <c r="AM446" s="53" t="inlineStr">
        <is>
          <t>iFile</t>
        </is>
      </c>
      <c r="AN446" s="53" t="inlineStr">
        <is>
          <t>XBRL Consulting</t>
        </is>
      </c>
      <c r="AO446" s="53" t="inlineStr">
        <is>
          <t>Consulting</t>
        </is>
      </c>
      <c r="AP446" s="53" t="inlineStr">
        <is>
          <t>No</t>
        </is>
      </c>
      <c r="AQ446" s="53" t="inlineStr">
        <is>
          <t>Professional Services</t>
        </is>
      </c>
      <c r="AR446" s="53" t="inlineStr">
        <is>
          <t>XBRL Domain</t>
        </is>
      </c>
      <c r="AS446" s="53" t="inlineStr">
        <is>
          <t>Non-technical</t>
        </is>
      </c>
      <c r="AT446" s="53" t="n">
        <v>20</v>
      </c>
      <c r="AU446" s="53" t="inlineStr">
        <is>
          <t>Covered</t>
        </is>
      </c>
      <c r="AV446" s="53" t="n"/>
      <c r="AW446" s="53" t="n"/>
      <c r="AX446" s="53" t="n"/>
      <c r="AY446" s="53" t="n"/>
      <c r="AZ446" s="53" t="n"/>
      <c r="BA446" s="53" t="n"/>
      <c r="BB446" s="53" t="n"/>
      <c r="BC446" s="53" t="n"/>
      <c r="BD446" s="53" t="n"/>
      <c r="BE446" s="53" t="n"/>
      <c r="BF446" s="53" t="n"/>
      <c r="BG446" s="53" t="n"/>
      <c r="BH446" s="53" t="n"/>
      <c r="BI446" s="53" t="n"/>
      <c r="BJ446" s="53" t="n"/>
      <c r="BK446" s="53" t="n"/>
      <c r="BL446" s="53" t="n"/>
      <c r="BM446" s="53" t="n"/>
      <c r="BN446" s="53" t="n"/>
      <c r="BO446" s="53" t="n"/>
      <c r="BP446" s="53" t="n"/>
      <c r="BQ446" s="53" t="n"/>
      <c r="BR446" s="53" t="n"/>
      <c r="BS446" s="53" t="n"/>
      <c r="BT446" s="53" t="n"/>
      <c r="BU446" s="53" t="n"/>
      <c r="BV446" s="53" t="n"/>
      <c r="BW446" s="53" t="n"/>
      <c r="BX446" s="53" t="n"/>
      <c r="BY446" s="53" t="n"/>
      <c r="BZ446" s="53" t="n"/>
      <c r="CA446" s="53" t="n"/>
      <c r="CB446" s="53" t="n"/>
      <c r="CC446" s="53" t="n"/>
      <c r="CD446" s="53" t="n"/>
      <c r="CE446" s="53" t="n"/>
      <c r="CF446" s="53" t="n"/>
      <c r="CG446" s="53" t="n"/>
      <c r="CH446" s="53" t="n"/>
      <c r="CI446" s="53" t="n"/>
      <c r="CJ446" s="53" t="n"/>
      <c r="CK446" s="53" t="n"/>
      <c r="CL446" s="53" t="n"/>
      <c r="CM446" s="53" t="n"/>
      <c r="CN446" s="53" t="n"/>
      <c r="CO446" s="53" t="n"/>
      <c r="CP446" s="53" t="n"/>
      <c r="CQ446" s="53" t="n"/>
      <c r="CR446" s="53" t="n"/>
      <c r="CS446" s="53" t="n"/>
      <c r="CT446" s="53" t="n"/>
      <c r="CU446" s="53" t="n"/>
      <c r="CV446" s="53" t="n"/>
      <c r="CW446" s="53" t="n"/>
      <c r="CX446" s="53" t="n"/>
      <c r="CY446" s="53" t="n"/>
      <c r="CZ446" s="53" t="n"/>
      <c r="DA446" s="53" t="n"/>
      <c r="DB446" s="53" t="n"/>
      <c r="DC446" s="53" t="n"/>
      <c r="DD446" s="53" t="inlineStr">
        <is>
          <t>IRISC322</t>
        </is>
      </c>
      <c r="DE446" s="53" t="inlineStr">
        <is>
          <t>On Contract</t>
        </is>
      </c>
      <c r="DF446" s="53" t="inlineStr">
        <is>
          <t>Active</t>
        </is>
      </c>
      <c r="DG446" s="53" t="inlineStr">
        <is>
          <t>Bhanu Vardhan Nelly</t>
        </is>
      </c>
      <c r="DH446" s="54" t="n">
        <v>45995</v>
      </c>
      <c r="DI446" s="53" t="inlineStr">
        <is>
          <t>XBRL Conversion Specialist</t>
        </is>
      </c>
      <c r="DJ446" s="53" t="inlineStr">
        <is>
          <t>Consulting &amp; Professional Services</t>
        </is>
      </c>
      <c r="DK446" s="53" t="inlineStr">
        <is>
          <t>XBRL / Regulatory Reporting</t>
        </is>
      </c>
      <c r="DL446" s="53" t="inlineStr">
        <is>
          <t>XBRL Conversion Specialist</t>
        </is>
      </c>
      <c r="DM446" s="53" t="inlineStr">
        <is>
          <t>L3 – Professional / Associate</t>
        </is>
      </c>
      <c r="DN446" s="53" t="inlineStr">
        <is>
          <t>Bachelor in Accounting &amp; Finance</t>
        </is>
      </c>
      <c r="DO446" s="53" t="inlineStr">
        <is>
          <t>Shraddha Bagul</t>
        </is>
      </c>
      <c r="DP446" s="53" t="inlineStr">
        <is>
          <t>N-3</t>
        </is>
      </c>
      <c r="DQ446" s="53" t="inlineStr">
        <is>
          <t>Individual Contributor</t>
        </is>
      </c>
      <c r="DR446" s="53" t="inlineStr">
        <is>
          <t>0 years, 7 months, 0 days</t>
        </is>
      </c>
      <c r="DS446" s="53" t="inlineStr">
        <is>
          <t>0 years, 6 months, 16 days</t>
        </is>
      </c>
      <c r="DT446" s="53" t="inlineStr">
        <is>
          <t>1 years, 1 months, 16 days</t>
        </is>
      </c>
      <c r="DU446" s="53" t="n"/>
      <c r="DV446" s="53" t="inlineStr">
        <is>
          <t>Suptech</t>
        </is>
      </c>
      <c r="DW446" s="53" t="inlineStr">
        <is>
          <t>iFile</t>
        </is>
      </c>
      <c r="DX446" s="53" t="inlineStr">
        <is>
          <t>XBRL Consulting</t>
        </is>
      </c>
      <c r="DY446" s="53" t="inlineStr">
        <is>
          <t>Consulting</t>
        </is>
      </c>
      <c r="DZ446" s="53" t="inlineStr">
        <is>
          <t>No</t>
        </is>
      </c>
      <c r="EA446" s="53" t="inlineStr">
        <is>
          <t>Professional Services</t>
        </is>
      </c>
      <c r="EB446" s="53" t="inlineStr">
        <is>
          <t>XBRL Domain</t>
        </is>
      </c>
      <c r="EC446" s="53" t="inlineStr">
        <is>
          <t>Non-technical</t>
        </is>
      </c>
      <c r="ED446" s="53" t="inlineStr">
        <is>
          <t>Work From Office - Turbhe</t>
        </is>
      </c>
      <c r="EE446" s="53" t="n"/>
      <c r="EF446"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6" s="53" t="inlineStr">
        <is>
          <t>1. Complete Q1 IRIS Instant release-testing cycles at full coverage · defect leakage &lt;2%.
2. Meet Q1 conversion turnaround &amp; accuracy targets.
3. Resolve &gt;=90% of client support queries within SLA.</t>
        </is>
      </c>
      <c r="EH446" s="53" t="inlineStr">
        <is>
          <t>3 – Meets Expectations</t>
        </is>
      </c>
      <c r="EI446" s="53" t="n"/>
      <c r="EJ446" s="53" t="inlineStr">
        <is>
          <t>XBRL Conversion Specialist</t>
        </is>
      </c>
      <c r="EK446" s="53" t="inlineStr">
        <is>
          <t>No change</t>
        </is>
      </c>
      <c r="EL446" s="53" t="n">
        <v>3</v>
      </c>
      <c r="EM446" s="53" t="inlineStr">
        <is>
          <t>Medium</t>
        </is>
      </c>
      <c r="EN446" s="53" t="inlineStr">
        <is>
          <t>Core Contributor</t>
        </is>
      </c>
      <c r="EO446" s="53" t="n"/>
      <c r="EP446" s="53" t="inlineStr">
        <is>
          <t>No</t>
        </is>
      </c>
      <c r="EQ446" s="53" t="n"/>
      <c r="ER446" s="53" t="inlineStr">
        <is>
          <t>To be identified</t>
        </is>
      </c>
      <c r="ES446" s="53" t="inlineStr">
        <is>
          <t>XBRL taxonomy &amp; regulatory updates; domain/accounting refreshers; quality &amp; accuracy practices; tooling proficiency</t>
        </is>
      </c>
      <c r="ET446" s="53" t="inlineStr">
        <is>
          <t>Transition to leadership: people management &amp; delegation, mentoring/coaching, project ownership &amp; stakeholder management, prioritisation under ambiguity, presentation &amp; influence skills</t>
        </is>
      </c>
      <c r="EU446" s="53" t="n"/>
      <c r="EV446" s="53" t="n"/>
      <c r="EW446" s="52" t="n"/>
      <c r="EX446" s="53" t="n"/>
      <c r="EY446" s="53" t="n"/>
      <c r="EZ446" s="53" t="n"/>
      <c r="FA446" s="53" t="n"/>
      <c r="FB446" s="53" t="n"/>
      <c r="FC446" s="53" t="n"/>
      <c r="FD446" s="53" t="n"/>
      <c r="FE446"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6" s="56" t="inlineStr">
        <is>
          <t>1. Complete Q1 IRIS Instant release-testing cycles at full coverage · defect leakage &lt;2%.
2. Meet Q1 conversion turnaround &amp; accuracy targets · &gt;=98%.
3. Resolve &gt;=90% of client support queries within SLA.</t>
        </is>
      </c>
      <c r="FG446" s="56" t="n"/>
      <c r="FH446" s="56" t="inlineStr">
        <is>
          <t>3 – Meets Expectations</t>
        </is>
      </c>
      <c r="FI446" s="56" t="n"/>
      <c r="FJ446" s="56" t="inlineStr">
        <is>
          <t>Received · manager annual, quarterly</t>
        </is>
      </c>
      <c r="FK446" s="56" t="inlineStr">
        <is>
          <t>Talent Mapping · iFile collated</t>
        </is>
      </c>
      <c r="FL446" s="56" t="n">
        <v>20</v>
      </c>
      <c r="FM446" s="32" t="inlineStr">
        <is>
          <t>Full survey answers not in the files received · How We Grow export needed · HR</t>
        </is>
      </c>
      <c r="FN446" s="56" t="inlineStr">
        <is>
          <t>—</t>
        </is>
      </c>
      <c r="FO446" s="56" t="inlineStr">
        <is>
          <t>—</t>
        </is>
      </c>
      <c r="FP446" s="56" t="inlineStr">
        <is>
          <t>—</t>
        </is>
      </c>
      <c r="FQ446" s="56" t="inlineStr">
        <is>
          <t>—</t>
        </is>
      </c>
      <c r="FR446" s="56"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None described → matches the start
Business Impact: No survey or manager-mapping signal on criticality: kept at the start point.</t>
        </is>
      </c>
      <c r="FS446"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46" s="56" t="inlineStr">
        <is>
          <t>Self-identified: Data, SQL &amp; analytics · Product &amp; tool knowledge
For the next role: Data, SQL &amp; analytics · Product &amp; tool knowledge</t>
        </is>
      </c>
      <c r="FU446" s="32" t="inlineStr">
        <is>
          <t>Full survey answers not in the files received · How We Grow export needed · HR</t>
        </is>
      </c>
    </row>
    <row r="447" ht="90" customHeight="1">
      <c r="A447" s="51" t="inlineStr">
        <is>
          <t>◂ Back</t>
        </is>
      </c>
      <c r="B447" s="29" t="inlineStr">
        <is>
          <t>Mapped</t>
        </is>
      </c>
      <c r="C447" s="28" t="inlineStr">
        <is>
          <t>iFile</t>
        </is>
      </c>
      <c r="D447" s="29" t="inlineStr">
        <is>
          <t>IRISC328</t>
        </is>
      </c>
      <c r="E447" s="29" t="inlineStr">
        <is>
          <t>Omkar Parab</t>
        </is>
      </c>
      <c r="F447" s="29" t="inlineStr">
        <is>
          <t>XBRL Consulting</t>
        </is>
      </c>
      <c r="G447" s="29" t="inlineStr">
        <is>
          <t>Consultant</t>
        </is>
      </c>
      <c r="H447" s="29" t="inlineStr">
        <is>
          <t>Taxonomy Analyst</t>
        </is>
      </c>
      <c r="I447" s="29" t="inlineStr">
        <is>
          <t>L3 – Professional / Associate</t>
        </is>
      </c>
      <c r="J447" s="29" t="inlineStr">
        <is>
          <t>A2</t>
        </is>
      </c>
      <c r="K447" s="29" t="inlineStr">
        <is>
          <t>• Same level</t>
        </is>
      </c>
      <c r="L447" s="29" t="inlineStr">
        <is>
          <t>Consulting &amp; Professional Services</t>
        </is>
      </c>
      <c r="M447" s="29" t="inlineStr">
        <is>
          <t>Taxonomy Design &amp; Regulatory Consulting</t>
        </is>
      </c>
      <c r="N447" s="29" t="n"/>
      <c r="O447" s="29" t="n">
        <v>20</v>
      </c>
      <c r="P447" s="28" t="inlineStr">
        <is>
          <t>P1–P2</t>
        </is>
      </c>
      <c r="Q447" s="29" t="inlineStr">
        <is>
          <t>Entry / Developing</t>
        </is>
      </c>
      <c r="R447" s="29" t="inlineStr">
        <is>
          <t>2 Assist</t>
        </is>
      </c>
      <c r="S447" s="29" t="inlineStr">
        <is>
          <t>0–2 yrs</t>
        </is>
      </c>
      <c r="T447" s="29" t="inlineStr">
        <is>
          <t>1–3 · 0–3</t>
        </is>
      </c>
      <c r="U447" s="29" t="inlineStr">
        <is>
          <t>Analyst / Senior Analyst / Associate</t>
        </is>
      </c>
      <c r="V447" s="29" t="inlineStr">
        <is>
          <t>Toppan Merrill: XBRL Financial Analyst, Associate · DataTracks: Associate · Big Four: Analyst</t>
        </is>
      </c>
      <c r="W447" s="29" t="inlineStr">
        <is>
          <t>XBRL US GAAP Certificate · AICPA &amp; XBRL US; XBRL International specifications; IFRS / US GAAP / Ind AS</t>
        </is>
      </c>
      <c r="X447" s="29" t="inlineStr">
        <is>
          <t>Core 2 · Future 2 · Functional 2 · Leadership not scored</t>
        </is>
      </c>
      <c r="Y447" s="52" t="n">
        <v>425</v>
      </c>
      <c r="Z447" s="53" t="inlineStr">
        <is>
          <t>IRISC328</t>
        </is>
      </c>
      <c r="AA447" s="53" t="inlineStr">
        <is>
          <t>On Contract</t>
        </is>
      </c>
      <c r="AB447" s="53" t="inlineStr">
        <is>
          <t>Active</t>
        </is>
      </c>
      <c r="AC447" s="53" t="inlineStr">
        <is>
          <t>Omkar Parab</t>
        </is>
      </c>
      <c r="AD447" s="54" t="n">
        <v>46013</v>
      </c>
      <c r="AE447" s="53" t="inlineStr">
        <is>
          <t>Consultant</t>
        </is>
      </c>
      <c r="AF447" s="53" t="inlineStr">
        <is>
          <t>B.Com</t>
        </is>
      </c>
      <c r="AG447" s="53" t="inlineStr">
        <is>
          <t>Shraddha Bagul</t>
        </is>
      </c>
      <c r="AH447" s="53" t="inlineStr">
        <is>
          <t>N-3</t>
        </is>
      </c>
      <c r="AI447" s="53" t="inlineStr">
        <is>
          <t>Individual Contributor</t>
        </is>
      </c>
      <c r="AJ447" s="53" t="inlineStr">
        <is>
          <t>0 years, 0 months, 0 days</t>
        </is>
      </c>
      <c r="AK447" s="53" t="inlineStr">
        <is>
          <t>0 years, 8 months, 3 days</t>
        </is>
      </c>
      <c r="AL447" s="53" t="inlineStr">
        <is>
          <t>Suptech</t>
        </is>
      </c>
      <c r="AM447" s="53" t="inlineStr">
        <is>
          <t>iFile</t>
        </is>
      </c>
      <c r="AN447" s="53" t="inlineStr">
        <is>
          <t>XBRL Consulting</t>
        </is>
      </c>
      <c r="AO447" s="53" t="inlineStr">
        <is>
          <t>Consulting</t>
        </is>
      </c>
      <c r="AP447" s="53" t="inlineStr">
        <is>
          <t>No</t>
        </is>
      </c>
      <c r="AQ447" s="53" t="inlineStr">
        <is>
          <t>Professional Services</t>
        </is>
      </c>
      <c r="AR447" s="53" t="inlineStr">
        <is>
          <t>XBRL Domain</t>
        </is>
      </c>
      <c r="AS447" s="53" t="inlineStr">
        <is>
          <t>Non-technical</t>
        </is>
      </c>
      <c r="AT447" s="53" t="n">
        <v>20</v>
      </c>
      <c r="AU447" s="53" t="inlineStr">
        <is>
          <t>Covered</t>
        </is>
      </c>
      <c r="AV447" s="53" t="n"/>
      <c r="AW447" s="53" t="n"/>
      <c r="AX447" s="53" t="n"/>
      <c r="AY447" s="53" t="n"/>
      <c r="AZ447" s="53" t="n"/>
      <c r="BA447" s="53" t="n"/>
      <c r="BB447" s="53" t="n"/>
      <c r="BC447" s="53" t="n"/>
      <c r="BD447" s="53" t="n"/>
      <c r="BE447" s="53" t="n"/>
      <c r="BF447" s="53" t="n"/>
      <c r="BG447" s="53" t="n"/>
      <c r="BH447" s="53" t="n"/>
      <c r="BI447" s="53" t="n"/>
      <c r="BJ447" s="53" t="n"/>
      <c r="BK447" s="53" t="n"/>
      <c r="BL447" s="53" t="n"/>
      <c r="BM447" s="53" t="n"/>
      <c r="BN447" s="53" t="n"/>
      <c r="BO447" s="53" t="n"/>
      <c r="BP447" s="53" t="n"/>
      <c r="BQ447" s="53" t="n"/>
      <c r="BR447" s="53" t="n"/>
      <c r="BS447" s="53" t="n"/>
      <c r="BT447" s="53" t="n"/>
      <c r="BU447" s="53" t="n"/>
      <c r="BV447" s="53" t="n"/>
      <c r="BW447" s="53" t="n"/>
      <c r="BX447" s="53" t="n"/>
      <c r="BY447" s="53" t="n"/>
      <c r="BZ447" s="53" t="n"/>
      <c r="CA447" s="53" t="n"/>
      <c r="CB447" s="53" t="n"/>
      <c r="CC447" s="53" t="n"/>
      <c r="CD447" s="53" t="n"/>
      <c r="CE447" s="53" t="n"/>
      <c r="CF447" s="53" t="n"/>
      <c r="CG447" s="53" t="n"/>
      <c r="CH447" s="53" t="n"/>
      <c r="CI447" s="53" t="n"/>
      <c r="CJ447" s="53" t="n"/>
      <c r="CK447" s="53" t="n"/>
      <c r="CL447" s="53" t="n"/>
      <c r="CM447" s="53" t="n"/>
      <c r="CN447" s="53" t="n"/>
      <c r="CO447" s="53" t="n"/>
      <c r="CP447" s="53" t="n"/>
      <c r="CQ447" s="53" t="n"/>
      <c r="CR447" s="53" t="n"/>
      <c r="CS447" s="53" t="n"/>
      <c r="CT447" s="53" t="n"/>
      <c r="CU447" s="53" t="n"/>
      <c r="CV447" s="53" t="n"/>
      <c r="CW447" s="53" t="n"/>
      <c r="CX447" s="53" t="n"/>
      <c r="CY447" s="53" t="n"/>
      <c r="CZ447" s="53" t="n"/>
      <c r="DA447" s="53" t="n"/>
      <c r="DB447" s="53" t="n"/>
      <c r="DC447" s="53" t="n"/>
      <c r="DD447" s="53" t="inlineStr">
        <is>
          <t>IRISC328</t>
        </is>
      </c>
      <c r="DE447" s="53" t="inlineStr">
        <is>
          <t>On Contract</t>
        </is>
      </c>
      <c r="DF447" s="53" t="inlineStr">
        <is>
          <t>Active</t>
        </is>
      </c>
      <c r="DG447" s="53" t="inlineStr">
        <is>
          <t>Omkar Parab</t>
        </is>
      </c>
      <c r="DH447" s="54" t="n">
        <v>46013</v>
      </c>
      <c r="DI447" s="53" t="inlineStr">
        <is>
          <t>Consultant</t>
        </is>
      </c>
      <c r="DJ447" s="53" t="inlineStr">
        <is>
          <t>Consulting &amp; Professional Services</t>
        </is>
      </c>
      <c r="DK447" s="53" t="inlineStr">
        <is>
          <t>XBRL / Regulatory Reporting</t>
        </is>
      </c>
      <c r="DL447" s="53" t="inlineStr">
        <is>
          <t>Consultant</t>
        </is>
      </c>
      <c r="DM447" s="53" t="inlineStr">
        <is>
          <t>L3 – Professional / Associate</t>
        </is>
      </c>
      <c r="DN447" s="53" t="inlineStr">
        <is>
          <t>B.Com</t>
        </is>
      </c>
      <c r="DO447" s="53" t="inlineStr">
        <is>
          <t>Shraddha Bagul</t>
        </is>
      </c>
      <c r="DP447" s="53" t="inlineStr">
        <is>
          <t>N-3</t>
        </is>
      </c>
      <c r="DQ447" s="53" t="inlineStr">
        <is>
          <t>Individual Contributor</t>
        </is>
      </c>
      <c r="DR447" s="53" t="inlineStr">
        <is>
          <t>0 years, 0 months, 0 days</t>
        </is>
      </c>
      <c r="DS447" s="53" t="inlineStr">
        <is>
          <t>0 years, 5 months, 29 days</t>
        </is>
      </c>
      <c r="DT447" s="53" t="inlineStr">
        <is>
          <t>0 years, 5 months, 29 days</t>
        </is>
      </c>
      <c r="DU447" s="53" t="n"/>
      <c r="DV447" s="53" t="inlineStr">
        <is>
          <t>Suptech</t>
        </is>
      </c>
      <c r="DW447" s="53" t="inlineStr">
        <is>
          <t>iFile</t>
        </is>
      </c>
      <c r="DX447" s="53" t="inlineStr">
        <is>
          <t>XBRL Consulting</t>
        </is>
      </c>
      <c r="DY447" s="53" t="inlineStr">
        <is>
          <t>Consulting</t>
        </is>
      </c>
      <c r="DZ447" s="53" t="inlineStr">
        <is>
          <t>No</t>
        </is>
      </c>
      <c r="EA447" s="53" t="inlineStr">
        <is>
          <t>Professional Services</t>
        </is>
      </c>
      <c r="EB447" s="53" t="inlineStr">
        <is>
          <t>XBRL Domain</t>
        </is>
      </c>
      <c r="EC447" s="53" t="inlineStr">
        <is>
          <t>Non-technical</t>
        </is>
      </c>
      <c r="ED447" s="53" t="inlineStr">
        <is>
          <t>Remote - Mumbai</t>
        </is>
      </c>
      <c r="EE447" s="53" t="n"/>
      <c r="EF447"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7" s="53" t="inlineStr">
        <is>
          <t>1. Complete Q1 IRIS Instant release-testing cycles at full coverage · defect leakage &lt;2%.
2. Meet Q1 conversion turnaround &amp; accuracy targets.
3. Resolve &gt;=90% of client support queries within SLA.</t>
        </is>
      </c>
      <c r="EH447" s="53" t="inlineStr">
        <is>
          <t>3 – Meets Expectations</t>
        </is>
      </c>
      <c r="EI447" s="53" t="n"/>
      <c r="EJ447" s="53" t="inlineStr">
        <is>
          <t>XBRL Conversion Specialist</t>
        </is>
      </c>
      <c r="EK447" s="53" t="inlineStr">
        <is>
          <t>No change</t>
        </is>
      </c>
      <c r="EL447" s="53" t="n">
        <v>3</v>
      </c>
      <c r="EM447" s="53" t="inlineStr">
        <is>
          <t>Low</t>
        </is>
      </c>
      <c r="EN447" s="53" t="inlineStr">
        <is>
          <t>Core Contributor</t>
        </is>
      </c>
      <c r="EO447" s="53" t="n"/>
      <c r="EP447" s="53" t="inlineStr">
        <is>
          <t>No</t>
        </is>
      </c>
      <c r="EQ447" s="53" t="n"/>
      <c r="ER447" s="53" t="inlineStr">
        <is>
          <t>To be identified</t>
        </is>
      </c>
      <c r="ES447" s="53" t="inlineStr">
        <is>
          <t>XBRL taxonomy &amp; regulatory updates; domain/accounting refreshers; quality &amp; accuracy practices; tooling proficiency</t>
        </is>
      </c>
      <c r="ET447" s="53" t="inlineStr">
        <is>
          <t>Transition to leadership: people management &amp; delegation, mentoring/coaching, project ownership &amp; stakeholder management, prioritisation under ambiguity, presentation &amp; influence skills</t>
        </is>
      </c>
      <c r="EU447" s="53" t="n"/>
      <c r="EV447" s="53" t="n"/>
      <c r="EW447" s="52" t="n"/>
      <c r="EX447" s="53" t="n"/>
      <c r="EY447" s="53" t="n"/>
      <c r="EZ447" s="53" t="n"/>
      <c r="FA447" s="53" t="n"/>
      <c r="FB447" s="53" t="n"/>
      <c r="FC447" s="53" t="n"/>
      <c r="FD447" s="53" t="n"/>
      <c r="FE447"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7" s="56" t="inlineStr">
        <is>
          <t>1. Complete Q1 IRIS Instant release-testing cycles at full coverage · defect leakage &lt;2%.
2. Meet Q1 conversion turnaround &amp; accuracy targets · &gt;=98%.
3. Resolve &gt;=90% of client support queries within SLA.</t>
        </is>
      </c>
      <c r="FG447" s="56" t="n"/>
      <c r="FH447" s="56" t="inlineStr">
        <is>
          <t>3 – Meets Expectations</t>
        </is>
      </c>
      <c r="FI447" s="56" t="n"/>
      <c r="FJ447" s="56" t="inlineStr">
        <is>
          <t>Received · manager annual, quarterly</t>
        </is>
      </c>
      <c r="FK447" s="56" t="inlineStr">
        <is>
          <t>Talent Mapping · iFile collated</t>
        </is>
      </c>
      <c r="FL447" s="56" t="n">
        <v>20</v>
      </c>
      <c r="FM447" s="32" t="inlineStr">
        <is>
          <t>Full survey answers not in the files received · How We Grow export needed · HR</t>
        </is>
      </c>
      <c r="FN447" s="56" t="inlineStr">
        <is>
          <t>—</t>
        </is>
      </c>
      <c r="FO447" s="56" t="inlineStr">
        <is>
          <t>—</t>
        </is>
      </c>
      <c r="FP447" s="56" t="inlineStr">
        <is>
          <t>—</t>
        </is>
      </c>
      <c r="FQ447" s="56" t="inlineStr">
        <is>
          <t>—</t>
        </is>
      </c>
      <c r="FR447" s="56"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handle → matches the start
Leadership: Evidence reads like A1: None described → matches the start
Business Impact: No survey or manager-mapping signal on criticality: kept at the start point.</t>
        </is>
      </c>
      <c r="FS447"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FT447" s="56" t="inlineStr">
        <is>
          <t>Self-identified: Data, SQL &amp; analytics · Strategy &amp; business acumen · Broader exposure &amp; ownership
For the next role: Data, SQL &amp; analytics · Strategy &amp; business acumen · Broader exposure &amp; ownership</t>
        </is>
      </c>
      <c r="FU447" s="32" t="inlineStr">
        <is>
          <t>Full survey answers not in the files received · How We Grow export needed · HR</t>
        </is>
      </c>
    </row>
    <row r="448" ht="90" customHeight="1">
      <c r="A448" s="51" t="inlineStr">
        <is>
          <t>◂ Back</t>
        </is>
      </c>
      <c r="B448" s="29" t="inlineStr">
        <is>
          <t>Mapped</t>
        </is>
      </c>
      <c r="C448" s="28" t="inlineStr">
        <is>
          <t>iFile</t>
        </is>
      </c>
      <c r="D448" s="29" t="inlineStr">
        <is>
          <t>IRISC342</t>
        </is>
      </c>
      <c r="E448" s="29" t="inlineStr">
        <is>
          <t>Prabhash Rajput</t>
        </is>
      </c>
      <c r="F448" s="29" t="inlineStr">
        <is>
          <t>XBRL Consulting</t>
        </is>
      </c>
      <c r="G448" s="29" t="inlineStr">
        <is>
          <t>Consultant</t>
        </is>
      </c>
      <c r="H448" s="29" t="inlineStr">
        <is>
          <t>Taxonomy Analyst</t>
        </is>
      </c>
      <c r="I448" s="29" t="inlineStr">
        <is>
          <t>L3 – Professional / Associate</t>
        </is>
      </c>
      <c r="J448" s="29" t="inlineStr">
        <is>
          <t>A2</t>
        </is>
      </c>
      <c r="K448" s="29" t="inlineStr">
        <is>
          <t>• Same level</t>
        </is>
      </c>
      <c r="L448" s="29" t="inlineStr">
        <is>
          <t>Consulting &amp; Professional Services</t>
        </is>
      </c>
      <c r="M448" s="29" t="inlineStr">
        <is>
          <t>Taxonomy Design &amp; Regulatory Consulting</t>
        </is>
      </c>
      <c r="N448" s="29" t="n"/>
      <c r="O448" s="29" t="n">
        <v>20</v>
      </c>
      <c r="P448" s="28" t="inlineStr">
        <is>
          <t>P1–P2</t>
        </is>
      </c>
      <c r="Q448" s="29" t="inlineStr">
        <is>
          <t>Entry / Developing</t>
        </is>
      </c>
      <c r="R448" s="29" t="inlineStr">
        <is>
          <t>2 Assist</t>
        </is>
      </c>
      <c r="S448" s="29" t="inlineStr">
        <is>
          <t>0–2 yrs</t>
        </is>
      </c>
      <c r="T448" s="29" t="inlineStr">
        <is>
          <t>1–3 · 0–3</t>
        </is>
      </c>
      <c r="U448" s="29" t="inlineStr">
        <is>
          <t>Analyst / Senior Analyst / Associate</t>
        </is>
      </c>
      <c r="V448" s="29" t="inlineStr">
        <is>
          <t>Toppan Merrill: XBRL Financial Analyst, Associate · DataTracks: Associate · Big Four: Analyst</t>
        </is>
      </c>
      <c r="W448" s="29" t="inlineStr">
        <is>
          <t>XBRL US GAAP Certificate · AICPA &amp; XBRL US; XBRL International specifications; IFRS / US GAAP / Ind AS</t>
        </is>
      </c>
      <c r="X448" s="29" t="inlineStr">
        <is>
          <t>Core 2 · Future 2 · Functional 2 · Leadership not scored</t>
        </is>
      </c>
      <c r="Y448" s="52" t="n">
        <v>451</v>
      </c>
      <c r="Z448" s="53" t="inlineStr">
        <is>
          <t>IRISC342</t>
        </is>
      </c>
      <c r="AA448" s="53" t="inlineStr">
        <is>
          <t>On Contract</t>
        </is>
      </c>
      <c r="AB448" s="53" t="inlineStr">
        <is>
          <t>Active</t>
        </is>
      </c>
      <c r="AC448" s="53" t="inlineStr">
        <is>
          <t>Prabhash Rajput</t>
        </is>
      </c>
      <c r="AD448" s="54" t="n">
        <v>46062</v>
      </c>
      <c r="AE448" s="53" t="inlineStr">
        <is>
          <t>Consultant</t>
        </is>
      </c>
      <c r="AF448" s="53" t="inlineStr">
        <is>
          <t>B.Com</t>
        </is>
      </c>
      <c r="AG448" s="53" t="inlineStr">
        <is>
          <t>Shraddha Bagul</t>
        </is>
      </c>
      <c r="AH448" s="53" t="inlineStr">
        <is>
          <t>N-3</t>
        </is>
      </c>
      <c r="AI448" s="53" t="inlineStr">
        <is>
          <t>Individual Contributor</t>
        </is>
      </c>
      <c r="AJ448" s="53" t="inlineStr">
        <is>
          <t>0 years, 6 months, 0 days</t>
        </is>
      </c>
      <c r="AK448" s="53" t="inlineStr">
        <is>
          <t>0 years, 6 months, 16 days</t>
        </is>
      </c>
      <c r="AL448" s="53" t="inlineStr">
        <is>
          <t>Suptech</t>
        </is>
      </c>
      <c r="AM448" s="53" t="inlineStr">
        <is>
          <t>iFile</t>
        </is>
      </c>
      <c r="AN448" s="53" t="inlineStr">
        <is>
          <t>XBRL Consulting</t>
        </is>
      </c>
      <c r="AO448" s="53" t="inlineStr">
        <is>
          <t>Consulting</t>
        </is>
      </c>
      <c r="AP448" s="53" t="inlineStr">
        <is>
          <t>No</t>
        </is>
      </c>
      <c r="AQ448" s="53" t="inlineStr">
        <is>
          <t>Professional Services</t>
        </is>
      </c>
      <c r="AR448" s="53" t="inlineStr">
        <is>
          <t>XBRL Domain</t>
        </is>
      </c>
      <c r="AS448" s="53" t="inlineStr">
        <is>
          <t>Non-technical</t>
        </is>
      </c>
      <c r="AT448" s="53" t="n">
        <v>20</v>
      </c>
      <c r="AU448" s="53" t="inlineStr">
        <is>
          <t>Covered</t>
        </is>
      </c>
      <c r="AV448" s="53" t="n"/>
      <c r="AW448" s="53" t="n"/>
      <c r="AX448" s="53" t="n"/>
      <c r="AY448" s="53" t="n"/>
      <c r="AZ448" s="53" t="n"/>
      <c r="BA448" s="53" t="n"/>
      <c r="BB448" s="53" t="n"/>
      <c r="BC448" s="53" t="n"/>
      <c r="BD448" s="53" t="n"/>
      <c r="BE448" s="53" t="n"/>
      <c r="BF448" s="53" t="n"/>
      <c r="BG448" s="53" t="n"/>
      <c r="BH448" s="53" t="n"/>
      <c r="BI448" s="53" t="n"/>
      <c r="BJ448" s="53" t="n"/>
      <c r="BK448" s="53" t="n"/>
      <c r="BL448" s="53" t="n"/>
      <c r="BM448" s="53" t="n"/>
      <c r="BN448" s="53" t="n"/>
      <c r="BO448" s="53" t="n"/>
      <c r="BP448" s="53" t="n"/>
      <c r="BQ448" s="53" t="n"/>
      <c r="BR448" s="53" t="n"/>
      <c r="BS448" s="53" t="n"/>
      <c r="BT448" s="53" t="n"/>
      <c r="BU448" s="53" t="n"/>
      <c r="BV448" s="53" t="n"/>
      <c r="BW448" s="53" t="n"/>
      <c r="BX448" s="53" t="n"/>
      <c r="BY448" s="53" t="n"/>
      <c r="BZ448" s="53" t="n"/>
      <c r="CA448" s="53" t="n"/>
      <c r="CB448" s="53" t="n"/>
      <c r="CC448" s="53" t="n"/>
      <c r="CD448" s="53" t="n"/>
      <c r="CE448" s="53" t="n"/>
      <c r="CF448" s="53" t="n"/>
      <c r="CG448" s="53" t="n"/>
      <c r="CH448" s="53" t="n"/>
      <c r="CI448" s="53" t="n"/>
      <c r="CJ448" s="53" t="n"/>
      <c r="CK448" s="53" t="n"/>
      <c r="CL448" s="53" t="n"/>
      <c r="CM448" s="53" t="n"/>
      <c r="CN448" s="53" t="n"/>
      <c r="CO448" s="53" t="n"/>
      <c r="CP448" s="53" t="n"/>
      <c r="CQ448" s="53" t="n"/>
      <c r="CR448" s="53" t="n"/>
      <c r="CS448" s="53" t="n"/>
      <c r="CT448" s="53" t="n"/>
      <c r="CU448" s="53" t="n"/>
      <c r="CV448" s="53" t="n"/>
      <c r="CW448" s="53" t="n"/>
      <c r="CX448" s="53" t="n"/>
      <c r="CY448" s="53" t="n"/>
      <c r="CZ448" s="53" t="n"/>
      <c r="DA448" s="53" t="n"/>
      <c r="DB448" s="53" t="n"/>
      <c r="DC448" s="53" t="n"/>
      <c r="DD448" s="53" t="inlineStr">
        <is>
          <t>IRISC342</t>
        </is>
      </c>
      <c r="DE448" s="53" t="inlineStr">
        <is>
          <t>On Contract</t>
        </is>
      </c>
      <c r="DF448" s="53" t="inlineStr">
        <is>
          <t>Active</t>
        </is>
      </c>
      <c r="DG448" s="53" t="inlineStr">
        <is>
          <t>Prabhash Rajput</t>
        </is>
      </c>
      <c r="DH448" s="54" t="n">
        <v>46062</v>
      </c>
      <c r="DI448" s="53" t="inlineStr">
        <is>
          <t>Consultant</t>
        </is>
      </c>
      <c r="DJ448" s="53" t="inlineStr">
        <is>
          <t>Consulting &amp; Professional Services</t>
        </is>
      </c>
      <c r="DK448" s="53" t="inlineStr">
        <is>
          <t>XBRL / Regulatory Reporting</t>
        </is>
      </c>
      <c r="DL448" s="53" t="inlineStr">
        <is>
          <t>Consultant</t>
        </is>
      </c>
      <c r="DM448" s="53" t="inlineStr">
        <is>
          <t>L3 – Professional / Associate</t>
        </is>
      </c>
      <c r="DN448" s="53" t="inlineStr">
        <is>
          <t>B.Com</t>
        </is>
      </c>
      <c r="DO448" s="53" t="inlineStr">
        <is>
          <t>Shraddha Bagul</t>
        </is>
      </c>
      <c r="DP448" s="53" t="inlineStr">
        <is>
          <t>N-3</t>
        </is>
      </c>
      <c r="DQ448" s="53" t="inlineStr">
        <is>
          <t>Individual Contributor</t>
        </is>
      </c>
      <c r="DR448" s="53" t="inlineStr">
        <is>
          <t>0 years, 6 months, 0 days</t>
        </is>
      </c>
      <c r="DS448" s="53" t="inlineStr">
        <is>
          <t>0 years, 4 months, 11 days</t>
        </is>
      </c>
      <c r="DT448" s="53" t="inlineStr">
        <is>
          <t>0 years, 10 months, 11 days</t>
        </is>
      </c>
      <c r="DU448" s="53" t="n"/>
      <c r="DV448" s="53" t="inlineStr">
        <is>
          <t>Suptech</t>
        </is>
      </c>
      <c r="DW448" s="53" t="inlineStr">
        <is>
          <t>iFile</t>
        </is>
      </c>
      <c r="DX448" s="53" t="inlineStr">
        <is>
          <t>XBRL Consulting</t>
        </is>
      </c>
      <c r="DY448" s="53" t="inlineStr">
        <is>
          <t>Consulting</t>
        </is>
      </c>
      <c r="DZ448" s="53" t="inlineStr">
        <is>
          <t>No</t>
        </is>
      </c>
      <c r="EA448" s="53" t="inlineStr">
        <is>
          <t>Professional Services</t>
        </is>
      </c>
      <c r="EB448" s="53" t="inlineStr">
        <is>
          <t>XBRL Domain</t>
        </is>
      </c>
      <c r="EC448" s="53" t="inlineStr">
        <is>
          <t>Non-technical</t>
        </is>
      </c>
      <c r="ED448" s="53" t="inlineStr">
        <is>
          <t>Remote - Mumbai</t>
        </is>
      </c>
      <c r="EE448" s="53" t="n"/>
      <c r="EF448"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8" s="53" t="inlineStr">
        <is>
          <t>1. Complete Q1 IRIS Instant release-testing cycles at full coverage · defect leakage &lt;2%.
2. Meet Q1 conversion turnaround &amp; accuracy targets.
3. Resolve &gt;=90% of client support queries within SLA.</t>
        </is>
      </c>
      <c r="EH448" s="53" t="inlineStr">
        <is>
          <t>3 – Meets Expectations</t>
        </is>
      </c>
      <c r="EI448" s="53" t="n"/>
      <c r="EJ448" s="53" t="inlineStr">
        <is>
          <t>XBRL Conversion Specialist</t>
        </is>
      </c>
      <c r="EK448" s="53" t="inlineStr">
        <is>
          <t>No change</t>
        </is>
      </c>
      <c r="EL448" s="53" t="n">
        <v>3</v>
      </c>
      <c r="EM448" s="53" t="inlineStr">
        <is>
          <t>Low</t>
        </is>
      </c>
      <c r="EN448" s="53" t="inlineStr">
        <is>
          <t>Core Contributor</t>
        </is>
      </c>
      <c r="EO448" s="53" t="n"/>
      <c r="EP448" s="53" t="inlineStr">
        <is>
          <t>No</t>
        </is>
      </c>
      <c r="EQ448" s="53" t="n"/>
      <c r="ER448" s="53" t="inlineStr">
        <is>
          <t>To be identified</t>
        </is>
      </c>
      <c r="ES448" s="53" t="inlineStr">
        <is>
          <t>XBRL taxonomy &amp; regulatory updates; domain/accounting refreshers; quality &amp; accuracy practices; tooling proficiency</t>
        </is>
      </c>
      <c r="ET448" s="53" t="inlineStr">
        <is>
          <t>Transition to leadership: people management &amp; delegation, mentoring/coaching, project ownership &amp; stakeholder management, prioritisation under ambiguity, presentation &amp; influence skills</t>
        </is>
      </c>
      <c r="EU448" s="53" t="n"/>
      <c r="EV448" s="53" t="n"/>
      <c r="EW448" s="52" t="n"/>
      <c r="EX448" s="53" t="n"/>
      <c r="EY448" s="53" t="n"/>
      <c r="EZ448" s="53" t="n"/>
      <c r="FA448" s="53" t="n"/>
      <c r="FB448" s="53" t="n"/>
      <c r="FC448" s="53" t="n"/>
      <c r="FD448" s="53" t="n"/>
      <c r="FE448"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8" s="56" t="inlineStr">
        <is>
          <t>1. Complete Q1 IRIS Instant release-testing cycles at full coverage · defect leakage &lt;2%.
2. Meet Q1 conversion turnaround &amp; accuracy targets · &gt;=98%.
3. Resolve &gt;=90% of client support queries within SLA.</t>
        </is>
      </c>
      <c r="FG448" s="56" t="n"/>
      <c r="FH448" s="56" t="inlineStr">
        <is>
          <t>3 – Meets Expectations</t>
        </is>
      </c>
      <c r="FI448" s="56" t="n"/>
      <c r="FJ448" s="56" t="inlineStr">
        <is>
          <t>Received · manager annual, quarterly</t>
        </is>
      </c>
      <c r="FK448" s="56" t="inlineStr">
        <is>
          <t>Talent Mapping · iFile collated</t>
        </is>
      </c>
      <c r="FL448" s="56" t="n">
        <v>20</v>
      </c>
      <c r="FM448" s="32" t="inlineStr">
        <is>
          <t>Full survey answers not in the files received · How We Grow export needed · HR</t>
        </is>
      </c>
      <c r="FN448" s="56" t="inlineStr">
        <is>
          <t>—</t>
        </is>
      </c>
      <c r="FO448" s="56" t="inlineStr">
        <is>
          <t>—</t>
        </is>
      </c>
      <c r="FP448" s="56" t="inlineStr">
        <is>
          <t>—</t>
        </is>
      </c>
      <c r="FQ448" s="56" t="inlineStr">
        <is>
          <t>—</t>
        </is>
      </c>
      <c r="FR448" s="56"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reports; errors mean rework → matches the start
Leadership: Evidence reads like A1: None described → matches the start
Business Impact: No survey or manager-mapping signal on criticality: kept at the start point.</t>
        </is>
      </c>
      <c r="FS448"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FT448" s="56" t="inlineStr">
        <is>
          <t>Self-identified: Domain, regulatory &amp; XBRL
For the next role: Domain, regulatory &amp; XBRL</t>
        </is>
      </c>
      <c r="FU448" s="32" t="inlineStr">
        <is>
          <t>Full survey answers not in the files received · How We Grow export needed · HR</t>
        </is>
      </c>
    </row>
    <row r="449" ht="90" customHeight="1">
      <c r="A449" s="51" t="inlineStr">
        <is>
          <t>◂ Back</t>
        </is>
      </c>
      <c r="B449" s="29" t="inlineStr">
        <is>
          <t>Mapped</t>
        </is>
      </c>
      <c r="C449" s="28" t="inlineStr">
        <is>
          <t>iFile</t>
        </is>
      </c>
      <c r="D449" s="29" t="inlineStr">
        <is>
          <t>IRISC317</t>
        </is>
      </c>
      <c r="E449" s="29" t="inlineStr">
        <is>
          <t>Prajakta Athalye</t>
        </is>
      </c>
      <c r="F449" s="29" t="inlineStr">
        <is>
          <t>XBRL Consulting</t>
        </is>
      </c>
      <c r="G449" s="29" t="inlineStr">
        <is>
          <t>XBRL Conversion Specialist</t>
        </is>
      </c>
      <c r="H449" s="29" t="inlineStr">
        <is>
          <t>Financial Analyst</t>
        </is>
      </c>
      <c r="I449" s="29" t="inlineStr">
        <is>
          <t>L3 – Professional / Associate</t>
        </is>
      </c>
      <c r="J449" s="29" t="inlineStr">
        <is>
          <t>A2</t>
        </is>
      </c>
      <c r="K449" s="29" t="inlineStr">
        <is>
          <t>• Same level</t>
        </is>
      </c>
      <c r="L449" s="29" t="inlineStr">
        <is>
          <t>Consulting &amp; Professional Services</t>
        </is>
      </c>
      <c r="M449" s="29" t="inlineStr">
        <is>
          <t>XBRL Tagging, Conversion &amp; Filing</t>
        </is>
      </c>
      <c r="N449" s="29" t="n"/>
      <c r="O449" s="29" t="n">
        <v>20</v>
      </c>
      <c r="P449" s="28" t="inlineStr">
        <is>
          <t>P1–P2</t>
        </is>
      </c>
      <c r="Q449" s="29" t="inlineStr">
        <is>
          <t>Entry / Developing</t>
        </is>
      </c>
      <c r="R449" s="29" t="inlineStr">
        <is>
          <t>2 Assist</t>
        </is>
      </c>
      <c r="S449" s="29" t="inlineStr">
        <is>
          <t>0–2 yrs</t>
        </is>
      </c>
      <c r="T449" s="29" t="inlineStr">
        <is>
          <t>1–3 · 0–3</t>
        </is>
      </c>
      <c r="U449" s="29" t="inlineStr">
        <is>
          <t>Analyst / Senior Analyst / Associate</t>
        </is>
      </c>
      <c r="V449" s="29" t="inlineStr">
        <is>
          <t>Toppan Merrill: XBRL Financial Analyst, Associate · DataTracks: Associate · Big Four: Analyst</t>
        </is>
      </c>
      <c r="W449" s="29" t="inlineStr">
        <is>
          <t>XBRL US GAAP Certificate · AICPA &amp; XBRL US; XBRL International specifications; IFRS / US GAAP / Ind AS</t>
        </is>
      </c>
      <c r="X449" s="29" t="inlineStr">
        <is>
          <t>Core 2 · Future 2 · Functional 2 · Leadership not scored</t>
        </is>
      </c>
      <c r="Y449" s="52" t="n">
        <v>410</v>
      </c>
      <c r="Z449" s="53" t="inlineStr">
        <is>
          <t>IRISC317</t>
        </is>
      </c>
      <c r="AA449" s="53" t="inlineStr">
        <is>
          <t>On Contract</t>
        </is>
      </c>
      <c r="AB449" s="53" t="inlineStr">
        <is>
          <t>Active</t>
        </is>
      </c>
      <c r="AC449" s="53" t="inlineStr">
        <is>
          <t>Prajakta Athalye</t>
        </is>
      </c>
      <c r="AD449" s="54" t="n">
        <v>45964</v>
      </c>
      <c r="AE449" s="53" t="inlineStr">
        <is>
          <t>XBRL Conversion Specialist</t>
        </is>
      </c>
      <c r="AF449" s="53" t="inlineStr">
        <is>
          <t>BBA</t>
        </is>
      </c>
      <c r="AG449" s="53" t="inlineStr">
        <is>
          <t>Shraddha Bagul</t>
        </is>
      </c>
      <c r="AH449" s="53" t="inlineStr">
        <is>
          <t>N-3</t>
        </is>
      </c>
      <c r="AI449" s="53" t="inlineStr">
        <is>
          <t>Individual Contributor</t>
        </is>
      </c>
      <c r="AJ449" s="53" t="inlineStr">
        <is>
          <t>0 years, 0 months, 0 days</t>
        </is>
      </c>
      <c r="AK449" s="53" t="inlineStr">
        <is>
          <t>0 years, 9 months, 22 days</t>
        </is>
      </c>
      <c r="AL449" s="53" t="inlineStr">
        <is>
          <t>Suptech</t>
        </is>
      </c>
      <c r="AM449" s="53" t="inlineStr">
        <is>
          <t>iFile</t>
        </is>
      </c>
      <c r="AN449" s="53" t="inlineStr">
        <is>
          <t>XBRL Consulting</t>
        </is>
      </c>
      <c r="AO449" s="53" t="inlineStr">
        <is>
          <t>Consulting</t>
        </is>
      </c>
      <c r="AP449" s="53" t="inlineStr">
        <is>
          <t>No</t>
        </is>
      </c>
      <c r="AQ449" s="53" t="inlineStr">
        <is>
          <t>Professional Services</t>
        </is>
      </c>
      <c r="AR449" s="53" t="inlineStr">
        <is>
          <t>XBRL Domain</t>
        </is>
      </c>
      <c r="AS449" s="53" t="inlineStr">
        <is>
          <t>Non-technical</t>
        </is>
      </c>
      <c r="AT449" s="53" t="n">
        <v>20</v>
      </c>
      <c r="AU449" s="53" t="inlineStr">
        <is>
          <t>Covered</t>
        </is>
      </c>
      <c r="AV449" s="53" t="n"/>
      <c r="AW449" s="53" t="n"/>
      <c r="AX449" s="53" t="n"/>
      <c r="AY449" s="53" t="n"/>
      <c r="AZ449" s="53" t="n"/>
      <c r="BA449" s="53" t="n"/>
      <c r="BB449" s="53" t="n"/>
      <c r="BC449" s="53" t="n"/>
      <c r="BD449" s="53" t="n"/>
      <c r="BE449" s="53" t="n"/>
      <c r="BF449" s="53" t="n"/>
      <c r="BG449" s="53" t="n"/>
      <c r="BH449" s="53" t="n"/>
      <c r="BI449" s="53" t="n"/>
      <c r="BJ449" s="53" t="n"/>
      <c r="BK449" s="53" t="n"/>
      <c r="BL449" s="53" t="n"/>
      <c r="BM449" s="53" t="n"/>
      <c r="BN449" s="53" t="n"/>
      <c r="BO449" s="53" t="n"/>
      <c r="BP449" s="53" t="n"/>
      <c r="BQ449" s="53" t="n"/>
      <c r="BR449" s="53" t="n"/>
      <c r="BS449" s="53" t="n"/>
      <c r="BT449" s="53" t="n"/>
      <c r="BU449" s="53" t="n"/>
      <c r="BV449" s="53" t="n"/>
      <c r="BW449" s="53" t="n"/>
      <c r="BX449" s="53" t="n"/>
      <c r="BY449" s="53" t="n"/>
      <c r="BZ449" s="53" t="n"/>
      <c r="CA449" s="53" t="n"/>
      <c r="CB449" s="53" t="n"/>
      <c r="CC449" s="53" t="n"/>
      <c r="CD449" s="53" t="n"/>
      <c r="CE449" s="53" t="n"/>
      <c r="CF449" s="53" t="n"/>
      <c r="CG449" s="53" t="n"/>
      <c r="CH449" s="53" t="n"/>
      <c r="CI449" s="53" t="n"/>
      <c r="CJ449" s="53" t="n"/>
      <c r="CK449" s="53" t="n"/>
      <c r="CL449" s="53" t="n"/>
      <c r="CM449" s="53" t="n"/>
      <c r="CN449" s="53" t="n"/>
      <c r="CO449" s="53" t="n"/>
      <c r="CP449" s="53" t="n"/>
      <c r="CQ449" s="53" t="n"/>
      <c r="CR449" s="53" t="n"/>
      <c r="CS449" s="53" t="n"/>
      <c r="CT449" s="53" t="n"/>
      <c r="CU449" s="53" t="n"/>
      <c r="CV449" s="53" t="n"/>
      <c r="CW449" s="53" t="n"/>
      <c r="CX449" s="53" t="n"/>
      <c r="CY449" s="53" t="n"/>
      <c r="CZ449" s="53" t="n"/>
      <c r="DA449" s="53" t="n"/>
      <c r="DB449" s="53" t="n"/>
      <c r="DC449" s="53" t="n"/>
      <c r="DD449" s="53" t="inlineStr">
        <is>
          <t>IRISC317</t>
        </is>
      </c>
      <c r="DE449" s="53" t="inlineStr">
        <is>
          <t>On Contract</t>
        </is>
      </c>
      <c r="DF449" s="53" t="inlineStr">
        <is>
          <t>Active</t>
        </is>
      </c>
      <c r="DG449" s="53" t="inlineStr">
        <is>
          <t>Prajakta Athalye</t>
        </is>
      </c>
      <c r="DH449" s="54" t="n">
        <v>45964</v>
      </c>
      <c r="DI449" s="53" t="inlineStr">
        <is>
          <t>XBRL Conversion Specialist</t>
        </is>
      </c>
      <c r="DJ449" s="53" t="inlineStr">
        <is>
          <t>Consulting &amp; Professional Services</t>
        </is>
      </c>
      <c r="DK449" s="53" t="inlineStr">
        <is>
          <t>XBRL / Regulatory Reporting</t>
        </is>
      </c>
      <c r="DL449" s="53" t="inlineStr">
        <is>
          <t>XBRL Conversion Specialist</t>
        </is>
      </c>
      <c r="DM449" s="53" t="inlineStr">
        <is>
          <t>L3 – Professional / Associate</t>
        </is>
      </c>
      <c r="DN449" s="53" t="inlineStr">
        <is>
          <t>BBA</t>
        </is>
      </c>
      <c r="DO449" s="53" t="inlineStr">
        <is>
          <t>Shraddha Bagul</t>
        </is>
      </c>
      <c r="DP449" s="53" t="inlineStr">
        <is>
          <t>N-3</t>
        </is>
      </c>
      <c r="DQ449" s="53" t="inlineStr">
        <is>
          <t>Individual Contributor</t>
        </is>
      </c>
      <c r="DR449" s="53" t="inlineStr">
        <is>
          <t>0 years, 0 months, 0 days</t>
        </is>
      </c>
      <c r="DS449" s="53" t="inlineStr">
        <is>
          <t>0 years, 7 months, 17 days</t>
        </is>
      </c>
      <c r="DT449" s="53" t="inlineStr">
        <is>
          <t>0 years, 7 months, 17 days</t>
        </is>
      </c>
      <c r="DU449" s="53" t="n"/>
      <c r="DV449" s="53" t="inlineStr">
        <is>
          <t>Suptech</t>
        </is>
      </c>
      <c r="DW449" s="53" t="inlineStr">
        <is>
          <t>iFile</t>
        </is>
      </c>
      <c r="DX449" s="53" t="inlineStr">
        <is>
          <t>XBRL Consulting</t>
        </is>
      </c>
      <c r="DY449" s="53" t="inlineStr">
        <is>
          <t>Consulting</t>
        </is>
      </c>
      <c r="DZ449" s="53" t="inlineStr">
        <is>
          <t>No</t>
        </is>
      </c>
      <c r="EA449" s="53" t="inlineStr">
        <is>
          <t>Professional Services</t>
        </is>
      </c>
      <c r="EB449" s="53" t="inlineStr">
        <is>
          <t>XBRL Domain</t>
        </is>
      </c>
      <c r="EC449" s="53" t="inlineStr">
        <is>
          <t>Non-technical</t>
        </is>
      </c>
      <c r="ED449" s="53" t="inlineStr">
        <is>
          <t>Work From Office - Turbhe</t>
        </is>
      </c>
      <c r="EE449" s="53" t="n"/>
      <c r="EF449"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9" s="53" t="inlineStr">
        <is>
          <t>1. Complete Q1 IRIS Instant release-testing cycles at full coverage · defect leakage &lt;2%.
2. Meet Q1 conversion turnaround &amp; accuracy targets.
3. Resolve &gt;=90% of client support queries within SLA.</t>
        </is>
      </c>
      <c r="EH449" s="53" t="inlineStr">
        <is>
          <t>3 – Meets Expectations</t>
        </is>
      </c>
      <c r="EI449" s="53" t="n"/>
      <c r="EJ449" s="53" t="inlineStr">
        <is>
          <t>XBRL Conversion Specialist</t>
        </is>
      </c>
      <c r="EK449" s="53" t="inlineStr">
        <is>
          <t>No change</t>
        </is>
      </c>
      <c r="EL449" s="53" t="n">
        <v>3</v>
      </c>
      <c r="EM449" s="53" t="inlineStr">
        <is>
          <t>Low</t>
        </is>
      </c>
      <c r="EN449" s="53" t="inlineStr">
        <is>
          <t>Core Contributor</t>
        </is>
      </c>
      <c r="EO449" s="53" t="n"/>
      <c r="EP449" s="53" t="inlineStr">
        <is>
          <t>No</t>
        </is>
      </c>
      <c r="EQ449" s="53" t="n"/>
      <c r="ER449" s="53" t="inlineStr">
        <is>
          <t>To be identified</t>
        </is>
      </c>
      <c r="ES449" s="53" t="inlineStr">
        <is>
          <t>XBRL taxonomy &amp; regulatory updates; domain/accounting refreshers; quality &amp; accuracy practices; tooling proficiency</t>
        </is>
      </c>
      <c r="ET449" s="53" t="inlineStr">
        <is>
          <t>Transition to leadership: people management &amp; delegation, mentoring/coaching, project ownership &amp; stakeholder management, prioritisation under ambiguity, presentation &amp; influence skills</t>
        </is>
      </c>
      <c r="EU449" s="53" t="n"/>
      <c r="EV449" s="53" t="n"/>
      <c r="EW449" s="52" t="n"/>
      <c r="EX449" s="53" t="n"/>
      <c r="EY449" s="53" t="n"/>
      <c r="EZ449" s="53" t="n"/>
      <c r="FA449" s="53" t="n"/>
      <c r="FB449" s="53" t="n"/>
      <c r="FC449" s="53" t="n"/>
      <c r="FD449" s="53" t="n"/>
      <c r="FE449"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9" s="56" t="inlineStr">
        <is>
          <t>1. Complete Q1 IRIS Instant release-testing cycles at full coverage · defect leakage &lt;2%.
2. Meet Q1 conversion turnaround &amp; accuracy targets · &gt;=98%.
3. Resolve &gt;=90% of client support queries within SLA.</t>
        </is>
      </c>
      <c r="FG449" s="56" t="n"/>
      <c r="FH449" s="56" t="inlineStr">
        <is>
          <t>3 – Meets Expectations</t>
        </is>
      </c>
      <c r="FI449" s="56" t="n"/>
      <c r="FJ449" s="56" t="inlineStr">
        <is>
          <t>Received · manager annual, quarterly</t>
        </is>
      </c>
      <c r="FK449" s="56" t="inlineStr">
        <is>
          <t>Talent Mapping · iFile collated</t>
        </is>
      </c>
      <c r="FL449" s="56" t="n">
        <v>20</v>
      </c>
      <c r="FM449" s="32" t="inlineStr">
        <is>
          <t>Full survey answers not in the files received · How We Grow export needed · HR</t>
        </is>
      </c>
      <c r="FN449" s="56" t="inlineStr">
        <is>
          <t>—</t>
        </is>
      </c>
      <c r="FO449" s="56" t="inlineStr">
        <is>
          <t>—</t>
        </is>
      </c>
      <c r="FP449" s="56" t="inlineStr">
        <is>
          <t>—</t>
        </is>
      </c>
      <c r="FQ449" s="56" t="inlineStr">
        <is>
          <t>—</t>
        </is>
      </c>
      <c r="FR449" s="56"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validation and final quality checks → matches the start
Leadership: Evidence reads like A1: None described → matches the start
Business Impact: No survey or manager-mapping signal on criticality: kept at the start point.</t>
        </is>
      </c>
      <c r="FS449"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49" s="56" t="inlineStr">
        <is>
          <t>Self-identified: AI / automation · Project / programme management · Domain, regulatory &amp; XBRL · Client, sales &amp; stakeholders · Broader exposure &amp; ownership
For the next role: AI / automation · Project / programme management · Domain, regulatory &amp; XBRL · Client, sales &amp; stakeholders · Broader exposure &amp; ownership</t>
        </is>
      </c>
      <c r="FU449" s="32" t="inlineStr">
        <is>
          <t>Full survey answers not in the files received · How We Grow export needed · HR</t>
        </is>
      </c>
    </row>
    <row r="450" ht="90" customHeight="1">
      <c r="A450" s="51" t="inlineStr">
        <is>
          <t>◂ Back</t>
        </is>
      </c>
      <c r="B450" s="29" t="inlineStr">
        <is>
          <t>Mapped</t>
        </is>
      </c>
      <c r="C450" s="28" t="inlineStr">
        <is>
          <t>iFile</t>
        </is>
      </c>
      <c r="D450" s="29" t="inlineStr">
        <is>
          <t>IRIS2549</t>
        </is>
      </c>
      <c r="E450" s="29" t="inlineStr">
        <is>
          <t>Rinku Pukharam Choudhary</t>
        </is>
      </c>
      <c r="F450" s="29" t="inlineStr">
        <is>
          <t>XBRL Consulting</t>
        </is>
      </c>
      <c r="G450" s="29" t="inlineStr">
        <is>
          <t>XBRL Conversion Specialist</t>
        </is>
      </c>
      <c r="H450" s="29" t="inlineStr">
        <is>
          <t>Financial Analyst</t>
        </is>
      </c>
      <c r="I450" s="29" t="inlineStr">
        <is>
          <t>L3 – Professional / Associate</t>
        </is>
      </c>
      <c r="J450" s="29" t="inlineStr">
        <is>
          <t>A2</t>
        </is>
      </c>
      <c r="K450" s="29" t="inlineStr">
        <is>
          <t>• Same level</t>
        </is>
      </c>
      <c r="L450" s="29" t="inlineStr">
        <is>
          <t>Consulting &amp; Professional Services</t>
        </is>
      </c>
      <c r="M450" s="29" t="inlineStr">
        <is>
          <t>XBRL Tagging, Conversion &amp; Filing</t>
        </is>
      </c>
      <c r="N450" s="29" t="n"/>
      <c r="O450" s="29" t="n">
        <v>20</v>
      </c>
      <c r="P450" s="28" t="inlineStr">
        <is>
          <t>P1–P2</t>
        </is>
      </c>
      <c r="Q450" s="29" t="inlineStr">
        <is>
          <t>Entry / Developing</t>
        </is>
      </c>
      <c r="R450" s="29" t="inlineStr">
        <is>
          <t>2 Assist</t>
        </is>
      </c>
      <c r="S450" s="29" t="inlineStr">
        <is>
          <t>0–2 yrs</t>
        </is>
      </c>
      <c r="T450" s="29" t="inlineStr">
        <is>
          <t>1–3 · 0–3</t>
        </is>
      </c>
      <c r="U450" s="29" t="inlineStr">
        <is>
          <t>Analyst / Senior Analyst / Associate</t>
        </is>
      </c>
      <c r="V450" s="29" t="inlineStr">
        <is>
          <t>Toppan Merrill: XBRL Financial Analyst, Associate · DataTracks: Associate · Big Four: Analyst</t>
        </is>
      </c>
      <c r="W450" s="29" t="inlineStr">
        <is>
          <t>XBRL US GAAP Certificate · AICPA &amp; XBRL US; XBRL International specifications; IFRS / US GAAP / Ind AS</t>
        </is>
      </c>
      <c r="X450" s="29" t="inlineStr">
        <is>
          <t>Core 2 · Future 2 · Functional 2 · Leadership not scored</t>
        </is>
      </c>
      <c r="Y450" s="52" t="n">
        <v>522</v>
      </c>
      <c r="Z450" s="53" t="inlineStr">
        <is>
          <t>IRIS2549</t>
        </is>
      </c>
      <c r="AA450" s="53" t="inlineStr">
        <is>
          <t>Employee</t>
        </is>
      </c>
      <c r="AB450" s="53" t="inlineStr">
        <is>
          <t>Active</t>
        </is>
      </c>
      <c r="AC450" s="53" t="inlineStr">
        <is>
          <t>Rinku Pukharam Choudhary</t>
        </is>
      </c>
      <c r="AD450" s="54" t="n">
        <v>46233</v>
      </c>
      <c r="AE450" s="53" t="inlineStr">
        <is>
          <t>XBRL Conversion Specialist</t>
        </is>
      </c>
      <c r="AF450" s="53" t="inlineStr">
        <is>
          <t>Bachelor of Accounting and Finance</t>
        </is>
      </c>
      <c r="AG450" s="53" t="inlineStr">
        <is>
          <t>Shraddha Bagul</t>
        </is>
      </c>
      <c r="AH450" s="53" t="inlineStr">
        <is>
          <t>N-3</t>
        </is>
      </c>
      <c r="AI450" s="53" t="inlineStr">
        <is>
          <t>Individual Contributor</t>
        </is>
      </c>
      <c r="AJ450" s="53" t="inlineStr">
        <is>
          <t>0 years, 0 months, 0 days</t>
        </is>
      </c>
      <c r="AK450" s="53" t="inlineStr">
        <is>
          <t>0 years, 0 months, 26 days</t>
        </is>
      </c>
      <c r="AL450" s="53" t="inlineStr">
        <is>
          <t>Suptech</t>
        </is>
      </c>
      <c r="AM450" s="53" t="inlineStr">
        <is>
          <t>iFile</t>
        </is>
      </c>
      <c r="AN450" s="53" t="inlineStr">
        <is>
          <t>XBRL Consulting</t>
        </is>
      </c>
      <c r="AO450" s="53" t="inlineStr">
        <is>
          <t>Consulting</t>
        </is>
      </c>
      <c r="AP450" s="53" t="inlineStr">
        <is>
          <t>No</t>
        </is>
      </c>
      <c r="AQ450" s="53" t="inlineStr">
        <is>
          <t>Professional Services</t>
        </is>
      </c>
      <c r="AR450" s="53" t="inlineStr">
        <is>
          <t>XBRL Domain</t>
        </is>
      </c>
      <c r="AS450" s="53" t="inlineStr">
        <is>
          <t>Non-technical</t>
        </is>
      </c>
      <c r="AT450" s="53" t="n">
        <v>20</v>
      </c>
      <c r="AU450" s="53" t="inlineStr">
        <is>
          <t>Covered</t>
        </is>
      </c>
      <c r="AV450" s="53" t="n"/>
      <c r="AW450" s="53" t="n"/>
      <c r="AX450" s="53" t="n"/>
      <c r="AY450" s="53" t="n"/>
      <c r="AZ450" s="53" t="n"/>
      <c r="BA450" s="53" t="n"/>
      <c r="BB450" s="53" t="n"/>
      <c r="BC450" s="53" t="n"/>
      <c r="BD450" s="53" t="n"/>
      <c r="BE450" s="53" t="n"/>
      <c r="BF450" s="53" t="n"/>
      <c r="BG450" s="53" t="n"/>
      <c r="BH450" s="53" t="n"/>
      <c r="BI450" s="53" t="n"/>
      <c r="BJ450" s="53" t="n"/>
      <c r="BK450" s="53" t="n"/>
      <c r="BL450" s="53" t="n"/>
      <c r="BM450" s="53" t="n"/>
      <c r="BN450" s="53" t="n"/>
      <c r="BO450" s="53" t="n"/>
      <c r="BP450" s="53" t="n"/>
      <c r="BQ450" s="53" t="n"/>
      <c r="BR450" s="53" t="n"/>
      <c r="BS450" s="53" t="n"/>
      <c r="BT450" s="53" t="n"/>
      <c r="BU450" s="53" t="n"/>
      <c r="BV450" s="53" t="n"/>
      <c r="BW450" s="53" t="n"/>
      <c r="BX450" s="53" t="n"/>
      <c r="BY450" s="53" t="n"/>
      <c r="BZ450" s="53" t="n"/>
      <c r="CA450" s="53" t="n"/>
      <c r="CB450" s="53" t="n"/>
      <c r="CC450" s="53" t="n"/>
      <c r="CD450" s="53" t="n"/>
      <c r="CE450" s="53" t="n"/>
      <c r="CF450" s="53" t="n"/>
      <c r="CG450" s="53" t="n"/>
      <c r="CH450" s="53" t="n"/>
      <c r="CI450" s="53" t="n"/>
      <c r="CJ450" s="53" t="n"/>
      <c r="CK450" s="53" t="n"/>
      <c r="CL450" s="53" t="n"/>
      <c r="CM450" s="53" t="n"/>
      <c r="CN450" s="53" t="n"/>
      <c r="CO450" s="53" t="n"/>
      <c r="CP450" s="53" t="n"/>
      <c r="CQ450" s="53" t="n"/>
      <c r="CR450" s="53" t="n"/>
      <c r="CS450" s="53" t="n"/>
      <c r="CT450" s="53" t="n"/>
      <c r="CU450" s="53" t="n"/>
      <c r="CV450" s="53" t="n"/>
      <c r="CW450" s="53" t="n"/>
      <c r="CX450" s="53" t="n"/>
      <c r="CY450" s="53" t="n"/>
      <c r="CZ450" s="53" t="n"/>
      <c r="DA450" s="53" t="n"/>
      <c r="DB450" s="53" t="n"/>
      <c r="DC450" s="53" t="n"/>
      <c r="DD450" s="53" t="inlineStr">
        <is>
          <t>IRISC314</t>
        </is>
      </c>
      <c r="DE450" s="53" t="inlineStr">
        <is>
          <t>On Contract</t>
        </is>
      </c>
      <c r="DF450" s="53" t="inlineStr">
        <is>
          <t>Active</t>
        </is>
      </c>
      <c r="DG450" s="53" t="inlineStr">
        <is>
          <t>Rinku Pukharam Choudhary</t>
        </is>
      </c>
      <c r="DH450" s="54" t="n">
        <v>45873</v>
      </c>
      <c r="DI450" s="53" t="inlineStr">
        <is>
          <t>XBRL Conversion Specialist</t>
        </is>
      </c>
      <c r="DJ450" s="53" t="inlineStr">
        <is>
          <t>Consulting &amp; Professional Services</t>
        </is>
      </c>
      <c r="DK450" s="53" t="inlineStr">
        <is>
          <t>XBRL / Regulatory Reporting</t>
        </is>
      </c>
      <c r="DL450" s="53" t="inlineStr">
        <is>
          <t>XBRL Conversion Specialist</t>
        </is>
      </c>
      <c r="DM450" s="53" t="inlineStr">
        <is>
          <t>L3 – Professional / Associate</t>
        </is>
      </c>
      <c r="DN450" s="53" t="inlineStr">
        <is>
          <t>Bachelor of Accounting and Finance</t>
        </is>
      </c>
      <c r="DO450" s="53" t="inlineStr">
        <is>
          <t>Shraddha Bagul</t>
        </is>
      </c>
      <c r="DP450" s="53" t="inlineStr">
        <is>
          <t>N-3</t>
        </is>
      </c>
      <c r="DQ450" s="53" t="inlineStr">
        <is>
          <t>Individual Contributor</t>
        </is>
      </c>
      <c r="DR450" s="53" t="inlineStr">
        <is>
          <t>0 years, 0 months, 0 days</t>
        </is>
      </c>
      <c r="DS450" s="53" t="inlineStr">
        <is>
          <t>0 years, 10 months, 16 days</t>
        </is>
      </c>
      <c r="DT450" s="53" t="inlineStr">
        <is>
          <t>0 years, 10 months, 16 days</t>
        </is>
      </c>
      <c r="DU450" s="53" t="n"/>
      <c r="DV450" s="53" t="inlineStr">
        <is>
          <t>Suptech</t>
        </is>
      </c>
      <c r="DW450" s="53" t="inlineStr">
        <is>
          <t>iFile</t>
        </is>
      </c>
      <c r="DX450" s="53" t="inlineStr">
        <is>
          <t>XBRL Consulting</t>
        </is>
      </c>
      <c r="DY450" s="53" t="inlineStr">
        <is>
          <t>Consulting</t>
        </is>
      </c>
      <c r="DZ450" s="53" t="inlineStr">
        <is>
          <t>No</t>
        </is>
      </c>
      <c r="EA450" s="53" t="inlineStr">
        <is>
          <t>Professional Services</t>
        </is>
      </c>
      <c r="EB450" s="53" t="inlineStr">
        <is>
          <t>XBRL Domain</t>
        </is>
      </c>
      <c r="EC450" s="53" t="inlineStr">
        <is>
          <t>Non-technical</t>
        </is>
      </c>
      <c r="ED450" s="53" t="inlineStr">
        <is>
          <t>Work From Office - Turbhe</t>
        </is>
      </c>
      <c r="EE450" s="53" t="n"/>
      <c r="EF450"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50" s="53" t="inlineStr">
        <is>
          <t>1. Complete Q1 IRIS Instant release-testing cycles at full coverage · defect leakage &lt;2%.
2. Meet Q1 conversion turnaround &amp; accuracy targets.
3. Resolve &gt;=90% of client support queries within SLA.</t>
        </is>
      </c>
      <c r="EH450" s="53" t="inlineStr">
        <is>
          <t>3 – Meets Expectations</t>
        </is>
      </c>
      <c r="EI450" s="53" t="n"/>
      <c r="EJ450" s="53" t="inlineStr">
        <is>
          <t>XBRL Conversion Specialist</t>
        </is>
      </c>
      <c r="EK450" s="53" t="inlineStr">
        <is>
          <t>No change</t>
        </is>
      </c>
      <c r="EL450" s="53" t="n">
        <v>3</v>
      </c>
      <c r="EM450" s="53" t="inlineStr">
        <is>
          <t>Medium</t>
        </is>
      </c>
      <c r="EN450" s="53" t="inlineStr">
        <is>
          <t>Core Contributor</t>
        </is>
      </c>
      <c r="EO450" s="53" t="n"/>
      <c r="EP450" s="53" t="inlineStr">
        <is>
          <t>No</t>
        </is>
      </c>
      <c r="EQ450" s="53" t="n"/>
      <c r="ER450" s="53" t="inlineStr">
        <is>
          <t>To be identified</t>
        </is>
      </c>
      <c r="ES450" s="53" t="inlineStr">
        <is>
          <t>XBRL taxonomy &amp; regulatory updates; domain/accounting refreshers; quality &amp; accuracy practices; tooling proficiency</t>
        </is>
      </c>
      <c r="ET450" s="53" t="inlineStr">
        <is>
          <t>Transition to leadership: people management &amp; delegation, mentoring/coaching, project ownership &amp; stakeholder management, prioritisation under ambiguity, presentation &amp; influence skills</t>
        </is>
      </c>
      <c r="EU450" s="53" t="n"/>
      <c r="EV450" s="53" t="n"/>
      <c r="EW450" s="52" t="n"/>
      <c r="EX450" s="53" t="n"/>
      <c r="EY450" s="53" t="n"/>
      <c r="EZ450" s="53" t="n"/>
      <c r="FA450" s="53" t="n"/>
      <c r="FB450" s="53" t="n"/>
      <c r="FC450" s="53" t="n"/>
      <c r="FD450" s="53" t="inlineStr">
        <is>
          <t>IRISC314</t>
        </is>
      </c>
      <c r="FE450"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50" s="56" t="inlineStr">
        <is>
          <t>1. Complete Q1 IRIS Instant release-testing cycles at full coverage · defect leakage &lt;2%.
2. Meet Q1 conversion turnaround &amp; accuracy targets · &gt;=98%.
3. Resolve &gt;=90% of client support queries within SLA.</t>
        </is>
      </c>
      <c r="FG450" s="56" t="n"/>
      <c r="FH450" s="56" t="inlineStr">
        <is>
          <t>3 – Meets Expectations</t>
        </is>
      </c>
      <c r="FI450" s="56" t="n"/>
      <c r="FJ450" s="56" t="inlineStr">
        <is>
          <t>Received · manager annual, quarterly</t>
        </is>
      </c>
      <c r="FK450" s="56" t="inlineStr">
        <is>
          <t>Talent Mapping · iFile collated</t>
        </is>
      </c>
      <c r="FL450" s="56" t="n">
        <v>20</v>
      </c>
      <c r="FM450" s="32" t="inlineStr">
        <is>
          <t>Full survey answers not in the files received · How We Grow export needed · HR</t>
        </is>
      </c>
      <c r="FN450" s="56" t="inlineStr">
        <is>
          <t>—</t>
        </is>
      </c>
      <c r="FO450" s="56" t="inlineStr">
        <is>
          <t>—</t>
        </is>
      </c>
      <c r="FP450" s="56" t="inlineStr">
        <is>
          <t>—</t>
        </is>
      </c>
      <c r="FQ450" s="56" t="inlineStr">
        <is>
          <t>—</t>
        </is>
      </c>
      <c r="FR450" s="56"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client → matches the start
Leadership: Evidence reads like A1: None described → matches the start
Business Impact: No survey or manager-mapping signal on criticality: kept at the start point.</t>
        </is>
      </c>
      <c r="FS450"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50" s="56" t="inlineStr">
        <is>
          <t>Self-identified: Technical depth &amp; architecture · Data, SQL &amp; analytics
For the next role: Technical depth &amp; architecture · Data, SQL &amp; analytics</t>
        </is>
      </c>
      <c r="FU450" s="32" t="inlineStr">
        <is>
          <t>Full survey answers not in the files received · How We Grow export needed · HR</t>
        </is>
      </c>
    </row>
    <row r="451" ht="90" customHeight="1">
      <c r="A451" s="51" t="inlineStr">
        <is>
          <t>◂ Back</t>
        </is>
      </c>
      <c r="B451" s="29" t="inlineStr">
        <is>
          <t>Mapped</t>
        </is>
      </c>
      <c r="C451" s="28" t="inlineStr">
        <is>
          <t>iFile</t>
        </is>
      </c>
      <c r="D451" s="29" t="inlineStr">
        <is>
          <t>IRIS1618</t>
        </is>
      </c>
      <c r="E451" s="29" t="inlineStr">
        <is>
          <t>Sujeet Rathod</t>
        </is>
      </c>
      <c r="F451" s="29" t="inlineStr">
        <is>
          <t>XBRL Consulting</t>
        </is>
      </c>
      <c r="G451" s="29" t="inlineStr">
        <is>
          <t>Lead Consultant</t>
        </is>
      </c>
      <c r="H451" s="29" t="inlineStr">
        <is>
          <t>Manager – Taxonomy Consulting</t>
        </is>
      </c>
      <c r="I451" s="29" t="inlineStr">
        <is>
          <t>L5 – Lead · IC</t>
        </is>
      </c>
      <c r="J451" s="29" t="inlineStr">
        <is>
          <t>B2</t>
        </is>
      </c>
      <c r="K451" s="29" t="inlineStr">
        <is>
          <t>▼ Down · protected</t>
        </is>
      </c>
      <c r="L451" s="29" t="inlineStr">
        <is>
          <t>Consulting &amp; Professional Services</t>
        </is>
      </c>
      <c r="M451" s="29" t="inlineStr">
        <is>
          <t>Taxonomy Design &amp; Regulatory Consulting</t>
        </is>
      </c>
      <c r="N451" s="29" t="n"/>
      <c r="O451" s="29" t="n">
        <v>20</v>
      </c>
      <c r="P451" s="28" t="inlineStr">
        <is>
          <t>P4 / M3</t>
        </is>
      </c>
      <c r="Q451" s="29" t="inlineStr">
        <is>
          <t>Senior / Manager</t>
        </is>
      </c>
      <c r="R451" s="29" t="inlineStr">
        <is>
          <t>4–5</t>
        </is>
      </c>
      <c r="S451" s="29" t="inlineStr">
        <is>
          <t>6–9 yrs</t>
        </is>
      </c>
      <c r="T451" s="29" t="inlineStr">
        <is>
          <t>7–10 · 6–11</t>
        </is>
      </c>
      <c r="U451" s="29" t="inlineStr">
        <is>
          <t>Manager</t>
        </is>
      </c>
      <c r="V451" s="29" t="inlineStr">
        <is>
          <t>Big Four: Manager · IRIS Vs Market Benchmark — XBRL US credential pathway: Certificate + review authority</t>
        </is>
      </c>
      <c r="W451" s="29" t="inlineStr">
        <is>
          <t>XBRL US GAAP Certificate · AICPA &amp; XBRL US; XBRL International specifications; IFRS / US GAAP / Ind AS</t>
        </is>
      </c>
      <c r="X451" s="29" t="inlineStr">
        <is>
          <t>Core 3 · Future 3 · Functional 4 · Leadership 3</t>
        </is>
      </c>
      <c r="Y451" s="52" t="n">
        <v>132</v>
      </c>
      <c r="Z451" s="53" t="inlineStr">
        <is>
          <t>IRIS1618</t>
        </is>
      </c>
      <c r="AA451" s="53" t="inlineStr">
        <is>
          <t>Employee</t>
        </is>
      </c>
      <c r="AB451" s="53" t="inlineStr">
        <is>
          <t>Active</t>
        </is>
      </c>
      <c r="AC451" s="53" t="inlineStr">
        <is>
          <t>Sujeet Rathod</t>
        </is>
      </c>
      <c r="AD451" s="54" t="n">
        <v>42779</v>
      </c>
      <c r="AE451" s="53" t="inlineStr">
        <is>
          <t>Lead Consultant</t>
        </is>
      </c>
      <c r="AF451" s="53" t="inlineStr">
        <is>
          <t>ICWA</t>
        </is>
      </c>
      <c r="AG451" s="53" t="inlineStr">
        <is>
          <t>Rahul Dhamne</t>
        </is>
      </c>
      <c r="AH451" s="53" t="inlineStr">
        <is>
          <t>N-2</t>
        </is>
      </c>
      <c r="AI451" s="53" t="inlineStr">
        <is>
          <t>manager</t>
        </is>
      </c>
      <c r="AJ451" s="53" t="inlineStr">
        <is>
          <t>5 years, 0 months, 0 days</t>
        </is>
      </c>
      <c r="AK451" s="53" t="inlineStr">
        <is>
          <t>9 years, 6 months, 12 days</t>
        </is>
      </c>
      <c r="AL451" s="53" t="inlineStr">
        <is>
          <t>Suptech</t>
        </is>
      </c>
      <c r="AM451" s="53" t="inlineStr">
        <is>
          <t>iFile</t>
        </is>
      </c>
      <c r="AN451" s="53" t="inlineStr">
        <is>
          <t>XBRL Consulting</t>
        </is>
      </c>
      <c r="AO451" s="53" t="inlineStr">
        <is>
          <t>Consulting</t>
        </is>
      </c>
      <c r="AP451" s="53" t="inlineStr">
        <is>
          <t>No</t>
        </is>
      </c>
      <c r="AQ451" s="53" t="inlineStr">
        <is>
          <t>Professional Services</t>
        </is>
      </c>
      <c r="AR451" s="53" t="inlineStr">
        <is>
          <t>XBRL Domain</t>
        </is>
      </c>
      <c r="AS451" s="53" t="inlineStr">
        <is>
          <t>Non-technical</t>
        </is>
      </c>
      <c r="AT451" s="53" t="n">
        <v>20</v>
      </c>
      <c r="AU451" s="53" t="inlineStr">
        <is>
          <t>Covered</t>
        </is>
      </c>
      <c r="AV451" s="53" t="n"/>
      <c r="AW451" s="53" t="n"/>
      <c r="AX451" s="53" t="n"/>
      <c r="AY451" s="53" t="n"/>
      <c r="AZ451" s="53" t="n"/>
      <c r="BA451" s="53" t="n"/>
      <c r="BB451" s="53" t="n"/>
      <c r="BC451" s="53" t="n"/>
      <c r="BD451" s="53" t="n"/>
      <c r="BE451" s="53" t="n"/>
      <c r="BF451" s="53" t="n"/>
      <c r="BG451" s="53" t="n"/>
      <c r="BH451" s="53" t="n"/>
      <c r="BI451" s="53" t="n"/>
      <c r="BJ451" s="53" t="n"/>
      <c r="BK451" s="53" t="n"/>
      <c r="BL451" s="53" t="n"/>
      <c r="BM451" s="53" t="n"/>
      <c r="BN451" s="53" t="n"/>
      <c r="BO451" s="53" t="n"/>
      <c r="BP451" s="53" t="n"/>
      <c r="BQ451" s="53" t="n"/>
      <c r="BR451" s="53" t="n"/>
      <c r="BS451" s="53" t="n"/>
      <c r="BT451" s="53" t="n"/>
      <c r="BU451" s="53" t="n"/>
      <c r="BV451" s="53" t="n"/>
      <c r="BW451" s="53" t="n"/>
      <c r="BX451" s="53" t="n"/>
      <c r="BY451" s="53" t="n"/>
      <c r="BZ451" s="53" t="n"/>
      <c r="CA451" s="53" t="n"/>
      <c r="CB451" s="53" t="n"/>
      <c r="CC451" s="53" t="n"/>
      <c r="CD451" s="53" t="n"/>
      <c r="CE451" s="53" t="n"/>
      <c r="CF451" s="53" t="n"/>
      <c r="CG451" s="53" t="n"/>
      <c r="CH451" s="53" t="n"/>
      <c r="CI451" s="53" t="n"/>
      <c r="CJ451" s="53" t="n"/>
      <c r="CK451" s="53" t="n"/>
      <c r="CL451" s="53" t="n"/>
      <c r="CM451" s="53" t="n"/>
      <c r="CN451" s="53" t="n"/>
      <c r="CO451" s="53" t="n"/>
      <c r="CP451" s="53" t="n"/>
      <c r="CQ451" s="53" t="n"/>
      <c r="CR451" s="53" t="n"/>
      <c r="CS451" s="53" t="n"/>
      <c r="CT451" s="53" t="n"/>
      <c r="CU451" s="53" t="n"/>
      <c r="CV451" s="53" t="n"/>
      <c r="CW451" s="53" t="n"/>
      <c r="CX451" s="53" t="n"/>
      <c r="CY451" s="53" t="n"/>
      <c r="CZ451" s="53" t="n"/>
      <c r="DA451" s="53" t="n"/>
      <c r="DB451" s="53" t="n"/>
      <c r="DC451" s="53" t="n"/>
      <c r="DD451" s="53" t="inlineStr">
        <is>
          <t>IRIS1618</t>
        </is>
      </c>
      <c r="DE451" s="53" t="inlineStr">
        <is>
          <t>Employee</t>
        </is>
      </c>
      <c r="DF451" s="53" t="inlineStr">
        <is>
          <t>Active</t>
        </is>
      </c>
      <c r="DG451" s="53" t="inlineStr">
        <is>
          <t>Sujeet Rathod</t>
        </is>
      </c>
      <c r="DH451" s="54" t="n">
        <v>42779</v>
      </c>
      <c r="DI451" s="53" t="inlineStr">
        <is>
          <t>Lead Consultant</t>
        </is>
      </c>
      <c r="DJ451" s="53" t="inlineStr">
        <is>
          <t>Consulting &amp; Professional Services</t>
        </is>
      </c>
      <c r="DK451" s="53" t="inlineStr">
        <is>
          <t>XBRL / Regulatory Reporting</t>
        </is>
      </c>
      <c r="DL451" s="53" t="inlineStr">
        <is>
          <t>Lead Consultant</t>
        </is>
      </c>
      <c r="DM451" s="53" t="inlineStr">
        <is>
          <t>L5 – Lead · IC</t>
        </is>
      </c>
      <c r="DN451" s="53" t="inlineStr">
        <is>
          <t>ICWA</t>
        </is>
      </c>
      <c r="DO451" s="53" t="inlineStr">
        <is>
          <t>Rahul Dhamne</t>
        </is>
      </c>
      <c r="DP451" s="53" t="inlineStr">
        <is>
          <t>N-2</t>
        </is>
      </c>
      <c r="DQ451" s="53" t="inlineStr">
        <is>
          <t>manager</t>
        </is>
      </c>
      <c r="DR451" s="53" t="inlineStr">
        <is>
          <t>5 years, 0 months, 0 days</t>
        </is>
      </c>
      <c r="DS451" s="53" t="inlineStr">
        <is>
          <t>9 years, 4 months, 7 days</t>
        </is>
      </c>
      <c r="DT451" s="53" t="inlineStr">
        <is>
          <t>14 years, 4 months, 7 days</t>
        </is>
      </c>
      <c r="DU451" s="53" t="n">
        <v>9.35251141552512</v>
      </c>
      <c r="DV451" s="53" t="inlineStr">
        <is>
          <t>Suptech</t>
        </is>
      </c>
      <c r="DW451" s="53" t="inlineStr">
        <is>
          <t>iFile</t>
        </is>
      </c>
      <c r="DX451" s="53" t="inlineStr">
        <is>
          <t>XBRL Consulting</t>
        </is>
      </c>
      <c r="DY451" s="53" t="inlineStr">
        <is>
          <t>Consulting</t>
        </is>
      </c>
      <c r="DZ451" s="53" t="inlineStr">
        <is>
          <t>No</t>
        </is>
      </c>
      <c r="EA451" s="53" t="inlineStr">
        <is>
          <t>Professional Services</t>
        </is>
      </c>
      <c r="EB451" s="53" t="inlineStr">
        <is>
          <t>XBRL Domain</t>
        </is>
      </c>
      <c r="EC451" s="53" t="inlineStr">
        <is>
          <t>Non-technical</t>
        </is>
      </c>
      <c r="ED451" s="53" t="inlineStr">
        <is>
          <t>Work From Office - Turbhe</t>
        </is>
      </c>
      <c r="EE451" s="53" t="n"/>
      <c r="EF451"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1"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1" s="53" t="inlineStr">
        <is>
          <t>5 – Outstanding</t>
        </is>
      </c>
      <c r="EI451" s="53" t="inlineStr">
        <is>
          <t>Last appraisal in Oct 2025</t>
        </is>
      </c>
      <c r="EJ451" s="53" t="inlineStr">
        <is>
          <t>Lead Consultant</t>
        </is>
      </c>
      <c r="EK451" s="53" t="inlineStr">
        <is>
          <t>No change</t>
        </is>
      </c>
      <c r="EL451" s="53" t="n">
        <v>5</v>
      </c>
      <c r="EM451" s="53" t="inlineStr">
        <is>
          <t>High</t>
        </is>
      </c>
      <c r="EN451" s="53" t="inlineStr">
        <is>
          <t>Future Leader</t>
        </is>
      </c>
      <c r="EO451" s="53" t="n"/>
      <c r="EP451" s="53" t="inlineStr">
        <is>
          <t>yes</t>
        </is>
      </c>
      <c r="EQ451" s="53" t="n"/>
      <c r="ER451" s="53" t="inlineStr">
        <is>
          <t>To be identified</t>
        </is>
      </c>
      <c r="ES451" s="53" t="inlineStr">
        <is>
          <t>XBRL taxonomy &amp; regulatory updates; domain/accounting refreshers; quality &amp; accuracy practices; tooling proficiency | People management: goal-setting &amp; feedback, 1:1 coaching, performance conversations</t>
        </is>
      </c>
      <c r="ET451" s="53" t="inlineStr">
        <is>
          <t>Leadership development: strategic thinking, cross-functional influence, financial/business acumen, succession &amp; talent development, change management, executive communication</t>
        </is>
      </c>
      <c r="EU451" s="53" t="inlineStr">
        <is>
          <t>QFCRA</t>
        </is>
      </c>
      <c r="EV451" s="53" t="n"/>
      <c r="EW451" s="52" t="n"/>
      <c r="EX451" s="53" t="n"/>
      <c r="EY451" s="53" t="n"/>
      <c r="EZ451" s="53" t="n"/>
      <c r="FA451" s="53" t="n"/>
      <c r="FB451" s="53" t="n"/>
      <c r="FC451" s="53" t="n"/>
      <c r="FD451" s="53" t="n"/>
      <c r="FE451"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1"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1" s="56" t="n"/>
      <c r="FH451" s="56" t="inlineStr">
        <is>
          <t>5 – Outstanding</t>
        </is>
      </c>
      <c r="FI451" s="56" t="n"/>
      <c r="FJ451" s="56" t="inlineStr">
        <is>
          <t>Received · manager annual, quarterly</t>
        </is>
      </c>
      <c r="FK451" s="56" t="inlineStr">
        <is>
          <t>Talent Mapping · iFile collated</t>
        </is>
      </c>
      <c r="FL451" s="56" t="n">
        <v>20</v>
      </c>
      <c r="FM451" s="32" t="inlineStr">
        <is>
          <t>Full survey answers not in the files received · How We Grow export needed · HR</t>
        </is>
      </c>
      <c r="FN451" s="56" t="inlineStr">
        <is>
          <t>—</t>
        </is>
      </c>
      <c r="FO451" s="56" t="inlineStr">
        <is>
          <t>—</t>
        </is>
      </c>
      <c r="FP451" s="56" t="inlineStr">
        <is>
          <t>—</t>
        </is>
      </c>
      <c r="FQ451" s="56" t="inlineStr">
        <is>
          <t>—</t>
        </is>
      </c>
      <c r="FR451" s="56"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accuracy with a 5-person team; handles client escalations → moved down 0.5
Leadership: Evidence reads like B1: Team management listed; 5 direct reports → matches the start</t>
        </is>
      </c>
      <c r="FS451"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FT451" s="56" t="inlineStr">
        <is>
          <t>Self-identified: Answered · no common topic
For the next role: Answered · no common topic</t>
        </is>
      </c>
      <c r="FU451" s="32" t="inlineStr">
        <is>
          <t>Full survey answers not in the files received · How We Grow export needed · HR</t>
        </is>
      </c>
    </row>
    <row r="452" ht="90" customHeight="1">
      <c r="A452" s="51" t="inlineStr">
        <is>
          <t>◂ Back</t>
        </is>
      </c>
      <c r="B452" s="29" t="inlineStr">
        <is>
          <t>Mapped</t>
        </is>
      </c>
      <c r="C452" s="28" t="inlineStr">
        <is>
          <t>iFile</t>
        </is>
      </c>
      <c r="D452" s="29" t="inlineStr">
        <is>
          <t>IRIS0050</t>
        </is>
      </c>
      <c r="E452" s="29" t="inlineStr">
        <is>
          <t>Prashant Ramakant Wagh</t>
        </is>
      </c>
      <c r="F452" s="29" t="inlineStr">
        <is>
          <t>XBRL Consulting</t>
        </is>
      </c>
      <c r="G452" s="29" t="inlineStr">
        <is>
          <t>Consultant</t>
        </is>
      </c>
      <c r="H452" s="29" t="inlineStr">
        <is>
          <t>Taxonomy Specialist</t>
        </is>
      </c>
      <c r="I452" s="29" t="inlineStr">
        <is>
          <t>L3 – Professional / Associate</t>
        </is>
      </c>
      <c r="J452" s="29" t="inlineStr">
        <is>
          <t>B1</t>
        </is>
      </c>
      <c r="K452" s="29" t="inlineStr">
        <is>
          <t>▲ Up</t>
        </is>
      </c>
      <c r="L452" s="29" t="inlineStr">
        <is>
          <t>Consulting &amp; Professional Services</t>
        </is>
      </c>
      <c r="M452" s="29" t="inlineStr">
        <is>
          <t>Taxonomy Design &amp; Regulatory Consulting</t>
        </is>
      </c>
      <c r="N452" s="29" t="n"/>
      <c r="O452" s="29" t="n">
        <v>20</v>
      </c>
      <c r="P452" s="28" t="inlineStr">
        <is>
          <t>P3 / M2</t>
        </is>
      </c>
      <c r="Q452" s="29" t="inlineStr">
        <is>
          <t>Career / · Team Lead</t>
        </is>
      </c>
      <c r="R452" s="29" t="inlineStr">
        <is>
          <t>4 Enable</t>
        </is>
      </c>
      <c r="S452" s="29" t="inlineStr">
        <is>
          <t>4–7 yrs</t>
        </is>
      </c>
      <c r="T452" s="29" t="inlineStr">
        <is>
          <t>5–8 · 4–8</t>
        </is>
      </c>
      <c r="U452" s="29" t="inlineStr">
        <is>
          <t>Consultant / Senior Associate</t>
        </is>
      </c>
      <c r="V452" s="29" t="inlineStr">
        <is>
          <t>Big Four: Senior Consultant · IRIS Vs Market Benchmark — XBRL US credential pathway: Certificate + specialist taxonomy</t>
        </is>
      </c>
      <c r="W452" s="29" t="inlineStr">
        <is>
          <t>XBRL US GAAP Certificate · AICPA &amp; XBRL US; XBRL International specifications; IFRS / US GAAP / Ind AS</t>
        </is>
      </c>
      <c r="X452" s="29" t="inlineStr">
        <is>
          <t>Core 3 · Future 3 · Functional 3 · Leadership 1</t>
        </is>
      </c>
      <c r="Y452" s="52" t="n">
        <v>18</v>
      </c>
      <c r="Z452" s="53" t="inlineStr">
        <is>
          <t>IRIS0050</t>
        </is>
      </c>
      <c r="AA452" s="53" t="inlineStr">
        <is>
          <t>Employee</t>
        </is>
      </c>
      <c r="AB452" s="53" t="inlineStr">
        <is>
          <t>Active</t>
        </is>
      </c>
      <c r="AC452" s="53" t="inlineStr">
        <is>
          <t>Prashant Ramakant Wagh</t>
        </is>
      </c>
      <c r="AD452" s="54" t="n">
        <v>39002</v>
      </c>
      <c r="AE452" s="53" t="inlineStr">
        <is>
          <t>Consultant</t>
        </is>
      </c>
      <c r="AF452" s="53" t="inlineStr">
        <is>
          <t>B.Com</t>
        </is>
      </c>
      <c r="AG452" s="53" t="inlineStr">
        <is>
          <t>Sujeet Rathod</t>
        </is>
      </c>
      <c r="AH452" s="53" t="inlineStr">
        <is>
          <t>N-3</t>
        </is>
      </c>
      <c r="AI452" s="53" t="inlineStr">
        <is>
          <t>Individual Contributor</t>
        </is>
      </c>
      <c r="AJ452" s="53" t="inlineStr">
        <is>
          <t>0 years, 5 months, 0 days</t>
        </is>
      </c>
      <c r="AK452" s="53" t="inlineStr">
        <is>
          <t>19 years, 10 months, 13 days</t>
        </is>
      </c>
      <c r="AL452" s="53" t="inlineStr">
        <is>
          <t>Suptech</t>
        </is>
      </c>
      <c r="AM452" s="53" t="inlineStr">
        <is>
          <t>iFile</t>
        </is>
      </c>
      <c r="AN452" s="53" t="inlineStr">
        <is>
          <t>XBRL Consulting</t>
        </is>
      </c>
      <c r="AO452" s="53" t="inlineStr">
        <is>
          <t>Consulting</t>
        </is>
      </c>
      <c r="AP452" s="53" t="inlineStr">
        <is>
          <t>No</t>
        </is>
      </c>
      <c r="AQ452" s="53" t="inlineStr">
        <is>
          <t>Professional Services</t>
        </is>
      </c>
      <c r="AR452" s="53" t="inlineStr">
        <is>
          <t>XBRL Domain</t>
        </is>
      </c>
      <c r="AS452" s="53" t="inlineStr">
        <is>
          <t>Non-technical</t>
        </is>
      </c>
      <c r="AT452" s="53" t="n">
        <v>20</v>
      </c>
      <c r="AU452" s="53" t="inlineStr">
        <is>
          <t>Covered</t>
        </is>
      </c>
      <c r="AV452" s="53" t="n"/>
      <c r="AW452" s="53" t="n"/>
      <c r="AX452" s="53" t="n"/>
      <c r="AY452" s="53" t="n"/>
      <c r="AZ452" s="53" t="n"/>
      <c r="BA452" s="53" t="n"/>
      <c r="BB452" s="53" t="n"/>
      <c r="BC452" s="53" t="n"/>
      <c r="BD452" s="53" t="n"/>
      <c r="BE452" s="53" t="n"/>
      <c r="BF452" s="53" t="n"/>
      <c r="BG452" s="53" t="n"/>
      <c r="BH452" s="53" t="n"/>
      <c r="BI452" s="53" t="n"/>
      <c r="BJ452" s="53" t="n"/>
      <c r="BK452" s="53" t="n"/>
      <c r="BL452" s="53" t="n"/>
      <c r="BM452" s="53" t="n"/>
      <c r="BN452" s="53" t="n"/>
      <c r="BO452" s="53" t="n"/>
      <c r="BP452" s="53" t="n"/>
      <c r="BQ452" s="53" t="n"/>
      <c r="BR452" s="53" t="n"/>
      <c r="BS452" s="53" t="n"/>
      <c r="BT452" s="53" t="n"/>
      <c r="BU452" s="53" t="n"/>
      <c r="BV452" s="53" t="n"/>
      <c r="BW452" s="53" t="n"/>
      <c r="BX452" s="53" t="n"/>
      <c r="BY452" s="53" t="n"/>
      <c r="BZ452" s="53" t="n"/>
      <c r="CA452" s="53" t="n"/>
      <c r="CB452" s="53" t="n"/>
      <c r="CC452" s="53" t="n"/>
      <c r="CD452" s="53" t="n"/>
      <c r="CE452" s="53" t="n"/>
      <c r="CF452" s="53" t="n"/>
      <c r="CG452" s="53" t="n"/>
      <c r="CH452" s="53" t="n"/>
      <c r="CI452" s="53" t="n"/>
      <c r="CJ452" s="53" t="n"/>
      <c r="CK452" s="53" t="n"/>
      <c r="CL452" s="53" t="n"/>
      <c r="CM452" s="53" t="n"/>
      <c r="CN452" s="53" t="n"/>
      <c r="CO452" s="53" t="n"/>
      <c r="CP452" s="53" t="n"/>
      <c r="CQ452" s="53" t="n"/>
      <c r="CR452" s="53" t="n"/>
      <c r="CS452" s="53" t="n"/>
      <c r="CT452" s="53" t="n"/>
      <c r="CU452" s="53" t="n"/>
      <c r="CV452" s="53" t="n"/>
      <c r="CW452" s="53" t="n"/>
      <c r="CX452" s="53" t="n"/>
      <c r="CY452" s="53" t="n"/>
      <c r="CZ452" s="53" t="n"/>
      <c r="DA452" s="53" t="n"/>
      <c r="DB452" s="53" t="n"/>
      <c r="DC452" s="53" t="n"/>
      <c r="DD452" s="53" t="inlineStr">
        <is>
          <t>IRIS0050</t>
        </is>
      </c>
      <c r="DE452" s="53" t="inlineStr">
        <is>
          <t>Employee</t>
        </is>
      </c>
      <c r="DF452" s="53" t="inlineStr">
        <is>
          <t>Active</t>
        </is>
      </c>
      <c r="DG452" s="53" t="inlineStr">
        <is>
          <t>Prashant Ramakant Wagh</t>
        </is>
      </c>
      <c r="DH452" s="54" t="n">
        <v>39002</v>
      </c>
      <c r="DI452" s="53" t="inlineStr">
        <is>
          <t>Consultant</t>
        </is>
      </c>
      <c r="DJ452" s="53" t="inlineStr">
        <is>
          <t>Consulting &amp; Professional Services</t>
        </is>
      </c>
      <c r="DK452" s="53" t="inlineStr">
        <is>
          <t>XBRL / Regulatory Reporting</t>
        </is>
      </c>
      <c r="DL452" s="53" t="inlineStr">
        <is>
          <t>Consultant</t>
        </is>
      </c>
      <c r="DM452" s="53" t="inlineStr">
        <is>
          <t>L3 – Professional / Associate</t>
        </is>
      </c>
      <c r="DN452" s="53" t="inlineStr">
        <is>
          <t>B.Com</t>
        </is>
      </c>
      <c r="DO452" s="53" t="inlineStr">
        <is>
          <t>Sujeet Rathod</t>
        </is>
      </c>
      <c r="DP452" s="53" t="inlineStr">
        <is>
          <t>N-3</t>
        </is>
      </c>
      <c r="DQ452" s="53" t="inlineStr">
        <is>
          <t>Individual Contributor</t>
        </is>
      </c>
      <c r="DR452" s="53" t="inlineStr">
        <is>
          <t>0 years, 5 months, 0 days</t>
        </is>
      </c>
      <c r="DS452" s="53" t="inlineStr">
        <is>
          <t>19 years, 8 months, 8 days</t>
        </is>
      </c>
      <c r="DT452" s="53" t="inlineStr">
        <is>
          <t>20 years, 1 months, 8 days</t>
        </is>
      </c>
      <c r="DU452" s="53" t="n"/>
      <c r="DV452" s="53" t="inlineStr">
        <is>
          <t>Suptech</t>
        </is>
      </c>
      <c r="DW452" s="53" t="inlineStr">
        <is>
          <t>iFile</t>
        </is>
      </c>
      <c r="DX452" s="53" t="inlineStr">
        <is>
          <t>XBRL Consulting</t>
        </is>
      </c>
      <c r="DY452" s="53" t="inlineStr">
        <is>
          <t>Consulting</t>
        </is>
      </c>
      <c r="DZ452" s="53" t="inlineStr">
        <is>
          <t>No</t>
        </is>
      </c>
      <c r="EA452" s="53" t="inlineStr">
        <is>
          <t>Professional Services</t>
        </is>
      </c>
      <c r="EB452" s="53" t="inlineStr">
        <is>
          <t>XBRL Domain</t>
        </is>
      </c>
      <c r="EC452" s="53" t="inlineStr">
        <is>
          <t>Non-technical</t>
        </is>
      </c>
      <c r="ED452" s="53" t="inlineStr">
        <is>
          <t>Remote- Outside Mumbai</t>
        </is>
      </c>
      <c r="EE452" s="53" t="n"/>
      <c r="EF452"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2" s="53" t="inlineStr">
        <is>
          <t>1. Complete Q1 taxonomy build/test tasks on schedule · &gt;=95% on-time.
2. Close assigned iFILE support tickets within SLA.
3. Finish Q1 Excel/Webform test cycles with defect leakage &lt;2%.</t>
        </is>
      </c>
      <c r="EH452" s="53" t="inlineStr">
        <is>
          <t>4 - Exceeds Expectations</t>
        </is>
      </c>
      <c r="EI452" s="53" t="inlineStr">
        <is>
          <t>Last appraisal in Oct 2025</t>
        </is>
      </c>
      <c r="EJ452" s="53" t="inlineStr">
        <is>
          <t>Consultant</t>
        </is>
      </c>
      <c r="EK452" s="53" t="inlineStr">
        <is>
          <t>No change</t>
        </is>
      </c>
      <c r="EL452" s="53" t="n">
        <v>4</v>
      </c>
      <c r="EM452" s="53" t="inlineStr">
        <is>
          <t>Medium</t>
        </is>
      </c>
      <c r="EN452" s="53" t="inlineStr">
        <is>
          <t>Trusted Professional</t>
        </is>
      </c>
      <c r="EO452" s="53" t="n"/>
      <c r="EP452" s="53" t="inlineStr">
        <is>
          <t>No</t>
        </is>
      </c>
      <c r="EQ452" s="53" t="n"/>
      <c r="ER452" s="53" t="inlineStr">
        <is>
          <t>To be identified</t>
        </is>
      </c>
      <c r="ES452" s="53" t="inlineStr">
        <is>
          <t>XBRL taxonomy &amp; regulatory updates; domain/accounting refreshers; quality &amp; accuracy practices; tooling proficiency</t>
        </is>
      </c>
      <c r="ET452" s="53" t="inlineStr">
        <is>
          <t>Transition to leadership: people management &amp; delegation, mentoring/coaching, project ownership &amp; stakeholder management, prioritisation under ambiguity, presentation &amp; influence skills</t>
        </is>
      </c>
      <c r="EU452" s="53" t="n"/>
      <c r="EV452" s="53" t="n"/>
      <c r="EW452" s="52" t="n"/>
      <c r="EX452" s="53" t="n"/>
      <c r="EY452" s="53" t="n"/>
      <c r="EZ452" s="53" t="n"/>
      <c r="FA452" s="53" t="n"/>
      <c r="FB452" s="53" t="n"/>
      <c r="FC452" s="53" t="n"/>
      <c r="FD452" s="53" t="n"/>
      <c r="FE452"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2" s="56" t="inlineStr">
        <is>
          <t>1. Complete Q1 taxonomy build/test tasks on schedule · &gt;=95% on-time.
2. Close assigned iFILE support tickets within SLA · &gt;=90%.
3. Finish Q1 Excel/Webform test cycles with defect leakage &lt;2%.</t>
        </is>
      </c>
      <c r="FG452" s="56" t="n"/>
      <c r="FH452" s="56" t="inlineStr">
        <is>
          <t>4 - Exceeds Expectations</t>
        </is>
      </c>
      <c r="FI452" s="56" t="n"/>
      <c r="FJ452" s="56" t="inlineStr">
        <is>
          <t>Received · manager annual, quarterly</t>
        </is>
      </c>
      <c r="FK452" s="56" t="inlineStr">
        <is>
          <t>Talent Mapping · iFile collated</t>
        </is>
      </c>
      <c r="FL452" s="56" t="n">
        <v>20</v>
      </c>
      <c r="FM452" s="32" t="inlineStr">
        <is>
          <t>Full survey answers not in the files received · How We Grow export needed · HR</t>
        </is>
      </c>
      <c r="FN452" s="56" t="inlineStr">
        <is>
          <t>—</t>
        </is>
      </c>
      <c r="FO452" s="56" t="inlineStr">
        <is>
          <t>—</t>
        </is>
      </c>
      <c r="FP452" s="56" t="inlineStr">
        <is>
          <t>—</t>
        </is>
      </c>
      <c r="FQ452" s="56" t="inlineStr">
        <is>
          <t>—</t>
        </is>
      </c>
      <c r="FR452" s="56"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quoted → matches the start
Leadership: Evidence reads like A1: None described → moved down 0.5
Business Impact: No survey or manager-mapping signal on criticality: kept at the start point.</t>
        </is>
      </c>
      <c r="FS452"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52" s="56" t="inlineStr">
        <is>
          <t>Self-identified: AI / automation · Domain, regulatory &amp; XBRL · Broader exposure &amp; ownership
For the next role: AI / automation · Domain, regulatory &amp; XBRL · Broader exposure &amp; ownership</t>
        </is>
      </c>
      <c r="FU452" s="32" t="inlineStr">
        <is>
          <t>Full survey answers not in the files received · How We Grow export needed · HR</t>
        </is>
      </c>
    </row>
    <row r="453" ht="90" customHeight="1">
      <c r="A453" s="51" t="inlineStr">
        <is>
          <t>◂ Back</t>
        </is>
      </c>
      <c r="B453" s="29" t="inlineStr">
        <is>
          <t>Mapped</t>
        </is>
      </c>
      <c r="C453" s="28" t="inlineStr">
        <is>
          <t>iFile</t>
        </is>
      </c>
      <c r="D453" s="29" t="inlineStr">
        <is>
          <t>IRIS0022</t>
        </is>
      </c>
      <c r="E453" s="29" t="inlineStr">
        <is>
          <t>Bhushan Patkar</t>
        </is>
      </c>
      <c r="F453" s="29" t="inlineStr">
        <is>
          <t>XBRL Consulting</t>
        </is>
      </c>
      <c r="G453" s="29" t="inlineStr">
        <is>
          <t>Senior Analyst</t>
        </is>
      </c>
      <c r="H453" s="29" t="inlineStr">
        <is>
          <t>Senior Taxonomy Analyst</t>
        </is>
      </c>
      <c r="I453" s="29" t="inlineStr">
        <is>
          <t>L4 – Senior</t>
        </is>
      </c>
      <c r="J453" s="29" t="inlineStr">
        <is>
          <t>A3</t>
        </is>
      </c>
      <c r="K453" s="29" t="inlineStr">
        <is>
          <t>• Same level</t>
        </is>
      </c>
      <c r="L453" s="29" t="inlineStr">
        <is>
          <t>Consulting &amp; Professional Services</t>
        </is>
      </c>
      <c r="M453" s="29" t="inlineStr">
        <is>
          <t>Taxonomy Design &amp; Regulatory Consulting</t>
        </is>
      </c>
      <c r="N453" s="29" t="n"/>
      <c r="O453" s="29" t="n">
        <v>19</v>
      </c>
      <c r="P453" s="28" t="inlineStr">
        <is>
          <t>P2</t>
        </is>
      </c>
      <c r="Q453" s="29" t="inlineStr">
        <is>
          <t>Developing</t>
        </is>
      </c>
      <c r="R453" s="29" t="inlineStr">
        <is>
          <t>3 Apply</t>
        </is>
      </c>
      <c r="S453" s="29" t="inlineStr">
        <is>
          <t>2–4 yrs</t>
        </is>
      </c>
      <c r="T453" s="29" t="inlineStr">
        <is>
          <t>3–5 · 2–5</t>
        </is>
      </c>
      <c r="U453" s="29" t="inlineStr">
        <is>
          <t>Senior Analyst / Associate</t>
        </is>
      </c>
      <c r="V453" s="29" t="inlineStr">
        <is>
          <t>DataTracks: Senior Associate · 2–5 yrs · Big Four: Consultant · IRIS Vs Market Benchmark — XBRL US credential pathway: XBRL US GAAP Certificate</t>
        </is>
      </c>
      <c r="W453" s="29" t="inlineStr">
        <is>
          <t>XBRL US GAAP Certificate · AICPA &amp; XBRL US; XBRL International specifications; IFRS / US GAAP / Ind AS</t>
        </is>
      </c>
      <c r="X453" s="29" t="inlineStr">
        <is>
          <t>Core 2 · Future 2 · Functional 3 · Leadership not scored</t>
        </is>
      </c>
      <c r="Y453" s="52" t="n">
        <v>12</v>
      </c>
      <c r="Z453" s="53" t="inlineStr">
        <is>
          <t>IRIS0022</t>
        </is>
      </c>
      <c r="AA453" s="53" t="inlineStr">
        <is>
          <t>Employee</t>
        </is>
      </c>
      <c r="AB453" s="53" t="inlineStr">
        <is>
          <t>Active</t>
        </is>
      </c>
      <c r="AC453" s="53" t="inlineStr">
        <is>
          <t>Bhushan Patkar</t>
        </is>
      </c>
      <c r="AD453" s="54" t="n">
        <v>38404</v>
      </c>
      <c r="AE453" s="53" t="inlineStr">
        <is>
          <t>Senior Analyst</t>
        </is>
      </c>
      <c r="AF453" s="53" t="inlineStr">
        <is>
          <t>B.Com</t>
        </is>
      </c>
      <c r="AG453" s="53" t="inlineStr">
        <is>
          <t>Sujeet Rathod</t>
        </is>
      </c>
      <c r="AH453" s="53" t="inlineStr">
        <is>
          <t>N-3</t>
        </is>
      </c>
      <c r="AI453" s="53" t="inlineStr">
        <is>
          <t>Individual Contributor</t>
        </is>
      </c>
      <c r="AJ453" s="53" t="inlineStr">
        <is>
          <t>0 years, 0 months, 0 days</t>
        </is>
      </c>
      <c r="AK453" s="53" t="inlineStr">
        <is>
          <t>21 years, 6 months, 4 days</t>
        </is>
      </c>
      <c r="AL453" s="53" t="inlineStr">
        <is>
          <t>Suptech</t>
        </is>
      </c>
      <c r="AM453" s="53" t="inlineStr">
        <is>
          <t>iFile</t>
        </is>
      </c>
      <c r="AN453" s="53" t="inlineStr">
        <is>
          <t>XBRL Consulting</t>
        </is>
      </c>
      <c r="AO453" s="53" t="inlineStr">
        <is>
          <t>Consulting</t>
        </is>
      </c>
      <c r="AP453" s="53" t="inlineStr">
        <is>
          <t>No</t>
        </is>
      </c>
      <c r="AQ453" s="53" t="inlineStr">
        <is>
          <t>Professional Services</t>
        </is>
      </c>
      <c r="AR453" s="53" t="inlineStr">
        <is>
          <t>XBRL Domain</t>
        </is>
      </c>
      <c r="AS453" s="53" t="inlineStr">
        <is>
          <t>Non-technical</t>
        </is>
      </c>
      <c r="AT453" s="53" t="n">
        <v>20</v>
      </c>
      <c r="AU453" s="53" t="inlineStr">
        <is>
          <t>Covered</t>
        </is>
      </c>
      <c r="AV453" s="53" t="n"/>
      <c r="AW453" s="53" t="n"/>
      <c r="AX453" s="53" t="n"/>
      <c r="AY453" s="53" t="n"/>
      <c r="AZ453" s="53" t="n"/>
      <c r="BA453" s="53" t="n"/>
      <c r="BB453" s="53" t="n"/>
      <c r="BC453" s="53" t="n"/>
      <c r="BD453" s="53" t="n"/>
      <c r="BE453" s="53" t="n"/>
      <c r="BF453" s="53" t="n"/>
      <c r="BG453" s="53" t="n"/>
      <c r="BH453" s="53" t="n"/>
      <c r="BI453" s="53" t="n"/>
      <c r="BJ453" s="53" t="n"/>
      <c r="BK453" s="53" t="n"/>
      <c r="BL453" s="53" t="n"/>
      <c r="BM453" s="53" t="n"/>
      <c r="BN453" s="53" t="n"/>
      <c r="BO453" s="53" t="n"/>
      <c r="BP453" s="53" t="n"/>
      <c r="BQ453" s="53" t="n"/>
      <c r="BR453" s="53" t="n"/>
      <c r="BS453" s="53" t="n"/>
      <c r="BT453" s="53" t="n"/>
      <c r="BU453" s="53" t="n"/>
      <c r="BV453" s="53" t="n"/>
      <c r="BW453" s="53" t="n"/>
      <c r="BX453" s="53" t="n"/>
      <c r="BY453" s="53" t="n"/>
      <c r="BZ453" s="53" t="n"/>
      <c r="CA453" s="53" t="n"/>
      <c r="CB453" s="53" t="n"/>
      <c r="CC453" s="53" t="n"/>
      <c r="CD453" s="53" t="n"/>
      <c r="CE453" s="53" t="n"/>
      <c r="CF453" s="53" t="n"/>
      <c r="CG453" s="53" t="n"/>
      <c r="CH453" s="53" t="n"/>
      <c r="CI453" s="53" t="n"/>
      <c r="CJ453" s="53" t="n"/>
      <c r="CK453" s="53" t="n"/>
      <c r="CL453" s="53" t="n"/>
      <c r="CM453" s="53" t="n"/>
      <c r="CN453" s="53" t="n"/>
      <c r="CO453" s="53" t="n"/>
      <c r="CP453" s="53" t="n"/>
      <c r="CQ453" s="53" t="n"/>
      <c r="CR453" s="53" t="n"/>
      <c r="CS453" s="53" t="n"/>
      <c r="CT453" s="53" t="n"/>
      <c r="CU453" s="53" t="n"/>
      <c r="CV453" s="53" t="n"/>
      <c r="CW453" s="53" t="n"/>
      <c r="CX453" s="53" t="n"/>
      <c r="CY453" s="53" t="n"/>
      <c r="CZ453" s="53" t="n"/>
      <c r="DA453" s="53" t="n"/>
      <c r="DB453" s="53" t="n"/>
      <c r="DC453" s="53" t="n"/>
      <c r="DD453" s="53" t="inlineStr">
        <is>
          <t>IRIS0022</t>
        </is>
      </c>
      <c r="DE453" s="53" t="inlineStr">
        <is>
          <t>Employee</t>
        </is>
      </c>
      <c r="DF453" s="53" t="inlineStr">
        <is>
          <t>Active</t>
        </is>
      </c>
      <c r="DG453" s="53" t="inlineStr">
        <is>
          <t>Bhushan Patkar</t>
        </is>
      </c>
      <c r="DH453" s="54" t="n">
        <v>38404</v>
      </c>
      <c r="DI453" s="53" t="inlineStr">
        <is>
          <t>Senior Analyst</t>
        </is>
      </c>
      <c r="DJ453" s="53" t="inlineStr">
        <is>
          <t>Consulting &amp; Professional Services</t>
        </is>
      </c>
      <c r="DK453" s="53" t="inlineStr">
        <is>
          <t>XBRL / Regulatory Reporting</t>
        </is>
      </c>
      <c r="DL453" s="53" t="inlineStr">
        <is>
          <t>Senior Analyst</t>
        </is>
      </c>
      <c r="DM453" s="53" t="inlineStr">
        <is>
          <t>L4 – Senior</t>
        </is>
      </c>
      <c r="DN453" s="53" t="inlineStr">
        <is>
          <t>B.Com</t>
        </is>
      </c>
      <c r="DO453" s="53" t="inlineStr">
        <is>
          <t>Sujeet Rathod</t>
        </is>
      </c>
      <c r="DP453" s="53" t="inlineStr">
        <is>
          <t>N-3</t>
        </is>
      </c>
      <c r="DQ453" s="53" t="inlineStr">
        <is>
          <t>Individual Contributor</t>
        </is>
      </c>
      <c r="DR453" s="53" t="inlineStr">
        <is>
          <t>0 years, 0 months, 0 days</t>
        </is>
      </c>
      <c r="DS453" s="53" t="inlineStr">
        <is>
          <t>21 years, 3 months, 30 days</t>
        </is>
      </c>
      <c r="DT453" s="53" t="inlineStr">
        <is>
          <t>21 years, 3 months, 30 days</t>
        </is>
      </c>
      <c r="DU453" s="53" t="n"/>
      <c r="DV453" s="53" t="inlineStr">
        <is>
          <t>Suptech</t>
        </is>
      </c>
      <c r="DW453" s="53" t="inlineStr">
        <is>
          <t>iFile</t>
        </is>
      </c>
      <c r="DX453" s="53" t="inlineStr">
        <is>
          <t>XBRL Consulting</t>
        </is>
      </c>
      <c r="DY453" s="53" t="inlineStr">
        <is>
          <t>Consulting</t>
        </is>
      </c>
      <c r="DZ453" s="53" t="inlineStr">
        <is>
          <t>No</t>
        </is>
      </c>
      <c r="EA453" s="53" t="inlineStr">
        <is>
          <t>Professional Services</t>
        </is>
      </c>
      <c r="EB453" s="53" t="inlineStr">
        <is>
          <t>XBRL Domain</t>
        </is>
      </c>
      <c r="EC453" s="53" t="inlineStr">
        <is>
          <t>Non-technical</t>
        </is>
      </c>
      <c r="ED453" s="53" t="inlineStr">
        <is>
          <t>Hybrid</t>
        </is>
      </c>
      <c r="EE453" s="53" t="n"/>
      <c r="EF453"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3" s="53" t="inlineStr">
        <is>
          <t>1. Complete Q1 taxonomy build/test tasks on schedule · &gt;=95% on-time.
2. Close assigned iFILE support tickets within SLA.
3. Finish Q1 Excel/Webform test cycles with defect leakage &lt;2%.</t>
        </is>
      </c>
      <c r="EH453" s="53" t="inlineStr">
        <is>
          <t>3 – Meets Expectations</t>
        </is>
      </c>
      <c r="EI453" s="53" t="inlineStr">
        <is>
          <t>Last appraisal in Oct 2025</t>
        </is>
      </c>
      <c r="EJ453" s="53" t="inlineStr">
        <is>
          <t>Senior Analyst</t>
        </is>
      </c>
      <c r="EK453" s="53" t="inlineStr">
        <is>
          <t>No change</t>
        </is>
      </c>
      <c r="EL453" s="53" t="n">
        <v>3</v>
      </c>
      <c r="EM453" s="53" t="inlineStr">
        <is>
          <t>Medium</t>
        </is>
      </c>
      <c r="EN453" s="53" t="inlineStr">
        <is>
          <t>Trusted Professional</t>
        </is>
      </c>
      <c r="EO453" s="53" t="n"/>
      <c r="EP453" s="53" t="inlineStr">
        <is>
          <t>No</t>
        </is>
      </c>
      <c r="EQ453" s="53" t="n"/>
      <c r="ER453" s="53" t="inlineStr">
        <is>
          <t>To be identified</t>
        </is>
      </c>
      <c r="ES453" s="53" t="inlineStr">
        <is>
          <t>XBRL taxonomy &amp; regulatory updates; domain/accounting refreshers; quality &amp; accuracy practices; tooling proficiency</t>
        </is>
      </c>
      <c r="ET453" s="53" t="inlineStr">
        <is>
          <t>Transition to leadership: people management &amp; delegation, mentoring/coaching, project ownership &amp; stakeholder management, prioritisation under ambiguity, presentation &amp; influence skills</t>
        </is>
      </c>
      <c r="EU453" s="53" t="n"/>
      <c r="EV453" s="53" t="n"/>
      <c r="EW453" s="52" t="n"/>
      <c r="EX453" s="53" t="n"/>
      <c r="EY453" s="53" t="n"/>
      <c r="EZ453" s="53" t="n"/>
      <c r="FA453" s="53" t="n"/>
      <c r="FB453" s="53" t="n"/>
      <c r="FC453" s="53" t="n"/>
      <c r="FD453" s="53" t="n"/>
      <c r="FE453"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3" s="56" t="inlineStr">
        <is>
          <t>1. Complete Q1 taxonomy build/test tasks on schedule · &gt;=95% on-time.
2. Close assigned iFILE support tickets within SLA · &gt;=90%.
3. Finish Q1 Excel/Webform test cycles with defect leakage &lt;2%.</t>
        </is>
      </c>
      <c r="FG453" s="56" t="n"/>
      <c r="FH453" s="56" t="inlineStr">
        <is>
          <t>3 – Meets Expectations</t>
        </is>
      </c>
      <c r="FI453" s="56" t="n"/>
      <c r="FJ453" s="56" t="inlineStr">
        <is>
          <t>Received · manager annual, quarterly</t>
        </is>
      </c>
      <c r="FK453" s="56" t="inlineStr">
        <is>
          <t>Talent Mapping · iFile collated</t>
        </is>
      </c>
      <c r="FL453" s="56" t="n">
        <v>19</v>
      </c>
      <c r="FM453" s="32" t="inlineStr">
        <is>
          <t>Full survey answers not in the files received · How We Grow export needed · HR</t>
        </is>
      </c>
      <c r="FN453" s="56" t="inlineStr">
        <is>
          <t>—</t>
        </is>
      </c>
      <c r="FO453" s="56" t="inlineStr">
        <is>
          <t>—</t>
        </is>
      </c>
      <c r="FP453" s="56" t="inlineStr">
        <is>
          <t>—</t>
        </is>
      </c>
      <c r="FQ453" s="56" t="inlineStr">
        <is>
          <t>—</t>
        </is>
      </c>
      <c r="FR453" s="56"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moved down 0.5
Leadership: Evidence reads like A2: Lists XBRL training sessions and 'resource allocation' with no team or detail → matches the start
Business Impact: No survey or manager-mapping signal on criticality: kept at the start point.</t>
        </is>
      </c>
      <c r="FS453"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3" s="56" t="inlineStr">
        <is>
          <t>Self-identified: Project / programme management · Broader exposure &amp; ownership
For the next role: Project / programme management · Broader exposure &amp; ownership</t>
        </is>
      </c>
      <c r="FU453" s="32" t="inlineStr">
        <is>
          <t>Full survey answers not in the files received · How We Grow export needed · HR</t>
        </is>
      </c>
    </row>
    <row r="454" ht="90" customHeight="1">
      <c r="A454" s="51" t="inlineStr">
        <is>
          <t>◂ Back</t>
        </is>
      </c>
      <c r="B454" s="29" t="inlineStr">
        <is>
          <t>Mapped</t>
        </is>
      </c>
      <c r="C454" s="28" t="inlineStr">
        <is>
          <t>iFile</t>
        </is>
      </c>
      <c r="D454" s="29" t="inlineStr">
        <is>
          <t>IRIS2563</t>
        </is>
      </c>
      <c r="E454" s="29" t="inlineStr">
        <is>
          <t>Isheekka Gupta</t>
        </is>
      </c>
      <c r="F454" s="29" t="inlineStr">
        <is>
          <t>XBRL Consulting</t>
        </is>
      </c>
      <c r="G454" s="29" t="inlineStr">
        <is>
          <t>Consultant</t>
        </is>
      </c>
      <c r="H454" s="29" t="inlineStr">
        <is>
          <t>Senior Taxonomy Analyst</t>
        </is>
      </c>
      <c r="I454" s="29" t="inlineStr">
        <is>
          <t>Not in current mapping files</t>
        </is>
      </c>
      <c r="J454" s="29" t="inlineStr">
        <is>
          <t>A3</t>
        </is>
      </c>
      <c r="K454" s="29" t="inlineStr">
        <is>
          <t>● Newly mapped</t>
        </is>
      </c>
      <c r="L454" s="29" t="inlineStr">
        <is>
          <t>Consulting &amp; Professional Services</t>
        </is>
      </c>
      <c r="M454" s="29" t="inlineStr">
        <is>
          <t>Taxonomy Design &amp; Regulatory Consulting</t>
        </is>
      </c>
      <c r="N454" s="29" t="inlineStr">
        <is>
          <t>• Total experience · outside + at IRIS — HR — HRIS
• Confirm prior experience · provisional placement — HR</t>
        </is>
      </c>
      <c r="O454" s="29" t="n">
        <v>16</v>
      </c>
      <c r="P454" s="28" t="inlineStr">
        <is>
          <t>P2</t>
        </is>
      </c>
      <c r="Q454" s="29" t="inlineStr">
        <is>
          <t>Developing</t>
        </is>
      </c>
      <c r="R454" s="29" t="inlineStr">
        <is>
          <t>3 Apply</t>
        </is>
      </c>
      <c r="S454" s="29" t="inlineStr">
        <is>
          <t>2–4 yrs</t>
        </is>
      </c>
      <c r="T454" s="29" t="inlineStr">
        <is>
          <t>3–5 · 2–5</t>
        </is>
      </c>
      <c r="U454" s="29" t="inlineStr">
        <is>
          <t>Senior Analyst / Associate</t>
        </is>
      </c>
      <c r="V454" s="29" t="inlineStr">
        <is>
          <t>DataTracks: Senior Associate · 2–5 yrs · Big Four: Consultant · IRIS Vs Market Benchmark — XBRL US credential pathway: XBRL US GAAP Certificate</t>
        </is>
      </c>
      <c r="W454" s="29" t="inlineStr">
        <is>
          <t>XBRL US GAAP Certificate · AICPA &amp; XBRL US; XBRL International specifications; IFRS / US GAAP / Ind AS</t>
        </is>
      </c>
      <c r="X454" s="29" t="inlineStr">
        <is>
          <t>Core 2 · Future 2 · Functional 3 · Leadership not scored</t>
        </is>
      </c>
      <c r="Y454" s="52" t="n">
        <v>536</v>
      </c>
      <c r="Z454" s="53" t="inlineStr">
        <is>
          <t>IRIS2563</t>
        </is>
      </c>
      <c r="AA454" s="53" t="inlineStr">
        <is>
          <t>Employee</t>
        </is>
      </c>
      <c r="AB454" s="53" t="inlineStr">
        <is>
          <t>Active</t>
        </is>
      </c>
      <c r="AC454" s="53" t="inlineStr">
        <is>
          <t>Isheekka Gupta</t>
        </is>
      </c>
      <c r="AD454" s="54" t="n">
        <v>46272</v>
      </c>
      <c r="AE454" s="53" t="inlineStr">
        <is>
          <t>Consultant</t>
        </is>
      </c>
      <c r="AF454" s="53" t="inlineStr">
        <is>
          <t>CA</t>
        </is>
      </c>
      <c r="AG454" s="53" t="inlineStr">
        <is>
          <t>Sujeet Rathod</t>
        </is>
      </c>
      <c r="AH454" s="53" t="inlineStr">
        <is>
          <t>N-3</t>
        </is>
      </c>
      <c r="AI454" s="53" t="inlineStr">
        <is>
          <t>Individual Contributor</t>
        </is>
      </c>
      <c r="AJ454" s="53" t="n"/>
      <c r="AK454" s="53" t="n"/>
      <c r="AL454" s="53" t="inlineStr">
        <is>
          <t>Suptech</t>
        </is>
      </c>
      <c r="AM454" s="53" t="inlineStr">
        <is>
          <t>iFile</t>
        </is>
      </c>
      <c r="AN454" s="53" t="inlineStr">
        <is>
          <t>XBRL Consulting</t>
        </is>
      </c>
      <c r="AO454" s="53" t="inlineStr">
        <is>
          <t>Consulting</t>
        </is>
      </c>
      <c r="AP454" s="53" t="inlineStr">
        <is>
          <t>No</t>
        </is>
      </c>
      <c r="AQ454" s="53" t="inlineStr">
        <is>
          <t>Professional Services</t>
        </is>
      </c>
      <c r="AR454" s="53" t="inlineStr">
        <is>
          <t>XBRL Domain</t>
        </is>
      </c>
      <c r="AS454" s="53" t="inlineStr">
        <is>
          <t>Non-technical</t>
        </is>
      </c>
      <c r="AT454" s="53" t="n">
        <v>20</v>
      </c>
      <c r="AU454" s="53" t="inlineStr">
        <is>
          <t>Covered</t>
        </is>
      </c>
      <c r="AV454" s="53" t="n"/>
      <c r="AW454" s="53" t="n"/>
      <c r="AX454" s="53" t="n"/>
      <c r="AY454" s="53" t="n"/>
      <c r="AZ454" s="53" t="n"/>
      <c r="BA454" s="53" t="n"/>
      <c r="BB454" s="53" t="n"/>
      <c r="BC454" s="53" t="n"/>
      <c r="BD454" s="53" t="n"/>
      <c r="BE454" s="53" t="n"/>
      <c r="BF454" s="53" t="n"/>
      <c r="BG454" s="53" t="n"/>
      <c r="BH454" s="53" t="n"/>
      <c r="BI454" s="53" t="n"/>
      <c r="BJ454" s="53" t="n"/>
      <c r="BK454" s="53" t="n"/>
      <c r="BL454" s="53" t="n"/>
      <c r="BM454" s="53" t="n"/>
      <c r="BN454" s="53" t="n"/>
      <c r="BO454" s="53" t="n"/>
      <c r="BP454" s="53" t="n"/>
      <c r="BQ454" s="53" t="n"/>
      <c r="BR454" s="53" t="n"/>
      <c r="BS454" s="53" t="n"/>
      <c r="BT454" s="53" t="n"/>
      <c r="BU454" s="53" t="n"/>
      <c r="BV454" s="53" t="n"/>
      <c r="BW454" s="53" t="n"/>
      <c r="BX454" s="53" t="n"/>
      <c r="BY454" s="53" t="n"/>
      <c r="BZ454" s="53" t="n"/>
      <c r="CA454" s="53" t="n"/>
      <c r="CB454" s="53" t="n"/>
      <c r="CC454" s="53" t="n"/>
      <c r="CD454" s="53" t="n"/>
      <c r="CE454" s="53" t="n"/>
      <c r="CF454" s="53" t="n"/>
      <c r="CG454" s="53" t="n"/>
      <c r="CH454" s="53" t="n"/>
      <c r="CI454" s="53" t="n"/>
      <c r="CJ454" s="53" t="n"/>
      <c r="CK454" s="53" t="n"/>
      <c r="CL454" s="53" t="n"/>
      <c r="CM454" s="53" t="n"/>
      <c r="CN454" s="53" t="n"/>
      <c r="CO454" s="53" t="n"/>
      <c r="CP454" s="53" t="n"/>
      <c r="CQ454" s="53" t="n"/>
      <c r="CR454" s="53" t="n"/>
      <c r="CS454" s="53" t="n"/>
      <c r="CT454" s="53" t="n"/>
      <c r="CU454" s="53" t="n"/>
      <c r="CV454" s="53" t="n"/>
      <c r="CW454" s="53" t="n"/>
      <c r="CX454" s="53" t="n"/>
      <c r="CY454" s="53" t="n"/>
      <c r="CZ454" s="53" t="n"/>
      <c r="DA454" s="53" t="n"/>
      <c r="DB454" s="53" t="n"/>
      <c r="DC454" s="53" t="n"/>
      <c r="DD454" s="53" t="n"/>
      <c r="DE454" s="53" t="n"/>
      <c r="DF454" s="53" t="n"/>
      <c r="DG454" s="53" t="n"/>
      <c r="DH454" s="53" t="n"/>
      <c r="DI454" s="53" t="n"/>
      <c r="DJ454" s="53" t="n"/>
      <c r="DK454" s="53" t="n"/>
      <c r="DL454" s="53" t="n"/>
      <c r="DM454" s="53" t="n"/>
      <c r="DN454" s="53" t="n"/>
      <c r="DO454" s="53" t="n"/>
      <c r="DP454" s="53" t="n"/>
      <c r="DQ454" s="53" t="n"/>
      <c r="DR454" s="53" t="n"/>
      <c r="DS454" s="53" t="n"/>
      <c r="DT454" s="53" t="n"/>
      <c r="DU454" s="53" t="n"/>
      <c r="DV454" s="53" t="n"/>
      <c r="DW454" s="53" t="n"/>
      <c r="DX454" s="53" t="n"/>
      <c r="DY454" s="53" t="n"/>
      <c r="DZ454" s="53" t="n"/>
      <c r="EA454" s="53" t="n"/>
      <c r="EB454" s="53" t="n"/>
      <c r="EC454" s="53" t="n"/>
      <c r="ED454" s="53" t="n"/>
      <c r="EE454" s="53" t="n"/>
      <c r="EF454" s="53" t="n"/>
      <c r="EG454" s="53" t="n"/>
      <c r="EH454" s="53" t="n"/>
      <c r="EI454" s="53" t="n"/>
      <c r="EJ454" s="53" t="n"/>
      <c r="EK454" s="53" t="n"/>
      <c r="EL454" s="53" t="n"/>
      <c r="EM454" s="53" t="n"/>
      <c r="EN454" s="53" t="n"/>
      <c r="EO454" s="53" t="n"/>
      <c r="EP454" s="53" t="n"/>
      <c r="EQ454" s="53" t="n"/>
      <c r="ER454" s="53" t="n"/>
      <c r="ES454" s="53" t="n"/>
      <c r="ET454" s="53" t="n"/>
      <c r="EU454" s="53" t="n"/>
      <c r="EV454" s="53" t="n"/>
      <c r="EW454" s="52" t="n"/>
      <c r="EX454" s="53" t="n"/>
      <c r="EY454" s="53" t="n"/>
      <c r="EZ454" s="53" t="n"/>
      <c r="FA454" s="53" t="n"/>
      <c r="FB454" s="53" t="n"/>
      <c r="FC454" s="53" t="n"/>
      <c r="FD454" s="53" t="n"/>
      <c r="FE454" s="55" t="inlineStr">
        <is>
          <t>KRAs not received · manager to supply</t>
        </is>
      </c>
      <c r="FF454" s="56" t="n"/>
      <c r="FG454" s="56" t="n"/>
      <c r="FH454" s="56" t="n"/>
      <c r="FI454" s="56" t="n"/>
      <c r="FJ454" s="32" t="inlineStr">
        <is>
          <t>KRAs not received · manager to supply</t>
        </is>
      </c>
      <c r="FK454" s="56" t="n"/>
      <c r="FL454" s="56" t="n">
        <v>16</v>
      </c>
      <c r="FM454" s="32" t="inlineStr">
        <is>
          <t>Full survey answers not in the files received · How We Grow export needed · HR</t>
        </is>
      </c>
      <c r="FN454" s="56" t="inlineStr">
        <is>
          <t>—</t>
        </is>
      </c>
      <c r="FO454" s="56" t="inlineStr">
        <is>
          <t>—</t>
        </is>
      </c>
      <c r="FP454" s="56" t="inlineStr">
        <is>
          <t>—</t>
        </is>
      </c>
      <c r="FQ454" s="56" t="inlineStr">
        <is>
          <t>—</t>
        </is>
      </c>
      <c r="FR454" s="56"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A1: 'Leading' written with no team, object or detail → moved down 0.5
Business Impact: No survey or manager-mapping signal on criticality: kept at the start point.</t>
        </is>
      </c>
      <c r="FS454"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4" s="56" t="inlineStr">
        <is>
          <t>Self-identified: Domain, regulatory &amp; XBRL
For the next role: Domain, regulatory &amp; XBRL</t>
        </is>
      </c>
      <c r="FU454" s="32" t="inlineStr">
        <is>
          <t>Full survey answers not in the files received · How We Grow export needed · HR</t>
        </is>
      </c>
    </row>
    <row r="455" ht="90" customHeight="1">
      <c r="A455" s="51" t="inlineStr">
        <is>
          <t>◂ Back</t>
        </is>
      </c>
      <c r="B455" s="29" t="inlineStr">
        <is>
          <t>Mapped</t>
        </is>
      </c>
      <c r="C455" s="28" t="inlineStr">
        <is>
          <t>iFile</t>
        </is>
      </c>
      <c r="D455" s="29" t="inlineStr">
        <is>
          <t>IRIS0359</t>
        </is>
      </c>
      <c r="E455" s="29" t="inlineStr">
        <is>
          <t>Prasad Chavan</t>
        </is>
      </c>
      <c r="F455" s="29" t="inlineStr">
        <is>
          <t>XBRL Consulting</t>
        </is>
      </c>
      <c r="G455" s="29" t="inlineStr">
        <is>
          <t>Consultant</t>
        </is>
      </c>
      <c r="H455" s="29" t="inlineStr">
        <is>
          <t>Senior Taxonomy Analyst</t>
        </is>
      </c>
      <c r="I455" s="29" t="inlineStr">
        <is>
          <t>L3 – Professional / Associate</t>
        </is>
      </c>
      <c r="J455" s="29" t="inlineStr">
        <is>
          <t>A3</t>
        </is>
      </c>
      <c r="K455" s="29" t="inlineStr">
        <is>
          <t>▲ Up</t>
        </is>
      </c>
      <c r="L455" s="29" t="inlineStr">
        <is>
          <t>Consulting &amp; Professional Services</t>
        </is>
      </c>
      <c r="M455" s="29" t="inlineStr">
        <is>
          <t>Taxonomy Design &amp; Regulatory Consulting</t>
        </is>
      </c>
      <c r="N455" s="29" t="n"/>
      <c r="O455" s="29" t="n">
        <v>20</v>
      </c>
      <c r="P455" s="28" t="inlineStr">
        <is>
          <t>P2</t>
        </is>
      </c>
      <c r="Q455" s="29" t="inlineStr">
        <is>
          <t>Developing</t>
        </is>
      </c>
      <c r="R455" s="29" t="inlineStr">
        <is>
          <t>3 Apply</t>
        </is>
      </c>
      <c r="S455" s="29" t="inlineStr">
        <is>
          <t>2–4 yrs</t>
        </is>
      </c>
      <c r="T455" s="29" t="inlineStr">
        <is>
          <t>3–5 · 2–5</t>
        </is>
      </c>
      <c r="U455" s="29" t="inlineStr">
        <is>
          <t>Senior Analyst / Associate</t>
        </is>
      </c>
      <c r="V455" s="29" t="inlineStr">
        <is>
          <t>DataTracks: Senior Associate · 2–5 yrs · Big Four: Consultant · IRIS Vs Market Benchmark — XBRL US credential pathway: XBRL US GAAP Certificate</t>
        </is>
      </c>
      <c r="W455" s="29" t="inlineStr">
        <is>
          <t>XBRL US GAAP Certificate · AICPA &amp; XBRL US; XBRL International specifications; IFRS / US GAAP / Ind AS</t>
        </is>
      </c>
      <c r="X455" s="29" t="inlineStr">
        <is>
          <t>Core 2 · Future 2 · Functional 3 · Leadership not scored</t>
        </is>
      </c>
      <c r="Y455" s="52" t="n">
        <v>58</v>
      </c>
      <c r="Z455" s="53" t="inlineStr">
        <is>
          <t>IRIS0359</t>
        </is>
      </c>
      <c r="AA455" s="53" t="inlineStr">
        <is>
          <t>Employee</t>
        </is>
      </c>
      <c r="AB455" s="53" t="inlineStr">
        <is>
          <t>Active</t>
        </is>
      </c>
      <c r="AC455" s="53" t="inlineStr">
        <is>
          <t>Prasad Chavan</t>
        </is>
      </c>
      <c r="AD455" s="54" t="n">
        <v>40357</v>
      </c>
      <c r="AE455" s="53" t="inlineStr">
        <is>
          <t>Consultant</t>
        </is>
      </c>
      <c r="AF455" s="53" t="inlineStr">
        <is>
          <t>B.Com</t>
        </is>
      </c>
      <c r="AG455" s="53" t="inlineStr">
        <is>
          <t>Sujeet Rathod</t>
        </is>
      </c>
      <c r="AH455" s="53" t="inlineStr">
        <is>
          <t>N-3</t>
        </is>
      </c>
      <c r="AI455" s="53" t="inlineStr">
        <is>
          <t>Individual Contributor</t>
        </is>
      </c>
      <c r="AJ455" s="53" t="inlineStr">
        <is>
          <t>0 years, 0 months, 0 days</t>
        </is>
      </c>
      <c r="AK455" s="53" t="inlineStr">
        <is>
          <t>16 years, 1 months, 28 days</t>
        </is>
      </c>
      <c r="AL455" s="53" t="inlineStr">
        <is>
          <t>Suptech</t>
        </is>
      </c>
      <c r="AM455" s="53" t="inlineStr">
        <is>
          <t>iFile</t>
        </is>
      </c>
      <c r="AN455" s="53" t="inlineStr">
        <is>
          <t>XBRL Consulting</t>
        </is>
      </c>
      <c r="AO455" s="53" t="inlineStr">
        <is>
          <t>Consulting</t>
        </is>
      </c>
      <c r="AP455" s="53" t="inlineStr">
        <is>
          <t>No</t>
        </is>
      </c>
      <c r="AQ455" s="53" t="inlineStr">
        <is>
          <t>Professional Services</t>
        </is>
      </c>
      <c r="AR455" s="53" t="inlineStr">
        <is>
          <t>XBRL Domain</t>
        </is>
      </c>
      <c r="AS455" s="53" t="inlineStr">
        <is>
          <t>Non-technical</t>
        </is>
      </c>
      <c r="AT455" s="53" t="n">
        <v>20</v>
      </c>
      <c r="AU455" s="53" t="inlineStr">
        <is>
          <t>Covered</t>
        </is>
      </c>
      <c r="AV455" s="53" t="n"/>
      <c r="AW455" s="53" t="n"/>
      <c r="AX455" s="53" t="n"/>
      <c r="AY455" s="53" t="n"/>
      <c r="AZ455" s="53" t="n"/>
      <c r="BA455" s="53" t="n"/>
      <c r="BB455" s="53" t="n"/>
      <c r="BC455" s="53" t="n"/>
      <c r="BD455" s="53" t="n"/>
      <c r="BE455" s="53" t="n"/>
      <c r="BF455" s="53" t="n"/>
      <c r="BG455" s="53" t="n"/>
      <c r="BH455" s="53" t="n"/>
      <c r="BI455" s="53" t="n"/>
      <c r="BJ455" s="53" t="n"/>
      <c r="BK455" s="53" t="n"/>
      <c r="BL455" s="53" t="n"/>
      <c r="BM455" s="53" t="n"/>
      <c r="BN455" s="53" t="n"/>
      <c r="BO455" s="53" t="n"/>
      <c r="BP455" s="53" t="n"/>
      <c r="BQ455" s="53" t="n"/>
      <c r="BR455" s="53" t="n"/>
      <c r="BS455" s="53" t="n"/>
      <c r="BT455" s="53" t="n"/>
      <c r="BU455" s="53" t="n"/>
      <c r="BV455" s="53" t="n"/>
      <c r="BW455" s="53" t="n"/>
      <c r="BX455" s="53" t="n"/>
      <c r="BY455" s="53" t="n"/>
      <c r="BZ455" s="53" t="n"/>
      <c r="CA455" s="53" t="n"/>
      <c r="CB455" s="53" t="n"/>
      <c r="CC455" s="53" t="n"/>
      <c r="CD455" s="53" t="n"/>
      <c r="CE455" s="53" t="n"/>
      <c r="CF455" s="53" t="n"/>
      <c r="CG455" s="53" t="n"/>
      <c r="CH455" s="53" t="n"/>
      <c r="CI455" s="53" t="n"/>
      <c r="CJ455" s="53" t="n"/>
      <c r="CK455" s="53" t="n"/>
      <c r="CL455" s="53" t="n"/>
      <c r="CM455" s="53" t="n"/>
      <c r="CN455" s="53" t="n"/>
      <c r="CO455" s="53" t="n"/>
      <c r="CP455" s="53" t="n"/>
      <c r="CQ455" s="53" t="n"/>
      <c r="CR455" s="53" t="n"/>
      <c r="CS455" s="53" t="n"/>
      <c r="CT455" s="53" t="n"/>
      <c r="CU455" s="53" t="n"/>
      <c r="CV455" s="53" t="n"/>
      <c r="CW455" s="53" t="n"/>
      <c r="CX455" s="53" t="n"/>
      <c r="CY455" s="53" t="n"/>
      <c r="CZ455" s="53" t="n"/>
      <c r="DA455" s="53" t="n"/>
      <c r="DB455" s="53" t="n"/>
      <c r="DC455" s="53" t="n"/>
      <c r="DD455" s="53" t="inlineStr">
        <is>
          <t>IRIS0359</t>
        </is>
      </c>
      <c r="DE455" s="53" t="inlineStr">
        <is>
          <t>Employee</t>
        </is>
      </c>
      <c r="DF455" s="53" t="inlineStr">
        <is>
          <t>Active</t>
        </is>
      </c>
      <c r="DG455" s="53" t="inlineStr">
        <is>
          <t>Prasad Chavan</t>
        </is>
      </c>
      <c r="DH455" s="54" t="n">
        <v>40357</v>
      </c>
      <c r="DI455" s="53" t="inlineStr">
        <is>
          <t>Consultant</t>
        </is>
      </c>
      <c r="DJ455" s="53" t="inlineStr">
        <is>
          <t>Consulting &amp; Professional Services</t>
        </is>
      </c>
      <c r="DK455" s="53" t="inlineStr">
        <is>
          <t>XBRL / Regulatory Reporting</t>
        </is>
      </c>
      <c r="DL455" s="53" t="inlineStr">
        <is>
          <t>Consultant</t>
        </is>
      </c>
      <c r="DM455" s="53" t="inlineStr">
        <is>
          <t>L3 – Professional / Associate</t>
        </is>
      </c>
      <c r="DN455" s="53" t="inlineStr">
        <is>
          <t>B.Com</t>
        </is>
      </c>
      <c r="DO455" s="53" t="inlineStr">
        <is>
          <t>Sujeet Rathod</t>
        </is>
      </c>
      <c r="DP455" s="53" t="inlineStr">
        <is>
          <t>N-3</t>
        </is>
      </c>
      <c r="DQ455" s="53" t="inlineStr">
        <is>
          <t>Individual Contributor</t>
        </is>
      </c>
      <c r="DR455" s="53" t="inlineStr">
        <is>
          <t>0 years, 0 months, 0 days</t>
        </is>
      </c>
      <c r="DS455" s="53" t="inlineStr">
        <is>
          <t>15 years, 11 months, 23 days</t>
        </is>
      </c>
      <c r="DT455" s="53" t="inlineStr">
        <is>
          <t>15 years, 11 months, 23 days</t>
        </is>
      </c>
      <c r="DU455" s="53" t="n"/>
      <c r="DV455" s="53" t="inlineStr">
        <is>
          <t>Suptech</t>
        </is>
      </c>
      <c r="DW455" s="53" t="inlineStr">
        <is>
          <t>iFile</t>
        </is>
      </c>
      <c r="DX455" s="53" t="inlineStr">
        <is>
          <t>XBRL Consulting</t>
        </is>
      </c>
      <c r="DY455" s="53" t="inlineStr">
        <is>
          <t>Consulting</t>
        </is>
      </c>
      <c r="DZ455" s="53" t="inlineStr">
        <is>
          <t>No</t>
        </is>
      </c>
      <c r="EA455" s="53" t="inlineStr">
        <is>
          <t>Professional Services</t>
        </is>
      </c>
      <c r="EB455" s="53" t="inlineStr">
        <is>
          <t>XBRL Domain</t>
        </is>
      </c>
      <c r="EC455" s="53" t="inlineStr">
        <is>
          <t>Non-technical</t>
        </is>
      </c>
      <c r="ED455" s="53" t="inlineStr">
        <is>
          <t>Client Side</t>
        </is>
      </c>
      <c r="EE455" s="53" t="n"/>
      <c r="EF455"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5" s="53" t="inlineStr">
        <is>
          <t>1. Complete Q1 taxonomy build/test tasks on schedule · &gt;=95% on-time.
2. Close assigned iFILE support tickets within SLA.
3. Finish Q1 Excel/Webform test cycles with defect leakage &lt;2%.</t>
        </is>
      </c>
      <c r="EH455" s="53" t="inlineStr">
        <is>
          <t>3 – Meets Expectations</t>
        </is>
      </c>
      <c r="EI455" s="53" t="inlineStr">
        <is>
          <t>Last appraisal in Oct 2025</t>
        </is>
      </c>
      <c r="EJ455" s="53" t="inlineStr">
        <is>
          <t>Consultant</t>
        </is>
      </c>
      <c r="EK455" s="53" t="inlineStr">
        <is>
          <t>No change</t>
        </is>
      </c>
      <c r="EL455" s="53" t="n">
        <v>3</v>
      </c>
      <c r="EM455" s="53" t="inlineStr">
        <is>
          <t>Low</t>
        </is>
      </c>
      <c r="EN455" s="53" t="inlineStr">
        <is>
          <t>Trusted Professional</t>
        </is>
      </c>
      <c r="EO455" s="53" t="n"/>
      <c r="EP455" s="53" t="inlineStr">
        <is>
          <t>No</t>
        </is>
      </c>
      <c r="EQ455" s="53" t="n"/>
      <c r="ER455" s="53" t="inlineStr">
        <is>
          <t>To be identified</t>
        </is>
      </c>
      <c r="ES455" s="53" t="inlineStr">
        <is>
          <t>XBRL taxonomy &amp; regulatory updates; domain/accounting refreshers; quality &amp; accuracy practices; tooling proficiency</t>
        </is>
      </c>
      <c r="ET455" s="53" t="inlineStr">
        <is>
          <t>Transition to leadership: people management &amp; delegation, mentoring/coaching, project ownership &amp; stakeholder management, prioritisation under ambiguity, presentation &amp; influence skills</t>
        </is>
      </c>
      <c r="EU455" s="53" t="n"/>
      <c r="EV455" s="53" t="n"/>
      <c r="EW455" s="52" t="n"/>
      <c r="EX455" s="53" t="n"/>
      <c r="EY455" s="53" t="n"/>
      <c r="EZ455" s="53" t="n"/>
      <c r="FA455" s="53" t="n"/>
      <c r="FB455" s="53" t="n"/>
      <c r="FC455" s="53" t="n"/>
      <c r="FD455" s="53" t="n"/>
      <c r="FE455"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5" s="56" t="inlineStr">
        <is>
          <t>1. Complete Q1 taxonomy build/test tasks on schedule · &gt;=95% on-time.
2. Close assigned iFILE support tickets within SLA · &gt;=90%.
3. Finish Q1 Excel/Webform test cycles with defect leakage &lt;2%.</t>
        </is>
      </c>
      <c r="FG455" s="56" t="n"/>
      <c r="FH455" s="56" t="inlineStr">
        <is>
          <t>3 – Meets Expectations</t>
        </is>
      </c>
      <c r="FI455" s="56" t="n"/>
      <c r="FJ455" s="56" t="inlineStr">
        <is>
          <t>Received · manager annual, quarterly</t>
        </is>
      </c>
      <c r="FK455" s="56" t="inlineStr">
        <is>
          <t>Talent Mapping · iFile collated</t>
        </is>
      </c>
      <c r="FL455" s="56" t="n">
        <v>20</v>
      </c>
      <c r="FM455" s="32" t="inlineStr">
        <is>
          <t>Full survey answers not in the files received · How We Grow export needed · HR</t>
        </is>
      </c>
      <c r="FN455" s="56" t="inlineStr">
        <is>
          <t>—</t>
        </is>
      </c>
      <c r="FO455" s="56" t="inlineStr">
        <is>
          <t>—</t>
        </is>
      </c>
      <c r="FP455" s="56" t="inlineStr">
        <is>
          <t>—</t>
        </is>
      </c>
      <c r="FQ455" s="56" t="inlineStr">
        <is>
          <t>—</t>
        </is>
      </c>
      <c r="FR455" s="56"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taxonomy structure of own development; error means restart → moved down 0.5
Leadership: Evidence reads like A1: None described → moved down 0.5
Business Impact: No move: the survey / manager mapping does not mark it business-critical or unique.</t>
        </is>
      </c>
      <c r="FS455"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5" s="56" t="inlineStr">
        <is>
          <t>Self-identified: Answered · no common topic
For the next role: Answered · no common topic</t>
        </is>
      </c>
      <c r="FU455" s="32" t="inlineStr">
        <is>
          <t>Full survey answers not in the files received · How We Grow export needed · HR</t>
        </is>
      </c>
    </row>
    <row r="456" ht="90" customHeight="1">
      <c r="A456" s="51" t="inlineStr">
        <is>
          <t>◂ Back</t>
        </is>
      </c>
      <c r="B456" s="29" t="inlineStr">
        <is>
          <t>Mapped</t>
        </is>
      </c>
      <c r="C456" s="28" t="inlineStr">
        <is>
          <t>iFile</t>
        </is>
      </c>
      <c r="D456" s="29" t="inlineStr">
        <is>
          <t>IRIS0028</t>
        </is>
      </c>
      <c r="E456" s="29" t="inlineStr">
        <is>
          <t>Shashank Poipkar</t>
        </is>
      </c>
      <c r="F456" s="29" t="inlineStr">
        <is>
          <t>XBRL Consulting</t>
        </is>
      </c>
      <c r="G456" s="29" t="inlineStr">
        <is>
          <t>Senior Analyst</t>
        </is>
      </c>
      <c r="H456" s="29" t="inlineStr">
        <is>
          <t>Senior Taxonomy Analyst</t>
        </is>
      </c>
      <c r="I456" s="29" t="inlineStr">
        <is>
          <t>L4 – Senior</t>
        </is>
      </c>
      <c r="J456" s="29" t="inlineStr">
        <is>
          <t>A3</t>
        </is>
      </c>
      <c r="K456" s="29" t="inlineStr">
        <is>
          <t>• Same level</t>
        </is>
      </c>
      <c r="L456" s="29" t="inlineStr">
        <is>
          <t>Consulting &amp; Professional Services</t>
        </is>
      </c>
      <c r="M456" s="29" t="inlineStr">
        <is>
          <t>Taxonomy Design &amp; Regulatory Consulting</t>
        </is>
      </c>
      <c r="N456" s="29" t="n"/>
      <c r="O456" s="29" t="n">
        <v>20</v>
      </c>
      <c r="P456" s="28" t="inlineStr">
        <is>
          <t>P2</t>
        </is>
      </c>
      <c r="Q456" s="29" t="inlineStr">
        <is>
          <t>Developing</t>
        </is>
      </c>
      <c r="R456" s="29" t="inlineStr">
        <is>
          <t>3 Apply</t>
        </is>
      </c>
      <c r="S456" s="29" t="inlineStr">
        <is>
          <t>2–4 yrs</t>
        </is>
      </c>
      <c r="T456" s="29" t="inlineStr">
        <is>
          <t>3–5 · 2–5</t>
        </is>
      </c>
      <c r="U456" s="29" t="inlineStr">
        <is>
          <t>Senior Analyst / Associate</t>
        </is>
      </c>
      <c r="V456" s="29" t="inlineStr">
        <is>
          <t>DataTracks: Senior Associate · 2–5 yrs · Big Four: Consultant · IRIS Vs Market Benchmark — XBRL US credential pathway: XBRL US GAAP Certificate</t>
        </is>
      </c>
      <c r="W456" s="29" t="inlineStr">
        <is>
          <t>XBRL US GAAP Certificate · AICPA &amp; XBRL US; XBRL International specifications; IFRS / US GAAP / Ind AS</t>
        </is>
      </c>
      <c r="X456" s="29" t="inlineStr">
        <is>
          <t>Core 2 · Future 2 · Functional 3 · Leadership not scored</t>
        </is>
      </c>
      <c r="Y456" s="52" t="n">
        <v>14</v>
      </c>
      <c r="Z456" s="53" t="inlineStr">
        <is>
          <t>IRIS0028</t>
        </is>
      </c>
      <c r="AA456" s="53" t="inlineStr">
        <is>
          <t>Employee</t>
        </is>
      </c>
      <c r="AB456" s="53" t="inlineStr">
        <is>
          <t>Active</t>
        </is>
      </c>
      <c r="AC456" s="53" t="inlineStr">
        <is>
          <t>Shashank Poipkar</t>
        </is>
      </c>
      <c r="AD456" s="54" t="n">
        <v>38567</v>
      </c>
      <c r="AE456" s="53" t="inlineStr">
        <is>
          <t>Senior Analyst</t>
        </is>
      </c>
      <c r="AF456" s="53" t="inlineStr">
        <is>
          <t>B.Com</t>
        </is>
      </c>
      <c r="AG456" s="53" t="inlineStr">
        <is>
          <t>Sujeet Rathod</t>
        </is>
      </c>
      <c r="AH456" s="53" t="inlineStr">
        <is>
          <t>N-3</t>
        </is>
      </c>
      <c r="AI456" s="53" t="inlineStr">
        <is>
          <t>Individual Contributor</t>
        </is>
      </c>
      <c r="AJ456" s="53" t="inlineStr">
        <is>
          <t>0 years, 0 months, 0 days</t>
        </is>
      </c>
      <c r="AK456" s="53" t="inlineStr">
        <is>
          <t>21 years, 0 months, 22 days</t>
        </is>
      </c>
      <c r="AL456" s="53" t="inlineStr">
        <is>
          <t>Suptech</t>
        </is>
      </c>
      <c r="AM456" s="53" t="inlineStr">
        <is>
          <t>iFile</t>
        </is>
      </c>
      <c r="AN456" s="53" t="inlineStr">
        <is>
          <t>XBRL Consulting</t>
        </is>
      </c>
      <c r="AO456" s="53" t="inlineStr">
        <is>
          <t>Consulting</t>
        </is>
      </c>
      <c r="AP456" s="53" t="inlineStr">
        <is>
          <t>No</t>
        </is>
      </c>
      <c r="AQ456" s="53" t="inlineStr">
        <is>
          <t>Professional Services</t>
        </is>
      </c>
      <c r="AR456" s="53" t="inlineStr">
        <is>
          <t>XBRL Domain</t>
        </is>
      </c>
      <c r="AS456" s="53" t="inlineStr">
        <is>
          <t>Non-technical</t>
        </is>
      </c>
      <c r="AT456" s="53" t="n">
        <v>20</v>
      </c>
      <c r="AU456" s="53" t="inlineStr">
        <is>
          <t>Covered</t>
        </is>
      </c>
      <c r="AV456" s="53" t="n"/>
      <c r="AW456" s="53" t="n"/>
      <c r="AX456" s="53" t="n"/>
      <c r="AY456" s="53" t="n"/>
      <c r="AZ456" s="53" t="n"/>
      <c r="BA456" s="53" t="n"/>
      <c r="BB456" s="53" t="n"/>
      <c r="BC456" s="53" t="n"/>
      <c r="BD456" s="53" t="n"/>
      <c r="BE456" s="53" t="n"/>
      <c r="BF456" s="53" t="n"/>
      <c r="BG456" s="53" t="n"/>
      <c r="BH456" s="53" t="n"/>
      <c r="BI456" s="53" t="n"/>
      <c r="BJ456" s="53" t="n"/>
      <c r="BK456" s="53" t="n"/>
      <c r="BL456" s="53" t="n"/>
      <c r="BM456" s="53" t="n"/>
      <c r="BN456" s="53" t="n"/>
      <c r="BO456" s="53" t="n"/>
      <c r="BP456" s="53" t="n"/>
      <c r="BQ456" s="53" t="n"/>
      <c r="BR456" s="53" t="n"/>
      <c r="BS456" s="53" t="n"/>
      <c r="BT456" s="53" t="n"/>
      <c r="BU456" s="53" t="n"/>
      <c r="BV456" s="53" t="n"/>
      <c r="BW456" s="53" t="n"/>
      <c r="BX456" s="53" t="n"/>
      <c r="BY456" s="53" t="n"/>
      <c r="BZ456" s="53" t="n"/>
      <c r="CA456" s="53" t="n"/>
      <c r="CB456" s="53" t="n"/>
      <c r="CC456" s="53" t="n"/>
      <c r="CD456" s="53" t="n"/>
      <c r="CE456" s="53" t="n"/>
      <c r="CF456" s="53" t="n"/>
      <c r="CG456" s="53" t="n"/>
      <c r="CH456" s="53" t="n"/>
      <c r="CI456" s="53" t="n"/>
      <c r="CJ456" s="53" t="n"/>
      <c r="CK456" s="53" t="n"/>
      <c r="CL456" s="53" t="n"/>
      <c r="CM456" s="53" t="n"/>
      <c r="CN456" s="53" t="n"/>
      <c r="CO456" s="53" t="n"/>
      <c r="CP456" s="53" t="n"/>
      <c r="CQ456" s="53" t="n"/>
      <c r="CR456" s="53" t="n"/>
      <c r="CS456" s="53" t="n"/>
      <c r="CT456" s="53" t="n"/>
      <c r="CU456" s="53" t="n"/>
      <c r="CV456" s="53" t="n"/>
      <c r="CW456" s="53" t="n"/>
      <c r="CX456" s="53" t="n"/>
      <c r="CY456" s="53" t="n"/>
      <c r="CZ456" s="53" t="n"/>
      <c r="DA456" s="53" t="n"/>
      <c r="DB456" s="53" t="n"/>
      <c r="DC456" s="53" t="n"/>
      <c r="DD456" s="53" t="inlineStr">
        <is>
          <t>IRIS0028</t>
        </is>
      </c>
      <c r="DE456" s="53" t="inlineStr">
        <is>
          <t>Employee</t>
        </is>
      </c>
      <c r="DF456" s="53" t="inlineStr">
        <is>
          <t>Active</t>
        </is>
      </c>
      <c r="DG456" s="53" t="inlineStr">
        <is>
          <t>Shashank Poipkar</t>
        </is>
      </c>
      <c r="DH456" s="54" t="n">
        <v>38567</v>
      </c>
      <c r="DI456" s="53" t="inlineStr">
        <is>
          <t>Senior Analyst</t>
        </is>
      </c>
      <c r="DJ456" s="53" t="inlineStr">
        <is>
          <t>Consulting &amp; Professional Services</t>
        </is>
      </c>
      <c r="DK456" s="53" t="inlineStr">
        <is>
          <t>XBRL / Regulatory Reporting</t>
        </is>
      </c>
      <c r="DL456" s="53" t="inlineStr">
        <is>
          <t>Senior Analyst</t>
        </is>
      </c>
      <c r="DM456" s="53" t="inlineStr">
        <is>
          <t>L4 – Senior</t>
        </is>
      </c>
      <c r="DN456" s="53" t="inlineStr">
        <is>
          <t>B.Com</t>
        </is>
      </c>
      <c r="DO456" s="53" t="inlineStr">
        <is>
          <t>Sujeet Rathod</t>
        </is>
      </c>
      <c r="DP456" s="53" t="inlineStr">
        <is>
          <t>N-3</t>
        </is>
      </c>
      <c r="DQ456" s="53" t="inlineStr">
        <is>
          <t>Individual Contributor</t>
        </is>
      </c>
      <c r="DR456" s="53" t="inlineStr">
        <is>
          <t>0 years, 0 months, 0 days</t>
        </is>
      </c>
      <c r="DS456" s="53" t="inlineStr">
        <is>
          <t>20 years, 10 months, 17 days</t>
        </is>
      </c>
      <c r="DT456" s="53" t="inlineStr">
        <is>
          <t>20 years, 10 months, 17 days</t>
        </is>
      </c>
      <c r="DU456" s="53" t="n"/>
      <c r="DV456" s="53" t="inlineStr">
        <is>
          <t>Suptech</t>
        </is>
      </c>
      <c r="DW456" s="53" t="inlineStr">
        <is>
          <t>iFile</t>
        </is>
      </c>
      <c r="DX456" s="53" t="inlineStr">
        <is>
          <t>XBRL Consulting</t>
        </is>
      </c>
      <c r="DY456" s="53" t="inlineStr">
        <is>
          <t>Consulting</t>
        </is>
      </c>
      <c r="DZ456" s="53" t="inlineStr">
        <is>
          <t>No</t>
        </is>
      </c>
      <c r="EA456" s="53" t="inlineStr">
        <is>
          <t>Professional Services</t>
        </is>
      </c>
      <c r="EB456" s="53" t="inlineStr">
        <is>
          <t>XBRL Domain</t>
        </is>
      </c>
      <c r="EC456" s="53" t="inlineStr">
        <is>
          <t>Non-technical</t>
        </is>
      </c>
      <c r="ED456" s="53" t="inlineStr">
        <is>
          <t>Work From Office - Turbhe</t>
        </is>
      </c>
      <c r="EE456" s="53" t="n"/>
      <c r="EF456"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6" s="53" t="inlineStr">
        <is>
          <t>1. Complete Q1 taxonomy build/test tasks on schedule · &gt;=95% on-time.
2. Close assigned iFILE support tickets within SLA.
3. Finish Q1 Excel/Webform test cycles with defect leakage &lt;2%.</t>
        </is>
      </c>
      <c r="EH456" s="53" t="inlineStr">
        <is>
          <t>3 – Meets Expectations</t>
        </is>
      </c>
      <c r="EI456" s="53" t="inlineStr">
        <is>
          <t>Last appraisal in Oct 2025</t>
        </is>
      </c>
      <c r="EJ456" s="53" t="inlineStr">
        <is>
          <t>Senior Analyst</t>
        </is>
      </c>
      <c r="EK456" s="53" t="inlineStr">
        <is>
          <t>No change</t>
        </is>
      </c>
      <c r="EL456" s="53" t="n">
        <v>3</v>
      </c>
      <c r="EM456" s="53" t="inlineStr">
        <is>
          <t>Low</t>
        </is>
      </c>
      <c r="EN456" s="53" t="inlineStr">
        <is>
          <t>Core Contributor</t>
        </is>
      </c>
      <c r="EO456" s="53" t="n"/>
      <c r="EP456" s="53" t="inlineStr">
        <is>
          <t>No</t>
        </is>
      </c>
      <c r="EQ456" s="53" t="n"/>
      <c r="ER456" s="53" t="inlineStr">
        <is>
          <t>To be identified</t>
        </is>
      </c>
      <c r="ES456" s="53" t="inlineStr">
        <is>
          <t>XBRL taxonomy &amp; regulatory updates; domain/accounting refreshers; quality &amp; accuracy practices; tooling proficiency</t>
        </is>
      </c>
      <c r="ET456" s="53" t="inlineStr">
        <is>
          <t>Transition to leadership: people management &amp; delegation, mentoring/coaching, project ownership &amp; stakeholder management, prioritisation under ambiguity, presentation &amp; influence skills</t>
        </is>
      </c>
      <c r="EU456" s="53" t="inlineStr">
        <is>
          <t>IFSCA,GTA,Pre-sales,IRIS Buschat, IRIS Noah</t>
        </is>
      </c>
      <c r="EV456" s="53" t="n"/>
      <c r="EW456" s="52" t="n"/>
      <c r="EX456" s="53" t="n"/>
      <c r="EY456" s="53" t="n"/>
      <c r="EZ456" s="53" t="n"/>
      <c r="FA456" s="53" t="n"/>
      <c r="FB456" s="53" t="n"/>
      <c r="FC456" s="53" t="n"/>
      <c r="FD456" s="53" t="n"/>
      <c r="FE456"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6" s="56" t="inlineStr">
        <is>
          <t>1. Complete Q1 taxonomy build/test tasks on schedule · &gt;=95% on-time.
2. Close assigned iFILE support tickets within SLA · &gt;=90%.
3. Finish Q1 Excel/Webform test cycles with defect leakage &lt;2%.</t>
        </is>
      </c>
      <c r="FG456" s="56" t="n"/>
      <c r="FH456" s="56" t="inlineStr">
        <is>
          <t>3 – Meets Expectations</t>
        </is>
      </c>
      <c r="FI456" s="56" t="n"/>
      <c r="FJ456" s="56" t="inlineStr">
        <is>
          <t>Received · manager annual, quarterly</t>
        </is>
      </c>
      <c r="FK456" s="56" t="inlineStr">
        <is>
          <t>Talent Mapping · iFile collated</t>
        </is>
      </c>
      <c r="FL456" s="56" t="n">
        <v>20</v>
      </c>
      <c r="FM456" s="32" t="inlineStr">
        <is>
          <t>Full survey answers not in the files received · How We Grow export needed · HR</t>
        </is>
      </c>
      <c r="FN456" s="56" t="inlineStr">
        <is>
          <t>—</t>
        </is>
      </c>
      <c r="FO456" s="56" t="inlineStr">
        <is>
          <t>—</t>
        </is>
      </c>
      <c r="FP456" s="56" t="inlineStr">
        <is>
          <t>—</t>
        </is>
      </c>
      <c r="FQ456" s="56" t="inlineStr">
        <is>
          <t>—</t>
        </is>
      </c>
      <c r="FR456" s="56"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described → moved down 0.5
Business Impact: No survey or manager-mapping signal on criticality: kept at the start point.</t>
        </is>
      </c>
      <c r="FS456"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6" s="56" t="inlineStr">
        <is>
          <t>Self-identified: Project / programme management · Broader exposure &amp; ownership
For the next role: Project / programme management · Broader exposure &amp; ownership</t>
        </is>
      </c>
      <c r="FU456" s="32" t="inlineStr">
        <is>
          <t>Full survey answers not in the files received · How We Grow export needed · HR</t>
        </is>
      </c>
    </row>
    <row r="457" ht="90" customHeight="1">
      <c r="A457" s="51" t="inlineStr">
        <is>
          <t>◂ Back</t>
        </is>
      </c>
      <c r="B457" s="29" t="inlineStr">
        <is>
          <t>Mapped</t>
        </is>
      </c>
      <c r="C457" s="28" t="inlineStr">
        <is>
          <t>iFile</t>
        </is>
      </c>
      <c r="D457" s="29" t="inlineStr">
        <is>
          <t>IRIS1063</t>
        </is>
      </c>
      <c r="E457" s="29" t="inlineStr">
        <is>
          <t>Vishram Modak</t>
        </is>
      </c>
      <c r="F457" s="29" t="inlineStr">
        <is>
          <t>XBRL Consulting</t>
        </is>
      </c>
      <c r="G457" s="29" t="inlineStr">
        <is>
          <t>Senior consultant</t>
        </is>
      </c>
      <c r="H457" s="29" t="inlineStr">
        <is>
          <t>Senior Taxonomy Specialist</t>
        </is>
      </c>
      <c r="I457" s="29" t="inlineStr">
        <is>
          <t>L4 – Senior</t>
        </is>
      </c>
      <c r="J457" s="29" t="inlineStr">
        <is>
          <t>B2</t>
        </is>
      </c>
      <c r="K457" s="29" t="inlineStr">
        <is>
          <t>▲ Up</t>
        </is>
      </c>
      <c r="L457" s="29" t="inlineStr">
        <is>
          <t>Consulting &amp; Professional Services</t>
        </is>
      </c>
      <c r="M457" s="29" t="inlineStr">
        <is>
          <t>Taxonomy Design &amp; Regulatory Consulting</t>
        </is>
      </c>
      <c r="N457" s="29" t="n"/>
      <c r="O457" s="29" t="n">
        <v>20</v>
      </c>
      <c r="P457" s="28" t="inlineStr">
        <is>
          <t>P4 / M3</t>
        </is>
      </c>
      <c r="Q457" s="29" t="inlineStr">
        <is>
          <t>Senior / Manager</t>
        </is>
      </c>
      <c r="R457" s="29" t="inlineStr">
        <is>
          <t>4–5</t>
        </is>
      </c>
      <c r="S457" s="29" t="inlineStr">
        <is>
          <t>6–9 yrs</t>
        </is>
      </c>
      <c r="T457" s="29" t="inlineStr">
        <is>
          <t>7–10 · 6–11</t>
        </is>
      </c>
      <c r="U457" s="29" t="inlineStr">
        <is>
          <t>Senior Consultant / Team Lead</t>
        </is>
      </c>
      <c r="V457" s="29" t="inlineStr">
        <is>
          <t>Big Four: Manager · IRIS Vs Market Benchmark — XBRL US credential pathway: Certificate + review authority</t>
        </is>
      </c>
      <c r="W457" s="29" t="inlineStr">
        <is>
          <t>XBRL US GAAP Certificate · AICPA &amp; XBRL US; XBRL International specifications; IFRS / US GAAP / Ind AS</t>
        </is>
      </c>
      <c r="X457" s="29" t="inlineStr">
        <is>
          <t>Core 3 · Future 3 · Functional 4 · Leadership 2</t>
        </is>
      </c>
      <c r="Y457" s="52" t="n">
        <v>106</v>
      </c>
      <c r="Z457" s="53" t="inlineStr">
        <is>
          <t>IRIS1063</t>
        </is>
      </c>
      <c r="AA457" s="53" t="inlineStr">
        <is>
          <t>Employee</t>
        </is>
      </c>
      <c r="AB457" s="53" t="inlineStr">
        <is>
          <t>Active</t>
        </is>
      </c>
      <c r="AC457" s="53" t="inlineStr">
        <is>
          <t>Vishram Modak</t>
        </is>
      </c>
      <c r="AD457" s="54" t="n">
        <v>41008</v>
      </c>
      <c r="AE457" s="53" t="inlineStr">
        <is>
          <t>Senior consultant</t>
        </is>
      </c>
      <c r="AF457" s="53" t="inlineStr">
        <is>
          <t>CA</t>
        </is>
      </c>
      <c r="AG457" s="53" t="inlineStr">
        <is>
          <t>Rahul Dhamne</t>
        </is>
      </c>
      <c r="AH457" s="53" t="inlineStr">
        <is>
          <t>N-2</t>
        </is>
      </c>
      <c r="AI457" s="53" t="inlineStr">
        <is>
          <t>Individual Contributor</t>
        </is>
      </c>
      <c r="AJ457" s="53" t="inlineStr">
        <is>
          <t>7 years, 8 months, 0 days</t>
        </is>
      </c>
      <c r="AK457" s="53" t="inlineStr">
        <is>
          <t>14 years, 4 months, 16 days</t>
        </is>
      </c>
      <c r="AL457" s="53" t="inlineStr">
        <is>
          <t>Suptech</t>
        </is>
      </c>
      <c r="AM457" s="53" t="inlineStr">
        <is>
          <t>iFile</t>
        </is>
      </c>
      <c r="AN457" s="53" t="inlineStr">
        <is>
          <t>XBRL Consulting</t>
        </is>
      </c>
      <c r="AO457" s="53" t="inlineStr">
        <is>
          <t>Consulting</t>
        </is>
      </c>
      <c r="AP457" s="53" t="inlineStr">
        <is>
          <t>No</t>
        </is>
      </c>
      <c r="AQ457" s="53" t="inlineStr">
        <is>
          <t>Professional Services</t>
        </is>
      </c>
      <c r="AR457" s="53" t="inlineStr">
        <is>
          <t>XBRL Domain</t>
        </is>
      </c>
      <c r="AS457" s="53" t="inlineStr">
        <is>
          <t>Non-technical</t>
        </is>
      </c>
      <c r="AT457" s="53" t="n">
        <v>20</v>
      </c>
      <c r="AU457" s="53" t="inlineStr">
        <is>
          <t>Covered</t>
        </is>
      </c>
      <c r="AV457" s="53" t="n"/>
      <c r="AW457" s="53" t="n"/>
      <c r="AX457" s="53" t="n"/>
      <c r="AY457" s="53" t="n"/>
      <c r="AZ457" s="53" t="n"/>
      <c r="BA457" s="53" t="n"/>
      <c r="BB457" s="53" t="n"/>
      <c r="BC457" s="53" t="n"/>
      <c r="BD457" s="53" t="n"/>
      <c r="BE457" s="53" t="n"/>
      <c r="BF457" s="53" t="n"/>
      <c r="BG457" s="53" t="n"/>
      <c r="BH457" s="53" t="n"/>
      <c r="BI457" s="53" t="n"/>
      <c r="BJ457" s="53" t="n"/>
      <c r="BK457" s="53" t="n"/>
      <c r="BL457" s="53" t="n"/>
      <c r="BM457" s="53" t="n"/>
      <c r="BN457" s="53" t="n"/>
      <c r="BO457" s="53" t="n"/>
      <c r="BP457" s="53" t="n"/>
      <c r="BQ457" s="53" t="n"/>
      <c r="BR457" s="53" t="n"/>
      <c r="BS457" s="53" t="n"/>
      <c r="BT457" s="53" t="n"/>
      <c r="BU457" s="53" t="n"/>
      <c r="BV457" s="53" t="n"/>
      <c r="BW457" s="53" t="n"/>
      <c r="BX457" s="53" t="n"/>
      <c r="BY457" s="53" t="n"/>
      <c r="BZ457" s="53" t="n"/>
      <c r="CA457" s="53" t="n"/>
      <c r="CB457" s="53" t="n"/>
      <c r="CC457" s="53" t="n"/>
      <c r="CD457" s="53" t="n"/>
      <c r="CE457" s="53" t="n"/>
      <c r="CF457" s="53" t="n"/>
      <c r="CG457" s="53" t="n"/>
      <c r="CH457" s="53" t="n"/>
      <c r="CI457" s="53" t="n"/>
      <c r="CJ457" s="53" t="n"/>
      <c r="CK457" s="53" t="n"/>
      <c r="CL457" s="53" t="n"/>
      <c r="CM457" s="53" t="n"/>
      <c r="CN457" s="53" t="n"/>
      <c r="CO457" s="53" t="n"/>
      <c r="CP457" s="53" t="n"/>
      <c r="CQ457" s="53" t="n"/>
      <c r="CR457" s="53" t="n"/>
      <c r="CS457" s="53" t="n"/>
      <c r="CT457" s="53" t="n"/>
      <c r="CU457" s="53" t="n"/>
      <c r="CV457" s="53" t="n"/>
      <c r="CW457" s="53" t="n"/>
      <c r="CX457" s="53" t="n"/>
      <c r="CY457" s="53" t="n"/>
      <c r="CZ457" s="53" t="n"/>
      <c r="DA457" s="53" t="n"/>
      <c r="DB457" s="53" t="n"/>
      <c r="DC457" s="53" t="n"/>
      <c r="DD457" s="53" t="inlineStr">
        <is>
          <t>IRIS1063</t>
        </is>
      </c>
      <c r="DE457" s="53" t="inlineStr">
        <is>
          <t>Employee</t>
        </is>
      </c>
      <c r="DF457" s="53" t="inlineStr">
        <is>
          <t>Active</t>
        </is>
      </c>
      <c r="DG457" s="53" t="inlineStr">
        <is>
          <t>Vishram Modak</t>
        </is>
      </c>
      <c r="DH457" s="54" t="n">
        <v>41008</v>
      </c>
      <c r="DI457" s="53" t="inlineStr">
        <is>
          <t>Senior consultant</t>
        </is>
      </c>
      <c r="DJ457" s="53" t="inlineStr">
        <is>
          <t>Consulting &amp; Professional Services</t>
        </is>
      </c>
      <c r="DK457" s="53" t="inlineStr">
        <is>
          <t>XBRL / Regulatory Reporting</t>
        </is>
      </c>
      <c r="DL457" s="53" t="inlineStr">
        <is>
          <t>Senior consultant</t>
        </is>
      </c>
      <c r="DM457" s="53" t="inlineStr">
        <is>
          <t>L4 – Senior</t>
        </is>
      </c>
      <c r="DN457" s="53" t="inlineStr">
        <is>
          <t>CA</t>
        </is>
      </c>
      <c r="DO457" s="53" t="inlineStr">
        <is>
          <t>Rahul Dhamne</t>
        </is>
      </c>
      <c r="DP457" s="53" t="inlineStr">
        <is>
          <t>N-2</t>
        </is>
      </c>
      <c r="DQ457" s="53" t="inlineStr">
        <is>
          <t>Individual Contributor</t>
        </is>
      </c>
      <c r="DR457" s="53" t="inlineStr">
        <is>
          <t>7 years, 8 months, 0 days</t>
        </is>
      </c>
      <c r="DS457" s="53" t="inlineStr">
        <is>
          <t>14 years, 2 months, 11 days</t>
        </is>
      </c>
      <c r="DT457" s="53" t="inlineStr">
        <is>
          <t>21 years, 10 months, 11 days</t>
        </is>
      </c>
      <c r="DU457" s="53" t="n"/>
      <c r="DV457" s="53" t="inlineStr">
        <is>
          <t>Suptech</t>
        </is>
      </c>
      <c r="DW457" s="53" t="inlineStr">
        <is>
          <t>iFile</t>
        </is>
      </c>
      <c r="DX457" s="53" t="inlineStr">
        <is>
          <t>XBRL Consulting</t>
        </is>
      </c>
      <c r="DY457" s="53" t="inlineStr">
        <is>
          <t>Consulting</t>
        </is>
      </c>
      <c r="DZ457" s="53" t="inlineStr">
        <is>
          <t>No</t>
        </is>
      </c>
      <c r="EA457" s="53" t="inlineStr">
        <is>
          <t>Professional Services</t>
        </is>
      </c>
      <c r="EB457" s="53" t="inlineStr">
        <is>
          <t>XBRL Domain</t>
        </is>
      </c>
      <c r="EC457" s="53" t="inlineStr">
        <is>
          <t>Non-technical</t>
        </is>
      </c>
      <c r="ED457" s="53" t="inlineStr">
        <is>
          <t>Remote- Outside Mumbai</t>
        </is>
      </c>
      <c r="EE457" s="53" t="n"/>
      <c r="EF457"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7"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7" s="53" t="inlineStr">
        <is>
          <t>3 – Meets Expectations</t>
        </is>
      </c>
      <c r="EI457" s="53" t="inlineStr">
        <is>
          <t>Last appraisal in Oct 2025</t>
        </is>
      </c>
      <c r="EJ457" s="53" t="inlineStr">
        <is>
          <t>Senior consultant</t>
        </is>
      </c>
      <c r="EK457" s="53" t="inlineStr">
        <is>
          <t>No change</t>
        </is>
      </c>
      <c r="EL457" s="53" t="n">
        <v>3</v>
      </c>
      <c r="EM457" s="53" t="inlineStr">
        <is>
          <t>Medium</t>
        </is>
      </c>
      <c r="EN457" s="53" t="inlineStr">
        <is>
          <t>Reliable Specialist</t>
        </is>
      </c>
      <c r="EO457" s="53" t="n"/>
      <c r="EP457" s="53" t="inlineStr">
        <is>
          <t>No</t>
        </is>
      </c>
      <c r="EQ457" s="53" t="n"/>
      <c r="ER457" s="53" t="inlineStr">
        <is>
          <t>Separate successor for different project</t>
        </is>
      </c>
      <c r="ES457" s="53" t="inlineStr">
        <is>
          <t>XBRL taxonomy &amp; regulatory updates; domain/accounting refreshers; quality &amp; accuracy practices; tooling proficiency</t>
        </is>
      </c>
      <c r="ET457" s="53" t="inlineStr">
        <is>
          <t>Transition to leadership: people management &amp; delegation, mentoring/coaching, project ownership &amp; stakeholder management, prioritisation under ambiguity, presentation &amp; influence skills</t>
        </is>
      </c>
      <c r="EU457" s="53" t="inlineStr">
        <is>
          <t>IRIS Instant - MBRS</t>
        </is>
      </c>
      <c r="EV457" s="53" t="n"/>
      <c r="EW457" s="52" t="n"/>
      <c r="EX457" s="53" t="n"/>
      <c r="EY457" s="53" t="n"/>
      <c r="EZ457" s="53" t="n"/>
      <c r="FA457" s="53" t="n"/>
      <c r="FB457" s="53" t="n"/>
      <c r="FC457" s="53" t="n"/>
      <c r="FD457" s="53" t="n"/>
      <c r="FE457"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7"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7" s="56" t="n"/>
      <c r="FH457" s="56" t="inlineStr">
        <is>
          <t>3 – Meets Expectations</t>
        </is>
      </c>
      <c r="FI457" s="56" t="n"/>
      <c r="FJ457" s="56" t="inlineStr">
        <is>
          <t>Received · manager annual, quarterly</t>
        </is>
      </c>
      <c r="FK457" s="56" t="inlineStr">
        <is>
          <t>Talent Mapping · iFile collated</t>
        </is>
      </c>
      <c r="FL457" s="56" t="n">
        <v>20</v>
      </c>
      <c r="FM457" s="32" t="inlineStr">
        <is>
          <t>Full survey answers not in the files received · How We Grow export needed · HR</t>
        </is>
      </c>
      <c r="FN457" s="56" t="inlineStr">
        <is>
          <t>—</t>
        </is>
      </c>
      <c r="FO457" s="56" t="inlineStr">
        <is>
          <t>—</t>
        </is>
      </c>
      <c r="FP457" s="56" t="inlineStr">
        <is>
          <t>—</t>
        </is>
      </c>
      <c r="FQ457" s="56" t="inlineStr">
        <is>
          <t>—</t>
        </is>
      </c>
      <c r="FR457" s="56"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regulator's purpose; project failure and reputation risk → moved down 0.5
Leadership: Evidence reads like A1: Stakeholder coordination only; no guiding of others described → moved down 0.5
Business Impact: No survey or manager-mapping signal on criticality: kept at the start point.</t>
        </is>
      </c>
      <c r="FS457" s="56" t="inlineStr">
        <is>
          <t>Common themes in role-holders' answers: taxonomy
Measured on · manager-set KRA themes: ifile business · analyst contribute · resolve · domain delivery · serve analyst · milestones on-time.</t>
        </is>
      </c>
      <c r="FT457" s="56" t="inlineStr">
        <is>
          <t>Self-identified: Answered · no common topic
For the next role: Answered · no common topic</t>
        </is>
      </c>
      <c r="FU457" s="32" t="inlineStr">
        <is>
          <t>Full survey answers not in the files received · How We Grow export needed · HR</t>
        </is>
      </c>
    </row>
    <row r="458" ht="90" customHeight="1">
      <c r="A458" s="51" t="inlineStr">
        <is>
          <t>◂ Back</t>
        </is>
      </c>
      <c r="B458" s="29" t="inlineStr">
        <is>
          <t>Mapped</t>
        </is>
      </c>
      <c r="C458" s="28" t="inlineStr">
        <is>
          <t>iFile</t>
        </is>
      </c>
      <c r="D458" s="29" t="inlineStr">
        <is>
          <t>IRIS0557</t>
        </is>
      </c>
      <c r="E458" s="29" t="inlineStr">
        <is>
          <t>Shrinidhi Shetty</t>
        </is>
      </c>
      <c r="F458" s="29" t="inlineStr">
        <is>
          <t>XBRL Consulting</t>
        </is>
      </c>
      <c r="G458" s="29" t="inlineStr">
        <is>
          <t>Consultant</t>
        </is>
      </c>
      <c r="H458" s="29" t="inlineStr">
        <is>
          <t>Taxonomy Specialist</t>
        </is>
      </c>
      <c r="I458" s="29" t="inlineStr">
        <is>
          <t>L3 – Professional / Associate</t>
        </is>
      </c>
      <c r="J458" s="29" t="inlineStr">
        <is>
          <t>B1</t>
        </is>
      </c>
      <c r="K458" s="29" t="inlineStr">
        <is>
          <t>▲ Up</t>
        </is>
      </c>
      <c r="L458" s="29" t="inlineStr">
        <is>
          <t>Consulting &amp; Professional Services</t>
        </is>
      </c>
      <c r="M458" s="29" t="inlineStr">
        <is>
          <t>Taxonomy Design &amp; Regulatory Consulting</t>
        </is>
      </c>
      <c r="N458" s="29" t="n"/>
      <c r="O458" s="29" t="n">
        <v>20</v>
      </c>
      <c r="P458" s="28" t="inlineStr">
        <is>
          <t>P3 / M2</t>
        </is>
      </c>
      <c r="Q458" s="29" t="inlineStr">
        <is>
          <t>Career / · Team Lead</t>
        </is>
      </c>
      <c r="R458" s="29" t="inlineStr">
        <is>
          <t>4 Enable</t>
        </is>
      </c>
      <c r="S458" s="29" t="inlineStr">
        <is>
          <t>4–7 yrs</t>
        </is>
      </c>
      <c r="T458" s="29" t="inlineStr">
        <is>
          <t>5–8 · 4–8</t>
        </is>
      </c>
      <c r="U458" s="29" t="inlineStr">
        <is>
          <t>Consultant / Senior Associate</t>
        </is>
      </c>
      <c r="V458" s="29" t="inlineStr">
        <is>
          <t>Big Four: Senior Consultant · IRIS Vs Market Benchmark — XBRL US credential pathway: Certificate + specialist taxonomy</t>
        </is>
      </c>
      <c r="W458" s="29" t="inlineStr">
        <is>
          <t>XBRL US GAAP Certificate · AICPA &amp; XBRL US; XBRL International specifications; IFRS / US GAAP / Ind AS</t>
        </is>
      </c>
      <c r="X458" s="29" t="inlineStr">
        <is>
          <t>Core 3 · Future 3 · Functional 3 · Leadership 1</t>
        </is>
      </c>
      <c r="Y458" s="52" t="n">
        <v>63</v>
      </c>
      <c r="Z458" s="53" t="inlineStr">
        <is>
          <t>IRIS0557</t>
        </is>
      </c>
      <c r="AA458" s="53" t="inlineStr">
        <is>
          <t>Employee</t>
        </is>
      </c>
      <c r="AB458" s="53" t="inlineStr">
        <is>
          <t>Active</t>
        </is>
      </c>
      <c r="AC458" s="53" t="inlineStr">
        <is>
          <t>Shrinidhi Shetty</t>
        </is>
      </c>
      <c r="AD458" s="54" t="n">
        <v>40511</v>
      </c>
      <c r="AE458" s="53" t="inlineStr">
        <is>
          <t>Consultant</t>
        </is>
      </c>
      <c r="AF458" s="53" t="inlineStr">
        <is>
          <t>CA</t>
        </is>
      </c>
      <c r="AG458" s="53" t="inlineStr">
        <is>
          <t>Rahul Dhamne</t>
        </is>
      </c>
      <c r="AH458" s="53" t="inlineStr">
        <is>
          <t>N-2</t>
        </is>
      </c>
      <c r="AI458" s="53" t="inlineStr">
        <is>
          <t>Individual Contributor</t>
        </is>
      </c>
      <c r="AJ458" s="53" t="inlineStr">
        <is>
          <t>0 years, 0 months, 0 days</t>
        </is>
      </c>
      <c r="AK458" s="53" t="inlineStr">
        <is>
          <t>15 years, 8 months, 27 days</t>
        </is>
      </c>
      <c r="AL458" s="53" t="inlineStr">
        <is>
          <t>Suptech</t>
        </is>
      </c>
      <c r="AM458" s="53" t="inlineStr">
        <is>
          <t>iFile</t>
        </is>
      </c>
      <c r="AN458" s="53" t="inlineStr">
        <is>
          <t>XBRL Consulting</t>
        </is>
      </c>
      <c r="AO458" s="53" t="inlineStr">
        <is>
          <t>Consulting</t>
        </is>
      </c>
      <c r="AP458" s="53" t="inlineStr">
        <is>
          <t>No</t>
        </is>
      </c>
      <c r="AQ458" s="53" t="inlineStr">
        <is>
          <t>Professional Services</t>
        </is>
      </c>
      <c r="AR458" s="53" t="inlineStr">
        <is>
          <t>XBRL Domain</t>
        </is>
      </c>
      <c r="AS458" s="53" t="inlineStr">
        <is>
          <t>Non-technical</t>
        </is>
      </c>
      <c r="AT458" s="53" t="n">
        <v>20</v>
      </c>
      <c r="AU458" s="53" t="inlineStr">
        <is>
          <t>Covered</t>
        </is>
      </c>
      <c r="AV458" s="53" t="n"/>
      <c r="AW458" s="53" t="n"/>
      <c r="AX458" s="53" t="n"/>
      <c r="AY458" s="53" t="n"/>
      <c r="AZ458" s="53" t="n"/>
      <c r="BA458" s="53" t="n"/>
      <c r="BB458" s="53" t="n"/>
      <c r="BC458" s="53" t="n"/>
      <c r="BD458" s="53" t="n"/>
      <c r="BE458" s="53" t="n"/>
      <c r="BF458" s="53" t="n"/>
      <c r="BG458" s="53" t="n"/>
      <c r="BH458" s="53" t="n"/>
      <c r="BI458" s="53" t="n"/>
      <c r="BJ458" s="53" t="n"/>
      <c r="BK458" s="53" t="n"/>
      <c r="BL458" s="53" t="n"/>
      <c r="BM458" s="53" t="n"/>
      <c r="BN458" s="53" t="n"/>
      <c r="BO458" s="53" t="n"/>
      <c r="BP458" s="53" t="n"/>
      <c r="BQ458" s="53" t="n"/>
      <c r="BR458" s="53" t="n"/>
      <c r="BS458" s="53" t="n"/>
      <c r="BT458" s="53" t="n"/>
      <c r="BU458" s="53" t="n"/>
      <c r="BV458" s="53" t="n"/>
      <c r="BW458" s="53" t="n"/>
      <c r="BX458" s="53" t="n"/>
      <c r="BY458" s="53" t="n"/>
      <c r="BZ458" s="53" t="n"/>
      <c r="CA458" s="53" t="n"/>
      <c r="CB458" s="53" t="n"/>
      <c r="CC458" s="53" t="n"/>
      <c r="CD458" s="53" t="n"/>
      <c r="CE458" s="53" t="n"/>
      <c r="CF458" s="53" t="n"/>
      <c r="CG458" s="53" t="n"/>
      <c r="CH458" s="53" t="n"/>
      <c r="CI458" s="53" t="n"/>
      <c r="CJ458" s="53" t="n"/>
      <c r="CK458" s="53" t="n"/>
      <c r="CL458" s="53" t="n"/>
      <c r="CM458" s="53" t="n"/>
      <c r="CN458" s="53" t="n"/>
      <c r="CO458" s="53" t="n"/>
      <c r="CP458" s="53" t="n"/>
      <c r="CQ458" s="53" t="n"/>
      <c r="CR458" s="53" t="n"/>
      <c r="CS458" s="53" t="n"/>
      <c r="CT458" s="53" t="n"/>
      <c r="CU458" s="53" t="n"/>
      <c r="CV458" s="53" t="n"/>
      <c r="CW458" s="53" t="n"/>
      <c r="CX458" s="53" t="n"/>
      <c r="CY458" s="53" t="n"/>
      <c r="CZ458" s="53" t="n"/>
      <c r="DA458" s="53" t="n"/>
      <c r="DB458" s="53" t="n"/>
      <c r="DC458" s="53" t="n"/>
      <c r="DD458" s="53" t="inlineStr">
        <is>
          <t>IRIS0557</t>
        </is>
      </c>
      <c r="DE458" s="53" t="inlineStr">
        <is>
          <t>Employee</t>
        </is>
      </c>
      <c r="DF458" s="53" t="inlineStr">
        <is>
          <t>Active</t>
        </is>
      </c>
      <c r="DG458" s="53" t="inlineStr">
        <is>
          <t>Shrinidhi Shetty</t>
        </is>
      </c>
      <c r="DH458" s="54" t="n">
        <v>40511</v>
      </c>
      <c r="DI458" s="53" t="inlineStr">
        <is>
          <t>Consultant</t>
        </is>
      </c>
      <c r="DJ458" s="53" t="inlineStr">
        <is>
          <t>Consulting &amp; Professional Services</t>
        </is>
      </c>
      <c r="DK458" s="53" t="inlineStr">
        <is>
          <t>XBRL / Regulatory Reporting</t>
        </is>
      </c>
      <c r="DL458" s="53" t="inlineStr">
        <is>
          <t>Consultant</t>
        </is>
      </c>
      <c r="DM458" s="53" t="inlineStr">
        <is>
          <t>L3 – Professional / Associate</t>
        </is>
      </c>
      <c r="DN458" s="53" t="inlineStr">
        <is>
          <t>CA</t>
        </is>
      </c>
      <c r="DO458" s="53" t="inlineStr">
        <is>
          <t>Rahul Dhamne</t>
        </is>
      </c>
      <c r="DP458" s="53" t="inlineStr">
        <is>
          <t>N-2</t>
        </is>
      </c>
      <c r="DQ458" s="53" t="inlineStr">
        <is>
          <t>Individual Contributor</t>
        </is>
      </c>
      <c r="DR458" s="53" t="inlineStr">
        <is>
          <t>0 years, 0 months, 0 days</t>
        </is>
      </c>
      <c r="DS458" s="53" t="inlineStr">
        <is>
          <t>15 years, 6 months, 22 days</t>
        </is>
      </c>
      <c r="DT458" s="53" t="inlineStr">
        <is>
          <t>15 years, 6 months, 22 days</t>
        </is>
      </c>
      <c r="DU458" s="53" t="n"/>
      <c r="DV458" s="53" t="inlineStr">
        <is>
          <t>Suptech</t>
        </is>
      </c>
      <c r="DW458" s="53" t="inlineStr">
        <is>
          <t>iFile</t>
        </is>
      </c>
      <c r="DX458" s="53" t="inlineStr">
        <is>
          <t>XBRL Consulting</t>
        </is>
      </c>
      <c r="DY458" s="53" t="inlineStr">
        <is>
          <t>Consulting</t>
        </is>
      </c>
      <c r="DZ458" s="53" t="inlineStr">
        <is>
          <t>No</t>
        </is>
      </c>
      <c r="EA458" s="53" t="inlineStr">
        <is>
          <t>Professional Services</t>
        </is>
      </c>
      <c r="EB458" s="53" t="inlineStr">
        <is>
          <t>XBRL Domain</t>
        </is>
      </c>
      <c r="EC458" s="53" t="inlineStr">
        <is>
          <t>Non-technical</t>
        </is>
      </c>
      <c r="ED458" s="53" t="inlineStr">
        <is>
          <t>Remote - Mumbai</t>
        </is>
      </c>
      <c r="EE458" s="53" t="n"/>
      <c r="EF458"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8"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8" s="53" t="inlineStr">
        <is>
          <t>2 – Needs improvement</t>
        </is>
      </c>
      <c r="EI458" s="53" t="inlineStr">
        <is>
          <t>Last appraisal in Oct 2025</t>
        </is>
      </c>
      <c r="EJ458" s="53" t="inlineStr">
        <is>
          <t>Consultant</t>
        </is>
      </c>
      <c r="EK458" s="53" t="inlineStr">
        <is>
          <t>No change</t>
        </is>
      </c>
      <c r="EL458" s="53" t="n">
        <v>3</v>
      </c>
      <c r="EM458" s="53" t="inlineStr">
        <is>
          <t>Low</t>
        </is>
      </c>
      <c r="EN458" s="53" t="inlineStr">
        <is>
          <t>Misplaced Talent / Enigma</t>
        </is>
      </c>
      <c r="EO458" s="53" t="n"/>
      <c r="EP458" s="53" t="inlineStr">
        <is>
          <t>No</t>
        </is>
      </c>
      <c r="EQ458" s="53" t="n"/>
      <c r="ER458" s="53" t="inlineStr">
        <is>
          <t>To be identified</t>
        </is>
      </c>
      <c r="ES458" s="53" t="inlineStr">
        <is>
          <t>XBRL taxonomy &amp; regulatory updates; domain/accounting refreshers; quality &amp; accuracy practices; tooling proficiency</t>
        </is>
      </c>
      <c r="ET458" s="53" t="inlineStr">
        <is>
          <t>Transition to leadership: people management &amp; delegation, mentoring/coaching, project ownership &amp; stakeholder management, prioritisation under ambiguity, presentation &amp; influence skills</t>
        </is>
      </c>
      <c r="EU458" s="53" t="inlineStr">
        <is>
          <t>QFCRA</t>
        </is>
      </c>
      <c r="EV458" s="53" t="n"/>
      <c r="EW458" s="52" t="n"/>
      <c r="EX458" s="53" t="n"/>
      <c r="EY458" s="53" t="n"/>
      <c r="EZ458" s="53" t="n"/>
      <c r="FA458" s="53" t="n"/>
      <c r="FB458" s="53" t="n"/>
      <c r="FC458" s="53" t="n"/>
      <c r="FD458" s="53" t="n"/>
      <c r="FE458"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8"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8" s="56" t="n"/>
      <c r="FH458" s="56" t="inlineStr">
        <is>
          <t>2 – Needs improvement</t>
        </is>
      </c>
      <c r="FI458" s="56" t="n"/>
      <c r="FJ458" s="56" t="inlineStr">
        <is>
          <t>Received · manager annual, quarterly</t>
        </is>
      </c>
      <c r="FK458" s="56" t="inlineStr">
        <is>
          <t>Talent Mapping · iFile collated</t>
        </is>
      </c>
      <c r="FL458" s="56" t="n">
        <v>20</v>
      </c>
      <c r="FM458" s="32" t="inlineStr">
        <is>
          <t>Full survey answers not in the files received · How We Grow export needed · HR</t>
        </is>
      </c>
      <c r="FN458" s="56" t="inlineStr">
        <is>
          <t>—</t>
        </is>
      </c>
      <c r="FO458" s="56" t="inlineStr">
        <is>
          <t>—</t>
        </is>
      </c>
      <c r="FP458" s="56" t="inlineStr">
        <is>
          <t>—</t>
        </is>
      </c>
      <c r="FQ458" s="56" t="inlineStr">
        <is>
          <t>—</t>
        </is>
      </c>
      <c r="FR458" s="56"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regulators; errors delay other teams and can trigger contract penalties → matches the start
Leadership: Evidence reads like A3: Training peers is a listed responsibility → moved up 0.5
Business Impact: No survey or manager-mapping signal on criticality: kept at the start point.</t>
        </is>
      </c>
      <c r="FS458"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58" s="56" t="inlineStr">
        <is>
          <t>Self-identified: AI / automation · Technical depth &amp; architecture · Data, SQL &amp; analytics · Domain, regulatory &amp; XBRL · Certification / formal course
For the next role: AI / automation · Technical depth &amp; architecture · Data, SQL &amp; analytics · Domain, regulatory &amp; XBRL · Certification / formal course</t>
        </is>
      </c>
      <c r="FU458" s="32" t="inlineStr">
        <is>
          <t>Full survey answers not in the files received · How We Grow export needed · HR</t>
        </is>
      </c>
    </row>
    <row r="459" ht="90" customHeight="1">
      <c r="A459" s="51" t="inlineStr">
        <is>
          <t>◂ Back</t>
        </is>
      </c>
      <c r="B459" s="29" t="inlineStr">
        <is>
          <t>Mapped</t>
        </is>
      </c>
      <c r="C459" s="28" t="inlineStr">
        <is>
          <t>iFile</t>
        </is>
      </c>
      <c r="D459" s="29" t="inlineStr">
        <is>
          <t>IRIS2045</t>
        </is>
      </c>
      <c r="E459" s="29" t="inlineStr">
        <is>
          <t>Bhagyashree Kamble</t>
        </is>
      </c>
      <c r="F459" s="29" t="inlineStr">
        <is>
          <t>XBRL Consulting</t>
        </is>
      </c>
      <c r="G459" s="29" t="inlineStr">
        <is>
          <t>Analyst</t>
        </is>
      </c>
      <c r="H459" s="29" t="inlineStr">
        <is>
          <t>Senior Taxonomy Analyst</t>
        </is>
      </c>
      <c r="I459" s="29" t="inlineStr">
        <is>
          <t>L3 – Professional / Associate</t>
        </is>
      </c>
      <c r="J459" s="29" t="inlineStr">
        <is>
          <t>A3</t>
        </is>
      </c>
      <c r="K459" s="29" t="inlineStr">
        <is>
          <t>▲ Up</t>
        </is>
      </c>
      <c r="L459" s="29" t="inlineStr">
        <is>
          <t>Consulting &amp; Professional Services</t>
        </is>
      </c>
      <c r="M459" s="29" t="inlineStr">
        <is>
          <t>Taxonomy Design &amp; Regulatory Consulting</t>
        </is>
      </c>
      <c r="N459" s="29" t="inlineStr">
        <is>
          <t>• Correct the experience record — HR</t>
        </is>
      </c>
      <c r="O459" s="29" t="n">
        <v>20</v>
      </c>
      <c r="P459" s="28" t="inlineStr">
        <is>
          <t>P2</t>
        </is>
      </c>
      <c r="Q459" s="29" t="inlineStr">
        <is>
          <t>Developing</t>
        </is>
      </c>
      <c r="R459" s="29" t="inlineStr">
        <is>
          <t>3 Apply</t>
        </is>
      </c>
      <c r="S459" s="29" t="inlineStr">
        <is>
          <t>2–4 yrs</t>
        </is>
      </c>
      <c r="T459" s="29" t="inlineStr">
        <is>
          <t>3–5 · 2–5</t>
        </is>
      </c>
      <c r="U459" s="29" t="inlineStr">
        <is>
          <t>Senior Analyst / Associate</t>
        </is>
      </c>
      <c r="V459" s="29" t="inlineStr">
        <is>
          <t>DataTracks: Senior Associate · 2–5 yrs · Big Four: Consultant · IRIS Vs Market Benchmark — XBRL US credential pathway: XBRL US GAAP Certificate</t>
        </is>
      </c>
      <c r="W459" s="29" t="inlineStr">
        <is>
          <t>XBRL US GAAP Certificate · AICPA &amp; XBRL US; XBRL International specifications; IFRS / US GAAP / Ind AS</t>
        </is>
      </c>
      <c r="X459" s="29" t="inlineStr">
        <is>
          <t>Core 2 · Future 2 · Functional 3 · Leadership not scored</t>
        </is>
      </c>
      <c r="Y459" s="52" t="n">
        <v>231</v>
      </c>
      <c r="Z459" s="53" t="inlineStr">
        <is>
          <t>IRIS2045</t>
        </is>
      </c>
      <c r="AA459" s="53" t="inlineStr">
        <is>
          <t>Employee</t>
        </is>
      </c>
      <c r="AB459" s="53" t="inlineStr">
        <is>
          <t>Active</t>
        </is>
      </c>
      <c r="AC459" s="53" t="inlineStr">
        <is>
          <t>Bhagyashree Kamble</t>
        </is>
      </c>
      <c r="AD459" s="54" t="n">
        <v>44763</v>
      </c>
      <c r="AE459" s="53" t="inlineStr">
        <is>
          <t>Analyst</t>
        </is>
      </c>
      <c r="AF459" s="53" t="inlineStr">
        <is>
          <t>B.Com</t>
        </is>
      </c>
      <c r="AG459" s="53" t="inlineStr">
        <is>
          <t>Rahul Dhamne</t>
        </is>
      </c>
      <c r="AH459" s="53" t="inlineStr">
        <is>
          <t>N-2</t>
        </is>
      </c>
      <c r="AI459" s="53" t="inlineStr">
        <is>
          <t>Individual Contributor</t>
        </is>
      </c>
      <c r="AJ459" s="53" t="inlineStr">
        <is>
          <t>1 years, 4 months, 0 days</t>
        </is>
      </c>
      <c r="AK459" s="53" t="inlineStr">
        <is>
          <t>4 years, 1 months, 4 days</t>
        </is>
      </c>
      <c r="AL459" s="53" t="inlineStr">
        <is>
          <t>Suptech</t>
        </is>
      </c>
      <c r="AM459" s="53" t="inlineStr">
        <is>
          <t>iFile</t>
        </is>
      </c>
      <c r="AN459" s="53" t="inlineStr">
        <is>
          <t>XBRL Consulting</t>
        </is>
      </c>
      <c r="AO459" s="53" t="inlineStr">
        <is>
          <t>Consulting</t>
        </is>
      </c>
      <c r="AP459" s="53" t="inlineStr">
        <is>
          <t>No</t>
        </is>
      </c>
      <c r="AQ459" s="53" t="inlineStr">
        <is>
          <t>Professional Services</t>
        </is>
      </c>
      <c r="AR459" s="53" t="inlineStr">
        <is>
          <t>XBRL Domain</t>
        </is>
      </c>
      <c r="AS459" s="53" t="inlineStr">
        <is>
          <t>Non-technical</t>
        </is>
      </c>
      <c r="AT459" s="53" t="n">
        <v>20</v>
      </c>
      <c r="AU459" s="53" t="inlineStr">
        <is>
          <t>Covered</t>
        </is>
      </c>
      <c r="AV459" s="53" t="n"/>
      <c r="AW459" s="53" t="n"/>
      <c r="AX459" s="53" t="n"/>
      <c r="AY459" s="53" t="n"/>
      <c r="AZ459" s="53" t="n"/>
      <c r="BA459" s="53" t="n"/>
      <c r="BB459" s="53" t="n"/>
      <c r="BC459" s="53" t="n"/>
      <c r="BD459" s="53" t="n"/>
      <c r="BE459" s="53" t="n"/>
      <c r="BF459" s="53" t="n"/>
      <c r="BG459" s="53" t="n"/>
      <c r="BH459" s="53" t="n"/>
      <c r="BI459" s="53" t="n"/>
      <c r="BJ459" s="53" t="n"/>
      <c r="BK459" s="53" t="n"/>
      <c r="BL459" s="53" t="n"/>
      <c r="BM459" s="53" t="n"/>
      <c r="BN459" s="53" t="n"/>
      <c r="BO459" s="53" t="n"/>
      <c r="BP459" s="53" t="n"/>
      <c r="BQ459" s="53" t="n"/>
      <c r="BR459" s="53" t="n"/>
      <c r="BS459" s="53" t="n"/>
      <c r="BT459" s="53" t="n"/>
      <c r="BU459" s="53" t="n"/>
      <c r="BV459" s="53" t="n"/>
      <c r="BW459" s="53" t="n"/>
      <c r="BX459" s="53" t="n"/>
      <c r="BY459" s="53" t="n"/>
      <c r="BZ459" s="53" t="n"/>
      <c r="CA459" s="53" t="n"/>
      <c r="CB459" s="53" t="n"/>
      <c r="CC459" s="53" t="n"/>
      <c r="CD459" s="53" t="n"/>
      <c r="CE459" s="53" t="n"/>
      <c r="CF459" s="53" t="n"/>
      <c r="CG459" s="53" t="n"/>
      <c r="CH459" s="53" t="n"/>
      <c r="CI459" s="53" t="n"/>
      <c r="CJ459" s="53" t="n"/>
      <c r="CK459" s="53" t="n"/>
      <c r="CL459" s="53" t="n"/>
      <c r="CM459" s="53" t="n"/>
      <c r="CN459" s="53" t="n"/>
      <c r="CO459" s="53" t="n"/>
      <c r="CP459" s="53" t="n"/>
      <c r="CQ459" s="53" t="n"/>
      <c r="CR459" s="53" t="n"/>
      <c r="CS459" s="53" t="n"/>
      <c r="CT459" s="53" t="n"/>
      <c r="CU459" s="53" t="n"/>
      <c r="CV459" s="53" t="n"/>
      <c r="CW459" s="53" t="n"/>
      <c r="CX459" s="53" t="n"/>
      <c r="CY459" s="53" t="n"/>
      <c r="CZ459" s="53" t="n"/>
      <c r="DA459" s="53" t="n"/>
      <c r="DB459" s="53" t="n"/>
      <c r="DC459" s="53" t="n"/>
      <c r="DD459" s="53" t="inlineStr">
        <is>
          <t>IRIS2045</t>
        </is>
      </c>
      <c r="DE459" s="53" t="inlineStr">
        <is>
          <t>Employee</t>
        </is>
      </c>
      <c r="DF459" s="53" t="inlineStr">
        <is>
          <t>Active</t>
        </is>
      </c>
      <c r="DG459" s="53" t="inlineStr">
        <is>
          <t>Bhagyashree Kamble</t>
        </is>
      </c>
      <c r="DH459" s="54" t="n">
        <v>44763</v>
      </c>
      <c r="DI459" s="53" t="inlineStr">
        <is>
          <t>Analyst</t>
        </is>
      </c>
      <c r="DJ459" s="53" t="inlineStr">
        <is>
          <t>Consulting &amp; Professional Services</t>
        </is>
      </c>
      <c r="DK459" s="53" t="inlineStr">
        <is>
          <t>XBRL / Regulatory Reporting</t>
        </is>
      </c>
      <c r="DL459" s="53" t="inlineStr">
        <is>
          <t>Analyst</t>
        </is>
      </c>
      <c r="DM459" s="53" t="inlineStr">
        <is>
          <t>L3 – Professional / Associate</t>
        </is>
      </c>
      <c r="DN459" s="53" t="inlineStr">
        <is>
          <t>B.Com</t>
        </is>
      </c>
      <c r="DO459" s="53" t="inlineStr">
        <is>
          <t>Jayshree Margi</t>
        </is>
      </c>
      <c r="DP459" s="53" t="inlineStr">
        <is>
          <t>N-3</t>
        </is>
      </c>
      <c r="DQ459" s="53" t="inlineStr">
        <is>
          <t>Individual Contributor</t>
        </is>
      </c>
      <c r="DR459" s="53" t="inlineStr">
        <is>
          <t>1 years, 4 months, 0 days</t>
        </is>
      </c>
      <c r="DS459" s="53" t="inlineStr">
        <is>
          <t>3 years, 10 months, 30 days</t>
        </is>
      </c>
      <c r="DT459" s="53" t="inlineStr">
        <is>
          <t>5 years, 2 months, 30 days</t>
        </is>
      </c>
      <c r="DU459" s="53" t="n"/>
      <c r="DV459" s="53" t="inlineStr">
        <is>
          <t>Suptech</t>
        </is>
      </c>
      <c r="DW459" s="53" t="inlineStr">
        <is>
          <t>iFile</t>
        </is>
      </c>
      <c r="DX459" s="53" t="inlineStr">
        <is>
          <t>XBRL Consulting</t>
        </is>
      </c>
      <c r="DY459" s="53" t="inlineStr">
        <is>
          <t>Consulting</t>
        </is>
      </c>
      <c r="DZ459" s="53" t="inlineStr">
        <is>
          <t>No</t>
        </is>
      </c>
      <c r="EA459" s="53" t="inlineStr">
        <is>
          <t>Professional Services</t>
        </is>
      </c>
      <c r="EB459" s="53" t="inlineStr">
        <is>
          <t>XBRL Domain</t>
        </is>
      </c>
      <c r="EC459" s="53" t="inlineStr">
        <is>
          <t>Non-technical</t>
        </is>
      </c>
      <c r="ED459" s="53" t="inlineStr">
        <is>
          <t>Remote - Mumbai</t>
        </is>
      </c>
      <c r="EE459" s="53" t="n"/>
      <c r="EF459"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9" s="53" t="inlineStr">
        <is>
          <t>1. Complete Q1 taxonomy build/test tasks on schedule · &gt;=95% on-time.
2. Close assigned iFILE support tickets within SLA.
3. Finish Q1 Excel/Webform test cycles with defect leakage &lt;2%.</t>
        </is>
      </c>
      <c r="EH459" s="53" t="inlineStr">
        <is>
          <t>3 – Meets Expectations</t>
        </is>
      </c>
      <c r="EI459" s="53" t="inlineStr">
        <is>
          <t>Last appraisal in Oct 2025</t>
        </is>
      </c>
      <c r="EJ459" s="53" t="inlineStr">
        <is>
          <t>Analyst</t>
        </is>
      </c>
      <c r="EK459" s="53" t="inlineStr">
        <is>
          <t>No change</t>
        </is>
      </c>
      <c r="EL459" s="53" t="n">
        <v>2</v>
      </c>
      <c r="EM459" s="53" t="inlineStr">
        <is>
          <t>Medium</t>
        </is>
      </c>
      <c r="EN459" s="53" t="inlineStr">
        <is>
          <t>Reliable Specialist</t>
        </is>
      </c>
      <c r="EO459" s="53" t="n"/>
      <c r="EP459" s="53" t="inlineStr">
        <is>
          <t>No</t>
        </is>
      </c>
      <c r="EQ459" s="53" t="n"/>
      <c r="ER459" s="53" t="inlineStr">
        <is>
          <t>To be identified</t>
        </is>
      </c>
      <c r="ES459" s="53" t="inlineStr">
        <is>
          <t>XBRL taxonomy &amp; regulatory updates; domain/accounting refreshers; quality &amp; accuracy practices; tooling proficiency</t>
        </is>
      </c>
      <c r="ET459" s="53" t="inlineStr">
        <is>
          <t>Transition to leadership: people management &amp; delegation, mentoring/coaching, project ownership &amp; stakeholder management, prioritisation under ambiguity, presentation &amp; influence skills</t>
        </is>
      </c>
      <c r="EU459" s="53" t="n"/>
      <c r="EV459" s="53" t="n"/>
      <c r="EW459" s="52" t="n"/>
      <c r="EX459" s="53" t="n"/>
      <c r="EY459" s="53" t="n"/>
      <c r="EZ459" s="53" t="n"/>
      <c r="FA459" s="53" t="n"/>
      <c r="FB459" s="53" t="n"/>
      <c r="FC459" s="53" t="n"/>
      <c r="FD459" s="53" t="n"/>
      <c r="FE459"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9" s="56" t="inlineStr">
        <is>
          <t>1. Complete Q1 taxonomy build/test tasks on schedule · &gt;=95% on-time.
2. Close assigned iFILE support tickets within SLA · &gt;=90%.
3. Finish Q1 Excel/Webform test cycles with defect leakage &lt;2%.</t>
        </is>
      </c>
      <c r="FG459" s="56" t="n"/>
      <c r="FH459" s="56" t="inlineStr">
        <is>
          <t>3 – Meets Expectations</t>
        </is>
      </c>
      <c r="FI459" s="56" t="n"/>
      <c r="FJ459" s="56" t="inlineStr">
        <is>
          <t>Received · manager annual, quarterly</t>
        </is>
      </c>
      <c r="FK459" s="56" t="inlineStr">
        <is>
          <t>Talent Mapping · iFile collated</t>
        </is>
      </c>
      <c r="FL459" s="56" t="n">
        <v>20</v>
      </c>
      <c r="FM459" s="32" t="inlineStr">
        <is>
          <t>Full survey answers not in the files received · How We Grow export needed · HR</t>
        </is>
      </c>
      <c r="FN459" s="56" t="inlineStr">
        <is>
          <t>—</t>
        </is>
      </c>
      <c r="FO459" s="56" t="inlineStr">
        <is>
          <t>—</t>
        </is>
      </c>
      <c r="FP459" s="56" t="inlineStr">
        <is>
          <t>—</t>
        </is>
      </c>
      <c r="FQ459" s="56" t="inlineStr">
        <is>
          <t>—</t>
        </is>
      </c>
      <c r="FR459" s="56"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reads like A1: None described → matches the start
Business Impact: No survey or manager-mapping signal on criticality: kept at the start point.</t>
        </is>
      </c>
      <c r="FS459"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9" s="56" t="inlineStr">
        <is>
          <t>Self-identified: AI / automation · Domain, regulatory &amp; XBRL · Certification / formal course
For the next role: AI / automation · Domain, regulatory &amp; XBRL · Certification / formal course</t>
        </is>
      </c>
      <c r="FU459" s="32" t="inlineStr">
        <is>
          <t>Full survey answers not in the files received · How We Grow export needed · HR</t>
        </is>
      </c>
    </row>
    <row r="460" ht="90" customHeight="1">
      <c r="A460" s="51" t="inlineStr">
        <is>
          <t>◂ Back</t>
        </is>
      </c>
      <c r="B460" s="29" t="inlineStr">
        <is>
          <t>Mapped</t>
        </is>
      </c>
      <c r="C460" s="28" t="inlineStr">
        <is>
          <t>iFile</t>
        </is>
      </c>
      <c r="D460" s="29" t="inlineStr">
        <is>
          <t>IRIS0617</t>
        </is>
      </c>
      <c r="E460" s="29" t="inlineStr">
        <is>
          <t>Bhakti Gosavi</t>
        </is>
      </c>
      <c r="F460" s="29" t="inlineStr">
        <is>
          <t>XBRL Consulting</t>
        </is>
      </c>
      <c r="G460" s="29" t="inlineStr">
        <is>
          <t>Analyst</t>
        </is>
      </c>
      <c r="H460" s="29" t="inlineStr">
        <is>
          <t>Senior Taxonomy Analyst</t>
        </is>
      </c>
      <c r="I460" s="29" t="inlineStr">
        <is>
          <t>L3 – Professional / Associate</t>
        </is>
      </c>
      <c r="J460" s="29" t="inlineStr">
        <is>
          <t>A3</t>
        </is>
      </c>
      <c r="K460" s="29" t="inlineStr">
        <is>
          <t>▲ Up</t>
        </is>
      </c>
      <c r="L460" s="29" t="inlineStr">
        <is>
          <t>Consulting &amp; Professional Services</t>
        </is>
      </c>
      <c r="M460" s="29" t="inlineStr">
        <is>
          <t>Taxonomy Design &amp; Regulatory Consulting</t>
        </is>
      </c>
      <c r="N460" s="29" t="n"/>
      <c r="O460" s="29" t="n">
        <v>20</v>
      </c>
      <c r="P460" s="28" t="inlineStr">
        <is>
          <t>P2</t>
        </is>
      </c>
      <c r="Q460" s="29" t="inlineStr">
        <is>
          <t>Developing</t>
        </is>
      </c>
      <c r="R460" s="29" t="inlineStr">
        <is>
          <t>3 Apply</t>
        </is>
      </c>
      <c r="S460" s="29" t="inlineStr">
        <is>
          <t>2–4 yrs</t>
        </is>
      </c>
      <c r="T460" s="29" t="inlineStr">
        <is>
          <t>3–5 · 2–5</t>
        </is>
      </c>
      <c r="U460" s="29" t="inlineStr">
        <is>
          <t>Senior Analyst / Associate</t>
        </is>
      </c>
      <c r="V460" s="29" t="inlineStr">
        <is>
          <t>DataTracks: Senior Associate · 2–5 yrs · Big Four: Consultant · IRIS Vs Market Benchmark — XBRL US credential pathway: XBRL US GAAP Certificate</t>
        </is>
      </c>
      <c r="W460" s="29" t="inlineStr">
        <is>
          <t>XBRL US GAAP Certificate · AICPA &amp; XBRL US; XBRL International specifications; IFRS / US GAAP / Ind AS</t>
        </is>
      </c>
      <c r="X460" s="29" t="inlineStr">
        <is>
          <t>Core 2 · Future 2 · Functional 3 · Leadership not scored</t>
        </is>
      </c>
      <c r="Y460" s="52" t="n">
        <v>81</v>
      </c>
      <c r="Z460" s="53" t="inlineStr">
        <is>
          <t>IRIS0617</t>
        </is>
      </c>
      <c r="AA460" s="53" t="inlineStr">
        <is>
          <t>Employee</t>
        </is>
      </c>
      <c r="AB460" s="53" t="inlineStr">
        <is>
          <t>Active</t>
        </is>
      </c>
      <c r="AC460" s="53" t="inlineStr">
        <is>
          <t>Bhakti Gosavi</t>
        </is>
      </c>
      <c r="AD460" s="54" t="n">
        <v>40665</v>
      </c>
      <c r="AE460" s="53" t="inlineStr">
        <is>
          <t>Analyst</t>
        </is>
      </c>
      <c r="AF460" s="53" t="inlineStr">
        <is>
          <t>M.Com</t>
        </is>
      </c>
      <c r="AG460" s="53" t="inlineStr">
        <is>
          <t>Rahul Dhamne</t>
        </is>
      </c>
      <c r="AH460" s="53" t="inlineStr">
        <is>
          <t>N-2</t>
        </is>
      </c>
      <c r="AI460" s="53" t="inlineStr">
        <is>
          <t>Individual Contributor</t>
        </is>
      </c>
      <c r="AJ460" s="53" t="inlineStr">
        <is>
          <t>0 years, 0 months, 0 days</t>
        </is>
      </c>
      <c r="AK460" s="53" t="inlineStr">
        <is>
          <t>15 years, 3 months, 23 days</t>
        </is>
      </c>
      <c r="AL460" s="53" t="inlineStr">
        <is>
          <t>Suptech</t>
        </is>
      </c>
      <c r="AM460" s="53" t="inlineStr">
        <is>
          <t>iFile</t>
        </is>
      </c>
      <c r="AN460" s="53" t="inlineStr">
        <is>
          <t>XBRL Consulting</t>
        </is>
      </c>
      <c r="AO460" s="53" t="inlineStr">
        <is>
          <t>Consulting</t>
        </is>
      </c>
      <c r="AP460" s="53" t="inlineStr">
        <is>
          <t>No</t>
        </is>
      </c>
      <c r="AQ460" s="53" t="inlineStr">
        <is>
          <t>Professional Services</t>
        </is>
      </c>
      <c r="AR460" s="53" t="inlineStr">
        <is>
          <t>XBRL Domain</t>
        </is>
      </c>
      <c r="AS460" s="53" t="inlineStr">
        <is>
          <t>Non-technical</t>
        </is>
      </c>
      <c r="AT460" s="53" t="n">
        <v>20</v>
      </c>
      <c r="AU460" s="53" t="inlineStr">
        <is>
          <t>Covered</t>
        </is>
      </c>
      <c r="AV460" s="53" t="n"/>
      <c r="AW460" s="53" t="n"/>
      <c r="AX460" s="53" t="n"/>
      <c r="AY460" s="53" t="n"/>
      <c r="AZ460" s="53" t="n"/>
      <c r="BA460" s="53" t="n"/>
      <c r="BB460" s="53" t="n"/>
      <c r="BC460" s="53" t="n"/>
      <c r="BD460" s="53" t="n"/>
      <c r="BE460" s="53" t="n"/>
      <c r="BF460" s="53" t="n"/>
      <c r="BG460" s="53" t="n"/>
      <c r="BH460" s="53" t="n"/>
      <c r="BI460" s="53" t="n"/>
      <c r="BJ460" s="53" t="n"/>
      <c r="BK460" s="53" t="n"/>
      <c r="BL460" s="53" t="n"/>
      <c r="BM460" s="53" t="n"/>
      <c r="BN460" s="53" t="n"/>
      <c r="BO460" s="53" t="n"/>
      <c r="BP460" s="53" t="n"/>
      <c r="BQ460" s="53" t="n"/>
      <c r="BR460" s="53" t="n"/>
      <c r="BS460" s="53" t="n"/>
      <c r="BT460" s="53" t="n"/>
      <c r="BU460" s="53" t="n"/>
      <c r="BV460" s="53" t="n"/>
      <c r="BW460" s="53" t="n"/>
      <c r="BX460" s="53" t="n"/>
      <c r="BY460" s="53" t="n"/>
      <c r="BZ460" s="53" t="n"/>
      <c r="CA460" s="53" t="n"/>
      <c r="CB460" s="53" t="n"/>
      <c r="CC460" s="53" t="n"/>
      <c r="CD460" s="53" t="n"/>
      <c r="CE460" s="53" t="n"/>
      <c r="CF460" s="53" t="n"/>
      <c r="CG460" s="53" t="n"/>
      <c r="CH460" s="53" t="n"/>
      <c r="CI460" s="53" t="n"/>
      <c r="CJ460" s="53" t="n"/>
      <c r="CK460" s="53" t="n"/>
      <c r="CL460" s="53" t="n"/>
      <c r="CM460" s="53" t="n"/>
      <c r="CN460" s="53" t="n"/>
      <c r="CO460" s="53" t="n"/>
      <c r="CP460" s="53" t="n"/>
      <c r="CQ460" s="53" t="n"/>
      <c r="CR460" s="53" t="n"/>
      <c r="CS460" s="53" t="n"/>
      <c r="CT460" s="53" t="n"/>
      <c r="CU460" s="53" t="n"/>
      <c r="CV460" s="53" t="n"/>
      <c r="CW460" s="53" t="n"/>
      <c r="CX460" s="53" t="n"/>
      <c r="CY460" s="53" t="n"/>
      <c r="CZ460" s="53" t="n"/>
      <c r="DA460" s="53" t="n"/>
      <c r="DB460" s="53" t="n"/>
      <c r="DC460" s="53" t="n"/>
      <c r="DD460" s="53" t="inlineStr">
        <is>
          <t>IRIS0617</t>
        </is>
      </c>
      <c r="DE460" s="53" t="inlineStr">
        <is>
          <t>Employee</t>
        </is>
      </c>
      <c r="DF460" s="53" t="inlineStr">
        <is>
          <t>Active</t>
        </is>
      </c>
      <c r="DG460" s="53" t="inlineStr">
        <is>
          <t>Bhakti Gosavi</t>
        </is>
      </c>
      <c r="DH460" s="54" t="n">
        <v>40665</v>
      </c>
      <c r="DI460" s="53" t="inlineStr">
        <is>
          <t>Analyst</t>
        </is>
      </c>
      <c r="DJ460" s="53" t="inlineStr">
        <is>
          <t>Consulting &amp; Professional Services</t>
        </is>
      </c>
      <c r="DK460" s="53" t="inlineStr">
        <is>
          <t>XBRL / Regulatory Reporting</t>
        </is>
      </c>
      <c r="DL460" s="53" t="inlineStr">
        <is>
          <t>Analyst</t>
        </is>
      </c>
      <c r="DM460" s="53" t="inlineStr">
        <is>
          <t>L3 – Professional / Associate</t>
        </is>
      </c>
      <c r="DN460" s="53" t="inlineStr">
        <is>
          <t>M.Com</t>
        </is>
      </c>
      <c r="DO460" s="53" t="inlineStr">
        <is>
          <t>Jayshree Margi</t>
        </is>
      </c>
      <c r="DP460" s="53" t="inlineStr">
        <is>
          <t>N-3</t>
        </is>
      </c>
      <c r="DQ460" s="53" t="inlineStr">
        <is>
          <t>Individual Contributor</t>
        </is>
      </c>
      <c r="DR460" s="53" t="inlineStr">
        <is>
          <t>0 years, 0 months, 0 days</t>
        </is>
      </c>
      <c r="DS460" s="53" t="inlineStr">
        <is>
          <t>15 years, 1 months, 18 days</t>
        </is>
      </c>
      <c r="DT460" s="53" t="inlineStr">
        <is>
          <t>15 years, 1 months, 18 days</t>
        </is>
      </c>
      <c r="DU460" s="53" t="n"/>
      <c r="DV460" s="53" t="inlineStr">
        <is>
          <t>Suptech</t>
        </is>
      </c>
      <c r="DW460" s="53" t="inlineStr">
        <is>
          <t>iFile</t>
        </is>
      </c>
      <c r="DX460" s="53" t="inlineStr">
        <is>
          <t>XBRL Consulting</t>
        </is>
      </c>
      <c r="DY460" s="53" t="inlineStr">
        <is>
          <t>Consulting</t>
        </is>
      </c>
      <c r="DZ460" s="53" t="inlineStr">
        <is>
          <t>No</t>
        </is>
      </c>
      <c r="EA460" s="53" t="inlineStr">
        <is>
          <t>Professional Services</t>
        </is>
      </c>
      <c r="EB460" s="53" t="inlineStr">
        <is>
          <t>XBRL Domain</t>
        </is>
      </c>
      <c r="EC460" s="53" t="inlineStr">
        <is>
          <t>Non-technical</t>
        </is>
      </c>
      <c r="ED460" s="53" t="inlineStr">
        <is>
          <t>Work From Office - Turbhe</t>
        </is>
      </c>
      <c r="EE460" s="53" t="n"/>
      <c r="EF460"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0" s="53" t="inlineStr">
        <is>
          <t>1. Complete Q1 taxonomy build/test tasks on schedule · &gt;=95% on-time.
2. Close assigned iFILE support tickets within SLA.
3. Finish Q1 Excel/Webform test cycles with defect leakage &lt;2%.</t>
        </is>
      </c>
      <c r="EH460" s="53" t="inlineStr">
        <is>
          <t>3 – Meets Expectations</t>
        </is>
      </c>
      <c r="EI460" s="53" t="inlineStr">
        <is>
          <t>Last appraisal in Oct 2025</t>
        </is>
      </c>
      <c r="EJ460" s="53" t="inlineStr">
        <is>
          <t>Analyst</t>
        </is>
      </c>
      <c r="EK460" s="53" t="inlineStr">
        <is>
          <t>No change</t>
        </is>
      </c>
      <c r="EL460" s="53" t="n">
        <v>2</v>
      </c>
      <c r="EM460" s="53" t="inlineStr">
        <is>
          <t>Medium</t>
        </is>
      </c>
      <c r="EN460" s="53" t="inlineStr">
        <is>
          <t>Reliable Specialist</t>
        </is>
      </c>
      <c r="EO460" s="53" t="n"/>
      <c r="EP460" s="53" t="inlineStr">
        <is>
          <t>No</t>
        </is>
      </c>
      <c r="EQ460" s="53" t="n"/>
      <c r="ER460" s="53" t="inlineStr">
        <is>
          <t>To be identified</t>
        </is>
      </c>
      <c r="ES460" s="53" t="inlineStr">
        <is>
          <t>XBRL taxonomy &amp; regulatory updates; domain/accounting refreshers; quality &amp; accuracy practices; tooling proficiency</t>
        </is>
      </c>
      <c r="ET460" s="53" t="inlineStr">
        <is>
          <t>Transition to leadership: people management &amp; delegation, mentoring/coaching, project ownership &amp; stakeholder management, prioritisation under ambiguity, presentation &amp; influence skills</t>
        </is>
      </c>
      <c r="EU460" s="53" t="n"/>
      <c r="EV460" s="53" t="n"/>
      <c r="EW460" s="52" t="n"/>
      <c r="EX460" s="53" t="n"/>
      <c r="EY460" s="53" t="n"/>
      <c r="EZ460" s="53" t="n"/>
      <c r="FA460" s="53" t="n"/>
      <c r="FB460" s="53" t="n"/>
      <c r="FC460" s="53" t="n"/>
      <c r="FD460" s="53" t="n"/>
      <c r="FE460"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0" s="56" t="inlineStr">
        <is>
          <t>1. Complete Q1 taxonomy build/test tasks on schedule · &gt;=95% on-time.
2. Close assigned iFILE support tickets within SLA · &gt;=90%.
3. Finish Q1 Excel/Webform test cycles with defect leakage &lt;2%.</t>
        </is>
      </c>
      <c r="FG460" s="56" t="n"/>
      <c r="FH460" s="56" t="inlineStr">
        <is>
          <t>3 – Meets Expectations</t>
        </is>
      </c>
      <c r="FI460" s="56" t="n"/>
      <c r="FJ460" s="56" t="inlineStr">
        <is>
          <t>Received · manager annual, quarterly</t>
        </is>
      </c>
      <c r="FK460" s="56" t="inlineStr">
        <is>
          <t>Talent Mapping · iFile collated</t>
        </is>
      </c>
      <c r="FL460" s="56" t="n">
        <v>20</v>
      </c>
      <c r="FM460" s="32" t="inlineStr">
        <is>
          <t>Full survey answers not in the files received · How We Grow export needed · HR</t>
        </is>
      </c>
      <c r="FN460" s="56" t="inlineStr">
        <is>
          <t>—</t>
        </is>
      </c>
      <c r="FO460" s="56" t="inlineStr">
        <is>
          <t>—</t>
        </is>
      </c>
      <c r="FP460" s="56" t="inlineStr">
        <is>
          <t>—</t>
        </is>
      </c>
      <c r="FQ460" s="56" t="inlineStr">
        <is>
          <t>—</t>
        </is>
      </c>
      <c r="FR460" s="56"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consequence is rework → matches the start
Leadership: Evidence reads like A1: No guiding or leading of others described → matches the start
Business Impact: No survey or manager-mapping signal on criticality: kept at the start point.</t>
        </is>
      </c>
      <c r="FS460"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0" s="56" t="inlineStr">
        <is>
          <t>Self-identified: Domain, regulatory &amp; XBRL
For the next role: Domain, regulatory &amp; XBRL</t>
        </is>
      </c>
      <c r="FU460" s="32" t="inlineStr">
        <is>
          <t>Full survey answers not in the files received · How We Grow export needed · HR</t>
        </is>
      </c>
    </row>
    <row r="461" ht="90" customHeight="1">
      <c r="A461" s="51" t="inlineStr">
        <is>
          <t>◂ Back</t>
        </is>
      </c>
      <c r="B461" s="29" t="inlineStr">
        <is>
          <t>Mapped</t>
        </is>
      </c>
      <c r="C461" s="28" t="inlineStr">
        <is>
          <t>iFile</t>
        </is>
      </c>
      <c r="D461" s="29" t="inlineStr">
        <is>
          <t>IRIS0049</t>
        </is>
      </c>
      <c r="E461" s="29" t="inlineStr">
        <is>
          <t>Kalyani Sunil Nagap</t>
        </is>
      </c>
      <c r="F461" s="29" t="inlineStr">
        <is>
          <t>XBRL Consulting</t>
        </is>
      </c>
      <c r="G461" s="29" t="inlineStr">
        <is>
          <t>Senior Analyst</t>
        </is>
      </c>
      <c r="H461" s="29" t="inlineStr">
        <is>
          <t>Taxonomy Specialist</t>
        </is>
      </c>
      <c r="I461" s="29" t="inlineStr">
        <is>
          <t>L4 – Senior</t>
        </is>
      </c>
      <c r="J461" s="29" t="inlineStr">
        <is>
          <t>A3</t>
        </is>
      </c>
      <c r="K461" s="29" t="inlineStr">
        <is>
          <t>▲ Up</t>
        </is>
      </c>
      <c r="L461" s="29" t="inlineStr">
        <is>
          <t>Consulting &amp; Professional Services</t>
        </is>
      </c>
      <c r="M461" s="29" t="inlineStr">
        <is>
          <t>Taxonomy Design &amp; Regulatory Consulting</t>
        </is>
      </c>
      <c r="N461" s="29" t="n"/>
      <c r="O461" s="29" t="n">
        <v>20</v>
      </c>
      <c r="P461" s="28" t="inlineStr">
        <is>
          <t>P2</t>
        </is>
      </c>
      <c r="Q461" s="29" t="inlineStr">
        <is>
          <t>Developing</t>
        </is>
      </c>
      <c r="R461" s="29" t="inlineStr">
        <is>
          <t>3 Apply</t>
        </is>
      </c>
      <c r="S461" s="29" t="inlineStr">
        <is>
          <t>2–4 yrs</t>
        </is>
      </c>
      <c r="T461" s="29" t="inlineStr">
        <is>
          <t>3–5 · 2–5</t>
        </is>
      </c>
      <c r="U461" s="29" t="inlineStr">
        <is>
          <t>Consultant / Senior Associate</t>
        </is>
      </c>
      <c r="V461" s="29" t="inlineStr">
        <is>
          <t>DataTracks: Senior Associate · 2–5 yrs · Big Four: Consultant · IRIS Vs Market Benchmark — XBRL US credential pathway: XBRL US GAAP Certificate</t>
        </is>
      </c>
      <c r="W461" s="29" t="inlineStr">
        <is>
          <t>XBRL US GAAP Certificate · AICPA &amp; XBRL US; XBRL International specifications; IFRS / US GAAP / Ind AS</t>
        </is>
      </c>
      <c r="X461" s="29" t="inlineStr">
        <is>
          <t>Core 2 · Future 2 · Functional 3 · Leadership not scored</t>
        </is>
      </c>
      <c r="Y461" s="52" t="n">
        <v>17</v>
      </c>
      <c r="Z461" s="53" t="inlineStr">
        <is>
          <t>IRIS0049</t>
        </is>
      </c>
      <c r="AA461" s="53" t="inlineStr">
        <is>
          <t>Employee</t>
        </is>
      </c>
      <c r="AB461" s="53" t="inlineStr">
        <is>
          <t>Active</t>
        </is>
      </c>
      <c r="AC461" s="53" t="inlineStr">
        <is>
          <t>Kalyani Sunil Nagap</t>
        </is>
      </c>
      <c r="AD461" s="54" t="n">
        <v>39002</v>
      </c>
      <c r="AE461" s="53" t="inlineStr">
        <is>
          <t>Senior Analyst</t>
        </is>
      </c>
      <c r="AF461" s="53" t="inlineStr">
        <is>
          <t>B.Com</t>
        </is>
      </c>
      <c r="AG461" s="53" t="inlineStr">
        <is>
          <t>Rahul Dhamne</t>
        </is>
      </c>
      <c r="AH461" s="53" t="inlineStr">
        <is>
          <t>N-2</t>
        </is>
      </c>
      <c r="AI461" s="53" t="inlineStr">
        <is>
          <t>Individual Contributor</t>
        </is>
      </c>
      <c r="AJ461" s="53" t="inlineStr">
        <is>
          <t>0 years, 0 months, 0 days</t>
        </is>
      </c>
      <c r="AK461" s="53" t="inlineStr">
        <is>
          <t>19 years, 10 months, 13 days</t>
        </is>
      </c>
      <c r="AL461" s="53" t="inlineStr">
        <is>
          <t>Suptech</t>
        </is>
      </c>
      <c r="AM461" s="53" t="inlineStr">
        <is>
          <t>iFile</t>
        </is>
      </c>
      <c r="AN461" s="53" t="inlineStr">
        <is>
          <t>XBRL Consulting</t>
        </is>
      </c>
      <c r="AO461" s="53" t="inlineStr">
        <is>
          <t>Consulting</t>
        </is>
      </c>
      <c r="AP461" s="53" t="inlineStr">
        <is>
          <t>No</t>
        </is>
      </c>
      <c r="AQ461" s="53" t="inlineStr">
        <is>
          <t>Professional Services</t>
        </is>
      </c>
      <c r="AR461" s="53" t="inlineStr">
        <is>
          <t>XBRL Domain</t>
        </is>
      </c>
      <c r="AS461" s="53" t="inlineStr">
        <is>
          <t>Non-technical</t>
        </is>
      </c>
      <c r="AT461" s="53" t="n">
        <v>20</v>
      </c>
      <c r="AU461" s="53" t="inlineStr">
        <is>
          <t>Covered</t>
        </is>
      </c>
      <c r="AV461" s="53" t="n"/>
      <c r="AW461" s="53" t="n"/>
      <c r="AX461" s="53" t="n"/>
      <c r="AY461" s="53" t="n"/>
      <c r="AZ461" s="53" t="n"/>
      <c r="BA461" s="53" t="n"/>
      <c r="BB461" s="53" t="n"/>
      <c r="BC461" s="53" t="n"/>
      <c r="BD461" s="53" t="n"/>
      <c r="BE461" s="53" t="n"/>
      <c r="BF461" s="53" t="n"/>
      <c r="BG461" s="53" t="n"/>
      <c r="BH461" s="53" t="n"/>
      <c r="BI461" s="53" t="n"/>
      <c r="BJ461" s="53" t="n"/>
      <c r="BK461" s="53" t="n"/>
      <c r="BL461" s="53" t="n"/>
      <c r="BM461" s="53" t="n"/>
      <c r="BN461" s="53" t="n"/>
      <c r="BO461" s="53" t="n"/>
      <c r="BP461" s="53" t="n"/>
      <c r="BQ461" s="53" t="n"/>
      <c r="BR461" s="53" t="n"/>
      <c r="BS461" s="53" t="n"/>
      <c r="BT461" s="53" t="n"/>
      <c r="BU461" s="53" t="n"/>
      <c r="BV461" s="53" t="n"/>
      <c r="BW461" s="53" t="n"/>
      <c r="BX461" s="53" t="n"/>
      <c r="BY461" s="53" t="n"/>
      <c r="BZ461" s="53" t="n"/>
      <c r="CA461" s="53" t="n"/>
      <c r="CB461" s="53" t="n"/>
      <c r="CC461" s="53" t="n"/>
      <c r="CD461" s="53" t="n"/>
      <c r="CE461" s="53" t="n"/>
      <c r="CF461" s="53" t="n"/>
      <c r="CG461" s="53" t="n"/>
      <c r="CH461" s="53" t="n"/>
      <c r="CI461" s="53" t="n"/>
      <c r="CJ461" s="53" t="n"/>
      <c r="CK461" s="53" t="n"/>
      <c r="CL461" s="53" t="n"/>
      <c r="CM461" s="53" t="n"/>
      <c r="CN461" s="53" t="n"/>
      <c r="CO461" s="53" t="n"/>
      <c r="CP461" s="53" t="n"/>
      <c r="CQ461" s="53" t="n"/>
      <c r="CR461" s="53" t="n"/>
      <c r="CS461" s="53" t="n"/>
      <c r="CT461" s="53" t="n"/>
      <c r="CU461" s="53" t="n"/>
      <c r="CV461" s="53" t="n"/>
      <c r="CW461" s="53" t="n"/>
      <c r="CX461" s="53" t="n"/>
      <c r="CY461" s="53" t="n"/>
      <c r="CZ461" s="53" t="n"/>
      <c r="DA461" s="53" t="n"/>
      <c r="DB461" s="53" t="n"/>
      <c r="DC461" s="53" t="n"/>
      <c r="DD461" s="53" t="inlineStr">
        <is>
          <t>IRIS0049</t>
        </is>
      </c>
      <c r="DE461" s="53" t="inlineStr">
        <is>
          <t>Employee</t>
        </is>
      </c>
      <c r="DF461" s="53" t="inlineStr">
        <is>
          <t>Active</t>
        </is>
      </c>
      <c r="DG461" s="53" t="inlineStr">
        <is>
          <t>Kalyani Sunil Nagap</t>
        </is>
      </c>
      <c r="DH461" s="54" t="n">
        <v>39002</v>
      </c>
      <c r="DI461" s="53" t="inlineStr">
        <is>
          <t>Senior Analyst</t>
        </is>
      </c>
      <c r="DJ461" s="53" t="inlineStr">
        <is>
          <t>Consulting &amp; Professional Services</t>
        </is>
      </c>
      <c r="DK461" s="53" t="inlineStr">
        <is>
          <t>XBRL / Regulatory Reporting</t>
        </is>
      </c>
      <c r="DL461" s="53" t="inlineStr">
        <is>
          <t>Senior Analyst</t>
        </is>
      </c>
      <c r="DM461" s="53" t="inlineStr">
        <is>
          <t>L4 – Senior</t>
        </is>
      </c>
      <c r="DN461" s="53" t="inlineStr">
        <is>
          <t>B.Com</t>
        </is>
      </c>
      <c r="DO461" s="53" t="inlineStr">
        <is>
          <t>Jayshree Margi</t>
        </is>
      </c>
      <c r="DP461" s="53" t="inlineStr">
        <is>
          <t>N-3</t>
        </is>
      </c>
      <c r="DQ461" s="53" t="inlineStr">
        <is>
          <t>Individual Contributor</t>
        </is>
      </c>
      <c r="DR461" s="53" t="inlineStr">
        <is>
          <t>0 years, 0 months, 0 days</t>
        </is>
      </c>
      <c r="DS461" s="53" t="inlineStr">
        <is>
          <t>19 years, 8 months, 8 days</t>
        </is>
      </c>
      <c r="DT461" s="53" t="inlineStr">
        <is>
          <t>19 years, 8 months, 8 days</t>
        </is>
      </c>
      <c r="DU461" s="53" t="n"/>
      <c r="DV461" s="53" t="inlineStr">
        <is>
          <t>Suptech</t>
        </is>
      </c>
      <c r="DW461" s="53" t="inlineStr">
        <is>
          <t>iFile</t>
        </is>
      </c>
      <c r="DX461" s="53" t="inlineStr">
        <is>
          <t>XBRL Consulting</t>
        </is>
      </c>
      <c r="DY461" s="53" t="inlineStr">
        <is>
          <t>Consulting</t>
        </is>
      </c>
      <c r="DZ461" s="53" t="inlineStr">
        <is>
          <t>No</t>
        </is>
      </c>
      <c r="EA461" s="53" t="inlineStr">
        <is>
          <t>Professional Services</t>
        </is>
      </c>
      <c r="EB461" s="53" t="inlineStr">
        <is>
          <t>XBRL Domain</t>
        </is>
      </c>
      <c r="EC461" s="53" t="inlineStr">
        <is>
          <t>Non-technical</t>
        </is>
      </c>
      <c r="ED461" s="53" t="inlineStr">
        <is>
          <t>Work From Office - Turbhe</t>
        </is>
      </c>
      <c r="EE461" s="53" t="n"/>
      <c r="EF461"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1" s="53" t="inlineStr">
        <is>
          <t>1. Complete Q1 taxonomy build/test tasks on schedule · &gt;=95% on-time.
2. Close assigned iFILE support tickets within SLA.
3. Finish Q1 Excel/Webform test cycles with defect leakage &lt;2%.</t>
        </is>
      </c>
      <c r="EH461" s="53" t="inlineStr">
        <is>
          <t>3 – Meets Expectations</t>
        </is>
      </c>
      <c r="EI461" s="53" t="inlineStr">
        <is>
          <t>Last appraisal in Oct 2025</t>
        </is>
      </c>
      <c r="EJ461" s="53" t="inlineStr">
        <is>
          <t>Senior Analyst</t>
        </is>
      </c>
      <c r="EK461" s="53" t="inlineStr">
        <is>
          <t>No change</t>
        </is>
      </c>
      <c r="EL461" s="53" t="n">
        <v>3</v>
      </c>
      <c r="EM461" s="53" t="inlineStr">
        <is>
          <t>Low</t>
        </is>
      </c>
      <c r="EN461" s="53" t="inlineStr">
        <is>
          <t>Reliable Specialist</t>
        </is>
      </c>
      <c r="EO461" s="53" t="n"/>
      <c r="EP461" s="53" t="inlineStr">
        <is>
          <t>No</t>
        </is>
      </c>
      <c r="EQ461" s="53" t="n"/>
      <c r="ER461" s="53" t="inlineStr">
        <is>
          <t>To be identified</t>
        </is>
      </c>
      <c r="ES461" s="53" t="inlineStr">
        <is>
          <t>XBRL taxonomy &amp; regulatory updates; domain/accounting refreshers; quality &amp; accuracy practices; tooling proficiency</t>
        </is>
      </c>
      <c r="ET461" s="53" t="inlineStr">
        <is>
          <t>Transition to leadership: people management &amp; delegation, mentoring/coaching, project ownership &amp; stakeholder management, prioritisation under ambiguity, presentation &amp; influence skills</t>
        </is>
      </c>
      <c r="EU461" s="53" t="n"/>
      <c r="EV461" s="53" t="n"/>
      <c r="EW461" s="52" t="n"/>
      <c r="EX461" s="53" t="n"/>
      <c r="EY461" s="53" t="n"/>
      <c r="EZ461" s="53" t="n"/>
      <c r="FA461" s="53" t="n"/>
      <c r="FB461" s="53" t="n"/>
      <c r="FC461" s="53" t="n"/>
      <c r="FD461" s="53" t="n"/>
      <c r="FE461"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1" s="56" t="inlineStr">
        <is>
          <t>1. Complete Q1 taxonomy build/test tasks on schedule · &gt;=95% on-time.
2. Close assigned iFILE support tickets within SLA · &gt;=90%.
3. Finish Q1 Excel/Webform test cycles with defect leakage &lt;2%.</t>
        </is>
      </c>
      <c r="FG461" s="56" t="n"/>
      <c r="FH461" s="56" t="inlineStr">
        <is>
          <t>3 – Meets Expectations</t>
        </is>
      </c>
      <c r="FI461" s="56" t="n"/>
      <c r="FJ461" s="56" t="inlineStr">
        <is>
          <t>Received · manager annual, quarterly</t>
        </is>
      </c>
      <c r="FK461" s="56" t="inlineStr">
        <is>
          <t>Talent Mapping · iFile collated</t>
        </is>
      </c>
      <c r="FL461" s="56" t="n">
        <v>20</v>
      </c>
      <c r="FM461" s="32" t="inlineStr">
        <is>
          <t>Full survey answers not in the files received · How We Grow export needed · HR</t>
        </is>
      </c>
      <c r="FN461" s="56" t="inlineStr">
        <is>
          <t>—</t>
        </is>
      </c>
      <c r="FO461" s="56" t="inlineStr">
        <is>
          <t>—</t>
        </is>
      </c>
      <c r="FP461" s="56" t="inlineStr">
        <is>
          <t>—</t>
        </is>
      </c>
      <c r="FQ461" s="56" t="inlineStr">
        <is>
          <t>—</t>
        </is>
      </c>
      <c r="FR461" s="56"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agreed timelines → matches the start
Leadership: Evidence reads like A1: None described → moved down 0.5
Business Impact: No survey or manager-mapping signal on criticality: kept at the start point.</t>
        </is>
      </c>
      <c r="FS461"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1" s="56" t="inlineStr">
        <is>
          <t>Self-identified: Project / programme management · Broader exposure &amp; ownership
For the next role: Project / programme management · Broader exposure &amp; ownership</t>
        </is>
      </c>
      <c r="FU461" s="32" t="inlineStr">
        <is>
          <t>Full survey answers not in the files received · How We Grow export needed · HR</t>
        </is>
      </c>
    </row>
    <row r="462" ht="90" customHeight="1">
      <c r="A462" s="51" t="inlineStr">
        <is>
          <t>◂ Back</t>
        </is>
      </c>
      <c r="B462" s="29" t="inlineStr">
        <is>
          <t>Mapped</t>
        </is>
      </c>
      <c r="C462" s="28" t="inlineStr">
        <is>
          <t>iFile</t>
        </is>
      </c>
      <c r="D462" s="29" t="inlineStr">
        <is>
          <t>IRIS1248</t>
        </is>
      </c>
      <c r="E462" s="29" t="inlineStr">
        <is>
          <t>Neha Periwal</t>
        </is>
      </c>
      <c r="F462" s="29" t="inlineStr">
        <is>
          <t>XBRL Consulting</t>
        </is>
      </c>
      <c r="G462" s="29" t="inlineStr">
        <is>
          <t>Consultant</t>
        </is>
      </c>
      <c r="H462" s="29" t="inlineStr">
        <is>
          <t>Senior Taxonomy Analyst</t>
        </is>
      </c>
      <c r="I462" s="29" t="inlineStr">
        <is>
          <t>L3 – Professional / Associate</t>
        </is>
      </c>
      <c r="J462" s="29" t="inlineStr">
        <is>
          <t>A3</t>
        </is>
      </c>
      <c r="K462" s="29" t="inlineStr">
        <is>
          <t>▲ Up</t>
        </is>
      </c>
      <c r="L462" s="29" t="inlineStr">
        <is>
          <t>Consulting &amp; Professional Services</t>
        </is>
      </c>
      <c r="M462" s="29" t="inlineStr">
        <is>
          <t>Taxonomy Design &amp; Regulatory Consulting</t>
        </is>
      </c>
      <c r="N462" s="29" t="n"/>
      <c r="O462" s="29" t="n">
        <v>20</v>
      </c>
      <c r="P462" s="28" t="inlineStr">
        <is>
          <t>P2</t>
        </is>
      </c>
      <c r="Q462" s="29" t="inlineStr">
        <is>
          <t>Developing</t>
        </is>
      </c>
      <c r="R462" s="29" t="inlineStr">
        <is>
          <t>3 Apply</t>
        </is>
      </c>
      <c r="S462" s="29" t="inlineStr">
        <is>
          <t>2–4 yrs</t>
        </is>
      </c>
      <c r="T462" s="29" t="inlineStr">
        <is>
          <t>3–5 · 2–5</t>
        </is>
      </c>
      <c r="U462" s="29" t="inlineStr">
        <is>
          <t>Senior Analyst / Associate</t>
        </is>
      </c>
      <c r="V462" s="29" t="inlineStr">
        <is>
          <t>DataTracks: Senior Associate · 2–5 yrs · Big Four: Consultant · IRIS Vs Market Benchmark — XBRL US credential pathway: XBRL US GAAP Certificate</t>
        </is>
      </c>
      <c r="W462" s="29" t="inlineStr">
        <is>
          <t>XBRL US GAAP Certificate · AICPA &amp; XBRL US; XBRL International specifications; IFRS / US GAAP / Ind AS</t>
        </is>
      </c>
      <c r="X462" s="29" t="inlineStr">
        <is>
          <t>Core 2 · Future 2 · Functional 3 · Leadership not scored</t>
        </is>
      </c>
      <c r="Y462" s="52" t="n">
        <v>114</v>
      </c>
      <c r="Z462" s="53" t="inlineStr">
        <is>
          <t>IRIS1248</t>
        </is>
      </c>
      <c r="AA462" s="53" t="inlineStr">
        <is>
          <t>Employee</t>
        </is>
      </c>
      <c r="AB462" s="53" t="inlineStr">
        <is>
          <t>Active</t>
        </is>
      </c>
      <c r="AC462" s="53" t="inlineStr">
        <is>
          <t>Neha Periwal</t>
        </is>
      </c>
      <c r="AD462" s="54" t="n">
        <v>41134</v>
      </c>
      <c r="AE462" s="53" t="inlineStr">
        <is>
          <t>Consultant</t>
        </is>
      </c>
      <c r="AF462" s="53" t="inlineStr">
        <is>
          <t>CA</t>
        </is>
      </c>
      <c r="AG462" s="53" t="inlineStr">
        <is>
          <t>Rahul Dhamne</t>
        </is>
      </c>
      <c r="AH462" s="53" t="inlineStr">
        <is>
          <t>N-2</t>
        </is>
      </c>
      <c r="AI462" s="53" t="inlineStr">
        <is>
          <t>Individual Contributor</t>
        </is>
      </c>
      <c r="AJ462" s="53" t="inlineStr">
        <is>
          <t>3 years, 5 months, 0 days</t>
        </is>
      </c>
      <c r="AK462" s="53" t="inlineStr">
        <is>
          <t>14 years, 0 months, 12 days</t>
        </is>
      </c>
      <c r="AL462" s="53" t="inlineStr">
        <is>
          <t>Suptech</t>
        </is>
      </c>
      <c r="AM462" s="53" t="inlineStr">
        <is>
          <t>iFile</t>
        </is>
      </c>
      <c r="AN462" s="53" t="inlineStr">
        <is>
          <t>XBRL Consulting</t>
        </is>
      </c>
      <c r="AO462" s="53" t="inlineStr">
        <is>
          <t>Consulting</t>
        </is>
      </c>
      <c r="AP462" s="53" t="inlineStr">
        <is>
          <t>No</t>
        </is>
      </c>
      <c r="AQ462" s="53" t="inlineStr">
        <is>
          <t>Professional Services</t>
        </is>
      </c>
      <c r="AR462" s="53" t="inlineStr">
        <is>
          <t>XBRL Domain</t>
        </is>
      </c>
      <c r="AS462" s="53" t="inlineStr">
        <is>
          <t>Non-technical</t>
        </is>
      </c>
      <c r="AT462" s="53" t="n">
        <v>20</v>
      </c>
      <c r="AU462" s="53" t="inlineStr">
        <is>
          <t>Covered</t>
        </is>
      </c>
      <c r="AV462" s="53" t="n"/>
      <c r="AW462" s="53" t="n"/>
      <c r="AX462" s="53" t="n"/>
      <c r="AY462" s="53" t="n"/>
      <c r="AZ462" s="53" t="n"/>
      <c r="BA462" s="53" t="n"/>
      <c r="BB462" s="53" t="n"/>
      <c r="BC462" s="53" t="n"/>
      <c r="BD462" s="53" t="n"/>
      <c r="BE462" s="53" t="n"/>
      <c r="BF462" s="53" t="n"/>
      <c r="BG462" s="53" t="n"/>
      <c r="BH462" s="53" t="n"/>
      <c r="BI462" s="53" t="n"/>
      <c r="BJ462" s="53" t="n"/>
      <c r="BK462" s="53" t="n"/>
      <c r="BL462" s="53" t="n"/>
      <c r="BM462" s="53" t="n"/>
      <c r="BN462" s="53" t="n"/>
      <c r="BO462" s="53" t="n"/>
      <c r="BP462" s="53" t="n"/>
      <c r="BQ462" s="53" t="n"/>
      <c r="BR462" s="53" t="n"/>
      <c r="BS462" s="53" t="n"/>
      <c r="BT462" s="53" t="n"/>
      <c r="BU462" s="53" t="n"/>
      <c r="BV462" s="53" t="n"/>
      <c r="BW462" s="53" t="n"/>
      <c r="BX462" s="53" t="n"/>
      <c r="BY462" s="53" t="n"/>
      <c r="BZ462" s="53" t="n"/>
      <c r="CA462" s="53" t="n"/>
      <c r="CB462" s="53" t="n"/>
      <c r="CC462" s="53" t="n"/>
      <c r="CD462" s="53" t="n"/>
      <c r="CE462" s="53" t="n"/>
      <c r="CF462" s="53" t="n"/>
      <c r="CG462" s="53" t="n"/>
      <c r="CH462" s="53" t="n"/>
      <c r="CI462" s="53" t="n"/>
      <c r="CJ462" s="53" t="n"/>
      <c r="CK462" s="53" t="n"/>
      <c r="CL462" s="53" t="n"/>
      <c r="CM462" s="53" t="n"/>
      <c r="CN462" s="53" t="n"/>
      <c r="CO462" s="53" t="n"/>
      <c r="CP462" s="53" t="n"/>
      <c r="CQ462" s="53" t="n"/>
      <c r="CR462" s="53" t="n"/>
      <c r="CS462" s="53" t="n"/>
      <c r="CT462" s="53" t="n"/>
      <c r="CU462" s="53" t="n"/>
      <c r="CV462" s="53" t="n"/>
      <c r="CW462" s="53" t="n"/>
      <c r="CX462" s="53" t="n"/>
      <c r="CY462" s="53" t="n"/>
      <c r="CZ462" s="53" t="n"/>
      <c r="DA462" s="53" t="n"/>
      <c r="DB462" s="53" t="n"/>
      <c r="DC462" s="53" t="n"/>
      <c r="DD462" s="53" t="inlineStr">
        <is>
          <t>IRIS1248</t>
        </is>
      </c>
      <c r="DE462" s="53" t="inlineStr">
        <is>
          <t>Employee</t>
        </is>
      </c>
      <c r="DF462" s="53" t="inlineStr">
        <is>
          <t>Active</t>
        </is>
      </c>
      <c r="DG462" s="53" t="inlineStr">
        <is>
          <t>Neha Periwal</t>
        </is>
      </c>
      <c r="DH462" s="54" t="n">
        <v>41134</v>
      </c>
      <c r="DI462" s="53" t="inlineStr">
        <is>
          <t>Consultant</t>
        </is>
      </c>
      <c r="DJ462" s="53" t="inlineStr">
        <is>
          <t>Consulting &amp; Professional Services</t>
        </is>
      </c>
      <c r="DK462" s="53" t="inlineStr">
        <is>
          <t>XBRL / Regulatory Reporting</t>
        </is>
      </c>
      <c r="DL462" s="53" t="inlineStr">
        <is>
          <t>Consultant</t>
        </is>
      </c>
      <c r="DM462" s="53" t="inlineStr">
        <is>
          <t>L3 – Professional / Associate</t>
        </is>
      </c>
      <c r="DN462" s="53" t="inlineStr">
        <is>
          <t>CA</t>
        </is>
      </c>
      <c r="DO462" s="53" t="inlineStr">
        <is>
          <t>Rahul Dhamne</t>
        </is>
      </c>
      <c r="DP462" s="53" t="inlineStr">
        <is>
          <t>N-2</t>
        </is>
      </c>
      <c r="DQ462" s="53" t="inlineStr">
        <is>
          <t>Individual Contributor</t>
        </is>
      </c>
      <c r="DR462" s="53" t="inlineStr">
        <is>
          <t>3 years, 5 months, 0 days</t>
        </is>
      </c>
      <c r="DS462" s="53" t="inlineStr">
        <is>
          <t>13 years, 10 months, 7 days</t>
        </is>
      </c>
      <c r="DT462" s="53" t="inlineStr">
        <is>
          <t>17 years, 3 months, 7 days</t>
        </is>
      </c>
      <c r="DU462" s="53" t="n"/>
      <c r="DV462" s="53" t="inlineStr">
        <is>
          <t>Suptech</t>
        </is>
      </c>
      <c r="DW462" s="53" t="inlineStr">
        <is>
          <t>iFile</t>
        </is>
      </c>
      <c r="DX462" s="53" t="inlineStr">
        <is>
          <t>XBRL Consulting</t>
        </is>
      </c>
      <c r="DY462" s="53" t="inlineStr">
        <is>
          <t>Consulting</t>
        </is>
      </c>
      <c r="DZ462" s="53" t="inlineStr">
        <is>
          <t>No</t>
        </is>
      </c>
      <c r="EA462" s="53" t="inlineStr">
        <is>
          <t>Professional Services</t>
        </is>
      </c>
      <c r="EB462" s="53" t="inlineStr">
        <is>
          <t>XBRL Domain</t>
        </is>
      </c>
      <c r="EC462" s="53" t="inlineStr">
        <is>
          <t>Non-technical</t>
        </is>
      </c>
      <c r="ED462" s="53" t="inlineStr">
        <is>
          <t>Remote- Outside Mumbai</t>
        </is>
      </c>
      <c r="EE462" s="53" t="n"/>
      <c r="EF462"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62"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62" s="53" t="inlineStr">
        <is>
          <t>2 – Needs improvement</t>
        </is>
      </c>
      <c r="EI462" s="53" t="inlineStr">
        <is>
          <t>Last appraisal in Oct 2025</t>
        </is>
      </c>
      <c r="EJ462" s="53" t="inlineStr">
        <is>
          <t>Consultant</t>
        </is>
      </c>
      <c r="EK462" s="53" t="inlineStr">
        <is>
          <t>No change</t>
        </is>
      </c>
      <c r="EL462" s="53" t="n">
        <v>3</v>
      </c>
      <c r="EM462" s="53" t="inlineStr">
        <is>
          <t>Low</t>
        </is>
      </c>
      <c r="EN462" s="53" t="inlineStr">
        <is>
          <t>Reliable Specialist</t>
        </is>
      </c>
      <c r="EO462" s="53" t="n"/>
      <c r="EP462" s="53" t="inlineStr">
        <is>
          <t>No</t>
        </is>
      </c>
      <c r="EQ462" s="53" t="n"/>
      <c r="ER462" s="53" t="inlineStr">
        <is>
          <t>To be identified</t>
        </is>
      </c>
      <c r="ES462" s="53" t="inlineStr">
        <is>
          <t>XBRL taxonomy &amp; regulatory updates; domain/accounting refreshers; quality &amp; accuracy practices; tooling proficiency</t>
        </is>
      </c>
      <c r="ET462" s="53" t="inlineStr">
        <is>
          <t>Transition to leadership: people management &amp; delegation, mentoring/coaching, project ownership &amp; stakeholder management, prioritisation under ambiguity, presentation &amp; influence skills</t>
        </is>
      </c>
      <c r="EU462" s="53" t="n"/>
      <c r="EV462" s="53" t="n"/>
      <c r="EW462" s="52" t="n"/>
      <c r="EX462" s="53" t="n"/>
      <c r="EY462" s="53" t="n"/>
      <c r="EZ462" s="53" t="n"/>
      <c r="FA462" s="53" t="n"/>
      <c r="FB462" s="53" t="n"/>
      <c r="FC462" s="53" t="n"/>
      <c r="FD462" s="53" t="n"/>
      <c r="FE462"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62"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62" s="56" t="n"/>
      <c r="FH462" s="56" t="inlineStr">
        <is>
          <t>2 – Needs improvement</t>
        </is>
      </c>
      <c r="FI462" s="56" t="n"/>
      <c r="FJ462" s="56" t="inlineStr">
        <is>
          <t>Received · manager annual, quarterly</t>
        </is>
      </c>
      <c r="FK462" s="56" t="inlineStr">
        <is>
          <t>Talent Mapping · iFile collated</t>
        </is>
      </c>
      <c r="FL462" s="56" t="n">
        <v>20</v>
      </c>
      <c r="FM462" s="32" t="inlineStr">
        <is>
          <t>Full survey answers not in the files received · How We Grow export needed · HR</t>
        </is>
      </c>
      <c r="FN462" s="56" t="inlineStr">
        <is>
          <t>—</t>
        </is>
      </c>
      <c r="FO462" s="56" t="inlineStr">
        <is>
          <t>—</t>
        </is>
      </c>
      <c r="FP462" s="56" t="inlineStr">
        <is>
          <t>—</t>
        </is>
      </c>
      <c r="FQ462" s="56" t="inlineStr">
        <is>
          <t>—</t>
        </is>
      </c>
      <c r="FR462" s="56"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taxonomy related'; consequence is rework and management mails → moved down 0.5
Leadership: Evidence reads like A1: Team work and coordination mentioned generically; no guiding of others → moved down 0.5
Business Impact: No survey or manager-mapping signal on criticality: kept at the start point.</t>
        </is>
      </c>
      <c r="FS462"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2" s="56" t="inlineStr">
        <is>
          <t>Self-identified: Project / programme management · Broader exposure &amp; ownership
For the next role: Project / programme management · Broader exposure &amp; ownership</t>
        </is>
      </c>
      <c r="FU462" s="32" t="inlineStr">
        <is>
          <t>Full survey answers not in the files received · How We Grow export needed · HR</t>
        </is>
      </c>
    </row>
    <row r="463" ht="90" customHeight="1">
      <c r="A463" s="51" t="inlineStr">
        <is>
          <t>◂ Back</t>
        </is>
      </c>
      <c r="B463" s="29" t="inlineStr">
        <is>
          <t>Mapped</t>
        </is>
      </c>
      <c r="C463" s="28" t="inlineStr">
        <is>
          <t>iFile</t>
        </is>
      </c>
      <c r="D463" s="29" t="inlineStr">
        <is>
          <t>IRIS2364</t>
        </is>
      </c>
      <c r="E463" s="29" t="inlineStr">
        <is>
          <t>Srikant Mishra</t>
        </is>
      </c>
      <c r="F463" s="29" t="inlineStr">
        <is>
          <t>Technology</t>
        </is>
      </c>
      <c r="G463" s="29" t="inlineStr">
        <is>
          <t>Business Analyst</t>
        </is>
      </c>
      <c r="H463" s="29" t="inlineStr">
        <is>
          <t>Senior Business Analyst</t>
        </is>
      </c>
      <c r="I463" s="29" t="inlineStr">
        <is>
          <t>L3 – Professional / Associate</t>
        </is>
      </c>
      <c r="J463" s="29" t="inlineStr">
        <is>
          <t>A3</t>
        </is>
      </c>
      <c r="K463" s="29" t="inlineStr">
        <is>
          <t>▲ Up</t>
        </is>
      </c>
      <c r="L463" s="29" t="inlineStr">
        <is>
          <t>Business Analysis</t>
        </is>
      </c>
      <c r="M463" s="29" t="inlineStr">
        <is>
          <t>Business Analysis</t>
        </is>
      </c>
      <c r="N463" s="29" t="n"/>
      <c r="O463" s="29" t="n">
        <v>20</v>
      </c>
      <c r="P463" s="28" t="inlineStr">
        <is>
          <t>P2</t>
        </is>
      </c>
      <c r="Q463" s="29" t="inlineStr">
        <is>
          <t>Developing</t>
        </is>
      </c>
      <c r="R463" s="29" t="inlineStr">
        <is>
          <t>3 Apply</t>
        </is>
      </c>
      <c r="S463" s="29" t="inlineStr">
        <is>
          <t>2–4 yrs</t>
        </is>
      </c>
      <c r="T463" s="29" t="inlineStr">
        <is>
          <t>3–5 · 2–5</t>
        </is>
      </c>
      <c r="U463" s="29" t="inlineStr">
        <is>
          <t>Business Analyst</t>
        </is>
      </c>
      <c r="V463" s="29" t="inlineStr">
        <is>
          <t>Regnology — regulatory reporting: Junior BA · Reg Reporting · Big Four consulting: Consultant · IRIS Vs Market Benchmark — IIBA certification pathway: ECBA · Infosys / Accenture: JL3A · L10 Senior Analyst</t>
        </is>
      </c>
      <c r="W463" s="29" t="inlineStr">
        <is>
          <t>IIBA BABOK v3; certifications ECBA · entry → CCBA → CBAP · senior</t>
        </is>
      </c>
      <c r="X463" s="29" t="inlineStr">
        <is>
          <t>Core 2 · Future 2 · Functional 3 · Leadership not scored</t>
        </is>
      </c>
      <c r="Y463" s="52" t="n">
        <v>367</v>
      </c>
      <c r="Z463" s="53" t="inlineStr">
        <is>
          <t>IRIS2364</t>
        </is>
      </c>
      <c r="AA463" s="53" t="inlineStr">
        <is>
          <t>Employee</t>
        </is>
      </c>
      <c r="AB463" s="53" t="inlineStr">
        <is>
          <t>Active</t>
        </is>
      </c>
      <c r="AC463" s="53" t="inlineStr">
        <is>
          <t>Srikant Mishra</t>
        </is>
      </c>
      <c r="AD463" s="54" t="n">
        <v>45754</v>
      </c>
      <c r="AE463" s="53" t="inlineStr">
        <is>
          <t>Business Analyst</t>
        </is>
      </c>
      <c r="AF463" s="53" t="inlineStr">
        <is>
          <t>B.Tech</t>
        </is>
      </c>
      <c r="AG463" s="53" t="inlineStr">
        <is>
          <t>Rahul Dhamne</t>
        </is>
      </c>
      <c r="AH463" s="53" t="inlineStr">
        <is>
          <t>N-2</t>
        </is>
      </c>
      <c r="AI463" s="53" t="inlineStr">
        <is>
          <t>Manager</t>
        </is>
      </c>
      <c r="AJ463" s="53" t="inlineStr">
        <is>
          <t>2 years, 11 months, 0 days</t>
        </is>
      </c>
      <c r="AK463" s="53" t="inlineStr">
        <is>
          <t>1 years, 4 months, 18 days</t>
        </is>
      </c>
      <c r="AL463" s="53" t="inlineStr">
        <is>
          <t>Suptech</t>
        </is>
      </c>
      <c r="AM463" s="53" t="inlineStr">
        <is>
          <t>iFile</t>
        </is>
      </c>
      <c r="AN463" s="53" t="inlineStr">
        <is>
          <t>Technology</t>
        </is>
      </c>
      <c r="AO463" s="53" t="inlineStr">
        <is>
          <t>Business Analysis</t>
        </is>
      </c>
      <c r="AP463" s="53" t="inlineStr">
        <is>
          <t>No</t>
        </is>
      </c>
      <c r="AQ463" s="53" t="inlineStr">
        <is>
          <t>Product/Project</t>
        </is>
      </c>
      <c r="AR463" s="53" t="inlineStr">
        <is>
          <t>Business Analysis</t>
        </is>
      </c>
      <c r="AS463" s="53" t="inlineStr">
        <is>
          <t>Technical · BA, PM and QA</t>
        </is>
      </c>
      <c r="AT463" s="53" t="n">
        <v>20</v>
      </c>
      <c r="AU463" s="53" t="inlineStr">
        <is>
          <t>Covered</t>
        </is>
      </c>
      <c r="AV463" s="53" t="n"/>
      <c r="AW463" s="53" t="n"/>
      <c r="AX463" s="53" t="n"/>
      <c r="AY463" s="53" t="n"/>
      <c r="AZ463" s="53" t="n"/>
      <c r="BA463" s="53" t="n"/>
      <c r="BB463" s="53" t="n"/>
      <c r="BC463" s="53" t="n"/>
      <c r="BD463" s="53" t="n"/>
      <c r="BE463" s="53" t="n"/>
      <c r="BF463" s="53" t="n"/>
      <c r="BG463" s="53" t="n"/>
      <c r="BH463" s="53" t="n"/>
      <c r="BI463" s="53" t="n"/>
      <c r="BJ463" s="53" t="n"/>
      <c r="BK463" s="53" t="n"/>
      <c r="BL463" s="53" t="n"/>
      <c r="BM463" s="53" t="n"/>
      <c r="BN463" s="53" t="n"/>
      <c r="BO463" s="53" t="n"/>
      <c r="BP463" s="53" t="n"/>
      <c r="BQ463" s="53" t="n"/>
      <c r="BR463" s="53" t="n"/>
      <c r="BS463" s="53" t="n"/>
      <c r="BT463" s="53" t="n"/>
      <c r="BU463" s="53" t="n"/>
      <c r="BV463" s="53" t="n"/>
      <c r="BW463" s="53" t="n"/>
      <c r="BX463" s="53" t="n"/>
      <c r="BY463" s="53" t="n"/>
      <c r="BZ463" s="53" t="n"/>
      <c r="CA463" s="53" t="n"/>
      <c r="CB463" s="53" t="n"/>
      <c r="CC463" s="53" t="n"/>
      <c r="CD463" s="53" t="n"/>
      <c r="CE463" s="53" t="n"/>
      <c r="CF463" s="53" t="n"/>
      <c r="CG463" s="53" t="n"/>
      <c r="CH463" s="53" t="n"/>
      <c r="CI463" s="53" t="n"/>
      <c r="CJ463" s="53" t="n"/>
      <c r="CK463" s="53" t="n"/>
      <c r="CL463" s="53" t="n"/>
      <c r="CM463" s="53" t="n"/>
      <c r="CN463" s="53" t="n"/>
      <c r="CO463" s="53" t="n"/>
      <c r="CP463" s="53" t="n"/>
      <c r="CQ463" s="53" t="n"/>
      <c r="CR463" s="53" t="n"/>
      <c r="CS463" s="53" t="n"/>
      <c r="CT463" s="53" t="n"/>
      <c r="CU463" s="53" t="n"/>
      <c r="CV463" s="53" t="n"/>
      <c r="CW463" s="53" t="n"/>
      <c r="CX463" s="53" t="n"/>
      <c r="CY463" s="53" t="n"/>
      <c r="CZ463" s="53" t="n"/>
      <c r="DA463" s="53" t="n"/>
      <c r="DB463" s="53" t="n"/>
      <c r="DC463" s="53" t="n"/>
      <c r="DD463" s="53" t="inlineStr">
        <is>
          <t>IRIS2364</t>
        </is>
      </c>
      <c r="DE463" s="53" t="inlineStr">
        <is>
          <t>Employee</t>
        </is>
      </c>
      <c r="DF463" s="53" t="inlineStr">
        <is>
          <t>Active</t>
        </is>
      </c>
      <c r="DG463" s="53" t="inlineStr">
        <is>
          <t>Srikant Mishra</t>
        </is>
      </c>
      <c r="DH463" s="54" t="n">
        <v>45754</v>
      </c>
      <c r="DI463" s="53" t="inlineStr">
        <is>
          <t>Business Analyst</t>
        </is>
      </c>
      <c r="DJ463" s="53" t="inlineStr">
        <is>
          <t>Business Analysis</t>
        </is>
      </c>
      <c r="DK463" s="53" t="inlineStr">
        <is>
          <t>Business / Functional Analysis</t>
        </is>
      </c>
      <c r="DL463" s="53" t="inlineStr">
        <is>
          <t>Business Analyst</t>
        </is>
      </c>
      <c r="DM463" s="53" t="inlineStr">
        <is>
          <t>L3 – Professional / Associate</t>
        </is>
      </c>
      <c r="DN463" s="53" t="inlineStr">
        <is>
          <t>B.Tech</t>
        </is>
      </c>
      <c r="DO463" s="53" t="inlineStr">
        <is>
          <t>Jailesh Bhadra</t>
        </is>
      </c>
      <c r="DP463" s="53" t="inlineStr">
        <is>
          <t>N-3</t>
        </is>
      </c>
      <c r="DQ463" s="53" t="inlineStr">
        <is>
          <t>Manager</t>
        </is>
      </c>
      <c r="DR463" s="53" t="inlineStr">
        <is>
          <t>2 years, 11 months, 0 days</t>
        </is>
      </c>
      <c r="DS463" s="53" t="inlineStr">
        <is>
          <t>1 years, 2 months, 13 days</t>
        </is>
      </c>
      <c r="DT463" s="53" t="inlineStr">
        <is>
          <t>4 years, 1 months, 13 days</t>
        </is>
      </c>
      <c r="DU463" s="53" t="n">
        <v>1.20228310502283</v>
      </c>
      <c r="DV463" s="53" t="inlineStr">
        <is>
          <t>Suptech</t>
        </is>
      </c>
      <c r="DW463" s="53" t="inlineStr">
        <is>
          <t>iFile</t>
        </is>
      </c>
      <c r="DX463" s="53" t="inlineStr">
        <is>
          <t>Technology</t>
        </is>
      </c>
      <c r="DY463" s="53" t="inlineStr">
        <is>
          <t>Business Analysis</t>
        </is>
      </c>
      <c r="DZ463" s="53" t="inlineStr">
        <is>
          <t>No</t>
        </is>
      </c>
      <c r="EA463" s="53" t="inlineStr">
        <is>
          <t>Product/Project</t>
        </is>
      </c>
      <c r="EB463" s="53" t="inlineStr">
        <is>
          <t>Business Analysis</t>
        </is>
      </c>
      <c r="EC463" s="53" t="inlineStr">
        <is>
          <t>Technical · BA, PM and QA</t>
        </is>
      </c>
      <c r="ED463" s="53" t="inlineStr">
        <is>
          <t>Hybrid</t>
        </is>
      </c>
      <c r="EE463" s="53"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EF463" s="53"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EG463" s="53" t="inlineStr">
        <is>
          <t>Q1: Deliver own BA workstreams to &gt;=95% quality &amp; timeliness
Q1: Establish a regular guidance/review cadence with the 2 engineers he leads
Q1: Resolve pod escalations within SLA
Q1: Provide first monthly pod workload/performance update to Jailesh</t>
        </is>
      </c>
      <c r="EH463" s="53" t="n">
        <v>4</v>
      </c>
      <c r="EI463" s="54" t="n">
        <v>45931</v>
      </c>
      <c r="EJ463" s="53" t="inlineStr">
        <is>
          <t>Business Analyst</t>
        </is>
      </c>
      <c r="EK463" s="53" t="inlineStr">
        <is>
          <t>Yes — can be considered so the title matches actual accountability.</t>
        </is>
      </c>
      <c r="EL463" s="53" t="n">
        <v>4</v>
      </c>
      <c r="EM463" s="53" t="inlineStr">
        <is>
          <t>High</t>
        </is>
      </c>
      <c r="EN463" s="53" t="inlineStr">
        <is>
          <t>Future Leader</t>
        </is>
      </c>
      <c r="EO463" s="53" t="inlineStr">
        <is>
          <t>Y</t>
        </is>
      </c>
      <c r="EP463" s="53" t="inlineStr">
        <is>
          <t>Y</t>
        </is>
      </c>
      <c r="EQ463" s="53" t="inlineStr">
        <is>
          <t>Y</t>
        </is>
      </c>
      <c r="ER463" s="53" t="inlineStr">
        <is>
          <t>No successor formally identified</t>
        </is>
      </c>
      <c r="ES463" s="53" t="inlineStr">
        <is>
          <t>Advanced requirement engineering &amp; stakeholder/vendor management; RegTech/XBRL/AI domain depth; workload &amp; delegation planning for a small team</t>
        </is>
      </c>
      <c r="ET463" s="53" t="inlineStr">
        <is>
          <t>People management fundamentals, performance coaching &amp; delegation, formal team-lead onboarding, cross-team stakeholder management</t>
        </is>
      </c>
      <c r="EU463" s="53" t="inlineStr">
        <is>
          <t>-</t>
        </is>
      </c>
      <c r="EV463" s="53" t="n"/>
      <c r="EW463" s="52" t="n"/>
      <c r="EX463" s="53" t="n"/>
      <c r="EY463" s="53" t="n"/>
      <c r="EZ463" s="53" t="n"/>
      <c r="FA463" s="53" t="n"/>
      <c r="FB463" s="53" t="n"/>
      <c r="FC463" s="53" t="n"/>
      <c r="FD463" s="53" t="n"/>
      <c r="FE463" s="57"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FF463" s="56" t="inlineStr">
        <is>
          <t>Q1: Deliver own BA workstreams to &gt;=95% quality &amp; timeliness
Q1: Establish a regular guidance/review cadence with the 2 engineers he leads
Q1: Resolve pod escalations within SLA
Q1: Provide first monthly pod workload/performance update to Jailesh</t>
        </is>
      </c>
      <c r="FG463" s="56"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FH463" s="56" t="inlineStr">
        <is>
          <t>4</t>
        </is>
      </c>
      <c r="FI463" s="56" t="n"/>
      <c r="FJ463" s="56" t="inlineStr">
        <is>
          <t>Received · manager annual, quarterly, self</t>
        </is>
      </c>
      <c r="FK463" s="56" t="inlineStr">
        <is>
          <t>Talent Mapping · iFile collated</t>
        </is>
      </c>
      <c r="FL463" s="56" t="n">
        <v>20</v>
      </c>
      <c r="FM463" s="32" t="inlineStr">
        <is>
          <t>Full survey answers not in the files received · How We Grow export needed · HR</t>
        </is>
      </c>
      <c r="FN463" s="56" t="inlineStr">
        <is>
          <t>—</t>
        </is>
      </c>
      <c r="FO463" s="56" t="inlineStr">
        <is>
          <t>—</t>
        </is>
      </c>
      <c r="FP463" s="56" t="inlineStr">
        <is>
          <t>—</t>
        </is>
      </c>
      <c r="FQ463" s="56" t="inlineStr">
        <is>
          <t>—</t>
        </is>
      </c>
      <c r="FR463" s="56"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missed work delays a feature timeline → moved down 0.5
Leadership: Evidence reads like A3: 2 direct reports; manager note: day-to-day functional guidance to 2 developers → moved down 0.5
Business Impact: Moved +0.5: the survey / manager mapping marks it business-critical.</t>
        </is>
      </c>
      <c r="FS463"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463" s="56" t="inlineStr">
        <is>
          <t>Self-identified: Technical depth &amp; architecture
For the next role: Technical depth &amp; architecture</t>
        </is>
      </c>
      <c r="FU463" s="32" t="inlineStr">
        <is>
          <t>Full survey answers not in the files received · How We Grow export needed · HR</t>
        </is>
      </c>
    </row>
    <row r="464" ht="90" customHeight="1">
      <c r="A464" s="51" t="inlineStr">
        <is>
          <t>◂ Back</t>
        </is>
      </c>
      <c r="B464" s="29" t="inlineStr">
        <is>
          <t>Mapped</t>
        </is>
      </c>
      <c r="C464" s="28" t="inlineStr">
        <is>
          <t>iFile</t>
        </is>
      </c>
      <c r="D464" s="29" t="inlineStr">
        <is>
          <t>IRIS2528</t>
        </is>
      </c>
      <c r="E464" s="29" t="inlineStr">
        <is>
          <t>Ghanshyam L Desale</t>
        </is>
      </c>
      <c r="F464" s="29" t="inlineStr">
        <is>
          <t>Technology</t>
        </is>
      </c>
      <c r="G464" s="29" t="inlineStr">
        <is>
          <t>Software Engineer</t>
        </is>
      </c>
      <c r="H464" s="29" t="inlineStr">
        <is>
          <t>Senior UI Developer</t>
        </is>
      </c>
      <c r="I464" s="29" t="inlineStr">
        <is>
          <t>L3 – Professional / Associate</t>
        </is>
      </c>
      <c r="J464" s="29" t="inlineStr">
        <is>
          <t>A3</t>
        </is>
      </c>
      <c r="K464" s="29" t="inlineStr">
        <is>
          <t>▲ Up</t>
        </is>
      </c>
      <c r="L464" s="29" t="inlineStr">
        <is>
          <t>Engineering &amp; Development</t>
        </is>
      </c>
      <c r="M464" s="29" t="inlineStr">
        <is>
          <t>Front-End / UI Development</t>
        </is>
      </c>
      <c r="N464" s="29" t="n"/>
      <c r="O464" s="29" t="n">
        <v>20</v>
      </c>
      <c r="P464" s="28" t="inlineStr">
        <is>
          <t>P2</t>
        </is>
      </c>
      <c r="Q464" s="29" t="inlineStr">
        <is>
          <t>Developing</t>
        </is>
      </c>
      <c r="R464" s="29" t="inlineStr">
        <is>
          <t>3 Apply</t>
        </is>
      </c>
      <c r="S464" s="29" t="inlineStr">
        <is>
          <t>2–4 yrs</t>
        </is>
      </c>
      <c r="T464" s="29" t="inlineStr">
        <is>
          <t>3–5 · 2–5</t>
        </is>
      </c>
      <c r="U464" s="29" t="inlineStr">
        <is>
          <t>Software Engineer</t>
        </is>
      </c>
      <c r="V464" s="29" t="inlineStr">
        <is>
          <t>Workiva: SE · Broadridge India: SE · Nasdaq / AxiomSL: SE · Salesforce: MTS · Atlassian: P40 · 3–7 yrs · Freshworks: Senior SE</t>
        </is>
      </c>
      <c r="W464" s="29" t="inlineStr">
        <is>
          <t>SFIA 9 · software development, programming; OWASP secure coding; cloud vendor certifications</t>
        </is>
      </c>
      <c r="X464" s="29" t="inlineStr">
        <is>
          <t>Core 2 · Future 2 · Functional 3 · Leadership not scored</t>
        </is>
      </c>
      <c r="Y464" s="52" t="n">
        <v>498</v>
      </c>
      <c r="Z464" s="53" t="inlineStr">
        <is>
          <t>IRIS2528</t>
        </is>
      </c>
      <c r="AA464" s="53" t="inlineStr">
        <is>
          <t>Employee</t>
        </is>
      </c>
      <c r="AB464" s="53" t="inlineStr">
        <is>
          <t>Active</t>
        </is>
      </c>
      <c r="AC464" s="53" t="inlineStr">
        <is>
          <t>Ghanshyam L Desale</t>
        </is>
      </c>
      <c r="AD464" s="54" t="n">
        <v>46146</v>
      </c>
      <c r="AE464" s="53" t="inlineStr">
        <is>
          <t>Software Engineer</t>
        </is>
      </c>
      <c r="AF464" s="53" t="inlineStr">
        <is>
          <t>B.E</t>
        </is>
      </c>
      <c r="AG464" s="53" t="inlineStr">
        <is>
          <t>Srikant Mishra</t>
        </is>
      </c>
      <c r="AH464" s="53" t="inlineStr">
        <is>
          <t>N-3</t>
        </is>
      </c>
      <c r="AI464" s="53" t="inlineStr">
        <is>
          <t>Individual Contributor</t>
        </is>
      </c>
      <c r="AJ464" s="53" t="inlineStr">
        <is>
          <t>3 years, 5 months, 0 days</t>
        </is>
      </c>
      <c r="AK464" s="53" t="inlineStr">
        <is>
          <t>0 years, 3 months, 21 days</t>
        </is>
      </c>
      <c r="AL464" s="53" t="inlineStr">
        <is>
          <t>Suptech</t>
        </is>
      </c>
      <c r="AM464" s="53" t="inlineStr">
        <is>
          <t>iFile</t>
        </is>
      </c>
      <c r="AN464" s="53" t="inlineStr">
        <is>
          <t>Technology</t>
        </is>
      </c>
      <c r="AO464" s="53" t="inlineStr">
        <is>
          <t>Development</t>
        </is>
      </c>
      <c r="AP464" s="53" t="inlineStr">
        <is>
          <t>Yes</t>
        </is>
      </c>
      <c r="AQ464" s="53" t="inlineStr">
        <is>
          <t>Product/Project</t>
        </is>
      </c>
      <c r="AR464" s="53" t="inlineStr">
        <is>
          <t>Angular</t>
        </is>
      </c>
      <c r="AS464" s="53" t="inlineStr">
        <is>
          <t>Technical - Developer</t>
        </is>
      </c>
      <c r="AT464" s="53" t="n">
        <v>20</v>
      </c>
      <c r="AU464" s="53" t="inlineStr">
        <is>
          <t>Covered</t>
        </is>
      </c>
      <c r="AV464" s="53" t="n"/>
      <c r="AW464" s="53" t="n"/>
      <c r="AX464" s="53" t="n"/>
      <c r="AY464" s="53" t="n"/>
      <c r="AZ464" s="53" t="n"/>
      <c r="BA464" s="53" t="n"/>
      <c r="BB464" s="53" t="n"/>
      <c r="BC464" s="53" t="n"/>
      <c r="BD464" s="53" t="n"/>
      <c r="BE464" s="53" t="n"/>
      <c r="BF464" s="53" t="n"/>
      <c r="BG464" s="53" t="n"/>
      <c r="BH464" s="53" t="n"/>
      <c r="BI464" s="53" t="n"/>
      <c r="BJ464" s="53" t="n"/>
      <c r="BK464" s="53" t="n"/>
      <c r="BL464" s="53" t="n"/>
      <c r="BM464" s="53" t="n"/>
      <c r="BN464" s="53" t="n"/>
      <c r="BO464" s="53" t="n"/>
      <c r="BP464" s="53" t="n"/>
      <c r="BQ464" s="53" t="n"/>
      <c r="BR464" s="53" t="n"/>
      <c r="BS464" s="53" t="n"/>
      <c r="BT464" s="53" t="n"/>
      <c r="BU464" s="53" t="n"/>
      <c r="BV464" s="53" t="n"/>
      <c r="BW464" s="53" t="n"/>
      <c r="BX464" s="53" t="n"/>
      <c r="BY464" s="53" t="n"/>
      <c r="BZ464" s="53" t="n"/>
      <c r="CA464" s="53" t="n"/>
      <c r="CB464" s="53" t="n"/>
      <c r="CC464" s="53" t="n"/>
      <c r="CD464" s="53" t="n"/>
      <c r="CE464" s="53" t="n"/>
      <c r="CF464" s="53" t="n"/>
      <c r="CG464" s="53" t="n"/>
      <c r="CH464" s="53" t="n"/>
      <c r="CI464" s="53" t="n"/>
      <c r="CJ464" s="53" t="n"/>
      <c r="CK464" s="53" t="n"/>
      <c r="CL464" s="53" t="n"/>
      <c r="CM464" s="53" t="n"/>
      <c r="CN464" s="53" t="n"/>
      <c r="CO464" s="53" t="n"/>
      <c r="CP464" s="53" t="n"/>
      <c r="CQ464" s="53" t="n"/>
      <c r="CR464" s="53" t="n"/>
      <c r="CS464" s="53" t="n"/>
      <c r="CT464" s="53" t="n"/>
      <c r="CU464" s="53" t="n"/>
      <c r="CV464" s="53" t="n"/>
      <c r="CW464" s="53" t="n"/>
      <c r="CX464" s="53" t="n"/>
      <c r="CY464" s="53" t="n"/>
      <c r="CZ464" s="53" t="n"/>
      <c r="DA464" s="53" t="n"/>
      <c r="DB464" s="53" t="n"/>
      <c r="DC464" s="53" t="n"/>
      <c r="DD464" s="53" t="inlineStr">
        <is>
          <t>IRIS2528</t>
        </is>
      </c>
      <c r="DE464" s="53" t="inlineStr">
        <is>
          <t>Employee</t>
        </is>
      </c>
      <c r="DF464" s="53" t="inlineStr">
        <is>
          <t>Active</t>
        </is>
      </c>
      <c r="DG464" s="53" t="inlineStr">
        <is>
          <t>Ghanshyam L Desale</t>
        </is>
      </c>
      <c r="DH464" s="54" t="n">
        <v>46146</v>
      </c>
      <c r="DI464" s="53" t="inlineStr">
        <is>
          <t>Software Engineer</t>
        </is>
      </c>
      <c r="DJ464" s="53" t="inlineStr">
        <is>
          <t>Engineering &amp; Development</t>
        </is>
      </c>
      <c r="DK464" s="53" t="inlineStr">
        <is>
          <t>Software Engineering</t>
        </is>
      </c>
      <c r="DL464" s="53" t="inlineStr">
        <is>
          <t>Software Engineer</t>
        </is>
      </c>
      <c r="DM464" s="53" t="inlineStr">
        <is>
          <t>L3 – Professional / Associate</t>
        </is>
      </c>
      <c r="DN464" s="53" t="inlineStr">
        <is>
          <t>B.E</t>
        </is>
      </c>
      <c r="DO464" s="53" t="inlineStr">
        <is>
          <t>Srikant Mishra</t>
        </is>
      </c>
      <c r="DP464" s="53" t="inlineStr">
        <is>
          <t>N-4</t>
        </is>
      </c>
      <c r="DQ464" s="53" t="inlineStr">
        <is>
          <t>Individual Contributor</t>
        </is>
      </c>
      <c r="DR464" s="53" t="inlineStr">
        <is>
          <t>3 years, 5 months, 0 days</t>
        </is>
      </c>
      <c r="DS464" s="53" t="inlineStr">
        <is>
          <t>0 years, 1 months, 16 days</t>
        </is>
      </c>
      <c r="DT464" s="53" t="inlineStr">
        <is>
          <t>3 years, 6 months, 16 days</t>
        </is>
      </c>
      <c r="DU464" s="53" t="n"/>
      <c r="DV464" s="53" t="inlineStr">
        <is>
          <t>Suptech</t>
        </is>
      </c>
      <c r="DW464" s="53" t="inlineStr">
        <is>
          <t>iFile</t>
        </is>
      </c>
      <c r="DX464" s="53" t="inlineStr">
        <is>
          <t>Technology</t>
        </is>
      </c>
      <c r="DY464" s="53" t="inlineStr">
        <is>
          <t>Development</t>
        </is>
      </c>
      <c r="DZ464" s="53" t="inlineStr">
        <is>
          <t>Yes</t>
        </is>
      </c>
      <c r="EA464" s="53" t="inlineStr">
        <is>
          <t>Product/Project</t>
        </is>
      </c>
      <c r="EB464" s="53" t="inlineStr">
        <is>
          <t>Angular</t>
        </is>
      </c>
      <c r="EC464" s="53" t="inlineStr">
        <is>
          <t>Technical - Developer</t>
        </is>
      </c>
      <c r="ED464" s="53" t="inlineStr">
        <is>
          <t>Work From Office - Turbhe</t>
        </is>
      </c>
      <c r="EE464" s="53"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EF464" s="53"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EG464" s="53" t="inlineStr">
        <is>
          <t>Q1: Complete structured onboarding within first 90 days
Q1: Deliver first assigned sprint stories with guided support
Q1: Maintain code quality gate adherence on owned components
Q1: Zero critical/high defects on owned code</t>
        </is>
      </c>
      <c r="EH464" s="53" t="n">
        <v>3</v>
      </c>
      <c r="EI464" s="53" t="inlineStr">
        <is>
          <t>-</t>
        </is>
      </c>
      <c r="EJ464" s="53" t="inlineStr">
        <is>
          <t>Software Engineer</t>
        </is>
      </c>
      <c r="EK464" s="53" t="inlineStr">
        <is>
          <t>No – designation matches role; too early for a structural view.</t>
        </is>
      </c>
      <c r="EL464" s="53" t="n">
        <v>3</v>
      </c>
      <c r="EM464" s="53" t="inlineStr">
        <is>
          <t>Medium</t>
        </is>
      </c>
      <c r="EN464" s="53" t="inlineStr">
        <is>
          <t>Core Contributor</t>
        </is>
      </c>
      <c r="EO464" s="53" t="inlineStr">
        <is>
          <t>N</t>
        </is>
      </c>
      <c r="EP464" s="53" t="inlineStr">
        <is>
          <t>N</t>
        </is>
      </c>
      <c r="EQ464" s="53" t="inlineStr">
        <is>
          <t>N</t>
        </is>
      </c>
      <c r="ER464" s="53" t="inlineStr">
        <is>
          <t>-</t>
        </is>
      </c>
      <c r="ES464" s="53" t="inlineStr">
        <is>
          <t>Advanced Angular/TypeScript; component architecture &amp; state management; code quality &amp; testing practices; secure coding</t>
        </is>
      </c>
      <c r="ET464" s="53" t="inlineStr">
        <is>
          <t>-</t>
        </is>
      </c>
      <c r="EU464" s="53" t="inlineStr">
        <is>
          <t>New joiner - Might need discussion with her reporting manager</t>
        </is>
      </c>
      <c r="EV464" s="53" t="n"/>
      <c r="EW464" s="52" t="n"/>
      <c r="EX464" s="53" t="n"/>
      <c r="EY464" s="53" t="n"/>
      <c r="EZ464" s="53" t="n"/>
      <c r="FA464" s="53" t="n"/>
      <c r="FB464" s="53" t="n"/>
      <c r="FC464" s="53" t="n"/>
      <c r="FD464" s="53" t="n"/>
      <c r="FE464" s="57"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FF464" s="56" t="inlineStr">
        <is>
          <t>Q1: Complete structured onboarding within first 90 days
Q1: Deliver first assigned sprint stories with guided support
Q1: Maintain code quality gate adherence on owned components
Q1: Zero critical/high defects on owned code</t>
        </is>
      </c>
      <c r="FG464" s="56"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FH464" s="56" t="inlineStr">
        <is>
          <t>3</t>
        </is>
      </c>
      <c r="FI464" s="56" t="n"/>
      <c r="FJ464" s="56" t="inlineStr">
        <is>
          <t>Received · manager annual, quarterly, self</t>
        </is>
      </c>
      <c r="FK464" s="56" t="inlineStr">
        <is>
          <t>Talent Mapping · iFile collated</t>
        </is>
      </c>
      <c r="FL464" s="56" t="n">
        <v>20</v>
      </c>
      <c r="FM464" s="32" t="inlineStr">
        <is>
          <t>Full survey answers not in the files received · How We Grow export needed · HR</t>
        </is>
      </c>
      <c r="FN464" s="56" t="inlineStr">
        <is>
          <t>—</t>
        </is>
      </c>
      <c r="FO464" s="56" t="inlineStr">
        <is>
          <t>—</t>
        </is>
      </c>
      <c r="FP464" s="56" t="inlineStr">
        <is>
          <t>—</t>
        </is>
      </c>
      <c r="FQ464" s="56" t="inlineStr">
        <is>
          <t>—</t>
        </is>
      </c>
      <c r="FR464" s="56"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A3: Accountable for feature development, product performance and deployments of what he builds → moved up 0.5
Leadership: Evidence reads like A2: Takes part in code and design reviews; no guiding or leading described → moved up 0.5</t>
        </is>
      </c>
      <c r="FS46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64" s="56" t="inlineStr">
        <is>
          <t>Self-identified: AI / automation · Technical depth &amp; architecture
For the next role: AI / automation · Technical depth &amp; architecture</t>
        </is>
      </c>
      <c r="FU464" s="32" t="inlineStr">
        <is>
          <t>Full survey answers not in the files received · How We Grow export needed · HR</t>
        </is>
      </c>
    </row>
    <row r="465" ht="90" customHeight="1">
      <c r="A465" s="51" t="inlineStr">
        <is>
          <t>◂ Back</t>
        </is>
      </c>
      <c r="B465" s="29" t="inlineStr">
        <is>
          <t>Mapped</t>
        </is>
      </c>
      <c r="C465" s="28" t="inlineStr">
        <is>
          <t>iFile</t>
        </is>
      </c>
      <c r="D465" s="29" t="inlineStr">
        <is>
          <t>IRIS2424</t>
        </is>
      </c>
      <c r="E465" s="29" t="inlineStr">
        <is>
          <t>Saurabh Padalkar</t>
        </is>
      </c>
      <c r="F465" s="29" t="inlineStr">
        <is>
          <t>Technology</t>
        </is>
      </c>
      <c r="G465" s="29" t="inlineStr">
        <is>
          <t>Software Engineer</t>
        </is>
      </c>
      <c r="H465" s="29" t="inlineStr">
        <is>
          <t>Senior AI/ML Engineer</t>
        </is>
      </c>
      <c r="I465" s="29" t="inlineStr">
        <is>
          <t>L3 – Professional / Associate</t>
        </is>
      </c>
      <c r="J465" s="29" t="inlineStr">
        <is>
          <t>A3</t>
        </is>
      </c>
      <c r="K465" s="29" t="inlineStr">
        <is>
          <t>▲ Up</t>
        </is>
      </c>
      <c r="L465" s="29" t="inlineStr">
        <is>
          <t>Engineering &amp; Development</t>
        </is>
      </c>
      <c r="M465" s="29" t="inlineStr">
        <is>
          <t>AI / ML &amp; GenAI Engineering</t>
        </is>
      </c>
      <c r="N465" s="29" t="n"/>
      <c r="O465" s="29" t="n">
        <v>20</v>
      </c>
      <c r="P465" s="28" t="inlineStr">
        <is>
          <t>P2</t>
        </is>
      </c>
      <c r="Q465" s="29" t="inlineStr">
        <is>
          <t>Developing</t>
        </is>
      </c>
      <c r="R465" s="29" t="inlineStr">
        <is>
          <t>3 Apply</t>
        </is>
      </c>
      <c r="S465" s="29" t="inlineStr">
        <is>
          <t>2–4 yrs</t>
        </is>
      </c>
      <c r="T465" s="29" t="inlineStr">
        <is>
          <t>3–5 · 2–5</t>
        </is>
      </c>
      <c r="U465" s="29" t="inlineStr">
        <is>
          <t>Software Engineer</t>
        </is>
      </c>
      <c r="V465" s="29" t="inlineStr">
        <is>
          <t>Workiva: SE · Broadridge India: SE · Nasdaq / AxiomSL: SE · Salesforce: MTS · Atlassian: P40 · 3–7 yrs · Freshworks: Senior SE</t>
        </is>
      </c>
      <c r="W465" s="29" t="inlineStr">
        <is>
          <t>SFIA 9 · software development, programming; OWASP secure coding; cloud vendor certifications</t>
        </is>
      </c>
      <c r="X465" s="29" t="inlineStr">
        <is>
          <t>Core 2 · Future 2 · Functional 3 · Leadership not scored</t>
        </is>
      </c>
      <c r="Y465" s="52" t="n">
        <v>394</v>
      </c>
      <c r="Z465" s="53" t="inlineStr">
        <is>
          <t>IRIS2424</t>
        </is>
      </c>
      <c r="AA465" s="53" t="inlineStr">
        <is>
          <t>Employee</t>
        </is>
      </c>
      <c r="AB465" s="53" t="inlineStr">
        <is>
          <t>Active</t>
        </is>
      </c>
      <c r="AC465" s="53" t="inlineStr">
        <is>
          <t>Saurabh Padalkar</t>
        </is>
      </c>
      <c r="AD465" s="54" t="n">
        <v>45894</v>
      </c>
      <c r="AE465" s="53" t="inlineStr">
        <is>
          <t>Software Engineer</t>
        </is>
      </c>
      <c r="AF465" s="53" t="inlineStr">
        <is>
          <t>B.E</t>
        </is>
      </c>
      <c r="AG465" s="53" t="inlineStr">
        <is>
          <t>Srikant Mishra</t>
        </is>
      </c>
      <c r="AH465" s="53" t="inlineStr">
        <is>
          <t>N-3</t>
        </is>
      </c>
      <c r="AI465" s="53" t="inlineStr">
        <is>
          <t>Individual Contributor</t>
        </is>
      </c>
      <c r="AJ465" s="53" t="inlineStr">
        <is>
          <t>3 years, 0 months, 0 days</t>
        </is>
      </c>
      <c r="AK465" s="53" t="inlineStr">
        <is>
          <t>1 years, 0 months, 0 days</t>
        </is>
      </c>
      <c r="AL465" s="53" t="inlineStr">
        <is>
          <t>Suptech</t>
        </is>
      </c>
      <c r="AM465" s="53" t="inlineStr">
        <is>
          <t>iFile</t>
        </is>
      </c>
      <c r="AN465" s="53" t="inlineStr">
        <is>
          <t>Technology</t>
        </is>
      </c>
      <c r="AO465" s="53" t="inlineStr">
        <is>
          <t>Development</t>
        </is>
      </c>
      <c r="AP465" s="53" t="inlineStr">
        <is>
          <t>Yes</t>
        </is>
      </c>
      <c r="AQ465" s="53" t="inlineStr">
        <is>
          <t>Product/Project</t>
        </is>
      </c>
      <c r="AR465" s="53" t="inlineStr">
        <is>
          <t>Python</t>
        </is>
      </c>
      <c r="AS465" s="53" t="inlineStr">
        <is>
          <t>Technical - Developer</t>
        </is>
      </c>
      <c r="AT465" s="53" t="n">
        <v>20</v>
      </c>
      <c r="AU465" s="53" t="inlineStr">
        <is>
          <t>Covered</t>
        </is>
      </c>
      <c r="AV465" s="53" t="n"/>
      <c r="AW465" s="53" t="n"/>
      <c r="AX465" s="53" t="n"/>
      <c r="AY465" s="53" t="n"/>
      <c r="AZ465" s="53" t="n"/>
      <c r="BA465" s="53" t="n"/>
      <c r="BB465" s="53" t="n"/>
      <c r="BC465" s="53" t="n"/>
      <c r="BD465" s="53" t="n"/>
      <c r="BE465" s="53" t="n"/>
      <c r="BF465" s="53" t="n"/>
      <c r="BG465" s="53" t="n"/>
      <c r="BH465" s="53" t="n"/>
      <c r="BI465" s="53" t="n"/>
      <c r="BJ465" s="53" t="n"/>
      <c r="BK465" s="53" t="n"/>
      <c r="BL465" s="53" t="n"/>
      <c r="BM465" s="53" t="n"/>
      <c r="BN465" s="53" t="n"/>
      <c r="BO465" s="53" t="n"/>
      <c r="BP465" s="53" t="n"/>
      <c r="BQ465" s="53" t="n"/>
      <c r="BR465" s="53" t="n"/>
      <c r="BS465" s="53" t="n"/>
      <c r="BT465" s="53" t="n"/>
      <c r="BU465" s="53" t="n"/>
      <c r="BV465" s="53" t="n"/>
      <c r="BW465" s="53" t="n"/>
      <c r="BX465" s="53" t="n"/>
      <c r="BY465" s="53" t="n"/>
      <c r="BZ465" s="53" t="n"/>
      <c r="CA465" s="53" t="n"/>
      <c r="CB465" s="53" t="n"/>
      <c r="CC465" s="53" t="n"/>
      <c r="CD465" s="53" t="n"/>
      <c r="CE465" s="53" t="n"/>
      <c r="CF465" s="53" t="n"/>
      <c r="CG465" s="53" t="n"/>
      <c r="CH465" s="53" t="n"/>
      <c r="CI465" s="53" t="n"/>
      <c r="CJ465" s="53" t="n"/>
      <c r="CK465" s="53" t="n"/>
      <c r="CL465" s="53" t="n"/>
      <c r="CM465" s="53" t="n"/>
      <c r="CN465" s="53" t="n"/>
      <c r="CO465" s="53" t="n"/>
      <c r="CP465" s="53" t="n"/>
      <c r="CQ465" s="53" t="n"/>
      <c r="CR465" s="53" t="n"/>
      <c r="CS465" s="53" t="n"/>
      <c r="CT465" s="53" t="n"/>
      <c r="CU465" s="53" t="n"/>
      <c r="CV465" s="53" t="n"/>
      <c r="CW465" s="53" t="n"/>
      <c r="CX465" s="53" t="n"/>
      <c r="CY465" s="53" t="n"/>
      <c r="CZ465" s="53" t="n"/>
      <c r="DA465" s="53" t="n"/>
      <c r="DB465" s="53" t="n"/>
      <c r="DC465" s="53" t="n"/>
      <c r="DD465" s="53" t="inlineStr">
        <is>
          <t>IRIS2424</t>
        </is>
      </c>
      <c r="DE465" s="53" t="inlineStr">
        <is>
          <t>Employee</t>
        </is>
      </c>
      <c r="DF465" s="53" t="inlineStr">
        <is>
          <t>Active</t>
        </is>
      </c>
      <c r="DG465" s="53" t="inlineStr">
        <is>
          <t>Saurabh Padalkar</t>
        </is>
      </c>
      <c r="DH465" s="54" t="n">
        <v>45894</v>
      </c>
      <c r="DI465" s="53" t="inlineStr">
        <is>
          <t>Software Engineer</t>
        </is>
      </c>
      <c r="DJ465" s="53" t="inlineStr">
        <is>
          <t>Engineering &amp; Development</t>
        </is>
      </c>
      <c r="DK465" s="53" t="inlineStr">
        <is>
          <t>Backend Engineering · Python</t>
        </is>
      </c>
      <c r="DL465" s="53" t="inlineStr">
        <is>
          <t>Software Engineer</t>
        </is>
      </c>
      <c r="DM465" s="53" t="inlineStr">
        <is>
          <t>L3 – Professional / Associate</t>
        </is>
      </c>
      <c r="DN465" s="53" t="inlineStr">
        <is>
          <t>B.E</t>
        </is>
      </c>
      <c r="DO465" s="53" t="inlineStr">
        <is>
          <t>Srikant Mishra</t>
        </is>
      </c>
      <c r="DP465" s="53" t="inlineStr">
        <is>
          <t>N-4</t>
        </is>
      </c>
      <c r="DQ465" s="53" t="inlineStr">
        <is>
          <t>Individual Contributor</t>
        </is>
      </c>
      <c r="DR465" s="53" t="inlineStr">
        <is>
          <t>3 years, 0 months, 0 days</t>
        </is>
      </c>
      <c r="DS465" s="53" t="inlineStr">
        <is>
          <t>0 years, 9 months, 26 days</t>
        </is>
      </c>
      <c r="DT465" s="53" t="inlineStr">
        <is>
          <t>3 years, 9 months, 26 days</t>
        </is>
      </c>
      <c r="DU465" s="53" t="n"/>
      <c r="DV465" s="53" t="inlineStr">
        <is>
          <t>Suptech</t>
        </is>
      </c>
      <c r="DW465" s="53" t="inlineStr">
        <is>
          <t>iFile</t>
        </is>
      </c>
      <c r="DX465" s="53" t="inlineStr">
        <is>
          <t>Technology</t>
        </is>
      </c>
      <c r="DY465" s="53" t="inlineStr">
        <is>
          <t>Development</t>
        </is>
      </c>
      <c r="DZ465" s="53" t="inlineStr">
        <is>
          <t>Yes</t>
        </is>
      </c>
      <c r="EA465" s="53" t="inlineStr">
        <is>
          <t>Product/Project</t>
        </is>
      </c>
      <c r="EB465" s="53" t="inlineStr">
        <is>
          <t>Python</t>
        </is>
      </c>
      <c r="EC465" s="53" t="inlineStr">
        <is>
          <t>Technical - Developer</t>
        </is>
      </c>
      <c r="ED465" s="53" t="inlineStr">
        <is>
          <t>Work From Office - Turbhe</t>
        </is>
      </c>
      <c r="EE465" s="53"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EF465" s="53"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EG465" s="53" t="inlineStr">
        <is>
          <t>Q1: Deliver assigned sprint stories with &gt;=90% on-time completion
Q1: Maintain &lt;5% post-release defect rate on owned code
Q1: Complete peer reviews within 24-hour SLA
Q1: Zero critical/high production defects on owned code</t>
        </is>
      </c>
      <c r="EH465" s="53" t="n">
        <v>3</v>
      </c>
      <c r="EI465" s="53" t="inlineStr">
        <is>
          <t>-</t>
        </is>
      </c>
      <c r="EJ465" s="53" t="inlineStr">
        <is>
          <t>Software Engineer</t>
        </is>
      </c>
      <c r="EK465" s="53" t="inlineStr">
        <is>
          <t>No – designation matches current scope.</t>
        </is>
      </c>
      <c r="EL465" s="53" t="n">
        <v>3</v>
      </c>
      <c r="EM465" s="53" t="inlineStr">
        <is>
          <t>Medium</t>
        </is>
      </c>
      <c r="EN465" s="53" t="inlineStr">
        <is>
          <t>Core Contributor</t>
        </is>
      </c>
      <c r="EO465" s="53" t="inlineStr">
        <is>
          <t>N</t>
        </is>
      </c>
      <c r="EP465" s="53" t="inlineStr">
        <is>
          <t>N</t>
        </is>
      </c>
      <c r="EQ465" s="53" t="inlineStr">
        <is>
          <t>N</t>
        </is>
      </c>
      <c r="ER465" s="53" t="inlineStr">
        <is>
          <t>No successor needed at this level currently.</t>
        </is>
      </c>
      <c r="ES465" s="53" t="inlineStr">
        <is>
          <t>Advanced Python; secure coding &amp; code-quality practices; unit/automated testing; system design fundamentals</t>
        </is>
      </c>
      <c r="ET465" s="53" t="inlineStr">
        <is>
          <t>-</t>
        </is>
      </c>
      <c r="EU465" s="53" t="inlineStr">
        <is>
          <t>Might need discussion with his reporting manager</t>
        </is>
      </c>
      <c r="EV465" s="53" t="n"/>
      <c r="EW465" s="52" t="n"/>
      <c r="EX465" s="53" t="n"/>
      <c r="EY465" s="53" t="n"/>
      <c r="EZ465" s="53" t="n"/>
      <c r="FA465" s="53" t="n"/>
      <c r="FB465" s="53" t="n"/>
      <c r="FC465" s="53" t="n"/>
      <c r="FD465" s="53" t="n"/>
      <c r="FE465" s="57"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FF465" s="56" t="inlineStr">
        <is>
          <t>Q1: Deliver assigned sprint stories with &gt;=90% on-time completion
Q1: Maintain &lt;5% post-release defect rate on owned code
Q1: Complete peer reviews within 24-hour SLA
Q1: Zero critical/high production defects on owned code</t>
        </is>
      </c>
      <c r="FG465" s="56"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FH465" s="56" t="inlineStr">
        <is>
          <t>3</t>
        </is>
      </c>
      <c r="FI465" s="56" t="n"/>
      <c r="FJ465" s="56" t="inlineStr">
        <is>
          <t>Received · manager annual, quarterly, self</t>
        </is>
      </c>
      <c r="FK465" s="56" t="inlineStr">
        <is>
          <t>Talent Mapping · iFile collated</t>
        </is>
      </c>
      <c r="FL465" s="56" t="n">
        <v>20</v>
      </c>
      <c r="FM465" s="32" t="inlineStr">
        <is>
          <t>Full survey answers not in the files received · How We Grow export needed · HR</t>
        </is>
      </c>
      <c r="FN465" s="56" t="inlineStr">
        <is>
          <t>—</t>
        </is>
      </c>
      <c r="FO465" s="56" t="inlineStr">
        <is>
          <t>—</t>
        </is>
      </c>
      <c r="FP465" s="56" t="inlineStr">
        <is>
          <t>—</t>
        </is>
      </c>
      <c r="FQ465" s="56" t="inlineStr">
        <is>
          <t>—</t>
        </is>
      </c>
      <c r="FR465" s="56"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0.5
Leadership: Evidence reads like A1: No guiding or leading described → matches the start
Business Impact: No move: the survey / manager mapping does not mark it business-critical or unique.</t>
        </is>
      </c>
      <c r="FS465"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465" s="56" t="inlineStr">
        <is>
          <t>Self-identified: AI / automation · Technical depth &amp; architecture
For the next role: AI / automation · Technical depth &amp; architecture</t>
        </is>
      </c>
      <c r="FU465" s="32" t="inlineStr">
        <is>
          <t>Full survey answers not in the files received · How We Grow export needed · HR</t>
        </is>
      </c>
    </row>
    <row r="466" ht="90" customHeight="1">
      <c r="A466" s="51" t="inlineStr">
        <is>
          <t>◂ Back</t>
        </is>
      </c>
      <c r="B466" s="29" t="inlineStr">
        <is>
          <t>Mapped</t>
        </is>
      </c>
      <c r="C466" s="28" t="inlineStr">
        <is>
          <t>iFile</t>
        </is>
      </c>
      <c r="D466" s="29" t="inlineStr">
        <is>
          <t>IRIS0124</t>
        </is>
      </c>
      <c r="E466" s="29" t="inlineStr">
        <is>
          <t>Surekha Ghadigaonkar</t>
        </is>
      </c>
      <c r="F466" s="29" t="inlineStr">
        <is>
          <t>XBRL Consulting</t>
        </is>
      </c>
      <c r="G466" s="29" t="inlineStr">
        <is>
          <t>Senior Analyst</t>
        </is>
      </c>
      <c r="H466" s="29" t="inlineStr">
        <is>
          <t>Senior Taxonomy Analyst</t>
        </is>
      </c>
      <c r="I466" s="29" t="inlineStr">
        <is>
          <t>L4 – Senior</t>
        </is>
      </c>
      <c r="J466" s="29" t="inlineStr">
        <is>
          <t>A3</t>
        </is>
      </c>
      <c r="K466" s="29" t="inlineStr">
        <is>
          <t>• Same level</t>
        </is>
      </c>
      <c r="L466" s="29" t="inlineStr">
        <is>
          <t>Consulting &amp; Professional Services</t>
        </is>
      </c>
      <c r="M466" s="29" t="inlineStr">
        <is>
          <t>Taxonomy Design &amp; Regulatory Consulting</t>
        </is>
      </c>
      <c r="N466" s="29" t="n"/>
      <c r="O466" s="29" t="n">
        <v>20</v>
      </c>
      <c r="P466" s="28" t="inlineStr">
        <is>
          <t>P2</t>
        </is>
      </c>
      <c r="Q466" s="29" t="inlineStr">
        <is>
          <t>Developing</t>
        </is>
      </c>
      <c r="R466" s="29" t="inlineStr">
        <is>
          <t>3 Apply</t>
        </is>
      </c>
      <c r="S466" s="29" t="inlineStr">
        <is>
          <t>2–4 yrs</t>
        </is>
      </c>
      <c r="T466" s="29" t="inlineStr">
        <is>
          <t>3–5 · 2–5</t>
        </is>
      </c>
      <c r="U466" s="29" t="inlineStr">
        <is>
          <t>Senior Analyst / Associate</t>
        </is>
      </c>
      <c r="V466" s="29" t="inlineStr">
        <is>
          <t>DataTracks: Senior Associate · 2–5 yrs · Big Four: Consultant · IRIS Vs Market Benchmark — XBRL US credential pathway: XBRL US GAAP Certificate</t>
        </is>
      </c>
      <c r="W466" s="29" t="inlineStr">
        <is>
          <t>XBRL US GAAP Certificate · AICPA &amp; XBRL US; XBRL International specifications; IFRS / US GAAP / Ind AS</t>
        </is>
      </c>
      <c r="X466" s="29" t="inlineStr">
        <is>
          <t>Core 2 · Future 2 · Functional 3 · Leadership not scored</t>
        </is>
      </c>
      <c r="Y466" s="52" t="n">
        <v>28</v>
      </c>
      <c r="Z466" s="53" t="inlineStr">
        <is>
          <t>IRIS0124</t>
        </is>
      </c>
      <c r="AA466" s="53" t="inlineStr">
        <is>
          <t>Employee</t>
        </is>
      </c>
      <c r="AB466" s="53" t="inlineStr">
        <is>
          <t>Active</t>
        </is>
      </c>
      <c r="AC466" s="53" t="inlineStr">
        <is>
          <t>Surekha Ghadigaonkar</t>
        </is>
      </c>
      <c r="AD466" s="54" t="n">
        <v>39363</v>
      </c>
      <c r="AE466" s="53" t="inlineStr">
        <is>
          <t>Senior Analyst</t>
        </is>
      </c>
      <c r="AF466" s="53" t="inlineStr">
        <is>
          <t>B.Com</t>
        </is>
      </c>
      <c r="AG466" s="53" t="inlineStr">
        <is>
          <t>Rahul Dhamne</t>
        </is>
      </c>
      <c r="AH466" s="53" t="inlineStr">
        <is>
          <t>N-2</t>
        </is>
      </c>
      <c r="AI466" s="53" t="inlineStr">
        <is>
          <t>Individual Contributor</t>
        </is>
      </c>
      <c r="AJ466" s="53" t="inlineStr">
        <is>
          <t>1 years, 0 months, 0 days</t>
        </is>
      </c>
      <c r="AK466" s="53" t="inlineStr">
        <is>
          <t>18 years, 10 months, 17 days</t>
        </is>
      </c>
      <c r="AL466" s="53" t="inlineStr">
        <is>
          <t>Suptech</t>
        </is>
      </c>
      <c r="AM466" s="53" t="inlineStr">
        <is>
          <t>iFile</t>
        </is>
      </c>
      <c r="AN466" s="53" t="inlineStr">
        <is>
          <t>XBRL Consulting</t>
        </is>
      </c>
      <c r="AO466" s="53" t="inlineStr">
        <is>
          <t>Consulting</t>
        </is>
      </c>
      <c r="AP466" s="53" t="inlineStr">
        <is>
          <t>No</t>
        </is>
      </c>
      <c r="AQ466" s="53" t="inlineStr">
        <is>
          <t>Professional Services</t>
        </is>
      </c>
      <c r="AR466" s="53" t="inlineStr">
        <is>
          <t>XBRL Domain</t>
        </is>
      </c>
      <c r="AS466" s="53" t="inlineStr">
        <is>
          <t>Non-technical</t>
        </is>
      </c>
      <c r="AT466" s="53" t="n">
        <v>20</v>
      </c>
      <c r="AU466" s="53" t="inlineStr">
        <is>
          <t>Covered</t>
        </is>
      </c>
      <c r="AV466" s="53" t="n"/>
      <c r="AW466" s="53" t="n"/>
      <c r="AX466" s="53" t="n"/>
      <c r="AY466" s="53" t="n"/>
      <c r="AZ466" s="53" t="n"/>
      <c r="BA466" s="53" t="n"/>
      <c r="BB466" s="53" t="n"/>
      <c r="BC466" s="53" t="n"/>
      <c r="BD466" s="53" t="n"/>
      <c r="BE466" s="53" t="n"/>
      <c r="BF466" s="53" t="n"/>
      <c r="BG466" s="53" t="n"/>
      <c r="BH466" s="53" t="n"/>
      <c r="BI466" s="53" t="n"/>
      <c r="BJ466" s="53" t="n"/>
      <c r="BK466" s="53" t="n"/>
      <c r="BL466" s="53" t="n"/>
      <c r="BM466" s="53" t="n"/>
      <c r="BN466" s="53" t="n"/>
      <c r="BO466" s="53" t="n"/>
      <c r="BP466" s="53" t="n"/>
      <c r="BQ466" s="53" t="n"/>
      <c r="BR466" s="53" t="n"/>
      <c r="BS466" s="53" t="n"/>
      <c r="BT466" s="53" t="n"/>
      <c r="BU466" s="53" t="n"/>
      <c r="BV466" s="53" t="n"/>
      <c r="BW466" s="53" t="n"/>
      <c r="BX466" s="53" t="n"/>
      <c r="BY466" s="53" t="n"/>
      <c r="BZ466" s="53" t="n"/>
      <c r="CA466" s="53" t="n"/>
      <c r="CB466" s="53" t="n"/>
      <c r="CC466" s="53" t="n"/>
      <c r="CD466" s="53" t="n"/>
      <c r="CE466" s="53" t="n"/>
      <c r="CF466" s="53" t="n"/>
      <c r="CG466" s="53" t="n"/>
      <c r="CH466" s="53" t="n"/>
      <c r="CI466" s="53" t="n"/>
      <c r="CJ466" s="53" t="n"/>
      <c r="CK466" s="53" t="n"/>
      <c r="CL466" s="53" t="n"/>
      <c r="CM466" s="53" t="n"/>
      <c r="CN466" s="53" t="n"/>
      <c r="CO466" s="53" t="n"/>
      <c r="CP466" s="53" t="n"/>
      <c r="CQ466" s="53" t="n"/>
      <c r="CR466" s="53" t="n"/>
      <c r="CS466" s="53" t="n"/>
      <c r="CT466" s="53" t="n"/>
      <c r="CU466" s="53" t="n"/>
      <c r="CV466" s="53" t="n"/>
      <c r="CW466" s="53" t="n"/>
      <c r="CX466" s="53" t="n"/>
      <c r="CY466" s="53" t="n"/>
      <c r="CZ466" s="53" t="n"/>
      <c r="DA466" s="53" t="n"/>
      <c r="DB466" s="53" t="n"/>
      <c r="DC466" s="53" t="n"/>
      <c r="DD466" s="53" t="inlineStr">
        <is>
          <t>IRIS0124</t>
        </is>
      </c>
      <c r="DE466" s="53" t="inlineStr">
        <is>
          <t>Employee</t>
        </is>
      </c>
      <c r="DF466" s="53" t="inlineStr">
        <is>
          <t>Active</t>
        </is>
      </c>
      <c r="DG466" s="53" t="inlineStr">
        <is>
          <t>Surekha Ghadigaonkar</t>
        </is>
      </c>
      <c r="DH466" s="54" t="n">
        <v>39363</v>
      </c>
      <c r="DI466" s="53" t="inlineStr">
        <is>
          <t>Senior Analyst</t>
        </is>
      </c>
      <c r="DJ466" s="53" t="inlineStr">
        <is>
          <t>Consulting &amp; Professional Services</t>
        </is>
      </c>
      <c r="DK466" s="53" t="inlineStr">
        <is>
          <t>XBRL / Regulatory Reporting</t>
        </is>
      </c>
      <c r="DL466" s="53" t="inlineStr">
        <is>
          <t>Senior Analyst</t>
        </is>
      </c>
      <c r="DM466" s="53" t="inlineStr">
        <is>
          <t>L4 – Senior</t>
        </is>
      </c>
      <c r="DN466" s="53" t="inlineStr">
        <is>
          <t>B.Com</t>
        </is>
      </c>
      <c r="DO466" s="53" t="inlineStr">
        <is>
          <t>Jayshree Margi</t>
        </is>
      </c>
      <c r="DP466" s="53" t="inlineStr">
        <is>
          <t>N-3</t>
        </is>
      </c>
      <c r="DQ466" s="53" t="inlineStr">
        <is>
          <t>Individual Contributor</t>
        </is>
      </c>
      <c r="DR466" s="53" t="inlineStr">
        <is>
          <t>1 years, 0 months, 0 days</t>
        </is>
      </c>
      <c r="DS466" s="53" t="inlineStr">
        <is>
          <t>18 years, 8 months, 12 days</t>
        </is>
      </c>
      <c r="DT466" s="53" t="inlineStr">
        <is>
          <t>19 years, 8 months, 12 days</t>
        </is>
      </c>
      <c r="DU466" s="53" t="n"/>
      <c r="DV466" s="53" t="inlineStr">
        <is>
          <t>Suptech</t>
        </is>
      </c>
      <c r="DW466" s="53" t="inlineStr">
        <is>
          <t>iFile</t>
        </is>
      </c>
      <c r="DX466" s="53" t="inlineStr">
        <is>
          <t>XBRL Consulting</t>
        </is>
      </c>
      <c r="DY466" s="53" t="inlineStr">
        <is>
          <t>Consulting</t>
        </is>
      </c>
      <c r="DZ466" s="53" t="inlineStr">
        <is>
          <t>No</t>
        </is>
      </c>
      <c r="EA466" s="53" t="inlineStr">
        <is>
          <t>Professional Services</t>
        </is>
      </c>
      <c r="EB466" s="53" t="inlineStr">
        <is>
          <t>XBRL Domain</t>
        </is>
      </c>
      <c r="EC466" s="53" t="inlineStr">
        <is>
          <t>Non-technical</t>
        </is>
      </c>
      <c r="ED466" s="53" t="inlineStr">
        <is>
          <t>Work From Office - Turbhe</t>
        </is>
      </c>
      <c r="EE466" s="53" t="n"/>
      <c r="EF466"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6" s="53" t="inlineStr">
        <is>
          <t>1. Complete Q1 taxonomy build/test tasks on schedule · &gt;=95% on-time.
2. Close assigned iFILE support tickets within SLA.
3. Finish Q1 Excel/Webform test cycles with defect leakage &lt;2%.</t>
        </is>
      </c>
      <c r="EH466" s="53" t="inlineStr">
        <is>
          <t>3 – Meets Expectations</t>
        </is>
      </c>
      <c r="EI466" s="53" t="inlineStr">
        <is>
          <t>Last appraisal in Oct 2025</t>
        </is>
      </c>
      <c r="EJ466" s="53" t="inlineStr">
        <is>
          <t>Senior Analyst</t>
        </is>
      </c>
      <c r="EK466" s="53" t="inlineStr">
        <is>
          <t>No change</t>
        </is>
      </c>
      <c r="EL466" s="53" t="n">
        <v>3</v>
      </c>
      <c r="EM466" s="53" t="inlineStr">
        <is>
          <t>High</t>
        </is>
      </c>
      <c r="EN466" s="53" t="inlineStr">
        <is>
          <t>Core Contributor</t>
        </is>
      </c>
      <c r="EO466" s="53" t="n"/>
      <c r="EP466" s="53" t="inlineStr">
        <is>
          <t>No</t>
        </is>
      </c>
      <c r="EQ466" s="53" t="n"/>
      <c r="ER466" s="53" t="inlineStr">
        <is>
          <t>To be identified</t>
        </is>
      </c>
      <c r="ES466" s="53" t="inlineStr">
        <is>
          <t>XBRL taxonomy &amp; regulatory updates; domain/accounting refreshers; quality &amp; accuracy practices; tooling proficiency</t>
        </is>
      </c>
      <c r="ET466" s="53" t="inlineStr">
        <is>
          <t>Transition to leadership: people management &amp; delegation, mentoring/coaching, project ownership &amp; stakeholder management, prioritisation under ambiguity, presentation &amp; influence skills</t>
        </is>
      </c>
      <c r="EU466" s="53" t="inlineStr">
        <is>
          <t>SCM,PFRDA,RMA,QCB</t>
        </is>
      </c>
      <c r="EV466" s="53" t="n"/>
      <c r="EW466" s="52" t="n"/>
      <c r="EX466" s="53" t="n"/>
      <c r="EY466" s="53" t="n"/>
      <c r="EZ466" s="53" t="n"/>
      <c r="FA466" s="53" t="n"/>
      <c r="FB466" s="53" t="n"/>
      <c r="FC466" s="53" t="n"/>
      <c r="FD466" s="53" t="n"/>
      <c r="FE466"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6" s="56" t="inlineStr">
        <is>
          <t>1. Complete Q1 taxonomy build/test tasks on schedule · &gt;=95% on-time.
2. Close assigned iFILE support tickets within SLA · &gt;=90%.
3. Finish Q1 Excel/Webform test cycles with defect leakage &lt;2%.</t>
        </is>
      </c>
      <c r="FG466" s="56" t="n"/>
      <c r="FH466" s="56" t="inlineStr">
        <is>
          <t>3 – Meets Expectations</t>
        </is>
      </c>
      <c r="FI466" s="56" t="n"/>
      <c r="FJ466" s="56" t="inlineStr">
        <is>
          <t>Received · manager annual, quarterly</t>
        </is>
      </c>
      <c r="FK466" s="56" t="inlineStr">
        <is>
          <t>Talent Mapping · iFile collated</t>
        </is>
      </c>
      <c r="FL466" s="56" t="n">
        <v>20</v>
      </c>
      <c r="FM466" s="32" t="inlineStr">
        <is>
          <t>Full survey answers not in the files received · How We Grow export needed · HR</t>
        </is>
      </c>
      <c r="FN466" s="56" t="inlineStr">
        <is>
          <t>—</t>
        </is>
      </c>
      <c r="FO466" s="56" t="inlineStr">
        <is>
          <t>—</t>
        </is>
      </c>
      <c r="FP466" s="56" t="inlineStr">
        <is>
          <t>—</t>
        </is>
      </c>
      <c r="FQ466" s="56" t="inlineStr">
        <is>
          <t>—</t>
        </is>
      </c>
      <c r="FR466" s="56"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little detail → moved down 0.5
Leadership: Evidence reads like A1: None described → moved down 0.5
Business Impact: No survey or manager-mapping signal on criticality: kept at the start point.</t>
        </is>
      </c>
      <c r="FS466"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6" s="56" t="inlineStr">
        <is>
          <t>Self-identified: AI / automation · Domain, regulatory &amp; XBRL
For the next role: AI / automation · Domain, regulatory &amp; XBRL</t>
        </is>
      </c>
      <c r="FU466" s="32" t="inlineStr">
        <is>
          <t>Full survey answers not in the files received · How We Grow export needed · HR</t>
        </is>
      </c>
    </row>
    <row r="467" ht="90" customHeight="1">
      <c r="A467" s="51" t="inlineStr">
        <is>
          <t>◂ Back</t>
        </is>
      </c>
      <c r="B467" s="29" t="inlineStr">
        <is>
          <t>Mapped</t>
        </is>
      </c>
      <c r="C467" s="28" t="inlineStr">
        <is>
          <t>iFile</t>
        </is>
      </c>
      <c r="D467" s="29" t="inlineStr">
        <is>
          <t>IRIS2447</t>
        </is>
      </c>
      <c r="E467" s="29" t="inlineStr">
        <is>
          <t>Yash Chikane</t>
        </is>
      </c>
      <c r="F467" s="29" t="inlineStr">
        <is>
          <t>Technology</t>
        </is>
      </c>
      <c r="G467" s="29" t="inlineStr">
        <is>
          <t>Senior Software Engineer - AI/ML</t>
        </is>
      </c>
      <c r="H467" s="29" t="inlineStr">
        <is>
          <t>Senior AI/ML Engineer</t>
        </is>
      </c>
      <c r="I467" s="29" t="inlineStr">
        <is>
          <t>Not in current mapping files</t>
        </is>
      </c>
      <c r="J467" s="29" t="inlineStr">
        <is>
          <t>A3</t>
        </is>
      </c>
      <c r="K467" s="29" t="inlineStr">
        <is>
          <t>● Newly mapped</t>
        </is>
      </c>
      <c r="L467" s="29" t="inlineStr">
        <is>
          <t>Engineering &amp; Development</t>
        </is>
      </c>
      <c r="M467" s="29" t="inlineStr">
        <is>
          <t>AI / ML &amp; GenAI Engineering</t>
        </is>
      </c>
      <c r="N467" s="29" t="n"/>
      <c r="O467" s="29" t="n">
        <v>20</v>
      </c>
      <c r="P467" s="28" t="inlineStr">
        <is>
          <t>P2</t>
        </is>
      </c>
      <c r="Q467" s="29" t="inlineStr">
        <is>
          <t>Developing</t>
        </is>
      </c>
      <c r="R467" s="29" t="inlineStr">
        <is>
          <t>3 Apply</t>
        </is>
      </c>
      <c r="S467" s="29" t="inlineStr">
        <is>
          <t>2–4 yrs</t>
        </is>
      </c>
      <c r="T467" s="29" t="inlineStr">
        <is>
          <t>3–5 · 2–5</t>
        </is>
      </c>
      <c r="U467" s="29" t="inlineStr">
        <is>
          <t>Software Engineer</t>
        </is>
      </c>
      <c r="V467" s="29" t="inlineStr">
        <is>
          <t>Workiva: SE · Broadridge India: SE · Nasdaq / AxiomSL: SE · Salesforce: MTS · Atlassian: P40 · 3–7 yrs · Freshworks: Senior SE</t>
        </is>
      </c>
      <c r="W467" s="29" t="inlineStr">
        <is>
          <t>SFIA 9 · software development, programming; OWASP secure coding; cloud vendor certifications</t>
        </is>
      </c>
      <c r="X467" s="29" t="inlineStr">
        <is>
          <t>Core 2 · Future 2 · Functional 3 · Leadership not scored</t>
        </is>
      </c>
      <c r="Y467" s="52" t="n">
        <v>414</v>
      </c>
      <c r="Z467" s="53" t="inlineStr">
        <is>
          <t>IRIS2447</t>
        </is>
      </c>
      <c r="AA467" s="53" t="inlineStr">
        <is>
          <t>Employee</t>
        </is>
      </c>
      <c r="AB467" s="53" t="inlineStr">
        <is>
          <t>Active</t>
        </is>
      </c>
      <c r="AC467" s="53" t="inlineStr">
        <is>
          <t>Yash Chikane</t>
        </is>
      </c>
      <c r="AD467" s="54" t="n">
        <v>45992</v>
      </c>
      <c r="AE467" s="53" t="inlineStr">
        <is>
          <t>Senior Software Engineer - AI/ML</t>
        </is>
      </c>
      <c r="AF467" s="53" t="inlineStr">
        <is>
          <t>B.E</t>
        </is>
      </c>
      <c r="AG467" s="53" t="inlineStr">
        <is>
          <t>Rahul Dhamne</t>
        </is>
      </c>
      <c r="AH467" s="53" t="inlineStr">
        <is>
          <t>N-2</t>
        </is>
      </c>
      <c r="AI467" s="53" t="inlineStr">
        <is>
          <t>Individual Contributor</t>
        </is>
      </c>
      <c r="AJ467" s="53" t="inlineStr">
        <is>
          <t>4 years, 1 months, 0 days</t>
        </is>
      </c>
      <c r="AK467" s="53" t="inlineStr">
        <is>
          <t>0 years, 8 months, 24 days</t>
        </is>
      </c>
      <c r="AL467" s="53" t="inlineStr">
        <is>
          <t>Suptech</t>
        </is>
      </c>
      <c r="AM467" s="53" t="inlineStr">
        <is>
          <t>iFile</t>
        </is>
      </c>
      <c r="AN467" s="53" t="inlineStr">
        <is>
          <t>Technology</t>
        </is>
      </c>
      <c r="AO467" s="53" t="inlineStr">
        <is>
          <t>Development</t>
        </is>
      </c>
      <c r="AP467" s="53" t="inlineStr">
        <is>
          <t>Yes</t>
        </is>
      </c>
      <c r="AQ467" s="53" t="inlineStr">
        <is>
          <t>Product/Project</t>
        </is>
      </c>
      <c r="AR467" s="53" t="inlineStr">
        <is>
          <t>AI/ML</t>
        </is>
      </c>
      <c r="AS467" s="53" t="inlineStr">
        <is>
          <t>Technical - Developer</t>
        </is>
      </c>
      <c r="AT467" s="53" t="n">
        <v>20</v>
      </c>
      <c r="AU467" s="53" t="inlineStr">
        <is>
          <t>Covered</t>
        </is>
      </c>
      <c r="AV467" s="53" t="n"/>
      <c r="AW467" s="53" t="n"/>
      <c r="AX467" s="53" t="n"/>
      <c r="AY467" s="53" t="n"/>
      <c r="AZ467" s="53" t="n"/>
      <c r="BA467" s="53" t="n"/>
      <c r="BB467" s="53" t="n"/>
      <c r="BC467" s="53" t="n"/>
      <c r="BD467" s="53" t="n"/>
      <c r="BE467" s="53" t="n"/>
      <c r="BF467" s="53" t="n"/>
      <c r="BG467" s="53" t="n"/>
      <c r="BH467" s="53" t="n"/>
      <c r="BI467" s="53" t="n"/>
      <c r="BJ467" s="53" t="n"/>
      <c r="BK467" s="53" t="n"/>
      <c r="BL467" s="53" t="n"/>
      <c r="BM467" s="53" t="n"/>
      <c r="BN467" s="53" t="n"/>
      <c r="BO467" s="53" t="n"/>
      <c r="BP467" s="53" t="n"/>
      <c r="BQ467" s="53" t="n"/>
      <c r="BR467" s="53" t="n"/>
      <c r="BS467" s="53" t="n"/>
      <c r="BT467" s="53" t="n"/>
      <c r="BU467" s="53" t="n"/>
      <c r="BV467" s="53" t="n"/>
      <c r="BW467" s="53" t="n"/>
      <c r="BX467" s="53" t="n"/>
      <c r="BY467" s="53" t="n"/>
      <c r="BZ467" s="53" t="n"/>
      <c r="CA467" s="53" t="n"/>
      <c r="CB467" s="53" t="n"/>
      <c r="CC467" s="53" t="n"/>
      <c r="CD467" s="53" t="n"/>
      <c r="CE467" s="53" t="n"/>
      <c r="CF467" s="53" t="n"/>
      <c r="CG467" s="53" t="n"/>
      <c r="CH467" s="53" t="n"/>
      <c r="CI467" s="53" t="n"/>
      <c r="CJ467" s="53" t="n"/>
      <c r="CK467" s="53" t="n"/>
      <c r="CL467" s="53" t="n"/>
      <c r="CM467" s="53" t="n"/>
      <c r="CN467" s="53" t="n"/>
      <c r="CO467" s="53" t="n"/>
      <c r="CP467" s="53" t="n"/>
      <c r="CQ467" s="53" t="n"/>
      <c r="CR467" s="53" t="n"/>
      <c r="CS467" s="53" t="n"/>
      <c r="CT467" s="53" t="n"/>
      <c r="CU467" s="53" t="n"/>
      <c r="CV467" s="53" t="n"/>
      <c r="CW467" s="53" t="n"/>
      <c r="CX467" s="53" t="n"/>
      <c r="CY467" s="53" t="n"/>
      <c r="CZ467" s="53" t="n"/>
      <c r="DA467" s="53" t="n"/>
      <c r="DB467" s="53" t="n"/>
      <c r="DC467" s="53" t="n"/>
      <c r="DD467" s="53" t="n"/>
      <c r="DE467" s="53" t="n"/>
      <c r="DF467" s="53" t="n"/>
      <c r="DG467" s="53" t="n"/>
      <c r="DH467" s="53" t="n"/>
      <c r="DI467" s="53" t="n"/>
      <c r="DJ467" s="53" t="n"/>
      <c r="DK467" s="53" t="n"/>
      <c r="DL467" s="53" t="n"/>
      <c r="DM467" s="53" t="n"/>
      <c r="DN467" s="53" t="n"/>
      <c r="DO467" s="53" t="n"/>
      <c r="DP467" s="53" t="n"/>
      <c r="DQ467" s="53" t="n"/>
      <c r="DR467" s="53" t="n"/>
      <c r="DS467" s="53" t="n"/>
      <c r="DT467" s="53" t="n"/>
      <c r="DU467" s="53" t="n"/>
      <c r="DV467" s="53" t="n"/>
      <c r="DW467" s="53" t="n"/>
      <c r="DX467" s="53" t="n"/>
      <c r="DY467" s="53" t="n"/>
      <c r="DZ467" s="53" t="n"/>
      <c r="EA467" s="53" t="n"/>
      <c r="EB467" s="53" t="n"/>
      <c r="EC467" s="53" t="n"/>
      <c r="ED467" s="53" t="n"/>
      <c r="EE467" s="53" t="n"/>
      <c r="EF467" s="53" t="n"/>
      <c r="EG467" s="53" t="n"/>
      <c r="EH467" s="53" t="n"/>
      <c r="EI467" s="53" t="n"/>
      <c r="EJ467" s="53" t="n"/>
      <c r="EK467" s="53" t="n"/>
      <c r="EL467" s="53" t="n"/>
      <c r="EM467" s="53" t="n"/>
      <c r="EN467" s="53" t="n"/>
      <c r="EO467" s="53" t="n"/>
      <c r="EP467" s="53" t="n"/>
      <c r="EQ467" s="53" t="n"/>
      <c r="ER467" s="53" t="n"/>
      <c r="ES467" s="53" t="n"/>
      <c r="ET467" s="53" t="n"/>
      <c r="EU467" s="53" t="n"/>
      <c r="EV467" s="53" t="n"/>
      <c r="EW467" s="52" t="n"/>
      <c r="EX467" s="53" t="n"/>
      <c r="EY467" s="53" t="n"/>
      <c r="EZ467" s="53" t="n"/>
      <c r="FA467" s="53" t="n"/>
      <c r="FB467" s="53" t="n"/>
      <c r="FC467" s="53" t="n"/>
      <c r="FD467" s="53" t="n"/>
      <c r="FE467" s="55" t="inlineStr">
        <is>
          <t>KRAs not received · manager to supply</t>
        </is>
      </c>
      <c r="FF467" s="56" t="n"/>
      <c r="FG467" s="56" t="n"/>
      <c r="FH467" s="56" t="n"/>
      <c r="FI467" s="56" t="n"/>
      <c r="FJ467" s="32" t="inlineStr">
        <is>
          <t>KRAs not received · manager to supply</t>
        </is>
      </c>
      <c r="FK467" s="56" t="n"/>
      <c r="FL467" s="56" t="n">
        <v>20</v>
      </c>
      <c r="FM467" s="32" t="inlineStr">
        <is>
          <t>Full survey answers not in the files received · How We Grow export needed · HR</t>
        </is>
      </c>
      <c r="FN467" s="56" t="inlineStr">
        <is>
          <t>—</t>
        </is>
      </c>
      <c r="FO467" s="56" t="inlineStr">
        <is>
          <t>—</t>
        </is>
      </c>
      <c r="FP467" s="56" t="inlineStr">
        <is>
          <t>—</t>
        </is>
      </c>
      <c r="FQ467" s="56" t="inlineStr">
        <is>
          <t>—</t>
        </is>
      </c>
      <c r="FR467" s="56"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solutions → moved down 0.5
Leadership: Evidence reads like A1: No guiding or reviewing of others described → moved down 0.5
Business Impact: No survey or manager-mapping signal on criticality: kept at the start point.</t>
        </is>
      </c>
      <c r="FS467"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467" s="56" t="inlineStr">
        <is>
          <t>Self-identified: AI / automation · Certification / formal course
For the next role: AI / automation · Certification / formal course</t>
        </is>
      </c>
      <c r="FU467" s="32" t="inlineStr">
        <is>
          <t>Full survey answers not in the files received · How We Grow export needed · HR</t>
        </is>
      </c>
    </row>
    <row r="468" ht="90" customHeight="1">
      <c r="A468" s="51" t="inlineStr">
        <is>
          <t>◂ Back</t>
        </is>
      </c>
      <c r="B468" s="29" t="inlineStr">
        <is>
          <t>Mapped</t>
        </is>
      </c>
      <c r="C468" s="28" t="inlineStr">
        <is>
          <t>iFile</t>
        </is>
      </c>
      <c r="D468" s="29" t="inlineStr">
        <is>
          <t>IRIS1139</t>
        </is>
      </c>
      <c r="E468" s="29" t="inlineStr">
        <is>
          <t>Yogesh Patil</t>
        </is>
      </c>
      <c r="F468" s="29" t="inlineStr">
        <is>
          <t>XBRL Consulting</t>
        </is>
      </c>
      <c r="G468" s="29" t="inlineStr">
        <is>
          <t>Senior Analyst</t>
        </is>
      </c>
      <c r="H468" s="29" t="inlineStr">
        <is>
          <t>Senior Taxonomy Analyst</t>
        </is>
      </c>
      <c r="I468" s="29" t="inlineStr">
        <is>
          <t>L4 – Senior</t>
        </is>
      </c>
      <c r="J468" s="29" t="inlineStr">
        <is>
          <t>A3</t>
        </is>
      </c>
      <c r="K468" s="29" t="inlineStr">
        <is>
          <t>• Same level</t>
        </is>
      </c>
      <c r="L468" s="29" t="inlineStr">
        <is>
          <t>Consulting &amp; Professional Services</t>
        </is>
      </c>
      <c r="M468" s="29" t="inlineStr">
        <is>
          <t>Taxonomy Design &amp; Regulatory Consulting</t>
        </is>
      </c>
      <c r="N468" s="29" t="n"/>
      <c r="O468" s="29" t="n">
        <v>20</v>
      </c>
      <c r="P468" s="28" t="inlineStr">
        <is>
          <t>P2</t>
        </is>
      </c>
      <c r="Q468" s="29" t="inlineStr">
        <is>
          <t>Developing</t>
        </is>
      </c>
      <c r="R468" s="29" t="inlineStr">
        <is>
          <t>3 Apply</t>
        </is>
      </c>
      <c r="S468" s="29" t="inlineStr">
        <is>
          <t>2–4 yrs</t>
        </is>
      </c>
      <c r="T468" s="29" t="inlineStr">
        <is>
          <t>3–5 · 2–5</t>
        </is>
      </c>
      <c r="U468" s="29" t="inlineStr">
        <is>
          <t>Senior Analyst / Associate</t>
        </is>
      </c>
      <c r="V468" s="29" t="inlineStr">
        <is>
          <t>DataTracks: Senior Associate · 2–5 yrs · Big Four: Consultant · IRIS Vs Market Benchmark — XBRL US credential pathway: XBRL US GAAP Certificate</t>
        </is>
      </c>
      <c r="W468" s="29" t="inlineStr">
        <is>
          <t>XBRL US GAAP Certificate · AICPA &amp; XBRL US; XBRL International specifications; IFRS / US GAAP / Ind AS</t>
        </is>
      </c>
      <c r="X468" s="29" t="inlineStr">
        <is>
          <t>Core 2 · Future 2 · Functional 3 · Leadership not scored</t>
        </is>
      </c>
      <c r="Y468" s="52" t="n">
        <v>108</v>
      </c>
      <c r="Z468" s="53" t="inlineStr">
        <is>
          <t>IRIS1139</t>
        </is>
      </c>
      <c r="AA468" s="53" t="inlineStr">
        <is>
          <t>Employee</t>
        </is>
      </c>
      <c r="AB468" s="53" t="inlineStr">
        <is>
          <t>Active</t>
        </is>
      </c>
      <c r="AC468" s="53" t="inlineStr">
        <is>
          <t>Yogesh Patil</t>
        </is>
      </c>
      <c r="AD468" s="54" t="n">
        <v>41065</v>
      </c>
      <c r="AE468" s="53" t="inlineStr">
        <is>
          <t>Senior Analyst</t>
        </is>
      </c>
      <c r="AF468" s="53" t="inlineStr">
        <is>
          <t>B.Com</t>
        </is>
      </c>
      <c r="AG468" s="53" t="inlineStr">
        <is>
          <t>Rahul Dhamne</t>
        </is>
      </c>
      <c r="AH468" s="53" t="inlineStr">
        <is>
          <t>N-2</t>
        </is>
      </c>
      <c r="AI468" s="53" t="inlineStr">
        <is>
          <t>Individual Contributor</t>
        </is>
      </c>
      <c r="AJ468" s="53" t="inlineStr">
        <is>
          <t>0 years, 0 months, 0 days</t>
        </is>
      </c>
      <c r="AK468" s="53" t="inlineStr">
        <is>
          <t>14 years, 2 months, 20 days</t>
        </is>
      </c>
      <c r="AL468" s="53" t="inlineStr">
        <is>
          <t>Suptech</t>
        </is>
      </c>
      <c r="AM468" s="53" t="inlineStr">
        <is>
          <t>iFile</t>
        </is>
      </c>
      <c r="AN468" s="53" t="inlineStr">
        <is>
          <t>XBRL Consulting</t>
        </is>
      </c>
      <c r="AO468" s="53" t="inlineStr">
        <is>
          <t>Consulting</t>
        </is>
      </c>
      <c r="AP468" s="53" t="inlineStr">
        <is>
          <t>No</t>
        </is>
      </c>
      <c r="AQ468" s="53" t="inlineStr">
        <is>
          <t>Professional Services</t>
        </is>
      </c>
      <c r="AR468" s="53" t="inlineStr">
        <is>
          <t>XBRL Domain</t>
        </is>
      </c>
      <c r="AS468" s="53" t="inlineStr">
        <is>
          <t>Non-technical</t>
        </is>
      </c>
      <c r="AT468" s="53" t="n">
        <v>20</v>
      </c>
      <c r="AU468" s="53" t="inlineStr">
        <is>
          <t>Covered</t>
        </is>
      </c>
      <c r="AV468" s="53" t="n"/>
      <c r="AW468" s="53" t="n"/>
      <c r="AX468" s="53" t="n"/>
      <c r="AY468" s="53" t="n"/>
      <c r="AZ468" s="53" t="n"/>
      <c r="BA468" s="53" t="n"/>
      <c r="BB468" s="53" t="n"/>
      <c r="BC468" s="53" t="n"/>
      <c r="BD468" s="53" t="n"/>
      <c r="BE468" s="53" t="n"/>
      <c r="BF468" s="53" t="n"/>
      <c r="BG468" s="53" t="n"/>
      <c r="BH468" s="53" t="n"/>
      <c r="BI468" s="53" t="n"/>
      <c r="BJ468" s="53" t="n"/>
      <c r="BK468" s="53" t="n"/>
      <c r="BL468" s="53" t="n"/>
      <c r="BM468" s="53" t="n"/>
      <c r="BN468" s="53" t="n"/>
      <c r="BO468" s="53" t="n"/>
      <c r="BP468" s="53" t="n"/>
      <c r="BQ468" s="53" t="n"/>
      <c r="BR468" s="53" t="n"/>
      <c r="BS468" s="53" t="n"/>
      <c r="BT468" s="53" t="n"/>
      <c r="BU468" s="53" t="n"/>
      <c r="BV468" s="53" t="n"/>
      <c r="BW468" s="53" t="n"/>
      <c r="BX468" s="53" t="n"/>
      <c r="BY468" s="53" t="n"/>
      <c r="BZ468" s="53" t="n"/>
      <c r="CA468" s="53" t="n"/>
      <c r="CB468" s="53" t="n"/>
      <c r="CC468" s="53" t="n"/>
      <c r="CD468" s="53" t="n"/>
      <c r="CE468" s="53" t="n"/>
      <c r="CF468" s="53" t="n"/>
      <c r="CG468" s="53" t="n"/>
      <c r="CH468" s="53" t="n"/>
      <c r="CI468" s="53" t="n"/>
      <c r="CJ468" s="53" t="n"/>
      <c r="CK468" s="53" t="n"/>
      <c r="CL468" s="53" t="n"/>
      <c r="CM468" s="53" t="n"/>
      <c r="CN468" s="53" t="n"/>
      <c r="CO468" s="53" t="n"/>
      <c r="CP468" s="53" t="n"/>
      <c r="CQ468" s="53" t="n"/>
      <c r="CR468" s="53" t="n"/>
      <c r="CS468" s="53" t="n"/>
      <c r="CT468" s="53" t="n"/>
      <c r="CU468" s="53" t="n"/>
      <c r="CV468" s="53" t="n"/>
      <c r="CW468" s="53" t="n"/>
      <c r="CX468" s="53" t="n"/>
      <c r="CY468" s="53" t="n"/>
      <c r="CZ468" s="53" t="n"/>
      <c r="DA468" s="53" t="n"/>
      <c r="DB468" s="53" t="n"/>
      <c r="DC468" s="53" t="n"/>
      <c r="DD468" s="53" t="inlineStr">
        <is>
          <t>IRIS1139</t>
        </is>
      </c>
      <c r="DE468" s="53" t="inlineStr">
        <is>
          <t>Employee</t>
        </is>
      </c>
      <c r="DF468" s="53" t="inlineStr">
        <is>
          <t>Active</t>
        </is>
      </c>
      <c r="DG468" s="53" t="inlineStr">
        <is>
          <t>Yogesh Patil</t>
        </is>
      </c>
      <c r="DH468" s="54" t="n">
        <v>41065</v>
      </c>
      <c r="DI468" s="53" t="inlineStr">
        <is>
          <t>Senior Analyst</t>
        </is>
      </c>
      <c r="DJ468" s="53" t="inlineStr">
        <is>
          <t>Consulting &amp; Professional Services</t>
        </is>
      </c>
      <c r="DK468" s="53" t="inlineStr">
        <is>
          <t>XBRL / Regulatory Reporting</t>
        </is>
      </c>
      <c r="DL468" s="53" t="inlineStr">
        <is>
          <t>Senior Analyst</t>
        </is>
      </c>
      <c r="DM468" s="53" t="inlineStr">
        <is>
          <t>L4 – Senior</t>
        </is>
      </c>
      <c r="DN468" s="53" t="inlineStr">
        <is>
          <t>B.Com</t>
        </is>
      </c>
      <c r="DO468" s="53" t="inlineStr">
        <is>
          <t>Rahul Dhamne</t>
        </is>
      </c>
      <c r="DP468" s="53" t="inlineStr">
        <is>
          <t>N-2</t>
        </is>
      </c>
      <c r="DQ468" s="53" t="inlineStr">
        <is>
          <t>Individual Contributor</t>
        </is>
      </c>
      <c r="DR468" s="53" t="inlineStr">
        <is>
          <t>0 years, 0 months, 0 days</t>
        </is>
      </c>
      <c r="DS468" s="53" t="inlineStr">
        <is>
          <t>14 years, 0 months, 15 days</t>
        </is>
      </c>
      <c r="DT468" s="53" t="inlineStr">
        <is>
          <t>14 years, 0 months, 15 days</t>
        </is>
      </c>
      <c r="DU468" s="53" t="n"/>
      <c r="DV468" s="53" t="inlineStr">
        <is>
          <t>Suptech</t>
        </is>
      </c>
      <c r="DW468" s="53" t="inlineStr">
        <is>
          <t>iFile</t>
        </is>
      </c>
      <c r="DX468" s="53" t="inlineStr">
        <is>
          <t>XBRL Consulting</t>
        </is>
      </c>
      <c r="DY468" s="53" t="inlineStr">
        <is>
          <t>Consulting</t>
        </is>
      </c>
      <c r="DZ468" s="53" t="inlineStr">
        <is>
          <t>No</t>
        </is>
      </c>
      <c r="EA468" s="53" t="inlineStr">
        <is>
          <t>Professional Services</t>
        </is>
      </c>
      <c r="EB468" s="53" t="inlineStr">
        <is>
          <t>XBRL Domain</t>
        </is>
      </c>
      <c r="EC468" s="53" t="inlineStr">
        <is>
          <t>Non-technical</t>
        </is>
      </c>
      <c r="ED468" s="53" t="inlineStr">
        <is>
          <t>Hybrid</t>
        </is>
      </c>
      <c r="EE468" s="53" t="n"/>
      <c r="EF468"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8" s="53" t="inlineStr">
        <is>
          <t>1. Complete Q1 taxonomy build/test tasks on schedule · &gt;=95% on-time.
2. Close assigned iFILE support tickets within SLA.
3. Finish Q1 Excel/Webform test cycles with defect leakage &lt;2%.</t>
        </is>
      </c>
      <c r="EH468" s="53" t="inlineStr">
        <is>
          <t>4 - Exceeds Expectations</t>
        </is>
      </c>
      <c r="EI468" s="53" t="inlineStr">
        <is>
          <t>Last appraisal in Oct 2025</t>
        </is>
      </c>
      <c r="EJ468" s="53" t="inlineStr">
        <is>
          <t>Senior Analyst</t>
        </is>
      </c>
      <c r="EK468" s="53" t="inlineStr">
        <is>
          <t>No change</t>
        </is>
      </c>
      <c r="EL468" s="53" t="n">
        <v>4</v>
      </c>
      <c r="EM468" s="53" t="inlineStr">
        <is>
          <t>High</t>
        </is>
      </c>
      <c r="EN468" s="53" t="inlineStr">
        <is>
          <t>High Impact / Growth Talent</t>
        </is>
      </c>
      <c r="EO468" s="53" t="n"/>
      <c r="EP468" s="53" t="inlineStr">
        <is>
          <t>No</t>
        </is>
      </c>
      <c r="EQ468" s="53" t="n"/>
      <c r="ER468" s="53" t="inlineStr">
        <is>
          <t>To be identified</t>
        </is>
      </c>
      <c r="ES468" s="53" t="inlineStr">
        <is>
          <t>XBRL taxonomy &amp; regulatory updates; domain/accounting refreshers; quality &amp; accuracy practices; tooling proficiency</t>
        </is>
      </c>
      <c r="ET468" s="53" t="inlineStr">
        <is>
          <t>Transition to leadership: people management &amp; delegation, mentoring/coaching, project ownership &amp; stakeholder management, prioritisation under ambiguity, presentation &amp; influence skills</t>
        </is>
      </c>
      <c r="EU468" s="53" t="inlineStr">
        <is>
          <t>CMA-Kuwait,SBC,GRI,NRB,BOM,CBJ</t>
        </is>
      </c>
      <c r="EV468" s="53" t="n"/>
      <c r="EW468" s="52" t="n"/>
      <c r="EX468" s="53" t="n"/>
      <c r="EY468" s="53" t="n"/>
      <c r="EZ468" s="53" t="n"/>
      <c r="FA468" s="53" t="n"/>
      <c r="FB468" s="53" t="n"/>
      <c r="FC468" s="53" t="n"/>
      <c r="FD468" s="53" t="n"/>
      <c r="FE468"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8" s="56" t="inlineStr">
        <is>
          <t>1. Complete Q1 taxonomy build/test tasks on schedule · &gt;=95% on-time.
2. Close assigned iFILE support tickets within SLA · &gt;=90%.
3. Finish Q1 Excel/Webform test cycles with defect leakage &lt;2%.</t>
        </is>
      </c>
      <c r="FG468" s="56" t="n"/>
      <c r="FH468" s="56" t="inlineStr">
        <is>
          <t>4 - Exceeds Expectations</t>
        </is>
      </c>
      <c r="FI468" s="56" t="n"/>
      <c r="FJ468" s="56" t="inlineStr">
        <is>
          <t>Received · manager annual, quarterly</t>
        </is>
      </c>
      <c r="FK468" s="56" t="inlineStr">
        <is>
          <t>Talent Mapping · iFile collated</t>
        </is>
      </c>
      <c r="FL468" s="56" t="n">
        <v>20</v>
      </c>
      <c r="FM468" s="32" t="inlineStr">
        <is>
          <t>Full survey answers not in the files received · How We Grow export needed · HR</t>
        </is>
      </c>
      <c r="FN468" s="56" t="inlineStr">
        <is>
          <t>—</t>
        </is>
      </c>
      <c r="FO468" s="56" t="inlineStr">
        <is>
          <t>—</t>
        </is>
      </c>
      <c r="FP468" s="56" t="inlineStr">
        <is>
          <t>—</t>
        </is>
      </c>
      <c r="FQ468" s="56" t="inlineStr">
        <is>
          <t>—</t>
        </is>
      </c>
      <c r="FR468" s="56"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for own development tasks: SRS, CMS, formulas, customisation, domain testing → moved down 0.5
Leadership: Evidence reads like A3: Training team members is a listed responsibility; coordinates QA, webform, BA teams → moved up 0.5
Business Impact: No survey or manager-mapping signal on criticality: kept at the start point.</t>
        </is>
      </c>
      <c r="FS468"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8" s="56" t="inlineStr">
        <is>
          <t>Self-identified: Client, sales &amp; stakeholders
For the next role: Client, sales &amp; stakeholders</t>
        </is>
      </c>
      <c r="FU468" s="32" t="inlineStr">
        <is>
          <t>Full survey answers not in the files received · How We Grow export needed · HR</t>
        </is>
      </c>
    </row>
    <row r="469" ht="90" customHeight="1">
      <c r="A469" s="51" t="inlineStr">
        <is>
          <t>◂ Back</t>
        </is>
      </c>
      <c r="B469" s="29" t="inlineStr">
        <is>
          <t>Mapped</t>
        </is>
      </c>
      <c r="C469" s="28" t="inlineStr">
        <is>
          <t>iFile</t>
        </is>
      </c>
      <c r="D469" s="29" t="inlineStr">
        <is>
          <t>IRISC347</t>
        </is>
      </c>
      <c r="E469" s="29" t="inlineStr">
        <is>
          <t>Sunita Joshi</t>
        </is>
      </c>
      <c r="F469" s="29" t="inlineStr">
        <is>
          <t>XBRL Consulting</t>
        </is>
      </c>
      <c r="G469" s="29" t="inlineStr">
        <is>
          <t>Consultant</t>
        </is>
      </c>
      <c r="H469" s="29" t="inlineStr">
        <is>
          <t>Associate Consultant – Taxonomy Design &amp; Regulatory Consulting</t>
        </is>
      </c>
      <c r="I469" s="29" t="inlineStr">
        <is>
          <t>L3 – Professional / Associate</t>
        </is>
      </c>
      <c r="J469" s="29" t="inlineStr">
        <is>
          <t>X1</t>
        </is>
      </c>
      <c r="K469" s="29" t="inlineStr">
        <is>
          <t>• Same level</t>
        </is>
      </c>
      <c r="L469" s="29" t="inlineStr">
        <is>
          <t>Consulting &amp; Professional Services</t>
        </is>
      </c>
      <c r="M469" s="29" t="inlineStr">
        <is>
          <t>Taxonomy Design &amp; Regulatory Consulting</t>
        </is>
      </c>
      <c r="N469" s="29" t="n"/>
      <c r="O469" s="29" t="n">
        <v>20</v>
      </c>
      <c r="P469" s="28" t="inlineStr">
        <is>
          <t>Contractor</t>
        </is>
      </c>
      <c r="Q469" s="29" t="inlineStr">
        <is>
          <t>—</t>
        </is>
      </c>
      <c r="R469" s="29" t="inlineStr">
        <is>
          <t>—</t>
        </is>
      </c>
      <c r="S469" s="29" t="inlineStr">
        <is>
          <t>0–5 yrs</t>
        </is>
      </c>
      <c r="T469" s="29" t="inlineStr">
        <is>
          <t>—</t>
        </is>
      </c>
      <c r="U469" s="29" t="inlineStr">
        <is>
          <t>Contractor · rate card</t>
        </is>
      </c>
      <c r="V469" s="29" t="inlineStr">
        <is>
          <t>—</t>
        </is>
      </c>
      <c r="W469" s="29" t="inlineStr">
        <is>
          <t>XBRL US GAAP Certificate · AICPA &amp; XBRL US; XBRL International specifications; IFRS / US GAAP / Ind AS</t>
        </is>
      </c>
      <c r="X469" s="29" t="inlineStr">
        <is>
          <t>Per statement of work</t>
        </is>
      </c>
      <c r="Y469" s="52" t="n">
        <v>500</v>
      </c>
      <c r="Z469" s="53" t="inlineStr">
        <is>
          <t>IRISC347</t>
        </is>
      </c>
      <c r="AA469" s="53" t="inlineStr">
        <is>
          <t>Full Time Consultant</t>
        </is>
      </c>
      <c r="AB469" s="53" t="inlineStr">
        <is>
          <t>Active</t>
        </is>
      </c>
      <c r="AC469" s="53" t="inlineStr">
        <is>
          <t>Sunita Joshi</t>
        </is>
      </c>
      <c r="AD469" s="54" t="n">
        <v>46146</v>
      </c>
      <c r="AE469" s="53" t="inlineStr">
        <is>
          <t>Consultant</t>
        </is>
      </c>
      <c r="AF469" s="53" t="inlineStr">
        <is>
          <t>-</t>
        </is>
      </c>
      <c r="AG469" s="53" t="inlineStr">
        <is>
          <t>Rahul Dhamne</t>
        </is>
      </c>
      <c r="AH469" s="53" t="inlineStr">
        <is>
          <t>N-2</t>
        </is>
      </c>
      <c r="AI469" s="53" t="inlineStr">
        <is>
          <t>Individual Contributor</t>
        </is>
      </c>
      <c r="AJ469" s="53" t="n"/>
      <c r="AK469" s="53" t="n"/>
      <c r="AL469" s="53" t="inlineStr">
        <is>
          <t>Suptech</t>
        </is>
      </c>
      <c r="AM469" s="53" t="inlineStr">
        <is>
          <t>iFile</t>
        </is>
      </c>
      <c r="AN469" s="53" t="inlineStr">
        <is>
          <t>XBRL Consulting</t>
        </is>
      </c>
      <c r="AO469" s="53" t="inlineStr">
        <is>
          <t>Consulting</t>
        </is>
      </c>
      <c r="AP469" s="53" t="inlineStr">
        <is>
          <t>No</t>
        </is>
      </c>
      <c r="AQ469" s="53" t="inlineStr">
        <is>
          <t>Professional Services</t>
        </is>
      </c>
      <c r="AR469" s="53" t="inlineStr">
        <is>
          <t>XBRL Domain</t>
        </is>
      </c>
      <c r="AS469" s="53" t="inlineStr">
        <is>
          <t>Non-technical</t>
        </is>
      </c>
      <c r="AT469" s="53" t="n">
        <v>20</v>
      </c>
      <c r="AU469" s="53" t="inlineStr">
        <is>
          <t>Covered</t>
        </is>
      </c>
      <c r="AV469" s="53" t="n"/>
      <c r="AW469" s="53" t="n"/>
      <c r="AX469" s="53" t="n"/>
      <c r="AY469" s="53" t="n"/>
      <c r="AZ469" s="53" t="n"/>
      <c r="BA469" s="53" t="n"/>
      <c r="BB469" s="53" t="n"/>
      <c r="BC469" s="53" t="n"/>
      <c r="BD469" s="53" t="n"/>
      <c r="BE469" s="53" t="n"/>
      <c r="BF469" s="53" t="n"/>
      <c r="BG469" s="53" t="n"/>
      <c r="BH469" s="53" t="n"/>
      <c r="BI469" s="53" t="n"/>
      <c r="BJ469" s="53" t="n"/>
      <c r="BK469" s="53" t="n"/>
      <c r="BL469" s="53" t="n"/>
      <c r="BM469" s="53" t="n"/>
      <c r="BN469" s="53" t="n"/>
      <c r="BO469" s="53" t="n"/>
      <c r="BP469" s="53" t="n"/>
      <c r="BQ469" s="53" t="n"/>
      <c r="BR469" s="53" t="n"/>
      <c r="BS469" s="53" t="n"/>
      <c r="BT469" s="53" t="n"/>
      <c r="BU469" s="53" t="n"/>
      <c r="BV469" s="53" t="n"/>
      <c r="BW469" s="53" t="n"/>
      <c r="BX469" s="53" t="n"/>
      <c r="BY469" s="53" t="n"/>
      <c r="BZ469" s="53" t="n"/>
      <c r="CA469" s="53" t="n"/>
      <c r="CB469" s="53" t="n"/>
      <c r="CC469" s="53" t="n"/>
      <c r="CD469" s="53" t="n"/>
      <c r="CE469" s="53" t="n"/>
      <c r="CF469" s="53" t="n"/>
      <c r="CG469" s="53" t="n"/>
      <c r="CH469" s="53" t="n"/>
      <c r="CI469" s="53" t="n"/>
      <c r="CJ469" s="53" t="n"/>
      <c r="CK469" s="53" t="n"/>
      <c r="CL469" s="53" t="n"/>
      <c r="CM469" s="53" t="n"/>
      <c r="CN469" s="53" t="n"/>
      <c r="CO469" s="53" t="n"/>
      <c r="CP469" s="53" t="n"/>
      <c r="CQ469" s="53" t="n"/>
      <c r="CR469" s="53" t="n"/>
      <c r="CS469" s="53" t="n"/>
      <c r="CT469" s="53" t="n"/>
      <c r="CU469" s="53" t="n"/>
      <c r="CV469" s="53" t="n"/>
      <c r="CW469" s="53" t="n"/>
      <c r="CX469" s="53" t="n"/>
      <c r="CY469" s="53" t="n"/>
      <c r="CZ469" s="53" t="n"/>
      <c r="DA469" s="53" t="n"/>
      <c r="DB469" s="53" t="n"/>
      <c r="DC469" s="53" t="n"/>
      <c r="DD469" s="53" t="inlineStr">
        <is>
          <t>IRISC347</t>
        </is>
      </c>
      <c r="DE469" s="53" t="inlineStr">
        <is>
          <t>Full Time Consultant</t>
        </is>
      </c>
      <c r="DF469" s="53" t="inlineStr">
        <is>
          <t>Active</t>
        </is>
      </c>
      <c r="DG469" s="53" t="inlineStr">
        <is>
          <t>Sunita Joshi</t>
        </is>
      </c>
      <c r="DH469" s="54" t="n">
        <v>46146</v>
      </c>
      <c r="DI469" s="53" t="inlineStr">
        <is>
          <t>Consultant</t>
        </is>
      </c>
      <c r="DJ469" s="53" t="inlineStr">
        <is>
          <t>Consulting &amp; Professional Services</t>
        </is>
      </c>
      <c r="DK469" s="53" t="inlineStr">
        <is>
          <t>XBRL / Regulatory Reporting</t>
        </is>
      </c>
      <c r="DL469" s="53" t="inlineStr">
        <is>
          <t>Consultant</t>
        </is>
      </c>
      <c r="DM469" s="53" t="inlineStr">
        <is>
          <t>L3 – Professional / Associate</t>
        </is>
      </c>
      <c r="DN469" s="53" t="inlineStr">
        <is>
          <t>-</t>
        </is>
      </c>
      <c r="DO469" s="53" t="inlineStr">
        <is>
          <t>Rahul Dhamne</t>
        </is>
      </c>
      <c r="DP469" s="53" t="inlineStr">
        <is>
          <t>N-2</t>
        </is>
      </c>
      <c r="DQ469" s="53" t="inlineStr">
        <is>
          <t>Individual Contributor</t>
        </is>
      </c>
      <c r="DR469" s="53" t="inlineStr">
        <is>
          <t>-</t>
        </is>
      </c>
      <c r="DS469" s="53" t="inlineStr">
        <is>
          <t>0 years, 1 months, 16 days</t>
        </is>
      </c>
      <c r="DT469" s="53" t="n"/>
      <c r="DU469" s="53" t="n"/>
      <c r="DV469" s="53" t="inlineStr">
        <is>
          <t>Suptech</t>
        </is>
      </c>
      <c r="DW469" s="53" t="inlineStr">
        <is>
          <t>iFile</t>
        </is>
      </c>
      <c r="DX469" s="53" t="inlineStr">
        <is>
          <t>XBRL Consulting</t>
        </is>
      </c>
      <c r="DY469" s="53" t="inlineStr">
        <is>
          <t>Consulting</t>
        </is>
      </c>
      <c r="DZ469" s="53" t="inlineStr">
        <is>
          <t>No</t>
        </is>
      </c>
      <c r="EA469" s="53" t="inlineStr">
        <is>
          <t>Professional Services</t>
        </is>
      </c>
      <c r="EB469" s="53" t="inlineStr">
        <is>
          <t>XBRL Domain</t>
        </is>
      </c>
      <c r="EC469" s="53" t="inlineStr">
        <is>
          <t>Non-technical</t>
        </is>
      </c>
      <c r="ED469" s="53" t="inlineStr">
        <is>
          <t>Client Side</t>
        </is>
      </c>
      <c r="EE469" s="53" t="n"/>
      <c r="EF469"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69"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69" s="53" t="inlineStr">
        <is>
          <t>4 - Exceeds Expectations</t>
        </is>
      </c>
      <c r="EI469" s="53" t="n"/>
      <c r="EJ469" s="53" t="inlineStr">
        <is>
          <t>Consultant</t>
        </is>
      </c>
      <c r="EK469" s="53" t="inlineStr">
        <is>
          <t>No change</t>
        </is>
      </c>
      <c r="EL469" s="53" t="n">
        <v>4</v>
      </c>
      <c r="EM469" s="53" t="inlineStr">
        <is>
          <t>High</t>
        </is>
      </c>
      <c r="EN469" s="53" t="inlineStr">
        <is>
          <t>Future Leader</t>
        </is>
      </c>
      <c r="EO469" s="53" t="n"/>
      <c r="EP469" s="53" t="inlineStr">
        <is>
          <t>yes</t>
        </is>
      </c>
      <c r="EQ469" s="53" t="n"/>
      <c r="ER469" s="53" t="inlineStr">
        <is>
          <t>To be identified</t>
        </is>
      </c>
      <c r="ES469" s="53" t="inlineStr">
        <is>
          <t>XBRL taxonomy &amp; regulatory updates; domain/accounting refreshers; quality &amp; accuracy practices; tooling proficiency</t>
        </is>
      </c>
      <c r="ET469" s="53" t="inlineStr">
        <is>
          <t>Transition to leadership: people management &amp; delegation, mentoring/coaching, project ownership &amp; stakeholder management, prioritisation under ambiguity, presentation &amp; influence skills</t>
        </is>
      </c>
      <c r="EU469" s="53" t="inlineStr">
        <is>
          <t>IRIS Instant - MBRS</t>
        </is>
      </c>
      <c r="EV469" s="53" t="n"/>
      <c r="EW469" s="52" t="n"/>
      <c r="EX469" s="53" t="n"/>
      <c r="EY469" s="53" t="n"/>
      <c r="EZ469" s="53" t="n"/>
      <c r="FA469" s="53" t="n"/>
      <c r="FB469" s="53" t="n"/>
      <c r="FC469" s="53" t="n"/>
      <c r="FD469" s="53" t="n"/>
      <c r="FE469"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69"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69" s="56" t="n"/>
      <c r="FH469" s="56" t="inlineStr">
        <is>
          <t>4 - Exceeds Expectations</t>
        </is>
      </c>
      <c r="FI469" s="56" t="n"/>
      <c r="FJ469" s="56" t="inlineStr">
        <is>
          <t>Received · manager annual, quarterly</t>
        </is>
      </c>
      <c r="FK469" s="56" t="inlineStr">
        <is>
          <t>Talent Mapping · iFile collated</t>
        </is>
      </c>
      <c r="FL469" s="56" t="n">
        <v>20</v>
      </c>
      <c r="FM469" s="32" t="inlineStr">
        <is>
          <t>Full survey answers not in the files received · How We Grow export needed · HR</t>
        </is>
      </c>
      <c r="FN469" s="56" t="inlineStr">
        <is>
          <t>—</t>
        </is>
      </c>
      <c r="FO469" s="56" t="inlineStr">
        <is>
          <t>—</t>
        </is>
      </c>
      <c r="FP469" s="56" t="inlineStr">
        <is>
          <t>—</t>
        </is>
      </c>
      <c r="FQ469" s="56" t="inlineStr">
        <is>
          <t>—</t>
        </is>
      </c>
      <c r="FR469" s="56" t="n"/>
      <c r="FS469"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t>
        </is>
      </c>
      <c r="FT469" s="56" t="inlineStr">
        <is>
          <t>Self-identified: AI / automation · Project / programme management · Broader exposure &amp; ownership
For the next role: AI / automation · Project / programme management · Broader exposure &amp; ownership</t>
        </is>
      </c>
      <c r="FU469" s="32" t="inlineStr">
        <is>
          <t>Full survey answers not in the files received · How We Grow export needed · HR</t>
        </is>
      </c>
    </row>
    <row r="470" ht="90" customHeight="1">
      <c r="A470" s="51" t="inlineStr">
        <is>
          <t>◂ Back</t>
        </is>
      </c>
      <c r="B470" s="29" t="inlineStr">
        <is>
          <t>Mapped</t>
        </is>
      </c>
      <c r="C470" s="28" t="inlineStr">
        <is>
          <t>Corporate</t>
        </is>
      </c>
      <c r="D470" s="29" t="inlineStr">
        <is>
          <t>IRIS1914</t>
        </is>
      </c>
      <c r="E470" s="29" t="inlineStr">
        <is>
          <t>Santosh Sharma</t>
        </is>
      </c>
      <c r="F470" s="29" t="inlineStr">
        <is>
          <t>Secretarial &amp; Legal</t>
        </is>
      </c>
      <c r="G470" s="29" t="inlineStr">
        <is>
          <t>Company Secretary</t>
        </is>
      </c>
      <c r="H470" s="29" t="inlineStr">
        <is>
          <t>Company Secretary – POD Lead</t>
        </is>
      </c>
      <c r="I470" s="29" t="inlineStr">
        <is>
          <t>Not in current mapping files</t>
        </is>
      </c>
      <c r="J470" s="29" t="inlineStr">
        <is>
          <t>C1</t>
        </is>
      </c>
      <c r="K470" s="29" t="inlineStr">
        <is>
          <t>● Newly mapped</t>
        </is>
      </c>
      <c r="L470" s="29" t="inlineStr">
        <is>
          <t>Executive Leadership</t>
        </is>
      </c>
      <c r="M470" s="29" t="inlineStr">
        <is>
          <t>Business Head</t>
        </is>
      </c>
      <c r="N470" s="29" t="inlineStr">
        <is>
          <t>• Survey response or KRAs describing the work · nothing on file — Employee + manager</t>
        </is>
      </c>
      <c r="O470" s="29" t="n">
        <v>0</v>
      </c>
      <c r="P470" s="28" t="inlineStr">
        <is>
          <t>P6 / M5</t>
        </is>
      </c>
      <c r="Q470" s="29" t="inlineStr">
        <is>
          <t>Principal / Director</t>
        </is>
      </c>
      <c r="R470" s="29" t="inlineStr">
        <is>
          <t>5–6</t>
        </is>
      </c>
      <c r="S470" s="29" t="inlineStr">
        <is>
          <t>10–14 yrs</t>
        </is>
      </c>
      <c r="T470" s="29" t="inlineStr">
        <is>
          <t>12–16 · 12–18</t>
        </is>
      </c>
      <c r="U470" s="29" t="inlineStr">
        <is>
          <t>—</t>
        </is>
      </c>
      <c r="V470" s="29" t="inlineStr">
        <is>
          <t>IRIS Vs Competitor Benchmark — corporate services ladder: Company Secretary</t>
        </is>
      </c>
      <c r="W470" s="29" t="inlineStr">
        <is>
          <t>ICSI · Company Secretary; Companies Act 2013; IFMA · facilities; CIPS · procurement</t>
        </is>
      </c>
      <c r="X470" s="29" t="inlineStr">
        <is>
          <t>Core 4 · Future 4 · Functional 4 · Leadership 4</t>
        </is>
      </c>
      <c r="Y470" s="52" t="n">
        <v>181</v>
      </c>
      <c r="Z470" s="53" t="inlineStr">
        <is>
          <t>IRIS1914</t>
        </is>
      </c>
      <c r="AA470" s="53" t="inlineStr">
        <is>
          <t>Employee</t>
        </is>
      </c>
      <c r="AB470" s="53" t="inlineStr">
        <is>
          <t>Active</t>
        </is>
      </c>
      <c r="AC470" s="53" t="inlineStr">
        <is>
          <t>Santosh Sharma</t>
        </is>
      </c>
      <c r="AD470" s="54" t="n">
        <v>44343</v>
      </c>
      <c r="AE470" s="53" t="inlineStr">
        <is>
          <t>Company Secretary</t>
        </is>
      </c>
      <c r="AF470" s="53" t="inlineStr">
        <is>
          <t>LLB</t>
        </is>
      </c>
      <c r="AG470" s="53" t="inlineStr">
        <is>
          <t>Balachandran K</t>
        </is>
      </c>
      <c r="AH470" s="53" t="inlineStr">
        <is>
          <t>N-1</t>
        </is>
      </c>
      <c r="AI470" s="53" t="inlineStr">
        <is>
          <t>Manager</t>
        </is>
      </c>
      <c r="AJ470" s="53" t="inlineStr">
        <is>
          <t>10 years, 0 months, 0 days</t>
        </is>
      </c>
      <c r="AK470" s="53" t="inlineStr">
        <is>
          <t>5 years, 2 months, 29 days</t>
        </is>
      </c>
      <c r="AL470" s="53" t="inlineStr">
        <is>
          <t>Corporate</t>
        </is>
      </c>
      <c r="AM470" s="53" t="inlineStr">
        <is>
          <t>Corporate</t>
        </is>
      </c>
      <c r="AN470" s="53" t="inlineStr">
        <is>
          <t>Secretarial &amp; Legal</t>
        </is>
      </c>
      <c r="AO470" s="53" t="inlineStr">
        <is>
          <t>Secretarial and Legal</t>
        </is>
      </c>
      <c r="AP470" s="53" t="inlineStr">
        <is>
          <t>No</t>
        </is>
      </c>
      <c r="AQ470" s="53" t="inlineStr">
        <is>
          <t>General &amp; Admin</t>
        </is>
      </c>
      <c r="AR470" s="53" t="inlineStr">
        <is>
          <t>Secretarial and Legal</t>
        </is>
      </c>
      <c r="AS470" s="53" t="inlineStr">
        <is>
          <t>Non-technical</t>
        </is>
      </c>
      <c r="AT470" s="53" t="n">
        <v>0</v>
      </c>
      <c r="AU470" s="53" t="inlineStr">
        <is>
          <t>E-Top management</t>
        </is>
      </c>
      <c r="AV470" s="53" t="n"/>
      <c r="AW470" s="53" t="n"/>
      <c r="AX470" s="53" t="n"/>
      <c r="AY470" s="53" t="n"/>
      <c r="AZ470" s="53" t="n"/>
      <c r="BA470" s="53" t="n"/>
      <c r="BB470" s="53" t="n"/>
      <c r="BC470" s="53" t="n"/>
      <c r="BD470" s="53" t="n"/>
      <c r="BE470" s="53" t="n"/>
      <c r="BF470" s="53" t="n"/>
      <c r="BG470" s="53" t="n"/>
      <c r="BH470" s="53" t="n"/>
      <c r="BI470" s="53" t="n"/>
      <c r="BJ470" s="53" t="n"/>
      <c r="BK470" s="53" t="n"/>
      <c r="BL470" s="53" t="n"/>
      <c r="BM470" s="53" t="n"/>
      <c r="BN470" s="53" t="n"/>
      <c r="BO470" s="53" t="n"/>
      <c r="BP470" s="53" t="n"/>
      <c r="BQ470" s="53" t="n"/>
      <c r="BR470" s="53" t="n"/>
      <c r="BS470" s="53" t="n"/>
      <c r="BT470" s="53" t="n"/>
      <c r="BU470" s="53" t="n"/>
      <c r="BV470" s="53" t="n"/>
      <c r="BW470" s="53" t="n"/>
      <c r="BX470" s="53" t="n"/>
      <c r="BY470" s="53" t="n"/>
      <c r="BZ470" s="53" t="n"/>
      <c r="CA470" s="53" t="n"/>
      <c r="CB470" s="53" t="n"/>
      <c r="CC470" s="53" t="n"/>
      <c r="CD470" s="53" t="n"/>
      <c r="CE470" s="53" t="n"/>
      <c r="CF470" s="53" t="n"/>
      <c r="CG470" s="53" t="n"/>
      <c r="CH470" s="53" t="n"/>
      <c r="CI470" s="53" t="n"/>
      <c r="CJ470" s="53" t="n"/>
      <c r="CK470" s="53" t="n"/>
      <c r="CL470" s="53" t="n"/>
      <c r="CM470" s="53" t="n"/>
      <c r="CN470" s="53" t="n"/>
      <c r="CO470" s="53" t="n"/>
      <c r="CP470" s="53" t="n"/>
      <c r="CQ470" s="53" t="n"/>
      <c r="CR470" s="53" t="n"/>
      <c r="CS470" s="53" t="n"/>
      <c r="CT470" s="53" t="n"/>
      <c r="CU470" s="53" t="n"/>
      <c r="CV470" s="53" t="n"/>
      <c r="CW470" s="53" t="n"/>
      <c r="CX470" s="53" t="n"/>
      <c r="CY470" s="53" t="n"/>
      <c r="CZ470" s="53" t="n"/>
      <c r="DA470" s="53" t="n"/>
      <c r="DB470" s="53" t="n"/>
      <c r="DC470" s="53" t="n"/>
      <c r="DD470" s="53" t="n"/>
      <c r="DE470" s="53" t="n"/>
      <c r="DF470" s="53" t="n"/>
      <c r="DG470" s="53" t="n"/>
      <c r="DH470" s="53" t="n"/>
      <c r="DI470" s="53" t="n"/>
      <c r="DJ470" s="53" t="n"/>
      <c r="DK470" s="53" t="n"/>
      <c r="DL470" s="53" t="n"/>
      <c r="DM470" s="53" t="n"/>
      <c r="DN470" s="53" t="n"/>
      <c r="DO470" s="53" t="n"/>
      <c r="DP470" s="53" t="n"/>
      <c r="DQ470" s="53" t="n"/>
      <c r="DR470" s="53" t="n"/>
      <c r="DS470" s="53" t="n"/>
      <c r="DT470" s="53" t="n"/>
      <c r="DU470" s="53" t="n"/>
      <c r="DV470" s="53" t="n"/>
      <c r="DW470" s="53" t="n"/>
      <c r="DX470" s="53" t="n"/>
      <c r="DY470" s="53" t="n"/>
      <c r="DZ470" s="53" t="n"/>
      <c r="EA470" s="53" t="n"/>
      <c r="EB470" s="53" t="n"/>
      <c r="EC470" s="53" t="n"/>
      <c r="ED470" s="53" t="n"/>
      <c r="EE470" s="53" t="n"/>
      <c r="EF470" s="53" t="n"/>
      <c r="EG470" s="53" t="n"/>
      <c r="EH470" s="53" t="n"/>
      <c r="EI470" s="53" t="n"/>
      <c r="EJ470" s="53" t="n"/>
      <c r="EK470" s="53" t="n"/>
      <c r="EL470" s="53" t="n"/>
      <c r="EM470" s="53" t="n"/>
      <c r="EN470" s="53" t="n"/>
      <c r="EO470" s="53" t="n"/>
      <c r="EP470" s="53" t="n"/>
      <c r="EQ470" s="53" t="n"/>
      <c r="ER470" s="53" t="n"/>
      <c r="ES470" s="53" t="n"/>
      <c r="ET470" s="53" t="n"/>
      <c r="EU470" s="53" t="n"/>
      <c r="EV470" s="53" t="n"/>
      <c r="EW470" s="52" t="n"/>
      <c r="EX470" s="53" t="n"/>
      <c r="EY470" s="53" t="n"/>
      <c r="EZ470" s="53" t="n"/>
      <c r="FA470" s="53" t="n"/>
      <c r="FB470" s="53" t="n"/>
      <c r="FC470" s="53" t="n"/>
      <c r="FD470" s="53" t="n"/>
      <c r="FE470" s="55" t="inlineStr">
        <is>
          <t>KRAs not received · manager to supply</t>
        </is>
      </c>
      <c r="FF470" s="56" t="n"/>
      <c r="FG470" s="56" t="n"/>
      <c r="FH470" s="56" t="n"/>
      <c r="FI470" s="56" t="n"/>
      <c r="FJ470" s="32" t="inlineStr">
        <is>
          <t>KRAs not received · manager to supply</t>
        </is>
      </c>
      <c r="FK470" s="56" t="n"/>
      <c r="FL470" s="56" t="n">
        <v>0</v>
      </c>
      <c r="FM470" s="32" t="inlineStr">
        <is>
          <t>No survey response on file</t>
        </is>
      </c>
      <c r="FN470" s="56" t="inlineStr">
        <is>
          <t>—</t>
        </is>
      </c>
      <c r="FO470" s="56" t="inlineStr">
        <is>
          <t>—</t>
        </is>
      </c>
      <c r="FP470" s="56" t="inlineStr">
        <is>
          <t>—</t>
        </is>
      </c>
      <c r="FQ470" s="56" t="inlineStr">
        <is>
          <t>—</t>
        </is>
      </c>
      <c r="FR47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0" s="56" t="n"/>
      <c r="FT470" s="56" t="n"/>
      <c r="FU470" s="32" t="inlineStr">
        <is>
          <t>No survey response on file</t>
        </is>
      </c>
    </row>
    <row r="471" ht="90" customHeight="1">
      <c r="A471" s="51" t="inlineStr">
        <is>
          <t>◂ Back</t>
        </is>
      </c>
      <c r="B471" s="29" t="inlineStr">
        <is>
          <t>Mapped</t>
        </is>
      </c>
      <c r="C471" s="28" t="inlineStr">
        <is>
          <t>Corporate</t>
        </is>
      </c>
      <c r="D471" s="29" t="inlineStr">
        <is>
          <t>IRIS2290</t>
        </is>
      </c>
      <c r="E471" s="29" t="inlineStr">
        <is>
          <t>Melita Suares</t>
        </is>
      </c>
      <c r="F471" s="29" t="inlineStr">
        <is>
          <t>Secretarial &amp; Legal</t>
        </is>
      </c>
      <c r="G471" s="29" t="inlineStr">
        <is>
          <t>Executive - Secretarial and Legal</t>
        </is>
      </c>
      <c r="H471" s="29" t="inlineStr">
        <is>
          <t>Senior Secretarial Executive</t>
        </is>
      </c>
      <c r="I471" s="29" t="inlineStr">
        <is>
          <t>Not in current mapping files</t>
        </is>
      </c>
      <c r="J471" s="29" t="inlineStr">
        <is>
          <t>A3</t>
        </is>
      </c>
      <c r="K471" s="29" t="inlineStr">
        <is>
          <t>● Newly mapped</t>
        </is>
      </c>
      <c r="L471" s="29" t="inlineStr">
        <is>
          <t>Administration, Legal &amp; Secretarial</t>
        </is>
      </c>
      <c r="M471" s="29" t="inlineStr">
        <is>
          <t>Company Secretarial &amp; Legal</t>
        </is>
      </c>
      <c r="N471" s="29" t="n"/>
      <c r="O471" s="29" t="n">
        <v>20</v>
      </c>
      <c r="P471" s="28" t="inlineStr">
        <is>
          <t>P2</t>
        </is>
      </c>
      <c r="Q471" s="29" t="inlineStr">
        <is>
          <t>Developing</t>
        </is>
      </c>
      <c r="R471" s="29" t="inlineStr">
        <is>
          <t>3 Apply</t>
        </is>
      </c>
      <c r="S471" s="29" t="inlineStr">
        <is>
          <t>2–4 yrs</t>
        </is>
      </c>
      <c r="T471" s="29" t="inlineStr">
        <is>
          <t>3–5 · 2–5</t>
        </is>
      </c>
      <c r="U471" s="29" t="inlineStr">
        <is>
          <t>Admin / Secretarial Executive</t>
        </is>
      </c>
      <c r="V471" s="29" t="inlineStr">
        <is>
          <t>IRIS Vs Competitor Benchmark — corporate services ladder: Senior Executive</t>
        </is>
      </c>
      <c r="W471" s="29" t="inlineStr">
        <is>
          <t>ICSI · Company Secretary; Companies Act 2013; IFMA · facilities; CIPS · procurement</t>
        </is>
      </c>
      <c r="X471" s="29" t="inlineStr">
        <is>
          <t>Core 2 · Future 2 · Functional 3 · Leadership not scored</t>
        </is>
      </c>
      <c r="Y471" s="52" t="n">
        <v>331</v>
      </c>
      <c r="Z471" s="53" t="inlineStr">
        <is>
          <t>IRIS2290</t>
        </is>
      </c>
      <c r="AA471" s="53" t="inlineStr">
        <is>
          <t>Employee</t>
        </is>
      </c>
      <c r="AB471" s="53" t="inlineStr">
        <is>
          <t>Active</t>
        </is>
      </c>
      <c r="AC471" s="53" t="inlineStr">
        <is>
          <t>Melita Suares</t>
        </is>
      </c>
      <c r="AD471" s="54" t="n">
        <v>45475</v>
      </c>
      <c r="AE471" s="53" t="inlineStr">
        <is>
          <t>Executive - Secretarial and Legal</t>
        </is>
      </c>
      <c r="AF471" s="53" t="inlineStr">
        <is>
          <t>ICSI Marsheets</t>
        </is>
      </c>
      <c r="AG471" s="53" t="inlineStr">
        <is>
          <t>Santosh Sharma</t>
        </is>
      </c>
      <c r="AH471" s="53" t="inlineStr">
        <is>
          <t>N-2</t>
        </is>
      </c>
      <c r="AI471" s="53" t="inlineStr">
        <is>
          <t>Individual Contributor</t>
        </is>
      </c>
      <c r="AJ471" s="53" t="inlineStr">
        <is>
          <t>3 years, 2 months, 0 days</t>
        </is>
      </c>
      <c r="AK471" s="53" t="inlineStr">
        <is>
          <t>2 years, 1 months, 23 days</t>
        </is>
      </c>
      <c r="AL471" s="53" t="inlineStr">
        <is>
          <t>Corporate</t>
        </is>
      </c>
      <c r="AM471" s="53" t="inlineStr">
        <is>
          <t>Corporate</t>
        </is>
      </c>
      <c r="AN471" s="53" t="inlineStr">
        <is>
          <t>Secretarial &amp; Legal</t>
        </is>
      </c>
      <c r="AO471" s="53" t="inlineStr">
        <is>
          <t>Secretarial and Legal</t>
        </is>
      </c>
      <c r="AP471" s="53" t="inlineStr">
        <is>
          <t>No</t>
        </is>
      </c>
      <c r="AQ471" s="53" t="inlineStr">
        <is>
          <t>General &amp; Admin</t>
        </is>
      </c>
      <c r="AR471" s="53" t="inlineStr">
        <is>
          <t>Secretarial and Legal</t>
        </is>
      </c>
      <c r="AS471" s="53" t="inlineStr">
        <is>
          <t>Non-technical</t>
        </is>
      </c>
      <c r="AT471" s="53" t="n">
        <v>20</v>
      </c>
      <c r="AU471" s="53" t="inlineStr">
        <is>
          <t>Covered</t>
        </is>
      </c>
      <c r="AV471" s="53" t="n"/>
      <c r="AW471" s="53" t="n"/>
      <c r="AX471" s="53" t="n"/>
      <c r="AY471" s="53" t="n"/>
      <c r="AZ471" s="53" t="n"/>
      <c r="BA471" s="53" t="n"/>
      <c r="BB471" s="53" t="n"/>
      <c r="BC471" s="53" t="n"/>
      <c r="BD471" s="53" t="n"/>
      <c r="BE471" s="53" t="n"/>
      <c r="BF471" s="53" t="n"/>
      <c r="BG471" s="53" t="n"/>
      <c r="BH471" s="53" t="n"/>
      <c r="BI471" s="53" t="n"/>
      <c r="BJ471" s="53" t="n"/>
      <c r="BK471" s="53" t="n"/>
      <c r="BL471" s="53" t="n"/>
      <c r="BM471" s="53" t="n"/>
      <c r="BN471" s="53" t="n"/>
      <c r="BO471" s="53" t="n"/>
      <c r="BP471" s="53" t="n"/>
      <c r="BQ471" s="53" t="n"/>
      <c r="BR471" s="53" t="n"/>
      <c r="BS471" s="53" t="n"/>
      <c r="BT471" s="53" t="n"/>
      <c r="BU471" s="53" t="n"/>
      <c r="BV471" s="53" t="n"/>
      <c r="BW471" s="53" t="n"/>
      <c r="BX471" s="53" t="n"/>
      <c r="BY471" s="53" t="n"/>
      <c r="BZ471" s="53" t="n"/>
      <c r="CA471" s="53" t="n"/>
      <c r="CB471" s="53" t="n"/>
      <c r="CC471" s="53" t="n"/>
      <c r="CD471" s="53" t="n"/>
      <c r="CE471" s="53" t="n"/>
      <c r="CF471" s="53" t="n"/>
      <c r="CG471" s="53" t="n"/>
      <c r="CH471" s="53" t="n"/>
      <c r="CI471" s="53" t="n"/>
      <c r="CJ471" s="53" t="n"/>
      <c r="CK471" s="53" t="n"/>
      <c r="CL471" s="53" t="n"/>
      <c r="CM471" s="53" t="n"/>
      <c r="CN471" s="53" t="n"/>
      <c r="CO471" s="53" t="n"/>
      <c r="CP471" s="53" t="n"/>
      <c r="CQ471" s="53" t="n"/>
      <c r="CR471" s="53" t="n"/>
      <c r="CS471" s="53" t="n"/>
      <c r="CT471" s="53" t="n"/>
      <c r="CU471" s="53" t="n"/>
      <c r="CV471" s="53" t="n"/>
      <c r="CW471" s="53" t="n"/>
      <c r="CX471" s="53" t="n"/>
      <c r="CY471" s="53" t="n"/>
      <c r="CZ471" s="53" t="n"/>
      <c r="DA471" s="53" t="n"/>
      <c r="DB471" s="53" t="n"/>
      <c r="DC471" s="53" t="n"/>
      <c r="DD471" s="53" t="n"/>
      <c r="DE471" s="53" t="n"/>
      <c r="DF471" s="53" t="n"/>
      <c r="DG471" s="53" t="n"/>
      <c r="DH471" s="53" t="n"/>
      <c r="DI471" s="53" t="n"/>
      <c r="DJ471" s="53" t="n"/>
      <c r="DK471" s="53" t="n"/>
      <c r="DL471" s="53" t="n"/>
      <c r="DM471" s="53" t="n"/>
      <c r="DN471" s="53" t="n"/>
      <c r="DO471" s="53" t="n"/>
      <c r="DP471" s="53" t="n"/>
      <c r="DQ471" s="53" t="n"/>
      <c r="DR471" s="53" t="n"/>
      <c r="DS471" s="53" t="n"/>
      <c r="DT471" s="53" t="n"/>
      <c r="DU471" s="53" t="n"/>
      <c r="DV471" s="53" t="n"/>
      <c r="DW471" s="53" t="n"/>
      <c r="DX471" s="53" t="n"/>
      <c r="DY471" s="53" t="n"/>
      <c r="DZ471" s="53" t="n"/>
      <c r="EA471" s="53" t="n"/>
      <c r="EB471" s="53" t="n"/>
      <c r="EC471" s="53" t="n"/>
      <c r="ED471" s="53" t="n"/>
      <c r="EE471" s="53" t="n"/>
      <c r="EF471" s="53" t="n"/>
      <c r="EG471" s="53" t="n"/>
      <c r="EH471" s="53" t="n"/>
      <c r="EI471" s="53" t="n"/>
      <c r="EJ471" s="53" t="n"/>
      <c r="EK471" s="53" t="n"/>
      <c r="EL471" s="53" t="n"/>
      <c r="EM471" s="53" t="n"/>
      <c r="EN471" s="53" t="n"/>
      <c r="EO471" s="53" t="n"/>
      <c r="EP471" s="53" t="n"/>
      <c r="EQ471" s="53" t="n"/>
      <c r="ER471" s="53" t="n"/>
      <c r="ES471" s="53" t="n"/>
      <c r="ET471" s="53" t="n"/>
      <c r="EU471" s="53" t="n"/>
      <c r="EV471" s="53" t="n"/>
      <c r="EW471" s="52" t="n"/>
      <c r="EX471" s="53" t="n"/>
      <c r="EY471" s="53" t="n"/>
      <c r="EZ471" s="53" t="n"/>
      <c r="FA471" s="53" t="n"/>
      <c r="FB471" s="53" t="n"/>
      <c r="FC471" s="53" t="n"/>
      <c r="FD471" s="53" t="n"/>
      <c r="FE471" s="55" t="inlineStr">
        <is>
          <t>KRAs not received · manager to supply</t>
        </is>
      </c>
      <c r="FF471" s="56" t="n"/>
      <c r="FG471" s="56" t="n"/>
      <c r="FH471" s="56" t="n"/>
      <c r="FI471" s="56" t="n"/>
      <c r="FJ471" s="32" t="inlineStr">
        <is>
          <t>KRAs not received · manager to supply</t>
        </is>
      </c>
      <c r="FK471" s="56" t="n"/>
      <c r="FL471" s="56" t="n">
        <v>20</v>
      </c>
      <c r="FM471" s="32" t="inlineStr">
        <is>
          <t>Full survey answers not in the files received · How We Grow export needed · HR</t>
        </is>
      </c>
      <c r="FN471" s="56" t="inlineStr">
        <is>
          <t>—</t>
        </is>
      </c>
      <c r="FO471" s="56" t="inlineStr">
        <is>
          <t>—</t>
        </is>
      </c>
      <c r="FP471" s="56" t="inlineStr">
        <is>
          <t>—</t>
        </is>
      </c>
      <c r="FQ471" s="56" t="inlineStr">
        <is>
          <t>—</t>
        </is>
      </c>
      <c r="FR471" s="56"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and timeliness of statutory filings and board records; penalties if missed → moved up 0.5
Leadership: Evidence reads like A2: Prepares and presents PIT training sessions; no juniors guided → moved up 0.5
Business Impact: No survey or manager-mapping signal on criticality: kept at the start point.</t>
        </is>
      </c>
      <c r="FS471" s="56" t="n"/>
      <c r="FT471" s="56" t="inlineStr">
        <is>
          <t>Self-identified: Leadership &amp; people management · Domain, regulatory &amp; XBRL · Client, sales &amp; stakeholders · Strategy &amp; business acumen · Broader exposure &amp; ownership
For the next role: Leadership &amp; people management · Domain, regulatory &amp; XBRL · Client, sales &amp; stakeholders · Strategy &amp; business acumen · Broader exposure &amp; ownership</t>
        </is>
      </c>
      <c r="FU471" s="32" t="inlineStr">
        <is>
          <t>Full survey answers not in the files received · How We Grow export needed · HR</t>
        </is>
      </c>
    </row>
    <row r="472" ht="90" customHeight="1">
      <c r="A472" s="51" t="inlineStr">
        <is>
          <t>◂ Back</t>
        </is>
      </c>
      <c r="B472" s="29" t="inlineStr">
        <is>
          <t>Mapped</t>
        </is>
      </c>
      <c r="C472" s="28" t="inlineStr">
        <is>
          <t>Corporate</t>
        </is>
      </c>
      <c r="D472" s="29" t="inlineStr">
        <is>
          <t>INTN0296</t>
        </is>
      </c>
      <c r="E472" s="29" t="inlineStr">
        <is>
          <t>Sneha Pillai</t>
        </is>
      </c>
      <c r="F472" s="29" t="inlineStr">
        <is>
          <t>Secretarial &amp; Legal</t>
        </is>
      </c>
      <c r="G472" s="29" t="inlineStr">
        <is>
          <t>Intern</t>
        </is>
      </c>
      <c r="H472" s="29" t="inlineStr">
        <is>
          <t>Intern – Company Secretarial &amp; Legal</t>
        </is>
      </c>
      <c r="I472" s="29" t="inlineStr">
        <is>
          <t>Not in current mapping files</t>
        </is>
      </c>
      <c r="J472" s="29" t="inlineStr">
        <is>
          <t>A1</t>
        </is>
      </c>
      <c r="K472" s="29" t="inlineStr">
        <is>
          <t>● Newly mapped</t>
        </is>
      </c>
      <c r="L472" s="29" t="inlineStr">
        <is>
          <t>Administration, Legal &amp; Secretarial</t>
        </is>
      </c>
      <c r="M472" s="29" t="inlineStr">
        <is>
          <t>Company Secretarial &amp; Legal</t>
        </is>
      </c>
      <c r="N472" s="29" t="n"/>
      <c r="O472" s="29" t="n">
        <v>20</v>
      </c>
      <c r="P472" s="28" t="inlineStr">
        <is>
          <t>Entry / P1 · intern</t>
        </is>
      </c>
      <c r="Q472" s="29" t="inlineStr">
        <is>
          <t>Entry</t>
        </is>
      </c>
      <c r="R472" s="29" t="inlineStr">
        <is>
          <t>1 Follow</t>
        </is>
      </c>
      <c r="S472" s="29" t="inlineStr">
        <is>
          <t>0 yrs · fresher / intern</t>
        </is>
      </c>
      <c r="T472" s="29" t="inlineStr">
        <is>
          <t>—</t>
        </is>
      </c>
      <c r="U472" s="29" t="inlineStr">
        <is>
          <t>Admin Assistant</t>
        </is>
      </c>
      <c r="V472" s="29" t="inlineStr">
        <is>
          <t>IRIS Vs Competitor Benchmark — corporate services ladder: Trainee</t>
        </is>
      </c>
      <c r="W472" s="29" t="inlineStr">
        <is>
          <t>ICSI · Company Secretary; Companies Act 2013; IFMA · facilities; CIPS · procurement</t>
        </is>
      </c>
      <c r="X472" s="29" t="inlineStr">
        <is>
          <t>Core 1 · Future 1 · Functional 1 · Leadership not scored</t>
        </is>
      </c>
      <c r="Y472" s="52" t="n">
        <v>463</v>
      </c>
      <c r="Z472" s="53" t="inlineStr">
        <is>
          <t>INTN0296</t>
        </is>
      </c>
      <c r="AA472" s="53" t="inlineStr">
        <is>
          <t>Intern</t>
        </is>
      </c>
      <c r="AB472" s="53" t="inlineStr">
        <is>
          <t>Active</t>
        </is>
      </c>
      <c r="AC472" s="53" t="inlineStr">
        <is>
          <t>Sneha Pillai</t>
        </is>
      </c>
      <c r="AD472" s="54" t="n">
        <v>46086</v>
      </c>
      <c r="AE472" s="53" t="inlineStr">
        <is>
          <t>Intern</t>
        </is>
      </c>
      <c r="AF472" s="53" t="inlineStr">
        <is>
          <t>B.Com</t>
        </is>
      </c>
      <c r="AG472" s="53" t="inlineStr">
        <is>
          <t>Santosh Sharma</t>
        </is>
      </c>
      <c r="AH472" s="53" t="inlineStr">
        <is>
          <t>N-2</t>
        </is>
      </c>
      <c r="AI472" s="53" t="inlineStr">
        <is>
          <t>Individual Contributor</t>
        </is>
      </c>
      <c r="AJ472" s="53" t="inlineStr">
        <is>
          <t>0 years, 0 months, 0 days</t>
        </is>
      </c>
      <c r="AK472" s="53" t="inlineStr">
        <is>
          <t>0 years, 5 months, 20 days</t>
        </is>
      </c>
      <c r="AL472" s="53" t="inlineStr">
        <is>
          <t>Corporate</t>
        </is>
      </c>
      <c r="AM472" s="53" t="inlineStr">
        <is>
          <t>Corporate</t>
        </is>
      </c>
      <c r="AN472" s="53" t="inlineStr">
        <is>
          <t>Secretarial &amp; Legal</t>
        </is>
      </c>
      <c r="AO472" s="53" t="inlineStr">
        <is>
          <t>Secretarial and Legal</t>
        </is>
      </c>
      <c r="AP472" s="53" t="inlineStr">
        <is>
          <t>No</t>
        </is>
      </c>
      <c r="AQ472" s="53" t="inlineStr">
        <is>
          <t>General &amp; Admin</t>
        </is>
      </c>
      <c r="AR472" s="53" t="inlineStr">
        <is>
          <t>Secretarial and Legal</t>
        </is>
      </c>
      <c r="AS472" s="53" t="inlineStr">
        <is>
          <t>Non-technical</t>
        </is>
      </c>
      <c r="AT472" s="53" t="n">
        <v>20</v>
      </c>
      <c r="AU472" s="53" t="inlineStr">
        <is>
          <t>Covered</t>
        </is>
      </c>
      <c r="AV472" s="53" t="n"/>
      <c r="AW472" s="53" t="n"/>
      <c r="AX472" s="53" t="n"/>
      <c r="AY472" s="53" t="n"/>
      <c r="AZ472" s="53" t="n"/>
      <c r="BA472" s="53" t="n"/>
      <c r="BB472" s="53" t="n"/>
      <c r="BC472" s="53" t="n"/>
      <c r="BD472" s="53" t="n"/>
      <c r="BE472" s="53" t="n"/>
      <c r="BF472" s="53" t="n"/>
      <c r="BG472" s="53" t="n"/>
      <c r="BH472" s="53" t="n"/>
      <c r="BI472" s="53" t="n"/>
      <c r="BJ472" s="53" t="n"/>
      <c r="BK472" s="53" t="n"/>
      <c r="BL472" s="53" t="n"/>
      <c r="BM472" s="53" t="n"/>
      <c r="BN472" s="53" t="n"/>
      <c r="BO472" s="53" t="n"/>
      <c r="BP472" s="53" t="n"/>
      <c r="BQ472" s="53" t="n"/>
      <c r="BR472" s="53" t="n"/>
      <c r="BS472" s="53" t="n"/>
      <c r="BT472" s="53" t="n"/>
      <c r="BU472" s="53" t="n"/>
      <c r="BV472" s="53" t="n"/>
      <c r="BW472" s="53" t="n"/>
      <c r="BX472" s="53" t="n"/>
      <c r="BY472" s="53" t="n"/>
      <c r="BZ472" s="53" t="n"/>
      <c r="CA472" s="53" t="n"/>
      <c r="CB472" s="53" t="n"/>
      <c r="CC472" s="53" t="n"/>
      <c r="CD472" s="53" t="n"/>
      <c r="CE472" s="53" t="n"/>
      <c r="CF472" s="53" t="n"/>
      <c r="CG472" s="53" t="n"/>
      <c r="CH472" s="53" t="n"/>
      <c r="CI472" s="53" t="n"/>
      <c r="CJ472" s="53" t="n"/>
      <c r="CK472" s="53" t="n"/>
      <c r="CL472" s="53" t="n"/>
      <c r="CM472" s="53" t="n"/>
      <c r="CN472" s="53" t="n"/>
      <c r="CO472" s="53" t="n"/>
      <c r="CP472" s="53" t="n"/>
      <c r="CQ472" s="53" t="n"/>
      <c r="CR472" s="53" t="n"/>
      <c r="CS472" s="53" t="n"/>
      <c r="CT472" s="53" t="n"/>
      <c r="CU472" s="53" t="n"/>
      <c r="CV472" s="53" t="n"/>
      <c r="CW472" s="53" t="n"/>
      <c r="CX472" s="53" t="n"/>
      <c r="CY472" s="53" t="n"/>
      <c r="CZ472" s="53" t="n"/>
      <c r="DA472" s="53" t="n"/>
      <c r="DB472" s="53" t="n"/>
      <c r="DC472" s="53" t="n"/>
      <c r="DD472" s="53" t="n"/>
      <c r="DE472" s="53" t="n"/>
      <c r="DF472" s="53" t="n"/>
      <c r="DG472" s="53" t="n"/>
      <c r="DH472" s="53" t="n"/>
      <c r="DI472" s="53" t="n"/>
      <c r="DJ472" s="53" t="n"/>
      <c r="DK472" s="53" t="n"/>
      <c r="DL472" s="53" t="n"/>
      <c r="DM472" s="53" t="n"/>
      <c r="DN472" s="53" t="n"/>
      <c r="DO472" s="53" t="n"/>
      <c r="DP472" s="53" t="n"/>
      <c r="DQ472" s="53" t="n"/>
      <c r="DR472" s="53" t="n"/>
      <c r="DS472" s="53" t="n"/>
      <c r="DT472" s="53" t="n"/>
      <c r="DU472" s="53" t="n"/>
      <c r="DV472" s="53" t="n"/>
      <c r="DW472" s="53" t="n"/>
      <c r="DX472" s="53" t="n"/>
      <c r="DY472" s="53" t="n"/>
      <c r="DZ472" s="53" t="n"/>
      <c r="EA472" s="53" t="n"/>
      <c r="EB472" s="53" t="n"/>
      <c r="EC472" s="53" t="n"/>
      <c r="ED472" s="53" t="n"/>
      <c r="EE472" s="53" t="n"/>
      <c r="EF472" s="53" t="n"/>
      <c r="EG472" s="53" t="n"/>
      <c r="EH472" s="53" t="n"/>
      <c r="EI472" s="53" t="n"/>
      <c r="EJ472" s="53" t="n"/>
      <c r="EK472" s="53" t="n"/>
      <c r="EL472" s="53" t="n"/>
      <c r="EM472" s="53" t="n"/>
      <c r="EN472" s="53" t="n"/>
      <c r="EO472" s="53" t="n"/>
      <c r="EP472" s="53" t="n"/>
      <c r="EQ472" s="53" t="n"/>
      <c r="ER472" s="53" t="n"/>
      <c r="ES472" s="53" t="n"/>
      <c r="ET472" s="53" t="n"/>
      <c r="EU472" s="53" t="n"/>
      <c r="EV472" s="53" t="n"/>
      <c r="EW472" s="52" t="n"/>
      <c r="EX472" s="53" t="n"/>
      <c r="EY472" s="53" t="n"/>
      <c r="EZ472" s="53" t="n"/>
      <c r="FA472" s="53" t="n"/>
      <c r="FB472" s="53" t="n"/>
      <c r="FC472" s="53" t="n"/>
      <c r="FD472" s="53" t="n"/>
      <c r="FE472" s="55" t="inlineStr">
        <is>
          <t>KRAs not received · manager to supply</t>
        </is>
      </c>
      <c r="FF472" s="56" t="n"/>
      <c r="FG472" s="56" t="n"/>
      <c r="FH472" s="56" t="n"/>
      <c r="FI472" s="56" t="n"/>
      <c r="FJ472" s="32" t="inlineStr">
        <is>
          <t>KRAs not received · manager to supply</t>
        </is>
      </c>
      <c r="FK472" s="56" t="n"/>
      <c r="FL472" s="56" t="n">
        <v>20</v>
      </c>
      <c r="FM472" s="32" t="inlineStr">
        <is>
          <t>Full survey answers not in the files received · How We Grow export needed · HR</t>
        </is>
      </c>
      <c r="FN472" s="56" t="inlineStr">
        <is>
          <t>—</t>
        </is>
      </c>
      <c r="FO472" s="56" t="inlineStr">
        <is>
          <t>—</t>
        </is>
      </c>
      <c r="FP472" s="56" t="inlineStr">
        <is>
          <t>—</t>
        </is>
      </c>
      <c r="FQ472" s="56" t="inlineStr">
        <is>
          <t>—</t>
        </is>
      </c>
      <c r="FR472" s="56" t="n"/>
      <c r="FS472" s="56" t="n"/>
      <c r="FT472" s="56" t="inlineStr">
        <is>
          <t>Self-identified: Domain, regulatory &amp; XBRL · Broader exposure &amp; ownership
For the next role: Domain, regulatory &amp; XBRL · Broader exposure &amp; ownership</t>
        </is>
      </c>
      <c r="FU472" s="32" t="inlineStr">
        <is>
          <t>Full survey answers not in the files received · How We Grow export needed · HR</t>
        </is>
      </c>
    </row>
    <row r="473" ht="90" customHeight="1">
      <c r="A473" s="51" t="inlineStr">
        <is>
          <t>◂ Back</t>
        </is>
      </c>
      <c r="B473" s="29" t="inlineStr">
        <is>
          <t>Mapped</t>
        </is>
      </c>
      <c r="C473" s="28" t="inlineStr">
        <is>
          <t>iFile</t>
        </is>
      </c>
      <c r="D473" s="29" t="inlineStr">
        <is>
          <t>IRISSG001</t>
        </is>
      </c>
      <c r="E473" s="29" t="inlineStr">
        <is>
          <t>Anand Padmanabhan</t>
        </is>
      </c>
      <c r="F473" s="29" t="inlineStr">
        <is>
          <t>Sales</t>
        </is>
      </c>
      <c r="G473" s="29" t="inlineStr">
        <is>
          <t>President</t>
        </is>
      </c>
      <c r="H473" s="29" t="inlineStr">
        <is>
          <t>Senior Consultant – Enterprise Leadership</t>
        </is>
      </c>
      <c r="I473" s="29" t="inlineStr">
        <is>
          <t>Not in current mapping files</t>
        </is>
      </c>
      <c r="J473" s="29" t="inlineStr">
        <is>
          <t>X3</t>
        </is>
      </c>
      <c r="K473" s="29" t="inlineStr">
        <is>
          <t>● Newly mapped</t>
        </is>
      </c>
      <c r="L473" s="29" t="inlineStr">
        <is>
          <t>Executive Leadership</t>
        </is>
      </c>
      <c r="M473" s="29" t="inlineStr">
        <is>
          <t>Enterprise Leadership</t>
        </is>
      </c>
      <c r="N473" s="29" t="n"/>
      <c r="O473" s="29" t="n">
        <v>0</v>
      </c>
      <c r="P473" s="28" t="inlineStr">
        <is>
          <t>Contractor</t>
        </is>
      </c>
      <c r="Q473" s="29" t="inlineStr">
        <is>
          <t>—</t>
        </is>
      </c>
      <c r="R473" s="29" t="inlineStr">
        <is>
          <t>—</t>
        </is>
      </c>
      <c r="S473" s="29" t="inlineStr">
        <is>
          <t>10+ yrs</t>
        </is>
      </c>
      <c r="T473" s="29" t="inlineStr">
        <is>
          <t>—</t>
        </is>
      </c>
      <c r="U473" s="29" t="inlineStr">
        <is>
          <t>Contractor · rate card</t>
        </is>
      </c>
      <c r="V473" s="29" t="inlineStr">
        <is>
          <t>—</t>
        </is>
      </c>
      <c r="W473" s="29" t="inlineStr">
        <is>
          <t>Aon Radford executive levels E1–E6; Mercer ET1–ET3; Korn Ferry Leadership Architect</t>
        </is>
      </c>
      <c r="X473" s="29" t="inlineStr">
        <is>
          <t>Per statement of work</t>
        </is>
      </c>
      <c r="Y473" s="52" t="n">
        <v>565</v>
      </c>
      <c r="Z473" s="53" t="inlineStr">
        <is>
          <t>IRISSG001</t>
        </is>
      </c>
      <c r="AA473" s="53" t="inlineStr">
        <is>
          <t>IRIS US</t>
        </is>
      </c>
      <c r="AB473" s="53" t="inlineStr">
        <is>
          <t>Active</t>
        </is>
      </c>
      <c r="AC473" s="53" t="inlineStr">
        <is>
          <t>Anand Padmanabhan</t>
        </is>
      </c>
      <c r="AD473" s="54" t="n">
        <v>40851</v>
      </c>
      <c r="AE473" s="53" t="inlineStr">
        <is>
          <t>President</t>
        </is>
      </c>
      <c r="AF473" s="53" t="inlineStr">
        <is>
          <t>CA</t>
        </is>
      </c>
      <c r="AG473" s="53" t="inlineStr">
        <is>
          <t>Balachandran K</t>
        </is>
      </c>
      <c r="AH473" s="53" t="inlineStr">
        <is>
          <t>N-1</t>
        </is>
      </c>
      <c r="AI473" s="53" t="inlineStr">
        <is>
          <t>Individual Contributor</t>
        </is>
      </c>
      <c r="AJ473" s="53" t="n"/>
      <c r="AK473" s="53" t="inlineStr">
        <is>
          <t>14 years, 10 months, 19 days</t>
        </is>
      </c>
      <c r="AL473" s="53" t="inlineStr">
        <is>
          <t>Suptech</t>
        </is>
      </c>
      <c r="AM473" s="53" t="inlineStr">
        <is>
          <t>iFile</t>
        </is>
      </c>
      <c r="AN473" s="53" t="inlineStr">
        <is>
          <t>Sales</t>
        </is>
      </c>
      <c r="AO473" s="53" t="inlineStr">
        <is>
          <t>Sales</t>
        </is>
      </c>
      <c r="AP473" s="53" t="inlineStr">
        <is>
          <t>No</t>
        </is>
      </c>
      <c r="AQ473" s="53" t="inlineStr">
        <is>
          <t>Sales, Marketing &amp; Support</t>
        </is>
      </c>
      <c r="AR473" s="53" t="inlineStr">
        <is>
          <t>Sales</t>
        </is>
      </c>
      <c r="AS473" s="53" t="inlineStr">
        <is>
          <t>Non-technical</t>
        </is>
      </c>
      <c r="AT473" s="53" t="n">
        <v>0</v>
      </c>
      <c r="AU473" s="53" t="inlineStr">
        <is>
          <t>E-Top management</t>
        </is>
      </c>
      <c r="AV473" s="53" t="n"/>
      <c r="AW473" s="53" t="n"/>
      <c r="AX473" s="53" t="n"/>
      <c r="AY473" s="53" t="n"/>
      <c r="AZ473" s="53" t="n"/>
      <c r="BA473" s="53" t="n"/>
      <c r="BB473" s="53" t="n"/>
      <c r="BC473" s="53" t="n"/>
      <c r="BD473" s="53" t="n"/>
      <c r="BE473" s="53" t="n"/>
      <c r="BF473" s="53" t="n"/>
      <c r="BG473" s="53" t="n"/>
      <c r="BH473" s="53" t="n"/>
      <c r="BI473" s="53" t="n"/>
      <c r="BJ473" s="53" t="n"/>
      <c r="BK473" s="53" t="n"/>
      <c r="BL473" s="53" t="n"/>
      <c r="BM473" s="53" t="n"/>
      <c r="BN473" s="53" t="n"/>
      <c r="BO473" s="53" t="n"/>
      <c r="BP473" s="53" t="n"/>
      <c r="BQ473" s="53" t="n"/>
      <c r="BR473" s="53" t="n"/>
      <c r="BS473" s="53" t="n"/>
      <c r="BT473" s="53" t="n"/>
      <c r="BU473" s="53" t="n"/>
      <c r="BV473" s="53" t="n"/>
      <c r="BW473" s="53" t="n"/>
      <c r="BX473" s="53" t="n"/>
      <c r="BY473" s="53" t="n"/>
      <c r="BZ473" s="53" t="n"/>
      <c r="CA473" s="53" t="n"/>
      <c r="CB473" s="53" t="n"/>
      <c r="CC473" s="53" t="n"/>
      <c r="CD473" s="53" t="n"/>
      <c r="CE473" s="53" t="n"/>
      <c r="CF473" s="53" t="n"/>
      <c r="CG473" s="53" t="n"/>
      <c r="CH473" s="53" t="n"/>
      <c r="CI473" s="53" t="n"/>
      <c r="CJ473" s="53" t="n"/>
      <c r="CK473" s="53" t="n"/>
      <c r="CL473" s="53" t="n"/>
      <c r="CM473" s="53" t="n"/>
      <c r="CN473" s="53" t="n"/>
      <c r="CO473" s="53" t="n"/>
      <c r="CP473" s="53" t="n"/>
      <c r="CQ473" s="53" t="n"/>
      <c r="CR473" s="53" t="n"/>
      <c r="CS473" s="53" t="n"/>
      <c r="CT473" s="53" t="n"/>
      <c r="CU473" s="53" t="n"/>
      <c r="CV473" s="53" t="n"/>
      <c r="CW473" s="53" t="n"/>
      <c r="CX473" s="53" t="n"/>
      <c r="CY473" s="53" t="n"/>
      <c r="CZ473" s="53" t="n"/>
      <c r="DA473" s="53" t="n"/>
      <c r="DB473" s="53" t="n"/>
      <c r="DC473" s="53" t="n"/>
      <c r="DD473" s="53" t="n"/>
      <c r="DE473" s="53" t="n"/>
      <c r="DF473" s="53" t="n"/>
      <c r="DG473" s="53" t="n"/>
      <c r="DH473" s="53" t="n"/>
      <c r="DI473" s="53" t="n"/>
      <c r="DJ473" s="53" t="n"/>
      <c r="DK473" s="53" t="n"/>
      <c r="DL473" s="53" t="n"/>
      <c r="DM473" s="53" t="n"/>
      <c r="DN473" s="53" t="n"/>
      <c r="DO473" s="53" t="n"/>
      <c r="DP473" s="53" t="n"/>
      <c r="DQ473" s="53" t="n"/>
      <c r="DR473" s="53" t="n"/>
      <c r="DS473" s="53" t="n"/>
      <c r="DT473" s="53" t="n"/>
      <c r="DU473" s="53" t="n"/>
      <c r="DV473" s="53" t="n"/>
      <c r="DW473" s="53" t="n"/>
      <c r="DX473" s="53" t="n"/>
      <c r="DY473" s="53" t="n"/>
      <c r="DZ473" s="53" t="n"/>
      <c r="EA473" s="53" t="n"/>
      <c r="EB473" s="53" t="n"/>
      <c r="EC473" s="53" t="n"/>
      <c r="ED473" s="53" t="n"/>
      <c r="EE473" s="53" t="n"/>
      <c r="EF473" s="53" t="n"/>
      <c r="EG473" s="53" t="n"/>
      <c r="EH473" s="53" t="n"/>
      <c r="EI473" s="53" t="n"/>
      <c r="EJ473" s="53" t="n"/>
      <c r="EK473" s="53" t="n"/>
      <c r="EL473" s="53" t="n"/>
      <c r="EM473" s="53" t="n"/>
      <c r="EN473" s="53" t="n"/>
      <c r="EO473" s="53" t="n"/>
      <c r="EP473" s="53" t="n"/>
      <c r="EQ473" s="53" t="n"/>
      <c r="ER473" s="53" t="n"/>
      <c r="ES473" s="53" t="n"/>
      <c r="ET473" s="53" t="n"/>
      <c r="EU473" s="53" t="n"/>
      <c r="EV473" s="53" t="n"/>
      <c r="EW473" s="52" t="n"/>
      <c r="EX473" s="53" t="n"/>
      <c r="EY473" s="53" t="n"/>
      <c r="EZ473" s="53" t="n"/>
      <c r="FA473" s="53" t="n"/>
      <c r="FB473" s="53" t="n"/>
      <c r="FC473" s="53" t="n"/>
      <c r="FD473" s="53" t="n"/>
      <c r="FE473" s="55" t="inlineStr">
        <is>
          <t>KRAs not received · manager to supply</t>
        </is>
      </c>
      <c r="FF473" s="56" t="n"/>
      <c r="FG473" s="56" t="n"/>
      <c r="FH473" s="56" t="n"/>
      <c r="FI473" s="56" t="n"/>
      <c r="FJ473" s="32" t="inlineStr">
        <is>
          <t>KRAs not received · manager to supply</t>
        </is>
      </c>
      <c r="FK473" s="56" t="n"/>
      <c r="FL473" s="56" t="n">
        <v>0</v>
      </c>
      <c r="FM473" s="32" t="inlineStr">
        <is>
          <t>No survey response on file</t>
        </is>
      </c>
      <c r="FN473" s="56" t="inlineStr">
        <is>
          <t>—</t>
        </is>
      </c>
      <c r="FO473" s="56" t="inlineStr">
        <is>
          <t>—</t>
        </is>
      </c>
      <c r="FP473" s="56" t="inlineStr">
        <is>
          <t>—</t>
        </is>
      </c>
      <c r="FQ473" s="56" t="inlineStr">
        <is>
          <t>—</t>
        </is>
      </c>
      <c r="FR473" s="56" t="n"/>
      <c r="FS473" s="56" t="n"/>
      <c r="FT473" s="56" t="n"/>
      <c r="FU473" s="32" t="inlineStr">
        <is>
          <t>No survey response on file</t>
        </is>
      </c>
    </row>
    <row r="474" ht="90" customHeight="1">
      <c r="A474" s="51" t="inlineStr">
        <is>
          <t>◂ Back</t>
        </is>
      </c>
      <c r="B474" s="29" t="inlineStr">
        <is>
          <t>Mapped</t>
        </is>
      </c>
      <c r="C474" s="28" t="inlineStr">
        <is>
          <t>Corporate</t>
        </is>
      </c>
      <c r="D474" s="29" t="inlineStr">
        <is>
          <t>IRIS0002</t>
        </is>
      </c>
      <c r="E474" s="29" t="inlineStr">
        <is>
          <t>Deepta Rangarajan</t>
        </is>
      </c>
      <c r="F474" s="29" t="inlineStr">
        <is>
          <t>Management</t>
        </is>
      </c>
      <c r="G474" s="29" t="inlineStr">
        <is>
          <t>COO, Product Sponsor · Carbon</t>
        </is>
      </c>
      <c r="H474" s="29" t="inlineStr">
        <is>
          <t>Chief Operating Officer</t>
        </is>
      </c>
      <c r="I474" s="29" t="inlineStr">
        <is>
          <t>Not in current mapping files</t>
        </is>
      </c>
      <c r="J474" s="29" t="inlineStr">
        <is>
          <t>E1</t>
        </is>
      </c>
      <c r="K474" s="29" t="inlineStr">
        <is>
          <t>● Newly mapped</t>
        </is>
      </c>
      <c r="L474" s="29" t="inlineStr">
        <is>
          <t>Executive Leadership</t>
        </is>
      </c>
      <c r="M474" s="29" t="inlineStr">
        <is>
          <t>Business Head</t>
        </is>
      </c>
      <c r="N474" s="29" t="inlineStr">
        <is>
          <t>• Survey response or KRAs describing the work · nothing on file — Employee + manager</t>
        </is>
      </c>
      <c r="O474" s="29" t="n">
        <v>0</v>
      </c>
      <c r="P474" s="28" t="inlineStr">
        <is>
          <t>E5</t>
        </is>
      </c>
      <c r="Q474" s="29" t="inlineStr">
        <is>
          <t>C-Level</t>
        </is>
      </c>
      <c r="R474" s="29" t="inlineStr">
        <is>
          <t>7</t>
        </is>
      </c>
      <c r="S474" s="29" t="inlineStr">
        <is>
          <t>20+ yrs</t>
        </is>
      </c>
      <c r="T474" s="29" t="inlineStr">
        <is>
          <t>—</t>
        </is>
      </c>
      <c r="U474" s="29" t="inlineStr">
        <is>
          <t>CXO · functional chief</t>
        </is>
      </c>
      <c r="V474" s="29" t="inlineStr">
        <is>
          <t>IRIS Vs Market Benchmark — Aon Radford / Mercer executive codes: E5 C-level · functional · IRIS Vs Competitor Benchmark — regtech / SaaS executive titles: CTO · CFO · CRO · CCO · COO</t>
        </is>
      </c>
      <c r="W474" s="29" t="inlineStr">
        <is>
          <t>Aon Radford executive levels E1–E6; Mercer ET1–ET3; Korn Ferry Leadership Architect</t>
        </is>
      </c>
      <c r="X474" s="29" t="inlineStr">
        <is>
          <t>Core 5 · Future 5 · Functional 4 · Leadership 5</t>
        </is>
      </c>
      <c r="Y474" s="52" t="n">
        <v>2</v>
      </c>
      <c r="Z474" s="53" t="inlineStr">
        <is>
          <t>IRIS0002</t>
        </is>
      </c>
      <c r="AA474" s="53" t="inlineStr">
        <is>
          <t>Employee</t>
        </is>
      </c>
      <c r="AB474" s="53" t="inlineStr">
        <is>
          <t>Active</t>
        </is>
      </c>
      <c r="AC474" s="53" t="inlineStr">
        <is>
          <t>Deepta Rangarajan</t>
        </is>
      </c>
      <c r="AD474" s="54" t="n">
        <v>38200</v>
      </c>
      <c r="AE474" s="53" t="inlineStr">
        <is>
          <t>COO, Product Sponsor · Carbon</t>
        </is>
      </c>
      <c r="AF474" s="53" t="inlineStr">
        <is>
          <t>MBA</t>
        </is>
      </c>
      <c r="AG474" s="53" t="inlineStr">
        <is>
          <t>-</t>
        </is>
      </c>
      <c r="AH474" s="53" t="inlineStr">
        <is>
          <t>N</t>
        </is>
      </c>
      <c r="AI474" s="53" t="inlineStr">
        <is>
          <t>Manager</t>
        </is>
      </c>
      <c r="AJ474" s="53" t="inlineStr">
        <is>
          <t>10 years, 0 months, 0 days</t>
        </is>
      </c>
      <c r="AK474" s="53" t="inlineStr">
        <is>
          <t>22 years, 0 months, 24 days</t>
        </is>
      </c>
      <c r="AL474" s="53" t="inlineStr">
        <is>
          <t>Corporate</t>
        </is>
      </c>
      <c r="AM474" s="53" t="inlineStr">
        <is>
          <t>Corporate</t>
        </is>
      </c>
      <c r="AN474" s="53" t="inlineStr">
        <is>
          <t>Management</t>
        </is>
      </c>
      <c r="AO474" s="53" t="inlineStr">
        <is>
          <t>Management</t>
        </is>
      </c>
      <c r="AP474" s="53" t="inlineStr">
        <is>
          <t>No</t>
        </is>
      </c>
      <c r="AQ474" s="53" t="inlineStr">
        <is>
          <t>Management</t>
        </is>
      </c>
      <c r="AR474" s="53" t="inlineStr">
        <is>
          <t>Management</t>
        </is>
      </c>
      <c r="AS474" s="53" t="inlineStr">
        <is>
          <t>Non-technical</t>
        </is>
      </c>
      <c r="AT474" s="53" t="n">
        <v>0</v>
      </c>
      <c r="AU474" s="53" t="inlineStr">
        <is>
          <t>E-Top management</t>
        </is>
      </c>
      <c r="AV474" s="53" t="n"/>
      <c r="AW474" s="53" t="n"/>
      <c r="AX474" s="53" t="n"/>
      <c r="AY474" s="53" t="n"/>
      <c r="AZ474" s="53" t="n"/>
      <c r="BA474" s="53" t="n"/>
      <c r="BB474" s="53" t="n"/>
      <c r="BC474" s="53" t="n"/>
      <c r="BD474" s="53" t="n"/>
      <c r="BE474" s="53" t="n"/>
      <c r="BF474" s="53" t="n"/>
      <c r="BG474" s="53" t="n"/>
      <c r="BH474" s="53" t="n"/>
      <c r="BI474" s="53" t="n"/>
      <c r="BJ474" s="53" t="n"/>
      <c r="BK474" s="53" t="n"/>
      <c r="BL474" s="53" t="n"/>
      <c r="BM474" s="53" t="n"/>
      <c r="BN474" s="53" t="n"/>
      <c r="BO474" s="53" t="n"/>
      <c r="BP474" s="53" t="n"/>
      <c r="BQ474" s="53" t="n"/>
      <c r="BR474" s="53" t="n"/>
      <c r="BS474" s="53" t="n"/>
      <c r="BT474" s="53" t="n"/>
      <c r="BU474" s="53" t="n"/>
      <c r="BV474" s="53" t="n"/>
      <c r="BW474" s="53" t="n"/>
      <c r="BX474" s="53" t="n"/>
      <c r="BY474" s="53" t="n"/>
      <c r="BZ474" s="53" t="n"/>
      <c r="CA474" s="53" t="n"/>
      <c r="CB474" s="53" t="n"/>
      <c r="CC474" s="53" t="n"/>
      <c r="CD474" s="53" t="n"/>
      <c r="CE474" s="53" t="n"/>
      <c r="CF474" s="53" t="n"/>
      <c r="CG474" s="53" t="n"/>
      <c r="CH474" s="53" t="n"/>
      <c r="CI474" s="53" t="n"/>
      <c r="CJ474" s="53" t="n"/>
      <c r="CK474" s="53" t="n"/>
      <c r="CL474" s="53" t="n"/>
      <c r="CM474" s="53" t="n"/>
      <c r="CN474" s="53" t="n"/>
      <c r="CO474" s="53" t="n"/>
      <c r="CP474" s="53" t="n"/>
      <c r="CQ474" s="53" t="n"/>
      <c r="CR474" s="53" t="n"/>
      <c r="CS474" s="53" t="n"/>
      <c r="CT474" s="53" t="n"/>
      <c r="CU474" s="53" t="n"/>
      <c r="CV474" s="53" t="n"/>
      <c r="CW474" s="53" t="n"/>
      <c r="CX474" s="53" t="n"/>
      <c r="CY474" s="53" t="n"/>
      <c r="CZ474" s="53" t="n"/>
      <c r="DA474" s="53" t="n"/>
      <c r="DB474" s="53" t="n"/>
      <c r="DC474" s="53" t="n"/>
      <c r="DD474" s="53" t="n"/>
      <c r="DE474" s="53" t="n"/>
      <c r="DF474" s="53" t="n"/>
      <c r="DG474" s="53" t="n"/>
      <c r="DH474" s="53" t="n"/>
      <c r="DI474" s="53" t="n"/>
      <c r="DJ474" s="53" t="n"/>
      <c r="DK474" s="53" t="n"/>
      <c r="DL474" s="53" t="n"/>
      <c r="DM474" s="53" t="n"/>
      <c r="DN474" s="53" t="n"/>
      <c r="DO474" s="53" t="n"/>
      <c r="DP474" s="53" t="n"/>
      <c r="DQ474" s="53" t="n"/>
      <c r="DR474" s="53" t="n"/>
      <c r="DS474" s="53" t="n"/>
      <c r="DT474" s="53" t="n"/>
      <c r="DU474" s="53" t="n"/>
      <c r="DV474" s="53" t="n"/>
      <c r="DW474" s="53" t="n"/>
      <c r="DX474" s="53" t="n"/>
      <c r="DY474" s="53" t="n"/>
      <c r="DZ474" s="53" t="n"/>
      <c r="EA474" s="53" t="n"/>
      <c r="EB474" s="53" t="n"/>
      <c r="EC474" s="53" t="n"/>
      <c r="ED474" s="53" t="n"/>
      <c r="EE474" s="53" t="n"/>
      <c r="EF474" s="53" t="n"/>
      <c r="EG474" s="53" t="n"/>
      <c r="EH474" s="53" t="n"/>
      <c r="EI474" s="53" t="n"/>
      <c r="EJ474" s="53" t="n"/>
      <c r="EK474" s="53" t="n"/>
      <c r="EL474" s="53" t="n"/>
      <c r="EM474" s="53" t="n"/>
      <c r="EN474" s="53" t="n"/>
      <c r="EO474" s="53" t="n"/>
      <c r="EP474" s="53" t="n"/>
      <c r="EQ474" s="53" t="n"/>
      <c r="ER474" s="53" t="n"/>
      <c r="ES474" s="53" t="n"/>
      <c r="ET474" s="53" t="n"/>
      <c r="EU474" s="53" t="n"/>
      <c r="EV474" s="53" t="n"/>
      <c r="EW474" s="52" t="n"/>
      <c r="EX474" s="53" t="n"/>
      <c r="EY474" s="53" t="n"/>
      <c r="EZ474" s="53" t="n"/>
      <c r="FA474" s="53" t="n"/>
      <c r="FB474" s="53" t="n"/>
      <c r="FC474" s="53" t="n"/>
      <c r="FD474" s="53" t="n"/>
      <c r="FE474" s="55" t="inlineStr">
        <is>
          <t>KRAs not received · manager to supply</t>
        </is>
      </c>
      <c r="FF474" s="56" t="n"/>
      <c r="FG474" s="56" t="n"/>
      <c r="FH474" s="56" t="n"/>
      <c r="FI474" s="56" t="n"/>
      <c r="FJ474" s="32" t="inlineStr">
        <is>
          <t>KRAs not received · manager to supply</t>
        </is>
      </c>
      <c r="FK474" s="56" t="n"/>
      <c r="FL474" s="56" t="n">
        <v>0</v>
      </c>
      <c r="FM474" s="32" t="inlineStr">
        <is>
          <t>No survey response on file</t>
        </is>
      </c>
      <c r="FN474" s="56" t="inlineStr">
        <is>
          <t>—</t>
        </is>
      </c>
      <c r="FO474" s="56" t="inlineStr">
        <is>
          <t>—</t>
        </is>
      </c>
      <c r="FP474" s="56" t="inlineStr">
        <is>
          <t>—</t>
        </is>
      </c>
      <c r="FQ474" s="56" t="inlineStr">
        <is>
          <t>—</t>
        </is>
      </c>
      <c r="FR47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4" s="56" t="n"/>
      <c r="FT474" s="56" t="n"/>
      <c r="FU474" s="32" t="inlineStr">
        <is>
          <t>No survey response on file</t>
        </is>
      </c>
    </row>
    <row r="475" ht="90" customHeight="1">
      <c r="A475" s="51" t="inlineStr">
        <is>
          <t>◂ Back</t>
        </is>
      </c>
      <c r="B475" s="29" t="inlineStr">
        <is>
          <t>Mapped</t>
        </is>
      </c>
      <c r="C475" s="28" t="inlineStr">
        <is>
          <t>Corporate</t>
        </is>
      </c>
      <c r="D475" s="29" t="inlineStr">
        <is>
          <t>IRIS2533</t>
        </is>
      </c>
      <c r="E475" s="29" t="inlineStr">
        <is>
          <t>Shweta Jha</t>
        </is>
      </c>
      <c r="F475" s="29" t="inlineStr">
        <is>
          <t>HR</t>
        </is>
      </c>
      <c r="G475" s="29" t="inlineStr">
        <is>
          <t>Vice President - Human Resource</t>
        </is>
      </c>
      <c r="H475" s="29" t="inlineStr">
        <is>
          <t>Vice President – Human Resources</t>
        </is>
      </c>
      <c r="I475" s="29" t="inlineStr">
        <is>
          <t>Not in current mapping files</t>
        </is>
      </c>
      <c r="J475" s="29" t="inlineStr">
        <is>
          <t>D2</t>
        </is>
      </c>
      <c r="K475" s="29" t="inlineStr">
        <is>
          <t>● Newly mapped</t>
        </is>
      </c>
      <c r="L475" s="29" t="inlineStr">
        <is>
          <t>Executive Leadership</t>
        </is>
      </c>
      <c r="M475" s="29" t="inlineStr">
        <is>
          <t>Business Head</t>
        </is>
      </c>
      <c r="N475" s="29" t="inlineStr">
        <is>
          <t>• Survey response or KRAs describing the work · nothing on file — Employee + manager</t>
        </is>
      </c>
      <c r="O475" s="29" t="n">
        <v>0</v>
      </c>
      <c r="P475" s="28" t="inlineStr">
        <is>
          <t>E3–E4</t>
        </is>
      </c>
      <c r="Q475" s="29" t="inlineStr">
        <is>
          <t>SVP</t>
        </is>
      </c>
      <c r="R475" s="29" t="inlineStr">
        <is>
          <t>7 Set strategy</t>
        </is>
      </c>
      <c r="S475" s="29" t="inlineStr">
        <is>
          <t>18–24 yrs</t>
        </is>
      </c>
      <c r="T475" s="29" t="inlineStr">
        <is>
          <t>—</t>
        </is>
      </c>
      <c r="U475" s="29" t="inlineStr">
        <is>
          <t>Vice President / Senior Vice President / Senior Vice President</t>
        </is>
      </c>
      <c r="V475" s="29" t="inlineStr">
        <is>
          <t>IRIS Vs Competitor Benchmark — HR ladder: VP HR</t>
        </is>
      </c>
      <c r="W475" s="29" t="inlineStr">
        <is>
          <t>SHRM BASK · SHRM-CP → SHRM-SCP; CIPD Profession Map</t>
        </is>
      </c>
      <c r="X475" s="29" t="inlineStr">
        <is>
          <t>Core 5 · Future 4 · Functional 4 · Leadership 5</t>
        </is>
      </c>
      <c r="Y475" s="52" t="n">
        <v>505</v>
      </c>
      <c r="Z475" s="53" t="inlineStr">
        <is>
          <t>IRIS2533</t>
        </is>
      </c>
      <c r="AA475" s="53" t="inlineStr">
        <is>
          <t>Employee</t>
        </is>
      </c>
      <c r="AB475" s="53" t="inlineStr">
        <is>
          <t>Active</t>
        </is>
      </c>
      <c r="AC475" s="53" t="inlineStr">
        <is>
          <t>Shweta Jha</t>
        </is>
      </c>
      <c r="AD475" s="54" t="n">
        <v>46174</v>
      </c>
      <c r="AE475" s="53" t="inlineStr">
        <is>
          <t>Vice President - Human Resource</t>
        </is>
      </c>
      <c r="AF475" s="53" t="inlineStr">
        <is>
          <t>MBA</t>
        </is>
      </c>
      <c r="AG475" s="53" t="inlineStr">
        <is>
          <t>Deepta Rangarajan</t>
        </is>
      </c>
      <c r="AH475" s="53" t="inlineStr">
        <is>
          <t>N-1</t>
        </is>
      </c>
      <c r="AI475" s="53" t="inlineStr">
        <is>
          <t>Manager</t>
        </is>
      </c>
      <c r="AJ475" s="53" t="inlineStr">
        <is>
          <t>17 years, 11 months, 0 days</t>
        </is>
      </c>
      <c r="AK475" s="53" t="inlineStr">
        <is>
          <t>0 years, 2 months, 24 days</t>
        </is>
      </c>
      <c r="AL475" s="53" t="inlineStr">
        <is>
          <t>Corporate</t>
        </is>
      </c>
      <c r="AM475" s="53" t="inlineStr">
        <is>
          <t>Corporate</t>
        </is>
      </c>
      <c r="AN475" s="53" t="inlineStr">
        <is>
          <t>HR</t>
        </is>
      </c>
      <c r="AO475" s="53" t="inlineStr">
        <is>
          <t>HR</t>
        </is>
      </c>
      <c r="AP475" s="53" t="inlineStr">
        <is>
          <t>No</t>
        </is>
      </c>
      <c r="AQ475" s="53" t="inlineStr">
        <is>
          <t>General &amp; Admin</t>
        </is>
      </c>
      <c r="AR475" s="53" t="inlineStr">
        <is>
          <t>HR</t>
        </is>
      </c>
      <c r="AS475" s="53" t="inlineStr">
        <is>
          <t>Non-technical</t>
        </is>
      </c>
      <c r="AT475" s="53" t="n">
        <v>0</v>
      </c>
      <c r="AU475" s="53" t="inlineStr">
        <is>
          <t>E-Top management</t>
        </is>
      </c>
      <c r="AV475" s="53" t="n"/>
      <c r="AW475" s="53" t="n"/>
      <c r="AX475" s="53" t="n"/>
      <c r="AY475" s="53" t="n"/>
      <c r="AZ475" s="53" t="n"/>
      <c r="BA475" s="53" t="n"/>
      <c r="BB475" s="53" t="n"/>
      <c r="BC475" s="53" t="n"/>
      <c r="BD475" s="53" t="n"/>
      <c r="BE475" s="53" t="n"/>
      <c r="BF475" s="53" t="n"/>
      <c r="BG475" s="53" t="n"/>
      <c r="BH475" s="53" t="n"/>
      <c r="BI475" s="53" t="n"/>
      <c r="BJ475" s="53" t="n"/>
      <c r="BK475" s="53" t="n"/>
      <c r="BL475" s="53" t="n"/>
      <c r="BM475" s="53" t="n"/>
      <c r="BN475" s="53" t="n"/>
      <c r="BO475" s="53" t="n"/>
      <c r="BP475" s="53" t="n"/>
      <c r="BQ475" s="53" t="n"/>
      <c r="BR475" s="53" t="n"/>
      <c r="BS475" s="53" t="n"/>
      <c r="BT475" s="53" t="n"/>
      <c r="BU475" s="53" t="n"/>
      <c r="BV475" s="53" t="n"/>
      <c r="BW475" s="53" t="n"/>
      <c r="BX475" s="53" t="n"/>
      <c r="BY475" s="53" t="n"/>
      <c r="BZ475" s="53" t="n"/>
      <c r="CA475" s="53" t="n"/>
      <c r="CB475" s="53" t="n"/>
      <c r="CC475" s="53" t="n"/>
      <c r="CD475" s="53" t="n"/>
      <c r="CE475" s="53" t="n"/>
      <c r="CF475" s="53" t="n"/>
      <c r="CG475" s="53" t="n"/>
      <c r="CH475" s="53" t="n"/>
      <c r="CI475" s="53" t="n"/>
      <c r="CJ475" s="53" t="n"/>
      <c r="CK475" s="53" t="n"/>
      <c r="CL475" s="53" t="n"/>
      <c r="CM475" s="53" t="n"/>
      <c r="CN475" s="53" t="n"/>
      <c r="CO475" s="53" t="n"/>
      <c r="CP475" s="53" t="n"/>
      <c r="CQ475" s="53" t="n"/>
      <c r="CR475" s="53" t="n"/>
      <c r="CS475" s="53" t="n"/>
      <c r="CT475" s="53" t="n"/>
      <c r="CU475" s="53" t="n"/>
      <c r="CV475" s="53" t="n"/>
      <c r="CW475" s="53" t="n"/>
      <c r="CX475" s="53" t="n"/>
      <c r="CY475" s="53" t="n"/>
      <c r="CZ475" s="53" t="n"/>
      <c r="DA475" s="53" t="n"/>
      <c r="DB475" s="53" t="n"/>
      <c r="DC475" s="53" t="n"/>
      <c r="DD475" s="53" t="n"/>
      <c r="DE475" s="53" t="n"/>
      <c r="DF475" s="53" t="n"/>
      <c r="DG475" s="53" t="n"/>
      <c r="DH475" s="53" t="n"/>
      <c r="DI475" s="53" t="n"/>
      <c r="DJ475" s="53" t="n"/>
      <c r="DK475" s="53" t="n"/>
      <c r="DL475" s="53" t="n"/>
      <c r="DM475" s="53" t="n"/>
      <c r="DN475" s="53" t="n"/>
      <c r="DO475" s="53" t="n"/>
      <c r="DP475" s="53" t="n"/>
      <c r="DQ475" s="53" t="n"/>
      <c r="DR475" s="53" t="n"/>
      <c r="DS475" s="53" t="n"/>
      <c r="DT475" s="53" t="n"/>
      <c r="DU475" s="53" t="n"/>
      <c r="DV475" s="53" t="n"/>
      <c r="DW475" s="53" t="n"/>
      <c r="DX475" s="53" t="n"/>
      <c r="DY475" s="53" t="n"/>
      <c r="DZ475" s="53" t="n"/>
      <c r="EA475" s="53" t="n"/>
      <c r="EB475" s="53" t="n"/>
      <c r="EC475" s="53" t="n"/>
      <c r="ED475" s="53" t="n"/>
      <c r="EE475" s="53" t="n"/>
      <c r="EF475" s="53" t="n"/>
      <c r="EG475" s="53" t="n"/>
      <c r="EH475" s="53" t="n"/>
      <c r="EI475" s="53" t="n"/>
      <c r="EJ475" s="53" t="n"/>
      <c r="EK475" s="53" t="n"/>
      <c r="EL475" s="53" t="n"/>
      <c r="EM475" s="53" t="n"/>
      <c r="EN475" s="53" t="n"/>
      <c r="EO475" s="53" t="n"/>
      <c r="EP475" s="53" t="n"/>
      <c r="EQ475" s="53" t="n"/>
      <c r="ER475" s="53" t="n"/>
      <c r="ES475" s="53" t="n"/>
      <c r="ET475" s="53" t="n"/>
      <c r="EU475" s="53" t="n"/>
      <c r="EV475" s="53" t="n"/>
      <c r="EW475" s="52" t="n"/>
      <c r="EX475" s="53" t="n"/>
      <c r="EY475" s="53" t="n"/>
      <c r="EZ475" s="53" t="n"/>
      <c r="FA475" s="53" t="n"/>
      <c r="FB475" s="53" t="n"/>
      <c r="FC475" s="53" t="n"/>
      <c r="FD475" s="53" t="n"/>
      <c r="FE475" s="55" t="inlineStr">
        <is>
          <t>KRAs not received · manager to supply</t>
        </is>
      </c>
      <c r="FF475" s="56" t="n"/>
      <c r="FG475" s="56" t="n"/>
      <c r="FH475" s="56" t="n"/>
      <c r="FI475" s="56" t="n"/>
      <c r="FJ475" s="32" t="inlineStr">
        <is>
          <t>KRAs not received · manager to supply</t>
        </is>
      </c>
      <c r="FK475" s="56" t="n"/>
      <c r="FL475" s="56" t="n">
        <v>0</v>
      </c>
      <c r="FM475" s="32" t="inlineStr">
        <is>
          <t>No survey response on file</t>
        </is>
      </c>
      <c r="FN475" s="56" t="inlineStr">
        <is>
          <t>—</t>
        </is>
      </c>
      <c r="FO475" s="56" t="inlineStr">
        <is>
          <t>—</t>
        </is>
      </c>
      <c r="FP475" s="56" t="inlineStr">
        <is>
          <t>—</t>
        </is>
      </c>
      <c r="FQ475" s="56" t="inlineStr">
        <is>
          <t>—</t>
        </is>
      </c>
      <c r="FR475"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5" s="56" t="n"/>
      <c r="FT475" s="56" t="n"/>
      <c r="FU475" s="32" t="inlineStr">
        <is>
          <t>No survey response on file</t>
        </is>
      </c>
    </row>
    <row r="476" ht="90" customHeight="1">
      <c r="A476" s="51" t="inlineStr">
        <is>
          <t>◂ Back</t>
        </is>
      </c>
      <c r="B476" s="29" t="inlineStr">
        <is>
          <t>Mapped</t>
        </is>
      </c>
      <c r="C476" s="28" t="inlineStr">
        <is>
          <t>Corporate</t>
        </is>
      </c>
      <c r="D476" s="29" t="inlineStr">
        <is>
          <t>IRIS2556</t>
        </is>
      </c>
      <c r="E476" s="29" t="inlineStr">
        <is>
          <t>Mohammed Hanzala Shaikh</t>
        </is>
      </c>
      <c r="F476" s="29" t="inlineStr">
        <is>
          <t>HR</t>
        </is>
      </c>
      <c r="G476" s="29" t="inlineStr">
        <is>
          <t>Lead HR Transformation</t>
        </is>
      </c>
      <c r="H476" s="29" t="inlineStr">
        <is>
          <t>Lead HR Specialist – Transformation &amp; OD</t>
        </is>
      </c>
      <c r="I476" s="29" t="inlineStr">
        <is>
          <t>Not in current mapping files</t>
        </is>
      </c>
      <c r="J476" s="29" t="inlineStr">
        <is>
          <t>B3</t>
        </is>
      </c>
      <c r="K476" s="29" t="inlineStr">
        <is>
          <t>● Newly mapped</t>
        </is>
      </c>
      <c r="L476" s="29" t="inlineStr">
        <is>
          <t>Human Resources</t>
        </is>
      </c>
      <c r="M476" s="29" t="inlineStr">
        <is>
          <t>HR Transformation &amp; OD</t>
        </is>
      </c>
      <c r="N476" s="29" t="inlineStr">
        <is>
          <t>• Survey response or KRAs describing the work · nothing on file — Employee + manager</t>
        </is>
      </c>
      <c r="O476" s="29" t="n">
        <v>0</v>
      </c>
      <c r="P476" s="28" t="inlineStr">
        <is>
          <t>P5 / M4</t>
        </is>
      </c>
      <c r="Q476" s="29" t="inlineStr">
        <is>
          <t>Expert / Senior Manager</t>
        </is>
      </c>
      <c r="R476" s="29" t="inlineStr">
        <is>
          <t>5 Ensure, advise</t>
        </is>
      </c>
      <c r="S476" s="29" t="inlineStr">
        <is>
          <t>8–12 yrs</t>
        </is>
      </c>
      <c r="T476" s="29" t="inlineStr">
        <is>
          <t>9–13 · 9–14</t>
        </is>
      </c>
      <c r="U476" s="29" t="inlineStr">
        <is>
          <t>HR Specialist / HRBP</t>
        </is>
      </c>
      <c r="V476" s="29" t="inlineStr">
        <is>
          <t>IRIS Vs Competitor Benchmark — HR ladder: Senior HR Manager · SHRM-SCP</t>
        </is>
      </c>
      <c r="W476" s="29" t="inlineStr">
        <is>
          <t>SHRM BASK · SHRM-CP → SHRM-SCP; CIPD Profession Map</t>
        </is>
      </c>
      <c r="X476" s="29" t="inlineStr">
        <is>
          <t>Core 4 · Future 3 · Functional 4 · Leadership 3</t>
        </is>
      </c>
      <c r="Y476" s="52" t="n">
        <v>529</v>
      </c>
      <c r="Z476" s="53" t="inlineStr">
        <is>
          <t>IRIS2556</t>
        </is>
      </c>
      <c r="AA476" s="53" t="inlineStr">
        <is>
          <t>Employee</t>
        </is>
      </c>
      <c r="AB476" s="53" t="inlineStr">
        <is>
          <t>Active</t>
        </is>
      </c>
      <c r="AC476" s="53" t="inlineStr">
        <is>
          <t>Mohammed Hanzala Shaikh</t>
        </is>
      </c>
      <c r="AD476" s="54" t="n">
        <v>46258</v>
      </c>
      <c r="AE476" s="53" t="inlineStr">
        <is>
          <t>Lead HR Transformation</t>
        </is>
      </c>
      <c r="AF476" s="53" t="inlineStr">
        <is>
          <t>BMS</t>
        </is>
      </c>
      <c r="AG476" s="53" t="inlineStr">
        <is>
          <t>Shweta Jha</t>
        </is>
      </c>
      <c r="AH476" s="53" t="inlineStr">
        <is>
          <t>N-2</t>
        </is>
      </c>
      <c r="AI476" s="53" t="inlineStr">
        <is>
          <t>Individual Contributor</t>
        </is>
      </c>
      <c r="AJ476" s="53" t="n"/>
      <c r="AK476" s="53" t="inlineStr">
        <is>
          <t>0 years, 0 months, 1 days</t>
        </is>
      </c>
      <c r="AL476" s="53" t="inlineStr">
        <is>
          <t>Corporate</t>
        </is>
      </c>
      <c r="AM476" s="53" t="inlineStr">
        <is>
          <t>Corporate</t>
        </is>
      </c>
      <c r="AN476" s="53" t="inlineStr">
        <is>
          <t>HR</t>
        </is>
      </c>
      <c r="AO476" s="53" t="inlineStr">
        <is>
          <t>HR</t>
        </is>
      </c>
      <c r="AP476" s="53" t="inlineStr">
        <is>
          <t>No</t>
        </is>
      </c>
      <c r="AQ476" s="53" t="inlineStr">
        <is>
          <t>General &amp; Admin</t>
        </is>
      </c>
      <c r="AR476" s="53" t="inlineStr">
        <is>
          <t>HR</t>
        </is>
      </c>
      <c r="AS476" s="53" t="inlineStr">
        <is>
          <t>Non-technical</t>
        </is>
      </c>
      <c r="AT476" s="53" t="n">
        <v>0</v>
      </c>
      <c r="AU476" s="53" t="inlineStr">
        <is>
          <t>Excluded</t>
        </is>
      </c>
      <c r="AV476" s="53" t="n"/>
      <c r="AW476" s="53" t="n"/>
      <c r="AX476" s="53" t="n"/>
      <c r="AY476" s="53" t="n"/>
      <c r="AZ476" s="53" t="n"/>
      <c r="BA476" s="53" t="n"/>
      <c r="BB476" s="53" t="n"/>
      <c r="BC476" s="53" t="n"/>
      <c r="BD476" s="53" t="n"/>
      <c r="BE476" s="53" t="n"/>
      <c r="BF476" s="53" t="n"/>
      <c r="BG476" s="53" t="n"/>
      <c r="BH476" s="53" t="n"/>
      <c r="BI476" s="53" t="n"/>
      <c r="BJ476" s="53" t="n"/>
      <c r="BK476" s="53" t="n"/>
      <c r="BL476" s="53" t="n"/>
      <c r="BM476" s="53" t="n"/>
      <c r="BN476" s="53" t="n"/>
      <c r="BO476" s="53" t="n"/>
      <c r="BP476" s="53" t="n"/>
      <c r="BQ476" s="53" t="n"/>
      <c r="BR476" s="53" t="n"/>
      <c r="BS476" s="53" t="n"/>
      <c r="BT476" s="53" t="n"/>
      <c r="BU476" s="53" t="n"/>
      <c r="BV476" s="53" t="n"/>
      <c r="BW476" s="53" t="n"/>
      <c r="BX476" s="53" t="n"/>
      <c r="BY476" s="53" t="n"/>
      <c r="BZ476" s="53" t="n"/>
      <c r="CA476" s="53" t="n"/>
      <c r="CB476" s="53" t="n"/>
      <c r="CC476" s="53" t="n"/>
      <c r="CD476" s="53" t="n"/>
      <c r="CE476" s="53" t="n"/>
      <c r="CF476" s="53" t="n"/>
      <c r="CG476" s="53" t="n"/>
      <c r="CH476" s="53" t="n"/>
      <c r="CI476" s="53" t="n"/>
      <c r="CJ476" s="53" t="n"/>
      <c r="CK476" s="53" t="n"/>
      <c r="CL476" s="53" t="n"/>
      <c r="CM476" s="53" t="n"/>
      <c r="CN476" s="53" t="n"/>
      <c r="CO476" s="53" t="n"/>
      <c r="CP476" s="53" t="n"/>
      <c r="CQ476" s="53" t="n"/>
      <c r="CR476" s="53" t="n"/>
      <c r="CS476" s="53" t="n"/>
      <c r="CT476" s="53" t="n"/>
      <c r="CU476" s="53" t="n"/>
      <c r="CV476" s="53" t="n"/>
      <c r="CW476" s="53" t="n"/>
      <c r="CX476" s="53" t="n"/>
      <c r="CY476" s="53" t="n"/>
      <c r="CZ476" s="53" t="n"/>
      <c r="DA476" s="53" t="n"/>
      <c r="DB476" s="53" t="n"/>
      <c r="DC476" s="53" t="n"/>
      <c r="DD476" s="53" t="n"/>
      <c r="DE476" s="53" t="n"/>
      <c r="DF476" s="53" t="n"/>
      <c r="DG476" s="53" t="n"/>
      <c r="DH476" s="53" t="n"/>
      <c r="DI476" s="53" t="n"/>
      <c r="DJ476" s="53" t="n"/>
      <c r="DK476" s="53" t="n"/>
      <c r="DL476" s="53" t="n"/>
      <c r="DM476" s="53" t="n"/>
      <c r="DN476" s="53" t="n"/>
      <c r="DO476" s="53" t="n"/>
      <c r="DP476" s="53" t="n"/>
      <c r="DQ476" s="53" t="n"/>
      <c r="DR476" s="53" t="n"/>
      <c r="DS476" s="53" t="n"/>
      <c r="DT476" s="53" t="n"/>
      <c r="DU476" s="53" t="n"/>
      <c r="DV476" s="53" t="n"/>
      <c r="DW476" s="53" t="n"/>
      <c r="DX476" s="53" t="n"/>
      <c r="DY476" s="53" t="n"/>
      <c r="DZ476" s="53" t="n"/>
      <c r="EA476" s="53" t="n"/>
      <c r="EB476" s="53" t="n"/>
      <c r="EC476" s="53" t="n"/>
      <c r="ED476" s="53" t="n"/>
      <c r="EE476" s="53" t="n"/>
      <c r="EF476" s="53" t="n"/>
      <c r="EG476" s="53" t="n"/>
      <c r="EH476" s="53" t="n"/>
      <c r="EI476" s="53" t="n"/>
      <c r="EJ476" s="53" t="n"/>
      <c r="EK476" s="53" t="n"/>
      <c r="EL476" s="53" t="n"/>
      <c r="EM476" s="53" t="n"/>
      <c r="EN476" s="53" t="n"/>
      <c r="EO476" s="53" t="n"/>
      <c r="EP476" s="53" t="n"/>
      <c r="EQ476" s="53" t="n"/>
      <c r="ER476" s="53" t="n"/>
      <c r="ES476" s="53" t="n"/>
      <c r="ET476" s="53" t="n"/>
      <c r="EU476" s="53" t="n"/>
      <c r="EV476" s="53" t="n"/>
      <c r="EW476" s="52" t="n"/>
      <c r="EX476" s="53" t="n"/>
      <c r="EY476" s="53" t="n"/>
      <c r="EZ476" s="53" t="n"/>
      <c r="FA476" s="53" t="n"/>
      <c r="FB476" s="53" t="n"/>
      <c r="FC476" s="53" t="n"/>
      <c r="FD476" s="53" t="n"/>
      <c r="FE476" s="55" t="inlineStr">
        <is>
          <t>KRAs not received · manager to supply</t>
        </is>
      </c>
      <c r="FF476" s="56" t="n"/>
      <c r="FG476" s="56" t="n"/>
      <c r="FH476" s="56" t="n"/>
      <c r="FI476" s="56" t="n"/>
      <c r="FJ476" s="32" t="inlineStr">
        <is>
          <t>KRAs not received · manager to supply</t>
        </is>
      </c>
      <c r="FK476" s="56" t="n"/>
      <c r="FL476" s="56" t="n">
        <v>0</v>
      </c>
      <c r="FM476" s="32" t="inlineStr">
        <is>
          <t>No survey response on file</t>
        </is>
      </c>
      <c r="FN476" s="56" t="inlineStr">
        <is>
          <t>—</t>
        </is>
      </c>
      <c r="FO476" s="56" t="inlineStr">
        <is>
          <t>—</t>
        </is>
      </c>
      <c r="FP476" s="56" t="inlineStr">
        <is>
          <t>—</t>
        </is>
      </c>
      <c r="FQ476" s="56" t="inlineStr">
        <is>
          <t>—</t>
        </is>
      </c>
      <c r="FR476" s="56"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survey answers or KRAs on file → rating stays at the start
Business Impact: No survey or manager-mapping signal on criticality: kept at the start point.</t>
        </is>
      </c>
      <c r="FS476" s="56" t="n"/>
      <c r="FT476" s="56" t="n"/>
      <c r="FU476" s="32" t="inlineStr">
        <is>
          <t>No survey response on file</t>
        </is>
      </c>
    </row>
    <row r="477" ht="90" customHeight="1">
      <c r="A477" s="51" t="inlineStr">
        <is>
          <t>◂ Back</t>
        </is>
      </c>
      <c r="B477" s="29" t="inlineStr">
        <is>
          <t>Mapped</t>
        </is>
      </c>
      <c r="C477" s="28" t="inlineStr">
        <is>
          <t>Corporate</t>
        </is>
      </c>
      <c r="D477" s="29" t="inlineStr">
        <is>
          <t>IRIS2557</t>
        </is>
      </c>
      <c r="E477" s="29" t="inlineStr">
        <is>
          <t>Simran Kaur Raina</t>
        </is>
      </c>
      <c r="F477" s="29" t="inlineStr">
        <is>
          <t>HR</t>
        </is>
      </c>
      <c r="G477" s="29" t="inlineStr">
        <is>
          <t>Manager- Talent Acquisition</t>
        </is>
      </c>
      <c r="H477" s="29" t="inlineStr">
        <is>
          <t>Senior Talent Acquisition Specialist</t>
        </is>
      </c>
      <c r="I477" s="29" t="inlineStr">
        <is>
          <t>Not in current mapping files</t>
        </is>
      </c>
      <c r="J477" s="29" t="inlineStr">
        <is>
          <t>B2</t>
        </is>
      </c>
      <c r="K477" s="29" t="inlineStr">
        <is>
          <t>● Newly mapped</t>
        </is>
      </c>
      <c r="L477" s="29" t="inlineStr">
        <is>
          <t>Human Resources</t>
        </is>
      </c>
      <c r="M477" s="29" t="inlineStr">
        <is>
          <t>Talent Acquisition</t>
        </is>
      </c>
      <c r="N477" s="29" t="inlineStr">
        <is>
          <t>• Total experience · outside + at IRIS — HR — HRIS
• Confirm prior experience · provisional placement — HR</t>
        </is>
      </c>
      <c r="O477" s="29" t="n">
        <v>14</v>
      </c>
      <c r="P477" s="28" t="inlineStr">
        <is>
          <t>P4 / M3</t>
        </is>
      </c>
      <c r="Q477" s="29" t="inlineStr">
        <is>
          <t>Senior / Manager</t>
        </is>
      </c>
      <c r="R477" s="29" t="inlineStr">
        <is>
          <t>4–5</t>
        </is>
      </c>
      <c r="S477" s="29" t="inlineStr">
        <is>
          <t>6–9 yrs</t>
        </is>
      </c>
      <c r="T477" s="29" t="inlineStr">
        <is>
          <t>7–10 · 6–11</t>
        </is>
      </c>
      <c r="U477" s="29" t="inlineStr">
        <is>
          <t>HR Specialist / HRBP</t>
        </is>
      </c>
      <c r="V477" s="29" t="inlineStr">
        <is>
          <t>IRIS Vs Competitor Benchmark — HR ladder: HR Manager / Senior HRBP</t>
        </is>
      </c>
      <c r="W477" s="29" t="inlineStr">
        <is>
          <t>SHRM BASK · SHRM-CP → SHRM-SCP; CIPD Profession Map</t>
        </is>
      </c>
      <c r="X477" s="29" t="inlineStr">
        <is>
          <t>Core 3 · Future 3 · Functional 4 · Leadership 2</t>
        </is>
      </c>
      <c r="Y477" s="52" t="n">
        <v>530</v>
      </c>
      <c r="Z477" s="53" t="inlineStr">
        <is>
          <t>IRIS2557</t>
        </is>
      </c>
      <c r="AA477" s="53" t="inlineStr">
        <is>
          <t>Employee</t>
        </is>
      </c>
      <c r="AB477" s="53" t="inlineStr">
        <is>
          <t>Active</t>
        </is>
      </c>
      <c r="AC477" s="53" t="inlineStr">
        <is>
          <t>Simran Kaur Raina</t>
        </is>
      </c>
      <c r="AD477" s="54" t="n">
        <v>46258</v>
      </c>
      <c r="AE477" s="53" t="inlineStr">
        <is>
          <t>Manager- Talent Acquisition</t>
        </is>
      </c>
      <c r="AF477" s="53" t="inlineStr">
        <is>
          <t>PGDM</t>
        </is>
      </c>
      <c r="AG477" s="53" t="inlineStr">
        <is>
          <t>Shweta Jha</t>
        </is>
      </c>
      <c r="AH477" s="53" t="inlineStr">
        <is>
          <t>N-2</t>
        </is>
      </c>
      <c r="AI477" s="53" t="inlineStr">
        <is>
          <t>Individual Contributor</t>
        </is>
      </c>
      <c r="AJ477" s="53" t="n"/>
      <c r="AK477" s="53" t="inlineStr">
        <is>
          <t>0 years, 0 months, 1 days</t>
        </is>
      </c>
      <c r="AL477" s="53" t="inlineStr">
        <is>
          <t>Corporate</t>
        </is>
      </c>
      <c r="AM477" s="53" t="inlineStr">
        <is>
          <t>Corporate</t>
        </is>
      </c>
      <c r="AN477" s="53" t="inlineStr">
        <is>
          <t>HR</t>
        </is>
      </c>
      <c r="AO477" s="53" t="inlineStr">
        <is>
          <t>HR</t>
        </is>
      </c>
      <c r="AP477" s="53" t="inlineStr">
        <is>
          <t>No</t>
        </is>
      </c>
      <c r="AQ477" s="53" t="inlineStr">
        <is>
          <t>General &amp; Admin</t>
        </is>
      </c>
      <c r="AR477" s="53" t="inlineStr">
        <is>
          <t>HR</t>
        </is>
      </c>
      <c r="AS477" s="53" t="inlineStr">
        <is>
          <t>Non-technical</t>
        </is>
      </c>
      <c r="AT477" s="53" t="n">
        <v>20</v>
      </c>
      <c r="AU477" s="53" t="inlineStr">
        <is>
          <t>Covered</t>
        </is>
      </c>
      <c r="AV477" s="53" t="n"/>
      <c r="AW477" s="53" t="n"/>
      <c r="AX477" s="53" t="n"/>
      <c r="AY477" s="53" t="n"/>
      <c r="AZ477" s="53" t="n"/>
      <c r="BA477" s="53" t="n"/>
      <c r="BB477" s="53" t="n"/>
      <c r="BC477" s="53" t="n"/>
      <c r="BD477" s="53" t="n"/>
      <c r="BE477" s="53" t="n"/>
      <c r="BF477" s="53" t="n"/>
      <c r="BG477" s="53" t="n"/>
      <c r="BH477" s="53" t="n"/>
      <c r="BI477" s="53" t="n"/>
      <c r="BJ477" s="53" t="n"/>
      <c r="BK477" s="53" t="n"/>
      <c r="BL477" s="53" t="n"/>
      <c r="BM477" s="53" t="n"/>
      <c r="BN477" s="53" t="n"/>
      <c r="BO477" s="53" t="n"/>
      <c r="BP477" s="53" t="n"/>
      <c r="BQ477" s="53" t="n"/>
      <c r="BR477" s="53" t="n"/>
      <c r="BS477" s="53" t="n"/>
      <c r="BT477" s="53" t="n"/>
      <c r="BU477" s="53" t="n"/>
      <c r="BV477" s="53" t="n"/>
      <c r="BW477" s="53" t="n"/>
      <c r="BX477" s="53" t="n"/>
      <c r="BY477" s="53" t="n"/>
      <c r="BZ477" s="53" t="n"/>
      <c r="CA477" s="53" t="n"/>
      <c r="CB477" s="53" t="n"/>
      <c r="CC477" s="53" t="n"/>
      <c r="CD477" s="53" t="n"/>
      <c r="CE477" s="53" t="n"/>
      <c r="CF477" s="53" t="n"/>
      <c r="CG477" s="53" t="n"/>
      <c r="CH477" s="53" t="n"/>
      <c r="CI477" s="53" t="n"/>
      <c r="CJ477" s="53" t="n"/>
      <c r="CK477" s="53" t="n"/>
      <c r="CL477" s="53" t="n"/>
      <c r="CM477" s="53" t="n"/>
      <c r="CN477" s="53" t="n"/>
      <c r="CO477" s="53" t="n"/>
      <c r="CP477" s="53" t="n"/>
      <c r="CQ477" s="53" t="n"/>
      <c r="CR477" s="53" t="n"/>
      <c r="CS477" s="53" t="n"/>
      <c r="CT477" s="53" t="n"/>
      <c r="CU477" s="53" t="n"/>
      <c r="CV477" s="53" t="n"/>
      <c r="CW477" s="53" t="n"/>
      <c r="CX477" s="53" t="n"/>
      <c r="CY477" s="53" t="n"/>
      <c r="CZ477" s="53" t="n"/>
      <c r="DA477" s="53" t="n"/>
      <c r="DB477" s="53" t="n"/>
      <c r="DC477" s="53" t="n"/>
      <c r="DD477" s="53" t="n"/>
      <c r="DE477" s="53" t="n"/>
      <c r="DF477" s="53" t="n"/>
      <c r="DG477" s="53" t="n"/>
      <c r="DH477" s="53" t="n"/>
      <c r="DI477" s="53" t="n"/>
      <c r="DJ477" s="53" t="n"/>
      <c r="DK477" s="53" t="n"/>
      <c r="DL477" s="53" t="n"/>
      <c r="DM477" s="53" t="n"/>
      <c r="DN477" s="53" t="n"/>
      <c r="DO477" s="53" t="n"/>
      <c r="DP477" s="53" t="n"/>
      <c r="DQ477" s="53" t="n"/>
      <c r="DR477" s="53" t="n"/>
      <c r="DS477" s="53" t="n"/>
      <c r="DT477" s="53" t="n"/>
      <c r="DU477" s="53" t="n"/>
      <c r="DV477" s="53" t="n"/>
      <c r="DW477" s="53" t="n"/>
      <c r="DX477" s="53" t="n"/>
      <c r="DY477" s="53" t="n"/>
      <c r="DZ477" s="53" t="n"/>
      <c r="EA477" s="53" t="n"/>
      <c r="EB477" s="53" t="n"/>
      <c r="EC477" s="53" t="n"/>
      <c r="ED477" s="53" t="n"/>
      <c r="EE477" s="53" t="n"/>
      <c r="EF477" s="53" t="n"/>
      <c r="EG477" s="53" t="n"/>
      <c r="EH477" s="53" t="n"/>
      <c r="EI477" s="53" t="n"/>
      <c r="EJ477" s="53" t="n"/>
      <c r="EK477" s="53" t="n"/>
      <c r="EL477" s="53" t="n"/>
      <c r="EM477" s="53" t="n"/>
      <c r="EN477" s="53" t="n"/>
      <c r="EO477" s="53" t="n"/>
      <c r="EP477" s="53" t="n"/>
      <c r="EQ477" s="53" t="n"/>
      <c r="ER477" s="53" t="n"/>
      <c r="ES477" s="53" t="n"/>
      <c r="ET477" s="53" t="n"/>
      <c r="EU477" s="53" t="n"/>
      <c r="EV477" s="53" t="n"/>
      <c r="EW477" s="52" t="n"/>
      <c r="EX477" s="53" t="n"/>
      <c r="EY477" s="53" t="n"/>
      <c r="EZ477" s="53" t="n"/>
      <c r="FA477" s="53" t="n"/>
      <c r="FB477" s="53" t="n"/>
      <c r="FC477" s="53" t="n"/>
      <c r="FD477" s="53" t="n"/>
      <c r="FE477" s="55" t="inlineStr">
        <is>
          <t>KRAs not received · manager to supply</t>
        </is>
      </c>
      <c r="FF477" s="56" t="n"/>
      <c r="FG477" s="56" t="n"/>
      <c r="FH477" s="56" t="n"/>
      <c r="FI477" s="56" t="n"/>
      <c r="FJ477" s="32" t="inlineStr">
        <is>
          <t>KRAs not received · manager to supply</t>
        </is>
      </c>
      <c r="FK477" s="56" t="n"/>
      <c r="FL477" s="56" t="n">
        <v>14</v>
      </c>
      <c r="FM477" s="32" t="inlineStr">
        <is>
          <t>Full survey answers not in the files received · How We Grow export needed · HR</t>
        </is>
      </c>
      <c r="FN477" s="56" t="inlineStr">
        <is>
          <t>—</t>
        </is>
      </c>
      <c r="FO477" s="56" t="inlineStr">
        <is>
          <t>—</t>
        </is>
      </c>
      <c r="FP477" s="56" t="inlineStr">
        <is>
          <t>—</t>
        </is>
      </c>
      <c r="FQ477" s="56" t="inlineStr">
        <is>
          <t>—</t>
        </is>
      </c>
      <c r="FR477" s="56"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described; 0 reports → moved down 0.5
Business Impact: No survey or manager-mapping signal on criticality: kept at the start point.</t>
        </is>
      </c>
      <c r="FS477"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77" s="56" t="inlineStr">
        <is>
          <t>Self-identified: Leadership &amp; people management
For the next role: Leadership &amp; people management</t>
        </is>
      </c>
      <c r="FU477" s="32" t="inlineStr">
        <is>
          <t>Full survey answers not in the files received · How We Grow export needed · HR</t>
        </is>
      </c>
    </row>
    <row r="478" ht="90" customHeight="1">
      <c r="A478" s="51" t="inlineStr">
        <is>
          <t>◂ Back</t>
        </is>
      </c>
      <c r="B478" s="29" t="inlineStr">
        <is>
          <t>Mapped</t>
        </is>
      </c>
      <c r="C478" s="28" t="inlineStr">
        <is>
          <t>Corporate</t>
        </is>
      </c>
      <c r="D478" s="29" t="inlineStr">
        <is>
          <t>IRIS0204</t>
        </is>
      </c>
      <c r="E478" s="29" t="inlineStr">
        <is>
          <t>Chandrakumar Moopanar</t>
        </is>
      </c>
      <c r="F478" s="29" t="inlineStr">
        <is>
          <t>HR</t>
        </is>
      </c>
      <c r="G478" s="29" t="inlineStr">
        <is>
          <t>HRIS &amp; Payroll Specialist</t>
        </is>
      </c>
      <c r="H478" s="29" t="inlineStr">
        <is>
          <t>HR Specialist</t>
        </is>
      </c>
      <c r="I478" s="29" t="inlineStr">
        <is>
          <t>Not in current mapping files</t>
        </is>
      </c>
      <c r="J478" s="29" t="inlineStr">
        <is>
          <t>B1</t>
        </is>
      </c>
      <c r="K478" s="29" t="inlineStr">
        <is>
          <t>● Newly mapped</t>
        </is>
      </c>
      <c r="L478" s="29" t="inlineStr">
        <is>
          <t>Human Resources</t>
        </is>
      </c>
      <c r="M478" s="29" t="inlineStr">
        <is>
          <t>HR Operations &amp; Payroll</t>
        </is>
      </c>
      <c r="N478" s="29" t="n"/>
      <c r="O478" s="29" t="n">
        <v>16</v>
      </c>
      <c r="P478" s="28" t="inlineStr">
        <is>
          <t>P3 / M2</t>
        </is>
      </c>
      <c r="Q478" s="29" t="inlineStr">
        <is>
          <t>Career / · Team Lead</t>
        </is>
      </c>
      <c r="R478" s="29" t="inlineStr">
        <is>
          <t>4 Enable</t>
        </is>
      </c>
      <c r="S478" s="29" t="inlineStr">
        <is>
          <t>4–7 yrs</t>
        </is>
      </c>
      <c r="T478" s="29" t="inlineStr">
        <is>
          <t>5–8 · 4–8</t>
        </is>
      </c>
      <c r="U478" s="29" t="inlineStr">
        <is>
          <t>Senior HR Executive</t>
        </is>
      </c>
      <c r="V478" s="29" t="inlineStr">
        <is>
          <t>IRIS Vs Competitor Benchmark — HR ladder: HR Specialist / HRBP</t>
        </is>
      </c>
      <c r="W478" s="29" t="inlineStr">
        <is>
          <t>SHRM BASK · SHRM-CP → SHRM-SCP; CIPD Profession Map</t>
        </is>
      </c>
      <c r="X478" s="29" t="inlineStr">
        <is>
          <t>Core 3 · Future 3 · Functional 3 · Leadership 1</t>
        </is>
      </c>
      <c r="Y478" s="52" t="n">
        <v>37</v>
      </c>
      <c r="Z478" s="53" t="inlineStr">
        <is>
          <t>IRIS0204</t>
        </is>
      </c>
      <c r="AA478" s="53" t="inlineStr">
        <is>
          <t>Employee</t>
        </is>
      </c>
      <c r="AB478" s="53" t="inlineStr">
        <is>
          <t>Active</t>
        </is>
      </c>
      <c r="AC478" s="53" t="inlineStr">
        <is>
          <t>Chandrakumar Moopanar</t>
        </is>
      </c>
      <c r="AD478" s="54" t="n">
        <v>39622</v>
      </c>
      <c r="AE478" s="53" t="inlineStr">
        <is>
          <t>HRIS &amp; Payroll Specialist</t>
        </is>
      </c>
      <c r="AF478" s="53" t="inlineStr">
        <is>
          <t>B.Com</t>
        </is>
      </c>
      <c r="AG478" s="53" t="inlineStr">
        <is>
          <t>Shweta Jha</t>
        </is>
      </c>
      <c r="AH478" s="53" t="inlineStr">
        <is>
          <t>N-2</t>
        </is>
      </c>
      <c r="AI478" s="53" t="inlineStr">
        <is>
          <t>Individual Contributor</t>
        </is>
      </c>
      <c r="AJ478" s="53" t="inlineStr">
        <is>
          <t>1 years, 0 months, 0 days</t>
        </is>
      </c>
      <c r="AK478" s="53" t="inlineStr">
        <is>
          <t>18 years, 2 months, 2 days</t>
        </is>
      </c>
      <c r="AL478" s="53" t="inlineStr">
        <is>
          <t>Corporate</t>
        </is>
      </c>
      <c r="AM478" s="53" t="inlineStr">
        <is>
          <t>Corporate</t>
        </is>
      </c>
      <c r="AN478" s="53" t="inlineStr">
        <is>
          <t>HR</t>
        </is>
      </c>
      <c r="AO478" s="53" t="inlineStr">
        <is>
          <t>HR</t>
        </is>
      </c>
      <c r="AP478" s="53" t="inlineStr">
        <is>
          <t>No</t>
        </is>
      </c>
      <c r="AQ478" s="53" t="inlineStr">
        <is>
          <t>General &amp; Admin</t>
        </is>
      </c>
      <c r="AR478" s="53" t="inlineStr">
        <is>
          <t>HR</t>
        </is>
      </c>
      <c r="AS478" s="53" t="inlineStr">
        <is>
          <t>Non-technical</t>
        </is>
      </c>
      <c r="AT478" s="53" t="n">
        <v>16</v>
      </c>
      <c r="AU478" s="53" t="inlineStr">
        <is>
          <t>Partial Response</t>
        </is>
      </c>
      <c r="AV478" s="53" t="n"/>
      <c r="AW478" s="53" t="n"/>
      <c r="AX478" s="53" t="n"/>
      <c r="AY478" s="53" t="n"/>
      <c r="AZ478" s="53" t="n"/>
      <c r="BA478" s="53" t="n"/>
      <c r="BB478" s="53" t="n"/>
      <c r="BC478" s="53" t="n"/>
      <c r="BD478" s="53" t="n"/>
      <c r="BE478" s="53" t="n"/>
      <c r="BF478" s="53" t="n"/>
      <c r="BG478" s="53" t="n"/>
      <c r="BH478" s="53" t="n"/>
      <c r="BI478" s="53" t="n"/>
      <c r="BJ478" s="53" t="n"/>
      <c r="BK478" s="53" t="n"/>
      <c r="BL478" s="53" t="n"/>
      <c r="BM478" s="53" t="n"/>
      <c r="BN478" s="53" t="n"/>
      <c r="BO478" s="53" t="n"/>
      <c r="BP478" s="53" t="n"/>
      <c r="BQ478" s="53" t="n"/>
      <c r="BR478" s="53" t="n"/>
      <c r="BS478" s="53" t="n"/>
      <c r="BT478" s="53" t="n"/>
      <c r="BU478" s="53" t="n"/>
      <c r="BV478" s="53" t="n"/>
      <c r="BW478" s="53" t="n"/>
      <c r="BX478" s="53" t="n"/>
      <c r="BY478" s="53" t="n"/>
      <c r="BZ478" s="53" t="n"/>
      <c r="CA478" s="53" t="n"/>
      <c r="CB478" s="53" t="n"/>
      <c r="CC478" s="53" t="n"/>
      <c r="CD478" s="53" t="n"/>
      <c r="CE478" s="53" t="n"/>
      <c r="CF478" s="53" t="n"/>
      <c r="CG478" s="53" t="n"/>
      <c r="CH478" s="53" t="n"/>
      <c r="CI478" s="53" t="n"/>
      <c r="CJ478" s="53" t="n"/>
      <c r="CK478" s="53" t="n"/>
      <c r="CL478" s="53" t="n"/>
      <c r="CM478" s="53" t="n"/>
      <c r="CN478" s="53" t="n"/>
      <c r="CO478" s="53" t="n"/>
      <c r="CP478" s="53" t="n"/>
      <c r="CQ478" s="53" t="n"/>
      <c r="CR478" s="53" t="n"/>
      <c r="CS478" s="53" t="n"/>
      <c r="CT478" s="53" t="n"/>
      <c r="CU478" s="53" t="n"/>
      <c r="CV478" s="53" t="n"/>
      <c r="CW478" s="53" t="n"/>
      <c r="CX478" s="53" t="n"/>
      <c r="CY478" s="53" t="n"/>
      <c r="CZ478" s="53" t="n"/>
      <c r="DA478" s="53" t="n"/>
      <c r="DB478" s="53" t="n"/>
      <c r="DC478" s="53" t="n"/>
      <c r="DD478" s="53" t="n"/>
      <c r="DE478" s="53" t="n"/>
      <c r="DF478" s="53" t="n"/>
      <c r="DG478" s="53" t="n"/>
      <c r="DH478" s="53" t="n"/>
      <c r="DI478" s="53" t="n"/>
      <c r="DJ478" s="53" t="n"/>
      <c r="DK478" s="53" t="n"/>
      <c r="DL478" s="53" t="n"/>
      <c r="DM478" s="53" t="n"/>
      <c r="DN478" s="53" t="n"/>
      <c r="DO478" s="53" t="n"/>
      <c r="DP478" s="53" t="n"/>
      <c r="DQ478" s="53" t="n"/>
      <c r="DR478" s="53" t="n"/>
      <c r="DS478" s="53" t="n"/>
      <c r="DT478" s="53" t="n"/>
      <c r="DU478" s="53" t="n"/>
      <c r="DV478" s="53" t="n"/>
      <c r="DW478" s="53" t="n"/>
      <c r="DX478" s="53" t="n"/>
      <c r="DY478" s="53" t="n"/>
      <c r="DZ478" s="53" t="n"/>
      <c r="EA478" s="53" t="n"/>
      <c r="EB478" s="53" t="n"/>
      <c r="EC478" s="53" t="n"/>
      <c r="ED478" s="53" t="n"/>
      <c r="EE478" s="53" t="n"/>
      <c r="EF478" s="53" t="n"/>
      <c r="EG478" s="53" t="n"/>
      <c r="EH478" s="53" t="n"/>
      <c r="EI478" s="53" t="n"/>
      <c r="EJ478" s="53" t="n"/>
      <c r="EK478" s="53" t="n"/>
      <c r="EL478" s="53" t="n"/>
      <c r="EM478" s="53" t="n"/>
      <c r="EN478" s="53" t="n"/>
      <c r="EO478" s="53" t="n"/>
      <c r="EP478" s="53" t="n"/>
      <c r="EQ478" s="53" t="n"/>
      <c r="ER478" s="53" t="n"/>
      <c r="ES478" s="53" t="n"/>
      <c r="ET478" s="53" t="n"/>
      <c r="EU478" s="53" t="n"/>
      <c r="EV478" s="53" t="n"/>
      <c r="EW478" s="52" t="n"/>
      <c r="EX478" s="53" t="n"/>
      <c r="EY478" s="53" t="n"/>
      <c r="EZ478" s="53" t="n"/>
      <c r="FA478" s="53" t="n"/>
      <c r="FB478" s="53" t="n"/>
      <c r="FC478" s="53" t="n"/>
      <c r="FD478" s="53" t="n"/>
      <c r="FE478" s="55" t="inlineStr">
        <is>
          <t>KRAs not received · manager to supply</t>
        </is>
      </c>
      <c r="FF478" s="56" t="n"/>
      <c r="FG478" s="56" t="n"/>
      <c r="FH478" s="56" t="n"/>
      <c r="FI478" s="56" t="n"/>
      <c r="FJ478" s="32" t="inlineStr">
        <is>
          <t>KRAs not received · manager to supply</t>
        </is>
      </c>
      <c r="FK478" s="56" t="n"/>
      <c r="FL478" s="56" t="n">
        <v>16</v>
      </c>
      <c r="FM478" s="32" t="inlineStr">
        <is>
          <t>Full survey answers not in the files received · How We Grow export needed · HR</t>
        </is>
      </c>
      <c r="FN478" s="56" t="inlineStr">
        <is>
          <t>—</t>
        </is>
      </c>
      <c r="FO478" s="56" t="inlineStr">
        <is>
          <t>—</t>
        </is>
      </c>
      <c r="FP478" s="56" t="inlineStr">
        <is>
          <t>—</t>
        </is>
      </c>
      <c r="FQ478" s="56" t="inlineStr">
        <is>
          <t>—</t>
        </is>
      </c>
      <c r="FR478" s="56"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moved down 0.5
Leadership: Evidence reads like A1: No guidance or leadership of others described → moved down 1
Business Impact: No survey or manager-mapping signal on criticality: kept at the start point.</t>
        </is>
      </c>
      <c r="FS478"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78" s="56" t="inlineStr">
        <is>
          <t>Self-identified: AI / automation · Data, SQL &amp; analytics · Product &amp; tool knowledge
For the next role: AI / automation · Data, SQL &amp; analytics · Product &amp; tool knowledge</t>
        </is>
      </c>
      <c r="FU478" s="32" t="inlineStr">
        <is>
          <t>Full survey answers not in the files received · How We Grow export needed · HR</t>
        </is>
      </c>
    </row>
    <row r="479" ht="90" customHeight="1">
      <c r="A479" s="51" t="inlineStr">
        <is>
          <t>◂ Back</t>
        </is>
      </c>
      <c r="B479" s="29" t="inlineStr">
        <is>
          <t>Mapped</t>
        </is>
      </c>
      <c r="C479" s="28" t="inlineStr">
        <is>
          <t>Corporate</t>
        </is>
      </c>
      <c r="D479" s="29" t="inlineStr">
        <is>
          <t>IRIS2152</t>
        </is>
      </c>
      <c r="E479" s="29" t="inlineStr">
        <is>
          <t>Nikitha Nair</t>
        </is>
      </c>
      <c r="F479" s="29" t="inlineStr">
        <is>
          <t>HR</t>
        </is>
      </c>
      <c r="G479" s="29" t="inlineStr">
        <is>
          <t>Employee Experience Specialist</t>
        </is>
      </c>
      <c r="H479" s="29" t="inlineStr">
        <is>
          <t>HR Specialist – POD Lead</t>
        </is>
      </c>
      <c r="I479" s="29" t="inlineStr">
        <is>
          <t>Not in current mapping files</t>
        </is>
      </c>
      <c r="J479" s="29" t="inlineStr">
        <is>
          <t>B1</t>
        </is>
      </c>
      <c r="K479" s="29" t="inlineStr">
        <is>
          <t>● Newly mapped</t>
        </is>
      </c>
      <c r="L479" s="29" t="inlineStr">
        <is>
          <t>Human Resources</t>
        </is>
      </c>
      <c r="M479" s="29" t="inlineStr">
        <is>
          <t>HR Operations &amp; Payroll</t>
        </is>
      </c>
      <c r="N479" s="29" t="n"/>
      <c r="O479" s="29" t="n">
        <v>20</v>
      </c>
      <c r="P479" s="28" t="inlineStr">
        <is>
          <t>P3 / M2</t>
        </is>
      </c>
      <c r="Q479" s="29" t="inlineStr">
        <is>
          <t>Career / · Team Lead</t>
        </is>
      </c>
      <c r="R479" s="29" t="inlineStr">
        <is>
          <t>4 Enable</t>
        </is>
      </c>
      <c r="S479" s="29" t="inlineStr">
        <is>
          <t>4–7 yrs</t>
        </is>
      </c>
      <c r="T479" s="29" t="inlineStr">
        <is>
          <t>5–8 · 4–8</t>
        </is>
      </c>
      <c r="U479" s="29" t="inlineStr">
        <is>
          <t>Senior HR Executive</t>
        </is>
      </c>
      <c r="V479" s="29" t="inlineStr">
        <is>
          <t>IRIS Vs Competitor Benchmark — HR ladder: HR Specialist / HRBP</t>
        </is>
      </c>
      <c r="W479" s="29" t="inlineStr">
        <is>
          <t>SHRM BASK · SHRM-CP → SHRM-SCP; CIPD Profession Map</t>
        </is>
      </c>
      <c r="X479" s="29" t="inlineStr">
        <is>
          <t>Core 3 · Future 3 · Functional 3 · Leadership 2</t>
        </is>
      </c>
      <c r="Y479" s="52" t="n">
        <v>282</v>
      </c>
      <c r="Z479" s="53" t="inlineStr">
        <is>
          <t>IRIS2152</t>
        </is>
      </c>
      <c r="AA479" s="53" t="inlineStr">
        <is>
          <t>Employee</t>
        </is>
      </c>
      <c r="AB479" s="53" t="inlineStr">
        <is>
          <t>Active</t>
        </is>
      </c>
      <c r="AC479" s="53" t="inlineStr">
        <is>
          <t>Nikitha Nair</t>
        </is>
      </c>
      <c r="AD479" s="54" t="n">
        <v>45110</v>
      </c>
      <c r="AE479" s="53" t="inlineStr">
        <is>
          <t>Employee Experience Specialist</t>
        </is>
      </c>
      <c r="AF479" s="53" t="inlineStr">
        <is>
          <t>MBA</t>
        </is>
      </c>
      <c r="AG479" s="53" t="inlineStr">
        <is>
          <t>Shweta Jha</t>
        </is>
      </c>
      <c r="AH479" s="53" t="inlineStr">
        <is>
          <t>N-2</t>
        </is>
      </c>
      <c r="AI479" s="53" t="inlineStr">
        <is>
          <t>Manager</t>
        </is>
      </c>
      <c r="AJ479" s="53" t="inlineStr">
        <is>
          <t>1 years, 0 months, 0 days</t>
        </is>
      </c>
      <c r="AK479" s="53" t="inlineStr">
        <is>
          <t>3 years, 1 months, 22 days</t>
        </is>
      </c>
      <c r="AL479" s="53" t="inlineStr">
        <is>
          <t>Corporate</t>
        </is>
      </c>
      <c r="AM479" s="53" t="inlineStr">
        <is>
          <t>Corporate</t>
        </is>
      </c>
      <c r="AN479" s="53" t="inlineStr">
        <is>
          <t>HR</t>
        </is>
      </c>
      <c r="AO479" s="53" t="inlineStr">
        <is>
          <t>HR</t>
        </is>
      </c>
      <c r="AP479" s="53" t="inlineStr">
        <is>
          <t>No</t>
        </is>
      </c>
      <c r="AQ479" s="53" t="inlineStr">
        <is>
          <t>General &amp; Admin</t>
        </is>
      </c>
      <c r="AR479" s="53" t="inlineStr">
        <is>
          <t>HR</t>
        </is>
      </c>
      <c r="AS479" s="53" t="inlineStr">
        <is>
          <t>Non-technical</t>
        </is>
      </c>
      <c r="AT479" s="53" t="n">
        <v>20</v>
      </c>
      <c r="AU479" s="53" t="inlineStr">
        <is>
          <t>Covered</t>
        </is>
      </c>
      <c r="AV479" s="53" t="n"/>
      <c r="AW479" s="53" t="n"/>
      <c r="AX479" s="53" t="n"/>
      <c r="AY479" s="53" t="n"/>
      <c r="AZ479" s="53" t="n"/>
      <c r="BA479" s="53" t="n"/>
      <c r="BB479" s="53" t="n"/>
      <c r="BC479" s="53" t="n"/>
      <c r="BD479" s="53" t="n"/>
      <c r="BE479" s="53" t="n"/>
      <c r="BF479" s="53" t="n"/>
      <c r="BG479" s="53" t="n"/>
      <c r="BH479" s="53" t="n"/>
      <c r="BI479" s="53" t="n"/>
      <c r="BJ479" s="53" t="n"/>
      <c r="BK479" s="53" t="n"/>
      <c r="BL479" s="53" t="n"/>
      <c r="BM479" s="53" t="n"/>
      <c r="BN479" s="53" t="n"/>
      <c r="BO479" s="53" t="n"/>
      <c r="BP479" s="53" t="n"/>
      <c r="BQ479" s="53" t="n"/>
      <c r="BR479" s="53" t="n"/>
      <c r="BS479" s="53" t="n"/>
      <c r="BT479" s="53" t="n"/>
      <c r="BU479" s="53" t="n"/>
      <c r="BV479" s="53" t="n"/>
      <c r="BW479" s="53" t="n"/>
      <c r="BX479" s="53" t="n"/>
      <c r="BY479" s="53" t="n"/>
      <c r="BZ479" s="53" t="n"/>
      <c r="CA479" s="53" t="n"/>
      <c r="CB479" s="53" t="n"/>
      <c r="CC479" s="53" t="n"/>
      <c r="CD479" s="53" t="n"/>
      <c r="CE479" s="53" t="n"/>
      <c r="CF479" s="53" t="n"/>
      <c r="CG479" s="53" t="n"/>
      <c r="CH479" s="53" t="n"/>
      <c r="CI479" s="53" t="n"/>
      <c r="CJ479" s="53" t="n"/>
      <c r="CK479" s="53" t="n"/>
      <c r="CL479" s="53" t="n"/>
      <c r="CM479" s="53" t="n"/>
      <c r="CN479" s="53" t="n"/>
      <c r="CO479" s="53" t="n"/>
      <c r="CP479" s="53" t="n"/>
      <c r="CQ479" s="53" t="n"/>
      <c r="CR479" s="53" t="n"/>
      <c r="CS479" s="53" t="n"/>
      <c r="CT479" s="53" t="n"/>
      <c r="CU479" s="53" t="n"/>
      <c r="CV479" s="53" t="n"/>
      <c r="CW479" s="53" t="n"/>
      <c r="CX479" s="53" t="n"/>
      <c r="CY479" s="53" t="n"/>
      <c r="CZ479" s="53" t="n"/>
      <c r="DA479" s="53" t="n"/>
      <c r="DB479" s="53" t="n"/>
      <c r="DC479" s="53" t="n"/>
      <c r="DD479" s="53" t="n"/>
      <c r="DE479" s="53" t="n"/>
      <c r="DF479" s="53" t="n"/>
      <c r="DG479" s="53" t="n"/>
      <c r="DH479" s="53" t="n"/>
      <c r="DI479" s="53" t="n"/>
      <c r="DJ479" s="53" t="n"/>
      <c r="DK479" s="53" t="n"/>
      <c r="DL479" s="53" t="n"/>
      <c r="DM479" s="53" t="n"/>
      <c r="DN479" s="53" t="n"/>
      <c r="DO479" s="53" t="n"/>
      <c r="DP479" s="53" t="n"/>
      <c r="DQ479" s="53" t="n"/>
      <c r="DR479" s="53" t="n"/>
      <c r="DS479" s="53" t="n"/>
      <c r="DT479" s="53" t="n"/>
      <c r="DU479" s="53" t="n"/>
      <c r="DV479" s="53" t="n"/>
      <c r="DW479" s="53" t="n"/>
      <c r="DX479" s="53" t="n"/>
      <c r="DY479" s="53" t="n"/>
      <c r="DZ479" s="53" t="n"/>
      <c r="EA479" s="53" t="n"/>
      <c r="EB479" s="53" t="n"/>
      <c r="EC479" s="53" t="n"/>
      <c r="ED479" s="53" t="n"/>
      <c r="EE479" s="53" t="n"/>
      <c r="EF479" s="53" t="n"/>
      <c r="EG479" s="53" t="n"/>
      <c r="EH479" s="53" t="n"/>
      <c r="EI479" s="53" t="n"/>
      <c r="EJ479" s="53" t="n"/>
      <c r="EK479" s="53" t="n"/>
      <c r="EL479" s="53" t="n"/>
      <c r="EM479" s="53" t="n"/>
      <c r="EN479" s="53" t="n"/>
      <c r="EO479" s="53" t="n"/>
      <c r="EP479" s="53" t="n"/>
      <c r="EQ479" s="53" t="n"/>
      <c r="ER479" s="53" t="n"/>
      <c r="ES479" s="53" t="n"/>
      <c r="ET479" s="53" t="n"/>
      <c r="EU479" s="53" t="n"/>
      <c r="EV479" s="53" t="n"/>
      <c r="EW479" s="52" t="n"/>
      <c r="EX479" s="53" t="n"/>
      <c r="EY479" s="53" t="n"/>
      <c r="EZ479" s="53" t="n"/>
      <c r="FA479" s="53" t="n"/>
      <c r="FB479" s="53" t="n"/>
      <c r="FC479" s="53" t="n"/>
      <c r="FD479" s="53" t="n"/>
      <c r="FE479" s="55" t="inlineStr">
        <is>
          <t>KRAs not received · manager to supply</t>
        </is>
      </c>
      <c r="FF479" s="56" t="n"/>
      <c r="FG479" s="56" t="n"/>
      <c r="FH479" s="56" t="n"/>
      <c r="FI479" s="56" t="n"/>
      <c r="FJ479" s="32" t="inlineStr">
        <is>
          <t>KRAs not received · manager to supply</t>
        </is>
      </c>
      <c r="FK479" s="56" t="n"/>
      <c r="FL479" s="56" t="n">
        <v>20</v>
      </c>
      <c r="FM479" s="32" t="inlineStr">
        <is>
          <t>Full survey answers not in the files received · How We Grow export needed · HR</t>
        </is>
      </c>
      <c r="FN479" s="56" t="inlineStr">
        <is>
          <t>—</t>
        </is>
      </c>
      <c r="FO479" s="56" t="inlineStr">
        <is>
          <t>—</t>
        </is>
      </c>
      <c r="FP479" s="56" t="inlineStr">
        <is>
          <t>—</t>
        </is>
      </c>
      <c r="FQ479" s="56" t="inlineStr">
        <is>
          <t>—</t>
        </is>
      </c>
      <c r="FR479" s="56"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exit, including grievances → moved down 0.2
Leadership: Evidence reads like A2: Coordinates stakeholders; no guidance of others described; 1 direct report → moved down 0.5
Business Impact: No survey or manager-mapping signal on criticality: kept at the start point.</t>
        </is>
      </c>
      <c r="FS479"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79" s="56" t="inlineStr">
        <is>
          <t>Self-identified: Data, SQL &amp; analytics · Strategy &amp; business acumen · Broader exposure &amp; ownership
For the next role: Data, SQL &amp; analytics · Strategy &amp; business acumen · Broader exposure &amp; ownership</t>
        </is>
      </c>
      <c r="FU479" s="32" t="inlineStr">
        <is>
          <t>Full survey answers not in the files received · How We Grow export needed · HR</t>
        </is>
      </c>
    </row>
    <row r="480" ht="90" customHeight="1">
      <c r="A480" s="51" t="inlineStr">
        <is>
          <t>◂ Back</t>
        </is>
      </c>
      <c r="B480" s="29" t="inlineStr">
        <is>
          <t>Mapped</t>
        </is>
      </c>
      <c r="C480" s="28" t="inlineStr">
        <is>
          <t>Corporate</t>
        </is>
      </c>
      <c r="D480" s="29" t="inlineStr">
        <is>
          <t>IRIS2558</t>
        </is>
      </c>
      <c r="E480" s="29" t="inlineStr">
        <is>
          <t>Blossom Dsouza</t>
        </is>
      </c>
      <c r="F480" s="29" t="inlineStr">
        <is>
          <t>HR</t>
        </is>
      </c>
      <c r="G480" s="29" t="inlineStr">
        <is>
          <t>Executive -HR</t>
        </is>
      </c>
      <c r="H480" s="29" t="inlineStr">
        <is>
          <t>HR Executive</t>
        </is>
      </c>
      <c r="I480" s="29" t="inlineStr">
        <is>
          <t>Not in current mapping files</t>
        </is>
      </c>
      <c r="J480" s="29" t="inlineStr">
        <is>
          <t>A2</t>
        </is>
      </c>
      <c r="K480" s="29" t="inlineStr">
        <is>
          <t>● Newly mapped</t>
        </is>
      </c>
      <c r="L480" s="29" t="inlineStr">
        <is>
          <t>Human Resources</t>
        </is>
      </c>
      <c r="M480" s="29" t="inlineStr">
        <is>
          <t>HR Operations &amp; Payroll</t>
        </is>
      </c>
      <c r="N480" s="29" t="n"/>
      <c r="O480" s="29" t="n">
        <v>19</v>
      </c>
      <c r="P480" s="28" t="inlineStr">
        <is>
          <t>P1–P2</t>
        </is>
      </c>
      <c r="Q480" s="29" t="inlineStr">
        <is>
          <t>Entry / Developing</t>
        </is>
      </c>
      <c r="R480" s="29" t="inlineStr">
        <is>
          <t>2 Assist</t>
        </is>
      </c>
      <c r="S480" s="29" t="inlineStr">
        <is>
          <t>0–2 yrs</t>
        </is>
      </c>
      <c r="T480" s="29" t="inlineStr">
        <is>
          <t>1–3 · 0–3</t>
        </is>
      </c>
      <c r="U480" s="29" t="inlineStr">
        <is>
          <t>HR Associate / HR Executive</t>
        </is>
      </c>
      <c r="V480" s="29" t="inlineStr">
        <is>
          <t>IRIS Vs Competitor Benchmark — HR ladder: HR Executive</t>
        </is>
      </c>
      <c r="W480" s="29" t="inlineStr">
        <is>
          <t>SHRM BASK · SHRM-CP → SHRM-SCP; CIPD Profession Map</t>
        </is>
      </c>
      <c r="X480" s="29" t="inlineStr">
        <is>
          <t>Core 2 · Future 2 · Functional 2 · Leadership not scored</t>
        </is>
      </c>
      <c r="Y480" s="52" t="n">
        <v>531</v>
      </c>
      <c r="Z480" s="53" t="inlineStr">
        <is>
          <t>IRIS2558</t>
        </is>
      </c>
      <c r="AA480" s="53" t="inlineStr">
        <is>
          <t>Employee</t>
        </is>
      </c>
      <c r="AB480" s="53" t="inlineStr">
        <is>
          <t>Active</t>
        </is>
      </c>
      <c r="AC480" s="53" t="inlineStr">
        <is>
          <t>Blossom Dsouza</t>
        </is>
      </c>
      <c r="AD480" s="54" t="n">
        <v>46266</v>
      </c>
      <c r="AE480" s="53" t="inlineStr">
        <is>
          <t>Executive -HR</t>
        </is>
      </c>
      <c r="AF480" s="53" t="inlineStr">
        <is>
          <t>Bachelors</t>
        </is>
      </c>
      <c r="AG480" s="53" t="inlineStr">
        <is>
          <t>Nikitha Nair</t>
        </is>
      </c>
      <c r="AH480" s="53" t="inlineStr">
        <is>
          <t>N-3</t>
        </is>
      </c>
      <c r="AI480" s="53" t="inlineStr">
        <is>
          <t>Individual Contributor</t>
        </is>
      </c>
      <c r="AJ480" s="53" t="n"/>
      <c r="AK480" s="53" t="n"/>
      <c r="AL480" s="53" t="inlineStr">
        <is>
          <t>Corporate</t>
        </is>
      </c>
      <c r="AM480" s="53" t="inlineStr">
        <is>
          <t>Corporate</t>
        </is>
      </c>
      <c r="AN480" s="53" t="inlineStr">
        <is>
          <t>HR</t>
        </is>
      </c>
      <c r="AO480" s="53" t="inlineStr">
        <is>
          <t>HR</t>
        </is>
      </c>
      <c r="AP480" s="53" t="inlineStr">
        <is>
          <t>No</t>
        </is>
      </c>
      <c r="AQ480" s="53" t="inlineStr">
        <is>
          <t>General &amp; Admin</t>
        </is>
      </c>
      <c r="AR480" s="53" t="inlineStr">
        <is>
          <t>HR</t>
        </is>
      </c>
      <c r="AS480" s="53" t="inlineStr">
        <is>
          <t>Non-technical</t>
        </is>
      </c>
      <c r="AT480" s="53" t="n">
        <v>20</v>
      </c>
      <c r="AU480" s="53" t="inlineStr">
        <is>
          <t>Covered</t>
        </is>
      </c>
      <c r="AV480" s="53" t="n"/>
      <c r="AW480" s="53" t="n"/>
      <c r="AX480" s="53" t="n"/>
      <c r="AY480" s="53" t="n"/>
      <c r="AZ480" s="53" t="n"/>
      <c r="BA480" s="53" t="n"/>
      <c r="BB480" s="53" t="n"/>
      <c r="BC480" s="53" t="n"/>
      <c r="BD480" s="53" t="n"/>
      <c r="BE480" s="53" t="n"/>
      <c r="BF480" s="53" t="n"/>
      <c r="BG480" s="53" t="n"/>
      <c r="BH480" s="53" t="n"/>
      <c r="BI480" s="53" t="n"/>
      <c r="BJ480" s="53" t="n"/>
      <c r="BK480" s="53" t="n"/>
      <c r="BL480" s="53" t="n"/>
      <c r="BM480" s="53" t="n"/>
      <c r="BN480" s="53" t="n"/>
      <c r="BO480" s="53" t="n"/>
      <c r="BP480" s="53" t="n"/>
      <c r="BQ480" s="53" t="n"/>
      <c r="BR480" s="53" t="n"/>
      <c r="BS480" s="53" t="n"/>
      <c r="BT480" s="53" t="n"/>
      <c r="BU480" s="53" t="n"/>
      <c r="BV480" s="53" t="n"/>
      <c r="BW480" s="53" t="n"/>
      <c r="BX480" s="53" t="n"/>
      <c r="BY480" s="53" t="n"/>
      <c r="BZ480" s="53" t="n"/>
      <c r="CA480" s="53" t="n"/>
      <c r="CB480" s="53" t="n"/>
      <c r="CC480" s="53" t="n"/>
      <c r="CD480" s="53" t="n"/>
      <c r="CE480" s="53" t="n"/>
      <c r="CF480" s="53" t="n"/>
      <c r="CG480" s="53" t="n"/>
      <c r="CH480" s="53" t="n"/>
      <c r="CI480" s="53" t="n"/>
      <c r="CJ480" s="53" t="n"/>
      <c r="CK480" s="53" t="n"/>
      <c r="CL480" s="53" t="n"/>
      <c r="CM480" s="53" t="n"/>
      <c r="CN480" s="53" t="n"/>
      <c r="CO480" s="53" t="n"/>
      <c r="CP480" s="53" t="n"/>
      <c r="CQ480" s="53" t="n"/>
      <c r="CR480" s="53" t="n"/>
      <c r="CS480" s="53" t="n"/>
      <c r="CT480" s="53" t="n"/>
      <c r="CU480" s="53" t="n"/>
      <c r="CV480" s="53" t="n"/>
      <c r="CW480" s="53" t="n"/>
      <c r="CX480" s="53" t="n"/>
      <c r="CY480" s="53" t="n"/>
      <c r="CZ480" s="53" t="n"/>
      <c r="DA480" s="53" t="n"/>
      <c r="DB480" s="53" t="n"/>
      <c r="DC480" s="53" t="n"/>
      <c r="DD480" s="53" t="n"/>
      <c r="DE480" s="53" t="n"/>
      <c r="DF480" s="53" t="n"/>
      <c r="DG480" s="53" t="n"/>
      <c r="DH480" s="53" t="n"/>
      <c r="DI480" s="53" t="n"/>
      <c r="DJ480" s="53" t="n"/>
      <c r="DK480" s="53" t="n"/>
      <c r="DL480" s="53" t="n"/>
      <c r="DM480" s="53" t="n"/>
      <c r="DN480" s="53" t="n"/>
      <c r="DO480" s="53" t="n"/>
      <c r="DP480" s="53" t="n"/>
      <c r="DQ480" s="53" t="n"/>
      <c r="DR480" s="53" t="n"/>
      <c r="DS480" s="53" t="n"/>
      <c r="DT480" s="53" t="n"/>
      <c r="DU480" s="53" t="n"/>
      <c r="DV480" s="53" t="n"/>
      <c r="DW480" s="53" t="n"/>
      <c r="DX480" s="53" t="n"/>
      <c r="DY480" s="53" t="n"/>
      <c r="DZ480" s="53" t="n"/>
      <c r="EA480" s="53" t="n"/>
      <c r="EB480" s="53" t="n"/>
      <c r="EC480" s="53" t="n"/>
      <c r="ED480" s="53" t="n"/>
      <c r="EE480" s="53" t="n"/>
      <c r="EF480" s="53" t="n"/>
      <c r="EG480" s="53" t="n"/>
      <c r="EH480" s="53" t="n"/>
      <c r="EI480" s="53" t="n"/>
      <c r="EJ480" s="53" t="n"/>
      <c r="EK480" s="53" t="n"/>
      <c r="EL480" s="53" t="n"/>
      <c r="EM480" s="53" t="n"/>
      <c r="EN480" s="53" t="n"/>
      <c r="EO480" s="53" t="n"/>
      <c r="EP480" s="53" t="n"/>
      <c r="EQ480" s="53" t="n"/>
      <c r="ER480" s="53" t="n"/>
      <c r="ES480" s="53" t="n"/>
      <c r="ET480" s="53" t="n"/>
      <c r="EU480" s="53" t="n"/>
      <c r="EV480" s="53" t="n"/>
      <c r="EW480" s="52" t="n"/>
      <c r="EX480" s="53" t="n"/>
      <c r="EY480" s="53" t="n"/>
      <c r="EZ480" s="53" t="n"/>
      <c r="FA480" s="53" t="n"/>
      <c r="FB480" s="53" t="n"/>
      <c r="FC480" s="53" t="n"/>
      <c r="FD480" s="53" t="n"/>
      <c r="FE480" s="55" t="inlineStr">
        <is>
          <t>KRAs not received · manager to supply</t>
        </is>
      </c>
      <c r="FF480" s="56" t="n"/>
      <c r="FG480" s="56" t="n"/>
      <c r="FH480" s="56" t="n"/>
      <c r="FI480" s="56" t="n"/>
      <c r="FJ480" s="32" t="inlineStr">
        <is>
          <t>KRAs not received · manager to supply</t>
        </is>
      </c>
      <c r="FK480" s="56" t="n"/>
      <c r="FL480" s="56" t="n">
        <v>19</v>
      </c>
      <c r="FM480" s="32" t="inlineStr">
        <is>
          <t>Full survey answers not in the files received · How We Grow export needed · HR</t>
        </is>
      </c>
      <c r="FN480" s="56" t="inlineStr">
        <is>
          <t>—</t>
        </is>
      </c>
      <c r="FO480" s="56" t="inlineStr">
        <is>
          <t>—</t>
        </is>
      </c>
      <c r="FP480" s="56" t="inlineStr">
        <is>
          <t>—</t>
        </is>
      </c>
      <c r="FQ480" s="56" t="inlineStr">
        <is>
          <t>—</t>
        </is>
      </c>
      <c r="FR480" s="56"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start
Leadership: Evidence reads like A1: No guidance or leadership of others described → matches the start
Business Impact: No survey or manager-mapping signal on criticality: kept at the start point.</t>
        </is>
      </c>
      <c r="FS480"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80" s="56" t="inlineStr">
        <is>
          <t>Self-identified: Broader exposure &amp; ownership
For the next role: Broader exposure &amp; ownership</t>
        </is>
      </c>
      <c r="FU480" s="32" t="inlineStr">
        <is>
          <t>Full survey answers not in the files received · How We Grow export needed · HR</t>
        </is>
      </c>
    </row>
    <row r="481" ht="90" customHeight="1">
      <c r="A481" s="51" t="inlineStr">
        <is>
          <t>◂ Back</t>
        </is>
      </c>
      <c r="B481" s="29" t="inlineStr">
        <is>
          <t>Mapped</t>
        </is>
      </c>
      <c r="C481" s="28" t="inlineStr">
        <is>
          <t>Corporate</t>
        </is>
      </c>
      <c r="D481" s="29" t="inlineStr">
        <is>
          <t>IRIS2402</t>
        </is>
      </c>
      <c r="E481" s="29" t="inlineStr">
        <is>
          <t>Renuka Badhoria</t>
        </is>
      </c>
      <c r="F481" s="29" t="inlineStr">
        <is>
          <t>HR</t>
        </is>
      </c>
      <c r="G481" s="29" t="inlineStr">
        <is>
          <t>Talent Acquisition Specialist</t>
        </is>
      </c>
      <c r="H481" s="29" t="inlineStr">
        <is>
          <t>Senior Talent Acquisition Executive</t>
        </is>
      </c>
      <c r="I481" s="29" t="inlineStr">
        <is>
          <t>Not in current mapping files</t>
        </is>
      </c>
      <c r="J481" s="29" t="inlineStr">
        <is>
          <t>A3</t>
        </is>
      </c>
      <c r="K481" s="29" t="inlineStr">
        <is>
          <t>● Newly mapped</t>
        </is>
      </c>
      <c r="L481" s="29" t="inlineStr">
        <is>
          <t>Human Resources</t>
        </is>
      </c>
      <c r="M481" s="29" t="inlineStr">
        <is>
          <t>Talent Acquisition</t>
        </is>
      </c>
      <c r="N481" s="29" t="n"/>
      <c r="O481" s="29" t="n">
        <v>19</v>
      </c>
      <c r="P481" s="28" t="inlineStr">
        <is>
          <t>P2</t>
        </is>
      </c>
      <c r="Q481" s="29" t="inlineStr">
        <is>
          <t>Developing</t>
        </is>
      </c>
      <c r="R481" s="29" t="inlineStr">
        <is>
          <t>3 Apply</t>
        </is>
      </c>
      <c r="S481" s="29" t="inlineStr">
        <is>
          <t>2–4 yrs</t>
        </is>
      </c>
      <c r="T481" s="29" t="inlineStr">
        <is>
          <t>3–5 · 2–5</t>
        </is>
      </c>
      <c r="U481" s="29" t="inlineStr">
        <is>
          <t>HR Executive</t>
        </is>
      </c>
      <c r="V481" s="29" t="inlineStr">
        <is>
          <t>IRIS Vs Competitor Benchmark — HR ladder: Senior HR Executive · SHRM-CP</t>
        </is>
      </c>
      <c r="W481" s="29" t="inlineStr">
        <is>
          <t>SHRM BASK · SHRM-CP → SHRM-SCP; CIPD Profession Map</t>
        </is>
      </c>
      <c r="X481" s="29" t="inlineStr">
        <is>
          <t>Core 2 · Future 2 · Functional 3 · Leadership not scored</t>
        </is>
      </c>
      <c r="Y481" s="52" t="n">
        <v>384</v>
      </c>
      <c r="Z481" s="53" t="inlineStr">
        <is>
          <t>IRIS2402</t>
        </is>
      </c>
      <c r="AA481" s="53" t="inlineStr">
        <is>
          <t>Employee</t>
        </is>
      </c>
      <c r="AB481" s="53" t="inlineStr">
        <is>
          <t>Active</t>
        </is>
      </c>
      <c r="AC481" s="53" t="inlineStr">
        <is>
          <t>Renuka Badhoria</t>
        </is>
      </c>
      <c r="AD481" s="54" t="n">
        <v>45845</v>
      </c>
      <c r="AE481" s="53" t="inlineStr">
        <is>
          <t>Talent Acquisition Specialist</t>
        </is>
      </c>
      <c r="AF481" s="53" t="inlineStr">
        <is>
          <t>MBA PGDM</t>
        </is>
      </c>
      <c r="AG481" s="53" t="inlineStr">
        <is>
          <t>Shweta Jha</t>
        </is>
      </c>
      <c r="AH481" s="53" t="inlineStr">
        <is>
          <t>N-2</t>
        </is>
      </c>
      <c r="AI481" s="53" t="inlineStr">
        <is>
          <t>Individual Contributor</t>
        </is>
      </c>
      <c r="AJ481" s="53" t="inlineStr">
        <is>
          <t>2 years, 2 months, 0 days</t>
        </is>
      </c>
      <c r="AK481" s="53" t="inlineStr">
        <is>
          <t>1 years, 1 months, 18 days</t>
        </is>
      </c>
      <c r="AL481" s="53" t="inlineStr">
        <is>
          <t>Corporate</t>
        </is>
      </c>
      <c r="AM481" s="53" t="inlineStr">
        <is>
          <t>Corporate</t>
        </is>
      </c>
      <c r="AN481" s="53" t="inlineStr">
        <is>
          <t>HR</t>
        </is>
      </c>
      <c r="AO481" s="53" t="inlineStr">
        <is>
          <t>HR</t>
        </is>
      </c>
      <c r="AP481" s="53" t="inlineStr">
        <is>
          <t>No</t>
        </is>
      </c>
      <c r="AQ481" s="53" t="inlineStr">
        <is>
          <t>General &amp; Admin</t>
        </is>
      </c>
      <c r="AR481" s="53" t="inlineStr">
        <is>
          <t>HR</t>
        </is>
      </c>
      <c r="AS481" s="53" t="inlineStr">
        <is>
          <t>Non-technical</t>
        </is>
      </c>
      <c r="AT481" s="53" t="n">
        <v>20</v>
      </c>
      <c r="AU481" s="53" t="inlineStr">
        <is>
          <t>Covered</t>
        </is>
      </c>
      <c r="AV481" s="53" t="n"/>
      <c r="AW481" s="53" t="n"/>
      <c r="AX481" s="53" t="n"/>
      <c r="AY481" s="53" t="n"/>
      <c r="AZ481" s="53" t="n"/>
      <c r="BA481" s="53" t="n"/>
      <c r="BB481" s="53" t="n"/>
      <c r="BC481" s="53" t="n"/>
      <c r="BD481" s="53" t="n"/>
      <c r="BE481" s="53" t="n"/>
      <c r="BF481" s="53" t="n"/>
      <c r="BG481" s="53" t="n"/>
      <c r="BH481" s="53" t="n"/>
      <c r="BI481" s="53" t="n"/>
      <c r="BJ481" s="53" t="n"/>
      <c r="BK481" s="53" t="n"/>
      <c r="BL481" s="53" t="n"/>
      <c r="BM481" s="53" t="n"/>
      <c r="BN481" s="53" t="n"/>
      <c r="BO481" s="53" t="n"/>
      <c r="BP481" s="53" t="n"/>
      <c r="BQ481" s="53" t="n"/>
      <c r="BR481" s="53" t="n"/>
      <c r="BS481" s="53" t="n"/>
      <c r="BT481" s="53" t="n"/>
      <c r="BU481" s="53" t="n"/>
      <c r="BV481" s="53" t="n"/>
      <c r="BW481" s="53" t="n"/>
      <c r="BX481" s="53" t="n"/>
      <c r="BY481" s="53" t="n"/>
      <c r="BZ481" s="53" t="n"/>
      <c r="CA481" s="53" t="n"/>
      <c r="CB481" s="53" t="n"/>
      <c r="CC481" s="53" t="n"/>
      <c r="CD481" s="53" t="n"/>
      <c r="CE481" s="53" t="n"/>
      <c r="CF481" s="53" t="n"/>
      <c r="CG481" s="53" t="n"/>
      <c r="CH481" s="53" t="n"/>
      <c r="CI481" s="53" t="n"/>
      <c r="CJ481" s="53" t="n"/>
      <c r="CK481" s="53" t="n"/>
      <c r="CL481" s="53" t="n"/>
      <c r="CM481" s="53" t="n"/>
      <c r="CN481" s="53" t="n"/>
      <c r="CO481" s="53" t="n"/>
      <c r="CP481" s="53" t="n"/>
      <c r="CQ481" s="53" t="n"/>
      <c r="CR481" s="53" t="n"/>
      <c r="CS481" s="53" t="n"/>
      <c r="CT481" s="53" t="n"/>
      <c r="CU481" s="53" t="n"/>
      <c r="CV481" s="53" t="n"/>
      <c r="CW481" s="53" t="n"/>
      <c r="CX481" s="53" t="n"/>
      <c r="CY481" s="53" t="n"/>
      <c r="CZ481" s="53" t="n"/>
      <c r="DA481" s="53" t="n"/>
      <c r="DB481" s="53" t="n"/>
      <c r="DC481" s="53" t="n"/>
      <c r="DD481" s="53" t="n"/>
      <c r="DE481" s="53" t="n"/>
      <c r="DF481" s="53" t="n"/>
      <c r="DG481" s="53" t="n"/>
      <c r="DH481" s="53" t="n"/>
      <c r="DI481" s="53" t="n"/>
      <c r="DJ481" s="53" t="n"/>
      <c r="DK481" s="53" t="n"/>
      <c r="DL481" s="53" t="n"/>
      <c r="DM481" s="53" t="n"/>
      <c r="DN481" s="53" t="n"/>
      <c r="DO481" s="53" t="n"/>
      <c r="DP481" s="53" t="n"/>
      <c r="DQ481" s="53" t="n"/>
      <c r="DR481" s="53" t="n"/>
      <c r="DS481" s="53" t="n"/>
      <c r="DT481" s="53" t="n"/>
      <c r="DU481" s="53" t="n"/>
      <c r="DV481" s="53" t="n"/>
      <c r="DW481" s="53" t="n"/>
      <c r="DX481" s="53" t="n"/>
      <c r="DY481" s="53" t="n"/>
      <c r="DZ481" s="53" t="n"/>
      <c r="EA481" s="53" t="n"/>
      <c r="EB481" s="53" t="n"/>
      <c r="EC481" s="53" t="n"/>
      <c r="ED481" s="53" t="n"/>
      <c r="EE481" s="53" t="n"/>
      <c r="EF481" s="53" t="n"/>
      <c r="EG481" s="53" t="n"/>
      <c r="EH481" s="53" t="n"/>
      <c r="EI481" s="53" t="n"/>
      <c r="EJ481" s="53" t="n"/>
      <c r="EK481" s="53" t="n"/>
      <c r="EL481" s="53" t="n"/>
      <c r="EM481" s="53" t="n"/>
      <c r="EN481" s="53" t="n"/>
      <c r="EO481" s="53" t="n"/>
      <c r="EP481" s="53" t="n"/>
      <c r="EQ481" s="53" t="n"/>
      <c r="ER481" s="53" t="n"/>
      <c r="ES481" s="53" t="n"/>
      <c r="ET481" s="53" t="n"/>
      <c r="EU481" s="53" t="n"/>
      <c r="EV481" s="53" t="n"/>
      <c r="EW481" s="52" t="n"/>
      <c r="EX481" s="53" t="n"/>
      <c r="EY481" s="53" t="n"/>
      <c r="EZ481" s="53" t="n"/>
      <c r="FA481" s="53" t="n"/>
      <c r="FB481" s="53" t="n"/>
      <c r="FC481" s="53" t="n"/>
      <c r="FD481" s="53" t="n"/>
      <c r="FE481" s="55" t="inlineStr">
        <is>
          <t>KRAs not received · manager to supply</t>
        </is>
      </c>
      <c r="FF481" s="56" t="n"/>
      <c r="FG481" s="56" t="n"/>
      <c r="FH481" s="56" t="n"/>
      <c r="FI481" s="56" t="n"/>
      <c r="FJ481" s="32" t="inlineStr">
        <is>
          <t>KRAs not received · manager to supply</t>
        </is>
      </c>
      <c r="FK481" s="56" t="n"/>
      <c r="FL481" s="56" t="n">
        <v>19</v>
      </c>
      <c r="FM481" s="32" t="inlineStr">
        <is>
          <t>Full survey answers not in the files received · How We Grow export needed · HR</t>
        </is>
      </c>
      <c r="FN481" s="56" t="inlineStr">
        <is>
          <t>—</t>
        </is>
      </c>
      <c r="FO481" s="56" t="inlineStr">
        <is>
          <t>—</t>
        </is>
      </c>
      <c r="FP481" s="56" t="inlineStr">
        <is>
          <t>—</t>
        </is>
      </c>
      <c r="FQ481" s="56" t="inlineStr">
        <is>
          <t>—</t>
        </is>
      </c>
      <c r="FR481" s="56"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moved down 0.5
Leadership: Evidence reads like A1: No guidance or leadership of others described → moved down 1
Business Impact: No survey or manager-mapping signal on criticality: kept at the start point.</t>
        </is>
      </c>
      <c r="FS481"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81" s="56" t="inlineStr">
        <is>
          <t>Self-identified: Data, SQL &amp; analytics
For the next role: Data, SQL &amp; analytics</t>
        </is>
      </c>
      <c r="FU481" s="32" t="inlineStr">
        <is>
          <t>Full survey answers not in the files received · How We Grow export needed · HR</t>
        </is>
      </c>
    </row>
    <row r="482" ht="90" customHeight="1">
      <c r="A482" s="51" t="inlineStr">
        <is>
          <t>◂ Back</t>
        </is>
      </c>
      <c r="B482" s="29" t="inlineStr">
        <is>
          <t>Mapped</t>
        </is>
      </c>
      <c r="C482" s="28" t="inlineStr">
        <is>
          <t>Corporate</t>
        </is>
      </c>
      <c r="D482" s="29" t="inlineStr">
        <is>
          <t>IRIS2245</t>
        </is>
      </c>
      <c r="E482" s="29" t="inlineStr">
        <is>
          <t>Shruti Gawas</t>
        </is>
      </c>
      <c r="F482" s="29" t="inlineStr">
        <is>
          <t>HR</t>
        </is>
      </c>
      <c r="G482" s="29" t="inlineStr">
        <is>
          <t>Senior Executive - Talent Acquisition</t>
        </is>
      </c>
      <c r="H482" s="29" t="inlineStr">
        <is>
          <t>Senior Talent Acquisition Executive</t>
        </is>
      </c>
      <c r="I482" s="29" t="inlineStr">
        <is>
          <t>Not in current mapping files</t>
        </is>
      </c>
      <c r="J482" s="29" t="inlineStr">
        <is>
          <t>A3</t>
        </is>
      </c>
      <c r="K482" s="29" t="inlineStr">
        <is>
          <t>● Newly mapped</t>
        </is>
      </c>
      <c r="L482" s="29" t="inlineStr">
        <is>
          <t>Human Resources</t>
        </is>
      </c>
      <c r="M482" s="29" t="inlineStr">
        <is>
          <t>Talent Acquisition</t>
        </is>
      </c>
      <c r="N482" s="29" t="n"/>
      <c r="O482" s="29" t="n">
        <v>19</v>
      </c>
      <c r="P482" s="28" t="inlineStr">
        <is>
          <t>P2</t>
        </is>
      </c>
      <c r="Q482" s="29" t="inlineStr">
        <is>
          <t>Developing</t>
        </is>
      </c>
      <c r="R482" s="29" t="inlineStr">
        <is>
          <t>3 Apply</t>
        </is>
      </c>
      <c r="S482" s="29" t="inlineStr">
        <is>
          <t>2–4 yrs</t>
        </is>
      </c>
      <c r="T482" s="29" t="inlineStr">
        <is>
          <t>3–5 · 2–5</t>
        </is>
      </c>
      <c r="U482" s="29" t="inlineStr">
        <is>
          <t>HR Executive</t>
        </is>
      </c>
      <c r="V482" s="29" t="inlineStr">
        <is>
          <t>IRIS Vs Competitor Benchmark — HR ladder: Senior HR Executive · SHRM-CP</t>
        </is>
      </c>
      <c r="W482" s="29" t="inlineStr">
        <is>
          <t>SHRM BASK · SHRM-CP → SHRM-SCP; CIPD Profession Map</t>
        </is>
      </c>
      <c r="X482" s="29" t="inlineStr">
        <is>
          <t>Core 2 · Future 2 · Functional 3 · Leadership not scored</t>
        </is>
      </c>
      <c r="Y482" s="52" t="n">
        <v>314</v>
      </c>
      <c r="Z482" s="53" t="inlineStr">
        <is>
          <t>IRIS2245</t>
        </is>
      </c>
      <c r="AA482" s="53" t="inlineStr">
        <is>
          <t>Employee</t>
        </is>
      </c>
      <c r="AB482" s="53" t="inlineStr">
        <is>
          <t>Active</t>
        </is>
      </c>
      <c r="AC482" s="53" t="inlineStr">
        <is>
          <t>Shruti Gawas</t>
        </is>
      </c>
      <c r="AD482" s="54" t="n">
        <v>45418</v>
      </c>
      <c r="AE482" s="53" t="inlineStr">
        <is>
          <t>Senior Executive - Talent Acquisition</t>
        </is>
      </c>
      <c r="AF482" s="53" t="inlineStr">
        <is>
          <t>MBA</t>
        </is>
      </c>
      <c r="AG482" s="53" t="inlineStr">
        <is>
          <t>Shweta Jha</t>
        </is>
      </c>
      <c r="AH482" s="53" t="inlineStr">
        <is>
          <t>N-2</t>
        </is>
      </c>
      <c r="AI482" s="53" t="inlineStr">
        <is>
          <t>Individual Contributor</t>
        </is>
      </c>
      <c r="AJ482" s="53" t="inlineStr">
        <is>
          <t>1 years, 3 months, 0 days</t>
        </is>
      </c>
      <c r="AK482" s="53" t="inlineStr">
        <is>
          <t>2 years, 3 months, 19 days</t>
        </is>
      </c>
      <c r="AL482" s="53" t="inlineStr">
        <is>
          <t>Corporate</t>
        </is>
      </c>
      <c r="AM482" s="53" t="inlineStr">
        <is>
          <t>Corporate</t>
        </is>
      </c>
      <c r="AN482" s="53" t="inlineStr">
        <is>
          <t>HR</t>
        </is>
      </c>
      <c r="AO482" s="53" t="inlineStr">
        <is>
          <t>HR</t>
        </is>
      </c>
      <c r="AP482" s="53" t="inlineStr">
        <is>
          <t>No</t>
        </is>
      </c>
      <c r="AQ482" s="53" t="inlineStr">
        <is>
          <t>General &amp; Admin</t>
        </is>
      </c>
      <c r="AR482" s="53" t="inlineStr">
        <is>
          <t>HR</t>
        </is>
      </c>
      <c r="AS482" s="53" t="inlineStr">
        <is>
          <t>Non-technical</t>
        </is>
      </c>
      <c r="AT482" s="53" t="n">
        <v>20</v>
      </c>
      <c r="AU482" s="53" t="inlineStr">
        <is>
          <t>Covered</t>
        </is>
      </c>
      <c r="AV482" s="53" t="n"/>
      <c r="AW482" s="53" t="n"/>
      <c r="AX482" s="53" t="n"/>
      <c r="AY482" s="53" t="n"/>
      <c r="AZ482" s="53" t="n"/>
      <c r="BA482" s="53" t="n"/>
      <c r="BB482" s="53" t="n"/>
      <c r="BC482" s="53" t="n"/>
      <c r="BD482" s="53" t="n"/>
      <c r="BE482" s="53" t="n"/>
      <c r="BF482" s="53" t="n"/>
      <c r="BG482" s="53" t="n"/>
      <c r="BH482" s="53" t="n"/>
      <c r="BI482" s="53" t="n"/>
      <c r="BJ482" s="53" t="n"/>
      <c r="BK482" s="53" t="n"/>
      <c r="BL482" s="53" t="n"/>
      <c r="BM482" s="53" t="n"/>
      <c r="BN482" s="53" t="n"/>
      <c r="BO482" s="53" t="n"/>
      <c r="BP482" s="53" t="n"/>
      <c r="BQ482" s="53" t="n"/>
      <c r="BR482" s="53" t="n"/>
      <c r="BS482" s="53" t="n"/>
      <c r="BT482" s="53" t="n"/>
      <c r="BU482" s="53" t="n"/>
      <c r="BV482" s="53" t="n"/>
      <c r="BW482" s="53" t="n"/>
      <c r="BX482" s="53" t="n"/>
      <c r="BY482" s="53" t="n"/>
      <c r="BZ482" s="53" t="n"/>
      <c r="CA482" s="53" t="n"/>
      <c r="CB482" s="53" t="n"/>
      <c r="CC482" s="53" t="n"/>
      <c r="CD482" s="53" t="n"/>
      <c r="CE482" s="53" t="n"/>
      <c r="CF482" s="53" t="n"/>
      <c r="CG482" s="53" t="n"/>
      <c r="CH482" s="53" t="n"/>
      <c r="CI482" s="53" t="n"/>
      <c r="CJ482" s="53" t="n"/>
      <c r="CK482" s="53" t="n"/>
      <c r="CL482" s="53" t="n"/>
      <c r="CM482" s="53" t="n"/>
      <c r="CN482" s="53" t="n"/>
      <c r="CO482" s="53" t="n"/>
      <c r="CP482" s="53" t="n"/>
      <c r="CQ482" s="53" t="n"/>
      <c r="CR482" s="53" t="n"/>
      <c r="CS482" s="53" t="n"/>
      <c r="CT482" s="53" t="n"/>
      <c r="CU482" s="53" t="n"/>
      <c r="CV482" s="53" t="n"/>
      <c r="CW482" s="53" t="n"/>
      <c r="CX482" s="53" t="n"/>
      <c r="CY482" s="53" t="n"/>
      <c r="CZ482" s="53" t="n"/>
      <c r="DA482" s="53" t="n"/>
      <c r="DB482" s="53" t="n"/>
      <c r="DC482" s="53" t="n"/>
      <c r="DD482" s="53" t="n"/>
      <c r="DE482" s="53" t="n"/>
      <c r="DF482" s="53" t="n"/>
      <c r="DG482" s="53" t="n"/>
      <c r="DH482" s="53" t="n"/>
      <c r="DI482" s="53" t="n"/>
      <c r="DJ482" s="53" t="n"/>
      <c r="DK482" s="53" t="n"/>
      <c r="DL482" s="53" t="n"/>
      <c r="DM482" s="53" t="n"/>
      <c r="DN482" s="53" t="n"/>
      <c r="DO482" s="53" t="n"/>
      <c r="DP482" s="53" t="n"/>
      <c r="DQ482" s="53" t="n"/>
      <c r="DR482" s="53" t="n"/>
      <c r="DS482" s="53" t="n"/>
      <c r="DT482" s="53" t="n"/>
      <c r="DU482" s="53" t="n"/>
      <c r="DV482" s="53" t="n"/>
      <c r="DW482" s="53" t="n"/>
      <c r="DX482" s="53" t="n"/>
      <c r="DY482" s="53" t="n"/>
      <c r="DZ482" s="53" t="n"/>
      <c r="EA482" s="53" t="n"/>
      <c r="EB482" s="53" t="n"/>
      <c r="EC482" s="53" t="n"/>
      <c r="ED482" s="53" t="n"/>
      <c r="EE482" s="53" t="n"/>
      <c r="EF482" s="53" t="n"/>
      <c r="EG482" s="53" t="n"/>
      <c r="EH482" s="53" t="n"/>
      <c r="EI482" s="53" t="n"/>
      <c r="EJ482" s="53" t="n"/>
      <c r="EK482" s="53" t="n"/>
      <c r="EL482" s="53" t="n"/>
      <c r="EM482" s="53" t="n"/>
      <c r="EN482" s="53" t="n"/>
      <c r="EO482" s="53" t="n"/>
      <c r="EP482" s="53" t="n"/>
      <c r="EQ482" s="53" t="n"/>
      <c r="ER482" s="53" t="n"/>
      <c r="ES482" s="53" t="n"/>
      <c r="ET482" s="53" t="n"/>
      <c r="EU482" s="53" t="n"/>
      <c r="EV482" s="53" t="n"/>
      <c r="EW482" s="52" t="n"/>
      <c r="EX482" s="53" t="n"/>
      <c r="EY482" s="53" t="n"/>
      <c r="EZ482" s="53" t="n"/>
      <c r="FA482" s="53" t="n"/>
      <c r="FB482" s="53" t="n"/>
      <c r="FC482" s="53" t="n"/>
      <c r="FD482" s="53" t="n"/>
      <c r="FE482" s="55" t="inlineStr">
        <is>
          <t>KRAs not received · manager to supply</t>
        </is>
      </c>
      <c r="FF482" s="56" t="n"/>
      <c r="FG482" s="56" t="n"/>
      <c r="FH482" s="56" t="n"/>
      <c r="FI482" s="56" t="n"/>
      <c r="FJ482" s="32" t="inlineStr">
        <is>
          <t>KRAs not received · manager to supply</t>
        </is>
      </c>
      <c r="FK482" s="56" t="n"/>
      <c r="FL482" s="56" t="n">
        <v>19</v>
      </c>
      <c r="FM482" s="32" t="inlineStr">
        <is>
          <t>Full survey answers not in the files received · How We Grow export needed · HR</t>
        </is>
      </c>
      <c r="FN482" s="56" t="inlineStr">
        <is>
          <t>—</t>
        </is>
      </c>
      <c r="FO482" s="56" t="inlineStr">
        <is>
          <t>—</t>
        </is>
      </c>
      <c r="FP482" s="56" t="inlineStr">
        <is>
          <t>—</t>
        </is>
      </c>
      <c r="FQ482" s="56" t="inlineStr">
        <is>
          <t>—</t>
        </is>
      </c>
      <c r="FR482" s="56"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rater; not quoted → matches the start
Leadership: Evidence reads like A1: Partners with stakeholders; no guidance of others described → moved down 0.5
Business Impact: No survey or manager-mapping signal on criticality: kept at the start point.</t>
        </is>
      </c>
      <c r="FS482"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82" s="56" t="inlineStr">
        <is>
          <t>Self-identified: Leadership &amp; people management · Strategy &amp; business acumen
For the next role: Leadership &amp; people management · Strategy &amp; business acumen</t>
        </is>
      </c>
      <c r="FU482" s="32" t="inlineStr">
        <is>
          <t>Full survey answers not in the files received · How We Grow export needed · HR</t>
        </is>
      </c>
    </row>
    <row r="483" ht="90" customHeight="1">
      <c r="A483" s="51" t="inlineStr">
        <is>
          <t>◂ Back</t>
        </is>
      </c>
      <c r="B483" s="29" t="inlineStr">
        <is>
          <t>Mapped</t>
        </is>
      </c>
      <c r="C483" s="28" t="inlineStr">
        <is>
          <t>Corporate</t>
        </is>
      </c>
      <c r="D483" s="29" t="inlineStr">
        <is>
          <t>IRIS2060</t>
        </is>
      </c>
      <c r="E483" s="29" t="inlineStr">
        <is>
          <t>P K X Thomas</t>
        </is>
      </c>
      <c r="F483" s="29" t="inlineStr">
        <is>
          <t>Technology</t>
        </is>
      </c>
      <c r="G483" s="29" t="inlineStr">
        <is>
          <t>Chief Technology Officer</t>
        </is>
      </c>
      <c r="H483" s="29" t="inlineStr">
        <is>
          <t>Chief Technology Officer</t>
        </is>
      </c>
      <c r="I483" s="29" t="inlineStr">
        <is>
          <t>Not in current mapping files</t>
        </is>
      </c>
      <c r="J483" s="29" t="inlineStr">
        <is>
          <t>E1</t>
        </is>
      </c>
      <c r="K483" s="29" t="inlineStr">
        <is>
          <t>● Newly mapped</t>
        </is>
      </c>
      <c r="L483" s="29" t="inlineStr">
        <is>
          <t>Executive Leadership</t>
        </is>
      </c>
      <c r="M483" s="29" t="inlineStr">
        <is>
          <t>Business Head</t>
        </is>
      </c>
      <c r="N483" s="29" t="inlineStr">
        <is>
          <t>• Survey response or KRAs describing the work · nothing on file — Employee + manager</t>
        </is>
      </c>
      <c r="O483" s="29" t="n">
        <v>0</v>
      </c>
      <c r="P483" s="28" t="inlineStr">
        <is>
          <t>E5</t>
        </is>
      </c>
      <c r="Q483" s="29" t="inlineStr">
        <is>
          <t>C-Level</t>
        </is>
      </c>
      <c r="R483" s="29" t="inlineStr">
        <is>
          <t>7</t>
        </is>
      </c>
      <c r="S483" s="29" t="inlineStr">
        <is>
          <t>20+ yrs</t>
        </is>
      </c>
      <c r="T483" s="29" t="inlineStr">
        <is>
          <t>—</t>
        </is>
      </c>
      <c r="U483" s="29" t="inlineStr">
        <is>
          <t>CXO · functional chief</t>
        </is>
      </c>
      <c r="V483" s="29" t="inlineStr">
        <is>
          <t>IRIS Vs Market Benchmark — Aon Radford / Mercer executive codes: E5 C-level · functional · IRIS Vs Competitor Benchmark — regtech / SaaS executive titles: CTO · CFO · CRO · CCO · COO</t>
        </is>
      </c>
      <c r="W483" s="29" t="inlineStr">
        <is>
          <t>Aon Radford executive levels E1–E6; Mercer ET1–ET3; Korn Ferry Leadership Architect</t>
        </is>
      </c>
      <c r="X483" s="29" t="inlineStr">
        <is>
          <t>Core 5 · Future 5 · Functional 4 · Leadership 5</t>
        </is>
      </c>
      <c r="Y483" s="52" t="n">
        <v>240</v>
      </c>
      <c r="Z483" s="53" t="inlineStr">
        <is>
          <t>IRIS2060</t>
        </is>
      </c>
      <c r="AA483" s="53" t="inlineStr">
        <is>
          <t>Employee</t>
        </is>
      </c>
      <c r="AB483" s="53" t="inlineStr">
        <is>
          <t>Active</t>
        </is>
      </c>
      <c r="AC483" s="53" t="inlineStr">
        <is>
          <t>P K X Thomas</t>
        </is>
      </c>
      <c r="AD483" s="54" t="n">
        <v>44805</v>
      </c>
      <c r="AE483" s="53" t="inlineStr">
        <is>
          <t>Chief Technology Officer</t>
        </is>
      </c>
      <c r="AF483" s="53" t="inlineStr">
        <is>
          <t>MCA</t>
        </is>
      </c>
      <c r="AG483" s="53" t="inlineStr">
        <is>
          <t>-</t>
        </is>
      </c>
      <c r="AH483" s="53" t="inlineStr">
        <is>
          <t>N</t>
        </is>
      </c>
      <c r="AI483" s="53" t="inlineStr">
        <is>
          <t>Manager</t>
        </is>
      </c>
      <c r="AJ483" s="53" t="inlineStr">
        <is>
          <t>30 years, 10 months, 0 days</t>
        </is>
      </c>
      <c r="AK483" s="53" t="inlineStr">
        <is>
          <t>3 years, 11 months, 24 days</t>
        </is>
      </c>
      <c r="AL483" s="53" t="inlineStr">
        <is>
          <t>Corporate</t>
        </is>
      </c>
      <c r="AM483" s="53" t="inlineStr">
        <is>
          <t>Corporate</t>
        </is>
      </c>
      <c r="AN483" s="53" t="inlineStr">
        <is>
          <t>Technology</t>
        </is>
      </c>
      <c r="AO483" s="53" t="inlineStr">
        <is>
          <t>Management</t>
        </is>
      </c>
      <c r="AP483" s="53" t="inlineStr">
        <is>
          <t>No</t>
        </is>
      </c>
      <c r="AQ483" s="53" t="inlineStr">
        <is>
          <t>Management</t>
        </is>
      </c>
      <c r="AR483" s="53" t="inlineStr">
        <is>
          <t>Management</t>
        </is>
      </c>
      <c r="AS483" s="53" t="inlineStr">
        <is>
          <t>Non-technical</t>
        </is>
      </c>
      <c r="AT483" s="53" t="n">
        <v>0</v>
      </c>
      <c r="AU483" s="53" t="inlineStr">
        <is>
          <t>E-Top management</t>
        </is>
      </c>
      <c r="AV483" s="53" t="n"/>
      <c r="AW483" s="53" t="n"/>
      <c r="AX483" s="53" t="n"/>
      <c r="AY483" s="53" t="n"/>
      <c r="AZ483" s="53" t="n"/>
      <c r="BA483" s="53" t="n"/>
      <c r="BB483" s="53" t="n"/>
      <c r="BC483" s="53" t="n"/>
      <c r="BD483" s="53" t="n"/>
      <c r="BE483" s="53" t="n"/>
      <c r="BF483" s="53" t="n"/>
      <c r="BG483" s="53" t="n"/>
      <c r="BH483" s="53" t="n"/>
      <c r="BI483" s="53" t="n"/>
      <c r="BJ483" s="53" t="n"/>
      <c r="BK483" s="53" t="n"/>
      <c r="BL483" s="53" t="n"/>
      <c r="BM483" s="53" t="n"/>
      <c r="BN483" s="53" t="n"/>
      <c r="BO483" s="53" t="n"/>
      <c r="BP483" s="53" t="n"/>
      <c r="BQ483" s="53" t="n"/>
      <c r="BR483" s="53" t="n"/>
      <c r="BS483" s="53" t="n"/>
      <c r="BT483" s="53" t="n"/>
      <c r="BU483" s="53" t="n"/>
      <c r="BV483" s="53" t="n"/>
      <c r="BW483" s="53" t="n"/>
      <c r="BX483" s="53" t="n"/>
      <c r="BY483" s="53" t="n"/>
      <c r="BZ483" s="53" t="n"/>
      <c r="CA483" s="53" t="n"/>
      <c r="CB483" s="53" t="n"/>
      <c r="CC483" s="53" t="n"/>
      <c r="CD483" s="53" t="n"/>
      <c r="CE483" s="53" t="n"/>
      <c r="CF483" s="53" t="n"/>
      <c r="CG483" s="53" t="n"/>
      <c r="CH483" s="53" t="n"/>
      <c r="CI483" s="53" t="n"/>
      <c r="CJ483" s="53" t="n"/>
      <c r="CK483" s="53" t="n"/>
      <c r="CL483" s="53" t="n"/>
      <c r="CM483" s="53" t="n"/>
      <c r="CN483" s="53" t="n"/>
      <c r="CO483" s="53" t="n"/>
      <c r="CP483" s="53" t="n"/>
      <c r="CQ483" s="53" t="n"/>
      <c r="CR483" s="53" t="n"/>
      <c r="CS483" s="53" t="n"/>
      <c r="CT483" s="53" t="n"/>
      <c r="CU483" s="53" t="n"/>
      <c r="CV483" s="53" t="n"/>
      <c r="CW483" s="53" t="n"/>
      <c r="CX483" s="53" t="n"/>
      <c r="CY483" s="53" t="n"/>
      <c r="CZ483" s="53" t="n"/>
      <c r="DA483" s="53" t="n"/>
      <c r="DB483" s="53" t="n"/>
      <c r="DC483" s="53" t="n"/>
      <c r="DD483" s="53" t="n"/>
      <c r="DE483" s="53" t="n"/>
      <c r="DF483" s="53" t="n"/>
      <c r="DG483" s="53" t="n"/>
      <c r="DH483" s="53" t="n"/>
      <c r="DI483" s="53" t="n"/>
      <c r="DJ483" s="53" t="n"/>
      <c r="DK483" s="53" t="n"/>
      <c r="DL483" s="53" t="n"/>
      <c r="DM483" s="53" t="n"/>
      <c r="DN483" s="53" t="n"/>
      <c r="DO483" s="53" t="n"/>
      <c r="DP483" s="53" t="n"/>
      <c r="DQ483" s="53" t="n"/>
      <c r="DR483" s="53" t="n"/>
      <c r="DS483" s="53" t="n"/>
      <c r="DT483" s="53" t="n"/>
      <c r="DU483" s="53" t="n"/>
      <c r="DV483" s="53" t="n"/>
      <c r="DW483" s="53" t="n"/>
      <c r="DX483" s="53" t="n"/>
      <c r="DY483" s="53" t="n"/>
      <c r="DZ483" s="53" t="n"/>
      <c r="EA483" s="53" t="n"/>
      <c r="EB483" s="53" t="n"/>
      <c r="EC483" s="53" t="n"/>
      <c r="ED483" s="53" t="n"/>
      <c r="EE483" s="53" t="n"/>
      <c r="EF483" s="53" t="n"/>
      <c r="EG483" s="53" t="n"/>
      <c r="EH483" s="53" t="n"/>
      <c r="EI483" s="53" t="n"/>
      <c r="EJ483" s="53" t="n"/>
      <c r="EK483" s="53" t="n"/>
      <c r="EL483" s="53" t="n"/>
      <c r="EM483" s="53" t="n"/>
      <c r="EN483" s="53" t="n"/>
      <c r="EO483" s="53" t="n"/>
      <c r="EP483" s="53" t="n"/>
      <c r="EQ483" s="53" t="n"/>
      <c r="ER483" s="53" t="n"/>
      <c r="ES483" s="53" t="n"/>
      <c r="ET483" s="53" t="n"/>
      <c r="EU483" s="53" t="n"/>
      <c r="EV483" s="53" t="n"/>
      <c r="EW483" s="52" t="n"/>
      <c r="EX483" s="53" t="n"/>
      <c r="EY483" s="53" t="n"/>
      <c r="EZ483" s="53" t="n"/>
      <c r="FA483" s="53" t="n"/>
      <c r="FB483" s="53" t="n"/>
      <c r="FC483" s="53" t="n"/>
      <c r="FD483" s="53" t="n"/>
      <c r="FE483" s="55" t="inlineStr">
        <is>
          <t>KRAs not received · manager to supply</t>
        </is>
      </c>
      <c r="FF483" s="56" t="n"/>
      <c r="FG483" s="56" t="n"/>
      <c r="FH483" s="56" t="n"/>
      <c r="FI483" s="56" t="n"/>
      <c r="FJ483" s="32" t="inlineStr">
        <is>
          <t>KRAs not received · manager to supply</t>
        </is>
      </c>
      <c r="FK483" s="56" t="n"/>
      <c r="FL483" s="56" t="n">
        <v>0</v>
      </c>
      <c r="FM483" s="32" t="inlineStr">
        <is>
          <t>No survey response on file</t>
        </is>
      </c>
      <c r="FN483" s="56" t="inlineStr">
        <is>
          <t>—</t>
        </is>
      </c>
      <c r="FO483" s="56" t="inlineStr">
        <is>
          <t>—</t>
        </is>
      </c>
      <c r="FP483" s="56" t="inlineStr">
        <is>
          <t>—</t>
        </is>
      </c>
      <c r="FQ483" s="56" t="inlineStr">
        <is>
          <t>—</t>
        </is>
      </c>
      <c r="FR48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83" s="56" t="n"/>
      <c r="FT483" s="56" t="n"/>
      <c r="FU483" s="32" t="inlineStr">
        <is>
          <t>No survey response on file</t>
        </is>
      </c>
    </row>
    <row r="484" ht="90" customHeight="1">
      <c r="A484" s="51" t="inlineStr">
        <is>
          <t>◂ Back</t>
        </is>
      </c>
      <c r="B484" s="29" t="inlineStr">
        <is>
          <t>Mapped</t>
        </is>
      </c>
      <c r="C484" s="28" t="inlineStr">
        <is>
          <t>CARBON</t>
        </is>
      </c>
      <c r="D484" s="29" t="inlineStr">
        <is>
          <t>IRIS0249</t>
        </is>
      </c>
      <c r="E484" s="29" t="inlineStr">
        <is>
          <t>Ashish Singhvi</t>
        </is>
      </c>
      <c r="F484" s="29" t="inlineStr">
        <is>
          <t>Technology</t>
        </is>
      </c>
      <c r="G484" s="29" t="inlineStr">
        <is>
          <t>Product Engineering Head</t>
        </is>
      </c>
      <c r="H484" s="29" t="inlineStr">
        <is>
          <t>Head – Product Engineering</t>
        </is>
      </c>
      <c r="I484" s="29" t="inlineStr">
        <is>
          <t>Not in current mapping files</t>
        </is>
      </c>
      <c r="J484" s="29" t="inlineStr">
        <is>
          <t>C2</t>
        </is>
      </c>
      <c r="K484" s="29" t="inlineStr">
        <is>
          <t>● Newly mapped</t>
        </is>
      </c>
      <c r="L484" s="29" t="inlineStr">
        <is>
          <t>Executive Leadership</t>
        </is>
      </c>
      <c r="M484" s="29" t="inlineStr">
        <is>
          <t>Business Head</t>
        </is>
      </c>
      <c r="N484" s="29" t="inlineStr">
        <is>
          <t>• Survey response or KRAs describing the work · nothing on file — Employee + manager</t>
        </is>
      </c>
      <c r="O484" s="29" t="n">
        <v>0</v>
      </c>
      <c r="P484" s="28" t="inlineStr">
        <is>
          <t>P7 / M6</t>
        </is>
      </c>
      <c r="Q484" s="29" t="inlineStr">
        <is>
          <t>— / Senior Director</t>
        </is>
      </c>
      <c r="R484" s="29" t="inlineStr">
        <is>
          <t>6 Initiate, influence</t>
        </is>
      </c>
      <c r="S484" s="29" t="inlineStr">
        <is>
          <t>12–17 yrs</t>
        </is>
      </c>
      <c r="T484" s="29" t="inlineStr">
        <is>
          <t>—</t>
        </is>
      </c>
      <c r="U484" s="29" t="inlineStr">
        <is>
          <t>Senior Head / General Manager</t>
        </is>
      </c>
      <c r="V484" s="29" t="inlineStr">
        <is>
          <t>Salesforce: Architect / Principal Architect · Atlassian: P70 · Freshworks: Principal Engineer · IRIS Vs Competitor Benchmark — engineering managers: Director Engineering</t>
        </is>
      </c>
      <c r="W484" s="29" t="inlineStr">
        <is>
          <t>SFIA 9 · software development, programming; OWASP secure coding; cloud vendor certifications</t>
        </is>
      </c>
      <c r="X484" s="29" t="inlineStr">
        <is>
          <t>Core 4 · Future 4 · Functional 5 · Leadership 4</t>
        </is>
      </c>
      <c r="Y484" s="52" t="n">
        <v>45</v>
      </c>
      <c r="Z484" s="53" t="inlineStr">
        <is>
          <t>IRIS0249</t>
        </is>
      </c>
      <c r="AA484" s="53" t="inlineStr">
        <is>
          <t>Employee</t>
        </is>
      </c>
      <c r="AB484" s="53" t="inlineStr">
        <is>
          <t>Active</t>
        </is>
      </c>
      <c r="AC484" s="53" t="inlineStr">
        <is>
          <t>Ashish Singhvi</t>
        </is>
      </c>
      <c r="AD484" s="54" t="n">
        <v>39834</v>
      </c>
      <c r="AE484" s="53" t="inlineStr">
        <is>
          <t>Product Engineering Head</t>
        </is>
      </c>
      <c r="AF484" s="53" t="inlineStr">
        <is>
          <t>MCA</t>
        </is>
      </c>
      <c r="AG484" s="53" t="inlineStr">
        <is>
          <t>P K X Thomas</t>
        </is>
      </c>
      <c r="AH484" s="53" t="inlineStr">
        <is>
          <t>N-1</t>
        </is>
      </c>
      <c r="AI484" s="53" t="inlineStr">
        <is>
          <t>Manager</t>
        </is>
      </c>
      <c r="AJ484" s="53" t="inlineStr">
        <is>
          <t>0 years, 0 months, 0 days</t>
        </is>
      </c>
      <c r="AK484" s="53" t="inlineStr">
        <is>
          <t>17 years, 7 months, 4 days</t>
        </is>
      </c>
      <c r="AL484" s="53" t="inlineStr">
        <is>
          <t>Regtech</t>
        </is>
      </c>
      <c r="AM484" s="53" t="inlineStr">
        <is>
          <t>CARBON</t>
        </is>
      </c>
      <c r="AN484" s="53" t="inlineStr">
        <is>
          <t>Technology</t>
        </is>
      </c>
      <c r="AO484" s="53" t="inlineStr">
        <is>
          <t>Development</t>
        </is>
      </c>
      <c r="AP484" s="53" t="inlineStr">
        <is>
          <t>Yes</t>
        </is>
      </c>
      <c r="AQ484" s="53" t="inlineStr">
        <is>
          <t>Product/Project</t>
        </is>
      </c>
      <c r="AR484" s="53" t="inlineStr">
        <is>
          <t>.NET MVC</t>
        </is>
      </c>
      <c r="AS484" s="53" t="inlineStr">
        <is>
          <t>Technical - Developer</t>
        </is>
      </c>
      <c r="AT484" s="53" t="n">
        <v>0</v>
      </c>
      <c r="AU484" s="53" t="inlineStr">
        <is>
          <t>E-Top management</t>
        </is>
      </c>
      <c r="AV484" s="53" t="n"/>
      <c r="AW484" s="53" t="n"/>
      <c r="AX484" s="53" t="n"/>
      <c r="AY484" s="53" t="n"/>
      <c r="AZ484" s="53" t="n"/>
      <c r="BA484" s="53" t="n"/>
      <c r="BB484" s="53" t="n"/>
      <c r="BC484" s="53" t="n"/>
      <c r="BD484" s="53" t="n"/>
      <c r="BE484" s="53" t="n"/>
      <c r="BF484" s="53" t="n"/>
      <c r="BG484" s="53" t="n"/>
      <c r="BH484" s="53" t="n"/>
      <c r="BI484" s="53" t="n"/>
      <c r="BJ484" s="53" t="n"/>
      <c r="BK484" s="53" t="n"/>
      <c r="BL484" s="53" t="n"/>
      <c r="BM484" s="53" t="n"/>
      <c r="BN484" s="53" t="n"/>
      <c r="BO484" s="53" t="n"/>
      <c r="BP484" s="53" t="n"/>
      <c r="BQ484" s="53" t="n"/>
      <c r="BR484" s="53" t="n"/>
      <c r="BS484" s="53" t="n"/>
      <c r="BT484" s="53" t="n"/>
      <c r="BU484" s="53" t="n"/>
      <c r="BV484" s="53" t="n"/>
      <c r="BW484" s="53" t="n"/>
      <c r="BX484" s="53" t="n"/>
      <c r="BY484" s="53" t="n"/>
      <c r="BZ484" s="53" t="n"/>
      <c r="CA484" s="53" t="n"/>
      <c r="CB484" s="53" t="n"/>
      <c r="CC484" s="53" t="n"/>
      <c r="CD484" s="53" t="n"/>
      <c r="CE484" s="53" t="n"/>
      <c r="CF484" s="53" t="n"/>
      <c r="CG484" s="53" t="n"/>
      <c r="CH484" s="53" t="n"/>
      <c r="CI484" s="53" t="n"/>
      <c r="CJ484" s="53" t="n"/>
      <c r="CK484" s="53" t="n"/>
      <c r="CL484" s="53" t="n"/>
      <c r="CM484" s="53" t="n"/>
      <c r="CN484" s="53" t="n"/>
      <c r="CO484" s="53" t="n"/>
      <c r="CP484" s="53" t="n"/>
      <c r="CQ484" s="53" t="n"/>
      <c r="CR484" s="53" t="n"/>
      <c r="CS484" s="53" t="n"/>
      <c r="CT484" s="53" t="n"/>
      <c r="CU484" s="53" t="n"/>
      <c r="CV484" s="53" t="n"/>
      <c r="CW484" s="53" t="n"/>
      <c r="CX484" s="53" t="n"/>
      <c r="CY484" s="53" t="n"/>
      <c r="CZ484" s="53" t="n"/>
      <c r="DA484" s="53" t="n"/>
      <c r="DB484" s="53" t="n"/>
      <c r="DC484" s="53" t="n"/>
      <c r="DD484" s="53" t="n"/>
      <c r="DE484" s="53" t="n"/>
      <c r="DF484" s="53" t="n"/>
      <c r="DG484" s="53" t="n"/>
      <c r="DH484" s="53" t="n"/>
      <c r="DI484" s="53" t="n"/>
      <c r="DJ484" s="53" t="n"/>
      <c r="DK484" s="53" t="n"/>
      <c r="DL484" s="53" t="n"/>
      <c r="DM484" s="53" t="n"/>
      <c r="DN484" s="53" t="n"/>
      <c r="DO484" s="53" t="n"/>
      <c r="DP484" s="53" t="n"/>
      <c r="DQ484" s="53" t="n"/>
      <c r="DR484" s="53" t="n"/>
      <c r="DS484" s="53" t="n"/>
      <c r="DT484" s="53" t="n"/>
      <c r="DU484" s="53" t="n"/>
      <c r="DV484" s="53" t="n"/>
      <c r="DW484" s="53" t="n"/>
      <c r="DX484" s="53" t="n"/>
      <c r="DY484" s="53" t="n"/>
      <c r="DZ484" s="53" t="n"/>
      <c r="EA484" s="53" t="n"/>
      <c r="EB484" s="53" t="n"/>
      <c r="EC484" s="53" t="n"/>
      <c r="ED484" s="53" t="n"/>
      <c r="EE484" s="53" t="n"/>
      <c r="EF484" s="53" t="n"/>
      <c r="EG484" s="53" t="n"/>
      <c r="EH484" s="53" t="n"/>
      <c r="EI484" s="53" t="n"/>
      <c r="EJ484" s="53" t="n"/>
      <c r="EK484" s="53" t="n"/>
      <c r="EL484" s="53" t="n"/>
      <c r="EM484" s="53" t="n"/>
      <c r="EN484" s="53" t="n"/>
      <c r="EO484" s="53" t="n"/>
      <c r="EP484" s="53" t="n"/>
      <c r="EQ484" s="53" t="n"/>
      <c r="ER484" s="53" t="n"/>
      <c r="ES484" s="53" t="n"/>
      <c r="ET484" s="53" t="n"/>
      <c r="EU484" s="53" t="n"/>
      <c r="EV484" s="53" t="n"/>
      <c r="EW484" s="52" t="n"/>
      <c r="EX484" s="53" t="n"/>
      <c r="EY484" s="53" t="n"/>
      <c r="EZ484" s="53" t="n"/>
      <c r="FA484" s="53" t="n"/>
      <c r="FB484" s="53" t="n"/>
      <c r="FC484" s="53" t="n"/>
      <c r="FD484" s="53" t="n"/>
      <c r="FE484" s="55" t="inlineStr">
        <is>
          <t>KRAs not received · manager to supply</t>
        </is>
      </c>
      <c r="FF484" s="56" t="n"/>
      <c r="FG484" s="56" t="n"/>
      <c r="FH484" s="56" t="n"/>
      <c r="FI484" s="56" t="n"/>
      <c r="FJ484" s="32" t="inlineStr">
        <is>
          <t>KRAs not received · manager to supply</t>
        </is>
      </c>
      <c r="FK484" s="56" t="n"/>
      <c r="FL484" s="56" t="n">
        <v>0</v>
      </c>
      <c r="FM484" s="32" t="inlineStr">
        <is>
          <t>No survey response on file</t>
        </is>
      </c>
      <c r="FN484" s="56" t="inlineStr">
        <is>
          <t>—</t>
        </is>
      </c>
      <c r="FO484" s="56" t="inlineStr">
        <is>
          <t>—</t>
        </is>
      </c>
      <c r="FP484" s="56" t="inlineStr">
        <is>
          <t>—</t>
        </is>
      </c>
      <c r="FQ484" s="56" t="inlineStr">
        <is>
          <t>—</t>
        </is>
      </c>
      <c r="FR48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84" s="56" t="n"/>
      <c r="FT484" s="56" t="n"/>
      <c r="FU484" s="32" t="inlineStr">
        <is>
          <t>No survey response on file</t>
        </is>
      </c>
    </row>
    <row r="485" ht="90" customHeight="1">
      <c r="A485" s="51" t="inlineStr">
        <is>
          <t>◂ Back</t>
        </is>
      </c>
      <c r="B485" s="29" t="inlineStr">
        <is>
          <t>Mapped</t>
        </is>
      </c>
      <c r="C485" s="28" t="inlineStr">
        <is>
          <t>CARBON</t>
        </is>
      </c>
      <c r="D485" s="29" t="inlineStr">
        <is>
          <t>IRIS1832</t>
        </is>
      </c>
      <c r="E485" s="29" t="inlineStr">
        <is>
          <t>Chetan Kotwal</t>
        </is>
      </c>
      <c r="F485" s="29" t="inlineStr">
        <is>
          <t>Technology</t>
        </is>
      </c>
      <c r="G485" s="29" t="inlineStr">
        <is>
          <t>Lead Software Engineer</t>
        </is>
      </c>
      <c r="H485" s="29" t="inlineStr">
        <is>
          <t>Senior Engineering Manager</t>
        </is>
      </c>
      <c r="I485" s="29" t="inlineStr">
        <is>
          <t>L5 – Lead · IC</t>
        </is>
      </c>
      <c r="J485" s="29" t="inlineStr">
        <is>
          <t>B3</t>
        </is>
      </c>
      <c r="K485" s="29" t="inlineStr">
        <is>
          <t>• Same level</t>
        </is>
      </c>
      <c r="L485" s="29" t="inlineStr">
        <is>
          <t>Engineering &amp; Development</t>
        </is>
      </c>
      <c r="M485" s="29" t="inlineStr">
        <is>
          <t>Backend Development</t>
        </is>
      </c>
      <c r="N485" s="29" t="n"/>
      <c r="O485" s="29" t="n">
        <v>20</v>
      </c>
      <c r="P485" s="28" t="inlineStr">
        <is>
          <t>P5 / M4</t>
        </is>
      </c>
      <c r="Q485" s="29" t="inlineStr">
        <is>
          <t>Expert / Senior Manager</t>
        </is>
      </c>
      <c r="R485" s="29" t="inlineStr">
        <is>
          <t>5 Ensure, advise</t>
        </is>
      </c>
      <c r="S485" s="29" t="inlineStr">
        <is>
          <t>8–12 yrs</t>
        </is>
      </c>
      <c r="T485" s="29" t="inlineStr">
        <is>
          <t>9–13 · 9–14</t>
        </is>
      </c>
      <c r="U485" s="29" t="inlineStr">
        <is>
          <t>Senior Manager</t>
        </is>
      </c>
      <c r="V485" s="29" t="inlineStr">
        <is>
          <t>Workiva: Staff SE · Broadridge India: Senior Lead SE · Nasdaq / AxiomSL: Lead SE · Salesforce: LMTS · Atlassian: P50 Senior · Freshworks: Staff SE</t>
        </is>
      </c>
      <c r="W485" s="29" t="inlineStr">
        <is>
          <t>SFIA 9 · software development, programming; OWASP secure coding; cloud vendor certifications</t>
        </is>
      </c>
      <c r="X485" s="29" t="inlineStr">
        <is>
          <t>Core 4 · Future 3 · Functional 4 · Leadership 4</t>
        </is>
      </c>
      <c r="Y485" s="52" t="n">
        <v>163</v>
      </c>
      <c r="Z485" s="53" t="inlineStr">
        <is>
          <t>IRIS1832</t>
        </is>
      </c>
      <c r="AA485" s="53" t="inlineStr">
        <is>
          <t>Employee</t>
        </is>
      </c>
      <c r="AB485" s="53" t="inlineStr">
        <is>
          <t>Active</t>
        </is>
      </c>
      <c r="AC485" s="53" t="inlineStr">
        <is>
          <t>Chetan Kotwal</t>
        </is>
      </c>
      <c r="AD485" s="54" t="n">
        <v>43825</v>
      </c>
      <c r="AE485" s="53" t="inlineStr">
        <is>
          <t>Lead Software Engineer</t>
        </is>
      </c>
      <c r="AF485" s="53" t="inlineStr">
        <is>
          <t>B.E</t>
        </is>
      </c>
      <c r="AG485" s="53" t="inlineStr">
        <is>
          <t>Ashish Singhvi</t>
        </is>
      </c>
      <c r="AH485" s="53" t="inlineStr">
        <is>
          <t>N-2</t>
        </is>
      </c>
      <c r="AI485" s="53" t="inlineStr">
        <is>
          <t>Manager</t>
        </is>
      </c>
      <c r="AJ485" s="53" t="inlineStr">
        <is>
          <t>7 years, 0 months, 0 days</t>
        </is>
      </c>
      <c r="AK485" s="53" t="inlineStr">
        <is>
          <t>6 years, 7 months, 30 days</t>
        </is>
      </c>
      <c r="AL485" s="53" t="inlineStr">
        <is>
          <t>Regtech</t>
        </is>
      </c>
      <c r="AM485" s="53" t="inlineStr">
        <is>
          <t>CARBON</t>
        </is>
      </c>
      <c r="AN485" s="53" t="inlineStr">
        <is>
          <t>Technology</t>
        </is>
      </c>
      <c r="AO485" s="53" t="inlineStr">
        <is>
          <t>Development</t>
        </is>
      </c>
      <c r="AP485" s="53" t="inlineStr">
        <is>
          <t>Yes</t>
        </is>
      </c>
      <c r="AQ485" s="53" t="inlineStr">
        <is>
          <t>Product/Project</t>
        </is>
      </c>
      <c r="AR485" s="53" t="inlineStr">
        <is>
          <t>.NET MVC</t>
        </is>
      </c>
      <c r="AS485" s="53" t="inlineStr">
        <is>
          <t>Technical - Developer</t>
        </is>
      </c>
      <c r="AT485" s="53" t="n">
        <v>20</v>
      </c>
      <c r="AU485" s="53" t="inlineStr">
        <is>
          <t>Covered</t>
        </is>
      </c>
      <c r="AV485" s="53" t="inlineStr">
        <is>
          <t>IRIS1832</t>
        </is>
      </c>
      <c r="AW485" s="53" t="inlineStr">
        <is>
          <t>Chetan Kotwal</t>
        </is>
      </c>
      <c r="AX485" s="53" t="inlineStr">
        <is>
          <t>Technology</t>
        </is>
      </c>
      <c r="AY485" s="53" t="inlineStr">
        <is>
          <t>Engineering &amp; Development</t>
        </is>
      </c>
      <c r="AZ485" s="53" t="inlineStr">
        <is>
          <t>Full-Stack Engineering</t>
        </is>
      </c>
      <c r="BA485" s="53" t="n"/>
      <c r="BB485" s="53" t="n"/>
      <c r="BC485" s="53" t="inlineStr">
        <is>
          <t>Employee</t>
        </is>
      </c>
      <c r="BD485" s="53" t="inlineStr">
        <is>
          <t>Ashish Singhvi</t>
        </is>
      </c>
      <c r="BE485" s="53" t="inlineStr">
        <is>
          <t>Ashish Singhvi</t>
        </is>
      </c>
      <c r="BF485" s="53" t="inlineStr">
        <is>
          <t>No</t>
        </is>
      </c>
      <c r="BG485" s="53" t="inlineStr">
        <is>
          <t>Lead Software Engineer</t>
        </is>
      </c>
      <c r="BH485" s="53" t="inlineStr">
        <is>
          <t>Lead Software Engineer</t>
        </is>
      </c>
      <c r="BI485" s="53" t="inlineStr">
        <is>
          <t>No</t>
        </is>
      </c>
      <c r="BJ485" s="53" t="n">
        <v>3</v>
      </c>
      <c r="BK485" s="53" t="n">
        <v>3</v>
      </c>
      <c r="BL485" s="53" t="n">
        <v>0</v>
      </c>
      <c r="BM485" s="53" t="inlineStr">
        <is>
          <t>Review</t>
        </is>
      </c>
      <c r="BN485" s="53" t="n">
        <v>3</v>
      </c>
      <c r="BO485" s="53" t="n">
        <v>3</v>
      </c>
      <c r="BP485" s="53" t="n">
        <v>0</v>
      </c>
      <c r="BQ485" s="53" t="inlineStr">
        <is>
          <t>Review</t>
        </is>
      </c>
      <c r="BR485" s="53" t="inlineStr">
        <is>
          <t>No</t>
        </is>
      </c>
      <c r="BS485" s="53" t="inlineStr">
        <is>
          <t>L5 – Lead · IC</t>
        </is>
      </c>
      <c r="BT485" s="53" t="inlineStr">
        <is>
          <t>L5 – Lead · IC</t>
        </is>
      </c>
      <c r="BU485" s="53" t="inlineStr">
        <is>
          <t>No designation change — current record value carried forward</t>
        </is>
      </c>
      <c r="BV485" s="53"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W485" s="53" t="n"/>
      <c r="BX485" s="53" t="inlineStr">
        <is>
          <t>Global.</t>
        </is>
      </c>
      <c r="BY485" s="53" t="n"/>
      <c r="BZ485" s="53" t="n"/>
      <c r="CA485" s="53" t="n"/>
      <c r="CB485" s="53" t="n"/>
      <c r="CC485" s="53" t="n"/>
      <c r="CD485" s="53" t="n"/>
      <c r="CE485" s="53" t="n"/>
      <c r="CF485" s="53" t="n"/>
      <c r="CG485" s="53" t="n"/>
      <c r="CH485" s="53" t="n"/>
      <c r="CI485" s="53" t="n"/>
      <c r="CJ485" s="53" t="n"/>
      <c r="CK485" s="53" t="n"/>
      <c r="CL485" s="53" t="n"/>
      <c r="CM485" s="53" t="n"/>
      <c r="CN485" s="53" t="n"/>
      <c r="CO485" s="53" t="n"/>
      <c r="CP485" s="53" t="n"/>
      <c r="CQ485" s="53" t="n"/>
      <c r="CR485" s="53" t="n"/>
      <c r="CS485" s="53" t="n"/>
      <c r="CT485" s="53" t="n"/>
      <c r="CU485" s="53" t="n"/>
      <c r="CV485" s="53" t="n"/>
      <c r="CW485" s="53" t="n"/>
      <c r="CX485" s="53" t="n"/>
      <c r="CY485" s="53" t="n"/>
      <c r="CZ485" s="53" t="n"/>
      <c r="DA485" s="53" t="n"/>
      <c r="DB485" s="53" t="n"/>
      <c r="DC485" s="53" t="n"/>
      <c r="DD485" s="53" t="n"/>
      <c r="DE485" s="53" t="n"/>
      <c r="DF485" s="53" t="n"/>
      <c r="DG485" s="53" t="n"/>
      <c r="DH485" s="53" t="n"/>
      <c r="DI485" s="53" t="n"/>
      <c r="DJ485" s="53" t="n"/>
      <c r="DK485" s="53" t="n"/>
      <c r="DL485" s="53" t="n"/>
      <c r="DM485" s="53" t="n"/>
      <c r="DN485" s="53" t="n"/>
      <c r="DO485" s="53" t="n"/>
      <c r="DP485" s="53" t="n"/>
      <c r="DQ485" s="53" t="n"/>
      <c r="DR485" s="53" t="n"/>
      <c r="DS485" s="53" t="n"/>
      <c r="DT485" s="53" t="n"/>
      <c r="DU485" s="53" t="n"/>
      <c r="DV485" s="53" t="n"/>
      <c r="DW485" s="53" t="n"/>
      <c r="DX485" s="53" t="n"/>
      <c r="DY485" s="53" t="n"/>
      <c r="DZ485" s="53" t="n"/>
      <c r="EA485" s="53" t="n"/>
      <c r="EB485" s="53" t="n"/>
      <c r="EC485" s="53" t="n"/>
      <c r="ED485" s="53" t="n"/>
      <c r="EE485" s="53" t="n"/>
      <c r="EF485" s="53" t="n"/>
      <c r="EG485" s="53" t="n"/>
      <c r="EH485" s="53" t="n"/>
      <c r="EI485" s="53" t="n"/>
      <c r="EJ485" s="53" t="n"/>
      <c r="EK485" s="53" t="n"/>
      <c r="EL485" s="53" t="n"/>
      <c r="EM485" s="53" t="n"/>
      <c r="EN485" s="53" t="n"/>
      <c r="EO485" s="53" t="n"/>
      <c r="EP485" s="53" t="n"/>
      <c r="EQ485" s="53" t="n"/>
      <c r="ER485" s="53" t="n"/>
      <c r="ES485" s="53" t="n"/>
      <c r="ET485" s="53" t="n"/>
      <c r="EU485" s="53" t="n"/>
      <c r="EV485" s="53" t="n"/>
      <c r="EW485" s="52" t="n"/>
      <c r="EX485" s="53"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EY485" s="53"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EZ485" s="53"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FA485" s="53"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B485" s="53" t="inlineStr">
        <is>
          <t>• Key challenges: Ad-hoc requirements; AI credits.
• Support required: More opportunities to contribute to architecture and long-term technical strategy.</t>
        </is>
      </c>
      <c r="FC485" s="53" t="n"/>
      <c r="FD485" s="53" t="n"/>
      <c r="FE485" s="57"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FF485" s="56" t="n"/>
      <c r="FG485" s="56" t="n"/>
      <c r="FH485" s="56" t="n"/>
      <c r="FI485" s="56" t="n"/>
      <c r="FJ485" s="56" t="inlineStr">
        <is>
          <t>Received · manager annual</t>
        </is>
      </c>
      <c r="FK485" s="56" t="inlineStr">
        <is>
          <t>CARBON Mapping Master</t>
        </is>
      </c>
      <c r="FL485" s="56" t="n">
        <v>20</v>
      </c>
      <c r="FM485" s="56"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FN485" s="56"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FO485" s="56"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FP485" s="56"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Q485" s="56" t="inlineStr">
        <is>
          <t>• Key challenges: Ad-hoc requirements; AI credits.
• Support required: More opportunities to contribute to architecture and long-term technical strategy.</t>
        </is>
      </c>
      <c r="FR485" s="56" t="inlineStr">
        <is>
          <t>Complexity: Evidence reads like B1: Technical feasibility analysis, solution design and resolving complex technical issues; few concrete objects named → moved down 0.5
Autonomy: Evidence reads like A3: Independently does R&amp;D on unknown challenges; no team-level calls stated → moved down 0.5
Accountability: Evidence reads like A3: Accountable for the features he owns being delivered with quality and on time → moved down 0.5
Leadership: Evidence reads like A3: 4 direct reports, but text only mentions team tuning and healthy team environment → moved down 0.5
Business Impact: No survey or manager-mapping signal on criticality: kept at the start point.</t>
        </is>
      </c>
      <c r="FS485"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485" s="56" t="inlineStr">
        <is>
          <t>Self-identified: Leadership &amp; people management · Technical depth &amp; architecture · Domain, regulatory &amp; XBRL · Communication &amp; presentation · Broader exposure &amp; ownership
For the next role: AI / automation · Leadership &amp; people management · Technical depth &amp; architecture · Domain, regulatory &amp; XBRL · Communication &amp; presentation · Broader exposure &amp; ownership</t>
        </is>
      </c>
      <c r="FU485" s="56" t="inlineStr">
        <is>
          <t>Per-person summary · CARBON Mapping Master</t>
        </is>
      </c>
    </row>
    <row r="486" ht="90" customHeight="1">
      <c r="A486" s="51" t="inlineStr">
        <is>
          <t>◂ Back</t>
        </is>
      </c>
      <c r="B486" s="29" t="inlineStr">
        <is>
          <t>Mapped</t>
        </is>
      </c>
      <c r="C486" s="28" t="inlineStr">
        <is>
          <t>CARBON</t>
        </is>
      </c>
      <c r="D486" s="29" t="inlineStr">
        <is>
          <t>IRIS1878</t>
        </is>
      </c>
      <c r="E486" s="29" t="inlineStr">
        <is>
          <t>Shailesh Koradiya</t>
        </is>
      </c>
      <c r="F486" s="29" t="inlineStr">
        <is>
          <t>Support</t>
        </is>
      </c>
      <c r="G486" s="29" t="inlineStr">
        <is>
          <t>Technical Support Lead</t>
        </is>
      </c>
      <c r="H486" s="29" t="inlineStr">
        <is>
          <t>DevOps Specialist – POD Lead</t>
        </is>
      </c>
      <c r="I486" s="29" t="inlineStr">
        <is>
          <t>L5 – Lead · IC</t>
        </is>
      </c>
      <c r="J486" s="29" t="inlineStr">
        <is>
          <t>B1</t>
        </is>
      </c>
      <c r="K486" s="29" t="inlineStr">
        <is>
          <t>▼ Down · protected</t>
        </is>
      </c>
      <c r="L486" s="29" t="inlineStr">
        <is>
          <t>Engineering &amp; Development</t>
        </is>
      </c>
      <c r="M486" s="29" t="inlineStr">
        <is>
          <t>DevOps &amp; Release Engineering</t>
        </is>
      </c>
      <c r="N486" s="29" t="n"/>
      <c r="O486" s="29" t="n">
        <v>20</v>
      </c>
      <c r="P486" s="28" t="inlineStr">
        <is>
          <t>P3 / M2</t>
        </is>
      </c>
      <c r="Q486" s="29" t="inlineStr">
        <is>
          <t>Career / · Team Lead</t>
        </is>
      </c>
      <c r="R486" s="29" t="inlineStr">
        <is>
          <t>4 Enable</t>
        </is>
      </c>
      <c r="S486" s="29" t="inlineStr">
        <is>
          <t>4–7 yrs</t>
        </is>
      </c>
      <c r="T486" s="29" t="inlineStr">
        <is>
          <t>5–8 · 4–8</t>
        </is>
      </c>
      <c r="U486" s="29" t="inlineStr">
        <is>
          <t>Senior Software Engineer</t>
        </is>
      </c>
      <c r="V486" s="29" t="inlineStr">
        <is>
          <t>Workiva: SE / Senior SE · Broadridge India: Senior SE · Nasdaq / AxiomSL: Senior SE · Salesforce: MTS · Atlassian: P40 · Freshworks: Senior SE</t>
        </is>
      </c>
      <c r="W486" s="29" t="inlineStr">
        <is>
          <t>SFIA 9 · software development, programming; OWASP secure coding; cloud vendor certifications</t>
        </is>
      </c>
      <c r="X486" s="29" t="inlineStr">
        <is>
          <t>Core 3 · Future 3 · Functional 3 · Leadership 2</t>
        </is>
      </c>
      <c r="Y486" s="52" t="n">
        <v>173</v>
      </c>
      <c r="Z486" s="53" t="inlineStr">
        <is>
          <t>IRIS1878</t>
        </is>
      </c>
      <c r="AA486" s="53" t="inlineStr">
        <is>
          <t>Employee</t>
        </is>
      </c>
      <c r="AB486" s="53" t="inlineStr">
        <is>
          <t>Active</t>
        </is>
      </c>
      <c r="AC486" s="53" t="inlineStr">
        <is>
          <t>Shailesh Koradiya</t>
        </is>
      </c>
      <c r="AD486" s="54" t="n">
        <v>44137</v>
      </c>
      <c r="AE486" s="53" t="inlineStr">
        <is>
          <t>Technical Support Lead</t>
        </is>
      </c>
      <c r="AF486" s="53" t="inlineStr">
        <is>
          <t>MCA</t>
        </is>
      </c>
      <c r="AG486" s="53" t="inlineStr">
        <is>
          <t>Chetan Kotwal</t>
        </is>
      </c>
      <c r="AH486" s="53" t="inlineStr">
        <is>
          <t>N-3</t>
        </is>
      </c>
      <c r="AI486" s="53" t="inlineStr">
        <is>
          <t>Manager</t>
        </is>
      </c>
      <c r="AJ486" s="53" t="inlineStr">
        <is>
          <t>7 years, 3 months, 0 days</t>
        </is>
      </c>
      <c r="AK486" s="53" t="inlineStr">
        <is>
          <t>5 years, 9 months, 23 days</t>
        </is>
      </c>
      <c r="AL486" s="53" t="inlineStr">
        <is>
          <t>Regtech</t>
        </is>
      </c>
      <c r="AM486" s="53" t="inlineStr">
        <is>
          <t>CARBON</t>
        </is>
      </c>
      <c r="AN486" s="53" t="inlineStr">
        <is>
          <t>Support</t>
        </is>
      </c>
      <c r="AO486" s="53" t="inlineStr">
        <is>
          <t>Tech Support</t>
        </is>
      </c>
      <c r="AP486" s="53" t="inlineStr">
        <is>
          <t>Yes</t>
        </is>
      </c>
      <c r="AQ486" s="53" t="inlineStr">
        <is>
          <t>Product/Project</t>
        </is>
      </c>
      <c r="AR486" s="53" t="inlineStr">
        <is>
          <t>.NET MVC</t>
        </is>
      </c>
      <c r="AS486" s="53" t="inlineStr">
        <is>
          <t>Technical - Developer</t>
        </is>
      </c>
      <c r="AT486" s="53" t="n">
        <v>20</v>
      </c>
      <c r="AU486" s="53" t="inlineStr">
        <is>
          <t>Covered</t>
        </is>
      </c>
      <c r="AV486" s="53" t="inlineStr">
        <is>
          <t>IRIS1878</t>
        </is>
      </c>
      <c r="AW486" s="53" t="inlineStr">
        <is>
          <t>Shailesh Koradiya</t>
        </is>
      </c>
      <c r="AX486" s="53" t="inlineStr">
        <is>
          <t>Technology</t>
        </is>
      </c>
      <c r="AY486" s="53" t="inlineStr">
        <is>
          <t>Engineering &amp; Development</t>
        </is>
      </c>
      <c r="AZ486" s="53" t="inlineStr">
        <is>
          <t>DevOps Engineering &amp; Suuport</t>
        </is>
      </c>
      <c r="BA486" s="53" t="n"/>
      <c r="BB486" s="53" t="n"/>
      <c r="BC486" s="53" t="inlineStr">
        <is>
          <t>Employee</t>
        </is>
      </c>
      <c r="BD486" s="53" t="inlineStr">
        <is>
          <t>Huzefa Petit</t>
        </is>
      </c>
      <c r="BE486" s="53" t="inlineStr">
        <is>
          <t>Huzefa Petit</t>
        </is>
      </c>
      <c r="BF486" s="53" t="inlineStr">
        <is>
          <t>No</t>
        </is>
      </c>
      <c r="BG486" s="53" t="inlineStr">
        <is>
          <t>Technical Support Lead</t>
        </is>
      </c>
      <c r="BH486" s="53" t="inlineStr">
        <is>
          <t>Technical Support Lead</t>
        </is>
      </c>
      <c r="BI486" s="53" t="inlineStr">
        <is>
          <t>No</t>
        </is>
      </c>
      <c r="BJ486" s="53" t="inlineStr">
        <is>
          <t>—</t>
        </is>
      </c>
      <c r="BK486" s="53" t="inlineStr">
        <is>
          <t>—</t>
        </is>
      </c>
      <c r="BL486" s="53" t="inlineStr">
        <is>
          <t>—</t>
        </is>
      </c>
      <c r="BM486" s="53" t="inlineStr">
        <is>
          <t>Not a manager</t>
        </is>
      </c>
      <c r="BN486" s="53" t="inlineStr">
        <is>
          <t>—</t>
        </is>
      </c>
      <c r="BO486" s="53" t="inlineStr">
        <is>
          <t>—</t>
        </is>
      </c>
      <c r="BP486" s="53" t="inlineStr">
        <is>
          <t>—</t>
        </is>
      </c>
      <c r="BQ486" s="53" t="inlineStr">
        <is>
          <t>Not a manager</t>
        </is>
      </c>
      <c r="BR486" s="53" t="inlineStr">
        <is>
          <t>—</t>
        </is>
      </c>
      <c r="BS486" s="53" t="inlineStr">
        <is>
          <t>L5 – Lead · IC</t>
        </is>
      </c>
      <c r="BT486" s="53" t="inlineStr">
        <is>
          <t>L5 – Lead · IC</t>
        </is>
      </c>
      <c r="BU486" s="53" t="inlineStr">
        <is>
          <t>No designation change — current record value carried forward</t>
        </is>
      </c>
      <c r="BV486" s="53"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W486" s="53" t="n"/>
      <c r="BX486" s="53" t="inlineStr">
        <is>
          <t>Global.</t>
        </is>
      </c>
      <c r="BY486" s="53" t="n"/>
      <c r="BZ486" s="53" t="n"/>
      <c r="CA486" s="53" t="n"/>
      <c r="CB486" s="53" t="n"/>
      <c r="CC486" s="53" t="n"/>
      <c r="CD486" s="53" t="n"/>
      <c r="CE486" s="53" t="n"/>
      <c r="CF486" s="53" t="n"/>
      <c r="CG486" s="53" t="n"/>
      <c r="CH486" s="53" t="n"/>
      <c r="CI486" s="53" t="n"/>
      <c r="CJ486" s="53" t="n"/>
      <c r="CK486" s="53" t="n"/>
      <c r="CL486" s="53" t="n"/>
      <c r="CM486" s="53" t="n"/>
      <c r="CN486" s="53" t="n"/>
      <c r="CO486" s="53" t="n"/>
      <c r="CP486" s="53" t="n"/>
      <c r="CQ486" s="53" t="n"/>
      <c r="CR486" s="53" t="n"/>
      <c r="CS486" s="53" t="n"/>
      <c r="CT486" s="53" t="n"/>
      <c r="CU486" s="53" t="n"/>
      <c r="CV486" s="53" t="n"/>
      <c r="CW486" s="53" t="n"/>
      <c r="CX486" s="53" t="n"/>
      <c r="CY486" s="53" t="n"/>
      <c r="CZ486" s="53" t="n"/>
      <c r="DA486" s="53" t="n"/>
      <c r="DB486" s="53" t="n"/>
      <c r="DC486" s="53" t="n"/>
      <c r="DD486" s="53" t="n"/>
      <c r="DE486" s="53" t="n"/>
      <c r="DF486" s="53" t="n"/>
      <c r="DG486" s="53" t="n"/>
      <c r="DH486" s="53" t="n"/>
      <c r="DI486" s="53" t="n"/>
      <c r="DJ486" s="53" t="n"/>
      <c r="DK486" s="53" t="n"/>
      <c r="DL486" s="53" t="n"/>
      <c r="DM486" s="53" t="n"/>
      <c r="DN486" s="53" t="n"/>
      <c r="DO486" s="53" t="n"/>
      <c r="DP486" s="53" t="n"/>
      <c r="DQ486" s="53" t="n"/>
      <c r="DR486" s="53" t="n"/>
      <c r="DS486" s="53" t="n"/>
      <c r="DT486" s="53" t="n"/>
      <c r="DU486" s="53" t="n"/>
      <c r="DV486" s="53" t="n"/>
      <c r="DW486" s="53" t="n"/>
      <c r="DX486" s="53" t="n"/>
      <c r="DY486" s="53" t="n"/>
      <c r="DZ486" s="53" t="n"/>
      <c r="EA486" s="53" t="n"/>
      <c r="EB486" s="53" t="n"/>
      <c r="EC486" s="53" t="n"/>
      <c r="ED486" s="53" t="n"/>
      <c r="EE486" s="53" t="n"/>
      <c r="EF486" s="53" t="n"/>
      <c r="EG486" s="53" t="n"/>
      <c r="EH486" s="53" t="n"/>
      <c r="EI486" s="53" t="n"/>
      <c r="EJ486" s="53" t="n"/>
      <c r="EK486" s="53" t="n"/>
      <c r="EL486" s="53" t="n"/>
      <c r="EM486" s="53" t="n"/>
      <c r="EN486" s="53" t="n"/>
      <c r="EO486" s="53" t="n"/>
      <c r="EP486" s="53" t="n"/>
      <c r="EQ486" s="53" t="n"/>
      <c r="ER486" s="53" t="n"/>
      <c r="ES486" s="53" t="n"/>
      <c r="ET486" s="53" t="n"/>
      <c r="EU486" s="53" t="n"/>
      <c r="EV486" s="53" t="n"/>
      <c r="EW486" s="52" t="inlineStr">
        <is>
          <t>Job rotation for dev work, Meet, Ayush and Harsh are getting devevloped for Support role</t>
        </is>
      </c>
      <c r="EX486" s="53"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EY486" s="53"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EZ486" s="53"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FA486" s="53"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B486" s="53" t="inlineStr">
        <is>
          <t>• Key challenges: Workload.
• Support required: Faster decision-making, clearer ownership, and reduced dependency on management approvals.</t>
        </is>
      </c>
      <c r="FC486" s="53" t="n"/>
      <c r="FD486" s="53" t="n"/>
      <c r="FE486" s="57"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FF486" s="56" t="n"/>
      <c r="FG486" s="56" t="n"/>
      <c r="FH486" s="56" t="n"/>
      <c r="FI486" s="56" t="n"/>
      <c r="FJ486" s="56" t="inlineStr">
        <is>
          <t>Received · manager annual</t>
        </is>
      </c>
      <c r="FK486" s="56" t="inlineStr">
        <is>
          <t>CARBON Mapping Master</t>
        </is>
      </c>
      <c r="FL486" s="56" t="n">
        <v>20</v>
      </c>
      <c r="FM486" s="56"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FN486" s="56"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FO486" s="56"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FP486" s="56"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Q486" s="56" t="inlineStr">
        <is>
          <t>• Key challenges: Workload.
• Support required: Faster decision-making, clearer ownership, and reduced dependency on management approvals.</t>
        </is>
      </c>
      <c r="FR486" s="56" t="inlineStr">
        <is>
          <t>Complexity: Evidence reads like A3: Jenkins CI/CD pipelines, deployments on Azure/Podman, troubleshooting and root-cause analysis; answers very brief → moved down 0.5
Autonomy: Evidence reads like B1: Decides deployment strategy for the application independently → matches the start
Accountability: Evidence reads like A3: own survey / KRA answers · summarised by the rater; not quoted → moved down 0.2
Leadership: Evidence reads like A1: No guidance described despite one report → moved down 0.5
Business Impact: No survey or manager-mapping signal on criticality: kept at the start point.</t>
        </is>
      </c>
      <c r="FS486" s="56" t="inlineStr">
        <is>
          <t>Common themes in sub-family holders, all levels' answers: support · devops activities
Common themes in sub-family holders, all levels' answers: application
If the work is missed · role-holders' themes: level.</t>
        </is>
      </c>
      <c r="FT486" s="56" t="inlineStr">
        <is>
          <t>Self-identified: AI / automation · Technical depth &amp; architecture · Broader exposure &amp; ownership
For the next role: AI / automation · Technical depth &amp; architecture · Broader exposure &amp; ownership</t>
        </is>
      </c>
      <c r="FU486" s="56" t="inlineStr">
        <is>
          <t>Per-person summary · CARBON Mapping Master</t>
        </is>
      </c>
    </row>
    <row r="487" ht="90" customHeight="1">
      <c r="A487" s="51" t="inlineStr">
        <is>
          <t>◂ Back</t>
        </is>
      </c>
      <c r="B487" s="29" t="inlineStr">
        <is>
          <t>Mapped</t>
        </is>
      </c>
      <c r="C487" s="28" t="inlineStr">
        <is>
          <t>CARBON</t>
        </is>
      </c>
      <c r="D487" s="29" t="inlineStr">
        <is>
          <t>IRIS1941</t>
        </is>
      </c>
      <c r="E487" s="29" t="inlineStr">
        <is>
          <t>Manish Yadav</t>
        </is>
      </c>
      <c r="F487" s="29" t="inlineStr">
        <is>
          <t>Support</t>
        </is>
      </c>
      <c r="G487" s="29" t="inlineStr">
        <is>
          <t>Software Engineer</t>
        </is>
      </c>
      <c r="H487" s="29" t="inlineStr">
        <is>
          <t>Senior Software Engineer</t>
        </is>
      </c>
      <c r="I487" s="29" t="inlineStr">
        <is>
          <t>L3 – Professional / Associate</t>
        </is>
      </c>
      <c r="J487" s="29" t="inlineStr">
        <is>
          <t>A3</t>
        </is>
      </c>
      <c r="K487" s="29" t="inlineStr">
        <is>
          <t>▲ Up</t>
        </is>
      </c>
      <c r="L487" s="29" t="inlineStr">
        <is>
          <t>Engineering &amp; Development</t>
        </is>
      </c>
      <c r="M487" s="29" t="inlineStr">
        <is>
          <t>Application Maintenance &amp; Production Support</t>
        </is>
      </c>
      <c r="N487" s="29" t="n"/>
      <c r="O487" s="29" t="n">
        <v>20</v>
      </c>
      <c r="P487" s="28" t="inlineStr">
        <is>
          <t>P2</t>
        </is>
      </c>
      <c r="Q487" s="29" t="inlineStr">
        <is>
          <t>Developing</t>
        </is>
      </c>
      <c r="R487" s="29" t="inlineStr">
        <is>
          <t>3 Apply</t>
        </is>
      </c>
      <c r="S487" s="29" t="inlineStr">
        <is>
          <t>2–4 yrs</t>
        </is>
      </c>
      <c r="T487" s="29" t="inlineStr">
        <is>
          <t>3–5 · 2–5</t>
        </is>
      </c>
      <c r="U487" s="29" t="inlineStr">
        <is>
          <t>Software Engineer</t>
        </is>
      </c>
      <c r="V487" s="29" t="inlineStr">
        <is>
          <t>Workiva: SE · Broadridge India: SE · Nasdaq / AxiomSL: SE · Salesforce: MTS · Atlassian: P40 · 3–7 yrs · Freshworks: Senior SE</t>
        </is>
      </c>
      <c r="W487" s="29" t="inlineStr">
        <is>
          <t>SFIA 9 · software development, programming; OWASP secure coding; cloud vendor certifications</t>
        </is>
      </c>
      <c r="X487" s="29" t="inlineStr">
        <is>
          <t>Core 2 · Future 2 · Functional 3 · Leadership not scored</t>
        </is>
      </c>
      <c r="Y487" s="52" t="n">
        <v>193</v>
      </c>
      <c r="Z487" s="53" t="inlineStr">
        <is>
          <t>IRIS1941</t>
        </is>
      </c>
      <c r="AA487" s="53" t="inlineStr">
        <is>
          <t>Employee</t>
        </is>
      </c>
      <c r="AB487" s="53" t="inlineStr">
        <is>
          <t>Active</t>
        </is>
      </c>
      <c r="AC487" s="53" t="inlineStr">
        <is>
          <t>Manish Yadav</t>
        </is>
      </c>
      <c r="AD487" s="54" t="n">
        <v>44410</v>
      </c>
      <c r="AE487" s="53" t="inlineStr">
        <is>
          <t>Software Engineer</t>
        </is>
      </c>
      <c r="AF487" s="53" t="inlineStr">
        <is>
          <t>B.E</t>
        </is>
      </c>
      <c r="AG487" s="53" t="inlineStr">
        <is>
          <t>Shailesh Koradiya</t>
        </is>
      </c>
      <c r="AH487" s="53" t="inlineStr">
        <is>
          <t>N-4</t>
        </is>
      </c>
      <c r="AI487" s="53" t="inlineStr">
        <is>
          <t>Individual Contributor</t>
        </is>
      </c>
      <c r="AJ487" s="53" t="inlineStr">
        <is>
          <t>0 years, 3 months, 0 days</t>
        </is>
      </c>
      <c r="AK487" s="53" t="inlineStr">
        <is>
          <t>5 years, 0 months, 23 days</t>
        </is>
      </c>
      <c r="AL487" s="53" t="inlineStr">
        <is>
          <t>Regtech</t>
        </is>
      </c>
      <c r="AM487" s="53" t="inlineStr">
        <is>
          <t>CARBON</t>
        </is>
      </c>
      <c r="AN487" s="53" t="inlineStr">
        <is>
          <t>Support</t>
        </is>
      </c>
      <c r="AO487" s="53" t="inlineStr">
        <is>
          <t>Tech Support</t>
        </is>
      </c>
      <c r="AP487" s="53" t="inlineStr">
        <is>
          <t>Yes</t>
        </is>
      </c>
      <c r="AQ487" s="53" t="inlineStr">
        <is>
          <t>Product/Project</t>
        </is>
      </c>
      <c r="AR487" s="53" t="inlineStr">
        <is>
          <t>.NET MVC</t>
        </is>
      </c>
      <c r="AS487" s="53" t="inlineStr">
        <is>
          <t>Technical - Developer</t>
        </is>
      </c>
      <c r="AT487" s="53" t="n">
        <v>20</v>
      </c>
      <c r="AU487" s="53" t="inlineStr">
        <is>
          <t>Covered</t>
        </is>
      </c>
      <c r="AV487" s="53" t="inlineStr">
        <is>
          <t>IRIS1941</t>
        </is>
      </c>
      <c r="AW487" s="53" t="inlineStr">
        <is>
          <t>Manish Yadav</t>
        </is>
      </c>
      <c r="AX487" s="53" t="inlineStr">
        <is>
          <t>Technology</t>
        </is>
      </c>
      <c r="AY487" s="53" t="inlineStr">
        <is>
          <t>Engineering &amp; Development</t>
        </is>
      </c>
      <c r="AZ487" s="53" t="inlineStr">
        <is>
          <t>Application / Production Support</t>
        </is>
      </c>
      <c r="BA487" s="53" t="n"/>
      <c r="BB487" s="53" t="n"/>
      <c r="BC487" s="53" t="inlineStr">
        <is>
          <t>Employee</t>
        </is>
      </c>
      <c r="BD487" s="53" t="inlineStr">
        <is>
          <t>Huzefa Petit</t>
        </is>
      </c>
      <c r="BE487" s="53" t="inlineStr">
        <is>
          <t>Huzefa Petit</t>
        </is>
      </c>
      <c r="BF487" s="53" t="inlineStr">
        <is>
          <t>No</t>
        </is>
      </c>
      <c r="BG487" s="53" t="inlineStr">
        <is>
          <t>Software Engineer</t>
        </is>
      </c>
      <c r="BH487" s="53" t="inlineStr">
        <is>
          <t>Software Engineer</t>
        </is>
      </c>
      <c r="BI487" s="53" t="inlineStr">
        <is>
          <t>No</t>
        </is>
      </c>
      <c r="BJ487" s="53" t="inlineStr">
        <is>
          <t>—</t>
        </is>
      </c>
      <c r="BK487" s="53" t="inlineStr">
        <is>
          <t>—</t>
        </is>
      </c>
      <c r="BL487" s="53" t="inlineStr">
        <is>
          <t>—</t>
        </is>
      </c>
      <c r="BM487" s="53" t="inlineStr">
        <is>
          <t>Not a manager</t>
        </is>
      </c>
      <c r="BN487" s="53" t="inlineStr">
        <is>
          <t>—</t>
        </is>
      </c>
      <c r="BO487" s="53" t="inlineStr">
        <is>
          <t>—</t>
        </is>
      </c>
      <c r="BP487" s="53" t="inlineStr">
        <is>
          <t>—</t>
        </is>
      </c>
      <c r="BQ487" s="53" t="inlineStr">
        <is>
          <t>Not a manager</t>
        </is>
      </c>
      <c r="BR487" s="53" t="inlineStr">
        <is>
          <t>—</t>
        </is>
      </c>
      <c r="BS487" s="53" t="inlineStr">
        <is>
          <t>L3 – Professional / Associate</t>
        </is>
      </c>
      <c r="BT487" s="53" t="inlineStr">
        <is>
          <t>L3 – Professional / Associate</t>
        </is>
      </c>
      <c r="BU487" s="53" t="inlineStr">
        <is>
          <t>No designation change — current record value carried forward</t>
        </is>
      </c>
      <c r="BV487" s="53"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W487" s="53" t="n"/>
      <c r="BX487" s="53" t="inlineStr">
        <is>
          <t>Global.</t>
        </is>
      </c>
      <c r="BY487" s="53" t="n"/>
      <c r="BZ487" s="53" t="n"/>
      <c r="CA487" s="53" t="n"/>
      <c r="CB487" s="53" t="n"/>
      <c r="CC487" s="53" t="n"/>
      <c r="CD487" s="53" t="n"/>
      <c r="CE487" s="53" t="n"/>
      <c r="CF487" s="53" t="n"/>
      <c r="CG487" s="53" t="n"/>
      <c r="CH487" s="53" t="n"/>
      <c r="CI487" s="53" t="n"/>
      <c r="CJ487" s="53" t="n"/>
      <c r="CK487" s="53" t="n"/>
      <c r="CL487" s="53" t="n"/>
      <c r="CM487" s="53" t="n"/>
      <c r="CN487" s="53" t="n"/>
      <c r="CO487" s="53" t="n"/>
      <c r="CP487" s="53" t="n"/>
      <c r="CQ487" s="53" t="n"/>
      <c r="CR487" s="53" t="n"/>
      <c r="CS487" s="53" t="n"/>
      <c r="CT487" s="53" t="n"/>
      <c r="CU487" s="53" t="n"/>
      <c r="CV487" s="53" t="n"/>
      <c r="CW487" s="53" t="n"/>
      <c r="CX487" s="53" t="n"/>
      <c r="CY487" s="53" t="n"/>
      <c r="CZ487" s="53" t="n"/>
      <c r="DA487" s="53" t="n"/>
      <c r="DB487" s="53" t="n"/>
      <c r="DC487" s="53" t="n"/>
      <c r="DD487" s="53" t="n"/>
      <c r="DE487" s="53" t="n"/>
      <c r="DF487" s="53" t="n"/>
      <c r="DG487" s="53" t="n"/>
      <c r="DH487" s="53" t="n"/>
      <c r="DI487" s="53" t="n"/>
      <c r="DJ487" s="53" t="n"/>
      <c r="DK487" s="53" t="n"/>
      <c r="DL487" s="53" t="n"/>
      <c r="DM487" s="53" t="n"/>
      <c r="DN487" s="53" t="n"/>
      <c r="DO487" s="53" t="n"/>
      <c r="DP487" s="53" t="n"/>
      <c r="DQ487" s="53" t="n"/>
      <c r="DR487" s="53" t="n"/>
      <c r="DS487" s="53" t="n"/>
      <c r="DT487" s="53" t="n"/>
      <c r="DU487" s="53" t="n"/>
      <c r="DV487" s="53" t="n"/>
      <c r="DW487" s="53" t="n"/>
      <c r="DX487" s="53" t="n"/>
      <c r="DY487" s="53" t="n"/>
      <c r="DZ487" s="53" t="n"/>
      <c r="EA487" s="53" t="n"/>
      <c r="EB487" s="53" t="n"/>
      <c r="EC487" s="53" t="n"/>
      <c r="ED487" s="53" t="n"/>
      <c r="EE487" s="53" t="n"/>
      <c r="EF487" s="53" t="n"/>
      <c r="EG487" s="53" t="n"/>
      <c r="EH487" s="53" t="n"/>
      <c r="EI487" s="53" t="n"/>
      <c r="EJ487" s="53" t="n"/>
      <c r="EK487" s="53" t="n"/>
      <c r="EL487" s="53" t="n"/>
      <c r="EM487" s="53" t="n"/>
      <c r="EN487" s="53" t="n"/>
      <c r="EO487" s="53" t="n"/>
      <c r="EP487" s="53" t="n"/>
      <c r="EQ487" s="53" t="n"/>
      <c r="ER487" s="53" t="n"/>
      <c r="ES487" s="53" t="n"/>
      <c r="ET487" s="53" t="n"/>
      <c r="EU487" s="53" t="n"/>
      <c r="EV487" s="53" t="n"/>
      <c r="EW487" s="52" t="inlineStr">
        <is>
          <t>Job rotation for dev work</t>
        </is>
      </c>
      <c r="EX487" s="53"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EY487" s="53"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EZ487" s="53" t="inlineStr">
        <is>
          <t>• Current capabilities: XBRL knowledge.
• Tools / software used: Visual Studio; VS Code; MongoDB; MS Office; debugging tools.
• Workload: Rated a moderate load · 3/5 in a typical week.
• Judgment/way of working: Writing scripts to solve issues as soon as possible.</t>
        </is>
      </c>
      <c r="FA487" s="53" t="inlineStr">
        <is>
          <t>• Learning and Development Need: No input received.</t>
        </is>
      </c>
      <c r="FB487" s="53" t="inlineStr">
        <is>
          <t>• Support required: No input received.</t>
        </is>
      </c>
      <c r="FC487" s="53" t="n"/>
      <c r="FD487" s="53" t="n"/>
      <c r="FE487" s="57"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FF487" s="56" t="n"/>
      <c r="FG487" s="56" t="n"/>
      <c r="FH487" s="56" t="n"/>
      <c r="FI487" s="56" t="n"/>
      <c r="FJ487" s="56" t="inlineStr">
        <is>
          <t>Received · manager annual</t>
        </is>
      </c>
      <c r="FK487" s="56" t="inlineStr">
        <is>
          <t>CARBON Mapping Master</t>
        </is>
      </c>
      <c r="FL487" s="56" t="n">
        <v>20</v>
      </c>
      <c r="FM487" s="56"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FN487" s="56"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FO487" s="56" t="inlineStr">
        <is>
          <t>• Current capabilities: XBRL knowledge.
• Tools / software used: Visual Studio; VS Code; MongoDB; MS Office; debugging tools.
• Workload: Rated a moderate load · 3/5 in a typical week.
• Judgment/way of working: Writing scripts to solve issues as soon as possible.</t>
        </is>
      </c>
      <c r="FP487" s="56" t="inlineStr">
        <is>
          <t>• Learning and Development Need: No input received.</t>
        </is>
      </c>
      <c r="FQ487" s="56" t="inlineStr">
        <is>
          <t>• Support required: No input received.</t>
        </is>
      </c>
      <c r="FR487" s="56" t="inlineStr">
        <is>
          <t>Complexity: Evidence reads like A3: Full-stack features across UI, backend services, APIs and database; root-cause debugging in established system → moved up 0.5
Autonomy: Evidence reads like A3: Chooses implementation approaches and modifies code independently within project scope → moved up 0.5
Accountability: Evidence reads like A3: Features end to end from requirement to delivery; manager notes platform-level fixes → moved up 0.5
Leadership: Evidence reads like A1: No guidance of others described → matches the start
Business Impact: No survey or manager-mapping signal on criticality: kept at the start point.</t>
        </is>
      </c>
      <c r="FS487"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487"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487" s="56" t="inlineStr">
        <is>
          <t>Per-person summary · CARBON Mapping Master</t>
        </is>
      </c>
    </row>
    <row r="488" ht="90" customHeight="1">
      <c r="A488" s="51" t="inlineStr">
        <is>
          <t>◂ Back</t>
        </is>
      </c>
      <c r="B488" s="29" t="inlineStr">
        <is>
          <t>Mapped</t>
        </is>
      </c>
      <c r="C488" s="28" t="inlineStr">
        <is>
          <t>CARBON</t>
        </is>
      </c>
      <c r="D488" s="29" t="inlineStr">
        <is>
          <t>IRIS1883</t>
        </is>
      </c>
      <c r="E488" s="29" t="inlineStr">
        <is>
          <t>Bikram Prasad</t>
        </is>
      </c>
      <c r="F488" s="29" t="inlineStr">
        <is>
          <t>Technology</t>
        </is>
      </c>
      <c r="G488" s="29" t="inlineStr">
        <is>
          <t>Software Engineer</t>
        </is>
      </c>
      <c r="H488" s="29" t="inlineStr">
        <is>
          <t>Senior Software Engineer</t>
        </is>
      </c>
      <c r="I488" s="29" t="inlineStr">
        <is>
          <t>L3 – Professional / Associate</t>
        </is>
      </c>
      <c r="J488" s="29" t="inlineStr">
        <is>
          <t>A3</t>
        </is>
      </c>
      <c r="K488" s="29" t="inlineStr">
        <is>
          <t>▲ Up</t>
        </is>
      </c>
      <c r="L488" s="29" t="inlineStr">
        <is>
          <t>Engineering &amp; Development</t>
        </is>
      </c>
      <c r="M488" s="29" t="inlineStr">
        <is>
          <t>Backend Development</t>
        </is>
      </c>
      <c r="N488" s="29" t="inlineStr">
        <is>
          <t>• Confirm the reporting line — Manager</t>
        </is>
      </c>
      <c r="O488" s="29" t="n">
        <v>20</v>
      </c>
      <c r="P488" s="28" t="inlineStr">
        <is>
          <t>P2</t>
        </is>
      </c>
      <c r="Q488" s="29" t="inlineStr">
        <is>
          <t>Developing</t>
        </is>
      </c>
      <c r="R488" s="29" t="inlineStr">
        <is>
          <t>3 Apply</t>
        </is>
      </c>
      <c r="S488" s="29" t="inlineStr">
        <is>
          <t>2–4 yrs</t>
        </is>
      </c>
      <c r="T488" s="29" t="inlineStr">
        <is>
          <t>3–5 · 2–5</t>
        </is>
      </c>
      <c r="U488" s="29" t="inlineStr">
        <is>
          <t>Software Engineer</t>
        </is>
      </c>
      <c r="V488" s="29" t="inlineStr">
        <is>
          <t>Workiva: SE · Broadridge India: SE · Nasdaq / AxiomSL: SE · Salesforce: MTS · Atlassian: P40 · 3–7 yrs · Freshworks: Senior SE</t>
        </is>
      </c>
      <c r="W488" s="29" t="inlineStr">
        <is>
          <t>SFIA 9 · software development, programming; OWASP secure coding; cloud vendor certifications</t>
        </is>
      </c>
      <c r="X488" s="29" t="inlineStr">
        <is>
          <t>Core 2 · Future 2 · Functional 3 · Leadership not scored</t>
        </is>
      </c>
      <c r="Y488" s="52" t="n">
        <v>174</v>
      </c>
      <c r="Z488" s="53" t="inlineStr">
        <is>
          <t>IRIS1883</t>
        </is>
      </c>
      <c r="AA488" s="53" t="inlineStr">
        <is>
          <t>Employee</t>
        </is>
      </c>
      <c r="AB488" s="53" t="inlineStr">
        <is>
          <t>Active</t>
        </is>
      </c>
      <c r="AC488" s="53" t="inlineStr">
        <is>
          <t>Bikram Prasad</t>
        </is>
      </c>
      <c r="AD488" s="54" t="n">
        <v>44158</v>
      </c>
      <c r="AE488" s="53" t="inlineStr">
        <is>
          <t>Software Engineer</t>
        </is>
      </c>
      <c r="AF488" s="53" t="inlineStr">
        <is>
          <t>B.Tech</t>
        </is>
      </c>
      <c r="AG488" s="53" t="inlineStr">
        <is>
          <t>Chetan Kotwal</t>
        </is>
      </c>
      <c r="AH488" s="53" t="inlineStr">
        <is>
          <t>N-3</t>
        </is>
      </c>
      <c r="AI488" s="53" t="inlineStr">
        <is>
          <t>Manager</t>
        </is>
      </c>
      <c r="AJ488" s="53" t="inlineStr">
        <is>
          <t>0 years, 0 months, 0 days</t>
        </is>
      </c>
      <c r="AK488" s="53" t="inlineStr">
        <is>
          <t>5 years, 9 months, 2 days</t>
        </is>
      </c>
      <c r="AL488" s="53" t="inlineStr">
        <is>
          <t>Regtech</t>
        </is>
      </c>
      <c r="AM488" s="53" t="inlineStr">
        <is>
          <t>CARBON</t>
        </is>
      </c>
      <c r="AN488" s="53" t="inlineStr">
        <is>
          <t>Technology</t>
        </is>
      </c>
      <c r="AO488" s="53" t="inlineStr">
        <is>
          <t>Development</t>
        </is>
      </c>
      <c r="AP488" s="53" t="inlineStr">
        <is>
          <t>Yes</t>
        </is>
      </c>
      <c r="AQ488" s="53" t="inlineStr">
        <is>
          <t>Product/Project</t>
        </is>
      </c>
      <c r="AR488" s="53" t="inlineStr">
        <is>
          <t>.NET MVC</t>
        </is>
      </c>
      <c r="AS488" s="53" t="inlineStr">
        <is>
          <t>Technical - Developer</t>
        </is>
      </c>
      <c r="AT488" s="53" t="n">
        <v>20</v>
      </c>
      <c r="AU488" s="53" t="inlineStr">
        <is>
          <t>Covered</t>
        </is>
      </c>
      <c r="AV488" s="53" t="inlineStr">
        <is>
          <t>IRIS1883</t>
        </is>
      </c>
      <c r="AW488" s="53" t="inlineStr">
        <is>
          <t>Bikram Prasad</t>
        </is>
      </c>
      <c r="AX488" s="53" t="inlineStr">
        <is>
          <t>Technology</t>
        </is>
      </c>
      <c r="AY488" s="53" t="inlineStr">
        <is>
          <t>Engineering &amp; Development</t>
        </is>
      </c>
      <c r="AZ488" s="53" t="inlineStr">
        <is>
          <t>DevOps Engineering</t>
        </is>
      </c>
      <c r="BA488" s="53" t="n"/>
      <c r="BB488" s="53" t="n"/>
      <c r="BC488" s="53" t="inlineStr">
        <is>
          <t>Employee</t>
        </is>
      </c>
      <c r="BD488" s="53" t="inlineStr">
        <is>
          <t>Chetan Kotwal</t>
        </is>
      </c>
      <c r="BE488" s="53" t="inlineStr">
        <is>
          <t>Chetan Kotwal</t>
        </is>
      </c>
      <c r="BF488" s="53" t="inlineStr">
        <is>
          <t>No</t>
        </is>
      </c>
      <c r="BG488" s="53" t="inlineStr">
        <is>
          <t>Software Engineer</t>
        </is>
      </c>
      <c r="BH488" s="53" t="inlineStr">
        <is>
          <t>Software Engineer</t>
        </is>
      </c>
      <c r="BI488" s="53" t="inlineStr">
        <is>
          <t>No</t>
        </is>
      </c>
      <c r="BJ488" s="53" t="n">
        <v>1</v>
      </c>
      <c r="BK488" s="53" t="n">
        <v>1</v>
      </c>
      <c r="BL488" s="53" t="n">
        <v>0</v>
      </c>
      <c r="BM488" s="53" t="inlineStr">
        <is>
          <t>Consolidate / flatten</t>
        </is>
      </c>
      <c r="BN488" s="53" t="n">
        <v>1</v>
      </c>
      <c r="BO488" s="53" t="n">
        <v>1</v>
      </c>
      <c r="BP488" s="53" t="n">
        <v>0</v>
      </c>
      <c r="BQ488" s="53" t="inlineStr">
        <is>
          <t>Consolidate / flatten</t>
        </is>
      </c>
      <c r="BR488" s="53" t="inlineStr">
        <is>
          <t>No</t>
        </is>
      </c>
      <c r="BS488" s="53" t="inlineStr">
        <is>
          <t>L3 – Professional / Associate</t>
        </is>
      </c>
      <c r="BT488" s="53" t="inlineStr">
        <is>
          <t>L3 – Professional / Associate</t>
        </is>
      </c>
      <c r="BU488" s="53" t="inlineStr">
        <is>
          <t>No designation change — current record value carried forward</t>
        </is>
      </c>
      <c r="BV488" s="53"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W488" s="53" t="n"/>
      <c r="BX488" s="53" t="inlineStr">
        <is>
          <t>No input received — attended/was listed as a respondent but did not provide answers to any of the survey questions.</t>
        </is>
      </c>
      <c r="BY488" s="53" t="n"/>
      <c r="BZ488" s="53" t="n"/>
      <c r="CA488" s="53" t="n"/>
      <c r="CB488" s="53" t="n"/>
      <c r="CC488" s="53" t="n"/>
      <c r="CD488" s="53" t="n"/>
      <c r="CE488" s="53" t="n"/>
      <c r="CF488" s="53" t="n"/>
      <c r="CG488" s="53" t="n"/>
      <c r="CH488" s="53" t="n"/>
      <c r="CI488" s="53" t="n"/>
      <c r="CJ488" s="53" t="n"/>
      <c r="CK488" s="53" t="n"/>
      <c r="CL488" s="53" t="n"/>
      <c r="CM488" s="53" t="n"/>
      <c r="CN488" s="53" t="n"/>
      <c r="CO488" s="53" t="n"/>
      <c r="CP488" s="53" t="n"/>
      <c r="CQ488" s="53" t="n"/>
      <c r="CR488" s="53" t="n"/>
      <c r="CS488" s="53" t="n"/>
      <c r="CT488" s="53" t="n"/>
      <c r="CU488" s="53" t="n"/>
      <c r="CV488" s="53" t="n"/>
      <c r="CW488" s="53" t="n"/>
      <c r="CX488" s="53" t="n"/>
      <c r="CY488" s="53" t="n"/>
      <c r="CZ488" s="53" t="n"/>
      <c r="DA488" s="53" t="n"/>
      <c r="DB488" s="53" t="n"/>
      <c r="DC488" s="53" t="n"/>
      <c r="DD488" s="53" t="n"/>
      <c r="DE488" s="53" t="n"/>
      <c r="DF488" s="53" t="n"/>
      <c r="DG488" s="53" t="n"/>
      <c r="DH488" s="53" t="n"/>
      <c r="DI488" s="53" t="n"/>
      <c r="DJ488" s="53" t="n"/>
      <c r="DK488" s="53" t="n"/>
      <c r="DL488" s="53" t="n"/>
      <c r="DM488" s="53" t="n"/>
      <c r="DN488" s="53" t="n"/>
      <c r="DO488" s="53" t="n"/>
      <c r="DP488" s="53" t="n"/>
      <c r="DQ488" s="53" t="n"/>
      <c r="DR488" s="53" t="n"/>
      <c r="DS488" s="53" t="n"/>
      <c r="DT488" s="53" t="n"/>
      <c r="DU488" s="53" t="n"/>
      <c r="DV488" s="53" t="n"/>
      <c r="DW488" s="53" t="n"/>
      <c r="DX488" s="53" t="n"/>
      <c r="DY488" s="53" t="n"/>
      <c r="DZ488" s="53" t="n"/>
      <c r="EA488" s="53" t="n"/>
      <c r="EB488" s="53" t="n"/>
      <c r="EC488" s="53" t="n"/>
      <c r="ED488" s="53" t="n"/>
      <c r="EE488" s="53" t="n"/>
      <c r="EF488" s="53" t="n"/>
      <c r="EG488" s="53" t="n"/>
      <c r="EH488" s="53" t="n"/>
      <c r="EI488" s="53" t="n"/>
      <c r="EJ488" s="53" t="n"/>
      <c r="EK488" s="53" t="n"/>
      <c r="EL488" s="53" t="n"/>
      <c r="EM488" s="53" t="n"/>
      <c r="EN488" s="53" t="n"/>
      <c r="EO488" s="53" t="n"/>
      <c r="EP488" s="53" t="n"/>
      <c r="EQ488" s="53" t="n"/>
      <c r="ER488" s="53" t="n"/>
      <c r="ES488" s="53" t="n"/>
      <c r="ET488" s="53" t="n"/>
      <c r="EU488" s="53" t="n"/>
      <c r="EV488" s="53" t="n"/>
      <c r="EW488" s="52" t="n"/>
      <c r="EX488" s="53" t="inlineStr">
        <is>
          <t>• Role / sub-team: Technology — Software Engineer.
• Core purpose: Input not given by Participant.
• Decision-making autonomy: Input not given by Participant.
• Is this something only they do: Input not given by Participant.</t>
        </is>
      </c>
      <c r="EY488" s="53" t="inlineStr">
        <is>
          <t>• Key responsibilities include: Input not given by Participant.
• Impact if missed or done wrong: Input not given by Participant.
• How measured: Input not given by Participant.</t>
        </is>
      </c>
      <c r="EZ488" s="53" t="inlineStr">
        <is>
          <t>• Current capabilities: Input not given by Participant.
• Tools / software used: Input not given by Participant.</t>
        </is>
      </c>
      <c r="FA488" s="53" t="inlineStr">
        <is>
          <t>• Development priorities: Input not given by Participant.</t>
        </is>
      </c>
      <c r="FB488" s="53" t="inlineStr">
        <is>
          <t>• Key challenges: Input not given by Participant.
• Support required: Input not given by Participant.</t>
        </is>
      </c>
      <c r="FC488" s="53" t="n"/>
      <c r="FD488" s="53" t="n"/>
      <c r="FE488" s="57"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FF488" s="56" t="n"/>
      <c r="FG488" s="56" t="n"/>
      <c r="FH488" s="56" t="n"/>
      <c r="FI488" s="56" t="n"/>
      <c r="FJ488" s="56" t="inlineStr">
        <is>
          <t>Received · manager annual</t>
        </is>
      </c>
      <c r="FK488" s="56" t="inlineStr">
        <is>
          <t>CARBON Mapping Master</t>
        </is>
      </c>
      <c r="FL488" s="56" t="n">
        <v>20</v>
      </c>
      <c r="FM488" s="56" t="inlineStr">
        <is>
          <t>• Role / sub-team: Technology — Software Engineer.
• Core purpose: Input not given by Participant.
• Decision-making autonomy: Input not given by Participant.
• Is this something only they do: Input not given by Participant.</t>
        </is>
      </c>
      <c r="FN488" s="56" t="inlineStr">
        <is>
          <t>• Key responsibilities include: Input not given by Participant.
• Impact if missed or done wrong: Input not given by Participant.
• How measured: Input not given by Participant.</t>
        </is>
      </c>
      <c r="FO488" s="56" t="inlineStr">
        <is>
          <t>• Current capabilities: Input not given by Participant.
• Tools / software used: Input not given by Participant.</t>
        </is>
      </c>
      <c r="FP488" s="56" t="inlineStr">
        <is>
          <t>• Development priorities: Input not given by Participant.</t>
        </is>
      </c>
      <c r="FQ488" s="56" t="inlineStr">
        <is>
          <t>• Key challenges: Input not given by Participant.
• Support required: Input not given by Participant.</t>
        </is>
      </c>
      <c r="FR488" s="56" t="inlineStr">
        <is>
          <t>Complexity: Evidence reads like A3: Runs deployments, patch releases, CVE fixes and production issue fixes; handles InDesign PDF issues → moved up 0.5
Autonomy: Evidence reads like A2: Only cites 'new technology' as an independent decision → moved down 0.5
Accountability: Evidence reads like A3: Answers for applications running smoothly on servers and daily patch/CVE updates → moved down 0.5
Leadership: Evidence reads like A1: No guiding described despite one report → moved down 1</t>
        </is>
      </c>
      <c r="FS48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88" s="56" t="inlineStr">
        <is>
          <t>Self-identified: Answered · no common topic
For the next role: Answered · no common topic</t>
        </is>
      </c>
      <c r="FU488" s="56" t="inlineStr">
        <is>
          <t>Per-person summary · CARBON Mapping Master</t>
        </is>
      </c>
    </row>
    <row r="489" ht="90" customHeight="1">
      <c r="A489" s="51" t="inlineStr">
        <is>
          <t>◂ Back</t>
        </is>
      </c>
      <c r="B489" s="29" t="inlineStr">
        <is>
          <t>Mapped</t>
        </is>
      </c>
      <c r="C489" s="28" t="inlineStr">
        <is>
          <t>CARBON</t>
        </is>
      </c>
      <c r="D489" s="29" t="inlineStr">
        <is>
          <t>IRIS2283</t>
        </is>
      </c>
      <c r="E489" s="29" t="inlineStr">
        <is>
          <t>Kunal Jadhav</t>
        </is>
      </c>
      <c r="F489" s="29" t="inlineStr">
        <is>
          <t>Technology</t>
        </is>
      </c>
      <c r="G489" s="29" t="inlineStr">
        <is>
          <t>Software Engineer</t>
        </is>
      </c>
      <c r="H489" s="29" t="inlineStr">
        <is>
          <t>Senior Software Engineer</t>
        </is>
      </c>
      <c r="I489" s="29" t="inlineStr">
        <is>
          <t>L3 – Professional / Associate</t>
        </is>
      </c>
      <c r="J489" s="29" t="inlineStr">
        <is>
          <t>A3</t>
        </is>
      </c>
      <c r="K489" s="29" t="inlineStr">
        <is>
          <t>▲ Up</t>
        </is>
      </c>
      <c r="L489" s="29" t="inlineStr">
        <is>
          <t>Engineering &amp; Development</t>
        </is>
      </c>
      <c r="M489" s="29" t="inlineStr">
        <is>
          <t>Full-Stack Development</t>
        </is>
      </c>
      <c r="N489" s="29" t="inlineStr">
        <is>
          <t>• Confirm the reporting line — Manager</t>
        </is>
      </c>
      <c r="O489" s="29" t="n">
        <v>20</v>
      </c>
      <c r="P489" s="28" t="inlineStr">
        <is>
          <t>P2</t>
        </is>
      </c>
      <c r="Q489" s="29" t="inlineStr">
        <is>
          <t>Developing</t>
        </is>
      </c>
      <c r="R489" s="29" t="inlineStr">
        <is>
          <t>3 Apply</t>
        </is>
      </c>
      <c r="S489" s="29" t="inlineStr">
        <is>
          <t>2–4 yrs</t>
        </is>
      </c>
      <c r="T489" s="29" t="inlineStr">
        <is>
          <t>3–5 · 2–5</t>
        </is>
      </c>
      <c r="U489" s="29" t="inlineStr">
        <is>
          <t>Software Engineer</t>
        </is>
      </c>
      <c r="V489" s="29" t="inlineStr">
        <is>
          <t>Workiva: SE · Broadridge India: SE · Nasdaq / AxiomSL: SE · Salesforce: MTS · Atlassian: P40 · 3–7 yrs · Freshworks: Senior SE</t>
        </is>
      </c>
      <c r="W489" s="29" t="inlineStr">
        <is>
          <t>SFIA 9 · software development, programming; OWASP secure coding; cloud vendor certifications</t>
        </is>
      </c>
      <c r="X489" s="29" t="inlineStr">
        <is>
          <t>Core 2 · Future 2 · Functional 3 · Leadership not scored</t>
        </is>
      </c>
      <c r="Y489" s="52" t="n">
        <v>328</v>
      </c>
      <c r="Z489" s="53" t="inlineStr">
        <is>
          <t>IRIS2283</t>
        </is>
      </c>
      <c r="AA489" s="53" t="inlineStr">
        <is>
          <t>Employee</t>
        </is>
      </c>
      <c r="AB489" s="53" t="inlineStr">
        <is>
          <t>Active</t>
        </is>
      </c>
      <c r="AC489" s="53" t="inlineStr">
        <is>
          <t>Kunal Jadhav</t>
        </is>
      </c>
      <c r="AD489" s="54" t="n">
        <v>45474</v>
      </c>
      <c r="AE489" s="53" t="inlineStr">
        <is>
          <t>Software Engineer</t>
        </is>
      </c>
      <c r="AF489" s="53" t="inlineStr">
        <is>
          <t>Bachelor of Science</t>
        </is>
      </c>
      <c r="AG489" s="53" t="inlineStr">
        <is>
          <t>Bikram Prasad</t>
        </is>
      </c>
      <c r="AH489" s="53" t="inlineStr">
        <is>
          <t>N-4</t>
        </is>
      </c>
      <c r="AI489" s="53" t="inlineStr">
        <is>
          <t>Manager</t>
        </is>
      </c>
      <c r="AJ489" s="53" t="inlineStr">
        <is>
          <t>0 years, 0 months, 0 days</t>
        </is>
      </c>
      <c r="AK489" s="53" t="inlineStr">
        <is>
          <t>2 years, 1 months, 24 days</t>
        </is>
      </c>
      <c r="AL489" s="53" t="inlineStr">
        <is>
          <t>Regtech</t>
        </is>
      </c>
      <c r="AM489" s="53" t="inlineStr">
        <is>
          <t>CARBON</t>
        </is>
      </c>
      <c r="AN489" s="53" t="inlineStr">
        <is>
          <t>Technology</t>
        </is>
      </c>
      <c r="AO489" s="53" t="inlineStr">
        <is>
          <t>Development</t>
        </is>
      </c>
      <c r="AP489" s="53" t="inlineStr">
        <is>
          <t>Yes</t>
        </is>
      </c>
      <c r="AQ489" s="53" t="inlineStr">
        <is>
          <t>Product/Project</t>
        </is>
      </c>
      <c r="AR489" s="53" t="inlineStr">
        <is>
          <t>.NET MVC + Angular</t>
        </is>
      </c>
      <c r="AS489" s="53" t="inlineStr">
        <is>
          <t>Technical - Developer</t>
        </is>
      </c>
      <c r="AT489" s="53" t="n">
        <v>20</v>
      </c>
      <c r="AU489" s="53" t="inlineStr">
        <is>
          <t>Covered</t>
        </is>
      </c>
      <c r="AV489" s="53" t="inlineStr">
        <is>
          <t>IRIS2283</t>
        </is>
      </c>
      <c r="AW489" s="53" t="inlineStr">
        <is>
          <t>Kunal Jadhav</t>
        </is>
      </c>
      <c r="AX489" s="53" t="inlineStr">
        <is>
          <t>Technology</t>
        </is>
      </c>
      <c r="AY489" s="53" t="inlineStr">
        <is>
          <t>Engineering &amp; Development</t>
        </is>
      </c>
      <c r="AZ489" s="53" t="inlineStr">
        <is>
          <t>Full-Stack Engineering</t>
        </is>
      </c>
      <c r="BA489" s="53" t="n"/>
      <c r="BB489" s="53" t="n"/>
      <c r="BC489" s="53" t="inlineStr">
        <is>
          <t>Employee</t>
        </is>
      </c>
      <c r="BD489" s="53" t="inlineStr">
        <is>
          <t>Bikram Prasad</t>
        </is>
      </c>
      <c r="BE489" s="53" t="inlineStr">
        <is>
          <t>Bikram Prasad</t>
        </is>
      </c>
      <c r="BF489" s="53" t="inlineStr">
        <is>
          <t>No</t>
        </is>
      </c>
      <c r="BG489" s="53" t="inlineStr">
        <is>
          <t>Software Engineer</t>
        </is>
      </c>
      <c r="BH489" s="53" t="inlineStr">
        <is>
          <t>Software Engineer</t>
        </is>
      </c>
      <c r="BI489" s="53" t="inlineStr">
        <is>
          <t>No</t>
        </is>
      </c>
      <c r="BJ489" s="53" t="n">
        <v>2</v>
      </c>
      <c r="BK489" s="53" t="n">
        <v>2</v>
      </c>
      <c r="BL489" s="53" t="n">
        <v>0</v>
      </c>
      <c r="BM489" s="53" t="inlineStr">
        <is>
          <t>Consolidate / flatten</t>
        </is>
      </c>
      <c r="BN489" s="53" t="n">
        <v>2</v>
      </c>
      <c r="BO489" s="53" t="n">
        <v>2</v>
      </c>
      <c r="BP489" s="53" t="n">
        <v>0</v>
      </c>
      <c r="BQ489" s="53" t="inlineStr">
        <is>
          <t>Consolidate / flatten</t>
        </is>
      </c>
      <c r="BR489" s="53" t="inlineStr">
        <is>
          <t>No</t>
        </is>
      </c>
      <c r="BS489" s="53" t="inlineStr">
        <is>
          <t>L3 – Professional / Associate</t>
        </is>
      </c>
      <c r="BT489" s="53" t="inlineStr">
        <is>
          <t>L3 – Professional / Associate</t>
        </is>
      </c>
      <c r="BU489" s="53" t="inlineStr">
        <is>
          <t>No designation change — current record value carried forward</t>
        </is>
      </c>
      <c r="BV489" s="53"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W489" s="53" t="n"/>
      <c r="BX489" s="53" t="inlineStr">
        <is>
          <t>Europe and US; global.</t>
        </is>
      </c>
      <c r="BY489" s="53" t="n"/>
      <c r="BZ489" s="53" t="n"/>
      <c r="CA489" s="53" t="n"/>
      <c r="CB489" s="53" t="n"/>
      <c r="CC489" s="53" t="n"/>
      <c r="CD489" s="53" t="n"/>
      <c r="CE489" s="53" t="n"/>
      <c r="CF489" s="53" t="n"/>
      <c r="CG489" s="53" t="n"/>
      <c r="CH489" s="53" t="n"/>
      <c r="CI489" s="53" t="n"/>
      <c r="CJ489" s="53" t="n"/>
      <c r="CK489" s="53" t="n"/>
      <c r="CL489" s="53" t="n"/>
      <c r="CM489" s="53" t="n"/>
      <c r="CN489" s="53" t="n"/>
      <c r="CO489" s="53" t="n"/>
      <c r="CP489" s="53" t="n"/>
      <c r="CQ489" s="53" t="n"/>
      <c r="CR489" s="53" t="n"/>
      <c r="CS489" s="53" t="n"/>
      <c r="CT489" s="53" t="n"/>
      <c r="CU489" s="53" t="n"/>
      <c r="CV489" s="53" t="n"/>
      <c r="CW489" s="53" t="n"/>
      <c r="CX489" s="53" t="n"/>
      <c r="CY489" s="53" t="n"/>
      <c r="CZ489" s="53" t="n"/>
      <c r="DA489" s="53" t="n"/>
      <c r="DB489" s="53" t="n"/>
      <c r="DC489" s="53" t="n"/>
      <c r="DD489" s="53" t="n"/>
      <c r="DE489" s="53" t="n"/>
      <c r="DF489" s="53" t="n"/>
      <c r="DG489" s="53" t="n"/>
      <c r="DH489" s="53" t="n"/>
      <c r="DI489" s="53" t="n"/>
      <c r="DJ489" s="53" t="n"/>
      <c r="DK489" s="53" t="n"/>
      <c r="DL489" s="53" t="n"/>
      <c r="DM489" s="53" t="n"/>
      <c r="DN489" s="53" t="n"/>
      <c r="DO489" s="53" t="n"/>
      <c r="DP489" s="53" t="n"/>
      <c r="DQ489" s="53" t="n"/>
      <c r="DR489" s="53" t="n"/>
      <c r="DS489" s="53" t="n"/>
      <c r="DT489" s="53" t="n"/>
      <c r="DU489" s="53" t="n"/>
      <c r="DV489" s="53" t="n"/>
      <c r="DW489" s="53" t="n"/>
      <c r="DX489" s="53" t="n"/>
      <c r="DY489" s="53" t="n"/>
      <c r="DZ489" s="53" t="n"/>
      <c r="EA489" s="53" t="n"/>
      <c r="EB489" s="53" t="n"/>
      <c r="EC489" s="53" t="n"/>
      <c r="ED489" s="53" t="n"/>
      <c r="EE489" s="53" t="n"/>
      <c r="EF489" s="53" t="n"/>
      <c r="EG489" s="53" t="n"/>
      <c r="EH489" s="53" t="n"/>
      <c r="EI489" s="53" t="n"/>
      <c r="EJ489" s="53" t="n"/>
      <c r="EK489" s="53" t="n"/>
      <c r="EL489" s="53" t="n"/>
      <c r="EM489" s="53" t="n"/>
      <c r="EN489" s="53" t="n"/>
      <c r="EO489" s="53" t="n"/>
      <c r="EP489" s="53" t="n"/>
      <c r="EQ489" s="53" t="n"/>
      <c r="ER489" s="53" t="n"/>
      <c r="ES489" s="53" t="n"/>
      <c r="ET489" s="53" t="n"/>
      <c r="EU489" s="53" t="n"/>
      <c r="EV489" s="53" t="n"/>
      <c r="EW489" s="52" t="n"/>
      <c r="EX489" s="53"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EY489" s="53"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EZ489" s="53"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FA489" s="53"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B489" s="53"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C489" s="53" t="n"/>
      <c r="FD489" s="53" t="n"/>
      <c r="FE489" s="57"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FF489" s="56" t="n"/>
      <c r="FG489" s="56" t="n"/>
      <c r="FH489" s="56" t="n"/>
      <c r="FI489" s="56" t="n"/>
      <c r="FJ489" s="56" t="inlineStr">
        <is>
          <t>Received · manager annual</t>
        </is>
      </c>
      <c r="FK489" s="56" t="inlineStr">
        <is>
          <t>CARBON Mapping Master</t>
        </is>
      </c>
      <c r="FL489" s="56" t="n">
        <v>20</v>
      </c>
      <c r="FM489" s="56"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FN489" s="56"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FO489" s="56"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FP489" s="56"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Q489" s="56"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R489" s="56" t="inlineStr">
        <is>
          <t>Complexity: Evidence reads like A3: Develops and integrates client-driven features; ad-hoc requests and system designs; architects product flow → moved up 0.5
Autonomy: Evidence reads like A3: Independently architects product flow and adapts requirements in his own development → matches the start
Accountability: Evidence reads like A2: Bugs in product and correct understanding of requirements in his own work → moved down 1
Leadership: Evidence reads like A1: No guidance or allocation described despite 2 reports → moved down 1
Business Impact: No survey or manager-mapping signal on criticality: kept at the start point.</t>
        </is>
      </c>
      <c r="FS489"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89" s="56" t="inlineStr">
        <is>
          <t>Self-identified: AI / automation · Certification / formal course
For the next role: AI / automation · Technical depth &amp; architecture · Strategy &amp; business acumen · Certification / formal course</t>
        </is>
      </c>
      <c r="FU489" s="56" t="inlineStr">
        <is>
          <t>Per-person summary · CARBON Mapping Master</t>
        </is>
      </c>
    </row>
    <row r="490" ht="90" customHeight="1">
      <c r="A490" s="51" t="inlineStr">
        <is>
          <t>◂ Back</t>
        </is>
      </c>
      <c r="B490" s="29" t="inlineStr">
        <is>
          <t>Mapped</t>
        </is>
      </c>
      <c r="C490" s="28" t="inlineStr">
        <is>
          <t>CARBON</t>
        </is>
      </c>
      <c r="D490" s="29" t="inlineStr">
        <is>
          <t>IRIS2354</t>
        </is>
      </c>
      <c r="E490" s="29" t="inlineStr">
        <is>
          <t>Kuldip D Shah</t>
        </is>
      </c>
      <c r="F490" s="29" t="inlineStr">
        <is>
          <t>Technology</t>
        </is>
      </c>
      <c r="G490" s="29" t="inlineStr">
        <is>
          <t>Software Engineer</t>
        </is>
      </c>
      <c r="H490" s="29" t="inlineStr">
        <is>
          <t>Senior Software Engineer</t>
        </is>
      </c>
      <c r="I490" s="29" t="inlineStr">
        <is>
          <t>L3 – Professional / Associate</t>
        </is>
      </c>
      <c r="J490" s="29" t="inlineStr">
        <is>
          <t>A3</t>
        </is>
      </c>
      <c r="K490" s="29" t="inlineStr">
        <is>
          <t>▲ Up</t>
        </is>
      </c>
      <c r="L490" s="29" t="inlineStr">
        <is>
          <t>Engineering &amp; Development</t>
        </is>
      </c>
      <c r="M490" s="29" t="inlineStr">
        <is>
          <t>Full-Stack Development</t>
        </is>
      </c>
      <c r="N490" s="29" t="n"/>
      <c r="O490" s="29" t="n">
        <v>20</v>
      </c>
      <c r="P490" s="28" t="inlineStr">
        <is>
          <t>P2</t>
        </is>
      </c>
      <c r="Q490" s="29" t="inlineStr">
        <is>
          <t>Developing</t>
        </is>
      </c>
      <c r="R490" s="29" t="inlineStr">
        <is>
          <t>3 Apply</t>
        </is>
      </c>
      <c r="S490" s="29" t="inlineStr">
        <is>
          <t>2–4 yrs</t>
        </is>
      </c>
      <c r="T490" s="29" t="inlineStr">
        <is>
          <t>3–5 · 2–5</t>
        </is>
      </c>
      <c r="U490" s="29" t="inlineStr">
        <is>
          <t>Software Engineer</t>
        </is>
      </c>
      <c r="V490" s="29" t="inlineStr">
        <is>
          <t>Workiva: SE · Broadridge India: SE · Nasdaq / AxiomSL: SE · Salesforce: MTS · Atlassian: P40 · 3–7 yrs · Freshworks: Senior SE</t>
        </is>
      </c>
      <c r="W490" s="29" t="inlineStr">
        <is>
          <t>SFIA 9 · software development, programming; OWASP secure coding; cloud vendor certifications</t>
        </is>
      </c>
      <c r="X490" s="29" t="inlineStr">
        <is>
          <t>Core 2 · Future 2 · Functional 3 · Leadership not scored</t>
        </is>
      </c>
      <c r="Y490" s="52" t="n">
        <v>363</v>
      </c>
      <c r="Z490" s="53" t="inlineStr">
        <is>
          <t>IRIS2354</t>
        </is>
      </c>
      <c r="AA490" s="53" t="inlineStr">
        <is>
          <t>Employee</t>
        </is>
      </c>
      <c r="AB490" s="53" t="inlineStr">
        <is>
          <t>Serving Notice</t>
        </is>
      </c>
      <c r="AC490" s="53" t="inlineStr">
        <is>
          <t>Kuldip D Shah</t>
        </is>
      </c>
      <c r="AD490" s="54" t="n">
        <v>45733</v>
      </c>
      <c r="AE490" s="53" t="inlineStr">
        <is>
          <t>Software Engineer</t>
        </is>
      </c>
      <c r="AF490" s="53" t="inlineStr">
        <is>
          <t>BCA</t>
        </is>
      </c>
      <c r="AG490" s="53" t="inlineStr">
        <is>
          <t>Kunal Jadhav</t>
        </is>
      </c>
      <c r="AH490" s="53" t="inlineStr">
        <is>
          <t>N-5</t>
        </is>
      </c>
      <c r="AI490" s="53" t="inlineStr">
        <is>
          <t>Individual Contributor</t>
        </is>
      </c>
      <c r="AJ490" s="53" t="inlineStr">
        <is>
          <t>3 years, 0 months, 0 days</t>
        </is>
      </c>
      <c r="AK490" s="53" t="inlineStr">
        <is>
          <t>1 years, 5 months, 8 days</t>
        </is>
      </c>
      <c r="AL490" s="53" t="inlineStr">
        <is>
          <t>Regtech</t>
        </is>
      </c>
      <c r="AM490" s="53" t="inlineStr">
        <is>
          <t>CARBON</t>
        </is>
      </c>
      <c r="AN490" s="53" t="inlineStr">
        <is>
          <t>Technology</t>
        </is>
      </c>
      <c r="AO490" s="53" t="inlineStr">
        <is>
          <t>Development</t>
        </is>
      </c>
      <c r="AP490" s="53" t="inlineStr">
        <is>
          <t>Yes</t>
        </is>
      </c>
      <c r="AQ490" s="53" t="inlineStr">
        <is>
          <t>Product/Project</t>
        </is>
      </c>
      <c r="AR490" s="53" t="inlineStr">
        <is>
          <t>.NET MVC + React</t>
        </is>
      </c>
      <c r="AS490" s="53" t="inlineStr">
        <is>
          <t>Technical - Developer</t>
        </is>
      </c>
      <c r="AT490" s="53" t="n">
        <v>20</v>
      </c>
      <c r="AU490" s="53" t="inlineStr">
        <is>
          <t>Covered</t>
        </is>
      </c>
      <c r="AV490" s="53" t="inlineStr">
        <is>
          <t>IRIS2354</t>
        </is>
      </c>
      <c r="AW490" s="53" t="inlineStr">
        <is>
          <t>Kuldip D Shah</t>
        </is>
      </c>
      <c r="AX490" s="53" t="inlineStr">
        <is>
          <t>Technology</t>
        </is>
      </c>
      <c r="AY490" s="53" t="inlineStr">
        <is>
          <t>Engineering &amp; Development</t>
        </is>
      </c>
      <c r="AZ490" s="53" t="inlineStr">
        <is>
          <t>Backend Engineering ·.NET</t>
        </is>
      </c>
      <c r="BA490" s="53" t="n"/>
      <c r="BB490" s="53" t="n"/>
      <c r="BC490" s="53" t="inlineStr">
        <is>
          <t>Employee</t>
        </is>
      </c>
      <c r="BD490" s="53" t="inlineStr">
        <is>
          <t>Kunal Jadhav</t>
        </is>
      </c>
      <c r="BE490" s="53" t="inlineStr">
        <is>
          <t>Kunal Jadhav</t>
        </is>
      </c>
      <c r="BF490" s="53" t="inlineStr">
        <is>
          <t>No</t>
        </is>
      </c>
      <c r="BG490" s="53" t="inlineStr">
        <is>
          <t>Software Engineer</t>
        </is>
      </c>
      <c r="BH490" s="53" t="inlineStr">
        <is>
          <t>Software Engineer</t>
        </is>
      </c>
      <c r="BI490" s="53" t="inlineStr">
        <is>
          <t>No</t>
        </is>
      </c>
      <c r="BJ490" s="53" t="inlineStr">
        <is>
          <t>—</t>
        </is>
      </c>
      <c r="BK490" s="53" t="inlineStr">
        <is>
          <t>—</t>
        </is>
      </c>
      <c r="BL490" s="53" t="inlineStr">
        <is>
          <t>—</t>
        </is>
      </c>
      <c r="BM490" s="53" t="inlineStr">
        <is>
          <t>Not a manager</t>
        </is>
      </c>
      <c r="BN490" s="53" t="inlineStr">
        <is>
          <t>—</t>
        </is>
      </c>
      <c r="BO490" s="53" t="inlineStr">
        <is>
          <t>—</t>
        </is>
      </c>
      <c r="BP490" s="53" t="inlineStr">
        <is>
          <t>—</t>
        </is>
      </c>
      <c r="BQ490" s="53" t="inlineStr">
        <is>
          <t>Not a manager</t>
        </is>
      </c>
      <c r="BR490" s="53" t="inlineStr">
        <is>
          <t>—</t>
        </is>
      </c>
      <c r="BS490" s="53" t="inlineStr">
        <is>
          <t>L3 – Professional / Associate</t>
        </is>
      </c>
      <c r="BT490" s="53" t="inlineStr">
        <is>
          <t>L3 – Professional / Associate</t>
        </is>
      </c>
      <c r="BU490" s="53" t="inlineStr">
        <is>
          <t>No designation change — current record value carried forward</t>
        </is>
      </c>
      <c r="BV490" s="53"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W490" s="53" t="n"/>
      <c r="BX490" s="53" t="inlineStr">
        <is>
          <t>Global.</t>
        </is>
      </c>
      <c r="BY490" s="53" t="n"/>
      <c r="BZ490" s="53" t="n"/>
      <c r="CA490" s="53" t="n"/>
      <c r="CB490" s="53" t="n"/>
      <c r="CC490" s="53" t="n"/>
      <c r="CD490" s="53" t="n"/>
      <c r="CE490" s="53" t="n"/>
      <c r="CF490" s="53" t="n"/>
      <c r="CG490" s="53" t="n"/>
      <c r="CH490" s="53" t="n"/>
      <c r="CI490" s="53" t="n"/>
      <c r="CJ490" s="53" t="n"/>
      <c r="CK490" s="53" t="n"/>
      <c r="CL490" s="53" t="n"/>
      <c r="CM490" s="53" t="n"/>
      <c r="CN490" s="53" t="n"/>
      <c r="CO490" s="53" t="n"/>
      <c r="CP490" s="53" t="n"/>
      <c r="CQ490" s="53" t="n"/>
      <c r="CR490" s="53" t="n"/>
      <c r="CS490" s="53" t="n"/>
      <c r="CT490" s="53" t="n"/>
      <c r="CU490" s="53" t="n"/>
      <c r="CV490" s="53" t="n"/>
      <c r="CW490" s="53" t="n"/>
      <c r="CX490" s="53" t="n"/>
      <c r="CY490" s="53" t="n"/>
      <c r="CZ490" s="53" t="n"/>
      <c r="DA490" s="53" t="n"/>
      <c r="DB490" s="53" t="n"/>
      <c r="DC490" s="53" t="n"/>
      <c r="DD490" s="53" t="n"/>
      <c r="DE490" s="53" t="n"/>
      <c r="DF490" s="53" t="n"/>
      <c r="DG490" s="53" t="n"/>
      <c r="DH490" s="53" t="n"/>
      <c r="DI490" s="53" t="n"/>
      <c r="DJ490" s="53" t="n"/>
      <c r="DK490" s="53" t="n"/>
      <c r="DL490" s="53" t="n"/>
      <c r="DM490" s="53" t="n"/>
      <c r="DN490" s="53" t="n"/>
      <c r="DO490" s="53" t="n"/>
      <c r="DP490" s="53" t="n"/>
      <c r="DQ490" s="53" t="n"/>
      <c r="DR490" s="53" t="n"/>
      <c r="DS490" s="53" t="n"/>
      <c r="DT490" s="53" t="n"/>
      <c r="DU490" s="53" t="n"/>
      <c r="DV490" s="53" t="n"/>
      <c r="DW490" s="53" t="n"/>
      <c r="DX490" s="53" t="n"/>
      <c r="DY490" s="53" t="n"/>
      <c r="DZ490" s="53" t="n"/>
      <c r="EA490" s="53" t="n"/>
      <c r="EB490" s="53" t="n"/>
      <c r="EC490" s="53" t="n"/>
      <c r="ED490" s="53" t="n"/>
      <c r="EE490" s="53" t="n"/>
      <c r="EF490" s="53" t="n"/>
      <c r="EG490" s="53" t="n"/>
      <c r="EH490" s="53" t="n"/>
      <c r="EI490" s="53" t="n"/>
      <c r="EJ490" s="53" t="n"/>
      <c r="EK490" s="53" t="n"/>
      <c r="EL490" s="53" t="n"/>
      <c r="EM490" s="53" t="n"/>
      <c r="EN490" s="53" t="n"/>
      <c r="EO490" s="53" t="n"/>
      <c r="EP490" s="53" t="n"/>
      <c r="EQ490" s="53" t="n"/>
      <c r="ER490" s="53" t="n"/>
      <c r="ES490" s="53" t="n"/>
      <c r="ET490" s="53" t="n"/>
      <c r="EU490" s="53" t="n"/>
      <c r="EV490" s="53" t="n"/>
      <c r="EW490" s="52" t="n"/>
      <c r="EX490" s="53"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EY490" s="53"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EZ490" s="53" t="inlineStr">
        <is>
          <t>• Current capabilities: React.
• Tools / software used: VS code; Visual studio code; Claude; Github Copilot; Quickscram.
• Workload: Rated a heavy load · 4/5 in a typical week.
• Judgment/way of working: Logical thinking.</t>
        </is>
      </c>
      <c r="FA490" s="53" t="inlineStr">
        <is>
          <t>• Development priorities: I would like to improve my full-stack development skills and communication skills.
• Learning and Development Need: Opportunity to prove. Improve communication and technical skills.
• Role evolving toward: AI based development.</t>
        </is>
      </c>
      <c r="FB490" s="53" t="inlineStr">
        <is>
          <t>• Key challenges: AI credits.
• Support required: Clear requirement and documentation.</t>
        </is>
      </c>
      <c r="FC490" s="53" t="n"/>
      <c r="FD490" s="53" t="n"/>
      <c r="FE490" s="57"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FF490" s="56" t="n"/>
      <c r="FG490" s="56" t="n"/>
      <c r="FH490" s="56" t="n"/>
      <c r="FI490" s="56" t="n"/>
      <c r="FJ490" s="56" t="inlineStr">
        <is>
          <t>Received · manager annual</t>
        </is>
      </c>
      <c r="FK490" s="56" t="inlineStr">
        <is>
          <t>CARBON Mapping Master</t>
        </is>
      </c>
      <c r="FL490" s="56" t="n">
        <v>20</v>
      </c>
      <c r="FM490" s="56"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FN490" s="56"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FO490" s="56" t="inlineStr">
        <is>
          <t>• Current capabilities: React.
• Tools / software used: VS code; Visual studio code; Claude; Github Copilot; Quickscram.
• Workload: Rated a heavy load · 4/5 in a typical week.
• Judgment/way of working: Logical thinking.</t>
        </is>
      </c>
      <c r="FP490" s="56" t="inlineStr">
        <is>
          <t>• Development priorities: I would like to improve my full-stack development skills and communication skills.
• Learning and Development Need: Opportunity to prove. Improve communication and technical skills.
• Role evolving toward: AI based development.</t>
        </is>
      </c>
      <c r="FQ490" s="56" t="inlineStr">
        <is>
          <t>• Key challenges: AI credits.
• Support required: Clear requirement and documentation.</t>
        </is>
      </c>
      <c r="FR490" s="56" t="inlineStr">
        <is>
          <t>Complexity: Evidence reads like A2: Frontend features, bug fixing, API integration and performance improvement in React → matches the start
Autonomy: Evidence reads like A2: Only 'problem solving' given as independent decision → matches the start
Accountability: Evidence reads like A2: Own frontend features, API integration and bug fixes; errors cause UI issues and delays → matches the start
Leadership: Evidence reads like A1: No guidance of others described → matches the start
Business Impact: No survey or manager-mapping signal on criticality: kept at the start point.</t>
        </is>
      </c>
      <c r="FS49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90" s="56" t="inlineStr">
        <is>
          <t>Self-identified: Communication &amp; presentation
For the next role: Communication &amp; presentation</t>
        </is>
      </c>
      <c r="FU490" s="56" t="inlineStr">
        <is>
          <t>Per-person summary · CARBON Mapping Master</t>
        </is>
      </c>
    </row>
    <row r="491" ht="90" customHeight="1">
      <c r="A491" s="51" t="inlineStr">
        <is>
          <t>◂ Back</t>
        </is>
      </c>
      <c r="B491" s="29" t="inlineStr">
        <is>
          <t>Mapped</t>
        </is>
      </c>
      <c r="C491" s="28" t="inlineStr">
        <is>
          <t>CARBON</t>
        </is>
      </c>
      <c r="D491" s="29" t="inlineStr">
        <is>
          <t>IRIS2395</t>
        </is>
      </c>
      <c r="E491" s="29" t="inlineStr">
        <is>
          <t>Ayushi Prajapati</t>
        </is>
      </c>
      <c r="F491" s="29" t="inlineStr">
        <is>
          <t>Technology</t>
        </is>
      </c>
      <c r="G491" s="29" t="inlineStr">
        <is>
          <t>Trainee Software Engineer</t>
        </is>
      </c>
      <c r="H491" s="29" t="inlineStr">
        <is>
          <t>UI Developer</t>
        </is>
      </c>
      <c r="I491" s="29" t="inlineStr">
        <is>
          <t>L2 – Trainee</t>
        </is>
      </c>
      <c r="J491" s="29" t="inlineStr">
        <is>
          <t>A2</t>
        </is>
      </c>
      <c r="K491" s="29" t="inlineStr">
        <is>
          <t>▲ Up</t>
        </is>
      </c>
      <c r="L491" s="29" t="inlineStr">
        <is>
          <t>Engineering &amp; Development</t>
        </is>
      </c>
      <c r="M491" s="29" t="inlineStr">
        <is>
          <t>Front-End / UI Development</t>
        </is>
      </c>
      <c r="N491" s="29" t="n"/>
      <c r="O491" s="29" t="n">
        <v>20</v>
      </c>
      <c r="P491" s="28" t="inlineStr">
        <is>
          <t>P1–P2</t>
        </is>
      </c>
      <c r="Q491" s="29" t="inlineStr">
        <is>
          <t>Entry / Developing</t>
        </is>
      </c>
      <c r="R491" s="29" t="inlineStr">
        <is>
          <t>2 Assist</t>
        </is>
      </c>
      <c r="S491" s="29" t="inlineStr">
        <is>
          <t>0–2 yrs</t>
        </is>
      </c>
      <c r="T491" s="29" t="inlineStr">
        <is>
          <t>1–3 · 0–3</t>
        </is>
      </c>
      <c r="U491" s="29" t="inlineStr">
        <is>
          <t>Associate Software Engineer / Software Engineer</t>
        </is>
      </c>
      <c r="V491" s="29" t="inlineStr">
        <is>
          <t>Workiva: Associate SE · Broadridge India: SE · Nasdaq / AxiomSL: SE · Salesforce: AMTS · Atlassian: P30 Junior · 0–2 yrs · Freshworks: SE</t>
        </is>
      </c>
      <c r="W491" s="29" t="inlineStr">
        <is>
          <t>SFIA 9 · software development, programming; OWASP secure coding; cloud vendor certifications</t>
        </is>
      </c>
      <c r="X491" s="29" t="inlineStr">
        <is>
          <t>Core 2 · Future 2 · Functional 2 · Leadership not scored</t>
        </is>
      </c>
      <c r="Y491" s="52" t="n">
        <v>381</v>
      </c>
      <c r="Z491" s="53" t="inlineStr">
        <is>
          <t>IRIS2395</t>
        </is>
      </c>
      <c r="AA491" s="53" t="inlineStr">
        <is>
          <t>Employee</t>
        </is>
      </c>
      <c r="AB491" s="53" t="inlineStr">
        <is>
          <t>Active</t>
        </is>
      </c>
      <c r="AC491" s="53" t="inlineStr">
        <is>
          <t>Ayushi Prajapati</t>
        </is>
      </c>
      <c r="AD491" s="54" t="n">
        <v>45839</v>
      </c>
      <c r="AE491" s="53" t="inlineStr">
        <is>
          <t>Trainee Software Engineer</t>
        </is>
      </c>
      <c r="AF491" s="53" t="inlineStr">
        <is>
          <t>B.Sc</t>
        </is>
      </c>
      <c r="AG491" s="53" t="inlineStr">
        <is>
          <t>Kunal Jadhav</t>
        </is>
      </c>
      <c r="AH491" s="53" t="inlineStr">
        <is>
          <t>N-5</t>
        </is>
      </c>
      <c r="AI491" s="53" t="inlineStr">
        <is>
          <t>Individual Contributor</t>
        </is>
      </c>
      <c r="AJ491" s="53" t="inlineStr">
        <is>
          <t>0 years, 0 months, 0 days</t>
        </is>
      </c>
      <c r="AK491" s="53" t="inlineStr">
        <is>
          <t>1 years, 1 months, 24 days</t>
        </is>
      </c>
      <c r="AL491" s="53" t="inlineStr">
        <is>
          <t>Regtech</t>
        </is>
      </c>
      <c r="AM491" s="53" t="inlineStr">
        <is>
          <t>CARBON</t>
        </is>
      </c>
      <c r="AN491" s="53" t="inlineStr">
        <is>
          <t>Technology</t>
        </is>
      </c>
      <c r="AO491" s="53" t="inlineStr">
        <is>
          <t>Development</t>
        </is>
      </c>
      <c r="AP491" s="53" t="inlineStr">
        <is>
          <t>Yes</t>
        </is>
      </c>
      <c r="AQ491" s="53" t="inlineStr">
        <is>
          <t>Product/Project</t>
        </is>
      </c>
      <c r="AR491" s="53" t="inlineStr">
        <is>
          <t>React</t>
        </is>
      </c>
      <c r="AS491" s="53" t="inlineStr">
        <is>
          <t>Technical - Developer</t>
        </is>
      </c>
      <c r="AT491" s="53" t="n">
        <v>20</v>
      </c>
      <c r="AU491" s="53" t="inlineStr">
        <is>
          <t>Covered</t>
        </is>
      </c>
      <c r="AV491" s="53" t="inlineStr">
        <is>
          <t>IRIS2395</t>
        </is>
      </c>
      <c r="AW491" s="53" t="inlineStr">
        <is>
          <t>Ayushi Prajapati</t>
        </is>
      </c>
      <c r="AX491" s="53" t="inlineStr">
        <is>
          <t>Technology</t>
        </is>
      </c>
      <c r="AY491" s="53" t="inlineStr">
        <is>
          <t>Engineering &amp; Development</t>
        </is>
      </c>
      <c r="AZ491" s="53" t="inlineStr">
        <is>
          <t>Software Engineering</t>
        </is>
      </c>
      <c r="BA491" s="53" t="n"/>
      <c r="BB491" s="53" t="n"/>
      <c r="BC491" s="53" t="inlineStr">
        <is>
          <t>Employee</t>
        </is>
      </c>
      <c r="BD491" s="53" t="inlineStr">
        <is>
          <t>Kunal Jadhav</t>
        </is>
      </c>
      <c r="BE491" s="53" t="inlineStr">
        <is>
          <t>Kunal Jadhav</t>
        </is>
      </c>
      <c r="BF491" s="53" t="inlineStr">
        <is>
          <t>No</t>
        </is>
      </c>
      <c r="BG491" s="53" t="inlineStr">
        <is>
          <t>Trainee Software Engineer</t>
        </is>
      </c>
      <c r="BH491" s="53" t="inlineStr">
        <is>
          <t>Trainee Software Engineer</t>
        </is>
      </c>
      <c r="BI491" s="53" t="inlineStr">
        <is>
          <t>No</t>
        </is>
      </c>
      <c r="BJ491" s="53" t="inlineStr">
        <is>
          <t>—</t>
        </is>
      </c>
      <c r="BK491" s="53" t="inlineStr">
        <is>
          <t>—</t>
        </is>
      </c>
      <c r="BL491" s="53" t="inlineStr">
        <is>
          <t>—</t>
        </is>
      </c>
      <c r="BM491" s="53" t="inlineStr">
        <is>
          <t>Not a manager</t>
        </is>
      </c>
      <c r="BN491" s="53" t="inlineStr">
        <is>
          <t>—</t>
        </is>
      </c>
      <c r="BO491" s="53" t="inlineStr">
        <is>
          <t>—</t>
        </is>
      </c>
      <c r="BP491" s="53" t="inlineStr">
        <is>
          <t>—</t>
        </is>
      </c>
      <c r="BQ491" s="53" t="inlineStr">
        <is>
          <t>Not a manager</t>
        </is>
      </c>
      <c r="BR491" s="53" t="inlineStr">
        <is>
          <t>—</t>
        </is>
      </c>
      <c r="BS491" s="53" t="inlineStr">
        <is>
          <t>L2 – Trainee</t>
        </is>
      </c>
      <c r="BT491" s="53" t="inlineStr">
        <is>
          <t>L2 – Trainee</t>
        </is>
      </c>
      <c r="BU491" s="53" t="inlineStr">
        <is>
          <t>No designation change — current record value carried forward</t>
        </is>
      </c>
      <c r="BV491" s="53"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W491" s="53" t="n"/>
      <c r="BX491" s="53" t="inlineStr">
        <is>
          <t>All.</t>
        </is>
      </c>
      <c r="BY491" s="53" t="n"/>
      <c r="BZ491" s="53" t="n"/>
      <c r="CA491" s="53" t="n"/>
      <c r="CB491" s="53" t="n"/>
      <c r="CC491" s="53" t="n"/>
      <c r="CD491" s="53" t="n"/>
      <c r="CE491" s="53" t="n"/>
      <c r="CF491" s="53" t="n"/>
      <c r="CG491" s="53" t="n"/>
      <c r="CH491" s="53" t="n"/>
      <c r="CI491" s="53" t="n"/>
      <c r="CJ491" s="53" t="n"/>
      <c r="CK491" s="53" t="n"/>
      <c r="CL491" s="53" t="n"/>
      <c r="CM491" s="53" t="n"/>
      <c r="CN491" s="53" t="n"/>
      <c r="CO491" s="53" t="n"/>
      <c r="CP491" s="53" t="n"/>
      <c r="CQ491" s="53" t="n"/>
      <c r="CR491" s="53" t="n"/>
      <c r="CS491" s="53" t="n"/>
      <c r="CT491" s="53" t="n"/>
      <c r="CU491" s="53" t="n"/>
      <c r="CV491" s="53" t="n"/>
      <c r="CW491" s="53" t="n"/>
      <c r="CX491" s="53" t="n"/>
      <c r="CY491" s="53" t="n"/>
      <c r="CZ491" s="53" t="n"/>
      <c r="DA491" s="53" t="n"/>
      <c r="DB491" s="53" t="n"/>
      <c r="DC491" s="53" t="n"/>
      <c r="DD491" s="53" t="n"/>
      <c r="DE491" s="53" t="n"/>
      <c r="DF491" s="53" t="n"/>
      <c r="DG491" s="53" t="n"/>
      <c r="DH491" s="53" t="n"/>
      <c r="DI491" s="53" t="n"/>
      <c r="DJ491" s="53" t="n"/>
      <c r="DK491" s="53" t="n"/>
      <c r="DL491" s="53" t="n"/>
      <c r="DM491" s="53" t="n"/>
      <c r="DN491" s="53" t="n"/>
      <c r="DO491" s="53" t="n"/>
      <c r="DP491" s="53" t="n"/>
      <c r="DQ491" s="53" t="n"/>
      <c r="DR491" s="53" t="n"/>
      <c r="DS491" s="53" t="n"/>
      <c r="DT491" s="53" t="n"/>
      <c r="DU491" s="53" t="n"/>
      <c r="DV491" s="53" t="n"/>
      <c r="DW491" s="53" t="n"/>
      <c r="DX491" s="53" t="n"/>
      <c r="DY491" s="53" t="n"/>
      <c r="DZ491" s="53" t="n"/>
      <c r="EA491" s="53" t="n"/>
      <c r="EB491" s="53" t="n"/>
      <c r="EC491" s="53" t="n"/>
      <c r="ED491" s="53" t="n"/>
      <c r="EE491" s="53" t="n"/>
      <c r="EF491" s="53" t="n"/>
      <c r="EG491" s="53" t="n"/>
      <c r="EH491" s="53" t="n"/>
      <c r="EI491" s="53" t="n"/>
      <c r="EJ491" s="53" t="n"/>
      <c r="EK491" s="53" t="n"/>
      <c r="EL491" s="53" t="n"/>
      <c r="EM491" s="53" t="n"/>
      <c r="EN491" s="53" t="n"/>
      <c r="EO491" s="53" t="n"/>
      <c r="EP491" s="53" t="n"/>
      <c r="EQ491" s="53" t="n"/>
      <c r="ER491" s="53" t="n"/>
      <c r="ES491" s="53" t="n"/>
      <c r="ET491" s="53" t="n"/>
      <c r="EU491" s="53" t="n"/>
      <c r="EV491" s="53" t="n"/>
      <c r="EW491" s="52" t="n"/>
      <c r="EX491" s="53"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EY491" s="53"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EZ491" s="53" t="inlineStr">
        <is>
          <t>• Current capabilities: Module Federation; Frontend Architecture; React.
• Tools / software used: VsCode; copilot.
• Workload: Rated a moderate load · 3/5 in a typical week.
• Judgment/way of working: Adaptability.</t>
        </is>
      </c>
      <c r="FA491" s="53"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B491" s="53" t="inlineStr">
        <is>
          <t>• Key challenges: Changing requirements.
• Support required: Clearer requirements and timely UI decisions.</t>
        </is>
      </c>
      <c r="FC491" s="53" t="n"/>
      <c r="FD491" s="53" t="n"/>
      <c r="FE491" s="57"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FF491" s="56" t="n"/>
      <c r="FG491" s="56" t="n"/>
      <c r="FH491" s="56" t="n"/>
      <c r="FI491" s="56" t="n"/>
      <c r="FJ491" s="56" t="inlineStr">
        <is>
          <t>Received · manager annual</t>
        </is>
      </c>
      <c r="FK491" s="56" t="inlineStr">
        <is>
          <t>CARBON Mapping Master</t>
        </is>
      </c>
      <c r="FL491" s="56" t="n">
        <v>20</v>
      </c>
      <c r="FM491" s="56"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FN491" s="56"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FO491" s="56" t="inlineStr">
        <is>
          <t>• Current capabilities: Module Federation; Frontend Architecture; React.
• Tools / software used: VsCode; copilot.
• Workload: Rated a moderate load · 3/5 in a typical week.
• Judgment/way of working: Adaptability.</t>
        </is>
      </c>
      <c r="FP491" s="56"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Q491" s="56" t="inlineStr">
        <is>
          <t>• Key challenges: Changing requirements.
• Support required: Clearer requirements and timely UI decisions.</t>
        </is>
      </c>
      <c r="FR491" s="56" t="inlineStr">
        <is>
          <t>Complexity: Evidence reads like A3: Owns common components and shared UI across applications; Module Federation and frontend architecture → moved up 1
Autonomy: Evidence reads like A2: Only 'solution decisions' stated, with no detail → moved up 0.5
Accountability: Evidence reads like A3: Stability of owned features and shared components used across applications → moved up 1
Leadership: Evidence reads like A1: None described beyond team collaboration → matches the start
Business Impact: No survey or manager-mapping signal on criticality: kept at the start point.</t>
        </is>
      </c>
      <c r="FS49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491" s="56" t="inlineStr">
        <is>
          <t>Self-identified: Leadership &amp; people management · Broader exposure &amp; ownership
For the next role: Leadership &amp; people management · Broader exposure &amp; ownership</t>
        </is>
      </c>
      <c r="FU491" s="56" t="inlineStr">
        <is>
          <t>Per-person summary · CARBON Mapping Master</t>
        </is>
      </c>
    </row>
    <row r="492" ht="90" customHeight="1">
      <c r="A492" s="51" t="inlineStr">
        <is>
          <t>◂ Back</t>
        </is>
      </c>
      <c r="B492" s="29" t="inlineStr">
        <is>
          <t>Mapped</t>
        </is>
      </c>
      <c r="C492" s="28" t="inlineStr">
        <is>
          <t>CARBON</t>
        </is>
      </c>
      <c r="D492" s="29" t="inlineStr">
        <is>
          <t>IRIS2109</t>
        </is>
      </c>
      <c r="E492" s="29" t="inlineStr">
        <is>
          <t>Jayshiv Patel</t>
        </is>
      </c>
      <c r="F492" s="29" t="inlineStr">
        <is>
          <t>Technology</t>
        </is>
      </c>
      <c r="G492" s="29" t="inlineStr">
        <is>
          <t>Software Engineer</t>
        </is>
      </c>
      <c r="H492" s="29" t="inlineStr">
        <is>
          <t>Senior Software Engineer</t>
        </is>
      </c>
      <c r="I492" s="29" t="inlineStr">
        <is>
          <t>L3 – Professional / Associate</t>
        </is>
      </c>
      <c r="J492" s="29" t="inlineStr">
        <is>
          <t>A3</t>
        </is>
      </c>
      <c r="K492" s="29" t="inlineStr">
        <is>
          <t>▲ Up</t>
        </is>
      </c>
      <c r="L492" s="29" t="inlineStr">
        <is>
          <t>Engineering &amp; Development</t>
        </is>
      </c>
      <c r="M492" s="29" t="inlineStr">
        <is>
          <t>Full-Stack Development</t>
        </is>
      </c>
      <c r="N492" s="29" t="inlineStr">
        <is>
          <t>• Confirm the reporting line — Manager</t>
        </is>
      </c>
      <c r="O492" s="29" t="n">
        <v>20</v>
      </c>
      <c r="P492" s="28" t="inlineStr">
        <is>
          <t>P2</t>
        </is>
      </c>
      <c r="Q492" s="29" t="inlineStr">
        <is>
          <t>Developing</t>
        </is>
      </c>
      <c r="R492" s="29" t="inlineStr">
        <is>
          <t>3 Apply</t>
        </is>
      </c>
      <c r="S492" s="29" t="inlineStr">
        <is>
          <t>2–4 yrs</t>
        </is>
      </c>
      <c r="T492" s="29" t="inlineStr">
        <is>
          <t>3–5 · 2–5</t>
        </is>
      </c>
      <c r="U492" s="29" t="inlineStr">
        <is>
          <t>Software Engineer</t>
        </is>
      </c>
      <c r="V492" s="29" t="inlineStr">
        <is>
          <t>Workiva: SE · Broadridge India: SE · Nasdaq / AxiomSL: SE · Salesforce: MTS · Atlassian: P40 · 3–7 yrs · Freshworks: Senior SE</t>
        </is>
      </c>
      <c r="W492" s="29" t="inlineStr">
        <is>
          <t>SFIA 9 · software development, programming; OWASP secure coding; cloud vendor certifications</t>
        </is>
      </c>
      <c r="X492" s="29" t="inlineStr">
        <is>
          <t>Core 2 · Future 2 · Functional 3 · Leadership not scored</t>
        </is>
      </c>
      <c r="Y492" s="52" t="n">
        <v>266</v>
      </c>
      <c r="Z492" s="53" t="inlineStr">
        <is>
          <t>IRIS2109</t>
        </is>
      </c>
      <c r="AA492" s="53" t="inlineStr">
        <is>
          <t>Employee</t>
        </is>
      </c>
      <c r="AB492" s="53" t="inlineStr">
        <is>
          <t>Active</t>
        </is>
      </c>
      <c r="AC492" s="53" t="inlineStr">
        <is>
          <t>Jayshiv Patel</t>
        </is>
      </c>
      <c r="AD492" s="54" t="n">
        <v>45019</v>
      </c>
      <c r="AE492" s="53" t="inlineStr">
        <is>
          <t>Software Engineer</t>
        </is>
      </c>
      <c r="AF492" s="53" t="inlineStr">
        <is>
          <t>Msc</t>
        </is>
      </c>
      <c r="AG492" s="53" t="inlineStr">
        <is>
          <t>Chetan Kotwal</t>
        </is>
      </c>
      <c r="AH492" s="53" t="inlineStr">
        <is>
          <t>N-3</t>
        </is>
      </c>
      <c r="AI492" s="53" t="inlineStr">
        <is>
          <t>Manager</t>
        </is>
      </c>
      <c r="AJ492" s="53" t="inlineStr">
        <is>
          <t>0 years, 0 months, 0 days</t>
        </is>
      </c>
      <c r="AK492" s="53" t="inlineStr">
        <is>
          <t>3 years, 4 months, 22 days</t>
        </is>
      </c>
      <c r="AL492" s="53" t="inlineStr">
        <is>
          <t>Regtech</t>
        </is>
      </c>
      <c r="AM492" s="53" t="inlineStr">
        <is>
          <t>CARBON</t>
        </is>
      </c>
      <c r="AN492" s="53" t="inlineStr">
        <is>
          <t>Technology</t>
        </is>
      </c>
      <c r="AO492" s="53" t="inlineStr">
        <is>
          <t>Development</t>
        </is>
      </c>
      <c r="AP492" s="53" t="inlineStr">
        <is>
          <t>Yes</t>
        </is>
      </c>
      <c r="AQ492" s="53" t="inlineStr">
        <is>
          <t>Product/Project</t>
        </is>
      </c>
      <c r="AR492" s="53" t="inlineStr">
        <is>
          <t>.NET MVC</t>
        </is>
      </c>
      <c r="AS492" s="53" t="inlineStr">
        <is>
          <t>Technical - Developer</t>
        </is>
      </c>
      <c r="AT492" s="53" t="n">
        <v>20</v>
      </c>
      <c r="AU492" s="53" t="inlineStr">
        <is>
          <t>Covered</t>
        </is>
      </c>
      <c r="AV492" s="53" t="inlineStr">
        <is>
          <t>IRIS2109</t>
        </is>
      </c>
      <c r="AW492" s="53" t="inlineStr">
        <is>
          <t>Jayshiv Patel</t>
        </is>
      </c>
      <c r="AX492" s="53" t="inlineStr">
        <is>
          <t>Technology</t>
        </is>
      </c>
      <c r="AY492" s="53" t="inlineStr">
        <is>
          <t>Engineering &amp; Development</t>
        </is>
      </c>
      <c r="AZ492" s="53" t="inlineStr">
        <is>
          <t>Full-Stack Engineering</t>
        </is>
      </c>
      <c r="BA492" s="53" t="n"/>
      <c r="BB492" s="53" t="n"/>
      <c r="BC492" s="53" t="inlineStr">
        <is>
          <t>Employee</t>
        </is>
      </c>
      <c r="BD492" s="53" t="inlineStr">
        <is>
          <t>Chetan Kotwal</t>
        </is>
      </c>
      <c r="BE492" s="53" t="inlineStr">
        <is>
          <t>Chetan Kotwal</t>
        </is>
      </c>
      <c r="BF492" s="53" t="inlineStr">
        <is>
          <t>No</t>
        </is>
      </c>
      <c r="BG492" s="53" t="inlineStr">
        <is>
          <t>Software Engineer</t>
        </is>
      </c>
      <c r="BH492" s="53" t="inlineStr">
        <is>
          <t>Software Engineer</t>
        </is>
      </c>
      <c r="BI492" s="53" t="inlineStr">
        <is>
          <t>No</t>
        </is>
      </c>
      <c r="BJ492" s="53" t="n">
        <v>2</v>
      </c>
      <c r="BK492" s="53" t="n">
        <v>2</v>
      </c>
      <c r="BL492" s="53" t="n">
        <v>0</v>
      </c>
      <c r="BM492" s="53" t="inlineStr">
        <is>
          <t>Consolidate / flatten</t>
        </is>
      </c>
      <c r="BN492" s="53" t="n">
        <v>2</v>
      </c>
      <c r="BO492" s="53" t="n">
        <v>2</v>
      </c>
      <c r="BP492" s="53" t="n">
        <v>0</v>
      </c>
      <c r="BQ492" s="53" t="inlineStr">
        <is>
          <t>Consolidate / flatten</t>
        </is>
      </c>
      <c r="BR492" s="53" t="inlineStr">
        <is>
          <t>No</t>
        </is>
      </c>
      <c r="BS492" s="53" t="inlineStr">
        <is>
          <t>L3 – Professional / Associate</t>
        </is>
      </c>
      <c r="BT492" s="53" t="inlineStr">
        <is>
          <t>L3 – Professional / Associate</t>
        </is>
      </c>
      <c r="BU492" s="53" t="inlineStr">
        <is>
          <t>No designation change — current record value carried forward</t>
        </is>
      </c>
      <c r="BV492" s="53"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W492" s="53" t="n"/>
      <c r="BX492" s="53" t="inlineStr">
        <is>
          <t>Global.</t>
        </is>
      </c>
      <c r="BY492" s="53" t="n"/>
      <c r="BZ492" s="53" t="n"/>
      <c r="CA492" s="53" t="n"/>
      <c r="CB492" s="53" t="n"/>
      <c r="CC492" s="53" t="n"/>
      <c r="CD492" s="53" t="n"/>
      <c r="CE492" s="53" t="n"/>
      <c r="CF492" s="53" t="n"/>
      <c r="CG492" s="53" t="n"/>
      <c r="CH492" s="53" t="n"/>
      <c r="CI492" s="53" t="n"/>
      <c r="CJ492" s="53" t="n"/>
      <c r="CK492" s="53" t="n"/>
      <c r="CL492" s="53" t="n"/>
      <c r="CM492" s="53" t="n"/>
      <c r="CN492" s="53" t="n"/>
      <c r="CO492" s="53" t="n"/>
      <c r="CP492" s="53" t="n"/>
      <c r="CQ492" s="53" t="n"/>
      <c r="CR492" s="53" t="n"/>
      <c r="CS492" s="53" t="n"/>
      <c r="CT492" s="53" t="n"/>
      <c r="CU492" s="53" t="n"/>
      <c r="CV492" s="53" t="n"/>
      <c r="CW492" s="53" t="n"/>
      <c r="CX492" s="53" t="n"/>
      <c r="CY492" s="53" t="n"/>
      <c r="CZ492" s="53" t="n"/>
      <c r="DA492" s="53" t="n"/>
      <c r="DB492" s="53" t="n"/>
      <c r="DC492" s="53" t="n"/>
      <c r="DD492" s="53" t="n"/>
      <c r="DE492" s="53" t="n"/>
      <c r="DF492" s="53" t="n"/>
      <c r="DG492" s="53" t="n"/>
      <c r="DH492" s="53" t="n"/>
      <c r="DI492" s="53" t="n"/>
      <c r="DJ492" s="53" t="n"/>
      <c r="DK492" s="53" t="n"/>
      <c r="DL492" s="53" t="n"/>
      <c r="DM492" s="53" t="n"/>
      <c r="DN492" s="53" t="n"/>
      <c r="DO492" s="53" t="n"/>
      <c r="DP492" s="53" t="n"/>
      <c r="DQ492" s="53" t="n"/>
      <c r="DR492" s="53" t="n"/>
      <c r="DS492" s="53" t="n"/>
      <c r="DT492" s="53" t="n"/>
      <c r="DU492" s="53" t="n"/>
      <c r="DV492" s="53" t="n"/>
      <c r="DW492" s="53" t="n"/>
      <c r="DX492" s="53" t="n"/>
      <c r="DY492" s="53" t="n"/>
      <c r="DZ492" s="53" t="n"/>
      <c r="EA492" s="53" t="n"/>
      <c r="EB492" s="53" t="n"/>
      <c r="EC492" s="53" t="n"/>
      <c r="ED492" s="53" t="n"/>
      <c r="EE492" s="53" t="n"/>
      <c r="EF492" s="53" t="n"/>
      <c r="EG492" s="53" t="n"/>
      <c r="EH492" s="53" t="n"/>
      <c r="EI492" s="53" t="n"/>
      <c r="EJ492" s="53" t="n"/>
      <c r="EK492" s="53" t="n"/>
      <c r="EL492" s="53" t="n"/>
      <c r="EM492" s="53" t="n"/>
      <c r="EN492" s="53" t="n"/>
      <c r="EO492" s="53" t="n"/>
      <c r="EP492" s="53" t="n"/>
      <c r="EQ492" s="53" t="n"/>
      <c r="ER492" s="53" t="n"/>
      <c r="ES492" s="53" t="n"/>
      <c r="ET492" s="53" t="n"/>
      <c r="EU492" s="53" t="n"/>
      <c r="EV492" s="53" t="n"/>
      <c r="EW492" s="52" t="n"/>
      <c r="EX492" s="53"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EY492" s="53"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EZ492" s="53" t="inlineStr">
        <is>
          <t>• Current capabilities: Net - React Development; office js; debugging.
• Tools / software used: VS Code.
• Workload: Rated a heavy load · 4/5 in a typical week.
• Judgment/way of working: Problem Solving.</t>
        </is>
      </c>
      <c r="FA492" s="53"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B492" s="53" t="inlineStr">
        <is>
          <t>• Key challenges: Ad hoc requirements; AI credits; Changing Requirements; Unclear Requirements; 3 party tool Dependencies.
• Support required: Clearer Requirements.</t>
        </is>
      </c>
      <c r="FC492" s="53" t="n"/>
      <c r="FD492" s="53" t="n"/>
      <c r="FE492" s="57"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FF492" s="56" t="n"/>
      <c r="FG492" s="56" t="n"/>
      <c r="FH492" s="56" t="n"/>
      <c r="FI492" s="56" t="n"/>
      <c r="FJ492" s="56" t="inlineStr">
        <is>
          <t>Received · manager annual</t>
        </is>
      </c>
      <c r="FK492" s="56" t="inlineStr">
        <is>
          <t>CARBON Mapping Master</t>
        </is>
      </c>
      <c r="FL492" s="56" t="n">
        <v>20</v>
      </c>
      <c r="FM492" s="56"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FN492" s="56"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FO492" s="56" t="inlineStr">
        <is>
          <t>• Current capabilities: Net - React Development; office js; debugging.
• Tools / software used: VS Code.
• Workload: Rated a heavy load · 4/5 in a typical week.
• Judgment/way of working: Problem Solving.</t>
        </is>
      </c>
      <c r="FP492" s="56"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Q492" s="56" t="inlineStr">
        <is>
          <t>• Key challenges: Ad hoc requirements; AI credits; Changing Requirements; Unclear Requirements; 3 party tool Dependencies.
• Support required: Clearer Requirements.</t>
        </is>
      </c>
      <c r="FR492" s="56" t="inlineStr">
        <is>
          <t>Complexity: Evidence reads like A3: Feature development across backend and frontend, production support, technical guidance to team → moved up 0.5
Autonomy: Evidence reads like A2: Decides 'feature implementation' only; no wider calls stated → moved down 0.5
Accountability: Evidence reads like A3: own survey / KRA answers · summarised by the rater; not quoted → moved down 0.5
Leadership: Evidence reads like A3: 'Team technical guidance' is a listed responsibility; 2 reports → moved down 0.5
Business Impact: No survey or manager-mapping signal on criticality: kept at the start point.</t>
        </is>
      </c>
      <c r="FS492"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92" s="56" t="inlineStr">
        <is>
          <t>Self-identified: Leadership &amp; people management · Project / programme management · Technical depth &amp; architecture · Strategy &amp; business acumen · Broader exposure &amp; ownership
For the next role: Leadership &amp; people management · Project / programme management · Technical depth &amp; architecture · Strategy &amp; business acumen · Broader exposure &amp; ownership</t>
        </is>
      </c>
      <c r="FU492" s="56" t="inlineStr">
        <is>
          <t>Per-person summary · CARBON Mapping Master</t>
        </is>
      </c>
    </row>
    <row r="493" ht="90" customHeight="1">
      <c r="A493" s="51" t="inlineStr">
        <is>
          <t>◂ Back</t>
        </is>
      </c>
      <c r="B493" s="29" t="inlineStr">
        <is>
          <t>Mapped</t>
        </is>
      </c>
      <c r="C493" s="28" t="inlineStr">
        <is>
          <t>CARBON</t>
        </is>
      </c>
      <c r="D493" s="29" t="inlineStr">
        <is>
          <t>IRIS2048</t>
        </is>
      </c>
      <c r="E493" s="29" t="inlineStr">
        <is>
          <t>Gajanan Vadekar</t>
        </is>
      </c>
      <c r="F493" s="29" t="inlineStr">
        <is>
          <t>Support</t>
        </is>
      </c>
      <c r="G493" s="29" t="inlineStr">
        <is>
          <t>Software Engineer</t>
        </is>
      </c>
      <c r="H493" s="29" t="inlineStr">
        <is>
          <t>Senior Software Engineer</t>
        </is>
      </c>
      <c r="I493" s="29" t="inlineStr">
        <is>
          <t>L3 – Professional / Associate</t>
        </is>
      </c>
      <c r="J493" s="29" t="inlineStr">
        <is>
          <t>A3</t>
        </is>
      </c>
      <c r="K493" s="29" t="inlineStr">
        <is>
          <t>▲ Up</t>
        </is>
      </c>
      <c r="L493" s="29" t="inlineStr">
        <is>
          <t>Engineering &amp; Development</t>
        </is>
      </c>
      <c r="M493" s="29" t="inlineStr">
        <is>
          <t>Application Maintenance &amp; Production Support</t>
        </is>
      </c>
      <c r="N493" s="29" t="n"/>
      <c r="O493" s="29" t="n">
        <v>20</v>
      </c>
      <c r="P493" s="28" t="inlineStr">
        <is>
          <t>P2</t>
        </is>
      </c>
      <c r="Q493" s="29" t="inlineStr">
        <is>
          <t>Developing</t>
        </is>
      </c>
      <c r="R493" s="29" t="inlineStr">
        <is>
          <t>3 Apply</t>
        </is>
      </c>
      <c r="S493" s="29" t="inlineStr">
        <is>
          <t>2–4 yrs</t>
        </is>
      </c>
      <c r="T493" s="29" t="inlineStr">
        <is>
          <t>3–5 · 2–5</t>
        </is>
      </c>
      <c r="U493" s="29" t="inlineStr">
        <is>
          <t>Software Engineer</t>
        </is>
      </c>
      <c r="V493" s="29" t="inlineStr">
        <is>
          <t>Workiva: SE · Broadridge India: SE · Nasdaq / AxiomSL: SE · Salesforce: MTS · Atlassian: P40 · 3–7 yrs · Freshworks: Senior SE</t>
        </is>
      </c>
      <c r="W493" s="29" t="inlineStr">
        <is>
          <t>SFIA 9 · software development, programming; OWASP secure coding; cloud vendor certifications</t>
        </is>
      </c>
      <c r="X493" s="29" t="inlineStr">
        <is>
          <t>Core 2 · Future 2 · Functional 3 · Leadership not scored</t>
        </is>
      </c>
      <c r="Y493" s="52" t="n">
        <v>234</v>
      </c>
      <c r="Z493" s="53" t="inlineStr">
        <is>
          <t>IRIS2048</t>
        </is>
      </c>
      <c r="AA493" s="53" t="inlineStr">
        <is>
          <t>Employee</t>
        </is>
      </c>
      <c r="AB493" s="53" t="inlineStr">
        <is>
          <t>Active</t>
        </is>
      </c>
      <c r="AC493" s="53" t="inlineStr">
        <is>
          <t>Gajanan Vadekar</t>
        </is>
      </c>
      <c r="AD493" s="54" t="n">
        <v>44774</v>
      </c>
      <c r="AE493" s="53" t="inlineStr">
        <is>
          <t>Software Engineer</t>
        </is>
      </c>
      <c r="AF493" s="53" t="inlineStr">
        <is>
          <t>B.Tech</t>
        </is>
      </c>
      <c r="AG493" s="53" t="inlineStr">
        <is>
          <t>Jayshiv Patel</t>
        </is>
      </c>
      <c r="AH493" s="53" t="inlineStr">
        <is>
          <t>N-4</t>
        </is>
      </c>
      <c r="AI493" s="53" t="inlineStr">
        <is>
          <t>Individual Contributor</t>
        </is>
      </c>
      <c r="AJ493" s="53" t="inlineStr">
        <is>
          <t>0 years, 0 months, 0 days</t>
        </is>
      </c>
      <c r="AK493" s="53" t="inlineStr">
        <is>
          <t>4 years, 0 months, 24 days</t>
        </is>
      </c>
      <c r="AL493" s="53" t="inlineStr">
        <is>
          <t>Regtech</t>
        </is>
      </c>
      <c r="AM493" s="53" t="inlineStr">
        <is>
          <t>CARBON</t>
        </is>
      </c>
      <c r="AN493" s="53" t="inlineStr">
        <is>
          <t>Support</t>
        </is>
      </c>
      <c r="AO493" s="53" t="inlineStr">
        <is>
          <t>Tech Support</t>
        </is>
      </c>
      <c r="AP493" s="53" t="inlineStr">
        <is>
          <t>Yes</t>
        </is>
      </c>
      <c r="AQ493" s="53" t="inlineStr">
        <is>
          <t>Product/Project</t>
        </is>
      </c>
      <c r="AR493" s="53" t="inlineStr">
        <is>
          <t>.NET MVC</t>
        </is>
      </c>
      <c r="AS493" s="53" t="inlineStr">
        <is>
          <t>Technical - Developer</t>
        </is>
      </c>
      <c r="AT493" s="53" t="n">
        <v>20</v>
      </c>
      <c r="AU493" s="53" t="inlineStr">
        <is>
          <t>Covered</t>
        </is>
      </c>
      <c r="AV493" s="53" t="inlineStr">
        <is>
          <t>IRIS2048</t>
        </is>
      </c>
      <c r="AW493" s="53" t="inlineStr">
        <is>
          <t>Gajanan Vadekar</t>
        </is>
      </c>
      <c r="AX493" s="53" t="inlineStr">
        <is>
          <t>Technology</t>
        </is>
      </c>
      <c r="AY493" s="53" t="inlineStr">
        <is>
          <t>Engineering &amp; Development</t>
        </is>
      </c>
      <c r="AZ493" s="53" t="inlineStr">
        <is>
          <t>Application / Production Support</t>
        </is>
      </c>
      <c r="BA493" s="53" t="n"/>
      <c r="BB493" s="53" t="n"/>
      <c r="BC493" s="53" t="inlineStr">
        <is>
          <t>Employee</t>
        </is>
      </c>
      <c r="BD493" s="53" t="inlineStr">
        <is>
          <t>Jayshiv Patel</t>
        </is>
      </c>
      <c r="BE493" s="53" t="inlineStr">
        <is>
          <t>Jayshiv Patel</t>
        </is>
      </c>
      <c r="BF493" s="53" t="inlineStr">
        <is>
          <t>No</t>
        </is>
      </c>
      <c r="BG493" s="53" t="inlineStr">
        <is>
          <t>Software Engineer</t>
        </is>
      </c>
      <c r="BH493" s="53" t="inlineStr">
        <is>
          <t>Software Engineer - Platform / Integration Support Engineer</t>
        </is>
      </c>
      <c r="BI493" s="53" t="inlineStr">
        <is>
          <t>Check</t>
        </is>
      </c>
      <c r="BJ493" s="53" t="inlineStr">
        <is>
          <t>—</t>
        </is>
      </c>
      <c r="BK493" s="53" t="inlineStr">
        <is>
          <t>—</t>
        </is>
      </c>
      <c r="BL493" s="53" t="inlineStr">
        <is>
          <t>—</t>
        </is>
      </c>
      <c r="BM493" s="53" t="inlineStr">
        <is>
          <t>Not a manager</t>
        </is>
      </c>
      <c r="BN493" s="53" t="inlineStr">
        <is>
          <t>—</t>
        </is>
      </c>
      <c r="BO493" s="53" t="inlineStr">
        <is>
          <t>—</t>
        </is>
      </c>
      <c r="BP493" s="53" t="inlineStr">
        <is>
          <t>—</t>
        </is>
      </c>
      <c r="BQ493" s="53" t="inlineStr">
        <is>
          <t>Not a manager</t>
        </is>
      </c>
      <c r="BR493" s="53" t="inlineStr">
        <is>
          <t>—</t>
        </is>
      </c>
      <c r="BS493" s="53" t="inlineStr">
        <is>
          <t>L3 – Professional / Associate</t>
        </is>
      </c>
      <c r="BT493" s="53" t="inlineStr">
        <is>
          <t>L3 – Professional / Associate</t>
        </is>
      </c>
      <c r="BU493" s="53" t="inlineStr">
        <is>
          <t>No designation change — current record value carried forward</t>
        </is>
      </c>
      <c r="BV493" s="53"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W493" s="53" t="n"/>
      <c r="BX493" s="53" t="inlineStr">
        <is>
          <t>Internal.</t>
        </is>
      </c>
      <c r="BY493" s="53" t="n"/>
      <c r="BZ493" s="53" t="n"/>
      <c r="CA493" s="53" t="n"/>
      <c r="CB493" s="53" t="n"/>
      <c r="CC493" s="53" t="n"/>
      <c r="CD493" s="53" t="n"/>
      <c r="CE493" s="53" t="n"/>
      <c r="CF493" s="53" t="n"/>
      <c r="CG493" s="53" t="n"/>
      <c r="CH493" s="53" t="n"/>
      <c r="CI493" s="53" t="n"/>
      <c r="CJ493" s="53" t="n"/>
      <c r="CK493" s="53" t="n"/>
      <c r="CL493" s="53" t="n"/>
      <c r="CM493" s="53" t="n"/>
      <c r="CN493" s="53" t="n"/>
      <c r="CO493" s="53" t="n"/>
      <c r="CP493" s="53" t="n"/>
      <c r="CQ493" s="53" t="n"/>
      <c r="CR493" s="53" t="n"/>
      <c r="CS493" s="53" t="n"/>
      <c r="CT493" s="53" t="n"/>
      <c r="CU493" s="53" t="n"/>
      <c r="CV493" s="53" t="n"/>
      <c r="CW493" s="53" t="n"/>
      <c r="CX493" s="53" t="n"/>
      <c r="CY493" s="53" t="n"/>
      <c r="CZ493" s="53" t="n"/>
      <c r="DA493" s="53" t="n"/>
      <c r="DB493" s="53" t="n"/>
      <c r="DC493" s="53" t="n"/>
      <c r="DD493" s="53" t="n"/>
      <c r="DE493" s="53" t="n"/>
      <c r="DF493" s="53" t="n"/>
      <c r="DG493" s="53" t="n"/>
      <c r="DH493" s="53" t="n"/>
      <c r="DI493" s="53" t="n"/>
      <c r="DJ493" s="53" t="n"/>
      <c r="DK493" s="53" t="n"/>
      <c r="DL493" s="53" t="n"/>
      <c r="DM493" s="53" t="n"/>
      <c r="DN493" s="53" t="n"/>
      <c r="DO493" s="53" t="n"/>
      <c r="DP493" s="53" t="n"/>
      <c r="DQ493" s="53" t="n"/>
      <c r="DR493" s="53" t="n"/>
      <c r="DS493" s="53" t="n"/>
      <c r="DT493" s="53" t="n"/>
      <c r="DU493" s="53" t="n"/>
      <c r="DV493" s="53" t="n"/>
      <c r="DW493" s="53" t="n"/>
      <c r="DX493" s="53" t="n"/>
      <c r="DY493" s="53" t="n"/>
      <c r="DZ493" s="53" t="n"/>
      <c r="EA493" s="53" t="n"/>
      <c r="EB493" s="53" t="n"/>
      <c r="EC493" s="53" t="n"/>
      <c r="ED493" s="53" t="n"/>
      <c r="EE493" s="53" t="n"/>
      <c r="EF493" s="53" t="n"/>
      <c r="EG493" s="53" t="n"/>
      <c r="EH493" s="53" t="n"/>
      <c r="EI493" s="53" t="n"/>
      <c r="EJ493" s="53" t="n"/>
      <c r="EK493" s="53" t="n"/>
      <c r="EL493" s="53" t="n"/>
      <c r="EM493" s="53" t="n"/>
      <c r="EN493" s="53" t="n"/>
      <c r="EO493" s="53" t="n"/>
      <c r="EP493" s="53" t="n"/>
      <c r="EQ493" s="53" t="n"/>
      <c r="ER493" s="53" t="n"/>
      <c r="ES493" s="53" t="n"/>
      <c r="ET493" s="53" t="n"/>
      <c r="EU493" s="53" t="n"/>
      <c r="EV493" s="53" t="n"/>
      <c r="EW493" s="52" t="inlineStr">
        <is>
          <t>Job rotation for dev work</t>
        </is>
      </c>
      <c r="EX493" s="53"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EY493" s="53"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EZ493" s="53"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FA493" s="53"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B493" s="53" t="inlineStr">
        <is>
          <t>• Key challenges: Changing requirements.
• Support required: Better documentation, clearer requirements, and faster access to required tools and support would reduce delays and help deliver features more efficiently and reliably.</t>
        </is>
      </c>
      <c r="FC493" s="53" t="n"/>
      <c r="FD493" s="53" t="n"/>
      <c r="FE493" s="57"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FF493" s="56" t="n"/>
      <c r="FG493" s="56" t="n"/>
      <c r="FH493" s="56" t="n"/>
      <c r="FI493" s="56" t="n"/>
      <c r="FJ493" s="56" t="inlineStr">
        <is>
          <t>Received · manager annual</t>
        </is>
      </c>
      <c r="FK493" s="56" t="inlineStr">
        <is>
          <t>CARBON Mapping Master</t>
        </is>
      </c>
      <c r="FL493" s="56" t="n">
        <v>20</v>
      </c>
      <c r="FM493" s="56"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FN493" s="56"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FO493" s="56"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FP493" s="56"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Q493" s="56" t="inlineStr">
        <is>
          <t>• Key challenges: Changing requirements.
• Support required: Better documentation, clearer requirements, and faster access to required tools and support would reduce delays and help deliver features more efficiently and reliably.</t>
        </is>
      </c>
      <c r="FR493" s="56" t="inlineStr">
        <is>
          <t>Complexity: Evidence reads like A2: Feature development, code quality and production support; no specific problems described → matches the start
Autonomy: Evidence reads like A2: Decides on code fixes and improvements only → matches the start
Accountability: Evidence reads like A3: Own features and assigned areas, with production issues affecting multiple end users → moved up 0.5
Leadership: Evidence reads like A1: No guidance of others described → matches the start
Business Impact: No survey or manager-mapping signal on criticality: kept at the start point.</t>
        </is>
      </c>
      <c r="FS493"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493" s="56" t="inlineStr">
        <is>
          <t>Self-identified: AI / automation · Leadership &amp; people management · Technical depth &amp; architecture · Strategy &amp; business acumen · Broader exposure &amp; ownership
For the next role: AI / automation · Leadership &amp; people management · Technical depth &amp; architecture · Strategy &amp; business acumen · Broader exposure &amp; ownership</t>
        </is>
      </c>
      <c r="FU493" s="56" t="inlineStr">
        <is>
          <t>Per-person summary · CARBON Mapping Master</t>
        </is>
      </c>
    </row>
    <row r="494" ht="90" customHeight="1">
      <c r="A494" s="51" t="inlineStr">
        <is>
          <t>◂ Back</t>
        </is>
      </c>
      <c r="B494" s="29" t="inlineStr">
        <is>
          <t>Mapped</t>
        </is>
      </c>
      <c r="C494" s="28" t="inlineStr">
        <is>
          <t>CARBON</t>
        </is>
      </c>
      <c r="D494" s="29" t="inlineStr">
        <is>
          <t>IRIS2171</t>
        </is>
      </c>
      <c r="E494" s="29" t="inlineStr">
        <is>
          <t>Kush Govani</t>
        </is>
      </c>
      <c r="F494" s="29" t="inlineStr">
        <is>
          <t>Technology</t>
        </is>
      </c>
      <c r="G494" s="29" t="inlineStr">
        <is>
          <t>Software Engineer</t>
        </is>
      </c>
      <c r="H494" s="29" t="inlineStr">
        <is>
          <t>Senior UI Developer</t>
        </is>
      </c>
      <c r="I494" s="29" t="inlineStr">
        <is>
          <t>L3 – Professional / Associate</t>
        </is>
      </c>
      <c r="J494" s="29" t="inlineStr">
        <is>
          <t>A3</t>
        </is>
      </c>
      <c r="K494" s="29" t="inlineStr">
        <is>
          <t>▲ Up</t>
        </is>
      </c>
      <c r="L494" s="29" t="inlineStr">
        <is>
          <t>Engineering &amp; Development</t>
        </is>
      </c>
      <c r="M494" s="29" t="inlineStr">
        <is>
          <t>Front-End / UI Development</t>
        </is>
      </c>
      <c r="N494" s="29" t="n"/>
      <c r="O494" s="29" t="n">
        <v>20</v>
      </c>
      <c r="P494" s="28" t="inlineStr">
        <is>
          <t>P2</t>
        </is>
      </c>
      <c r="Q494" s="29" t="inlineStr">
        <is>
          <t>Developing</t>
        </is>
      </c>
      <c r="R494" s="29" t="inlineStr">
        <is>
          <t>3 Apply</t>
        </is>
      </c>
      <c r="S494" s="29" t="inlineStr">
        <is>
          <t>2–4 yrs</t>
        </is>
      </c>
      <c r="T494" s="29" t="inlineStr">
        <is>
          <t>3–5 · 2–5</t>
        </is>
      </c>
      <c r="U494" s="29" t="inlineStr">
        <is>
          <t>Software Engineer</t>
        </is>
      </c>
      <c r="V494" s="29" t="inlineStr">
        <is>
          <t>Workiva: SE · Broadridge India: SE · Nasdaq / AxiomSL: SE · Salesforce: MTS · Atlassian: P40 · 3–7 yrs · Freshworks: Senior SE</t>
        </is>
      </c>
      <c r="W494" s="29" t="inlineStr">
        <is>
          <t>SFIA 9 · software development, programming; OWASP secure coding; cloud vendor certifications</t>
        </is>
      </c>
      <c r="X494" s="29" t="inlineStr">
        <is>
          <t>Core 2 · Future 2 · Functional 3 · Leadership not scored</t>
        </is>
      </c>
      <c r="Y494" s="52" t="n">
        <v>289</v>
      </c>
      <c r="Z494" s="53" t="inlineStr">
        <is>
          <t>IRIS2171</t>
        </is>
      </c>
      <c r="AA494" s="53" t="inlineStr">
        <is>
          <t>Employee</t>
        </is>
      </c>
      <c r="AB494" s="53" t="inlineStr">
        <is>
          <t>Active</t>
        </is>
      </c>
      <c r="AC494" s="53" t="inlineStr">
        <is>
          <t>Kush Govani</t>
        </is>
      </c>
      <c r="AD494" s="54" t="n">
        <v>45155</v>
      </c>
      <c r="AE494" s="53" t="inlineStr">
        <is>
          <t>Software Engineer</t>
        </is>
      </c>
      <c r="AF494" s="53" t="inlineStr">
        <is>
          <t>B.Com</t>
        </is>
      </c>
      <c r="AG494" s="53" t="inlineStr">
        <is>
          <t>Jayshiv Patel</t>
        </is>
      </c>
      <c r="AH494" s="53" t="inlineStr">
        <is>
          <t>N-4</t>
        </is>
      </c>
      <c r="AI494" s="53" t="inlineStr">
        <is>
          <t>Individual Contributor</t>
        </is>
      </c>
      <c r="AJ494" s="53" t="inlineStr">
        <is>
          <t>0 years, 0 months, 0 days</t>
        </is>
      </c>
      <c r="AK494" s="53" t="inlineStr">
        <is>
          <t>3 years, 0 months, 8 days</t>
        </is>
      </c>
      <c r="AL494" s="53" t="inlineStr">
        <is>
          <t>Regtech</t>
        </is>
      </c>
      <c r="AM494" s="53" t="inlineStr">
        <is>
          <t>CARBON</t>
        </is>
      </c>
      <c r="AN494" s="53" t="inlineStr">
        <is>
          <t>Technology</t>
        </is>
      </c>
      <c r="AO494" s="53" t="inlineStr">
        <is>
          <t>UI</t>
        </is>
      </c>
      <c r="AP494" s="53" t="inlineStr">
        <is>
          <t>Yes</t>
        </is>
      </c>
      <c r="AQ494" s="53" t="inlineStr">
        <is>
          <t>Product/Project</t>
        </is>
      </c>
      <c r="AR494" s="53" t="inlineStr">
        <is>
          <t>UI</t>
        </is>
      </c>
      <c r="AS494" s="53" t="inlineStr">
        <is>
          <t>Technical - Developer</t>
        </is>
      </c>
      <c r="AT494" s="53" t="n">
        <v>20</v>
      </c>
      <c r="AU494" s="53" t="inlineStr">
        <is>
          <t>Covered</t>
        </is>
      </c>
      <c r="AV494" s="53" t="inlineStr">
        <is>
          <t>IRIS2171</t>
        </is>
      </c>
      <c r="AW494" s="53" t="inlineStr">
        <is>
          <t>Kush Govani</t>
        </is>
      </c>
      <c r="AX494" s="53" t="inlineStr">
        <is>
          <t>Technology</t>
        </is>
      </c>
      <c r="AY494" s="53" t="inlineStr">
        <is>
          <t>Engineering &amp; Development</t>
        </is>
      </c>
      <c r="AZ494" s="53" t="inlineStr">
        <is>
          <t>Frontend / UI Engineering</t>
        </is>
      </c>
      <c r="BA494" s="53" t="n"/>
      <c r="BB494" s="53" t="n"/>
      <c r="BC494" s="53" t="inlineStr">
        <is>
          <t>Employee</t>
        </is>
      </c>
      <c r="BD494" s="53" t="inlineStr">
        <is>
          <t>Jayshiv Patel</t>
        </is>
      </c>
      <c r="BE494" s="53" t="inlineStr">
        <is>
          <t>Jayshiv Patel</t>
        </is>
      </c>
      <c r="BF494" s="53" t="inlineStr">
        <is>
          <t>No</t>
        </is>
      </c>
      <c r="BG494" s="53" t="inlineStr">
        <is>
          <t>Software Engineer</t>
        </is>
      </c>
      <c r="BH494" s="53" t="inlineStr">
        <is>
          <t>Software Engineer</t>
        </is>
      </c>
      <c r="BI494" s="53" t="inlineStr">
        <is>
          <t>No</t>
        </is>
      </c>
      <c r="BJ494" s="53" t="inlineStr">
        <is>
          <t>—</t>
        </is>
      </c>
      <c r="BK494" s="53" t="inlineStr">
        <is>
          <t>—</t>
        </is>
      </c>
      <c r="BL494" s="53" t="inlineStr">
        <is>
          <t>—</t>
        </is>
      </c>
      <c r="BM494" s="53" t="inlineStr">
        <is>
          <t>Not a manager</t>
        </is>
      </c>
      <c r="BN494" s="53" t="inlineStr">
        <is>
          <t>—</t>
        </is>
      </c>
      <c r="BO494" s="53" t="inlineStr">
        <is>
          <t>—</t>
        </is>
      </c>
      <c r="BP494" s="53" t="inlineStr">
        <is>
          <t>—</t>
        </is>
      </c>
      <c r="BQ494" s="53" t="inlineStr">
        <is>
          <t>Not a manager</t>
        </is>
      </c>
      <c r="BR494" s="53" t="inlineStr">
        <is>
          <t>—</t>
        </is>
      </c>
      <c r="BS494" s="53" t="inlineStr">
        <is>
          <t>L3 – Professional / Associate</t>
        </is>
      </c>
      <c r="BT494" s="53" t="inlineStr">
        <is>
          <t>L3 – Professional / Associate</t>
        </is>
      </c>
      <c r="BU494" s="53" t="inlineStr">
        <is>
          <t>No designation change — current record value carried forward</t>
        </is>
      </c>
      <c r="BV494" s="53"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W494" s="53" t="n"/>
      <c r="BX494" s="53" t="inlineStr">
        <is>
          <t>Internally.</t>
        </is>
      </c>
      <c r="BY494" s="53" t="n"/>
      <c r="BZ494" s="53" t="n"/>
      <c r="CA494" s="53" t="n"/>
      <c r="CB494" s="53" t="n"/>
      <c r="CC494" s="53" t="n"/>
      <c r="CD494" s="53" t="n"/>
      <c r="CE494" s="53" t="n"/>
      <c r="CF494" s="53" t="n"/>
      <c r="CG494" s="53" t="n"/>
      <c r="CH494" s="53" t="n"/>
      <c r="CI494" s="53" t="n"/>
      <c r="CJ494" s="53" t="n"/>
      <c r="CK494" s="53" t="n"/>
      <c r="CL494" s="53" t="n"/>
      <c r="CM494" s="53" t="n"/>
      <c r="CN494" s="53" t="n"/>
      <c r="CO494" s="53" t="n"/>
      <c r="CP494" s="53" t="n"/>
      <c r="CQ494" s="53" t="n"/>
      <c r="CR494" s="53" t="n"/>
      <c r="CS494" s="53" t="n"/>
      <c r="CT494" s="53" t="n"/>
      <c r="CU494" s="53" t="n"/>
      <c r="CV494" s="53" t="n"/>
      <c r="CW494" s="53" t="n"/>
      <c r="CX494" s="53" t="n"/>
      <c r="CY494" s="53" t="n"/>
      <c r="CZ494" s="53" t="n"/>
      <c r="DA494" s="53" t="n"/>
      <c r="DB494" s="53" t="n"/>
      <c r="DC494" s="53" t="n"/>
      <c r="DD494" s="53" t="n"/>
      <c r="DE494" s="53" t="n"/>
      <c r="DF494" s="53" t="n"/>
      <c r="DG494" s="53" t="n"/>
      <c r="DH494" s="53" t="n"/>
      <c r="DI494" s="53" t="n"/>
      <c r="DJ494" s="53" t="n"/>
      <c r="DK494" s="53" t="n"/>
      <c r="DL494" s="53" t="n"/>
      <c r="DM494" s="53" t="n"/>
      <c r="DN494" s="53" t="n"/>
      <c r="DO494" s="53" t="n"/>
      <c r="DP494" s="53" t="n"/>
      <c r="DQ494" s="53" t="n"/>
      <c r="DR494" s="53" t="n"/>
      <c r="DS494" s="53" t="n"/>
      <c r="DT494" s="53" t="n"/>
      <c r="DU494" s="53" t="n"/>
      <c r="DV494" s="53" t="n"/>
      <c r="DW494" s="53" t="n"/>
      <c r="DX494" s="53" t="n"/>
      <c r="DY494" s="53" t="n"/>
      <c r="DZ494" s="53" t="n"/>
      <c r="EA494" s="53" t="n"/>
      <c r="EB494" s="53" t="n"/>
      <c r="EC494" s="53" t="n"/>
      <c r="ED494" s="53" t="n"/>
      <c r="EE494" s="53" t="n"/>
      <c r="EF494" s="53" t="n"/>
      <c r="EG494" s="53" t="n"/>
      <c r="EH494" s="53" t="n"/>
      <c r="EI494" s="53" t="n"/>
      <c r="EJ494" s="53" t="n"/>
      <c r="EK494" s="53" t="n"/>
      <c r="EL494" s="53" t="n"/>
      <c r="EM494" s="53" t="n"/>
      <c r="EN494" s="53" t="n"/>
      <c r="EO494" s="53" t="n"/>
      <c r="EP494" s="53" t="n"/>
      <c r="EQ494" s="53" t="n"/>
      <c r="ER494" s="53" t="n"/>
      <c r="ES494" s="53" t="n"/>
      <c r="ET494" s="53" t="n"/>
      <c r="EU494" s="53" t="n"/>
      <c r="EV494" s="53" t="n"/>
      <c r="EW494" s="52" t="n"/>
      <c r="EX494" s="53"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EY494" s="53"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EZ494" s="53"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FA494" s="53" t="inlineStr">
        <is>
          <t>• Development priorities: Learning how to use AI tools and automation effectively.
• Learning and Development Need: AI training.
• Role evolving toward: AI tools and automation are becoming part of the role, along with new ways of working.</t>
        </is>
      </c>
      <c r="FB494" s="53" t="inlineStr">
        <is>
          <t>• Key challenges: Unclear requirements or c; changes at the end.
• Support required: Dedicated Workload.</t>
        </is>
      </c>
      <c r="FC494" s="53" t="n"/>
      <c r="FD494" s="53" t="n"/>
      <c r="FE494" s="57"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FF494" s="56" t="n"/>
      <c r="FG494" s="56" t="n"/>
      <c r="FH494" s="56" t="n"/>
      <c r="FI494" s="56" t="n"/>
      <c r="FJ494" s="56" t="inlineStr">
        <is>
          <t>Received · manager annual</t>
        </is>
      </c>
      <c r="FK494" s="56" t="inlineStr">
        <is>
          <t>CARBON Mapping Master</t>
        </is>
      </c>
      <c r="FL494" s="56" t="n">
        <v>20</v>
      </c>
      <c r="FM494" s="56"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FN494" s="56"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FO494" s="56"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FP494" s="56" t="inlineStr">
        <is>
          <t>• Development priorities: Learning how to use AI tools and automation effectively.
• Learning and Development Need: AI training.
• Role evolving toward: AI tools and automation are becoming part of the role, along with new ways of working.</t>
        </is>
      </c>
      <c r="FQ494" s="56" t="inlineStr">
        <is>
          <t>• Key challenges: Unclear requirements or c; changes at the end.
• Support required: Dedicated Workload.</t>
        </is>
      </c>
      <c r="FR494" s="56" t="inlineStr">
        <is>
          <t>Complexity: Evidence reads like A2: React UI features, bug fixes, live issue resolution, UI improvements → matches the start
Autonomy: Evidence reads like A2: Decides 'React UI new ideas' only → matches the start
Accountability: Evidence reads like A2: Quality and timely delivery of own React features, UI changes and bug fixes → matches the start
Leadership: Evidence reads like A1: No guidance of others described → matches the start
Business Impact: No survey or manager-mapping signal on criticality: kept at the start point.</t>
        </is>
      </c>
      <c r="FS49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94" s="56" t="inlineStr">
        <is>
          <t>Self-identified: AI / automation · Product &amp; tool knowledge
For the next role: AI / automation · Product &amp; tool knowledge</t>
        </is>
      </c>
      <c r="FU494" s="56" t="inlineStr">
        <is>
          <t>Per-person summary · CARBON Mapping Master</t>
        </is>
      </c>
    </row>
    <row r="495" ht="90" customHeight="1">
      <c r="A495" s="51" t="inlineStr">
        <is>
          <t>◂ Back</t>
        </is>
      </c>
      <c r="B495" s="29" t="inlineStr">
        <is>
          <t>Mapped</t>
        </is>
      </c>
      <c r="C495" s="28" t="inlineStr">
        <is>
          <t>CARBON</t>
        </is>
      </c>
      <c r="D495" s="29" t="inlineStr">
        <is>
          <t>IRIS2054</t>
        </is>
      </c>
      <c r="E495" s="29" t="inlineStr">
        <is>
          <t>Raj Chauhan</t>
        </is>
      </c>
      <c r="F495" s="29" t="inlineStr">
        <is>
          <t>Technology</t>
        </is>
      </c>
      <c r="G495" s="29" t="inlineStr">
        <is>
          <t>Software Engineer</t>
        </is>
      </c>
      <c r="H495" s="29" t="inlineStr">
        <is>
          <t>Senior Software Engineer</t>
        </is>
      </c>
      <c r="I495" s="29" t="inlineStr">
        <is>
          <t>L3 – Professional / Associate</t>
        </is>
      </c>
      <c r="J495" s="29" t="inlineStr">
        <is>
          <t>A3</t>
        </is>
      </c>
      <c r="K495" s="29" t="inlineStr">
        <is>
          <t>▲ Up</t>
        </is>
      </c>
      <c r="L495" s="29" t="inlineStr">
        <is>
          <t>Engineering &amp; Development</t>
        </is>
      </c>
      <c r="M495" s="29" t="inlineStr">
        <is>
          <t>Backend Development</t>
        </is>
      </c>
      <c r="N495" s="29" t="inlineStr">
        <is>
          <t>• Confirm the reporting line — Manager</t>
        </is>
      </c>
      <c r="O495" s="29" t="n">
        <v>20</v>
      </c>
      <c r="P495" s="28" t="inlineStr">
        <is>
          <t>P2</t>
        </is>
      </c>
      <c r="Q495" s="29" t="inlineStr">
        <is>
          <t>Developing</t>
        </is>
      </c>
      <c r="R495" s="29" t="inlineStr">
        <is>
          <t>3 Apply</t>
        </is>
      </c>
      <c r="S495" s="29" t="inlineStr">
        <is>
          <t>2–4 yrs</t>
        </is>
      </c>
      <c r="T495" s="29" t="inlineStr">
        <is>
          <t>3–5 · 2–5</t>
        </is>
      </c>
      <c r="U495" s="29" t="inlineStr">
        <is>
          <t>Software Engineer</t>
        </is>
      </c>
      <c r="V495" s="29" t="inlineStr">
        <is>
          <t>Workiva: SE · Broadridge India: SE · Nasdaq / AxiomSL: SE · Salesforce: MTS · Atlassian: P40 · 3–7 yrs · Freshworks: Senior SE</t>
        </is>
      </c>
      <c r="W495" s="29" t="inlineStr">
        <is>
          <t>SFIA 9 · software development, programming; OWASP secure coding; cloud vendor certifications</t>
        </is>
      </c>
      <c r="X495" s="29" t="inlineStr">
        <is>
          <t>Core 2 · Future 2 · Functional 3 · Leadership not scored</t>
        </is>
      </c>
      <c r="Y495" s="52" t="n">
        <v>237</v>
      </c>
      <c r="Z495" s="53" t="inlineStr">
        <is>
          <t>IRIS2054</t>
        </is>
      </c>
      <c r="AA495" s="53" t="inlineStr">
        <is>
          <t>Employee</t>
        </is>
      </c>
      <c r="AB495" s="53" t="inlineStr">
        <is>
          <t>Active</t>
        </is>
      </c>
      <c r="AC495" s="53" t="inlineStr">
        <is>
          <t>Raj Chauhan</t>
        </is>
      </c>
      <c r="AD495" s="54" t="n">
        <v>44774</v>
      </c>
      <c r="AE495" s="53" t="inlineStr">
        <is>
          <t>Software Engineer</t>
        </is>
      </c>
      <c r="AF495" s="53" t="inlineStr">
        <is>
          <t>MSc</t>
        </is>
      </c>
      <c r="AG495" s="53" t="inlineStr">
        <is>
          <t>Chetan Kotwal</t>
        </is>
      </c>
      <c r="AH495" s="53" t="inlineStr">
        <is>
          <t>N-3</t>
        </is>
      </c>
      <c r="AI495" s="53" t="inlineStr">
        <is>
          <t>Manager</t>
        </is>
      </c>
      <c r="AJ495" s="53" t="inlineStr">
        <is>
          <t>0 years, 6 months, 0 days</t>
        </is>
      </c>
      <c r="AK495" s="53" t="inlineStr">
        <is>
          <t>4 years, 0 months, 24 days</t>
        </is>
      </c>
      <c r="AL495" s="53" t="inlineStr">
        <is>
          <t>Regtech</t>
        </is>
      </c>
      <c r="AM495" s="53" t="inlineStr">
        <is>
          <t>CARBON</t>
        </is>
      </c>
      <c r="AN495" s="53" t="inlineStr">
        <is>
          <t>Technology</t>
        </is>
      </c>
      <c r="AO495" s="53" t="inlineStr">
        <is>
          <t>Development</t>
        </is>
      </c>
      <c r="AP495" s="53" t="inlineStr">
        <is>
          <t>Yes</t>
        </is>
      </c>
      <c r="AQ495" s="53" t="inlineStr">
        <is>
          <t>Product/Project</t>
        </is>
      </c>
      <c r="AR495" s="53" t="inlineStr">
        <is>
          <t>.NET MVC</t>
        </is>
      </c>
      <c r="AS495" s="53" t="inlineStr">
        <is>
          <t>Technical - Developer</t>
        </is>
      </c>
      <c r="AT495" s="53" t="n">
        <v>20</v>
      </c>
      <c r="AU495" s="53" t="inlineStr">
        <is>
          <t>Covered</t>
        </is>
      </c>
      <c r="AV495" s="53" t="inlineStr">
        <is>
          <t>IRIS2054</t>
        </is>
      </c>
      <c r="AW495" s="53" t="inlineStr">
        <is>
          <t>Raj Chauhan</t>
        </is>
      </c>
      <c r="AX495" s="53" t="inlineStr">
        <is>
          <t>Technology</t>
        </is>
      </c>
      <c r="AY495" s="53" t="inlineStr">
        <is>
          <t>Engineering &amp; Development</t>
        </is>
      </c>
      <c r="AZ495" s="53" t="inlineStr">
        <is>
          <t>Full-Stack Engineering</t>
        </is>
      </c>
      <c r="BA495" s="53" t="n"/>
      <c r="BB495" s="53" t="n"/>
      <c r="BC495" s="53" t="inlineStr">
        <is>
          <t>Employee</t>
        </is>
      </c>
      <c r="BD495" s="53" t="inlineStr">
        <is>
          <t>Chetan Kotwal</t>
        </is>
      </c>
      <c r="BE495" s="53" t="inlineStr">
        <is>
          <t>Chetan Kotwal</t>
        </is>
      </c>
      <c r="BF495" s="53" t="inlineStr">
        <is>
          <t>No</t>
        </is>
      </c>
      <c r="BG495" s="53" t="inlineStr">
        <is>
          <t>Software Engineer</t>
        </is>
      </c>
      <c r="BH495" s="53" t="inlineStr">
        <is>
          <t>Software Engineer</t>
        </is>
      </c>
      <c r="BI495" s="53" t="inlineStr">
        <is>
          <t>No</t>
        </is>
      </c>
      <c r="BJ495" s="53" t="n">
        <v>2</v>
      </c>
      <c r="BK495" s="53" t="n">
        <v>2</v>
      </c>
      <c r="BL495" s="53" t="n">
        <v>0</v>
      </c>
      <c r="BM495" s="53" t="inlineStr">
        <is>
          <t>Consolidate / flatten</t>
        </is>
      </c>
      <c r="BN495" s="53" t="n">
        <v>2</v>
      </c>
      <c r="BO495" s="53" t="n">
        <v>2</v>
      </c>
      <c r="BP495" s="53" t="n">
        <v>0</v>
      </c>
      <c r="BQ495" s="53" t="inlineStr">
        <is>
          <t>Consolidate / flatten</t>
        </is>
      </c>
      <c r="BR495" s="53" t="inlineStr">
        <is>
          <t>No</t>
        </is>
      </c>
      <c r="BS495" s="53" t="inlineStr">
        <is>
          <t>L3 – Professional / Associate</t>
        </is>
      </c>
      <c r="BT495" s="53" t="inlineStr">
        <is>
          <t>L3 – Professional / Associate</t>
        </is>
      </c>
      <c r="BU495" s="53" t="inlineStr">
        <is>
          <t>No designation change — current record value carried forward</t>
        </is>
      </c>
      <c r="BV495" s="53"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W495" s="53" t="n"/>
      <c r="BX495" s="53" t="inlineStr">
        <is>
          <t>All.</t>
        </is>
      </c>
      <c r="BY495" s="53" t="n"/>
      <c r="BZ495" s="53" t="n"/>
      <c r="CA495" s="53" t="n"/>
      <c r="CB495" s="53" t="n"/>
      <c r="CC495" s="53" t="n"/>
      <c r="CD495" s="53" t="n"/>
      <c r="CE495" s="53" t="n"/>
      <c r="CF495" s="53" t="n"/>
      <c r="CG495" s="53" t="n"/>
      <c r="CH495" s="53" t="n"/>
      <c r="CI495" s="53" t="n"/>
      <c r="CJ495" s="53" t="n"/>
      <c r="CK495" s="53" t="n"/>
      <c r="CL495" s="53" t="n"/>
      <c r="CM495" s="53" t="n"/>
      <c r="CN495" s="53" t="n"/>
      <c r="CO495" s="53" t="n"/>
      <c r="CP495" s="53" t="n"/>
      <c r="CQ495" s="53" t="n"/>
      <c r="CR495" s="53" t="n"/>
      <c r="CS495" s="53" t="n"/>
      <c r="CT495" s="53" t="n"/>
      <c r="CU495" s="53" t="n"/>
      <c r="CV495" s="53" t="n"/>
      <c r="CW495" s="53" t="n"/>
      <c r="CX495" s="53" t="n"/>
      <c r="CY495" s="53" t="n"/>
      <c r="CZ495" s="53" t="n"/>
      <c r="DA495" s="53" t="n"/>
      <c r="DB495" s="53" t="n"/>
      <c r="DC495" s="53" t="n"/>
      <c r="DD495" s="53" t="n"/>
      <c r="DE495" s="53" t="n"/>
      <c r="DF495" s="53" t="n"/>
      <c r="DG495" s="53" t="n"/>
      <c r="DH495" s="53" t="n"/>
      <c r="DI495" s="53" t="n"/>
      <c r="DJ495" s="53" t="n"/>
      <c r="DK495" s="53" t="n"/>
      <c r="DL495" s="53" t="n"/>
      <c r="DM495" s="53" t="n"/>
      <c r="DN495" s="53" t="n"/>
      <c r="DO495" s="53" t="n"/>
      <c r="DP495" s="53" t="n"/>
      <c r="DQ495" s="53" t="n"/>
      <c r="DR495" s="53" t="n"/>
      <c r="DS495" s="53" t="n"/>
      <c r="DT495" s="53" t="n"/>
      <c r="DU495" s="53" t="n"/>
      <c r="DV495" s="53" t="n"/>
      <c r="DW495" s="53" t="n"/>
      <c r="DX495" s="53" t="n"/>
      <c r="DY495" s="53" t="n"/>
      <c r="DZ495" s="53" t="n"/>
      <c r="EA495" s="53" t="n"/>
      <c r="EB495" s="53" t="n"/>
      <c r="EC495" s="53" t="n"/>
      <c r="ED495" s="53" t="n"/>
      <c r="EE495" s="53" t="n"/>
      <c r="EF495" s="53" t="n"/>
      <c r="EG495" s="53" t="n"/>
      <c r="EH495" s="53" t="n"/>
      <c r="EI495" s="53" t="n"/>
      <c r="EJ495" s="53" t="n"/>
      <c r="EK495" s="53" t="n"/>
      <c r="EL495" s="53" t="n"/>
      <c r="EM495" s="53" t="n"/>
      <c r="EN495" s="53" t="n"/>
      <c r="EO495" s="53" t="n"/>
      <c r="EP495" s="53" t="n"/>
      <c r="EQ495" s="53" t="n"/>
      <c r="ER495" s="53" t="n"/>
      <c r="ES495" s="53" t="n"/>
      <c r="ET495" s="53" t="n"/>
      <c r="EU495" s="53" t="n"/>
      <c r="EV495" s="53" t="n"/>
      <c r="EW495" s="52" t="n"/>
      <c r="EX495" s="53"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EY495" s="53"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EZ495" s="53" t="inlineStr">
        <is>
          <t>• Current capabilities: OfficeJS; Product knowledge; Debugging skill.
• Tools / software used: O365 applications; AI.
• Workload: Rated a heavy load · 4/5 in a typical week.
• Judgment/way of working: Team management; Cross team work.</t>
        </is>
      </c>
      <c r="FA495" s="53" t="inlineStr">
        <is>
          <t>• Development priorities: Team management.
• Learning and Development Need: Guidance from mentors. Smart work.
• Role evolving toward: AI first approach development.</t>
        </is>
      </c>
      <c r="FB495" s="53" t="inlineStr">
        <is>
          <t>• Key challenges: AI token limit; Adhoc requirements.
• Support required: Clear requirements.</t>
        </is>
      </c>
      <c r="FC495" s="53" t="n"/>
      <c r="FD495" s="53" t="n"/>
      <c r="FE495" s="57"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FF495" s="56" t="n"/>
      <c r="FG495" s="56" t="n"/>
      <c r="FH495" s="56" t="n"/>
      <c r="FI495" s="56" t="n"/>
      <c r="FJ495" s="56" t="inlineStr">
        <is>
          <t>Received · manager annual</t>
        </is>
      </c>
      <c r="FK495" s="56" t="inlineStr">
        <is>
          <t>CARBON Mapping Master</t>
        </is>
      </c>
      <c r="FL495" s="56" t="n">
        <v>20</v>
      </c>
      <c r="FM495" s="56"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FN495" s="56"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FO495" s="56" t="inlineStr">
        <is>
          <t>• Current capabilities: OfficeJS; Product knowledge; Debugging skill.
• Tools / software used: O365 applications; AI.
• Workload: Rated a heavy load · 4/5 in a typical week.
• Judgment/way of working: Team management; Cross team work.</t>
        </is>
      </c>
      <c r="FP495" s="56" t="inlineStr">
        <is>
          <t>• Development priorities: Team management.
• Learning and Development Need: Guidance from mentors. Smart work.
• Role evolving toward: AI first approach development.</t>
        </is>
      </c>
      <c r="FQ495" s="56" t="inlineStr">
        <is>
          <t>• Key challenges: AI token limit; Adhoc requirements.
• Support required: Clear requirements.</t>
        </is>
      </c>
      <c r="FR495" s="56" t="inlineStr">
        <is>
          <t>Complexity: Evidence reads like A3: Office JS features, ad-hoc features, live issues, sprint delivery planning; resolves edge cases upfront → moved up 0.5
Autonomy: Evidence reads like A3: Decides technical R&amp;D and product optimisation independently → matches the start
Accountability: Evidence reads like A3: Production-ready features end to end, delivered on time → moved down 0.5
Leadership: Evidence reads like A3: Lists sprint delivery planning, team management and cross-team work; 2 reports → moved down 0.5
Business Impact: No survey or manager-mapping signal on criticality: kept at the start point.</t>
        </is>
      </c>
      <c r="FS49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5" s="56" t="inlineStr">
        <is>
          <t>Self-identified: Leadership &amp; people management
For the next role: Leadership &amp; people management</t>
        </is>
      </c>
      <c r="FU495" s="56" t="inlineStr">
        <is>
          <t>Per-person summary · CARBON Mapping Master</t>
        </is>
      </c>
    </row>
    <row r="496" ht="90" customHeight="1">
      <c r="A496" s="51" t="inlineStr">
        <is>
          <t>◂ Back</t>
        </is>
      </c>
      <c r="B496" s="29" t="inlineStr">
        <is>
          <t>Mapped</t>
        </is>
      </c>
      <c r="C496" s="28" t="inlineStr">
        <is>
          <t>CARBON</t>
        </is>
      </c>
      <c r="D496" s="29" t="inlineStr">
        <is>
          <t>IRIS2032</t>
        </is>
      </c>
      <c r="E496" s="29" t="inlineStr">
        <is>
          <t>Kinjal Rathod</t>
        </is>
      </c>
      <c r="F496" s="29" t="inlineStr">
        <is>
          <t>Technology</t>
        </is>
      </c>
      <c r="G496" s="29" t="inlineStr">
        <is>
          <t>Software Engineer</t>
        </is>
      </c>
      <c r="H496" s="29" t="inlineStr">
        <is>
          <t>Senior Software Engineer</t>
        </is>
      </c>
      <c r="I496" s="29" t="inlineStr">
        <is>
          <t>L3 – Professional / Associate</t>
        </is>
      </c>
      <c r="J496" s="29" t="inlineStr">
        <is>
          <t>A3</t>
        </is>
      </c>
      <c r="K496" s="29" t="inlineStr">
        <is>
          <t>▲ Up</t>
        </is>
      </c>
      <c r="L496" s="29" t="inlineStr">
        <is>
          <t>Engineering &amp; Development</t>
        </is>
      </c>
      <c r="M496" s="29" t="inlineStr">
        <is>
          <t>Backend Development</t>
        </is>
      </c>
      <c r="N496" s="29" t="n"/>
      <c r="O496" s="29" t="n">
        <v>20</v>
      </c>
      <c r="P496" s="28" t="inlineStr">
        <is>
          <t>P2</t>
        </is>
      </c>
      <c r="Q496" s="29" t="inlineStr">
        <is>
          <t>Developing</t>
        </is>
      </c>
      <c r="R496" s="29" t="inlineStr">
        <is>
          <t>3 Apply</t>
        </is>
      </c>
      <c r="S496" s="29" t="inlineStr">
        <is>
          <t>2–4 yrs</t>
        </is>
      </c>
      <c r="T496" s="29" t="inlineStr">
        <is>
          <t>3–5 · 2–5</t>
        </is>
      </c>
      <c r="U496" s="29" t="inlineStr">
        <is>
          <t>Software Engineer</t>
        </is>
      </c>
      <c r="V496" s="29" t="inlineStr">
        <is>
          <t>Workiva: SE · Broadridge India: SE · Nasdaq / AxiomSL: SE · Salesforce: MTS · Atlassian: P40 · 3–7 yrs · Freshworks: Senior SE</t>
        </is>
      </c>
      <c r="W496" s="29" t="inlineStr">
        <is>
          <t>SFIA 9 · software development, programming; OWASP secure coding; cloud vendor certifications</t>
        </is>
      </c>
      <c r="X496" s="29" t="inlineStr">
        <is>
          <t>Core 2 · Future 2 · Functional 3 · Leadership not scored</t>
        </is>
      </c>
      <c r="Y496" s="52" t="n">
        <v>226</v>
      </c>
      <c r="Z496" s="53" t="inlineStr">
        <is>
          <t>IRIS2032</t>
        </is>
      </c>
      <c r="AA496" s="53" t="inlineStr">
        <is>
          <t>Employee</t>
        </is>
      </c>
      <c r="AB496" s="53" t="inlineStr">
        <is>
          <t>Active</t>
        </is>
      </c>
      <c r="AC496" s="53" t="inlineStr">
        <is>
          <t>Kinjal Rathod</t>
        </is>
      </c>
      <c r="AD496" s="54" t="n">
        <v>44743</v>
      </c>
      <c r="AE496" s="53" t="inlineStr">
        <is>
          <t>Software Engineer</t>
        </is>
      </c>
      <c r="AF496" s="53" t="inlineStr">
        <is>
          <t>MSc</t>
        </is>
      </c>
      <c r="AG496" s="53" t="inlineStr">
        <is>
          <t>Raj Chauhan</t>
        </is>
      </c>
      <c r="AH496" s="53" t="inlineStr">
        <is>
          <t>N-4</t>
        </is>
      </c>
      <c r="AI496" s="53" t="inlineStr">
        <is>
          <t>Individual Contributor</t>
        </is>
      </c>
      <c r="AJ496" s="53" t="inlineStr">
        <is>
          <t>0 years, 0 months, 0 days</t>
        </is>
      </c>
      <c r="AK496" s="53" t="inlineStr">
        <is>
          <t>4 years, 1 months, 24 days</t>
        </is>
      </c>
      <c r="AL496" s="53" t="inlineStr">
        <is>
          <t>Regtech</t>
        </is>
      </c>
      <c r="AM496" s="53" t="inlineStr">
        <is>
          <t>CARBON</t>
        </is>
      </c>
      <c r="AN496" s="53" t="inlineStr">
        <is>
          <t>Technology</t>
        </is>
      </c>
      <c r="AO496" s="53" t="inlineStr">
        <is>
          <t>Development</t>
        </is>
      </c>
      <c r="AP496" s="53" t="inlineStr">
        <is>
          <t>Yes</t>
        </is>
      </c>
      <c r="AQ496" s="53" t="inlineStr">
        <is>
          <t>Product/Project</t>
        </is>
      </c>
      <c r="AR496" s="53" t="inlineStr">
        <is>
          <t>.NET MVC</t>
        </is>
      </c>
      <c r="AS496" s="53" t="inlineStr">
        <is>
          <t>Technical - Developer</t>
        </is>
      </c>
      <c r="AT496" s="53" t="n">
        <v>20</v>
      </c>
      <c r="AU496" s="53" t="inlineStr">
        <is>
          <t>Covered</t>
        </is>
      </c>
      <c r="AV496" s="53" t="inlineStr">
        <is>
          <t>IRIS2032</t>
        </is>
      </c>
      <c r="AW496" s="53" t="inlineStr">
        <is>
          <t>Kinjal Rathod</t>
        </is>
      </c>
      <c r="AX496" s="53" t="inlineStr">
        <is>
          <t>Technology</t>
        </is>
      </c>
      <c r="AY496" s="53" t="inlineStr">
        <is>
          <t>Engineering &amp; Development</t>
        </is>
      </c>
      <c r="AZ496" s="53" t="inlineStr">
        <is>
          <t>Backend Engineering ·.NET</t>
        </is>
      </c>
      <c r="BA496" s="53" t="n"/>
      <c r="BB496" s="53" t="n"/>
      <c r="BC496" s="53" t="inlineStr">
        <is>
          <t>Employee</t>
        </is>
      </c>
      <c r="BD496" s="53" t="inlineStr">
        <is>
          <t>Raj Chauhan</t>
        </is>
      </c>
      <c r="BE496" s="53" t="inlineStr">
        <is>
          <t>Raj Chauhan</t>
        </is>
      </c>
      <c r="BF496" s="53" t="inlineStr">
        <is>
          <t>No</t>
        </is>
      </c>
      <c r="BG496" s="53" t="inlineStr">
        <is>
          <t>Software Engineer</t>
        </is>
      </c>
      <c r="BH496" s="53" t="inlineStr">
        <is>
          <t>Software Engineer</t>
        </is>
      </c>
      <c r="BI496" s="53" t="inlineStr">
        <is>
          <t>No</t>
        </is>
      </c>
      <c r="BJ496" s="53" t="inlineStr">
        <is>
          <t>—</t>
        </is>
      </c>
      <c r="BK496" s="53" t="inlineStr">
        <is>
          <t>—</t>
        </is>
      </c>
      <c r="BL496" s="53" t="inlineStr">
        <is>
          <t>—</t>
        </is>
      </c>
      <c r="BM496" s="53" t="inlineStr">
        <is>
          <t>Not a manager</t>
        </is>
      </c>
      <c r="BN496" s="53" t="inlineStr">
        <is>
          <t>—</t>
        </is>
      </c>
      <c r="BO496" s="53" t="inlineStr">
        <is>
          <t>—</t>
        </is>
      </c>
      <c r="BP496" s="53" t="inlineStr">
        <is>
          <t>—</t>
        </is>
      </c>
      <c r="BQ496" s="53" t="inlineStr">
        <is>
          <t>Not a manager</t>
        </is>
      </c>
      <c r="BR496" s="53" t="inlineStr">
        <is>
          <t>—</t>
        </is>
      </c>
      <c r="BS496" s="53" t="inlineStr">
        <is>
          <t>L3 – Professional / Associate</t>
        </is>
      </c>
      <c r="BT496" s="53" t="inlineStr">
        <is>
          <t>L3 – Professional / Associate</t>
        </is>
      </c>
      <c r="BU496" s="53" t="inlineStr">
        <is>
          <t>No designation change — current record value carried forward</t>
        </is>
      </c>
      <c r="BV496" s="53"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W496" s="53" t="n"/>
      <c r="BX496" s="53" t="inlineStr">
        <is>
          <t>All.</t>
        </is>
      </c>
      <c r="BY496" s="53" t="n"/>
      <c r="BZ496" s="53" t="n"/>
      <c r="CA496" s="53" t="n"/>
      <c r="CB496" s="53" t="n"/>
      <c r="CC496" s="53" t="n"/>
      <c r="CD496" s="53" t="n"/>
      <c r="CE496" s="53" t="n"/>
      <c r="CF496" s="53" t="n"/>
      <c r="CG496" s="53" t="n"/>
      <c r="CH496" s="53" t="n"/>
      <c r="CI496" s="53" t="n"/>
      <c r="CJ496" s="53" t="n"/>
      <c r="CK496" s="53" t="n"/>
      <c r="CL496" s="53" t="n"/>
      <c r="CM496" s="53" t="n"/>
      <c r="CN496" s="53" t="n"/>
      <c r="CO496" s="53" t="n"/>
      <c r="CP496" s="53" t="n"/>
      <c r="CQ496" s="53" t="n"/>
      <c r="CR496" s="53" t="n"/>
      <c r="CS496" s="53" t="n"/>
      <c r="CT496" s="53" t="n"/>
      <c r="CU496" s="53" t="n"/>
      <c r="CV496" s="53" t="n"/>
      <c r="CW496" s="53" t="n"/>
      <c r="CX496" s="53" t="n"/>
      <c r="CY496" s="53" t="n"/>
      <c r="CZ496" s="53" t="n"/>
      <c r="DA496" s="53" t="n"/>
      <c r="DB496" s="53" t="n"/>
      <c r="DC496" s="53" t="n"/>
      <c r="DD496" s="53" t="n"/>
      <c r="DE496" s="53" t="n"/>
      <c r="DF496" s="53" t="n"/>
      <c r="DG496" s="53" t="n"/>
      <c r="DH496" s="53" t="n"/>
      <c r="DI496" s="53" t="n"/>
      <c r="DJ496" s="53" t="n"/>
      <c r="DK496" s="53" t="n"/>
      <c r="DL496" s="53" t="n"/>
      <c r="DM496" s="53" t="n"/>
      <c r="DN496" s="53" t="n"/>
      <c r="DO496" s="53" t="n"/>
      <c r="DP496" s="53" t="n"/>
      <c r="DQ496" s="53" t="n"/>
      <c r="DR496" s="53" t="n"/>
      <c r="DS496" s="53" t="n"/>
      <c r="DT496" s="53" t="n"/>
      <c r="DU496" s="53" t="n"/>
      <c r="DV496" s="53" t="n"/>
      <c r="DW496" s="53" t="n"/>
      <c r="DX496" s="53" t="n"/>
      <c r="DY496" s="53" t="n"/>
      <c r="DZ496" s="53" t="n"/>
      <c r="EA496" s="53" t="n"/>
      <c r="EB496" s="53" t="n"/>
      <c r="EC496" s="53" t="n"/>
      <c r="ED496" s="53" t="n"/>
      <c r="EE496" s="53" t="n"/>
      <c r="EF496" s="53" t="n"/>
      <c r="EG496" s="53" t="n"/>
      <c r="EH496" s="53" t="n"/>
      <c r="EI496" s="53" t="n"/>
      <c r="EJ496" s="53" t="n"/>
      <c r="EK496" s="53" t="n"/>
      <c r="EL496" s="53" t="n"/>
      <c r="EM496" s="53" t="n"/>
      <c r="EN496" s="53" t="n"/>
      <c r="EO496" s="53" t="n"/>
      <c r="EP496" s="53" t="n"/>
      <c r="EQ496" s="53" t="n"/>
      <c r="ER496" s="53" t="n"/>
      <c r="ES496" s="53" t="n"/>
      <c r="ET496" s="53" t="n"/>
      <c r="EU496" s="53" t="n"/>
      <c r="EV496" s="53" t="n"/>
      <c r="EW496" s="52" t="n"/>
      <c r="EX496" s="53"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EY496" s="53"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EZ496" s="53" t="inlineStr">
        <is>
          <t>• Current capabilities: Technical architecture.
• Tools / software used: Co-pilot.
• Workload: Rated a heavy load · 4/5 in a typical week.
• Judgment/way of working: Delivered on time.</t>
        </is>
      </c>
      <c r="FA496" s="53"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B496" s="53" t="inlineStr">
        <is>
          <t>• Key challenges: Unclear requirements.
• Support required: Clarity of requirements.</t>
        </is>
      </c>
      <c r="FC496" s="53" t="n"/>
      <c r="FD496" s="53" t="n"/>
      <c r="FE496" s="57"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FF496" s="56" t="n"/>
      <c r="FG496" s="56" t="n"/>
      <c r="FH496" s="56" t="n"/>
      <c r="FI496" s="56" t="n"/>
      <c r="FJ496" s="56" t="inlineStr">
        <is>
          <t>Received · manager annual</t>
        </is>
      </c>
      <c r="FK496" s="56" t="inlineStr">
        <is>
          <t>CARBON Mapping Master</t>
        </is>
      </c>
      <c r="FL496" s="56" t="n">
        <v>20</v>
      </c>
      <c r="FM496" s="56"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FN496" s="56"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FO496" s="56" t="inlineStr">
        <is>
          <t>• Current capabilities: Technical architecture.
• Tools / software used: Co-pilot.
• Workload: Rated a heavy load · 4/5 in a typical week.
• Judgment/way of working: Delivered on time.</t>
        </is>
      </c>
      <c r="FP496" s="56"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Q496" s="56" t="inlineStr">
        <is>
          <t>• Key challenges: Unclear requirements.
• Support required: Clarity of requirements.</t>
        </is>
      </c>
      <c r="FR496" s="56" t="inlineStr">
        <is>
          <t>Complexity: Evidence reads like A2: Backend and frontend feature development; nothing beyond standard development described → matches the start
Autonomy: Evidence reads like A2: Only 'explore better outputs' given as independent decision → matches the start
Accountability: Evidence reads like A2: Quality, correctness and timely delivery of own features → matches the start
Leadership: Evidence reads like A1: No guidance of others described → matches the start
Business Impact: No survey or manager-mapping signal on criticality: kept at the start point.</t>
        </is>
      </c>
      <c r="FS49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6" s="56" t="inlineStr">
        <is>
          <t>Self-identified: AI / automation · Technical depth &amp; architecture · Product &amp; tool knowledge
For the next role: AI / automation · Technical depth &amp; architecture · Product &amp; tool knowledge</t>
        </is>
      </c>
      <c r="FU496" s="56" t="inlineStr">
        <is>
          <t>Per-person summary · CARBON Mapping Master</t>
        </is>
      </c>
    </row>
    <row r="497" ht="90" customHeight="1">
      <c r="A497" s="51" t="inlineStr">
        <is>
          <t>◂ Back</t>
        </is>
      </c>
      <c r="B497" s="29" t="inlineStr">
        <is>
          <t>Mapped</t>
        </is>
      </c>
      <c r="C497" s="28" t="inlineStr">
        <is>
          <t>CARBON</t>
        </is>
      </c>
      <c r="D497" s="29" t="inlineStr">
        <is>
          <t>IRIS2455</t>
        </is>
      </c>
      <c r="E497" s="29" t="inlineStr">
        <is>
          <t>Soniya Paliwal</t>
        </is>
      </c>
      <c r="F497" s="29" t="inlineStr">
        <is>
          <t>Technology</t>
        </is>
      </c>
      <c r="G497" s="29" t="inlineStr">
        <is>
          <t>Trainee Software Engineer</t>
        </is>
      </c>
      <c r="H497" s="29" t="inlineStr">
        <is>
          <t>Trainee Software Engineer</t>
        </is>
      </c>
      <c r="I497" s="29" t="inlineStr">
        <is>
          <t>L2 – Trainee</t>
        </is>
      </c>
      <c r="J497" s="29" t="inlineStr">
        <is>
          <t>A1</t>
        </is>
      </c>
      <c r="K497" s="29" t="inlineStr">
        <is>
          <t>• Same level</t>
        </is>
      </c>
      <c r="L497" s="29" t="inlineStr">
        <is>
          <t>Engineering &amp; Development</t>
        </is>
      </c>
      <c r="M497" s="29" t="inlineStr">
        <is>
          <t>Full-Stack Development</t>
        </is>
      </c>
      <c r="N497" s="29" t="n"/>
      <c r="O497" s="29" t="n">
        <v>20</v>
      </c>
      <c r="P497" s="28" t="inlineStr">
        <is>
          <t>Entry / P1 · intern</t>
        </is>
      </c>
      <c r="Q497" s="29" t="inlineStr">
        <is>
          <t>Entry</t>
        </is>
      </c>
      <c r="R497" s="29" t="inlineStr">
        <is>
          <t>1 Follow</t>
        </is>
      </c>
      <c r="S497" s="29" t="inlineStr">
        <is>
          <t>0 yrs · fresher / intern</t>
        </is>
      </c>
      <c r="T497" s="29" t="inlineStr">
        <is>
          <t>—</t>
        </is>
      </c>
      <c r="U497" s="29" t="inlineStr">
        <is>
          <t>Associate Software Engineer</t>
        </is>
      </c>
      <c r="V497" s="29" t="inlineStr">
        <is>
          <t>—</t>
        </is>
      </c>
      <c r="W497" s="29" t="inlineStr">
        <is>
          <t>SFIA 9 · software development, programming; OWASP secure coding; cloud vendor certifications</t>
        </is>
      </c>
      <c r="X497" s="29" t="inlineStr">
        <is>
          <t>Core 1 · Future 1 · Functional 1 · Leadership not scored</t>
        </is>
      </c>
      <c r="Y497" s="52" t="n">
        <v>421</v>
      </c>
      <c r="Z497" s="53" t="inlineStr">
        <is>
          <t>IRIS2455</t>
        </is>
      </c>
      <c r="AA497" s="53" t="inlineStr">
        <is>
          <t>Employee</t>
        </is>
      </c>
      <c r="AB497" s="53" t="inlineStr">
        <is>
          <t>Active</t>
        </is>
      </c>
      <c r="AC497" s="53" t="inlineStr">
        <is>
          <t>Soniya Paliwal</t>
        </is>
      </c>
      <c r="AD497" s="54" t="n">
        <v>45995</v>
      </c>
      <c r="AE497" s="53" t="inlineStr">
        <is>
          <t>Trainee Software Engineer</t>
        </is>
      </c>
      <c r="AF497" s="53" t="inlineStr">
        <is>
          <t>B.Com</t>
        </is>
      </c>
      <c r="AG497" s="53" t="inlineStr">
        <is>
          <t>Raj Chauhan</t>
        </is>
      </c>
      <c r="AH497" s="53" t="inlineStr">
        <is>
          <t>N-4</t>
        </is>
      </c>
      <c r="AI497" s="53" t="inlineStr">
        <is>
          <t>Individual Contributor</t>
        </is>
      </c>
      <c r="AJ497" s="53" t="inlineStr">
        <is>
          <t>0 years, 0 months, 0 days</t>
        </is>
      </c>
      <c r="AK497" s="53" t="inlineStr">
        <is>
          <t>0 years, 8 months, 21 days</t>
        </is>
      </c>
      <c r="AL497" s="53" t="inlineStr">
        <is>
          <t>Regtech</t>
        </is>
      </c>
      <c r="AM497" s="53" t="inlineStr">
        <is>
          <t>CARBON</t>
        </is>
      </c>
      <c r="AN497" s="53" t="inlineStr">
        <is>
          <t>Technology</t>
        </is>
      </c>
      <c r="AO497" s="53" t="inlineStr">
        <is>
          <t>Development</t>
        </is>
      </c>
      <c r="AP497" s="53" t="inlineStr">
        <is>
          <t>Yes</t>
        </is>
      </c>
      <c r="AQ497" s="53" t="inlineStr">
        <is>
          <t>Product/Project</t>
        </is>
      </c>
      <c r="AR497" s="53" t="inlineStr">
        <is>
          <t>.NET MVC</t>
        </is>
      </c>
      <c r="AS497" s="53" t="inlineStr">
        <is>
          <t>Technical - Developer</t>
        </is>
      </c>
      <c r="AT497" s="53" t="n">
        <v>20</v>
      </c>
      <c r="AU497" s="53" t="inlineStr">
        <is>
          <t>Covered</t>
        </is>
      </c>
      <c r="AV497" s="53" t="inlineStr">
        <is>
          <t>IRIS2455</t>
        </is>
      </c>
      <c r="AW497" s="53" t="inlineStr">
        <is>
          <t>Soniya Paliwal</t>
        </is>
      </c>
      <c r="AX497" s="53" t="inlineStr">
        <is>
          <t>Technology</t>
        </is>
      </c>
      <c r="AY497" s="53" t="inlineStr">
        <is>
          <t>Engineering &amp; Development</t>
        </is>
      </c>
      <c r="AZ497" s="53" t="inlineStr">
        <is>
          <t>Backend Engineering ·.NET</t>
        </is>
      </c>
      <c r="BA497" s="53" t="n"/>
      <c r="BB497" s="53" t="n"/>
      <c r="BC497" s="53" t="inlineStr">
        <is>
          <t>Employee</t>
        </is>
      </c>
      <c r="BD497" s="53" t="inlineStr">
        <is>
          <t>Raj Chauhan</t>
        </is>
      </c>
      <c r="BE497" s="53" t="inlineStr">
        <is>
          <t>Raj Chauhan</t>
        </is>
      </c>
      <c r="BF497" s="53" t="inlineStr">
        <is>
          <t>No</t>
        </is>
      </c>
      <c r="BG497" s="53" t="inlineStr">
        <is>
          <t>Trainee Software Engineer</t>
        </is>
      </c>
      <c r="BH497" s="53" t="inlineStr">
        <is>
          <t>Trainee Software Engineer</t>
        </is>
      </c>
      <c r="BI497" s="53" t="inlineStr">
        <is>
          <t>No</t>
        </is>
      </c>
      <c r="BJ497" s="53" t="inlineStr">
        <is>
          <t>—</t>
        </is>
      </c>
      <c r="BK497" s="53" t="inlineStr">
        <is>
          <t>—</t>
        </is>
      </c>
      <c r="BL497" s="53" t="inlineStr">
        <is>
          <t>—</t>
        </is>
      </c>
      <c r="BM497" s="53" t="inlineStr">
        <is>
          <t>Not a manager</t>
        </is>
      </c>
      <c r="BN497" s="53" t="inlineStr">
        <is>
          <t>—</t>
        </is>
      </c>
      <c r="BO497" s="53" t="inlineStr">
        <is>
          <t>—</t>
        </is>
      </c>
      <c r="BP497" s="53" t="inlineStr">
        <is>
          <t>—</t>
        </is>
      </c>
      <c r="BQ497" s="53" t="inlineStr">
        <is>
          <t>Not a manager</t>
        </is>
      </c>
      <c r="BR497" s="53" t="inlineStr">
        <is>
          <t>—</t>
        </is>
      </c>
      <c r="BS497" s="53" t="inlineStr">
        <is>
          <t>L2 – Trainee</t>
        </is>
      </c>
      <c r="BT497" s="53" t="inlineStr">
        <is>
          <t>L2 – Trainee</t>
        </is>
      </c>
      <c r="BU497" s="53" t="inlineStr">
        <is>
          <t>No designation change — current record value carried forward</t>
        </is>
      </c>
      <c r="BV497" s="53"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W497" s="53" t="n"/>
      <c r="BX497" s="53" t="inlineStr">
        <is>
          <t>All.</t>
        </is>
      </c>
      <c r="BY497" s="53" t="n"/>
      <c r="BZ497" s="53" t="n"/>
      <c r="CA497" s="53" t="n"/>
      <c r="CB497" s="53" t="n"/>
      <c r="CC497" s="53" t="n"/>
      <c r="CD497" s="53" t="n"/>
      <c r="CE497" s="53" t="n"/>
      <c r="CF497" s="53" t="n"/>
      <c r="CG497" s="53" t="n"/>
      <c r="CH497" s="53" t="n"/>
      <c r="CI497" s="53" t="n"/>
      <c r="CJ497" s="53" t="n"/>
      <c r="CK497" s="53" t="n"/>
      <c r="CL497" s="53" t="n"/>
      <c r="CM497" s="53" t="n"/>
      <c r="CN497" s="53" t="n"/>
      <c r="CO497" s="53" t="n"/>
      <c r="CP497" s="53" t="n"/>
      <c r="CQ497" s="53" t="n"/>
      <c r="CR497" s="53" t="n"/>
      <c r="CS497" s="53" t="n"/>
      <c r="CT497" s="53" t="n"/>
      <c r="CU497" s="53" t="n"/>
      <c r="CV497" s="53" t="n"/>
      <c r="CW497" s="53" t="n"/>
      <c r="CX497" s="53" t="n"/>
      <c r="CY497" s="53" t="n"/>
      <c r="CZ497" s="53" t="n"/>
      <c r="DA497" s="53" t="n"/>
      <c r="DB497" s="53" t="n"/>
      <c r="DC497" s="53" t="n"/>
      <c r="DD497" s="53" t="n"/>
      <c r="DE497" s="53" t="n"/>
      <c r="DF497" s="53" t="n"/>
      <c r="DG497" s="53" t="n"/>
      <c r="DH497" s="53" t="n"/>
      <c r="DI497" s="53" t="n"/>
      <c r="DJ497" s="53" t="n"/>
      <c r="DK497" s="53" t="n"/>
      <c r="DL497" s="53" t="n"/>
      <c r="DM497" s="53" t="n"/>
      <c r="DN497" s="53" t="n"/>
      <c r="DO497" s="53" t="n"/>
      <c r="DP497" s="53" t="n"/>
      <c r="DQ497" s="53" t="n"/>
      <c r="DR497" s="53" t="n"/>
      <c r="DS497" s="53" t="n"/>
      <c r="DT497" s="53" t="n"/>
      <c r="DU497" s="53" t="n"/>
      <c r="DV497" s="53" t="n"/>
      <c r="DW497" s="53" t="n"/>
      <c r="DX497" s="53" t="n"/>
      <c r="DY497" s="53" t="n"/>
      <c r="DZ497" s="53" t="n"/>
      <c r="EA497" s="53" t="n"/>
      <c r="EB497" s="53" t="n"/>
      <c r="EC497" s="53" t="n"/>
      <c r="ED497" s="53" t="n"/>
      <c r="EE497" s="53" t="n"/>
      <c r="EF497" s="53" t="n"/>
      <c r="EG497" s="53" t="n"/>
      <c r="EH497" s="53" t="n"/>
      <c r="EI497" s="53" t="n"/>
      <c r="EJ497" s="53" t="n"/>
      <c r="EK497" s="53" t="n"/>
      <c r="EL497" s="53" t="n"/>
      <c r="EM497" s="53" t="n"/>
      <c r="EN497" s="53" t="n"/>
      <c r="EO497" s="53" t="n"/>
      <c r="EP497" s="53" t="n"/>
      <c r="EQ497" s="53" t="n"/>
      <c r="ER497" s="53" t="n"/>
      <c r="ES497" s="53" t="n"/>
      <c r="ET497" s="53" t="n"/>
      <c r="EU497" s="53" t="n"/>
      <c r="EV497" s="53" t="n"/>
      <c r="EW497" s="52" t="n"/>
      <c r="EX497" s="53"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EY497" s="53"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EZ497" s="53"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FA497" s="53" t="inlineStr">
        <is>
          <t>• Development priorities: Upskilling the tech stack.
• Learning and Development Need: Had a Buddy assigned to m. More in depth knowledge of tech stack used here.</t>
        </is>
      </c>
      <c r="FB497" s="53" t="inlineStr">
        <is>
          <t>• Key challenges: Lack of communication; Ai credits; Changes in requirements.
• Support required: Need clear requirements before any feature development; Need better people for mentorship, people who actually know how to lead.</t>
        </is>
      </c>
      <c r="FC497" s="53" t="n"/>
      <c r="FD497" s="53" t="n"/>
      <c r="FE497" s="57"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FF497" s="56" t="n"/>
      <c r="FG497" s="56" t="n"/>
      <c r="FH497" s="56" t="n"/>
      <c r="FI497" s="56" t="n"/>
      <c r="FJ497" s="56" t="inlineStr">
        <is>
          <t>Received · manager annual</t>
        </is>
      </c>
      <c r="FK497" s="56" t="inlineStr">
        <is>
          <t>CARBON Mapping Master</t>
        </is>
      </c>
      <c r="FL497" s="56" t="n">
        <v>20</v>
      </c>
      <c r="FM497" s="56"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FN497" s="56"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FO497" s="56"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FP497" s="56" t="inlineStr">
        <is>
          <t>• Development priorities: Upskilling the tech stack.
• Learning and Development Need: Had a Buddy assigned to m. More in depth knowledge of tech stack used here.</t>
        </is>
      </c>
      <c r="FQ497" s="56" t="inlineStr">
        <is>
          <t>• Key challenges: Lack of communication; Ai credits; Changes in requirements.
• Support required: Need clear requirements before any feature development; Need better people for mentorship, people who actually know how to lead.</t>
        </is>
      </c>
      <c r="FR497" s="56" t="n"/>
      <c r="FS497"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497" s="56" t="inlineStr">
        <is>
          <t>Self-identified: Answered · no common topic
For the next role: Answered · no common topic</t>
        </is>
      </c>
      <c r="FU497" s="56" t="inlineStr">
        <is>
          <t>Per-person summary · CARBON Mapping Master</t>
        </is>
      </c>
    </row>
    <row r="498" ht="90" customHeight="1">
      <c r="A498" s="51" t="inlineStr">
        <is>
          <t>◂ Back</t>
        </is>
      </c>
      <c r="B498" s="29" t="inlineStr">
        <is>
          <t>Mapped</t>
        </is>
      </c>
      <c r="C498" s="28" t="inlineStr">
        <is>
          <t>CARBON</t>
        </is>
      </c>
      <c r="D498" s="29" t="inlineStr">
        <is>
          <t>IRIS1477</t>
        </is>
      </c>
      <c r="E498" s="29" t="inlineStr">
        <is>
          <t>Dhiraj Suryawanshi</t>
        </is>
      </c>
      <c r="F498" s="29" t="inlineStr">
        <is>
          <t>Technology</t>
        </is>
      </c>
      <c r="G498" s="29" t="inlineStr">
        <is>
          <t>Lead Software Engineer</t>
        </is>
      </c>
      <c r="H498" s="29" t="inlineStr">
        <is>
          <t>Lead Software Engineer – POD Lead</t>
        </is>
      </c>
      <c r="I498" s="29" t="inlineStr">
        <is>
          <t>L5 – Lead · IC</t>
        </is>
      </c>
      <c r="J498" s="29" t="inlineStr">
        <is>
          <t>B2</t>
        </is>
      </c>
      <c r="K498" s="29" t="inlineStr">
        <is>
          <t>• Same level</t>
        </is>
      </c>
      <c r="L498" s="29" t="inlineStr">
        <is>
          <t>Engineering &amp; Development</t>
        </is>
      </c>
      <c r="M498" s="29" t="inlineStr">
        <is>
          <t>Full-Stack Development</t>
        </is>
      </c>
      <c r="N498" s="29" t="n"/>
      <c r="O498" s="29" t="n">
        <v>20</v>
      </c>
      <c r="P498" s="28" t="inlineStr">
        <is>
          <t>P4 / M3</t>
        </is>
      </c>
      <c r="Q498" s="29" t="inlineStr">
        <is>
          <t>Senior / Manager</t>
        </is>
      </c>
      <c r="R498" s="29" t="inlineStr">
        <is>
          <t>4–5</t>
        </is>
      </c>
      <c r="S498" s="29" t="inlineStr">
        <is>
          <t>6–9 yrs</t>
        </is>
      </c>
      <c r="T498" s="29" t="inlineStr">
        <is>
          <t>7–10 · 6–11</t>
        </is>
      </c>
      <c r="U498" s="29" t="inlineStr">
        <is>
          <t>Principal Engineer</t>
        </is>
      </c>
      <c r="V498" s="29" t="inlineStr">
        <is>
          <t>Workiva: Senior SE · Broadridge India: Lead SE · Nasdaq / AxiomSL: Senior SE · Salesforce: SMTS · Atlassian: P50 Senior · 6–12 yrs · Freshworks: Lead SE</t>
        </is>
      </c>
      <c r="W498" s="29" t="inlineStr">
        <is>
          <t>SFIA 9 · software development, programming; OWASP secure coding; cloud vendor certifications</t>
        </is>
      </c>
      <c r="X498" s="29" t="inlineStr">
        <is>
          <t>Core 3 · Future 3 · Functional 4 · Leadership 3</t>
        </is>
      </c>
      <c r="Y498" s="52" t="n">
        <v>123</v>
      </c>
      <c r="Z498" s="53" t="inlineStr">
        <is>
          <t>IRIS1477</t>
        </is>
      </c>
      <c r="AA498" s="53" t="inlineStr">
        <is>
          <t>Employee</t>
        </is>
      </c>
      <c r="AB498" s="53" t="inlineStr">
        <is>
          <t>Active</t>
        </is>
      </c>
      <c r="AC498" s="53" t="inlineStr">
        <is>
          <t>Dhiraj Suryawanshi</t>
        </is>
      </c>
      <c r="AD498" s="54" t="n">
        <v>41869</v>
      </c>
      <c r="AE498" s="53" t="inlineStr">
        <is>
          <t>Lead Software Engineer</t>
        </is>
      </c>
      <c r="AF498" s="53" t="inlineStr">
        <is>
          <t>B.E</t>
        </is>
      </c>
      <c r="AG498" s="53" t="inlineStr">
        <is>
          <t>Ashish Singhvi</t>
        </is>
      </c>
      <c r="AH498" s="53" t="inlineStr">
        <is>
          <t>N-2</t>
        </is>
      </c>
      <c r="AI498" s="53" t="inlineStr">
        <is>
          <t>Manager</t>
        </is>
      </c>
      <c r="AJ498" s="53" t="inlineStr">
        <is>
          <t>2 years, 4 months, 0 days</t>
        </is>
      </c>
      <c r="AK498" s="53" t="inlineStr">
        <is>
          <t>12 years, 0 months, 7 days</t>
        </is>
      </c>
      <c r="AL498" s="53" t="inlineStr">
        <is>
          <t>Regtech</t>
        </is>
      </c>
      <c r="AM498" s="53" t="inlineStr">
        <is>
          <t>CARBON</t>
        </is>
      </c>
      <c r="AN498" s="53" t="inlineStr">
        <is>
          <t>Technology</t>
        </is>
      </c>
      <c r="AO498" s="53" t="inlineStr">
        <is>
          <t>Development</t>
        </is>
      </c>
      <c r="AP498" s="53" t="inlineStr">
        <is>
          <t>Yes</t>
        </is>
      </c>
      <c r="AQ498" s="53" t="inlineStr">
        <is>
          <t>Product/Project</t>
        </is>
      </c>
      <c r="AR498" s="53" t="inlineStr">
        <is>
          <t>.NET MVC</t>
        </is>
      </c>
      <c r="AS498" s="53" t="inlineStr">
        <is>
          <t>Technical - Developer</t>
        </is>
      </c>
      <c r="AT498" s="53" t="n">
        <v>20</v>
      </c>
      <c r="AU498" s="53" t="inlineStr">
        <is>
          <t>Covered</t>
        </is>
      </c>
      <c r="AV498" s="53" t="inlineStr">
        <is>
          <t>IRIS1477</t>
        </is>
      </c>
      <c r="AW498" s="53" t="inlineStr">
        <is>
          <t>Dhiraj Suryawanshi</t>
        </is>
      </c>
      <c r="AX498" s="53" t="inlineStr">
        <is>
          <t>Technology</t>
        </is>
      </c>
      <c r="AY498" s="53" t="inlineStr">
        <is>
          <t>Engineering &amp; Development</t>
        </is>
      </c>
      <c r="AZ498" s="53" t="inlineStr">
        <is>
          <t>Full-Stack Engineering</t>
        </is>
      </c>
      <c r="BA498" s="53" t="n"/>
      <c r="BB498" s="53" t="n"/>
      <c r="BC498" s="53" t="inlineStr">
        <is>
          <t>Employee</t>
        </is>
      </c>
      <c r="BD498" s="53" t="inlineStr">
        <is>
          <t>Ashish Singhvi</t>
        </is>
      </c>
      <c r="BE498" s="53" t="inlineStr">
        <is>
          <t>Ashish Singhvi</t>
        </is>
      </c>
      <c r="BF498" s="53" t="inlineStr">
        <is>
          <t>No</t>
        </is>
      </c>
      <c r="BG498" s="53" t="inlineStr">
        <is>
          <t>Lead Software Engineer</t>
        </is>
      </c>
      <c r="BH498" s="53" t="inlineStr">
        <is>
          <t>Lead Software Engineer</t>
        </is>
      </c>
      <c r="BI498" s="53" t="inlineStr">
        <is>
          <t>No</t>
        </is>
      </c>
      <c r="BJ498" s="53" t="n">
        <v>3</v>
      </c>
      <c r="BK498" s="53" t="n">
        <v>3</v>
      </c>
      <c r="BL498" s="53" t="n">
        <v>0</v>
      </c>
      <c r="BM498" s="53" t="inlineStr">
        <is>
          <t>Review</t>
        </is>
      </c>
      <c r="BN498" s="53" t="n">
        <v>3</v>
      </c>
      <c r="BO498" s="53" t="n">
        <v>3</v>
      </c>
      <c r="BP498" s="53" t="n">
        <v>0</v>
      </c>
      <c r="BQ498" s="53" t="inlineStr">
        <is>
          <t>Review</t>
        </is>
      </c>
      <c r="BR498" s="53" t="inlineStr">
        <is>
          <t>No</t>
        </is>
      </c>
      <c r="BS498" s="53" t="inlineStr">
        <is>
          <t>L5 – Lead · IC</t>
        </is>
      </c>
      <c r="BT498" s="53" t="inlineStr">
        <is>
          <t>L5 – Lead · IC</t>
        </is>
      </c>
      <c r="BU498" s="53" t="inlineStr">
        <is>
          <t>No designation change — current record value carried forward</t>
        </is>
      </c>
      <c r="BV498" s="53"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W498" s="53" t="n"/>
      <c r="BX498" s="53" t="inlineStr">
        <is>
          <t>ALL.</t>
        </is>
      </c>
      <c r="BY498" s="53" t="n"/>
      <c r="BZ498" s="53" t="n"/>
      <c r="CA498" s="53" t="n"/>
      <c r="CB498" s="53" t="n"/>
      <c r="CC498" s="53" t="n"/>
      <c r="CD498" s="53" t="n"/>
      <c r="CE498" s="53" t="n"/>
      <c r="CF498" s="53" t="n"/>
      <c r="CG498" s="53" t="n"/>
      <c r="CH498" s="53" t="n"/>
      <c r="CI498" s="53" t="n"/>
      <c r="CJ498" s="53" t="n"/>
      <c r="CK498" s="53" t="n"/>
      <c r="CL498" s="53" t="n"/>
      <c r="CM498" s="53" t="n"/>
      <c r="CN498" s="53" t="n"/>
      <c r="CO498" s="53" t="n"/>
      <c r="CP498" s="53" t="n"/>
      <c r="CQ498" s="53" t="n"/>
      <c r="CR498" s="53" t="n"/>
      <c r="CS498" s="53" t="n"/>
      <c r="CT498" s="53" t="n"/>
      <c r="CU498" s="53" t="n"/>
      <c r="CV498" s="53" t="n"/>
      <c r="CW498" s="53" t="n"/>
      <c r="CX498" s="53" t="n"/>
      <c r="CY498" s="53" t="n"/>
      <c r="CZ498" s="53" t="n"/>
      <c r="DA498" s="53" t="n"/>
      <c r="DB498" s="53" t="n"/>
      <c r="DC498" s="53" t="n"/>
      <c r="DD498" s="53" t="n"/>
      <c r="DE498" s="53" t="n"/>
      <c r="DF498" s="53" t="n"/>
      <c r="DG498" s="53" t="n"/>
      <c r="DH498" s="53" t="n"/>
      <c r="DI498" s="53" t="n"/>
      <c r="DJ498" s="53" t="n"/>
      <c r="DK498" s="53" t="n"/>
      <c r="DL498" s="53" t="n"/>
      <c r="DM498" s="53" t="n"/>
      <c r="DN498" s="53" t="n"/>
      <c r="DO498" s="53" t="n"/>
      <c r="DP498" s="53" t="n"/>
      <c r="DQ498" s="53" t="n"/>
      <c r="DR498" s="53" t="n"/>
      <c r="DS498" s="53" t="n"/>
      <c r="DT498" s="53" t="n"/>
      <c r="DU498" s="53" t="n"/>
      <c r="DV498" s="53" t="n"/>
      <c r="DW498" s="53" t="n"/>
      <c r="DX498" s="53" t="n"/>
      <c r="DY498" s="53" t="n"/>
      <c r="DZ498" s="53" t="n"/>
      <c r="EA498" s="53" t="n"/>
      <c r="EB498" s="53" t="n"/>
      <c r="EC498" s="53" t="n"/>
      <c r="ED498" s="53" t="n"/>
      <c r="EE498" s="53" t="n"/>
      <c r="EF498" s="53" t="n"/>
      <c r="EG498" s="53" t="n"/>
      <c r="EH498" s="53" t="n"/>
      <c r="EI498" s="53" t="n"/>
      <c r="EJ498" s="53" t="n"/>
      <c r="EK498" s="53" t="n"/>
      <c r="EL498" s="53" t="n"/>
      <c r="EM498" s="53" t="n"/>
      <c r="EN498" s="53" t="n"/>
      <c r="EO498" s="53" t="n"/>
      <c r="EP498" s="53" t="n"/>
      <c r="EQ498" s="53" t="n"/>
      <c r="ER498" s="53" t="n"/>
      <c r="ES498" s="53" t="n"/>
      <c r="ET498" s="53" t="n"/>
      <c r="EU498" s="53" t="n"/>
      <c r="EV498" s="53" t="n"/>
      <c r="EW498" s="52" t="n"/>
      <c r="EX498" s="53"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EY498" s="53"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EZ498" s="53" t="inlineStr">
        <is>
          <t>• Current capabilities: React; Microservices architectur.
• Tools / software used: GitHub Copilot; DOT NET CLI tools; Azure cloud services.
• Workload: Rated a moderate load · 3/5 in a typical week.
• Judgment/way of working: AI-first approach.</t>
        </is>
      </c>
      <c r="FA498" s="53"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B498" s="53" t="inlineStr">
        <is>
          <t>• Key challenges: Requirement changes.
• Support required: Continuous AI upskilling program.</t>
        </is>
      </c>
      <c r="FC498" s="53" t="n"/>
      <c r="FD498" s="53" t="n"/>
      <c r="FE498" s="57"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FF498" s="56" t="n"/>
      <c r="FG498" s="56" t="n"/>
      <c r="FH498" s="56" t="n"/>
      <c r="FI498" s="56" t="n"/>
      <c r="FJ498" s="56" t="inlineStr">
        <is>
          <t>Received · manager annual</t>
        </is>
      </c>
      <c r="FK498" s="56" t="inlineStr">
        <is>
          <t>CARBON Mapping Master</t>
        </is>
      </c>
      <c r="FL498" s="56" t="n">
        <v>20</v>
      </c>
      <c r="FM498" s="56"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FN498" s="56"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FO498" s="56" t="inlineStr">
        <is>
          <t>• Current capabilities: React; Microservices architectur.
• Tools / software used: GitHub Copilot; DOT NET CLI tools; Azure cloud services.
• Workload: Rated a moderate load · 3/5 in a typical week.
• Judgment/way of working: AI-first approach.</t>
        </is>
      </c>
      <c r="FP498" s="56"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Q498" s="56" t="inlineStr">
        <is>
          <t>• Key challenges: Requirement changes.
• Support required: Continuous AI upskilling program.</t>
        </is>
      </c>
      <c r="FR498" s="56" t="inlineStr">
        <is>
          <t>Complexity: Evidence reads like B2: Solution architecture for AI agentic workflows and Azure document-processing automation; leads problem-solving on team's complex challenges → moved down 0.5
Autonomy: Evidence reads like B1: Decides architecture, R&amp;D implementation and code quality standards for the team → moved down 1
Accountability: Evidence reads like B1: Architecture decisions, end-to-end delivery and R&amp;D outcomes for a 3-person team → moved down 0.5
Leadership: Evidence reads like B1: Team technical mentorship as a listed responsibility; 3 direct reports → moved down 0.5
Business Impact: No survey or manager-mapping signal on criticality: kept at the start point.</t>
        </is>
      </c>
      <c r="FS498"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498" s="56" t="inlineStr">
        <is>
          <t>Self-identified: AI / automation · Technical depth &amp; architecture · Communication &amp; presentation
For the next role: AI / automation · Technical depth &amp; architecture · Communication &amp; presentation</t>
        </is>
      </c>
      <c r="FU498" s="56" t="inlineStr">
        <is>
          <t>Per-person summary · CARBON Mapping Master</t>
        </is>
      </c>
    </row>
    <row r="499" ht="90" customHeight="1">
      <c r="A499" s="51" t="inlineStr">
        <is>
          <t>◂ Back</t>
        </is>
      </c>
      <c r="B499" s="29" t="inlineStr">
        <is>
          <t>Mapped</t>
        </is>
      </c>
      <c r="C499" s="28" t="inlineStr">
        <is>
          <t>CARBON</t>
        </is>
      </c>
      <c r="D499" s="29" t="inlineStr">
        <is>
          <t>IRIS2021</t>
        </is>
      </c>
      <c r="E499" s="29" t="inlineStr">
        <is>
          <t>Alpesh Chaudhari</t>
        </is>
      </c>
      <c r="F499" s="29" t="inlineStr">
        <is>
          <t>Technology</t>
        </is>
      </c>
      <c r="G499" s="29" t="inlineStr">
        <is>
          <t>Software Engineer</t>
        </is>
      </c>
      <c r="H499" s="29" t="inlineStr">
        <is>
          <t>Senior Software Engineer</t>
        </is>
      </c>
      <c r="I499" s="29" t="inlineStr">
        <is>
          <t>L3 – Professional / Associate</t>
        </is>
      </c>
      <c r="J499" s="29" t="inlineStr">
        <is>
          <t>A3</t>
        </is>
      </c>
      <c r="K499" s="29" t="inlineStr">
        <is>
          <t>▲ Up</t>
        </is>
      </c>
      <c r="L499" s="29" t="inlineStr">
        <is>
          <t>Engineering &amp; Development</t>
        </is>
      </c>
      <c r="M499" s="29" t="inlineStr">
        <is>
          <t>Backend Development</t>
        </is>
      </c>
      <c r="N499" s="29" t="inlineStr">
        <is>
          <t>• Confirm the reporting line — Manager</t>
        </is>
      </c>
      <c r="O499" s="29" t="n">
        <v>20</v>
      </c>
      <c r="P499" s="28" t="inlineStr">
        <is>
          <t>P2</t>
        </is>
      </c>
      <c r="Q499" s="29" t="inlineStr">
        <is>
          <t>Developing</t>
        </is>
      </c>
      <c r="R499" s="29" t="inlineStr">
        <is>
          <t>3 Apply</t>
        </is>
      </c>
      <c r="S499" s="29" t="inlineStr">
        <is>
          <t>2–4 yrs</t>
        </is>
      </c>
      <c r="T499" s="29" t="inlineStr">
        <is>
          <t>3–5 · 2–5</t>
        </is>
      </c>
      <c r="U499" s="29" t="inlineStr">
        <is>
          <t>Software Engineer</t>
        </is>
      </c>
      <c r="V499" s="29" t="inlineStr">
        <is>
          <t>Workiva: SE · Broadridge India: SE · Nasdaq / AxiomSL: SE · Salesforce: MTS · Atlassian: P40 · 3–7 yrs · Freshworks: Senior SE</t>
        </is>
      </c>
      <c r="W499" s="29" t="inlineStr">
        <is>
          <t>SFIA 9 · software development, programming; OWASP secure coding; cloud vendor certifications</t>
        </is>
      </c>
      <c r="X499" s="29" t="inlineStr">
        <is>
          <t>Core 2 · Future 2 · Functional 3 · Leadership not scored</t>
        </is>
      </c>
      <c r="Y499" s="52" t="n">
        <v>220</v>
      </c>
      <c r="Z499" s="53" t="inlineStr">
        <is>
          <t>IRIS2021</t>
        </is>
      </c>
      <c r="AA499" s="53" t="inlineStr">
        <is>
          <t>Employee</t>
        </is>
      </c>
      <c r="AB499" s="53" t="inlineStr">
        <is>
          <t>Active</t>
        </is>
      </c>
      <c r="AC499" s="53" t="inlineStr">
        <is>
          <t>Alpesh Chaudhari</t>
        </is>
      </c>
      <c r="AD499" s="54" t="n">
        <v>44713</v>
      </c>
      <c r="AE499" s="53" t="inlineStr">
        <is>
          <t>Software Engineer</t>
        </is>
      </c>
      <c r="AF499" s="53" t="inlineStr">
        <is>
          <t>MCA</t>
        </is>
      </c>
      <c r="AG499" s="53" t="inlineStr">
        <is>
          <t>Dhiraj Suryawanshi</t>
        </is>
      </c>
      <c r="AH499" s="53" t="inlineStr">
        <is>
          <t>N-3</t>
        </is>
      </c>
      <c r="AI499" s="53" t="inlineStr">
        <is>
          <t>Manager</t>
        </is>
      </c>
      <c r="AJ499" s="53" t="inlineStr">
        <is>
          <t>0 years, 4 months, 0 days</t>
        </is>
      </c>
      <c r="AK499" s="53" t="inlineStr">
        <is>
          <t>4 years, 2 months, 24 days</t>
        </is>
      </c>
      <c r="AL499" s="53" t="inlineStr">
        <is>
          <t>Regtech</t>
        </is>
      </c>
      <c r="AM499" s="53" t="inlineStr">
        <is>
          <t>CARBON</t>
        </is>
      </c>
      <c r="AN499" s="53" t="inlineStr">
        <is>
          <t>Technology</t>
        </is>
      </c>
      <c r="AO499" s="53" t="inlineStr">
        <is>
          <t>Development</t>
        </is>
      </c>
      <c r="AP499" s="53" t="inlineStr">
        <is>
          <t>Yes</t>
        </is>
      </c>
      <c r="AQ499" s="53" t="inlineStr">
        <is>
          <t>Product/Project</t>
        </is>
      </c>
      <c r="AR499" s="53" t="inlineStr">
        <is>
          <t>.NET MVC</t>
        </is>
      </c>
      <c r="AS499" s="53" t="inlineStr">
        <is>
          <t>Technical - Developer</t>
        </is>
      </c>
      <c r="AT499" s="53" t="n">
        <v>20</v>
      </c>
      <c r="AU499" s="53" t="inlineStr">
        <is>
          <t>Covered</t>
        </is>
      </c>
      <c r="AV499" s="53" t="inlineStr">
        <is>
          <t>IRIS2021</t>
        </is>
      </c>
      <c r="AW499" s="53" t="inlineStr">
        <is>
          <t>Alpesh Chaudhari</t>
        </is>
      </c>
      <c r="AX499" s="53" t="inlineStr">
        <is>
          <t>Technology</t>
        </is>
      </c>
      <c r="AY499" s="53" t="inlineStr">
        <is>
          <t>Engineering &amp; Development</t>
        </is>
      </c>
      <c r="AZ499" s="53" t="inlineStr">
        <is>
          <t>AI / ML Engineering</t>
        </is>
      </c>
      <c r="BA499" s="53" t="n"/>
      <c r="BB499" s="53" t="n"/>
      <c r="BC499" s="53" t="inlineStr">
        <is>
          <t>Employee</t>
        </is>
      </c>
      <c r="BD499" s="53" t="inlineStr">
        <is>
          <t>Dhiraj Suryawanshi</t>
        </is>
      </c>
      <c r="BE499" s="53" t="inlineStr">
        <is>
          <t>Dhiraj Suryawanshi</t>
        </is>
      </c>
      <c r="BF499" s="53" t="inlineStr">
        <is>
          <t>No</t>
        </is>
      </c>
      <c r="BG499" s="53" t="inlineStr">
        <is>
          <t>Software Engineer</t>
        </is>
      </c>
      <c r="BH499" s="53" t="inlineStr">
        <is>
          <t>Software Engineer</t>
        </is>
      </c>
      <c r="BI499" s="53" t="inlineStr">
        <is>
          <t>No</t>
        </is>
      </c>
      <c r="BJ499" s="53" t="n">
        <v>3</v>
      </c>
      <c r="BK499" s="53" t="n">
        <v>3</v>
      </c>
      <c r="BL499" s="53" t="n">
        <v>0</v>
      </c>
      <c r="BM499" s="53" t="inlineStr">
        <is>
          <t>Review</t>
        </is>
      </c>
      <c r="BN499" s="53" t="n">
        <v>3</v>
      </c>
      <c r="BO499" s="53" t="n">
        <v>3</v>
      </c>
      <c r="BP499" s="53" t="n">
        <v>0</v>
      </c>
      <c r="BQ499" s="53" t="inlineStr">
        <is>
          <t>Review</t>
        </is>
      </c>
      <c r="BR499" s="53" t="inlineStr">
        <is>
          <t>No</t>
        </is>
      </c>
      <c r="BS499" s="53" t="inlineStr">
        <is>
          <t>L3 – Professional / Associate</t>
        </is>
      </c>
      <c r="BT499" s="53" t="inlineStr">
        <is>
          <t>L3 – Professional / Associate</t>
        </is>
      </c>
      <c r="BU499" s="53" t="inlineStr">
        <is>
          <t>No designation change — current record value carried forward</t>
        </is>
      </c>
      <c r="BV499" s="53"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W499" s="53" t="n"/>
      <c r="BX499" s="53" t="inlineStr">
        <is>
          <t>USA; Europe; Brazil.</t>
        </is>
      </c>
      <c r="BY499" s="53" t="n"/>
      <c r="BZ499" s="53" t="n"/>
      <c r="CA499" s="53" t="n"/>
      <c r="CB499" s="53" t="n"/>
      <c r="CC499" s="53" t="n"/>
      <c r="CD499" s="53" t="n"/>
      <c r="CE499" s="53" t="n"/>
      <c r="CF499" s="53" t="n"/>
      <c r="CG499" s="53" t="n"/>
      <c r="CH499" s="53" t="n"/>
      <c r="CI499" s="53" t="n"/>
      <c r="CJ499" s="53" t="n"/>
      <c r="CK499" s="53" t="n"/>
      <c r="CL499" s="53" t="n"/>
      <c r="CM499" s="53" t="n"/>
      <c r="CN499" s="53" t="n"/>
      <c r="CO499" s="53" t="n"/>
      <c r="CP499" s="53" t="n"/>
      <c r="CQ499" s="53" t="n"/>
      <c r="CR499" s="53" t="n"/>
      <c r="CS499" s="53" t="n"/>
      <c r="CT499" s="53" t="n"/>
      <c r="CU499" s="53" t="n"/>
      <c r="CV499" s="53" t="n"/>
      <c r="CW499" s="53" t="n"/>
      <c r="CX499" s="53" t="n"/>
      <c r="CY499" s="53" t="n"/>
      <c r="CZ499" s="53" t="n"/>
      <c r="DA499" s="53" t="n"/>
      <c r="DB499" s="53" t="n"/>
      <c r="DC499" s="53" t="n"/>
      <c r="DD499" s="53" t="n"/>
      <c r="DE499" s="53" t="n"/>
      <c r="DF499" s="53" t="n"/>
      <c r="DG499" s="53" t="n"/>
      <c r="DH499" s="53" t="n"/>
      <c r="DI499" s="53" t="n"/>
      <c r="DJ499" s="53" t="n"/>
      <c r="DK499" s="53" t="n"/>
      <c r="DL499" s="53" t="n"/>
      <c r="DM499" s="53" t="n"/>
      <c r="DN499" s="53" t="n"/>
      <c r="DO499" s="53" t="n"/>
      <c r="DP499" s="53" t="n"/>
      <c r="DQ499" s="53" t="n"/>
      <c r="DR499" s="53" t="n"/>
      <c r="DS499" s="53" t="n"/>
      <c r="DT499" s="53" t="n"/>
      <c r="DU499" s="53" t="n"/>
      <c r="DV499" s="53" t="n"/>
      <c r="DW499" s="53" t="n"/>
      <c r="DX499" s="53" t="n"/>
      <c r="DY499" s="53" t="n"/>
      <c r="DZ499" s="53" t="n"/>
      <c r="EA499" s="53" t="n"/>
      <c r="EB499" s="53" t="n"/>
      <c r="EC499" s="53" t="n"/>
      <c r="ED499" s="53" t="n"/>
      <c r="EE499" s="53" t="n"/>
      <c r="EF499" s="53" t="n"/>
      <c r="EG499" s="53" t="n"/>
      <c r="EH499" s="53" t="n"/>
      <c r="EI499" s="53" t="n"/>
      <c r="EJ499" s="53" t="n"/>
      <c r="EK499" s="53" t="n"/>
      <c r="EL499" s="53" t="n"/>
      <c r="EM499" s="53" t="n"/>
      <c r="EN499" s="53" t="n"/>
      <c r="EO499" s="53" t="n"/>
      <c r="EP499" s="53" t="n"/>
      <c r="EQ499" s="53" t="n"/>
      <c r="ER499" s="53" t="n"/>
      <c r="ES499" s="53" t="n"/>
      <c r="ET499" s="53" t="n"/>
      <c r="EU499" s="53" t="n"/>
      <c r="EV499" s="53" t="n"/>
      <c r="EW499" s="52" t="n"/>
      <c r="EX499" s="53"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EY499" s="53"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EZ499" s="53"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FA499" s="53"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B499" s="53"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C499" s="53" t="n"/>
      <c r="FD499" s="53" t="n"/>
      <c r="FE499" s="57"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FF499" s="56" t="n"/>
      <c r="FG499" s="56" t="n"/>
      <c r="FH499" s="56" t="n"/>
      <c r="FI499" s="56" t="n"/>
      <c r="FJ499" s="56" t="inlineStr">
        <is>
          <t>Received · manager annual</t>
        </is>
      </c>
      <c r="FK499" s="56" t="inlineStr">
        <is>
          <t>CARBON Mapping Master</t>
        </is>
      </c>
      <c r="FL499" s="56" t="n">
        <v>20</v>
      </c>
      <c r="FM499" s="56"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FN499" s="56"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FO499" s="56"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FP499" s="56"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Q499" s="56"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R499" s="56" t="inlineStr">
        <is>
          <t>Complexity: Evidence reads like B1: Takes the most complex features to production; builds AI features with LangGraph; architects solutions → moved up 1
Autonomy: Evidence reads like A3: Decides research on new approaches, bug fixes and optimisation of existing code → matches the start
Accountability: Evidence reads like A3: Complex and AI-based features made production-ready, then owned and maintained → moved down 0.5
Leadership: Evidence reads like B1: Gives technical leadership and guidance to a team of junior developers; 3 reports → matches the start
Business Impact: No survey or manager-mapping signal on criticality: kept at the start point.</t>
        </is>
      </c>
      <c r="FS49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9" s="56" t="inlineStr">
        <is>
          <t>Self-identified: AI / automation · Leadership &amp; people management · Technical depth &amp; architecture · Communication &amp; presentation
For the next role: AI / automation · Leadership &amp; people management · Technical depth &amp; architecture · Product &amp; tool knowledge · Communication &amp; presentation</t>
        </is>
      </c>
      <c r="FU499" s="56" t="inlineStr">
        <is>
          <t>Per-person summary · CARBON Mapping Master</t>
        </is>
      </c>
    </row>
    <row r="500" ht="90" customHeight="1">
      <c r="A500" s="51" t="inlineStr">
        <is>
          <t>◂ Back</t>
        </is>
      </c>
      <c r="B500" s="29" t="inlineStr">
        <is>
          <t>Mapped</t>
        </is>
      </c>
      <c r="C500" s="28" t="inlineStr">
        <is>
          <t>CARBON</t>
        </is>
      </c>
      <c r="D500" s="29" t="inlineStr">
        <is>
          <t>IRIS2444</t>
        </is>
      </c>
      <c r="E500" s="29" t="inlineStr">
        <is>
          <t>Dev Hinged</t>
        </is>
      </c>
      <c r="F500" s="29" t="inlineStr">
        <is>
          <t>Technology</t>
        </is>
      </c>
      <c r="G500" s="29" t="inlineStr">
        <is>
          <t>Trainee AI Engineer</t>
        </is>
      </c>
      <c r="H500" s="29" t="inlineStr">
        <is>
          <t>AI/ML Engineer</t>
        </is>
      </c>
      <c r="I500" s="29" t="inlineStr">
        <is>
          <t>L2 – Trainee</t>
        </is>
      </c>
      <c r="J500" s="29" t="inlineStr">
        <is>
          <t>A2</t>
        </is>
      </c>
      <c r="K500" s="29" t="inlineStr">
        <is>
          <t>▲ Up</t>
        </is>
      </c>
      <c r="L500" s="29" t="inlineStr">
        <is>
          <t>Engineering &amp; Development</t>
        </is>
      </c>
      <c r="M500" s="29" t="inlineStr">
        <is>
          <t>AI / ML &amp; GenAI Engineering</t>
        </is>
      </c>
      <c r="N500" s="29" t="n"/>
      <c r="O500" s="29" t="n">
        <v>20</v>
      </c>
      <c r="P500" s="28" t="inlineStr">
        <is>
          <t>P1–P2</t>
        </is>
      </c>
      <c r="Q500" s="29" t="inlineStr">
        <is>
          <t>Entry / Developing</t>
        </is>
      </c>
      <c r="R500" s="29" t="inlineStr">
        <is>
          <t>2 Assist</t>
        </is>
      </c>
      <c r="S500" s="29" t="inlineStr">
        <is>
          <t>0–2 yrs</t>
        </is>
      </c>
      <c r="T500" s="29" t="inlineStr">
        <is>
          <t>1–3 · 0–3</t>
        </is>
      </c>
      <c r="U500" s="29" t="inlineStr">
        <is>
          <t>Associate Software Engineer / Software Engineer</t>
        </is>
      </c>
      <c r="V500" s="29" t="inlineStr">
        <is>
          <t>Workiva: Associate SE · Broadridge India: SE · Nasdaq / AxiomSL: SE · Salesforce: AMTS · Atlassian: P30 Junior · 0–2 yrs · Freshworks: SE</t>
        </is>
      </c>
      <c r="W500" s="29" t="inlineStr">
        <is>
          <t>SFIA 9 · software development, programming; OWASP secure coding; cloud vendor certifications</t>
        </is>
      </c>
      <c r="X500" s="29" t="inlineStr">
        <is>
          <t>Core 2 · Future 2 · Functional 2 · Leadership not scored</t>
        </is>
      </c>
      <c r="Y500" s="52" t="n">
        <v>411</v>
      </c>
      <c r="Z500" s="53" t="inlineStr">
        <is>
          <t>IRIS2444</t>
        </is>
      </c>
      <c r="AA500" s="53" t="inlineStr">
        <is>
          <t>Employee</t>
        </is>
      </c>
      <c r="AB500" s="53" t="inlineStr">
        <is>
          <t>Active</t>
        </is>
      </c>
      <c r="AC500" s="53" t="inlineStr">
        <is>
          <t>Dev Hinged</t>
        </is>
      </c>
      <c r="AD500" s="54" t="n">
        <v>45972</v>
      </c>
      <c r="AE500" s="53" t="inlineStr">
        <is>
          <t>Trainee AI Engineer</t>
        </is>
      </c>
      <c r="AF500" s="53" t="inlineStr">
        <is>
          <t>B.Tech</t>
        </is>
      </c>
      <c r="AG500" s="53" t="inlineStr">
        <is>
          <t>Alpesh Chaudhari</t>
        </is>
      </c>
      <c r="AH500" s="53" t="inlineStr">
        <is>
          <t>N-4</t>
        </is>
      </c>
      <c r="AI500" s="53" t="inlineStr">
        <is>
          <t>Individual Contributor</t>
        </is>
      </c>
      <c r="AJ500" s="53" t="inlineStr">
        <is>
          <t>0 years, 7 months, 0 days</t>
        </is>
      </c>
      <c r="AK500" s="53" t="inlineStr">
        <is>
          <t>0 years, 9 months, 14 days</t>
        </is>
      </c>
      <c r="AL500" s="53" t="inlineStr">
        <is>
          <t>Regtech</t>
        </is>
      </c>
      <c r="AM500" s="53" t="inlineStr">
        <is>
          <t>CARBON</t>
        </is>
      </c>
      <c r="AN500" s="53" t="inlineStr">
        <is>
          <t>Technology</t>
        </is>
      </c>
      <c r="AO500" s="53" t="inlineStr">
        <is>
          <t>Development</t>
        </is>
      </c>
      <c r="AP500" s="53" t="inlineStr">
        <is>
          <t>Yes</t>
        </is>
      </c>
      <c r="AQ500" s="53" t="inlineStr">
        <is>
          <t>Product/Project</t>
        </is>
      </c>
      <c r="AR500" s="53" t="inlineStr">
        <is>
          <t>AI/ML</t>
        </is>
      </c>
      <c r="AS500" s="53" t="inlineStr">
        <is>
          <t>Technical - Developer</t>
        </is>
      </c>
      <c r="AT500" s="53" t="n">
        <v>20</v>
      </c>
      <c r="AU500" s="53" t="inlineStr">
        <is>
          <t>Covered</t>
        </is>
      </c>
      <c r="AV500" s="53" t="inlineStr">
        <is>
          <t>IRIS2444</t>
        </is>
      </c>
      <c r="AW500" s="53" t="inlineStr">
        <is>
          <t>Dev Hinged</t>
        </is>
      </c>
      <c r="AX500" s="53" t="inlineStr">
        <is>
          <t>Technology</t>
        </is>
      </c>
      <c r="AY500" s="53" t="inlineStr">
        <is>
          <t>Engineering &amp; Development</t>
        </is>
      </c>
      <c r="AZ500" s="53" t="inlineStr">
        <is>
          <t>AI / ML Engineering</t>
        </is>
      </c>
      <c r="BA500" s="53" t="n"/>
      <c r="BB500" s="53" t="n"/>
      <c r="BC500" s="53" t="inlineStr">
        <is>
          <t>Employee</t>
        </is>
      </c>
      <c r="BD500" s="53" t="inlineStr">
        <is>
          <t>Alpesh Chaudhari</t>
        </is>
      </c>
      <c r="BE500" s="53" t="inlineStr">
        <is>
          <t>Alpesh Chaudhari</t>
        </is>
      </c>
      <c r="BF500" s="53" t="inlineStr">
        <is>
          <t>No</t>
        </is>
      </c>
      <c r="BG500" s="53" t="inlineStr">
        <is>
          <t>Trainee AI Engineer</t>
        </is>
      </c>
      <c r="BH500" s="53" t="inlineStr">
        <is>
          <t>Trainee AI Engineer</t>
        </is>
      </c>
      <c r="BI500" s="53" t="inlineStr">
        <is>
          <t>No</t>
        </is>
      </c>
      <c r="BJ500" s="53" t="inlineStr">
        <is>
          <t>—</t>
        </is>
      </c>
      <c r="BK500" s="53" t="inlineStr">
        <is>
          <t>—</t>
        </is>
      </c>
      <c r="BL500" s="53" t="inlineStr">
        <is>
          <t>—</t>
        </is>
      </c>
      <c r="BM500" s="53" t="inlineStr">
        <is>
          <t>Not a manager</t>
        </is>
      </c>
      <c r="BN500" s="53" t="inlineStr">
        <is>
          <t>—</t>
        </is>
      </c>
      <c r="BO500" s="53" t="inlineStr">
        <is>
          <t>—</t>
        </is>
      </c>
      <c r="BP500" s="53" t="inlineStr">
        <is>
          <t>—</t>
        </is>
      </c>
      <c r="BQ500" s="53" t="inlineStr">
        <is>
          <t>Not a manager</t>
        </is>
      </c>
      <c r="BR500" s="53" t="inlineStr">
        <is>
          <t>—</t>
        </is>
      </c>
      <c r="BS500" s="53" t="inlineStr">
        <is>
          <t>L2 – Trainee</t>
        </is>
      </c>
      <c r="BT500" s="53" t="inlineStr">
        <is>
          <t>L2 – Trainee</t>
        </is>
      </c>
      <c r="BU500" s="53" t="inlineStr">
        <is>
          <t>No designation change — current record value carried forward</t>
        </is>
      </c>
      <c r="BV500" s="53"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W500" s="53" t="n"/>
      <c r="BX500" s="53" t="inlineStr">
        <is>
          <t>Global.</t>
        </is>
      </c>
      <c r="BY500" s="53" t="n"/>
      <c r="BZ500" s="53" t="n"/>
      <c r="CA500" s="53" t="n"/>
      <c r="CB500" s="53" t="n"/>
      <c r="CC500" s="53" t="n"/>
      <c r="CD500" s="53" t="n"/>
      <c r="CE500" s="53" t="n"/>
      <c r="CF500" s="53" t="n"/>
      <c r="CG500" s="53" t="n"/>
      <c r="CH500" s="53" t="n"/>
      <c r="CI500" s="53" t="n"/>
      <c r="CJ500" s="53" t="n"/>
      <c r="CK500" s="53" t="n"/>
      <c r="CL500" s="53" t="n"/>
      <c r="CM500" s="53" t="n"/>
      <c r="CN500" s="53" t="n"/>
      <c r="CO500" s="53" t="n"/>
      <c r="CP500" s="53" t="n"/>
      <c r="CQ500" s="53" t="n"/>
      <c r="CR500" s="53" t="n"/>
      <c r="CS500" s="53" t="n"/>
      <c r="CT500" s="53" t="n"/>
      <c r="CU500" s="53" t="n"/>
      <c r="CV500" s="53" t="n"/>
      <c r="CW500" s="53" t="n"/>
      <c r="CX500" s="53" t="n"/>
      <c r="CY500" s="53" t="n"/>
      <c r="CZ500" s="53" t="n"/>
      <c r="DA500" s="53" t="n"/>
      <c r="DB500" s="53" t="n"/>
      <c r="DC500" s="53" t="n"/>
      <c r="DD500" s="53" t="n"/>
      <c r="DE500" s="53" t="n"/>
      <c r="DF500" s="53" t="n"/>
      <c r="DG500" s="53" t="n"/>
      <c r="DH500" s="53" t="n"/>
      <c r="DI500" s="53" t="n"/>
      <c r="DJ500" s="53" t="n"/>
      <c r="DK500" s="53" t="n"/>
      <c r="DL500" s="53" t="n"/>
      <c r="DM500" s="53" t="n"/>
      <c r="DN500" s="53" t="n"/>
      <c r="DO500" s="53" t="n"/>
      <c r="DP500" s="53" t="n"/>
      <c r="DQ500" s="53" t="n"/>
      <c r="DR500" s="53" t="n"/>
      <c r="DS500" s="53" t="n"/>
      <c r="DT500" s="53" t="n"/>
      <c r="DU500" s="53" t="n"/>
      <c r="DV500" s="53" t="n"/>
      <c r="DW500" s="53" t="n"/>
      <c r="DX500" s="53" t="n"/>
      <c r="DY500" s="53" t="n"/>
      <c r="DZ500" s="53" t="n"/>
      <c r="EA500" s="53" t="n"/>
      <c r="EB500" s="53" t="n"/>
      <c r="EC500" s="53" t="n"/>
      <c r="ED500" s="53" t="n"/>
      <c r="EE500" s="53" t="n"/>
      <c r="EF500" s="53" t="n"/>
      <c r="EG500" s="53" t="n"/>
      <c r="EH500" s="53" t="n"/>
      <c r="EI500" s="53" t="n"/>
      <c r="EJ500" s="53" t="n"/>
      <c r="EK500" s="53" t="n"/>
      <c r="EL500" s="53" t="n"/>
      <c r="EM500" s="53" t="n"/>
      <c r="EN500" s="53" t="n"/>
      <c r="EO500" s="53" t="n"/>
      <c r="EP500" s="53" t="n"/>
      <c r="EQ500" s="53" t="n"/>
      <c r="ER500" s="53" t="n"/>
      <c r="ES500" s="53" t="n"/>
      <c r="ET500" s="53" t="n"/>
      <c r="EU500" s="53" t="n"/>
      <c r="EV500" s="53" t="n"/>
      <c r="EW500" s="52" t="n"/>
      <c r="EX500" s="53"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EY500" s="53"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EZ500" s="53"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FA500" s="53"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B500" s="53" t="inlineStr">
        <is>
          <t>• Key challenges: Frequent approach changes.
• Support required: Regular training on new AI tools.</t>
        </is>
      </c>
      <c r="FC500" s="53" t="n"/>
      <c r="FD500" s="53" t="n"/>
      <c r="FE500" s="57"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FF500" s="56" t="n"/>
      <c r="FG500" s="56" t="n"/>
      <c r="FH500" s="56" t="n"/>
      <c r="FI500" s="56" t="n"/>
      <c r="FJ500" s="56" t="inlineStr">
        <is>
          <t>Received · manager annual</t>
        </is>
      </c>
      <c r="FK500" s="56" t="inlineStr">
        <is>
          <t>CARBON Mapping Master</t>
        </is>
      </c>
      <c r="FL500" s="56" t="n">
        <v>20</v>
      </c>
      <c r="FM500" s="56"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FN500" s="56"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FO500" s="56"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FP500" s="56"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Q500" s="56" t="inlineStr">
        <is>
          <t>• Key challenges: Frequent approach changes.
• Support required: Regular training on new AI tools.</t>
        </is>
      </c>
      <c r="FR500" s="56" t="inlineStr">
        <is>
          <t>Complexity: Evidence reads like A3: Builds LLM solutions for automated tagging, table classification, anomaly detection using Azure Document Intelligence and FAISS → moved up 1
Autonomy: Evidence reads like A2: Identifies best approach and researches new technologies; nothing beyond own approach → moved up 0.5
Accountability: Evidence reads like A2: Accuracy and reliability of the LLM solutions and prompts personally developed → moved up 0.5
Leadership: Evidence reads like A1: None described → matches the start
Business Impact: No survey or manager-mapping signal on criticality: kept at the start point.</t>
        </is>
      </c>
      <c r="FS500"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500" s="56" t="inlineStr">
        <is>
          <t>Self-identified: AI / automation · Product &amp; tool knowledge
For the next role: AI / automation · Domain, regulatory &amp; XBRL · Product &amp; tool knowledge</t>
        </is>
      </c>
      <c r="FU500" s="56" t="inlineStr">
        <is>
          <t>Per-person summary · CARBON Mapping Master</t>
        </is>
      </c>
    </row>
    <row r="501" ht="90" customHeight="1">
      <c r="A501" s="51" t="inlineStr">
        <is>
          <t>◂ Back</t>
        </is>
      </c>
      <c r="B501" s="29" t="inlineStr">
        <is>
          <t>Mapped</t>
        </is>
      </c>
      <c r="C501" s="28" t="inlineStr">
        <is>
          <t>CARBON</t>
        </is>
      </c>
      <c r="D501" s="29" t="inlineStr">
        <is>
          <t>IRIS2394</t>
        </is>
      </c>
      <c r="E501" s="29" t="inlineStr">
        <is>
          <t>Meet Patel</t>
        </is>
      </c>
      <c r="F501" s="29" t="inlineStr">
        <is>
          <t>Technology</t>
        </is>
      </c>
      <c r="G501" s="29" t="inlineStr">
        <is>
          <t>Trainee Software Engineer</t>
        </is>
      </c>
      <c r="H501" s="29" t="inlineStr">
        <is>
          <t>Software Engineer</t>
        </is>
      </c>
      <c r="I501" s="29" t="inlineStr">
        <is>
          <t>L2 – Trainee</t>
        </is>
      </c>
      <c r="J501" s="29" t="inlineStr">
        <is>
          <t>A2</t>
        </is>
      </c>
      <c r="K501" s="29" t="inlineStr">
        <is>
          <t>▲ Up</t>
        </is>
      </c>
      <c r="L501" s="29" t="inlineStr">
        <is>
          <t>Engineering &amp; Development</t>
        </is>
      </c>
      <c r="M501" s="29" t="inlineStr">
        <is>
          <t>Backend Development</t>
        </is>
      </c>
      <c r="N501" s="29" t="n"/>
      <c r="O501" s="29" t="n">
        <v>20</v>
      </c>
      <c r="P501" s="28" t="inlineStr">
        <is>
          <t>P1–P2</t>
        </is>
      </c>
      <c r="Q501" s="29" t="inlineStr">
        <is>
          <t>Entry / Developing</t>
        </is>
      </c>
      <c r="R501" s="29" t="inlineStr">
        <is>
          <t>2 Assist</t>
        </is>
      </c>
      <c r="S501" s="29" t="inlineStr">
        <is>
          <t>0–2 yrs</t>
        </is>
      </c>
      <c r="T501" s="29" t="inlineStr">
        <is>
          <t>1–3 · 0–3</t>
        </is>
      </c>
      <c r="U501" s="29" t="inlineStr">
        <is>
          <t>Associate Software Engineer / Software Engineer</t>
        </is>
      </c>
      <c r="V501" s="29" t="inlineStr">
        <is>
          <t>Workiva: Associate SE · Broadridge India: SE · Nasdaq / AxiomSL: SE · Salesforce: AMTS · Atlassian: P30 Junior · 0–2 yrs · Freshworks: SE</t>
        </is>
      </c>
      <c r="W501" s="29" t="inlineStr">
        <is>
          <t>SFIA 9 · software development, programming; OWASP secure coding; cloud vendor certifications</t>
        </is>
      </c>
      <c r="X501" s="29" t="inlineStr">
        <is>
          <t>Core 2 · Future 2 · Functional 2 · Leadership not scored</t>
        </is>
      </c>
      <c r="Y501" s="52" t="n">
        <v>380</v>
      </c>
      <c r="Z501" s="53" t="inlineStr">
        <is>
          <t>IRIS2394</t>
        </is>
      </c>
      <c r="AA501" s="53" t="inlineStr">
        <is>
          <t>Employee</t>
        </is>
      </c>
      <c r="AB501" s="53" t="inlineStr">
        <is>
          <t>Active</t>
        </is>
      </c>
      <c r="AC501" s="53" t="inlineStr">
        <is>
          <t>Meet Patel</t>
        </is>
      </c>
      <c r="AD501" s="54" t="n">
        <v>45839</v>
      </c>
      <c r="AE501" s="53" t="inlineStr">
        <is>
          <t>Trainee Software Engineer</t>
        </is>
      </c>
      <c r="AF501" s="53" t="inlineStr">
        <is>
          <t>B.Sc</t>
        </is>
      </c>
      <c r="AG501" s="53" t="inlineStr">
        <is>
          <t>Alpesh Chaudhari</t>
        </is>
      </c>
      <c r="AH501" s="53" t="inlineStr">
        <is>
          <t>N-4</t>
        </is>
      </c>
      <c r="AI501" s="53" t="inlineStr">
        <is>
          <t>Individual Contributor</t>
        </is>
      </c>
      <c r="AJ501" s="53" t="inlineStr">
        <is>
          <t>0 years, 0 months, 0 days</t>
        </is>
      </c>
      <c r="AK501" s="53" t="inlineStr">
        <is>
          <t>1 years, 1 months, 24 days</t>
        </is>
      </c>
      <c r="AL501" s="53" t="inlineStr">
        <is>
          <t>Regtech</t>
        </is>
      </c>
      <c r="AM501" s="53" t="inlineStr">
        <is>
          <t>CARBON</t>
        </is>
      </c>
      <c r="AN501" s="53" t="inlineStr">
        <is>
          <t>Technology</t>
        </is>
      </c>
      <c r="AO501" s="53" t="inlineStr">
        <is>
          <t>Development</t>
        </is>
      </c>
      <c r="AP501" s="53" t="inlineStr">
        <is>
          <t>Yes</t>
        </is>
      </c>
      <c r="AQ501" s="53" t="inlineStr">
        <is>
          <t>Product/Project</t>
        </is>
      </c>
      <c r="AR501" s="53" t="inlineStr">
        <is>
          <t>.NET MVC</t>
        </is>
      </c>
      <c r="AS501" s="53" t="inlineStr">
        <is>
          <t>Technical - Developer</t>
        </is>
      </c>
      <c r="AT501" s="53" t="n">
        <v>20</v>
      </c>
      <c r="AU501" s="53" t="inlineStr">
        <is>
          <t>Covered</t>
        </is>
      </c>
      <c r="AV501" s="53" t="inlineStr">
        <is>
          <t>IRIS2394</t>
        </is>
      </c>
      <c r="AW501" s="53" t="inlineStr">
        <is>
          <t>Meet Patel</t>
        </is>
      </c>
      <c r="AX501" s="53" t="inlineStr">
        <is>
          <t>Technology</t>
        </is>
      </c>
      <c r="AY501" s="53" t="inlineStr">
        <is>
          <t>Engineering &amp; Development</t>
        </is>
      </c>
      <c r="AZ501" s="53" t="inlineStr">
        <is>
          <t>Full-Stack Engineering</t>
        </is>
      </c>
      <c r="BA501" s="53" t="n"/>
      <c r="BB501" s="53" t="n"/>
      <c r="BC501" s="53" t="inlineStr">
        <is>
          <t>Employee</t>
        </is>
      </c>
      <c r="BD501" s="53" t="inlineStr">
        <is>
          <t>Alpesh Chaudhari</t>
        </is>
      </c>
      <c r="BE501" s="53" t="inlineStr">
        <is>
          <t>Alpesh Chaudhari</t>
        </is>
      </c>
      <c r="BF501" s="53" t="inlineStr">
        <is>
          <t>No</t>
        </is>
      </c>
      <c r="BG501" s="53" t="inlineStr">
        <is>
          <t>Trainee Software Engineer</t>
        </is>
      </c>
      <c r="BH501" s="53" t="inlineStr">
        <is>
          <t>Trainee Software Engineer</t>
        </is>
      </c>
      <c r="BI501" s="53" t="inlineStr">
        <is>
          <t>No</t>
        </is>
      </c>
      <c r="BJ501" s="53" t="inlineStr">
        <is>
          <t>—</t>
        </is>
      </c>
      <c r="BK501" s="53" t="inlineStr">
        <is>
          <t>—</t>
        </is>
      </c>
      <c r="BL501" s="53" t="inlineStr">
        <is>
          <t>—</t>
        </is>
      </c>
      <c r="BM501" s="53" t="inlineStr">
        <is>
          <t>Not a manager</t>
        </is>
      </c>
      <c r="BN501" s="53" t="inlineStr">
        <is>
          <t>—</t>
        </is>
      </c>
      <c r="BO501" s="53" t="inlineStr">
        <is>
          <t>—</t>
        </is>
      </c>
      <c r="BP501" s="53" t="inlineStr">
        <is>
          <t>—</t>
        </is>
      </c>
      <c r="BQ501" s="53" t="inlineStr">
        <is>
          <t>Not a manager</t>
        </is>
      </c>
      <c r="BR501" s="53" t="inlineStr">
        <is>
          <t>—</t>
        </is>
      </c>
      <c r="BS501" s="53" t="inlineStr">
        <is>
          <t>L2 – Trainee</t>
        </is>
      </c>
      <c r="BT501" s="53" t="inlineStr">
        <is>
          <t>L2 – Trainee</t>
        </is>
      </c>
      <c r="BU501" s="53" t="inlineStr">
        <is>
          <t>No designation change — current record value carried forward</t>
        </is>
      </c>
      <c r="BV501" s="53"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W501" s="53" t="n"/>
      <c r="BX501" s="53" t="inlineStr">
        <is>
          <t>Global.</t>
        </is>
      </c>
      <c r="BY501" s="53" t="n"/>
      <c r="BZ501" s="53" t="n"/>
      <c r="CA501" s="53" t="n"/>
      <c r="CB501" s="53" t="n"/>
      <c r="CC501" s="53" t="n"/>
      <c r="CD501" s="53" t="n"/>
      <c r="CE501" s="53" t="n"/>
      <c r="CF501" s="53" t="n"/>
      <c r="CG501" s="53" t="n"/>
      <c r="CH501" s="53" t="n"/>
      <c r="CI501" s="53" t="n"/>
      <c r="CJ501" s="53" t="n"/>
      <c r="CK501" s="53" t="n"/>
      <c r="CL501" s="53" t="n"/>
      <c r="CM501" s="53" t="n"/>
      <c r="CN501" s="53" t="n"/>
      <c r="CO501" s="53" t="n"/>
      <c r="CP501" s="53" t="n"/>
      <c r="CQ501" s="53" t="n"/>
      <c r="CR501" s="53" t="n"/>
      <c r="CS501" s="53" t="n"/>
      <c r="CT501" s="53" t="n"/>
      <c r="CU501" s="53" t="n"/>
      <c r="CV501" s="53" t="n"/>
      <c r="CW501" s="53" t="n"/>
      <c r="CX501" s="53" t="n"/>
      <c r="CY501" s="53" t="n"/>
      <c r="CZ501" s="53" t="n"/>
      <c r="DA501" s="53" t="n"/>
      <c r="DB501" s="53" t="n"/>
      <c r="DC501" s="53" t="n"/>
      <c r="DD501" s="53" t="n"/>
      <c r="DE501" s="53" t="n"/>
      <c r="DF501" s="53" t="n"/>
      <c r="DG501" s="53" t="n"/>
      <c r="DH501" s="53" t="n"/>
      <c r="DI501" s="53" t="n"/>
      <c r="DJ501" s="53" t="n"/>
      <c r="DK501" s="53" t="n"/>
      <c r="DL501" s="53" t="n"/>
      <c r="DM501" s="53" t="n"/>
      <c r="DN501" s="53" t="n"/>
      <c r="DO501" s="53" t="n"/>
      <c r="DP501" s="53" t="n"/>
      <c r="DQ501" s="53" t="n"/>
      <c r="DR501" s="53" t="n"/>
      <c r="DS501" s="53" t="n"/>
      <c r="DT501" s="53" t="n"/>
      <c r="DU501" s="53" t="n"/>
      <c r="DV501" s="53" t="n"/>
      <c r="DW501" s="53" t="n"/>
      <c r="DX501" s="53" t="n"/>
      <c r="DY501" s="53" t="n"/>
      <c r="DZ501" s="53" t="n"/>
      <c r="EA501" s="53" t="n"/>
      <c r="EB501" s="53" t="n"/>
      <c r="EC501" s="53" t="n"/>
      <c r="ED501" s="53" t="n"/>
      <c r="EE501" s="53" t="n"/>
      <c r="EF501" s="53" t="n"/>
      <c r="EG501" s="53" t="n"/>
      <c r="EH501" s="53" t="n"/>
      <c r="EI501" s="53" t="n"/>
      <c r="EJ501" s="53" t="n"/>
      <c r="EK501" s="53" t="n"/>
      <c r="EL501" s="53" t="n"/>
      <c r="EM501" s="53" t="n"/>
      <c r="EN501" s="53" t="n"/>
      <c r="EO501" s="53" t="n"/>
      <c r="EP501" s="53" t="n"/>
      <c r="EQ501" s="53" t="n"/>
      <c r="ER501" s="53" t="n"/>
      <c r="ES501" s="53" t="n"/>
      <c r="ET501" s="53" t="n"/>
      <c r="EU501" s="53" t="n"/>
      <c r="EV501" s="53" t="n"/>
      <c r="EW501" s="52" t="n"/>
      <c r="EX501" s="53"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EY501" s="53"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EZ501" s="53" t="inlineStr">
        <is>
          <t>• Current capabilities: Full stack Development; Domain language.
• Tools / software used: Postman; Claude.
• Workload: Rated a heavy load · 4/5 in a typical week.
• Judgment/way of working: AI first approach.</t>
        </is>
      </c>
      <c r="FA501" s="53" t="inlineStr">
        <is>
          <t>• Development priorities: Leadership experience.
• Learning and Development Need: On the job mentoring. About tech stack used in Carbon...
• Role evolving toward: AI based development.</t>
        </is>
      </c>
      <c r="FB501" s="53" t="inlineStr">
        <is>
          <t>• Key challenges: Ai credits.
• Support required: Clear requirements.</t>
        </is>
      </c>
      <c r="FC501" s="53" t="n"/>
      <c r="FD501" s="53" t="n"/>
      <c r="FE501" s="57" t="inlineStr">
        <is>
          <t>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FF501" s="56" t="n"/>
      <c r="FG501" s="56" t="n"/>
      <c r="FH501" s="56" t="n"/>
      <c r="FI501" s="56" t="n"/>
      <c r="FJ501" s="56" t="inlineStr">
        <is>
          <t>Received · manager annual</t>
        </is>
      </c>
      <c r="FK501" s="56" t="inlineStr">
        <is>
          <t>CARBON Mapping Master</t>
        </is>
      </c>
      <c r="FL501" s="56" t="n">
        <v>20</v>
      </c>
      <c r="FM501" s="56"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FN501" s="56"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FO501" s="56" t="inlineStr">
        <is>
          <t>• Current capabilities: Full stack Development; Domain language.
• Tools / software used: Postman; Claude.
• Workload: Rated a heavy load · 4/5 in a typical week.
• Judgment/way of working: AI first approach.</t>
        </is>
      </c>
      <c r="FP501" s="56" t="inlineStr">
        <is>
          <t>• Development priorities: Leadership experience.
• Learning and Development Need: On the job mentoring. About tech stack used in Carbon...
• Role evolving toward: AI based development.</t>
        </is>
      </c>
      <c r="FQ501" s="56" t="inlineStr">
        <is>
          <t>• Key challenges: Ai credits.
• Support required: Clear requirements.</t>
        </is>
      </c>
      <c r="FR501" s="56" t="inlineStr">
        <is>
          <t>Complexity: Evidence reads like A2: own survey / KRA answers · summarised by the rater; not quoted → moved up 0.5
Autonomy: Evidence reads like A2: Decides how to implement technical solutions for own tasks → moved up 0.5
Accountability: Evidence reads like A2: own survey / KRA answers · summarised by the rater; not quoted → moved up 0.5
Leadership: Evidence reads like A2: Says helps others who need help → moved up 0.5
Business Impact: No survey or manager-mapping signal on criticality: kept at the start point.</t>
        </is>
      </c>
      <c r="FS501"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501" s="56" t="inlineStr">
        <is>
          <t>Self-identified: Leadership &amp; people management
For the next role: Leadership &amp; people management</t>
        </is>
      </c>
      <c r="FU501" s="56" t="inlineStr">
        <is>
          <t>Per-person summary · CARBON Mapping Master</t>
        </is>
      </c>
    </row>
    <row r="502" ht="90" customHeight="1">
      <c r="A502" s="51" t="inlineStr">
        <is>
          <t>◂ Back</t>
        </is>
      </c>
      <c r="B502" s="29" t="inlineStr">
        <is>
          <t>Mapped</t>
        </is>
      </c>
      <c r="C502" s="28" t="inlineStr">
        <is>
          <t>CARBON</t>
        </is>
      </c>
      <c r="D502" s="29" t="inlineStr">
        <is>
          <t>IRIS2454</t>
        </is>
      </c>
      <c r="E502" s="29" t="inlineStr">
        <is>
          <t>Ayush Sharma</t>
        </is>
      </c>
      <c r="F502" s="29" t="inlineStr">
        <is>
          <t>Technology</t>
        </is>
      </c>
      <c r="G502" s="29" t="inlineStr">
        <is>
          <t>Trainee Software Engineer</t>
        </is>
      </c>
      <c r="H502" s="29" t="inlineStr">
        <is>
          <t>Trainee Software Engineer</t>
        </is>
      </c>
      <c r="I502" s="29" t="inlineStr">
        <is>
          <t>L2 – Trainee</t>
        </is>
      </c>
      <c r="J502" s="29" t="inlineStr">
        <is>
          <t>A1</t>
        </is>
      </c>
      <c r="K502" s="29" t="inlineStr">
        <is>
          <t>• Same level</t>
        </is>
      </c>
      <c r="L502" s="29" t="inlineStr">
        <is>
          <t>Engineering &amp; Development</t>
        </is>
      </c>
      <c r="M502" s="29" t="inlineStr">
        <is>
          <t>Backend Development</t>
        </is>
      </c>
      <c r="N502" s="29" t="n"/>
      <c r="O502" s="29" t="n">
        <v>20</v>
      </c>
      <c r="P502" s="28" t="inlineStr">
        <is>
          <t>Entry / P1 · intern</t>
        </is>
      </c>
      <c r="Q502" s="29" t="inlineStr">
        <is>
          <t>Entry</t>
        </is>
      </c>
      <c r="R502" s="29" t="inlineStr">
        <is>
          <t>1 Follow</t>
        </is>
      </c>
      <c r="S502" s="29" t="inlineStr">
        <is>
          <t>0 yrs · fresher / intern</t>
        </is>
      </c>
      <c r="T502" s="29" t="inlineStr">
        <is>
          <t>—</t>
        </is>
      </c>
      <c r="U502" s="29" t="inlineStr">
        <is>
          <t>Associate Software Engineer</t>
        </is>
      </c>
      <c r="V502" s="29" t="inlineStr">
        <is>
          <t>—</t>
        </is>
      </c>
      <c r="W502" s="29" t="inlineStr">
        <is>
          <t>SFIA 9 · software development, programming; OWASP secure coding; cloud vendor certifications</t>
        </is>
      </c>
      <c r="X502" s="29" t="inlineStr">
        <is>
          <t>Core 1 · Future 1 · Functional 1 · Leadership not scored</t>
        </is>
      </c>
      <c r="Y502" s="52" t="n">
        <v>420</v>
      </c>
      <c r="Z502" s="53" t="inlineStr">
        <is>
          <t>IRIS2454</t>
        </is>
      </c>
      <c r="AA502" s="53" t="inlineStr">
        <is>
          <t>Employee</t>
        </is>
      </c>
      <c r="AB502" s="53" t="inlineStr">
        <is>
          <t>Active</t>
        </is>
      </c>
      <c r="AC502" s="53" t="inlineStr">
        <is>
          <t>Ayush Sharma</t>
        </is>
      </c>
      <c r="AD502" s="54" t="n">
        <v>45995</v>
      </c>
      <c r="AE502" s="53" t="inlineStr">
        <is>
          <t>Trainee Software Engineer</t>
        </is>
      </c>
      <c r="AF502" s="53" t="inlineStr">
        <is>
          <t>B.Tech</t>
        </is>
      </c>
      <c r="AG502" s="53" t="inlineStr">
        <is>
          <t>Alpesh Chaudhari</t>
        </is>
      </c>
      <c r="AH502" s="53" t="inlineStr">
        <is>
          <t>N-4</t>
        </is>
      </c>
      <c r="AI502" s="53" t="inlineStr">
        <is>
          <t>Individual Contributor</t>
        </is>
      </c>
      <c r="AJ502" s="53" t="inlineStr">
        <is>
          <t>0 years, 0 months, 0 days</t>
        </is>
      </c>
      <c r="AK502" s="53" t="inlineStr">
        <is>
          <t>0 years, 8 months, 21 days</t>
        </is>
      </c>
      <c r="AL502" s="53" t="inlineStr">
        <is>
          <t>Regtech</t>
        </is>
      </c>
      <c r="AM502" s="53" t="inlineStr">
        <is>
          <t>CARBON</t>
        </is>
      </c>
      <c r="AN502" s="53" t="inlineStr">
        <is>
          <t>Technology</t>
        </is>
      </c>
      <c r="AO502" s="53" t="inlineStr">
        <is>
          <t>Development</t>
        </is>
      </c>
      <c r="AP502" s="53" t="inlineStr">
        <is>
          <t>Yes</t>
        </is>
      </c>
      <c r="AQ502" s="53" t="inlineStr">
        <is>
          <t>Product/Project</t>
        </is>
      </c>
      <c r="AR502" s="53" t="inlineStr">
        <is>
          <t>.NET MVC</t>
        </is>
      </c>
      <c r="AS502" s="53" t="inlineStr">
        <is>
          <t>Technical - Developer</t>
        </is>
      </c>
      <c r="AT502" s="53" t="n">
        <v>20</v>
      </c>
      <c r="AU502" s="53" t="inlineStr">
        <is>
          <t>Covered</t>
        </is>
      </c>
      <c r="AV502" s="53" t="inlineStr">
        <is>
          <t>IRIS2454</t>
        </is>
      </c>
      <c r="AW502" s="53" t="inlineStr">
        <is>
          <t>Ayush Sharma</t>
        </is>
      </c>
      <c r="AX502" s="53" t="inlineStr">
        <is>
          <t>Technology</t>
        </is>
      </c>
      <c r="AY502" s="53" t="inlineStr">
        <is>
          <t>Engineering &amp; Development</t>
        </is>
      </c>
      <c r="AZ502" s="53" t="inlineStr">
        <is>
          <t>Full-Stack Engineering</t>
        </is>
      </c>
      <c r="BA502" s="53" t="n"/>
      <c r="BB502" s="53" t="n"/>
      <c r="BC502" s="53" t="inlineStr">
        <is>
          <t>Employee</t>
        </is>
      </c>
      <c r="BD502" s="53" t="inlineStr">
        <is>
          <t>Alpesh Chaudhari</t>
        </is>
      </c>
      <c r="BE502" s="53" t="inlineStr">
        <is>
          <t>Alpesh Chaudhari</t>
        </is>
      </c>
      <c r="BF502" s="53" t="inlineStr">
        <is>
          <t>No</t>
        </is>
      </c>
      <c r="BG502" s="53" t="inlineStr">
        <is>
          <t>Trainee Software Engineer</t>
        </is>
      </c>
      <c r="BH502" s="53" t="inlineStr">
        <is>
          <t>Trainee Software Engineer</t>
        </is>
      </c>
      <c r="BI502" s="53" t="inlineStr">
        <is>
          <t>No</t>
        </is>
      </c>
      <c r="BJ502" s="53" t="inlineStr">
        <is>
          <t>—</t>
        </is>
      </c>
      <c r="BK502" s="53" t="inlineStr">
        <is>
          <t>—</t>
        </is>
      </c>
      <c r="BL502" s="53" t="inlineStr">
        <is>
          <t>—</t>
        </is>
      </c>
      <c r="BM502" s="53" t="inlineStr">
        <is>
          <t>Not a manager</t>
        </is>
      </c>
      <c r="BN502" s="53" t="inlineStr">
        <is>
          <t>—</t>
        </is>
      </c>
      <c r="BO502" s="53" t="inlineStr">
        <is>
          <t>—</t>
        </is>
      </c>
      <c r="BP502" s="53" t="inlineStr">
        <is>
          <t>—</t>
        </is>
      </c>
      <c r="BQ502" s="53" t="inlineStr">
        <is>
          <t>Not a manager</t>
        </is>
      </c>
      <c r="BR502" s="53" t="inlineStr">
        <is>
          <t>—</t>
        </is>
      </c>
      <c r="BS502" s="53" t="inlineStr">
        <is>
          <t>L2 – Trainee</t>
        </is>
      </c>
      <c r="BT502" s="53" t="inlineStr">
        <is>
          <t>L2 – Trainee</t>
        </is>
      </c>
      <c r="BU502" s="53" t="inlineStr">
        <is>
          <t>No designation change — current record value carried forward</t>
        </is>
      </c>
      <c r="BV502" s="53"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W502" s="53" t="n"/>
      <c r="BX502" s="53" t="inlineStr">
        <is>
          <t>Global</t>
        </is>
      </c>
      <c r="BY502" s="53" t="n"/>
      <c r="BZ502" s="53" t="n"/>
      <c r="CA502" s="53" t="n"/>
      <c r="CB502" s="53" t="n"/>
      <c r="CC502" s="53" t="n"/>
      <c r="CD502" s="53" t="n"/>
      <c r="CE502" s="53" t="n"/>
      <c r="CF502" s="53" t="n"/>
      <c r="CG502" s="53" t="n"/>
      <c r="CH502" s="53" t="n"/>
      <c r="CI502" s="53" t="n"/>
      <c r="CJ502" s="53" t="n"/>
      <c r="CK502" s="53" t="n"/>
      <c r="CL502" s="53" t="n"/>
      <c r="CM502" s="53" t="n"/>
      <c r="CN502" s="53" t="n"/>
      <c r="CO502" s="53" t="n"/>
      <c r="CP502" s="53" t="n"/>
      <c r="CQ502" s="53" t="n"/>
      <c r="CR502" s="53" t="n"/>
      <c r="CS502" s="53" t="n"/>
      <c r="CT502" s="53" t="n"/>
      <c r="CU502" s="53" t="n"/>
      <c r="CV502" s="53" t="n"/>
      <c r="CW502" s="53" t="n"/>
      <c r="CX502" s="53" t="n"/>
      <c r="CY502" s="53" t="n"/>
      <c r="CZ502" s="53" t="n"/>
      <c r="DA502" s="53" t="n"/>
      <c r="DB502" s="53" t="n"/>
      <c r="DC502" s="53" t="n"/>
      <c r="DD502" s="53" t="n"/>
      <c r="DE502" s="53" t="n"/>
      <c r="DF502" s="53" t="n"/>
      <c r="DG502" s="53" t="n"/>
      <c r="DH502" s="53" t="n"/>
      <c r="DI502" s="53" t="n"/>
      <c r="DJ502" s="53" t="n"/>
      <c r="DK502" s="53" t="n"/>
      <c r="DL502" s="53" t="n"/>
      <c r="DM502" s="53" t="n"/>
      <c r="DN502" s="53" t="n"/>
      <c r="DO502" s="53" t="n"/>
      <c r="DP502" s="53" t="n"/>
      <c r="DQ502" s="53" t="n"/>
      <c r="DR502" s="53" t="n"/>
      <c r="DS502" s="53" t="n"/>
      <c r="DT502" s="53" t="n"/>
      <c r="DU502" s="53" t="n"/>
      <c r="DV502" s="53" t="n"/>
      <c r="DW502" s="53" t="n"/>
      <c r="DX502" s="53" t="n"/>
      <c r="DY502" s="53" t="n"/>
      <c r="DZ502" s="53" t="n"/>
      <c r="EA502" s="53" t="n"/>
      <c r="EB502" s="53" t="n"/>
      <c r="EC502" s="53" t="n"/>
      <c r="ED502" s="53" t="n"/>
      <c r="EE502" s="53" t="n"/>
      <c r="EF502" s="53" t="n"/>
      <c r="EG502" s="53" t="n"/>
      <c r="EH502" s="53" t="n"/>
      <c r="EI502" s="53" t="n"/>
      <c r="EJ502" s="53" t="n"/>
      <c r="EK502" s="53" t="n"/>
      <c r="EL502" s="53" t="n"/>
      <c r="EM502" s="53" t="n"/>
      <c r="EN502" s="53" t="n"/>
      <c r="EO502" s="53" t="n"/>
      <c r="EP502" s="53" t="n"/>
      <c r="EQ502" s="53" t="n"/>
      <c r="ER502" s="53" t="n"/>
      <c r="ES502" s="53" t="n"/>
      <c r="ET502" s="53" t="n"/>
      <c r="EU502" s="53" t="n"/>
      <c r="EV502" s="53" t="n"/>
      <c r="EW502" s="52" t="n"/>
      <c r="EX502" s="53"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EY502" s="53" t="inlineStr">
        <is>
          <t>scalable software appln; I’m accountable for the quality, reliability, and timely delivery of the features and software I develop.; Develop Software Features; It can lead to bugs, delays, rework, or production issues.</t>
        </is>
      </c>
      <c r="EZ502" s="53" t="inlineStr">
        <is>
          <t>NET Java React; Visual Studio VS Code; Problem-solving, ownership, and sound technical judgment.</t>
        </is>
      </c>
      <c r="FA502" s="53" t="inlineStr">
        <is>
          <t>System architecture, project workflows, and priorities.; hands-on project expern; System design, cloud technologies, AI/GenAI, and leadership skills.</t>
        </is>
      </c>
      <c r="FB502" s="53" t="inlineStr">
        <is>
          <t>High workload and shift; Better workload planning and clearer priorities.</t>
        </is>
      </c>
      <c r="FC502" s="53" t="n"/>
      <c r="FD502" s="53" t="n"/>
      <c r="FE502" s="57" t="inlineStr">
        <is>
          <t>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FF502" s="56" t="n"/>
      <c r="FG502" s="56" t="n"/>
      <c r="FH502" s="56" t="n"/>
      <c r="FI502" s="56" t="n"/>
      <c r="FJ502" s="56" t="inlineStr">
        <is>
          <t>Received · manager annual</t>
        </is>
      </c>
      <c r="FK502" s="56" t="inlineStr">
        <is>
          <t>CARBON Mapping Master</t>
        </is>
      </c>
      <c r="FL502" s="56" t="n">
        <v>20</v>
      </c>
      <c r="FM502" s="56"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FN502" s="56" t="inlineStr">
        <is>
          <t>scalable software appln; I’m accountable for the quality, reliability, and timely delivery of the features and software I develop.; Develop Software Features; It can lead to bugs, delays, rework, or production issues.</t>
        </is>
      </c>
      <c r="FO502" s="56" t="inlineStr">
        <is>
          <t>NET Java React; Visual Studio VS Code; Problem-solving, ownership, and sound technical judgment.</t>
        </is>
      </c>
      <c r="FP502" s="56" t="inlineStr">
        <is>
          <t>System architecture, project workflows, and priorities.; hands-on project expern; System design, cloud technologies, AI/GenAI, and leadership skills.</t>
        </is>
      </c>
      <c r="FQ502" s="56" t="inlineStr">
        <is>
          <t>High workload and shift; Better workload planning and clearer priorities.</t>
        </is>
      </c>
      <c r="FR502" s="56" t="n"/>
      <c r="FS502"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502" s="56" t="inlineStr">
        <is>
          <t>Self-identified: AI / automation · Leadership &amp; people management · Technical depth &amp; architecture
For the next role: AI / automation · Leadership &amp; people management · Technical depth &amp; architecture</t>
        </is>
      </c>
      <c r="FU502" s="56" t="inlineStr">
        <is>
          <t>Per-person summary · CARBON Mapping Master</t>
        </is>
      </c>
    </row>
    <row r="503" ht="90" customHeight="1">
      <c r="A503" s="51" t="inlineStr">
        <is>
          <t>◂ Back</t>
        </is>
      </c>
      <c r="B503" s="29" t="inlineStr">
        <is>
          <t>Mapped</t>
        </is>
      </c>
      <c r="C503" s="28" t="inlineStr">
        <is>
          <t>CARBON</t>
        </is>
      </c>
      <c r="D503" s="29" t="inlineStr">
        <is>
          <t>IRIS2024</t>
        </is>
      </c>
      <c r="E503" s="29" t="inlineStr">
        <is>
          <t>Imtiyaz Pathan</t>
        </is>
      </c>
      <c r="F503" s="29" t="inlineStr">
        <is>
          <t>Technology</t>
        </is>
      </c>
      <c r="G503" s="29" t="inlineStr">
        <is>
          <t>Software Engineer</t>
        </is>
      </c>
      <c r="H503" s="29" t="inlineStr">
        <is>
          <t>Senior Software Engineer</t>
        </is>
      </c>
      <c r="I503" s="29" t="inlineStr">
        <is>
          <t>L3 – Professional / Associate</t>
        </is>
      </c>
      <c r="J503" s="29" t="inlineStr">
        <is>
          <t>A3</t>
        </is>
      </c>
      <c r="K503" s="29" t="inlineStr">
        <is>
          <t>▲ Up</t>
        </is>
      </c>
      <c r="L503" s="29" t="inlineStr">
        <is>
          <t>Engineering &amp; Development</t>
        </is>
      </c>
      <c r="M503" s="29" t="inlineStr">
        <is>
          <t>Backend Development</t>
        </is>
      </c>
      <c r="N503" s="29" t="n"/>
      <c r="O503" s="29" t="n">
        <v>20</v>
      </c>
      <c r="P503" s="28" t="inlineStr">
        <is>
          <t>P2</t>
        </is>
      </c>
      <c r="Q503" s="29" t="inlineStr">
        <is>
          <t>Developing</t>
        </is>
      </c>
      <c r="R503" s="29" t="inlineStr">
        <is>
          <t>3 Apply</t>
        </is>
      </c>
      <c r="S503" s="29" t="inlineStr">
        <is>
          <t>2–4 yrs</t>
        </is>
      </c>
      <c r="T503" s="29" t="inlineStr">
        <is>
          <t>3–5 · 2–5</t>
        </is>
      </c>
      <c r="U503" s="29" t="inlineStr">
        <is>
          <t>Software Engineer</t>
        </is>
      </c>
      <c r="V503" s="29" t="inlineStr">
        <is>
          <t>Workiva: SE · Broadridge India: SE · Nasdaq / AxiomSL: SE · Salesforce: MTS · Atlassian: P40 · 3–7 yrs · Freshworks: Senior SE</t>
        </is>
      </c>
      <c r="W503" s="29" t="inlineStr">
        <is>
          <t>SFIA 9 · software development, programming; OWASP secure coding; cloud vendor certifications</t>
        </is>
      </c>
      <c r="X503" s="29" t="inlineStr">
        <is>
          <t>Core 2 · Future 2 · Functional 3 · Leadership not scored</t>
        </is>
      </c>
      <c r="Y503" s="52" t="n">
        <v>221</v>
      </c>
      <c r="Z503" s="53" t="inlineStr">
        <is>
          <t>IRIS2024</t>
        </is>
      </c>
      <c r="AA503" s="53" t="inlineStr">
        <is>
          <t>Employee</t>
        </is>
      </c>
      <c r="AB503" s="53" t="inlineStr">
        <is>
          <t>Active</t>
        </is>
      </c>
      <c r="AC503" s="53" t="inlineStr">
        <is>
          <t>Imtiyaz Pathan</t>
        </is>
      </c>
      <c r="AD503" s="54" t="n">
        <v>44714</v>
      </c>
      <c r="AE503" s="53" t="inlineStr">
        <is>
          <t>Software Engineer</t>
        </is>
      </c>
      <c r="AF503" s="53" t="inlineStr">
        <is>
          <t>MCA</t>
        </is>
      </c>
      <c r="AG503" s="53" t="inlineStr">
        <is>
          <t>Dhiraj Suryawanshi</t>
        </is>
      </c>
      <c r="AH503" s="53" t="inlineStr">
        <is>
          <t>N-3</t>
        </is>
      </c>
      <c r="AI503" s="53" t="inlineStr">
        <is>
          <t>Individual Contributor</t>
        </is>
      </c>
      <c r="AJ503" s="53" t="inlineStr">
        <is>
          <t>0 years, 0 months, 0 days</t>
        </is>
      </c>
      <c r="AK503" s="53" t="inlineStr">
        <is>
          <t>4 years, 2 months, 23 days</t>
        </is>
      </c>
      <c r="AL503" s="53" t="inlineStr">
        <is>
          <t>Regtech</t>
        </is>
      </c>
      <c r="AM503" s="53" t="inlineStr">
        <is>
          <t>CARBON</t>
        </is>
      </c>
      <c r="AN503" s="53" t="inlineStr">
        <is>
          <t>Technology</t>
        </is>
      </c>
      <c r="AO503" s="53" t="inlineStr">
        <is>
          <t>Development</t>
        </is>
      </c>
      <c r="AP503" s="53" t="inlineStr">
        <is>
          <t>Yes</t>
        </is>
      </c>
      <c r="AQ503" s="53" t="inlineStr">
        <is>
          <t>Product/Project</t>
        </is>
      </c>
      <c r="AR503" s="53" t="inlineStr">
        <is>
          <t>.NET MVC</t>
        </is>
      </c>
      <c r="AS503" s="53" t="inlineStr">
        <is>
          <t>Technical - Developer</t>
        </is>
      </c>
      <c r="AT503" s="53" t="n">
        <v>20</v>
      </c>
      <c r="AU503" s="53" t="inlineStr">
        <is>
          <t>Covered</t>
        </is>
      </c>
      <c r="AV503" s="53" t="inlineStr">
        <is>
          <t>IRIS2024</t>
        </is>
      </c>
      <c r="AW503" s="53" t="inlineStr">
        <is>
          <t>Imtiyaz Pathan</t>
        </is>
      </c>
      <c r="AX503" s="53" t="inlineStr">
        <is>
          <t>Technology</t>
        </is>
      </c>
      <c r="AY503" s="53" t="inlineStr">
        <is>
          <t>Engineering &amp; Development</t>
        </is>
      </c>
      <c r="AZ503" s="53" t="inlineStr">
        <is>
          <t>Full-Stack Engineering</t>
        </is>
      </c>
      <c r="BA503" s="53" t="n"/>
      <c r="BB503" s="53" t="n"/>
      <c r="BC503" s="53" t="inlineStr">
        <is>
          <t>Employee</t>
        </is>
      </c>
      <c r="BD503" s="53" t="inlineStr">
        <is>
          <t>Dhiraj Suryawanshi</t>
        </is>
      </c>
      <c r="BE503" s="53" t="inlineStr">
        <is>
          <t>Dhiraj Suryawanshi</t>
        </is>
      </c>
      <c r="BF503" s="53" t="inlineStr">
        <is>
          <t>No</t>
        </is>
      </c>
      <c r="BG503" s="53" t="inlineStr">
        <is>
          <t>Software Engineer</t>
        </is>
      </c>
      <c r="BH503" s="53" t="inlineStr">
        <is>
          <t>Software Engineer</t>
        </is>
      </c>
      <c r="BI503" s="53" t="inlineStr">
        <is>
          <t>No</t>
        </is>
      </c>
      <c r="BJ503" s="53" t="inlineStr">
        <is>
          <t>—</t>
        </is>
      </c>
      <c r="BK503" s="53" t="inlineStr">
        <is>
          <t>—</t>
        </is>
      </c>
      <c r="BL503" s="53" t="inlineStr">
        <is>
          <t>—</t>
        </is>
      </c>
      <c r="BM503" s="53" t="inlineStr">
        <is>
          <t>Not a manager</t>
        </is>
      </c>
      <c r="BN503" s="53" t="inlineStr">
        <is>
          <t>—</t>
        </is>
      </c>
      <c r="BO503" s="53" t="inlineStr">
        <is>
          <t>—</t>
        </is>
      </c>
      <c r="BP503" s="53" t="inlineStr">
        <is>
          <t>—</t>
        </is>
      </c>
      <c r="BQ503" s="53" t="inlineStr">
        <is>
          <t>Not a manager</t>
        </is>
      </c>
      <c r="BR503" s="53" t="inlineStr">
        <is>
          <t>—</t>
        </is>
      </c>
      <c r="BS503" s="53" t="inlineStr">
        <is>
          <t>L3 – Professional / Associate</t>
        </is>
      </c>
      <c r="BT503" s="53" t="inlineStr">
        <is>
          <t>L3 – Professional / Associate</t>
        </is>
      </c>
      <c r="BU503" s="53" t="inlineStr">
        <is>
          <t>No designation change — current record value carried forward</t>
        </is>
      </c>
      <c r="BV503" s="53"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W503" s="53" t="n"/>
      <c r="BX503" s="53" t="inlineStr">
        <is>
          <t>Global.</t>
        </is>
      </c>
      <c r="BY503" s="53" t="n"/>
      <c r="BZ503" s="53" t="n"/>
      <c r="CA503" s="53" t="n"/>
      <c r="CB503" s="53" t="n"/>
      <c r="CC503" s="53" t="n"/>
      <c r="CD503" s="53" t="n"/>
      <c r="CE503" s="53" t="n"/>
      <c r="CF503" s="53" t="n"/>
      <c r="CG503" s="53" t="n"/>
      <c r="CH503" s="53" t="n"/>
      <c r="CI503" s="53" t="n"/>
      <c r="CJ503" s="53" t="n"/>
      <c r="CK503" s="53" t="n"/>
      <c r="CL503" s="53" t="n"/>
      <c r="CM503" s="53" t="n"/>
      <c r="CN503" s="53" t="n"/>
      <c r="CO503" s="53" t="n"/>
      <c r="CP503" s="53" t="n"/>
      <c r="CQ503" s="53" t="n"/>
      <c r="CR503" s="53" t="n"/>
      <c r="CS503" s="53" t="n"/>
      <c r="CT503" s="53" t="n"/>
      <c r="CU503" s="53" t="n"/>
      <c r="CV503" s="53" t="n"/>
      <c r="CW503" s="53" t="n"/>
      <c r="CX503" s="53" t="n"/>
      <c r="CY503" s="53" t="n"/>
      <c r="CZ503" s="53" t="n"/>
      <c r="DA503" s="53" t="n"/>
      <c r="DB503" s="53" t="n"/>
      <c r="DC503" s="53" t="n"/>
      <c r="DD503" s="53" t="n"/>
      <c r="DE503" s="53" t="n"/>
      <c r="DF503" s="53" t="n"/>
      <c r="DG503" s="53" t="n"/>
      <c r="DH503" s="53" t="n"/>
      <c r="DI503" s="53" t="n"/>
      <c r="DJ503" s="53" t="n"/>
      <c r="DK503" s="53" t="n"/>
      <c r="DL503" s="53" t="n"/>
      <c r="DM503" s="53" t="n"/>
      <c r="DN503" s="53" t="n"/>
      <c r="DO503" s="53" t="n"/>
      <c r="DP503" s="53" t="n"/>
      <c r="DQ503" s="53" t="n"/>
      <c r="DR503" s="53" t="n"/>
      <c r="DS503" s="53" t="n"/>
      <c r="DT503" s="53" t="n"/>
      <c r="DU503" s="53" t="n"/>
      <c r="DV503" s="53" t="n"/>
      <c r="DW503" s="53" t="n"/>
      <c r="DX503" s="53" t="n"/>
      <c r="DY503" s="53" t="n"/>
      <c r="DZ503" s="53" t="n"/>
      <c r="EA503" s="53" t="n"/>
      <c r="EB503" s="53" t="n"/>
      <c r="EC503" s="53" t="n"/>
      <c r="ED503" s="53" t="n"/>
      <c r="EE503" s="53" t="n"/>
      <c r="EF503" s="53" t="n"/>
      <c r="EG503" s="53" t="n"/>
      <c r="EH503" s="53" t="n"/>
      <c r="EI503" s="53" t="n"/>
      <c r="EJ503" s="53" t="n"/>
      <c r="EK503" s="53" t="n"/>
      <c r="EL503" s="53" t="n"/>
      <c r="EM503" s="53" t="n"/>
      <c r="EN503" s="53" t="n"/>
      <c r="EO503" s="53" t="n"/>
      <c r="EP503" s="53" t="n"/>
      <c r="EQ503" s="53" t="n"/>
      <c r="ER503" s="53" t="n"/>
      <c r="ES503" s="53" t="n"/>
      <c r="ET503" s="53" t="n"/>
      <c r="EU503" s="53" t="n"/>
      <c r="EV503" s="53" t="n"/>
      <c r="EW503" s="52" t="n"/>
      <c r="EX503" s="53"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EY503" s="53"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EZ503" s="53" t="inlineStr">
        <is>
          <t>• Current capabilities: Software development.
• Tools / software used: VS Code; Github and Copilot.
• Workload: Rated a moderate load · 3/5 in a typical week.
• Judgment/way of working: Understanding the business requirement.</t>
        </is>
      </c>
      <c r="FA503" s="53"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B503" s="53" t="inlineStr">
        <is>
          <t>• Key challenges: Juggling between multiple.
• Support required: Frequent context switching.</t>
        </is>
      </c>
      <c r="FC503" s="53" t="n"/>
      <c r="FD503" s="53" t="n"/>
      <c r="FE503" s="57"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FF503" s="56" t="n"/>
      <c r="FG503" s="56" t="n"/>
      <c r="FH503" s="56" t="n"/>
      <c r="FI503" s="56" t="n"/>
      <c r="FJ503" s="56" t="inlineStr">
        <is>
          <t>Received · manager annual</t>
        </is>
      </c>
      <c r="FK503" s="56" t="inlineStr">
        <is>
          <t>CARBON Mapping Master</t>
        </is>
      </c>
      <c r="FL503" s="56" t="n">
        <v>20</v>
      </c>
      <c r="FM503" s="56"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FN503" s="56"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FO503" s="56" t="inlineStr">
        <is>
          <t>• Current capabilities: Software development.
• Tools / software used: VS Code; Github and Copilot.
• Workload: Rated a moderate load · 3/5 in a typical week.
• Judgment/way of working: Understanding the business requirement.</t>
        </is>
      </c>
      <c r="FP503" s="56"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Q503" s="56" t="inlineStr">
        <is>
          <t>• Key challenges: Juggling between multiple.
• Support required: Frequent context switching.</t>
        </is>
      </c>
      <c r="FR503" s="56" t="inlineStr">
        <is>
          <t>Complexity: Evidence reads like A2: own survey / KRA answers · summarised by the rater; not quoted → matches the start
Autonomy: Evidence reads like A2: Independent only on 'technical implementation' of own tasks → matches the start
Accountability: Evidence reads like A2: Own features and automation workflows working reliably; errors cause rework and bugs → matches the start
Leadership: Evidence reads like A1: No guidance or review of others described → matches the start
Business Impact: No survey or manager-mapping signal on criticality: kept at the start point.</t>
        </is>
      </c>
      <c r="FS50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03" s="56" t="inlineStr">
        <is>
          <t>Self-identified: AI / automation · Leadership &amp; people management · Technical depth &amp; architecture · Strategy &amp; business acumen · Broader exposure &amp; ownership
For the next role: AI / automation · Leadership &amp; people management · Project / programme management · Technical depth &amp; architecture · Strategy &amp; business acumen · Broader exposure &amp; ownership</t>
        </is>
      </c>
      <c r="FU503" s="56" t="inlineStr">
        <is>
          <t>Per-person summary · CARBON Mapping Master</t>
        </is>
      </c>
    </row>
    <row r="504" ht="90" customHeight="1">
      <c r="A504" s="51" t="inlineStr">
        <is>
          <t>◂ Back</t>
        </is>
      </c>
      <c r="B504" s="29" t="inlineStr">
        <is>
          <t>Mapped</t>
        </is>
      </c>
      <c r="C504" s="28" t="inlineStr">
        <is>
          <t>CARBON</t>
        </is>
      </c>
      <c r="D504" s="29" t="inlineStr">
        <is>
          <t>IRIS1920</t>
        </is>
      </c>
      <c r="E504" s="29" t="inlineStr">
        <is>
          <t>Pritesh Wani</t>
        </is>
      </c>
      <c r="F504" s="29" t="inlineStr">
        <is>
          <t>Technology</t>
        </is>
      </c>
      <c r="G504" s="29" t="inlineStr">
        <is>
          <t>Software Engineer</t>
        </is>
      </c>
      <c r="H504" s="29" t="inlineStr">
        <is>
          <t>Senior Software Engineer</t>
        </is>
      </c>
      <c r="I504" s="29" t="inlineStr">
        <is>
          <t>L3 – Professional / Associate</t>
        </is>
      </c>
      <c r="J504" s="29" t="inlineStr">
        <is>
          <t>A3</t>
        </is>
      </c>
      <c r="K504" s="29" t="inlineStr">
        <is>
          <t>▲ Up</t>
        </is>
      </c>
      <c r="L504" s="29" t="inlineStr">
        <is>
          <t>Engineering &amp; Development</t>
        </is>
      </c>
      <c r="M504" s="29" t="inlineStr">
        <is>
          <t>Backend Development</t>
        </is>
      </c>
      <c r="N504" s="29" t="inlineStr">
        <is>
          <t>• Confirm the reporting line — Manager</t>
        </is>
      </c>
      <c r="O504" s="29" t="n">
        <v>20</v>
      </c>
      <c r="P504" s="28" t="inlineStr">
        <is>
          <t>P2</t>
        </is>
      </c>
      <c r="Q504" s="29" t="inlineStr">
        <is>
          <t>Developing</t>
        </is>
      </c>
      <c r="R504" s="29" t="inlineStr">
        <is>
          <t>3 Apply</t>
        </is>
      </c>
      <c r="S504" s="29" t="inlineStr">
        <is>
          <t>2–4 yrs</t>
        </is>
      </c>
      <c r="T504" s="29" t="inlineStr">
        <is>
          <t>3–5 · 2–5</t>
        </is>
      </c>
      <c r="U504" s="29" t="inlineStr">
        <is>
          <t>Software Engineer</t>
        </is>
      </c>
      <c r="V504" s="29" t="inlineStr">
        <is>
          <t>Workiva: SE · Broadridge India: SE · Nasdaq / AxiomSL: SE · Salesforce: MTS · Atlassian: P40 · 3–7 yrs · Freshworks: Senior SE</t>
        </is>
      </c>
      <c r="W504" s="29" t="inlineStr">
        <is>
          <t>SFIA 9 · software development, programming; OWASP secure coding; cloud vendor certifications</t>
        </is>
      </c>
      <c r="X504" s="29" t="inlineStr">
        <is>
          <t>Core 2 · Future 2 · Functional 3 · Leadership not scored</t>
        </is>
      </c>
      <c r="Y504" s="52" t="n">
        <v>184</v>
      </c>
      <c r="Z504" s="53" t="inlineStr">
        <is>
          <t>IRIS1920</t>
        </is>
      </c>
      <c r="AA504" s="53" t="inlineStr">
        <is>
          <t>Employee</t>
        </is>
      </c>
      <c r="AB504" s="53" t="inlineStr">
        <is>
          <t>Active</t>
        </is>
      </c>
      <c r="AC504" s="53" t="inlineStr">
        <is>
          <t>Pritesh Wani</t>
        </is>
      </c>
      <c r="AD504" s="54" t="n">
        <v>44368</v>
      </c>
      <c r="AE504" s="53" t="inlineStr">
        <is>
          <t>Software Engineer</t>
        </is>
      </c>
      <c r="AF504" s="53" t="inlineStr">
        <is>
          <t>MCA</t>
        </is>
      </c>
      <c r="AG504" s="53" t="inlineStr">
        <is>
          <t>Dhiraj Suryawanshi</t>
        </is>
      </c>
      <c r="AH504" s="53" t="inlineStr">
        <is>
          <t>N-3</t>
        </is>
      </c>
      <c r="AI504" s="53" t="inlineStr">
        <is>
          <t>Individual Contributor</t>
        </is>
      </c>
      <c r="AJ504" s="53" t="inlineStr">
        <is>
          <t>0 years, 0 months, 0 days</t>
        </is>
      </c>
      <c r="AK504" s="53" t="inlineStr">
        <is>
          <t>5 years, 2 months, 4 days</t>
        </is>
      </c>
      <c r="AL504" s="53" t="inlineStr">
        <is>
          <t>Regtech</t>
        </is>
      </c>
      <c r="AM504" s="53" t="inlineStr">
        <is>
          <t>CARBON</t>
        </is>
      </c>
      <c r="AN504" s="53" t="inlineStr">
        <is>
          <t>Technology</t>
        </is>
      </c>
      <c r="AO504" s="53" t="inlineStr">
        <is>
          <t>Development</t>
        </is>
      </c>
      <c r="AP504" s="53" t="inlineStr">
        <is>
          <t>Yes</t>
        </is>
      </c>
      <c r="AQ504" s="53" t="inlineStr">
        <is>
          <t>Product/Project</t>
        </is>
      </c>
      <c r="AR504" s="53" t="inlineStr">
        <is>
          <t>.NET MVC</t>
        </is>
      </c>
      <c r="AS504" s="53" t="inlineStr">
        <is>
          <t>Technical - Developer</t>
        </is>
      </c>
      <c r="AT504" s="53" t="n">
        <v>20</v>
      </c>
      <c r="AU504" s="53" t="inlineStr">
        <is>
          <t>Covered</t>
        </is>
      </c>
      <c r="AV504" s="53" t="inlineStr">
        <is>
          <t>IRIS1920</t>
        </is>
      </c>
      <c r="AW504" s="53" t="inlineStr">
        <is>
          <t>Pritesh Wani</t>
        </is>
      </c>
      <c r="AX504" s="53" t="inlineStr">
        <is>
          <t>Technology</t>
        </is>
      </c>
      <c r="AY504" s="53" t="inlineStr">
        <is>
          <t>Engineering &amp; Development</t>
        </is>
      </c>
      <c r="AZ504" s="53" t="inlineStr">
        <is>
          <t>Full-Stack Engineering</t>
        </is>
      </c>
      <c r="BA504" s="53" t="n"/>
      <c r="BB504" s="53" t="n"/>
      <c r="BC504" s="53" t="inlineStr">
        <is>
          <t>Employee</t>
        </is>
      </c>
      <c r="BD504" s="53" t="inlineStr">
        <is>
          <t>Dhiraj Suryawanshi</t>
        </is>
      </c>
      <c r="BE504" s="53" t="inlineStr">
        <is>
          <t>Dhiraj Suryawanshi</t>
        </is>
      </c>
      <c r="BF504" s="53" t="inlineStr">
        <is>
          <t>No</t>
        </is>
      </c>
      <c r="BG504" s="53" t="inlineStr">
        <is>
          <t>Software Engineer</t>
        </is>
      </c>
      <c r="BH504" s="53" t="inlineStr">
        <is>
          <t>Software Engineer</t>
        </is>
      </c>
      <c r="BI504" s="53" t="inlineStr">
        <is>
          <t>No</t>
        </is>
      </c>
      <c r="BJ504" s="53" t="inlineStr">
        <is>
          <t>—</t>
        </is>
      </c>
      <c r="BK504" s="53" t="inlineStr">
        <is>
          <t>—</t>
        </is>
      </c>
      <c r="BL504" s="53" t="inlineStr">
        <is>
          <t>—</t>
        </is>
      </c>
      <c r="BM504" s="53" t="inlineStr">
        <is>
          <t>Not a manager</t>
        </is>
      </c>
      <c r="BN504" s="53" t="inlineStr">
        <is>
          <t>—</t>
        </is>
      </c>
      <c r="BO504" s="53" t="inlineStr">
        <is>
          <t>—</t>
        </is>
      </c>
      <c r="BP504" s="53" t="inlineStr">
        <is>
          <t>—</t>
        </is>
      </c>
      <c r="BQ504" s="53" t="inlineStr">
        <is>
          <t>Not a manager</t>
        </is>
      </c>
      <c r="BR504" s="53" t="inlineStr">
        <is>
          <t>—</t>
        </is>
      </c>
      <c r="BS504" s="53" t="inlineStr">
        <is>
          <t>L3 – Professional / Associate</t>
        </is>
      </c>
      <c r="BT504" s="53" t="inlineStr">
        <is>
          <t>L3 – Professional / Associate</t>
        </is>
      </c>
      <c r="BU504" s="53" t="inlineStr">
        <is>
          <t>No designation change — current record value carried forward</t>
        </is>
      </c>
      <c r="BV504" s="53"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W504" s="53" t="n"/>
      <c r="BX504" s="53" t="inlineStr">
        <is>
          <t>EU; Europian Union.</t>
        </is>
      </c>
      <c r="BY504" s="53" t="n"/>
      <c r="BZ504" s="53" t="n"/>
      <c r="CA504" s="53" t="n"/>
      <c r="CB504" s="53" t="n"/>
      <c r="CC504" s="53" t="n"/>
      <c r="CD504" s="53" t="n"/>
      <c r="CE504" s="53" t="n"/>
      <c r="CF504" s="53" t="n"/>
      <c r="CG504" s="53" t="n"/>
      <c r="CH504" s="53" t="n"/>
      <c r="CI504" s="53" t="n"/>
      <c r="CJ504" s="53" t="n"/>
      <c r="CK504" s="53" t="n"/>
      <c r="CL504" s="53" t="n"/>
      <c r="CM504" s="53" t="n"/>
      <c r="CN504" s="53" t="n"/>
      <c r="CO504" s="53" t="n"/>
      <c r="CP504" s="53" t="n"/>
      <c r="CQ504" s="53" t="n"/>
      <c r="CR504" s="53" t="n"/>
      <c r="CS504" s="53" t="n"/>
      <c r="CT504" s="53" t="n"/>
      <c r="CU504" s="53" t="n"/>
      <c r="CV504" s="53" t="n"/>
      <c r="CW504" s="53" t="n"/>
      <c r="CX504" s="53" t="n"/>
      <c r="CY504" s="53" t="n"/>
      <c r="CZ504" s="53" t="n"/>
      <c r="DA504" s="53" t="n"/>
      <c r="DB504" s="53" t="n"/>
      <c r="DC504" s="53" t="n"/>
      <c r="DD504" s="53" t="n"/>
      <c r="DE504" s="53" t="n"/>
      <c r="DF504" s="53" t="n"/>
      <c r="DG504" s="53" t="n"/>
      <c r="DH504" s="53" t="n"/>
      <c r="DI504" s="53" t="n"/>
      <c r="DJ504" s="53" t="n"/>
      <c r="DK504" s="53" t="n"/>
      <c r="DL504" s="53" t="n"/>
      <c r="DM504" s="53" t="n"/>
      <c r="DN504" s="53" t="n"/>
      <c r="DO504" s="53" t="n"/>
      <c r="DP504" s="53" t="n"/>
      <c r="DQ504" s="53" t="n"/>
      <c r="DR504" s="53" t="n"/>
      <c r="DS504" s="53" t="n"/>
      <c r="DT504" s="53" t="n"/>
      <c r="DU504" s="53" t="n"/>
      <c r="DV504" s="53" t="n"/>
      <c r="DW504" s="53" t="n"/>
      <c r="DX504" s="53" t="n"/>
      <c r="DY504" s="53" t="n"/>
      <c r="DZ504" s="53" t="n"/>
      <c r="EA504" s="53" t="n"/>
      <c r="EB504" s="53" t="n"/>
      <c r="EC504" s="53" t="n"/>
      <c r="ED504" s="53" t="n"/>
      <c r="EE504" s="53" t="n"/>
      <c r="EF504" s="53" t="n"/>
      <c r="EG504" s="53" t="n"/>
      <c r="EH504" s="53" t="n"/>
      <c r="EI504" s="53" t="n"/>
      <c r="EJ504" s="53" t="n"/>
      <c r="EK504" s="53" t="n"/>
      <c r="EL504" s="53" t="n"/>
      <c r="EM504" s="53" t="n"/>
      <c r="EN504" s="53" t="n"/>
      <c r="EO504" s="53" t="n"/>
      <c r="EP504" s="53" t="n"/>
      <c r="EQ504" s="53" t="n"/>
      <c r="ER504" s="53" t="n"/>
      <c r="ES504" s="53" t="n"/>
      <c r="ET504" s="53" t="n"/>
      <c r="EU504" s="53" t="n"/>
      <c r="EV504" s="53" t="n"/>
      <c r="EW504" s="52" t="n"/>
      <c r="EX504" s="53"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EY504" s="53"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EZ504" s="53"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FA504" s="53"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B504" s="53" t="inlineStr">
        <is>
          <t>• Key challenges: Unclear requirements.
• Support required: Clear requirements that doesn't change on the go, Ai tools using training sessions.</t>
        </is>
      </c>
      <c r="FC504" s="53" t="n"/>
      <c r="FD504" s="53" t="n"/>
      <c r="FE504" s="57"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FF504" s="56" t="n"/>
      <c r="FG504" s="56" t="n"/>
      <c r="FH504" s="56" t="n"/>
      <c r="FI504" s="56" t="n"/>
      <c r="FJ504" s="56" t="inlineStr">
        <is>
          <t>Received · manager annual</t>
        </is>
      </c>
      <c r="FK504" s="56" t="inlineStr">
        <is>
          <t>CARBON Mapping Master</t>
        </is>
      </c>
      <c r="FL504" s="56" t="n">
        <v>20</v>
      </c>
      <c r="FM504" s="56"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FN504" s="56"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FO504" s="56"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FP504" s="56"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Q504" s="56" t="inlineStr">
        <is>
          <t>• Key challenges: Unclear requirements.
• Support required: Clear requirements that doesn't change on the go, Ai tools using training sessions.</t>
        </is>
      </c>
      <c r="FR504" s="56" t="inlineStr">
        <is>
          <t>Complexity: Evidence reads like A3: Complex tasks, automation, optimisation, ad-hoc and live issues handled by few → moved up 0.5
Autonomy: Evidence reads like B1: Plans the team's work and breaks down bigger problems; decides optimisation and R&amp;D → moved up 1
Accountability: Evidence reads like A3: Features and automation that cut effort for internal CEM/OCR document preparation → moved up 0.5
Leadership: Evidence reads like A3: Says he plans work for and guides his team; team size not stated → moved up 1
Business Impact: No survey or manager-mapping signal on criticality: kept at the start point.</t>
        </is>
      </c>
      <c r="FS50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04" s="56" t="inlineStr">
        <is>
          <t>Self-identified: AI / automation · Leadership &amp; people management · Product &amp; tool knowledge · Communication &amp; presentation
For the next role: AI / automation · Leadership &amp; people management · Product &amp; tool knowledge · Communication &amp; presentation</t>
        </is>
      </c>
      <c r="FU504" s="56" t="inlineStr">
        <is>
          <t>Per-person summary · CARBON Mapping Master</t>
        </is>
      </c>
    </row>
    <row r="505" ht="90" customHeight="1">
      <c r="A505" s="51" t="inlineStr">
        <is>
          <t>◂ Back</t>
        </is>
      </c>
      <c r="B505" s="29" t="inlineStr">
        <is>
          <t>Mapped</t>
        </is>
      </c>
      <c r="C505" s="28" t="inlineStr">
        <is>
          <t>CARBON</t>
        </is>
      </c>
      <c r="D505" s="29" t="inlineStr">
        <is>
          <t>IRIS0622</t>
        </is>
      </c>
      <c r="E505" s="29" t="inlineStr">
        <is>
          <t>Prasad Shirke</t>
        </is>
      </c>
      <c r="F505" s="29" t="inlineStr">
        <is>
          <t>Technology</t>
        </is>
      </c>
      <c r="G505" s="29" t="inlineStr">
        <is>
          <t>Senior Business Analyst</t>
        </is>
      </c>
      <c r="H505" s="29" t="inlineStr">
        <is>
          <t>Senior Business Analysis Specialist – POD Lead</t>
        </is>
      </c>
      <c r="I505" s="29" t="inlineStr">
        <is>
          <t>L4 – Senior</t>
        </is>
      </c>
      <c r="J505" s="29" t="inlineStr">
        <is>
          <t>B2</t>
        </is>
      </c>
      <c r="K505" s="29" t="inlineStr">
        <is>
          <t>▲ Up</t>
        </is>
      </c>
      <c r="L505" s="29" t="inlineStr">
        <is>
          <t>Business Analysis</t>
        </is>
      </c>
      <c r="M505" s="29" t="inlineStr">
        <is>
          <t>Business Analysis</t>
        </is>
      </c>
      <c r="N505" s="29" t="inlineStr">
        <is>
          <t>• Confirm the reporting line — Manager</t>
        </is>
      </c>
      <c r="O505" s="29" t="n">
        <v>20</v>
      </c>
      <c r="P505" s="28" t="inlineStr">
        <is>
          <t>P4 / M3</t>
        </is>
      </c>
      <c r="Q505" s="29" t="inlineStr">
        <is>
          <t>Senior / Manager</t>
        </is>
      </c>
      <c r="R505" s="29" t="inlineStr">
        <is>
          <t>4–5</t>
        </is>
      </c>
      <c r="S505" s="29" t="inlineStr">
        <is>
          <t>6–9 yrs</t>
        </is>
      </c>
      <c r="T505" s="29" t="inlineStr">
        <is>
          <t>7–10 · 6–11</t>
        </is>
      </c>
      <c r="U505" s="29" t="inlineStr">
        <is>
          <t>Lead Business Analyst</t>
        </is>
      </c>
      <c r="V505" s="29" t="inlineStr">
        <is>
          <t>Regnology — regulatory reporting: Senior BA · Reg Reporting · Big Four consulting: Manager · IRIS Vs Market Benchmark — IIBA certification pathway: CBAP · Infosys / Accenture: JL5 · L8 Associate Manager</t>
        </is>
      </c>
      <c r="W505" s="29" t="inlineStr">
        <is>
          <t>IIBA BABOK v3; certifications ECBA · entry → CCBA → CBAP · senior</t>
        </is>
      </c>
      <c r="X505" s="29" t="inlineStr">
        <is>
          <t>Core 3 · Future 3 · Functional 4 · Leadership 3</t>
        </is>
      </c>
      <c r="Y505" s="52" t="n">
        <v>83</v>
      </c>
      <c r="Z505" s="53" t="inlineStr">
        <is>
          <t>IRIS0622</t>
        </is>
      </c>
      <c r="AA505" s="53" t="inlineStr">
        <is>
          <t>Employee</t>
        </is>
      </c>
      <c r="AB505" s="53" t="inlineStr">
        <is>
          <t>Active</t>
        </is>
      </c>
      <c r="AC505" s="53" t="inlineStr">
        <is>
          <t>Prasad Shirke</t>
        </is>
      </c>
      <c r="AD505" s="54" t="n">
        <v>40669</v>
      </c>
      <c r="AE505" s="53" t="inlineStr">
        <is>
          <t>Senior Business Analyst</t>
        </is>
      </c>
      <c r="AF505" s="53" t="inlineStr">
        <is>
          <t>B.Com</t>
        </is>
      </c>
      <c r="AG505" s="53" t="inlineStr">
        <is>
          <t>Ashish Singhvi</t>
        </is>
      </c>
      <c r="AH505" s="53" t="inlineStr">
        <is>
          <t>N-2</t>
        </is>
      </c>
      <c r="AI505" s="53" t="inlineStr">
        <is>
          <t>Manager</t>
        </is>
      </c>
      <c r="AJ505" s="53" t="inlineStr">
        <is>
          <t>0 years, 0 months, 0 days</t>
        </is>
      </c>
      <c r="AK505" s="53" t="inlineStr">
        <is>
          <t>15 years, 3 months, 19 days</t>
        </is>
      </c>
      <c r="AL505" s="53" t="inlineStr">
        <is>
          <t>Regtech</t>
        </is>
      </c>
      <c r="AM505" s="53" t="inlineStr">
        <is>
          <t>CARBON</t>
        </is>
      </c>
      <c r="AN505" s="53" t="inlineStr">
        <is>
          <t>Technology</t>
        </is>
      </c>
      <c r="AO505" s="53" t="inlineStr">
        <is>
          <t>Business Analysis</t>
        </is>
      </c>
      <c r="AP505" s="53" t="inlineStr">
        <is>
          <t>No</t>
        </is>
      </c>
      <c r="AQ505" s="53" t="inlineStr">
        <is>
          <t>Product/Project</t>
        </is>
      </c>
      <c r="AR505" s="53" t="inlineStr">
        <is>
          <t>Business Analysis</t>
        </is>
      </c>
      <c r="AS505" s="53" t="inlineStr">
        <is>
          <t>Technical · BA, PM and QA</t>
        </is>
      </c>
      <c r="AT505" s="53" t="n">
        <v>20</v>
      </c>
      <c r="AU505" s="53" t="inlineStr">
        <is>
          <t>Covered</t>
        </is>
      </c>
      <c r="AV505" s="53" t="inlineStr">
        <is>
          <t>IRIS0622</t>
        </is>
      </c>
      <c r="AW505" s="53" t="inlineStr">
        <is>
          <t>Prasad Shirke</t>
        </is>
      </c>
      <c r="AX505" s="53" t="inlineStr">
        <is>
          <t>Technology</t>
        </is>
      </c>
      <c r="AY505" s="53" t="inlineStr">
        <is>
          <t>Business Analysis</t>
        </is>
      </c>
      <c r="AZ505" s="53" t="inlineStr">
        <is>
          <t>Product / Technology Business Analysis</t>
        </is>
      </c>
      <c r="BA505" s="53" t="n"/>
      <c r="BB505" s="53" t="n"/>
      <c r="BC505" s="53" t="inlineStr">
        <is>
          <t>Employee</t>
        </is>
      </c>
      <c r="BD505" s="53" t="inlineStr">
        <is>
          <t>Ashish Singhvi</t>
        </is>
      </c>
      <c r="BE505" s="53" t="inlineStr">
        <is>
          <t>Ashish Singhvi</t>
        </is>
      </c>
      <c r="BF505" s="53" t="inlineStr">
        <is>
          <t>No</t>
        </is>
      </c>
      <c r="BG505" s="53" t="inlineStr">
        <is>
          <t>Senior Business Analyst</t>
        </is>
      </c>
      <c r="BH505" s="53" t="inlineStr">
        <is>
          <t>Senior Business Analyst</t>
        </is>
      </c>
      <c r="BI505" s="53" t="inlineStr">
        <is>
          <t>No</t>
        </is>
      </c>
      <c r="BJ505" s="53" t="n">
        <v>3</v>
      </c>
      <c r="BK505" s="53" t="n">
        <v>3</v>
      </c>
      <c r="BL505" s="53" t="n">
        <v>0</v>
      </c>
      <c r="BM505" s="53" t="inlineStr">
        <is>
          <t>Review</t>
        </is>
      </c>
      <c r="BN505" s="53" t="n">
        <v>3</v>
      </c>
      <c r="BO505" s="53" t="n">
        <v>3</v>
      </c>
      <c r="BP505" s="53" t="n">
        <v>0</v>
      </c>
      <c r="BQ505" s="53" t="inlineStr">
        <is>
          <t>Review</t>
        </is>
      </c>
      <c r="BR505" s="53" t="inlineStr">
        <is>
          <t>No</t>
        </is>
      </c>
      <c r="BS505" s="53" t="inlineStr">
        <is>
          <t>L4 – Senior</t>
        </is>
      </c>
      <c r="BT505" s="53" t="inlineStr">
        <is>
          <t>L4 – Senior</t>
        </is>
      </c>
      <c r="BU505" s="53" t="inlineStr">
        <is>
          <t>No designation change — current record value carried forward</t>
        </is>
      </c>
      <c r="BV505" s="53"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W505" s="53" t="n"/>
      <c r="BX505" s="53" t="inlineStr">
        <is>
          <t>US EU South Africa Brazil</t>
        </is>
      </c>
      <c r="BY505" s="53" t="n"/>
      <c r="BZ505" s="53" t="n"/>
      <c r="CA505" s="53" t="n"/>
      <c r="CB505" s="53" t="n"/>
      <c r="CC505" s="53" t="n"/>
      <c r="CD505" s="53" t="n"/>
      <c r="CE505" s="53" t="n"/>
      <c r="CF505" s="53" t="n"/>
      <c r="CG505" s="53" t="n"/>
      <c r="CH505" s="53" t="n"/>
      <c r="CI505" s="53" t="n"/>
      <c r="CJ505" s="53" t="n"/>
      <c r="CK505" s="53" t="n"/>
      <c r="CL505" s="53" t="n"/>
      <c r="CM505" s="53" t="n"/>
      <c r="CN505" s="53" t="n"/>
      <c r="CO505" s="53" t="n"/>
      <c r="CP505" s="53" t="n"/>
      <c r="CQ505" s="53" t="n"/>
      <c r="CR505" s="53" t="n"/>
      <c r="CS505" s="53" t="n"/>
      <c r="CT505" s="53" t="n"/>
      <c r="CU505" s="53" t="n"/>
      <c r="CV505" s="53" t="n"/>
      <c r="CW505" s="53" t="n"/>
      <c r="CX505" s="53" t="n"/>
      <c r="CY505" s="53" t="n"/>
      <c r="CZ505" s="53" t="n"/>
      <c r="DA505" s="53" t="n"/>
      <c r="DB505" s="53" t="n"/>
      <c r="DC505" s="53" t="n"/>
      <c r="DD505" s="53" t="n"/>
      <c r="DE505" s="53" t="n"/>
      <c r="DF505" s="53" t="n"/>
      <c r="DG505" s="53" t="n"/>
      <c r="DH505" s="53" t="n"/>
      <c r="DI505" s="53" t="n"/>
      <c r="DJ505" s="53" t="n"/>
      <c r="DK505" s="53" t="n"/>
      <c r="DL505" s="53" t="n"/>
      <c r="DM505" s="53" t="n"/>
      <c r="DN505" s="53" t="n"/>
      <c r="DO505" s="53" t="n"/>
      <c r="DP505" s="53" t="n"/>
      <c r="DQ505" s="53" t="n"/>
      <c r="DR505" s="53" t="n"/>
      <c r="DS505" s="53" t="n"/>
      <c r="DT505" s="53" t="n"/>
      <c r="DU505" s="53" t="n"/>
      <c r="DV505" s="53" t="n"/>
      <c r="DW505" s="53" t="n"/>
      <c r="DX505" s="53" t="n"/>
      <c r="DY505" s="53" t="n"/>
      <c r="DZ505" s="53" t="n"/>
      <c r="EA505" s="53" t="n"/>
      <c r="EB505" s="53" t="n"/>
      <c r="EC505" s="53" t="n"/>
      <c r="ED505" s="53" t="n"/>
      <c r="EE505" s="53" t="n"/>
      <c r="EF505" s="53" t="n"/>
      <c r="EG505" s="53" t="n"/>
      <c r="EH505" s="53" t="n"/>
      <c r="EI505" s="53" t="n"/>
      <c r="EJ505" s="53" t="n"/>
      <c r="EK505" s="53" t="n"/>
      <c r="EL505" s="53" t="n"/>
      <c r="EM505" s="53" t="n"/>
      <c r="EN505" s="53" t="n"/>
      <c r="EO505" s="53" t="n"/>
      <c r="EP505" s="53" t="n"/>
      <c r="EQ505" s="53" t="n"/>
      <c r="ER505" s="53" t="n"/>
      <c r="ES505" s="53" t="n"/>
      <c r="ET505" s="53" t="n"/>
      <c r="EU505" s="53" t="n"/>
      <c r="EV505" s="53" t="n"/>
      <c r="EW505" s="52" t="inlineStr">
        <is>
          <t>Needs more time to develop - plus headcount itself is small - Can be developed for project management role.</t>
        </is>
      </c>
      <c r="EX505" s="53" t="inlineStr">
        <is>
          <t>To bridge business needs and product development by turning requirements into valuable, user-focused solutions.; Requirements priorities</t>
        </is>
      </c>
      <c r="EY505" s="53"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EZ505" s="53"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FA505" s="53"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B505" s="53" t="inlineStr">
        <is>
          <t>Changing requirements; I would improve cross team coordination, establish clearer priorities, reduce dependency related delays, and ensure faster stakeholder decisions to support smoother and more predictable delivery.</t>
        </is>
      </c>
      <c r="FC505" s="53" t="n"/>
      <c r="FD505" s="53" t="n"/>
      <c r="FE505" s="57"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FF505" s="56" t="n"/>
      <c r="FG505" s="56" t="n"/>
      <c r="FH505" s="56" t="n"/>
      <c r="FI505" s="56" t="n"/>
      <c r="FJ505" s="56" t="inlineStr">
        <is>
          <t>Received · manager annual</t>
        </is>
      </c>
      <c r="FK505" s="56" t="inlineStr">
        <is>
          <t>CARBON Mapping Master</t>
        </is>
      </c>
      <c r="FL505" s="56" t="n">
        <v>20</v>
      </c>
      <c r="FM505" s="56" t="inlineStr">
        <is>
          <t>To bridge business needs and product development by turning requirements into valuable, user-focused solutions.; Requirements priorities</t>
        </is>
      </c>
      <c r="FN505" s="56"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FO505" s="56"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FP505" s="56"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Q505" s="56" t="inlineStr">
        <is>
          <t>Changing requirements; I would improve cross team coordination, establish clearer priorities, reduce dependency related delays, and ensure faster stakeholder decisions to support smoother and more predictable delivery.</t>
        </is>
      </c>
      <c r="FR505" s="56" t="inlineStr">
        <is>
          <t>Complexity: Evidence reads like A3: Requirements and user stories for XBRL/SEC reporting product; SOC audit and XBRL certification → moved down 0.5
Autonomy: Evidence reads like A3: Decides requirement priorities; nothing else named → moved down 0.5
Accountability: Evidence reads like A3: Requirement and user-story accuracy; SOC audit and XBRL certification for CARBON → moved down 0.5
Leadership: Evidence reads like A3: 3 direct reports; survey describes no people leadership → moved down 0.5
Business Impact: No survey or manager-mapping signal on criticality: kept at the start point.</t>
        </is>
      </c>
      <c r="FS505"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05" s="56" t="inlineStr">
        <is>
          <t>Self-identified: AI / automation · Leadership &amp; people management · Product &amp; tool knowledge · Client, sales &amp; stakeholders · Strategy &amp; business acumen · Broader exposure &amp; ownership
For the next role: AI / automation · Leadership &amp; people management · Product &amp; tool knowledge · Client, sales &amp; stakeholders · Strategy &amp; business acumen · Broader exposure &amp; ownership</t>
        </is>
      </c>
      <c r="FU505" s="56" t="inlineStr">
        <is>
          <t>Per-person summary · CARBON Mapping Master</t>
        </is>
      </c>
    </row>
    <row r="506" ht="90" customHeight="1">
      <c r="A506" s="51" t="inlineStr">
        <is>
          <t>◂ Back</t>
        </is>
      </c>
      <c r="B506" s="29" t="inlineStr">
        <is>
          <t>Mapped</t>
        </is>
      </c>
      <c r="C506" s="28" t="inlineStr">
        <is>
          <t>CARBON</t>
        </is>
      </c>
      <c r="D506" s="29" t="inlineStr">
        <is>
          <t>IRIS0591</t>
        </is>
      </c>
      <c r="E506" s="29" t="inlineStr">
        <is>
          <t>Vinod Katekar</t>
        </is>
      </c>
      <c r="F506" s="29" t="inlineStr">
        <is>
          <t>Quality Assurance</t>
        </is>
      </c>
      <c r="G506" s="29" t="inlineStr">
        <is>
          <t>QA-Lead</t>
        </is>
      </c>
      <c r="H506" s="29" t="inlineStr">
        <is>
          <t>QA Manager</t>
        </is>
      </c>
      <c r="I506" s="29" t="inlineStr">
        <is>
          <t>L5 – Lead · IC</t>
        </is>
      </c>
      <c r="J506" s="29" t="inlineStr">
        <is>
          <t>B2</t>
        </is>
      </c>
      <c r="K506" s="29" t="inlineStr">
        <is>
          <t>▼ Down · protected</t>
        </is>
      </c>
      <c r="L506" s="29" t="inlineStr">
        <is>
          <t>Quality Assurance</t>
        </is>
      </c>
      <c r="M506" s="29" t="inlineStr">
        <is>
          <t>Test Management &amp; QA Leadership</t>
        </is>
      </c>
      <c r="N506" s="29" t="inlineStr">
        <is>
          <t>• Confirm the reporting line — Manager</t>
        </is>
      </c>
      <c r="O506" s="29" t="n">
        <v>20</v>
      </c>
      <c r="P506" s="28" t="inlineStr">
        <is>
          <t>P4 / M3</t>
        </is>
      </c>
      <c r="Q506" s="29" t="inlineStr">
        <is>
          <t>Senior / Manager</t>
        </is>
      </c>
      <c r="R506" s="29" t="inlineStr">
        <is>
          <t>4–5</t>
        </is>
      </c>
      <c r="S506" s="29" t="inlineStr">
        <is>
          <t>6–9 yrs</t>
        </is>
      </c>
      <c r="T506" s="29" t="inlineStr">
        <is>
          <t>7–10 · 6–11</t>
        </is>
      </c>
      <c r="U506" s="29" t="inlineStr">
        <is>
          <t>Manager</t>
        </is>
      </c>
      <c r="V506" s="29" t="inlineStr">
        <is>
          <t>Workiva: Senior SE · Broadridge India: Lead SE · Nasdaq / AxiomSL: Senior SE · IRIS Vs Market Benchmark — ISTQB certification pathway: Advanced · Test Manager / TAE · IRIS Vs Competitor Benchmark — testing managers: QA Manager</t>
        </is>
      </c>
      <c r="W506" s="29" t="inlineStr">
        <is>
          <t>ISTQB Foundation → Advanced → Expert; SFIA testing</t>
        </is>
      </c>
      <c r="X506" s="29" t="inlineStr">
        <is>
          <t>Core 3 · Future 3 · Functional 4 · Leadership 3</t>
        </is>
      </c>
      <c r="Y506" s="52" t="n">
        <v>79</v>
      </c>
      <c r="Z506" s="53" t="inlineStr">
        <is>
          <t>IRIS0591</t>
        </is>
      </c>
      <c r="AA506" s="53" t="inlineStr">
        <is>
          <t>Employee</t>
        </is>
      </c>
      <c r="AB506" s="53" t="inlineStr">
        <is>
          <t>Active</t>
        </is>
      </c>
      <c r="AC506" s="53" t="inlineStr">
        <is>
          <t>Vinod Katekar</t>
        </is>
      </c>
      <c r="AD506" s="54" t="n">
        <v>40644</v>
      </c>
      <c r="AE506" s="53" t="inlineStr">
        <is>
          <t>QA-Lead</t>
        </is>
      </c>
      <c r="AF506" s="53" t="inlineStr">
        <is>
          <t>B.Com</t>
        </is>
      </c>
      <c r="AG506" s="53" t="inlineStr">
        <is>
          <t>Prasad Shirke</t>
        </is>
      </c>
      <c r="AH506" s="53" t="inlineStr">
        <is>
          <t>N-3</t>
        </is>
      </c>
      <c r="AI506" s="53" t="inlineStr">
        <is>
          <t>Manager</t>
        </is>
      </c>
      <c r="AJ506" s="53" t="inlineStr">
        <is>
          <t>0 years, 0 months, 0 days</t>
        </is>
      </c>
      <c r="AK506" s="53" t="inlineStr">
        <is>
          <t>15 years, 4 months, 14 days</t>
        </is>
      </c>
      <c r="AL506" s="53" t="inlineStr">
        <is>
          <t>Regtech</t>
        </is>
      </c>
      <c r="AM506" s="53" t="inlineStr">
        <is>
          <t>CARBON</t>
        </is>
      </c>
      <c r="AN506" s="53" t="inlineStr">
        <is>
          <t>Quality Assurance</t>
        </is>
      </c>
      <c r="AO506" s="53" t="inlineStr">
        <is>
          <t>Quality Assurance</t>
        </is>
      </c>
      <c r="AP506" s="53" t="inlineStr">
        <is>
          <t>No</t>
        </is>
      </c>
      <c r="AQ506" s="53" t="inlineStr">
        <is>
          <t>Product/Project</t>
        </is>
      </c>
      <c r="AR506" s="53" t="inlineStr">
        <is>
          <t>Software Testing</t>
        </is>
      </c>
      <c r="AS506" s="53" t="inlineStr">
        <is>
          <t>Technical · BA, PM and QA</t>
        </is>
      </c>
      <c r="AT506" s="53" t="n">
        <v>20</v>
      </c>
      <c r="AU506" s="53" t="inlineStr">
        <is>
          <t>Covered</t>
        </is>
      </c>
      <c r="AV506" s="53" t="inlineStr">
        <is>
          <t>IRIS0591</t>
        </is>
      </c>
      <c r="AW506" s="53" t="inlineStr">
        <is>
          <t>Vinod Katekar</t>
        </is>
      </c>
      <c r="AX506" s="53" t="inlineStr">
        <is>
          <t>Technology</t>
        </is>
      </c>
      <c r="AY506" s="53" t="inlineStr">
        <is>
          <t>Quality Assurance</t>
        </is>
      </c>
      <c r="AZ506" s="53" t="inlineStr">
        <is>
          <t>Quality Testing</t>
        </is>
      </c>
      <c r="BA506" s="53" t="n"/>
      <c r="BB506" s="53" t="n"/>
      <c r="BC506" s="53" t="inlineStr">
        <is>
          <t>Employee</t>
        </is>
      </c>
      <c r="BD506" s="53" t="inlineStr">
        <is>
          <t>Prasad Shirke</t>
        </is>
      </c>
      <c r="BE506" s="53" t="inlineStr">
        <is>
          <t>Prasad Shirke</t>
        </is>
      </c>
      <c r="BF506" s="53" t="inlineStr">
        <is>
          <t>No</t>
        </is>
      </c>
      <c r="BG506" s="53" t="inlineStr">
        <is>
          <t>QA-Lead</t>
        </is>
      </c>
      <c r="BH506" s="53" t="inlineStr">
        <is>
          <t>QA-Lead</t>
        </is>
      </c>
      <c r="BI506" s="53" t="inlineStr">
        <is>
          <t>No</t>
        </is>
      </c>
      <c r="BJ506" s="53" t="n">
        <v>4</v>
      </c>
      <c r="BK506" s="53" t="n">
        <v>4</v>
      </c>
      <c r="BL506" s="53" t="n">
        <v>0</v>
      </c>
      <c r="BM506" s="53" t="inlineStr">
        <is>
          <t>Review</t>
        </is>
      </c>
      <c r="BN506" s="53" t="n">
        <v>4</v>
      </c>
      <c r="BO506" s="53" t="n">
        <v>4</v>
      </c>
      <c r="BP506" s="53" t="n">
        <v>0</v>
      </c>
      <c r="BQ506" s="53" t="inlineStr">
        <is>
          <t>Review</t>
        </is>
      </c>
      <c r="BR506" s="53" t="inlineStr">
        <is>
          <t>No</t>
        </is>
      </c>
      <c r="BS506" s="53" t="inlineStr">
        <is>
          <t>L5 – Lead · IC</t>
        </is>
      </c>
      <c r="BT506" s="53" t="inlineStr">
        <is>
          <t>L5 – Lead · IC</t>
        </is>
      </c>
      <c r="BU506" s="53" t="inlineStr">
        <is>
          <t>No designation change — current record value carried forward</t>
        </is>
      </c>
      <c r="BV506" s="53"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W506" s="53" t="n"/>
      <c r="BX506" s="53" t="inlineStr">
        <is>
          <t>All available regions.</t>
        </is>
      </c>
      <c r="BY506" s="53" t="n"/>
      <c r="BZ506" s="53" t="n"/>
      <c r="CA506" s="53" t="n"/>
      <c r="CB506" s="53" t="n"/>
      <c r="CC506" s="53" t="n"/>
      <c r="CD506" s="53" t="n"/>
      <c r="CE506" s="53" t="n"/>
      <c r="CF506" s="53" t="n"/>
      <c r="CG506" s="53" t="n"/>
      <c r="CH506" s="53" t="n"/>
      <c r="CI506" s="53" t="n"/>
      <c r="CJ506" s="53" t="n"/>
      <c r="CK506" s="53" t="n"/>
      <c r="CL506" s="53" t="n"/>
      <c r="CM506" s="53" t="n"/>
      <c r="CN506" s="53" t="n"/>
      <c r="CO506" s="53" t="n"/>
      <c r="CP506" s="53" t="n"/>
      <c r="CQ506" s="53" t="n"/>
      <c r="CR506" s="53" t="n"/>
      <c r="CS506" s="53" t="n"/>
      <c r="CT506" s="53" t="n"/>
      <c r="CU506" s="53" t="n"/>
      <c r="CV506" s="53" t="n"/>
      <c r="CW506" s="53" t="n"/>
      <c r="CX506" s="53" t="n"/>
      <c r="CY506" s="53" t="n"/>
      <c r="CZ506" s="53" t="n"/>
      <c r="DA506" s="53" t="n"/>
      <c r="DB506" s="53" t="n"/>
      <c r="DC506" s="53" t="n"/>
      <c r="DD506" s="53" t="n"/>
      <c r="DE506" s="53" t="n"/>
      <c r="DF506" s="53" t="n"/>
      <c r="DG506" s="53" t="n"/>
      <c r="DH506" s="53" t="n"/>
      <c r="DI506" s="53" t="n"/>
      <c r="DJ506" s="53" t="n"/>
      <c r="DK506" s="53" t="n"/>
      <c r="DL506" s="53" t="n"/>
      <c r="DM506" s="53" t="n"/>
      <c r="DN506" s="53" t="n"/>
      <c r="DO506" s="53" t="n"/>
      <c r="DP506" s="53" t="n"/>
      <c r="DQ506" s="53" t="n"/>
      <c r="DR506" s="53" t="n"/>
      <c r="DS506" s="53" t="n"/>
      <c r="DT506" s="53" t="n"/>
      <c r="DU506" s="53" t="n"/>
      <c r="DV506" s="53" t="n"/>
      <c r="DW506" s="53" t="n"/>
      <c r="DX506" s="53" t="n"/>
      <c r="DY506" s="53" t="n"/>
      <c r="DZ506" s="53" t="n"/>
      <c r="EA506" s="53" t="n"/>
      <c r="EB506" s="53" t="n"/>
      <c r="EC506" s="53" t="n"/>
      <c r="ED506" s="53" t="n"/>
      <c r="EE506" s="53" t="n"/>
      <c r="EF506" s="53" t="n"/>
      <c r="EG506" s="53" t="n"/>
      <c r="EH506" s="53" t="n"/>
      <c r="EI506" s="53" t="n"/>
      <c r="EJ506" s="53" t="n"/>
      <c r="EK506" s="53" t="n"/>
      <c r="EL506" s="53" t="n"/>
      <c r="EM506" s="53" t="n"/>
      <c r="EN506" s="53" t="n"/>
      <c r="EO506" s="53" t="n"/>
      <c r="EP506" s="53" t="n"/>
      <c r="EQ506" s="53" t="n"/>
      <c r="ER506" s="53" t="n"/>
      <c r="ES506" s="53" t="n"/>
      <c r="ET506" s="53" t="n"/>
      <c r="EU506" s="53" t="n"/>
      <c r="EV506" s="53" t="n"/>
      <c r="EW506" s="52" t="n"/>
      <c r="EX506" s="53"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EY506" s="53"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EZ506" s="53"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FA506" s="53"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B506" s="53" t="inlineStr">
        <is>
          <t>• Key challenges: Unclear requirements consistently slow the work down.
• Support required: Clearer requirements from the outset.</t>
        </is>
      </c>
      <c r="FC506" s="53" t="n"/>
      <c r="FD506" s="53" t="n"/>
      <c r="FE506" s="57"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FF506" s="56" t="n"/>
      <c r="FG506" s="56" t="n"/>
      <c r="FH506" s="56" t="n"/>
      <c r="FI506" s="56" t="n"/>
      <c r="FJ506" s="56" t="inlineStr">
        <is>
          <t>Received · manager annual</t>
        </is>
      </c>
      <c r="FK506" s="56" t="inlineStr">
        <is>
          <t>CARBON Mapping Master</t>
        </is>
      </c>
      <c r="FL506" s="56" t="n">
        <v>20</v>
      </c>
      <c r="FM506" s="56"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FN506" s="56"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FO506" s="56"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FP506" s="56"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Q506" s="56" t="inlineStr">
        <is>
          <t>• Key challenges: Unclear requirements consistently slow the work down.
• Support required: Clearer requirements from the outset.</t>
        </is>
      </c>
      <c r="FR506" s="56" t="inlineStr">
        <is>
          <t>Complexity: Evidence reads like B1: Plans tests, handles the more complex testing, identifies and communicates release quality risks → matches the start
Autonomy: Evidence reads like B1: Independently sets test priorities and QA actions for the testing team → moved down 0.5
Accountability: Evidence reads like B1: Gives QA sign-off; answers for tested software and visibility of defects and risks → moved down 1
Leadership: Evidence reads like B1: Leads manual testing and coordinates a team of five reports → moved down 1
Business Impact: No survey or manager-mapping signal on criticality: kept at the start point.</t>
        </is>
      </c>
      <c r="FS506"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506" s="56" t="inlineStr">
        <is>
          <t>Self-identified: AI / automation · Testing &amp; quality · Product &amp; tool knowledge · Strategy &amp; business acumen · Broader exposure &amp; ownership
For the next role: AI / automation · Testing &amp; quality · Product &amp; tool knowledge · Strategy &amp; business acumen · Broader exposure &amp; ownership</t>
        </is>
      </c>
      <c r="FU506" s="56" t="inlineStr">
        <is>
          <t>Per-person summary · CARBON Mapping Master</t>
        </is>
      </c>
    </row>
    <row r="507" ht="90" customHeight="1">
      <c r="A507" s="51" t="inlineStr">
        <is>
          <t>◂ Back</t>
        </is>
      </c>
      <c r="B507" s="29" t="inlineStr">
        <is>
          <t>Mapped</t>
        </is>
      </c>
      <c r="C507" s="28" t="inlineStr">
        <is>
          <t>CARBON</t>
        </is>
      </c>
      <c r="D507" s="29" t="inlineStr">
        <is>
          <t>IRIS2374</t>
        </is>
      </c>
      <c r="E507" s="29" t="inlineStr">
        <is>
          <t>Huzefa Petit</t>
        </is>
      </c>
      <c r="F507" s="29" t="inlineStr">
        <is>
          <t>Technology</t>
        </is>
      </c>
      <c r="G507" s="29" t="inlineStr">
        <is>
          <t>Technical Support Lead</t>
        </is>
      </c>
      <c r="H507" s="29" t="inlineStr">
        <is>
          <t>Technical Specialist</t>
        </is>
      </c>
      <c r="I507" s="29" t="inlineStr">
        <is>
          <t>L5 – Lead · IC</t>
        </is>
      </c>
      <c r="J507" s="29" t="inlineStr">
        <is>
          <t>B1</t>
        </is>
      </c>
      <c r="K507" s="29" t="inlineStr">
        <is>
          <t>▼ Down · protected</t>
        </is>
      </c>
      <c r="L507" s="29" t="inlineStr">
        <is>
          <t>Engineering &amp; Development</t>
        </is>
      </c>
      <c r="M507" s="29" t="inlineStr">
        <is>
          <t>Backend Development</t>
        </is>
      </c>
      <c r="N507" s="29" t="inlineStr">
        <is>
          <t>• Confirm the reporting line — Manager</t>
        </is>
      </c>
      <c r="O507" s="29" t="n">
        <v>20</v>
      </c>
      <c r="P507" s="28" t="inlineStr">
        <is>
          <t>P3 / M2</t>
        </is>
      </c>
      <c r="Q507" s="29" t="inlineStr">
        <is>
          <t>Career / · Team Lead</t>
        </is>
      </c>
      <c r="R507" s="29" t="inlineStr">
        <is>
          <t>4 Enable</t>
        </is>
      </c>
      <c r="S507" s="29" t="inlineStr">
        <is>
          <t>4–7 yrs</t>
        </is>
      </c>
      <c r="T507" s="29" t="inlineStr">
        <is>
          <t>5–8 · 4–8</t>
        </is>
      </c>
      <c r="U507" s="29" t="inlineStr">
        <is>
          <t>Senior Software Engineer</t>
        </is>
      </c>
      <c r="V507" s="29" t="inlineStr">
        <is>
          <t>Workiva: SE / Senior SE · Broadridge India: Senior SE · Nasdaq / AxiomSL: Senior SE · Salesforce: MTS · Atlassian: P40 · Freshworks: Senior SE</t>
        </is>
      </c>
      <c r="W507" s="29" t="inlineStr">
        <is>
          <t>SFIA 9 · software development, programming; OWASP secure coding; cloud vendor certifications</t>
        </is>
      </c>
      <c r="X507" s="29" t="inlineStr">
        <is>
          <t>Core 3 · Future 3 · Functional 3 · Leadership 1</t>
        </is>
      </c>
      <c r="Y507" s="52" t="n">
        <v>370</v>
      </c>
      <c r="Z507" s="53" t="inlineStr">
        <is>
          <t>IRIS2374</t>
        </is>
      </c>
      <c r="AA507" s="53" t="inlineStr">
        <is>
          <t>Employee</t>
        </is>
      </c>
      <c r="AB507" s="53" t="inlineStr">
        <is>
          <t>Active</t>
        </is>
      </c>
      <c r="AC507" s="53" t="inlineStr">
        <is>
          <t>Huzefa Petit</t>
        </is>
      </c>
      <c r="AD507" s="54" t="n">
        <v>45789</v>
      </c>
      <c r="AE507" s="53" t="inlineStr">
        <is>
          <t>Technical Support Lead</t>
        </is>
      </c>
      <c r="AF507" s="53" t="inlineStr">
        <is>
          <t>MCA</t>
        </is>
      </c>
      <c r="AG507" s="53" t="inlineStr">
        <is>
          <t>Vinod Katekar</t>
        </is>
      </c>
      <c r="AH507" s="53" t="inlineStr">
        <is>
          <t>N-4</t>
        </is>
      </c>
      <c r="AI507" s="53" t="inlineStr">
        <is>
          <t>Individual Contributor</t>
        </is>
      </c>
      <c r="AJ507" s="53" t="inlineStr">
        <is>
          <t>15 years, 0 months, 0 days</t>
        </is>
      </c>
      <c r="AK507" s="53" t="inlineStr">
        <is>
          <t>1 years, 3 months, 13 days</t>
        </is>
      </c>
      <c r="AL507" s="53" t="inlineStr">
        <is>
          <t>Regtech</t>
        </is>
      </c>
      <c r="AM507" s="53" t="inlineStr">
        <is>
          <t>CARBON</t>
        </is>
      </c>
      <c r="AN507" s="53" t="inlineStr">
        <is>
          <t>Technology</t>
        </is>
      </c>
      <c r="AO507" s="53" t="inlineStr">
        <is>
          <t>Development</t>
        </is>
      </c>
      <c r="AP507" s="53" t="inlineStr">
        <is>
          <t>Yes</t>
        </is>
      </c>
      <c r="AQ507" s="53" t="inlineStr">
        <is>
          <t>Product/Project</t>
        </is>
      </c>
      <c r="AR507" s="53" t="inlineStr">
        <is>
          <t>.NET MVC</t>
        </is>
      </c>
      <c r="AS507" s="53" t="inlineStr">
        <is>
          <t>Technical - Developer</t>
        </is>
      </c>
      <c r="AT507" s="53" t="n">
        <v>20</v>
      </c>
      <c r="AU507" s="53" t="inlineStr">
        <is>
          <t>Covered</t>
        </is>
      </c>
      <c r="AV507" s="53" t="inlineStr">
        <is>
          <t>IRIS2374</t>
        </is>
      </c>
      <c r="AW507" s="53" t="inlineStr">
        <is>
          <t>Huzefa Petit</t>
        </is>
      </c>
      <c r="AX507" s="53" t="inlineStr">
        <is>
          <t>Technology</t>
        </is>
      </c>
      <c r="AY507" s="53" t="inlineStr">
        <is>
          <t>Quality Assurance</t>
        </is>
      </c>
      <c r="AZ507" s="53" t="inlineStr">
        <is>
          <t>QA Automation</t>
        </is>
      </c>
      <c r="BA507" s="53" t="n"/>
      <c r="BB507" s="53" t="n"/>
      <c r="BC507" s="53" t="inlineStr">
        <is>
          <t>Employee</t>
        </is>
      </c>
      <c r="BD507" s="53" t="inlineStr">
        <is>
          <t>Ashish Singhvi</t>
        </is>
      </c>
      <c r="BE507" s="53" t="inlineStr">
        <is>
          <t>Ashish Singhvi</t>
        </is>
      </c>
      <c r="BF507" s="53" t="inlineStr">
        <is>
          <t>No</t>
        </is>
      </c>
      <c r="BG507" s="53" t="inlineStr">
        <is>
          <t>Technical Support Lead</t>
        </is>
      </c>
      <c r="BH507" s="53" t="inlineStr">
        <is>
          <t>Technical Support Lead - Test Automation Lead</t>
        </is>
      </c>
      <c r="BI507" s="53" t="inlineStr">
        <is>
          <t>Check</t>
        </is>
      </c>
      <c r="BJ507" s="53" t="n">
        <v>2</v>
      </c>
      <c r="BK507" s="53" t="n">
        <v>2</v>
      </c>
      <c r="BL507" s="53" t="n">
        <v>0</v>
      </c>
      <c r="BM507" s="53" t="inlineStr">
        <is>
          <t>Consolidate / flatten</t>
        </is>
      </c>
      <c r="BN507" s="53" t="n">
        <v>2</v>
      </c>
      <c r="BO507" s="53" t="n">
        <v>2</v>
      </c>
      <c r="BP507" s="53" t="n">
        <v>0</v>
      </c>
      <c r="BQ507" s="53" t="inlineStr">
        <is>
          <t>Consolidate / flatten</t>
        </is>
      </c>
      <c r="BR507" s="53" t="inlineStr">
        <is>
          <t>No</t>
        </is>
      </c>
      <c r="BS507" s="53" t="inlineStr">
        <is>
          <t>L5 – Lead · IC</t>
        </is>
      </c>
      <c r="BT507" s="53" t="inlineStr">
        <is>
          <t>L5 – Lead · IC</t>
        </is>
      </c>
      <c r="BU507" s="53" t="inlineStr">
        <is>
          <t>No designation change — current record value carried forward</t>
        </is>
      </c>
      <c r="BV507" s="53"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W507" s="53" t="n"/>
      <c r="BX507" s="53" t="inlineStr">
        <is>
          <t>Internal; All.</t>
        </is>
      </c>
      <c r="BY507" s="53" t="n"/>
      <c r="BZ507" s="53" t="n"/>
      <c r="CA507" s="53" t="n"/>
      <c r="CB507" s="53" t="n"/>
      <c r="CC507" s="53" t="n"/>
      <c r="CD507" s="53" t="n"/>
      <c r="CE507" s="53" t="n"/>
      <c r="CF507" s="53" t="n"/>
      <c r="CG507" s="53" t="n"/>
      <c r="CH507" s="53" t="n"/>
      <c r="CI507" s="53" t="n"/>
      <c r="CJ507" s="53" t="n"/>
      <c r="CK507" s="53" t="n"/>
      <c r="CL507" s="53" t="n"/>
      <c r="CM507" s="53" t="n"/>
      <c r="CN507" s="53" t="n"/>
      <c r="CO507" s="53" t="n"/>
      <c r="CP507" s="53" t="n"/>
      <c r="CQ507" s="53" t="n"/>
      <c r="CR507" s="53" t="n"/>
      <c r="CS507" s="53" t="n"/>
      <c r="CT507" s="53" t="n"/>
      <c r="CU507" s="53" t="n"/>
      <c r="CV507" s="53" t="n"/>
      <c r="CW507" s="53" t="n"/>
      <c r="CX507" s="53" t="n"/>
      <c r="CY507" s="53" t="n"/>
      <c r="CZ507" s="53" t="n"/>
      <c r="DA507" s="53" t="n"/>
      <c r="DB507" s="53" t="n"/>
      <c r="DC507" s="53" t="n"/>
      <c r="DD507" s="53" t="n"/>
      <c r="DE507" s="53" t="n"/>
      <c r="DF507" s="53" t="n"/>
      <c r="DG507" s="53" t="n"/>
      <c r="DH507" s="53" t="n"/>
      <c r="DI507" s="53" t="n"/>
      <c r="DJ507" s="53" t="n"/>
      <c r="DK507" s="53" t="n"/>
      <c r="DL507" s="53" t="n"/>
      <c r="DM507" s="53" t="n"/>
      <c r="DN507" s="53" t="n"/>
      <c r="DO507" s="53" t="n"/>
      <c r="DP507" s="53" t="n"/>
      <c r="DQ507" s="53" t="n"/>
      <c r="DR507" s="53" t="n"/>
      <c r="DS507" s="53" t="n"/>
      <c r="DT507" s="53" t="n"/>
      <c r="DU507" s="53" t="n"/>
      <c r="DV507" s="53" t="n"/>
      <c r="DW507" s="53" t="n"/>
      <c r="DX507" s="53" t="n"/>
      <c r="DY507" s="53" t="n"/>
      <c r="DZ507" s="53" t="n"/>
      <c r="EA507" s="53" t="n"/>
      <c r="EB507" s="53" t="n"/>
      <c r="EC507" s="53" t="n"/>
      <c r="ED507" s="53" t="n"/>
      <c r="EE507" s="53" t="n"/>
      <c r="EF507" s="53" t="n"/>
      <c r="EG507" s="53" t="n"/>
      <c r="EH507" s="53" t="n"/>
      <c r="EI507" s="53" t="n"/>
      <c r="EJ507" s="53" t="n"/>
      <c r="EK507" s="53" t="n"/>
      <c r="EL507" s="53" t="n"/>
      <c r="EM507" s="53" t="n"/>
      <c r="EN507" s="53" t="n"/>
      <c r="EO507" s="53" t="n"/>
      <c r="EP507" s="53" t="n"/>
      <c r="EQ507" s="53" t="n"/>
      <c r="ER507" s="53" t="n"/>
      <c r="ES507" s="53" t="n"/>
      <c r="ET507" s="53" t="n"/>
      <c r="EU507" s="53" t="n"/>
      <c r="EV507" s="53" t="n"/>
      <c r="EW507" s="52" t="n"/>
      <c r="EX507" s="53"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EY507" s="53"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EZ507" s="53"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FA507" s="53"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B507" s="53" t="inlineStr">
        <is>
          <t>• Key challenges: Learning new skills; More dependency on AI; Bug fixing.
• Support required: More work flexibility; IT team support; Clear requirements; Team building exercises to be implemented; Long team meetings.</t>
        </is>
      </c>
      <c r="FC507" s="53" t="n"/>
      <c r="FD507" s="53" t="n"/>
      <c r="FE507" s="57"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FF507" s="56" t="n"/>
      <c r="FG507" s="56" t="n"/>
      <c r="FH507" s="56" t="n"/>
      <c r="FI507" s="56" t="n"/>
      <c r="FJ507" s="56" t="inlineStr">
        <is>
          <t>Received · manager annual</t>
        </is>
      </c>
      <c r="FK507" s="56" t="inlineStr">
        <is>
          <t>CARBON Mapping Master</t>
        </is>
      </c>
      <c r="FL507" s="56" t="n">
        <v>20</v>
      </c>
      <c r="FM507" s="56"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FN507" s="56"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FO507" s="56"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FP507" s="56"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Q507" s="56" t="inlineStr">
        <is>
          <t>• Key challenges: Learning new skills; More dependency on AI; Bug fixing.
• Support required: More work flexibility; IT team support; Clear requirements; Team building exercises to be implemented; Long team meetings.</t>
        </is>
      </c>
      <c r="FR507" s="56" t="inlineStr">
        <is>
          <t>Complexity: Evidence reads like A3: Builds web UI automation, API and performance tests with JMeter and Postman → moved down 0.5
Autonomy: Evidence reads like A2: Chooses best approach and tools for own current testing work → moved down 0.5
Accountability: Evidence reads like A2: Accountable for own automation and API testing output → moved down 0.5
Leadership: Evidence reads like A3: Says leads support team and guides peers; all concrete work is own testing; 0 reports → matches the start
Business Impact: No survey or manager-mapping signal on criticality: kept at the start point.</t>
        </is>
      </c>
      <c r="FS507"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07" s="56" t="inlineStr">
        <is>
          <t>Self-identified: AI / automation
For the next role: AI / automation</t>
        </is>
      </c>
      <c r="FU507" s="56" t="inlineStr">
        <is>
          <t>Per-person summary · CARBON Mapping Master</t>
        </is>
      </c>
    </row>
    <row r="508" ht="90" customHeight="1">
      <c r="A508" s="51" t="inlineStr">
        <is>
          <t>◂ Back</t>
        </is>
      </c>
      <c r="B508" s="29" t="inlineStr">
        <is>
          <t>Mapped</t>
        </is>
      </c>
      <c r="C508" s="28" t="inlineStr">
        <is>
          <t>CARBON</t>
        </is>
      </c>
      <c r="D508" s="29" t="inlineStr">
        <is>
          <t>IRIS1672</t>
        </is>
      </c>
      <c r="E508" s="29" t="inlineStr">
        <is>
          <t>Brehmjit Gopalkrishnan</t>
        </is>
      </c>
      <c r="F508" s="29" t="inlineStr">
        <is>
          <t>Quality Assurance</t>
        </is>
      </c>
      <c r="G508" s="29" t="inlineStr">
        <is>
          <t>Client Solutions Executive</t>
        </is>
      </c>
      <c r="H508" s="29" t="inlineStr">
        <is>
          <t>Senior QA Engineer</t>
        </is>
      </c>
      <c r="I508" s="29" t="inlineStr">
        <is>
          <t>L3 – Professional / Associate</t>
        </is>
      </c>
      <c r="J508" s="29" t="inlineStr">
        <is>
          <t>A3</t>
        </is>
      </c>
      <c r="K508" s="29" t="inlineStr">
        <is>
          <t>▲ Up</t>
        </is>
      </c>
      <c r="L508" s="29" t="inlineStr">
        <is>
          <t>Quality Assurance</t>
        </is>
      </c>
      <c r="M508" s="29" t="inlineStr">
        <is>
          <t>Functional &amp; Domain Testing</t>
        </is>
      </c>
      <c r="N508" s="29" t="n"/>
      <c r="O508" s="29" t="n">
        <v>20</v>
      </c>
      <c r="P508" s="28" t="inlineStr">
        <is>
          <t>P2</t>
        </is>
      </c>
      <c r="Q508" s="29" t="inlineStr">
        <is>
          <t>Developing</t>
        </is>
      </c>
      <c r="R508" s="29" t="inlineStr">
        <is>
          <t>3 Apply</t>
        </is>
      </c>
      <c r="S508" s="29" t="inlineStr">
        <is>
          <t>2–4 yrs</t>
        </is>
      </c>
      <c r="T508" s="29" t="inlineStr">
        <is>
          <t>3–5 · 2–5</t>
        </is>
      </c>
      <c r="U508" s="29" t="inlineStr">
        <is>
          <t>QA Engineer</t>
        </is>
      </c>
      <c r="V508" s="29" t="inlineStr">
        <is>
          <t>Workiva: SE · Broadridge India: SE · Nasdaq / AxiomSL: SE · IRIS Vs Market Benchmark — ISTQB certification pathway: Foundation</t>
        </is>
      </c>
      <c r="W508" s="29" t="inlineStr">
        <is>
          <t>ISTQB Foundation → Advanced → Expert; SFIA testing</t>
        </is>
      </c>
      <c r="X508" s="29" t="inlineStr">
        <is>
          <t>Core 2 · Future 2 · Functional 3 · Leadership not scored</t>
        </is>
      </c>
      <c r="Y508" s="52" t="n">
        <v>139</v>
      </c>
      <c r="Z508" s="53" t="inlineStr">
        <is>
          <t>IRIS1672</t>
        </is>
      </c>
      <c r="AA508" s="53" t="inlineStr">
        <is>
          <t>Employee</t>
        </is>
      </c>
      <c r="AB508" s="53" t="inlineStr">
        <is>
          <t>Active</t>
        </is>
      </c>
      <c r="AC508" s="53" t="inlineStr">
        <is>
          <t>Brehmjit Gopalkrishnan</t>
        </is>
      </c>
      <c r="AD508" s="54" t="n">
        <v>43020</v>
      </c>
      <c r="AE508" s="53" t="inlineStr">
        <is>
          <t>Client Solutions Executive</t>
        </is>
      </c>
      <c r="AF508" s="53" t="inlineStr">
        <is>
          <t>B.Com</t>
        </is>
      </c>
      <c r="AG508" s="53" t="inlineStr">
        <is>
          <t>Vinod Katekar</t>
        </is>
      </c>
      <c r="AH508" s="53" t="inlineStr">
        <is>
          <t>N-4</t>
        </is>
      </c>
      <c r="AI508" s="53" t="inlineStr">
        <is>
          <t>Individual Contributor</t>
        </is>
      </c>
      <c r="AJ508" s="53" t="inlineStr">
        <is>
          <t>8 years, 0 months, 0 days</t>
        </is>
      </c>
      <c r="AK508" s="53" t="inlineStr">
        <is>
          <t>8 years, 10 months, 13 days</t>
        </is>
      </c>
      <c r="AL508" s="53" t="inlineStr">
        <is>
          <t>Regtech</t>
        </is>
      </c>
      <c r="AM508" s="53" t="inlineStr">
        <is>
          <t>CARBON</t>
        </is>
      </c>
      <c r="AN508" s="53" t="inlineStr">
        <is>
          <t>Quality Assurance</t>
        </is>
      </c>
      <c r="AO508" s="53" t="inlineStr">
        <is>
          <t>Quality Assurance</t>
        </is>
      </c>
      <c r="AP508" s="53" t="inlineStr">
        <is>
          <t>No</t>
        </is>
      </c>
      <c r="AQ508" s="53" t="inlineStr">
        <is>
          <t>Product/Project</t>
        </is>
      </c>
      <c r="AR508" s="53" t="inlineStr">
        <is>
          <t>Software Testing</t>
        </is>
      </c>
      <c r="AS508" s="53" t="inlineStr">
        <is>
          <t>Technical · BA, PM and QA</t>
        </is>
      </c>
      <c r="AT508" s="53" t="n">
        <v>20</v>
      </c>
      <c r="AU508" s="53" t="inlineStr">
        <is>
          <t>Covered</t>
        </is>
      </c>
      <c r="AV508" s="53" t="inlineStr">
        <is>
          <t>IRIS1672</t>
        </is>
      </c>
      <c r="AW508" s="53" t="inlineStr">
        <is>
          <t>Brehmjit Gopalkrishnan</t>
        </is>
      </c>
      <c r="AX508" s="53" t="inlineStr">
        <is>
          <t>Technology</t>
        </is>
      </c>
      <c r="AY508" s="53" t="inlineStr">
        <is>
          <t>Quality Assurance</t>
        </is>
      </c>
      <c r="AZ508" s="53" t="inlineStr">
        <is>
          <t>Quality Testing</t>
        </is>
      </c>
      <c r="BA508" s="53" t="n"/>
      <c r="BB508" s="53" t="n"/>
      <c r="BC508" s="53" t="inlineStr">
        <is>
          <t>Employee</t>
        </is>
      </c>
      <c r="BD508" s="53" t="inlineStr">
        <is>
          <t>Vinod Katekar</t>
        </is>
      </c>
      <c r="BE508" s="53" t="inlineStr">
        <is>
          <t>Vinod Katekar</t>
        </is>
      </c>
      <c r="BF508" s="53" t="inlineStr">
        <is>
          <t>No</t>
        </is>
      </c>
      <c r="BG508" s="53" t="inlineStr">
        <is>
          <t>Client Solutions Executive</t>
        </is>
      </c>
      <c r="BH508" s="53" t="inlineStr">
        <is>
          <t>QA Tester</t>
        </is>
      </c>
      <c r="BI508" s="53" t="inlineStr">
        <is>
          <t>No</t>
        </is>
      </c>
      <c r="BJ508" s="53" t="inlineStr">
        <is>
          <t>—</t>
        </is>
      </c>
      <c r="BK508" s="53" t="inlineStr">
        <is>
          <t>—</t>
        </is>
      </c>
      <c r="BL508" s="53" t="inlineStr">
        <is>
          <t>—</t>
        </is>
      </c>
      <c r="BM508" s="53" t="inlineStr">
        <is>
          <t>Not a manager</t>
        </is>
      </c>
      <c r="BN508" s="53" t="inlineStr">
        <is>
          <t>—</t>
        </is>
      </c>
      <c r="BO508" s="53" t="inlineStr">
        <is>
          <t>—</t>
        </is>
      </c>
      <c r="BP508" s="53" t="inlineStr">
        <is>
          <t>—</t>
        </is>
      </c>
      <c r="BQ508" s="53" t="inlineStr">
        <is>
          <t>Not a manager</t>
        </is>
      </c>
      <c r="BR508" s="53" t="inlineStr">
        <is>
          <t>—</t>
        </is>
      </c>
      <c r="BS508" s="53" t="inlineStr">
        <is>
          <t>L3 – Professional / Associate</t>
        </is>
      </c>
      <c r="BT508" s="53" t="inlineStr">
        <is>
          <t>L3 – Professional / Associate</t>
        </is>
      </c>
      <c r="BU508" s="53" t="inlineStr">
        <is>
          <t>No designation change — current record value carried forward</t>
        </is>
      </c>
      <c r="BV508" s="53"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W508" s="53" t="n"/>
      <c r="BX508" s="53" t="inlineStr">
        <is>
          <t>All regions.</t>
        </is>
      </c>
      <c r="BY508" s="53" t="n"/>
      <c r="BZ508" s="53" t="n"/>
      <c r="CA508" s="53" t="n"/>
      <c r="CB508" s="53" t="n"/>
      <c r="CC508" s="53" t="n"/>
      <c r="CD508" s="53" t="n"/>
      <c r="CE508" s="53" t="n"/>
      <c r="CF508" s="53" t="n"/>
      <c r="CG508" s="53" t="n"/>
      <c r="CH508" s="53" t="n"/>
      <c r="CI508" s="53" t="n"/>
      <c r="CJ508" s="53" t="n"/>
      <c r="CK508" s="53" t="n"/>
      <c r="CL508" s="53" t="n"/>
      <c r="CM508" s="53" t="n"/>
      <c r="CN508" s="53" t="n"/>
      <c r="CO508" s="53" t="n"/>
      <c r="CP508" s="53" t="n"/>
      <c r="CQ508" s="53" t="n"/>
      <c r="CR508" s="53" t="n"/>
      <c r="CS508" s="53" t="n"/>
      <c r="CT508" s="53" t="n"/>
      <c r="CU508" s="53" t="n"/>
      <c r="CV508" s="53" t="n"/>
      <c r="CW508" s="53" t="n"/>
      <c r="CX508" s="53" t="n"/>
      <c r="CY508" s="53" t="n"/>
      <c r="CZ508" s="53" t="n"/>
      <c r="DA508" s="53" t="n"/>
      <c r="DB508" s="53" t="n"/>
      <c r="DC508" s="53" t="n"/>
      <c r="DD508" s="53" t="n"/>
      <c r="DE508" s="53" t="n"/>
      <c r="DF508" s="53" t="n"/>
      <c r="DG508" s="53" t="n"/>
      <c r="DH508" s="53" t="n"/>
      <c r="DI508" s="53" t="n"/>
      <c r="DJ508" s="53" t="n"/>
      <c r="DK508" s="53" t="n"/>
      <c r="DL508" s="53" t="n"/>
      <c r="DM508" s="53" t="n"/>
      <c r="DN508" s="53" t="n"/>
      <c r="DO508" s="53" t="n"/>
      <c r="DP508" s="53" t="n"/>
      <c r="DQ508" s="53" t="n"/>
      <c r="DR508" s="53" t="n"/>
      <c r="DS508" s="53" t="n"/>
      <c r="DT508" s="53" t="n"/>
      <c r="DU508" s="53" t="n"/>
      <c r="DV508" s="53" t="n"/>
      <c r="DW508" s="53" t="n"/>
      <c r="DX508" s="53" t="n"/>
      <c r="DY508" s="53" t="n"/>
      <c r="DZ508" s="53" t="n"/>
      <c r="EA508" s="53" t="n"/>
      <c r="EB508" s="53" t="n"/>
      <c r="EC508" s="53" t="n"/>
      <c r="ED508" s="53" t="n"/>
      <c r="EE508" s="53" t="n"/>
      <c r="EF508" s="53" t="n"/>
      <c r="EG508" s="53" t="n"/>
      <c r="EH508" s="53" t="n"/>
      <c r="EI508" s="53" t="n"/>
      <c r="EJ508" s="53" t="n"/>
      <c r="EK508" s="53" t="n"/>
      <c r="EL508" s="53" t="n"/>
      <c r="EM508" s="53" t="n"/>
      <c r="EN508" s="53" t="n"/>
      <c r="EO508" s="53" t="n"/>
      <c r="EP508" s="53" t="n"/>
      <c r="EQ508" s="53" t="n"/>
      <c r="ER508" s="53" t="n"/>
      <c r="ES508" s="53" t="n"/>
      <c r="ET508" s="53" t="n"/>
      <c r="EU508" s="53" t="n"/>
      <c r="EV508" s="53" t="n"/>
      <c r="EW508" s="52" t="n"/>
      <c r="EX508" s="53"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EY508" s="53"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EZ508" s="53"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FA508" s="53"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B508" s="53"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C508" s="53" t="n"/>
      <c r="FD508" s="53" t="n"/>
      <c r="FE508" s="57"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FF508" s="56" t="n"/>
      <c r="FG508" s="56" t="n"/>
      <c r="FH508" s="56" t="n"/>
      <c r="FI508" s="56" t="n"/>
      <c r="FJ508" s="56" t="inlineStr">
        <is>
          <t>Received · manager annual</t>
        </is>
      </c>
      <c r="FK508" s="56" t="inlineStr">
        <is>
          <t>CARBON Mapping Master</t>
        </is>
      </c>
      <c r="FL508" s="56" t="n">
        <v>20</v>
      </c>
      <c r="FM508" s="56"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FN508" s="56"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FO508" s="56"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FP508" s="56"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Q508" s="56"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R508" s="56" t="inlineStr">
        <is>
          <t>Complexity: Evidence reads like A2: Test case execution, regression testing and defect logging across different regulators' requirements → matches the start
Autonomy: Evidence reads like A2: Decides testing scenarios and bug logging → matches the start
Accountability: Evidence reads like A3: own survey / KRA answers · summarised by the rater; not quoted → moved up 0.5
Leadership: Evidence reads like A1: Sprint team alignment only; no guidance of others described → matches the start
Business Impact: No survey or manager-mapping signal on criticality: kept at the start point.</t>
        </is>
      </c>
      <c r="FS50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08" s="56" t="inlineStr">
        <is>
          <t>Self-identified: AI / automation · Testing &amp; quality · Product &amp; tool knowledge · Broader exposure &amp; ownership
For the next role: AI / automation · Testing &amp; quality · Product &amp; tool knowledge · Broader exposure &amp; ownership</t>
        </is>
      </c>
      <c r="FU508" s="56" t="inlineStr">
        <is>
          <t>Per-person summary · CARBON Mapping Master</t>
        </is>
      </c>
    </row>
    <row r="509" ht="90" customHeight="1">
      <c r="A509" s="51" t="inlineStr">
        <is>
          <t>◂ Back</t>
        </is>
      </c>
      <c r="B509" s="29" t="inlineStr">
        <is>
          <t>Mapped</t>
        </is>
      </c>
      <c r="C509" s="28" t="inlineStr">
        <is>
          <t>CARBON</t>
        </is>
      </c>
      <c r="D509" s="29" t="inlineStr">
        <is>
          <t>IRIS0625</t>
        </is>
      </c>
      <c r="E509" s="29" t="inlineStr">
        <is>
          <t>Pooja Gawas</t>
        </is>
      </c>
      <c r="F509" s="29" t="inlineStr">
        <is>
          <t>Quality Assurance</t>
        </is>
      </c>
      <c r="G509" s="29" t="inlineStr">
        <is>
          <t>QA Engineer</t>
        </is>
      </c>
      <c r="H509" s="29" t="inlineStr">
        <is>
          <t>Senior QA Engineer</t>
        </is>
      </c>
      <c r="I509" s="29" t="inlineStr">
        <is>
          <t>L3 – Professional / Associate</t>
        </is>
      </c>
      <c r="J509" s="29" t="inlineStr">
        <is>
          <t>A3</t>
        </is>
      </c>
      <c r="K509" s="29" t="inlineStr">
        <is>
          <t>▲ Up</t>
        </is>
      </c>
      <c r="L509" s="29" t="inlineStr">
        <is>
          <t>Quality Assurance</t>
        </is>
      </c>
      <c r="M509" s="29" t="inlineStr">
        <is>
          <t>Functional &amp; Domain Testing</t>
        </is>
      </c>
      <c r="N509" s="29" t="inlineStr">
        <is>
          <t>• Confirm the reporting line — Manager</t>
        </is>
      </c>
      <c r="O509" s="29" t="n">
        <v>20</v>
      </c>
      <c r="P509" s="28" t="inlineStr">
        <is>
          <t>P2</t>
        </is>
      </c>
      <c r="Q509" s="29" t="inlineStr">
        <is>
          <t>Developing</t>
        </is>
      </c>
      <c r="R509" s="29" t="inlineStr">
        <is>
          <t>3 Apply</t>
        </is>
      </c>
      <c r="S509" s="29" t="inlineStr">
        <is>
          <t>2–4 yrs</t>
        </is>
      </c>
      <c r="T509" s="29" t="inlineStr">
        <is>
          <t>3–5 · 2–5</t>
        </is>
      </c>
      <c r="U509" s="29" t="inlineStr">
        <is>
          <t>QA Engineer</t>
        </is>
      </c>
      <c r="V509" s="29" t="inlineStr">
        <is>
          <t>Workiva: SE · Broadridge India: SE · Nasdaq / AxiomSL: SE · IRIS Vs Market Benchmark — ISTQB certification pathway: Foundation</t>
        </is>
      </c>
      <c r="W509" s="29" t="inlineStr">
        <is>
          <t>ISTQB Foundation → Advanced → Expert; SFIA testing</t>
        </is>
      </c>
      <c r="X509" s="29" t="inlineStr">
        <is>
          <t>Core 2 · Future 2 · Functional 3 · Leadership not scored</t>
        </is>
      </c>
      <c r="Y509" s="52" t="n">
        <v>84</v>
      </c>
      <c r="Z509" s="53" t="inlineStr">
        <is>
          <t>IRIS0625</t>
        </is>
      </c>
      <c r="AA509" s="53" t="inlineStr">
        <is>
          <t>Employee</t>
        </is>
      </c>
      <c r="AB509" s="53" t="inlineStr">
        <is>
          <t>Active</t>
        </is>
      </c>
      <c r="AC509" s="53" t="inlineStr">
        <is>
          <t>Pooja Gawas</t>
        </is>
      </c>
      <c r="AD509" s="54" t="n">
        <v>40669</v>
      </c>
      <c r="AE509" s="53" t="inlineStr">
        <is>
          <t>QA Engineer</t>
        </is>
      </c>
      <c r="AF509" s="53" t="inlineStr">
        <is>
          <t>B.Com</t>
        </is>
      </c>
      <c r="AG509" s="53" t="inlineStr">
        <is>
          <t>Vinod Katekar</t>
        </is>
      </c>
      <c r="AH509" s="53" t="inlineStr">
        <is>
          <t>N-4</t>
        </is>
      </c>
      <c r="AI509" s="53" t="inlineStr">
        <is>
          <t>Manager</t>
        </is>
      </c>
      <c r="AJ509" s="53" t="inlineStr">
        <is>
          <t>0 years, 0 months, 0 days</t>
        </is>
      </c>
      <c r="AK509" s="53" t="inlineStr">
        <is>
          <t>15 years, 3 months, 19 days</t>
        </is>
      </c>
      <c r="AL509" s="53" t="inlineStr">
        <is>
          <t>Regtech</t>
        </is>
      </c>
      <c r="AM509" s="53" t="inlineStr">
        <is>
          <t>CARBON</t>
        </is>
      </c>
      <c r="AN509" s="53" t="inlineStr">
        <is>
          <t>Quality Assurance</t>
        </is>
      </c>
      <c r="AO509" s="53" t="inlineStr">
        <is>
          <t>Quality Assurance</t>
        </is>
      </c>
      <c r="AP509" s="53" t="inlineStr">
        <is>
          <t>No</t>
        </is>
      </c>
      <c r="AQ509" s="53" t="inlineStr">
        <is>
          <t>Product/Project</t>
        </is>
      </c>
      <c r="AR509" s="53" t="inlineStr">
        <is>
          <t>Software Testing</t>
        </is>
      </c>
      <c r="AS509" s="53" t="inlineStr">
        <is>
          <t>Technical · BA, PM and QA</t>
        </is>
      </c>
      <c r="AT509" s="53" t="n">
        <v>20</v>
      </c>
      <c r="AU509" s="53" t="inlineStr">
        <is>
          <t>Covered</t>
        </is>
      </c>
      <c r="AV509" s="53" t="inlineStr">
        <is>
          <t>IRIS0625</t>
        </is>
      </c>
      <c r="AW509" s="53" t="inlineStr">
        <is>
          <t>Pooja Gawas</t>
        </is>
      </c>
      <c r="AX509" s="53" t="inlineStr">
        <is>
          <t>Technology</t>
        </is>
      </c>
      <c r="AY509" s="53" t="inlineStr">
        <is>
          <t>Quality Assurance</t>
        </is>
      </c>
      <c r="AZ509" s="53" t="inlineStr">
        <is>
          <t>Quality Testing</t>
        </is>
      </c>
      <c r="BA509" s="53" t="n"/>
      <c r="BB509" s="53" t="n"/>
      <c r="BC509" s="53" t="inlineStr">
        <is>
          <t>Employee</t>
        </is>
      </c>
      <c r="BD509" s="53" t="inlineStr">
        <is>
          <t>Vinod Katekar</t>
        </is>
      </c>
      <c r="BE509" s="53" t="inlineStr">
        <is>
          <t>Vinod Katekar</t>
        </is>
      </c>
      <c r="BF509" s="53" t="inlineStr">
        <is>
          <t>No</t>
        </is>
      </c>
      <c r="BG509" s="53" t="inlineStr">
        <is>
          <t>QA Engineer</t>
        </is>
      </c>
      <c r="BH509" s="53" t="inlineStr">
        <is>
          <t>QA Tester</t>
        </is>
      </c>
      <c r="BI509" s="53" t="inlineStr">
        <is>
          <t>No</t>
        </is>
      </c>
      <c r="BJ509" s="53" t="n">
        <v>1</v>
      </c>
      <c r="BK509" s="53" t="n">
        <v>1</v>
      </c>
      <c r="BL509" s="53" t="n">
        <v>0</v>
      </c>
      <c r="BM509" s="53" t="inlineStr">
        <is>
          <t>Consolidate / flatten</t>
        </is>
      </c>
      <c r="BN509" s="53" t="n">
        <v>1</v>
      </c>
      <c r="BO509" s="53" t="n">
        <v>1</v>
      </c>
      <c r="BP509" s="53" t="n">
        <v>0</v>
      </c>
      <c r="BQ509" s="53" t="inlineStr">
        <is>
          <t>Consolidate / flatten</t>
        </is>
      </c>
      <c r="BR509" s="53" t="inlineStr">
        <is>
          <t>No</t>
        </is>
      </c>
      <c r="BS509" s="53" t="inlineStr">
        <is>
          <t>L3 – Professional / Associate</t>
        </is>
      </c>
      <c r="BT509" s="53" t="inlineStr">
        <is>
          <t>L3 – Professional / Associate</t>
        </is>
      </c>
      <c r="BU509" s="53" t="inlineStr">
        <is>
          <t>No designation change — current record value carried forward</t>
        </is>
      </c>
      <c r="BV509" s="53"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W509" s="53" t="n"/>
      <c r="BX509" s="53" t="inlineStr">
        <is>
          <t>Global.</t>
        </is>
      </c>
      <c r="BY509" s="53" t="n"/>
      <c r="BZ509" s="53" t="n"/>
      <c r="CA509" s="53" t="n"/>
      <c r="CB509" s="53" t="n"/>
      <c r="CC509" s="53" t="n"/>
      <c r="CD509" s="53" t="n"/>
      <c r="CE509" s="53" t="n"/>
      <c r="CF509" s="53" t="n"/>
      <c r="CG509" s="53" t="n"/>
      <c r="CH509" s="53" t="n"/>
      <c r="CI509" s="53" t="n"/>
      <c r="CJ509" s="53" t="n"/>
      <c r="CK509" s="53" t="n"/>
      <c r="CL509" s="53" t="n"/>
      <c r="CM509" s="53" t="n"/>
      <c r="CN509" s="53" t="n"/>
      <c r="CO509" s="53" t="n"/>
      <c r="CP509" s="53" t="n"/>
      <c r="CQ509" s="53" t="n"/>
      <c r="CR509" s="53" t="n"/>
      <c r="CS509" s="53" t="n"/>
      <c r="CT509" s="53" t="n"/>
      <c r="CU509" s="53" t="n"/>
      <c r="CV509" s="53" t="n"/>
      <c r="CW509" s="53" t="n"/>
      <c r="CX509" s="53" t="n"/>
      <c r="CY509" s="53" t="n"/>
      <c r="CZ509" s="53" t="n"/>
      <c r="DA509" s="53" t="n"/>
      <c r="DB509" s="53" t="n"/>
      <c r="DC509" s="53" t="n"/>
      <c r="DD509" s="53" t="n"/>
      <c r="DE509" s="53" t="n"/>
      <c r="DF509" s="53" t="n"/>
      <c r="DG509" s="53" t="n"/>
      <c r="DH509" s="53" t="n"/>
      <c r="DI509" s="53" t="n"/>
      <c r="DJ509" s="53" t="n"/>
      <c r="DK509" s="53" t="n"/>
      <c r="DL509" s="53" t="n"/>
      <c r="DM509" s="53" t="n"/>
      <c r="DN509" s="53" t="n"/>
      <c r="DO509" s="53" t="n"/>
      <c r="DP509" s="53" t="n"/>
      <c r="DQ509" s="53" t="n"/>
      <c r="DR509" s="53" t="n"/>
      <c r="DS509" s="53" t="n"/>
      <c r="DT509" s="53" t="n"/>
      <c r="DU509" s="53" t="n"/>
      <c r="DV509" s="53" t="n"/>
      <c r="DW509" s="53" t="n"/>
      <c r="DX509" s="53" t="n"/>
      <c r="DY509" s="53" t="n"/>
      <c r="DZ509" s="53" t="n"/>
      <c r="EA509" s="53" t="n"/>
      <c r="EB509" s="53" t="n"/>
      <c r="EC509" s="53" t="n"/>
      <c r="ED509" s="53" t="n"/>
      <c r="EE509" s="53" t="n"/>
      <c r="EF509" s="53" t="n"/>
      <c r="EG509" s="53" t="n"/>
      <c r="EH509" s="53" t="n"/>
      <c r="EI509" s="53" t="n"/>
      <c r="EJ509" s="53" t="n"/>
      <c r="EK509" s="53" t="n"/>
      <c r="EL509" s="53" t="n"/>
      <c r="EM509" s="53" t="n"/>
      <c r="EN509" s="53" t="n"/>
      <c r="EO509" s="53" t="n"/>
      <c r="EP509" s="53" t="n"/>
      <c r="EQ509" s="53" t="n"/>
      <c r="ER509" s="53" t="n"/>
      <c r="ES509" s="53" t="n"/>
      <c r="ET509" s="53" t="n"/>
      <c r="EU509" s="53" t="n"/>
      <c r="EV509" s="53" t="n"/>
      <c r="EW509" s="52" t="n"/>
      <c r="EX509" s="53"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EY509" s="53" t="inlineStr">
        <is>
          <t>• Key responsibilities include: QA test cases and bugs; testing features, logging defects, and issuing sign-off for dev/prod environments.
• Personally accountable for: The work assigned to her.
• Impact if missed or done wrong: A missed test case or scenario.</t>
        </is>
      </c>
      <c r="EZ509" s="53"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FA509" s="53"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B509" s="53" t="inlineStr">
        <is>
          <t>• Key challenges: More bugs arriving from developers slows the work down.
• Support required: No input received.</t>
        </is>
      </c>
      <c r="FC509" s="53" t="n"/>
      <c r="FD509" s="53" t="n"/>
      <c r="FE509" s="57"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FF509" s="56" t="n"/>
      <c r="FG509" s="56" t="n"/>
      <c r="FH509" s="56" t="n"/>
      <c r="FI509" s="56" t="n"/>
      <c r="FJ509" s="56" t="inlineStr">
        <is>
          <t>Received · manager annual</t>
        </is>
      </c>
      <c r="FK509" s="56" t="inlineStr">
        <is>
          <t>CARBON Mapping Master</t>
        </is>
      </c>
      <c r="FL509" s="56" t="n">
        <v>20</v>
      </c>
      <c r="FM509" s="56"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FN509" s="56" t="inlineStr">
        <is>
          <t>• Key responsibilities include: QA test cases and bugs; testing features, logging defects, and issuing sign-off for dev/prod environments.
• Personally accountable for: The work assigned to her.
• Impact if missed or done wrong: A missed test case or scenario.</t>
        </is>
      </c>
      <c r="FO509" s="56"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FP509" s="56"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Q509" s="56" t="inlineStr">
        <is>
          <t>• Key challenges: More bugs arriving from developers slows the work down.
• Support required: No input received.</t>
        </is>
      </c>
      <c r="FR509" s="56" t="inlineStr">
        <is>
          <t>Complexity: Evidence reads like A2: Tests features and bugs on the ESG product; writes test cases; tracked in QuickScrum → matches the start
Autonomy: Evidence reads like A2: Names only 'test strategy execution'; no exception or priority calls described → moved down 0.5
Accountability: Evidence reads like A3: Personally gives sign-off for dev and prod environments by sign-off mail → moved down 0.5
Leadership: Evidence reads like A1: One report in HR data but no guiding or leading described → moved down 0.5</t>
        </is>
      </c>
      <c r="FS509"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09" s="56" t="inlineStr">
        <is>
          <t>Self-identified: AI / automation · Testing &amp; quality · Data, SQL &amp; analytics · Certification / formal course
For the next role: AI / automation · Testing &amp; quality · Data, SQL &amp; analytics · Certification / formal course</t>
        </is>
      </c>
      <c r="FU509" s="56" t="inlineStr">
        <is>
          <t>Per-person summary · CARBON Mapping Master</t>
        </is>
      </c>
    </row>
    <row r="510" ht="90" customHeight="1">
      <c r="A510" s="51" t="inlineStr">
        <is>
          <t>◂ Back</t>
        </is>
      </c>
      <c r="B510" s="29" t="inlineStr">
        <is>
          <t>Mapped</t>
        </is>
      </c>
      <c r="C510" s="28" t="inlineStr">
        <is>
          <t>CARBON</t>
        </is>
      </c>
      <c r="D510" s="29" t="inlineStr">
        <is>
          <t>IRIS2405</t>
        </is>
      </c>
      <c r="E510" s="29" t="inlineStr">
        <is>
          <t>Tasmiyah Patni</t>
        </is>
      </c>
      <c r="F510" s="29" t="inlineStr">
        <is>
          <t>Quality Assurance</t>
        </is>
      </c>
      <c r="G510" s="29" t="inlineStr">
        <is>
          <t>QA Engineer</t>
        </is>
      </c>
      <c r="H510" s="29" t="inlineStr">
        <is>
          <t>Senior QA Engineer</t>
        </is>
      </c>
      <c r="I510" s="29" t="inlineStr">
        <is>
          <t>L3 – Professional / Associate</t>
        </is>
      </c>
      <c r="J510" s="29" t="inlineStr">
        <is>
          <t>A3</t>
        </is>
      </c>
      <c r="K510" s="29" t="inlineStr">
        <is>
          <t>▲ Up</t>
        </is>
      </c>
      <c r="L510" s="29" t="inlineStr">
        <is>
          <t>Quality Assurance</t>
        </is>
      </c>
      <c r="M510" s="29" t="inlineStr">
        <is>
          <t>Functional &amp; Domain Testing</t>
        </is>
      </c>
      <c r="N510" s="29" t="n"/>
      <c r="O510" s="29" t="n">
        <v>20</v>
      </c>
      <c r="P510" s="28" t="inlineStr">
        <is>
          <t>P2</t>
        </is>
      </c>
      <c r="Q510" s="29" t="inlineStr">
        <is>
          <t>Developing</t>
        </is>
      </c>
      <c r="R510" s="29" t="inlineStr">
        <is>
          <t>3 Apply</t>
        </is>
      </c>
      <c r="S510" s="29" t="inlineStr">
        <is>
          <t>2–4 yrs</t>
        </is>
      </c>
      <c r="T510" s="29" t="inlineStr">
        <is>
          <t>3–5 · 2–5</t>
        </is>
      </c>
      <c r="U510" s="29" t="inlineStr">
        <is>
          <t>QA Engineer</t>
        </is>
      </c>
      <c r="V510" s="29" t="inlineStr">
        <is>
          <t>Workiva: SE · Broadridge India: SE · Nasdaq / AxiomSL: SE · IRIS Vs Market Benchmark — ISTQB certification pathway: Foundation</t>
        </is>
      </c>
      <c r="W510" s="29" t="inlineStr">
        <is>
          <t>ISTQB Foundation → Advanced → Expert; SFIA testing</t>
        </is>
      </c>
      <c r="X510" s="29" t="inlineStr">
        <is>
          <t>Core 2 · Future 2 · Functional 3 · Leadership not scored</t>
        </is>
      </c>
      <c r="Y510" s="52" t="n">
        <v>385</v>
      </c>
      <c r="Z510" s="53" t="inlineStr">
        <is>
          <t>IRIS2405</t>
        </is>
      </c>
      <c r="AA510" s="53" t="inlineStr">
        <is>
          <t>Employee</t>
        </is>
      </c>
      <c r="AB510" s="53" t="inlineStr">
        <is>
          <t>Active</t>
        </is>
      </c>
      <c r="AC510" s="53" t="inlineStr">
        <is>
          <t>Tasmiyah Patni</t>
        </is>
      </c>
      <c r="AD510" s="54" t="n">
        <v>45852</v>
      </c>
      <c r="AE510" s="53" t="inlineStr">
        <is>
          <t>QA Engineer</t>
        </is>
      </c>
      <c r="AF510" s="53" t="inlineStr">
        <is>
          <t>B.Sc</t>
        </is>
      </c>
      <c r="AG510" s="53" t="inlineStr">
        <is>
          <t>Pooja Gawas</t>
        </is>
      </c>
      <c r="AH510" s="53" t="inlineStr">
        <is>
          <t>N-5</t>
        </is>
      </c>
      <c r="AI510" s="53" t="inlineStr">
        <is>
          <t>Individual Contributor</t>
        </is>
      </c>
      <c r="AJ510" s="53" t="inlineStr">
        <is>
          <t>3 years, 2 months, 0 days</t>
        </is>
      </c>
      <c r="AK510" s="53" t="inlineStr">
        <is>
          <t>1 years, 1 months, 11 days</t>
        </is>
      </c>
      <c r="AL510" s="53" t="inlineStr">
        <is>
          <t>Regtech</t>
        </is>
      </c>
      <c r="AM510" s="53" t="inlineStr">
        <is>
          <t>CARBON</t>
        </is>
      </c>
      <c r="AN510" s="53" t="inlineStr">
        <is>
          <t>Quality Assurance</t>
        </is>
      </c>
      <c r="AO510" s="53" t="inlineStr">
        <is>
          <t>Quality Assurance</t>
        </is>
      </c>
      <c r="AP510" s="53" t="inlineStr">
        <is>
          <t>No</t>
        </is>
      </c>
      <c r="AQ510" s="53" t="inlineStr">
        <is>
          <t>Product/Project</t>
        </is>
      </c>
      <c r="AR510" s="53" t="inlineStr">
        <is>
          <t>Software Testing</t>
        </is>
      </c>
      <c r="AS510" s="53" t="inlineStr">
        <is>
          <t>Technical · BA, PM and QA</t>
        </is>
      </c>
      <c r="AT510" s="53" t="n">
        <v>20</v>
      </c>
      <c r="AU510" s="53" t="inlineStr">
        <is>
          <t>Covered</t>
        </is>
      </c>
      <c r="AV510" s="53" t="inlineStr">
        <is>
          <t>IRIS2405</t>
        </is>
      </c>
      <c r="AW510" s="53" t="inlineStr">
        <is>
          <t>Tasmiyah Patni</t>
        </is>
      </c>
      <c r="AX510" s="53" t="inlineStr">
        <is>
          <t>Technology</t>
        </is>
      </c>
      <c r="AY510" s="53" t="inlineStr">
        <is>
          <t>Quality Assurance</t>
        </is>
      </c>
      <c r="AZ510" s="53" t="inlineStr">
        <is>
          <t>Quality Testing</t>
        </is>
      </c>
      <c r="BA510" s="53" t="n"/>
      <c r="BB510" s="53" t="n"/>
      <c r="BC510" s="53" t="inlineStr">
        <is>
          <t>Employee</t>
        </is>
      </c>
      <c r="BD510" s="53" t="inlineStr">
        <is>
          <t>Pooja Gawas</t>
        </is>
      </c>
      <c r="BE510" s="53" t="inlineStr">
        <is>
          <t>Pooja Gawas</t>
        </is>
      </c>
      <c r="BF510" s="53" t="inlineStr">
        <is>
          <t>No</t>
        </is>
      </c>
      <c r="BG510" s="53" t="inlineStr">
        <is>
          <t>QA Engineer</t>
        </is>
      </c>
      <c r="BH510" s="53" t="inlineStr">
        <is>
          <t>QA Engineer</t>
        </is>
      </c>
      <c r="BI510" s="53" t="inlineStr">
        <is>
          <t>No</t>
        </is>
      </c>
      <c r="BJ510" s="53" t="inlineStr">
        <is>
          <t>—</t>
        </is>
      </c>
      <c r="BK510" s="53" t="inlineStr">
        <is>
          <t>—</t>
        </is>
      </c>
      <c r="BL510" s="53" t="inlineStr">
        <is>
          <t>—</t>
        </is>
      </c>
      <c r="BM510" s="53" t="inlineStr">
        <is>
          <t>Not a manager</t>
        </is>
      </c>
      <c r="BN510" s="53" t="inlineStr">
        <is>
          <t>—</t>
        </is>
      </c>
      <c r="BO510" s="53" t="inlineStr">
        <is>
          <t>—</t>
        </is>
      </c>
      <c r="BP510" s="53" t="inlineStr">
        <is>
          <t>—</t>
        </is>
      </c>
      <c r="BQ510" s="53" t="inlineStr">
        <is>
          <t>Not a manager</t>
        </is>
      </c>
      <c r="BR510" s="53" t="inlineStr">
        <is>
          <t>—</t>
        </is>
      </c>
      <c r="BS510" s="53" t="inlineStr">
        <is>
          <t>L3 – Professional / Associate</t>
        </is>
      </c>
      <c r="BT510" s="53" t="inlineStr">
        <is>
          <t>L3 – Professional / Associate</t>
        </is>
      </c>
      <c r="BU510" s="53" t="inlineStr">
        <is>
          <t>No designation change — current record value carried forward</t>
        </is>
      </c>
      <c r="BV510" s="53"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W510" s="53" t="n"/>
      <c r="BX510" s="53" t="inlineStr">
        <is>
          <t>Global.</t>
        </is>
      </c>
      <c r="BY510" s="53" t="n"/>
      <c r="BZ510" s="53" t="n"/>
      <c r="CA510" s="53" t="n"/>
      <c r="CB510" s="53" t="n"/>
      <c r="CC510" s="53" t="n"/>
      <c r="CD510" s="53" t="n"/>
      <c r="CE510" s="53" t="n"/>
      <c r="CF510" s="53" t="n"/>
      <c r="CG510" s="53" t="n"/>
      <c r="CH510" s="53" t="n"/>
      <c r="CI510" s="53" t="n"/>
      <c r="CJ510" s="53" t="n"/>
      <c r="CK510" s="53" t="n"/>
      <c r="CL510" s="53" t="n"/>
      <c r="CM510" s="53" t="n"/>
      <c r="CN510" s="53" t="n"/>
      <c r="CO510" s="53" t="n"/>
      <c r="CP510" s="53" t="n"/>
      <c r="CQ510" s="53" t="n"/>
      <c r="CR510" s="53" t="n"/>
      <c r="CS510" s="53" t="n"/>
      <c r="CT510" s="53" t="n"/>
      <c r="CU510" s="53" t="n"/>
      <c r="CV510" s="53" t="n"/>
      <c r="CW510" s="53" t="n"/>
      <c r="CX510" s="53" t="n"/>
      <c r="CY510" s="53" t="n"/>
      <c r="CZ510" s="53" t="n"/>
      <c r="DA510" s="53" t="n"/>
      <c r="DB510" s="53" t="n"/>
      <c r="DC510" s="53" t="n"/>
      <c r="DD510" s="53" t="n"/>
      <c r="DE510" s="53" t="n"/>
      <c r="DF510" s="53" t="n"/>
      <c r="DG510" s="53" t="n"/>
      <c r="DH510" s="53" t="n"/>
      <c r="DI510" s="53" t="n"/>
      <c r="DJ510" s="53" t="n"/>
      <c r="DK510" s="53" t="n"/>
      <c r="DL510" s="53" t="n"/>
      <c r="DM510" s="53" t="n"/>
      <c r="DN510" s="53" t="n"/>
      <c r="DO510" s="53" t="n"/>
      <c r="DP510" s="53" t="n"/>
      <c r="DQ510" s="53" t="n"/>
      <c r="DR510" s="53" t="n"/>
      <c r="DS510" s="53" t="n"/>
      <c r="DT510" s="53" t="n"/>
      <c r="DU510" s="53" t="n"/>
      <c r="DV510" s="53" t="n"/>
      <c r="DW510" s="53" t="n"/>
      <c r="DX510" s="53" t="n"/>
      <c r="DY510" s="53" t="n"/>
      <c r="DZ510" s="53" t="n"/>
      <c r="EA510" s="53" t="n"/>
      <c r="EB510" s="53" t="n"/>
      <c r="EC510" s="53" t="n"/>
      <c r="ED510" s="53" t="n"/>
      <c r="EE510" s="53" t="n"/>
      <c r="EF510" s="53" t="n"/>
      <c r="EG510" s="53" t="n"/>
      <c r="EH510" s="53" t="n"/>
      <c r="EI510" s="53" t="n"/>
      <c r="EJ510" s="53" t="n"/>
      <c r="EK510" s="53" t="n"/>
      <c r="EL510" s="53" t="n"/>
      <c r="EM510" s="53" t="n"/>
      <c r="EN510" s="53" t="n"/>
      <c r="EO510" s="53" t="n"/>
      <c r="EP510" s="53" t="n"/>
      <c r="EQ510" s="53" t="n"/>
      <c r="ER510" s="53" t="n"/>
      <c r="ES510" s="53" t="n"/>
      <c r="ET510" s="53" t="n"/>
      <c r="EU510" s="53" t="n"/>
      <c r="EV510" s="53" t="n"/>
      <c r="EW510" s="52" t="n"/>
      <c r="EX510" s="53"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EY510" s="53"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EZ510" s="53"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FA510" s="53" t="inlineStr">
        <is>
          <t>• Development priorities: Advanced automation, domain knowledge and more use of AI in testing.
• Learning and Development Need: Automation training. Domain knowledge.
• Role evolving toward: Yes, increased automation and AI-based testing are shaping the role.</t>
        </is>
      </c>
      <c r="FB510" s="53" t="inlineStr">
        <is>
          <t>• Key challenges: Untested builds.
• Support required: Better-tested builds before QA handover and clearer requirements.</t>
        </is>
      </c>
      <c r="FC510" s="53" t="n"/>
      <c r="FD510" s="53" t="n"/>
      <c r="FE510" s="57"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FF510" s="56" t="n"/>
      <c r="FG510" s="56" t="n"/>
      <c r="FH510" s="56" t="n"/>
      <c r="FI510" s="56" t="n"/>
      <c r="FJ510" s="56" t="inlineStr">
        <is>
          <t>Received · manager annual</t>
        </is>
      </c>
      <c r="FK510" s="56" t="inlineStr">
        <is>
          <t>CARBON Mapping Master</t>
        </is>
      </c>
      <c r="FL510" s="56" t="n">
        <v>20</v>
      </c>
      <c r="FM510" s="56"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FN510" s="56"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FO510" s="56"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FP510" s="56" t="inlineStr">
        <is>
          <t>• Development priorities: Advanced automation, domain knowledge and more use of AI in testing.
• Learning and Development Need: Automation training. Domain knowledge.
• Role evolving toward: Yes, increased automation and AI-based testing are shaping the role.</t>
        </is>
      </c>
      <c r="FQ510" s="56" t="inlineStr">
        <is>
          <t>• Key challenges: Untested builds.
• Support required: Better-tested builds before QA handover and clearer requirements.</t>
        </is>
      </c>
      <c r="FR510" s="56" t="inlineStr">
        <is>
          <t>Complexity: Evidence reads like A2: Testing, test case execution, defect identification and API automation; no specifics given → matches the start
Autonomy: Evidence reads like A2: States only 'testing decisions'; nothing concrete → matches the start
Accountability: Evidence reads like A2: Own testing output meeting quality standards; no module or sign-off named → matches the start
Leadership: Evidence reads like A1: No guiding or leading of others described → matches the start
Business Impact: No survey or manager-mapping signal on criticality: kept at the start point.</t>
        </is>
      </c>
      <c r="FS51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0" s="56" t="inlineStr">
        <is>
          <t>Self-identified: AI / automation · Testing &amp; quality · Domain, regulatory &amp; XBRL
For the next role: AI / automation · Testing &amp; quality · Domain, regulatory &amp; XBRL</t>
        </is>
      </c>
      <c r="FU510" s="56" t="inlineStr">
        <is>
          <t>Per-person summary · CARBON Mapping Master</t>
        </is>
      </c>
    </row>
    <row r="511" ht="90" customHeight="1">
      <c r="A511" s="51" t="inlineStr">
        <is>
          <t>◂ Back</t>
        </is>
      </c>
      <c r="B511" s="29" t="inlineStr">
        <is>
          <t>Mapped</t>
        </is>
      </c>
      <c r="C511" s="28" t="inlineStr">
        <is>
          <t>CARBON</t>
        </is>
      </c>
      <c r="D511" s="29" t="inlineStr">
        <is>
          <t>IRIS2014</t>
        </is>
      </c>
      <c r="E511" s="29" t="inlineStr">
        <is>
          <t>Vishal Panchal</t>
        </is>
      </c>
      <c r="F511" s="29" t="inlineStr">
        <is>
          <t>Quality Assurance</t>
        </is>
      </c>
      <c r="G511" s="29" t="inlineStr">
        <is>
          <t>QA Engineer</t>
        </is>
      </c>
      <c r="H511" s="29" t="inlineStr">
        <is>
          <t>Senior QA Engineer</t>
        </is>
      </c>
      <c r="I511" s="29" t="inlineStr">
        <is>
          <t>L3 – Professional / Associate</t>
        </is>
      </c>
      <c r="J511" s="29" t="inlineStr">
        <is>
          <t>A3</t>
        </is>
      </c>
      <c r="K511" s="29" t="inlineStr">
        <is>
          <t>▲ Up</t>
        </is>
      </c>
      <c r="L511" s="29" t="inlineStr">
        <is>
          <t>Quality Assurance</t>
        </is>
      </c>
      <c r="M511" s="29" t="inlineStr">
        <is>
          <t>Functional &amp; Domain Testing</t>
        </is>
      </c>
      <c r="N511" s="29" t="inlineStr">
        <is>
          <t>• Confirm the reporting line — Manager</t>
        </is>
      </c>
      <c r="O511" s="29" t="n">
        <v>20</v>
      </c>
      <c r="P511" s="28" t="inlineStr">
        <is>
          <t>P2</t>
        </is>
      </c>
      <c r="Q511" s="29" t="inlineStr">
        <is>
          <t>Developing</t>
        </is>
      </c>
      <c r="R511" s="29" t="inlineStr">
        <is>
          <t>3 Apply</t>
        </is>
      </c>
      <c r="S511" s="29" t="inlineStr">
        <is>
          <t>2–4 yrs</t>
        </is>
      </c>
      <c r="T511" s="29" t="inlineStr">
        <is>
          <t>3–5 · 2–5</t>
        </is>
      </c>
      <c r="U511" s="29" t="inlineStr">
        <is>
          <t>QA Engineer</t>
        </is>
      </c>
      <c r="V511" s="29" t="inlineStr">
        <is>
          <t>Workiva: SE · Broadridge India: SE · Nasdaq / AxiomSL: SE · IRIS Vs Market Benchmark — ISTQB certification pathway: Foundation</t>
        </is>
      </c>
      <c r="W511" s="29" t="inlineStr">
        <is>
          <t>ISTQB Foundation → Advanced → Expert; SFIA testing</t>
        </is>
      </c>
      <c r="X511" s="29" t="inlineStr">
        <is>
          <t>Core 2 · Future 2 · Functional 3 · Leadership not scored</t>
        </is>
      </c>
      <c r="Y511" s="52" t="n">
        <v>216</v>
      </c>
      <c r="Z511" s="53" t="inlineStr">
        <is>
          <t>IRIS2014</t>
        </is>
      </c>
      <c r="AA511" s="53" t="inlineStr">
        <is>
          <t>Employee</t>
        </is>
      </c>
      <c r="AB511" s="53" t="inlineStr">
        <is>
          <t>Active</t>
        </is>
      </c>
      <c r="AC511" s="53" t="inlineStr">
        <is>
          <t>Vishal Panchal</t>
        </is>
      </c>
      <c r="AD511" s="54" t="n">
        <v>44684</v>
      </c>
      <c r="AE511" s="53" t="inlineStr">
        <is>
          <t>QA Engineer</t>
        </is>
      </c>
      <c r="AF511" s="53" t="inlineStr">
        <is>
          <t>B.E</t>
        </is>
      </c>
      <c r="AG511" s="53" t="inlineStr">
        <is>
          <t>Vinod Katekar</t>
        </is>
      </c>
      <c r="AH511" s="53" t="inlineStr">
        <is>
          <t>N-4</t>
        </is>
      </c>
      <c r="AI511" s="53" t="inlineStr">
        <is>
          <t>Manager</t>
        </is>
      </c>
      <c r="AJ511" s="53" t="inlineStr">
        <is>
          <t>4 years, 0 months, 0 days</t>
        </is>
      </c>
      <c r="AK511" s="53" t="inlineStr">
        <is>
          <t>4 years, 3 months, 22 days</t>
        </is>
      </c>
      <c r="AL511" s="53" t="inlineStr">
        <is>
          <t>Regtech</t>
        </is>
      </c>
      <c r="AM511" s="53" t="inlineStr">
        <is>
          <t>CARBON</t>
        </is>
      </c>
      <c r="AN511" s="53" t="inlineStr">
        <is>
          <t>Quality Assurance</t>
        </is>
      </c>
      <c r="AO511" s="53" t="inlineStr">
        <is>
          <t>Quality Assurance</t>
        </is>
      </c>
      <c r="AP511" s="53" t="inlineStr">
        <is>
          <t>No</t>
        </is>
      </c>
      <c r="AQ511" s="53" t="inlineStr">
        <is>
          <t>Product/Project</t>
        </is>
      </c>
      <c r="AR511" s="53" t="inlineStr">
        <is>
          <t>Software Testing</t>
        </is>
      </c>
      <c r="AS511" s="53" t="inlineStr">
        <is>
          <t>Technical · BA, PM and QA</t>
        </is>
      </c>
      <c r="AT511" s="53" t="n">
        <v>20</v>
      </c>
      <c r="AU511" s="53" t="inlineStr">
        <is>
          <t>Covered</t>
        </is>
      </c>
      <c r="AV511" s="53" t="inlineStr">
        <is>
          <t>IRIS2014</t>
        </is>
      </c>
      <c r="AW511" s="53" t="inlineStr">
        <is>
          <t>Vishal Panchal</t>
        </is>
      </c>
      <c r="AX511" s="53" t="inlineStr">
        <is>
          <t>Technology</t>
        </is>
      </c>
      <c r="AY511" s="53" t="inlineStr">
        <is>
          <t>Quality Assurance</t>
        </is>
      </c>
      <c r="AZ511" s="53" t="inlineStr">
        <is>
          <t>QA Automation</t>
        </is>
      </c>
      <c r="BA511" s="53" t="n"/>
      <c r="BB511" s="53" t="n"/>
      <c r="BC511" s="53" t="inlineStr">
        <is>
          <t>Employee</t>
        </is>
      </c>
      <c r="BD511" s="53" t="inlineStr">
        <is>
          <t>Vinod Katekar</t>
        </is>
      </c>
      <c r="BE511" s="53" t="inlineStr">
        <is>
          <t>Vinod Katekar</t>
        </is>
      </c>
      <c r="BF511" s="53" t="inlineStr">
        <is>
          <t>No</t>
        </is>
      </c>
      <c r="BG511" s="53" t="inlineStr">
        <is>
          <t>QA Engineer</t>
        </is>
      </c>
      <c r="BH511" s="53" t="inlineStr">
        <is>
          <t>QA Automation Engineer</t>
        </is>
      </c>
      <c r="BI511" s="53" t="inlineStr">
        <is>
          <t>No</t>
        </is>
      </c>
      <c r="BJ511" s="53" t="n">
        <v>2</v>
      </c>
      <c r="BK511" s="53" t="n">
        <v>2</v>
      </c>
      <c r="BL511" s="53" t="n">
        <v>0</v>
      </c>
      <c r="BM511" s="53" t="inlineStr">
        <is>
          <t>Consolidate / flatten</t>
        </is>
      </c>
      <c r="BN511" s="53" t="n">
        <v>2</v>
      </c>
      <c r="BO511" s="53" t="n">
        <v>2</v>
      </c>
      <c r="BP511" s="53" t="n">
        <v>0</v>
      </c>
      <c r="BQ511" s="53" t="inlineStr">
        <is>
          <t>Consolidate / flatten</t>
        </is>
      </c>
      <c r="BR511" s="53" t="inlineStr">
        <is>
          <t>No</t>
        </is>
      </c>
      <c r="BS511" s="53" t="inlineStr">
        <is>
          <t>L3 – Professional / Associate</t>
        </is>
      </c>
      <c r="BT511" s="53" t="inlineStr">
        <is>
          <t>L3 – Professional / Associate</t>
        </is>
      </c>
      <c r="BU511" s="53" t="inlineStr">
        <is>
          <t>No designation change — current record value carried forward</t>
        </is>
      </c>
      <c r="BV511" s="53"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W511" s="53" t="n"/>
      <c r="BX511" s="53" t="inlineStr">
        <is>
          <t>Global.</t>
        </is>
      </c>
      <c r="BY511" s="53" t="n"/>
      <c r="BZ511" s="53" t="n"/>
      <c r="CA511" s="53" t="n"/>
      <c r="CB511" s="53" t="n"/>
      <c r="CC511" s="53" t="n"/>
      <c r="CD511" s="53" t="n"/>
      <c r="CE511" s="53" t="n"/>
      <c r="CF511" s="53" t="n"/>
      <c r="CG511" s="53" t="n"/>
      <c r="CH511" s="53" t="n"/>
      <c r="CI511" s="53" t="n"/>
      <c r="CJ511" s="53" t="n"/>
      <c r="CK511" s="53" t="n"/>
      <c r="CL511" s="53" t="n"/>
      <c r="CM511" s="53" t="n"/>
      <c r="CN511" s="53" t="n"/>
      <c r="CO511" s="53" t="n"/>
      <c r="CP511" s="53" t="n"/>
      <c r="CQ511" s="53" t="n"/>
      <c r="CR511" s="53" t="n"/>
      <c r="CS511" s="53" t="n"/>
      <c r="CT511" s="53" t="n"/>
      <c r="CU511" s="53" t="n"/>
      <c r="CV511" s="53" t="n"/>
      <c r="CW511" s="53" t="n"/>
      <c r="CX511" s="53" t="n"/>
      <c r="CY511" s="53" t="n"/>
      <c r="CZ511" s="53" t="n"/>
      <c r="DA511" s="53" t="n"/>
      <c r="DB511" s="53" t="n"/>
      <c r="DC511" s="53" t="n"/>
      <c r="DD511" s="53" t="n"/>
      <c r="DE511" s="53" t="n"/>
      <c r="DF511" s="53" t="n"/>
      <c r="DG511" s="53" t="n"/>
      <c r="DH511" s="53" t="n"/>
      <c r="DI511" s="53" t="n"/>
      <c r="DJ511" s="53" t="n"/>
      <c r="DK511" s="53" t="n"/>
      <c r="DL511" s="53" t="n"/>
      <c r="DM511" s="53" t="n"/>
      <c r="DN511" s="53" t="n"/>
      <c r="DO511" s="53" t="n"/>
      <c r="DP511" s="53" t="n"/>
      <c r="DQ511" s="53" t="n"/>
      <c r="DR511" s="53" t="n"/>
      <c r="DS511" s="53" t="n"/>
      <c r="DT511" s="53" t="n"/>
      <c r="DU511" s="53" t="n"/>
      <c r="DV511" s="53" t="n"/>
      <c r="DW511" s="53" t="n"/>
      <c r="DX511" s="53" t="n"/>
      <c r="DY511" s="53" t="n"/>
      <c r="DZ511" s="53" t="n"/>
      <c r="EA511" s="53" t="n"/>
      <c r="EB511" s="53" t="n"/>
      <c r="EC511" s="53" t="n"/>
      <c r="ED511" s="53" t="n"/>
      <c r="EE511" s="53" t="n"/>
      <c r="EF511" s="53" t="n"/>
      <c r="EG511" s="53" t="n"/>
      <c r="EH511" s="53" t="n"/>
      <c r="EI511" s="53" t="n"/>
      <c r="EJ511" s="53" t="n"/>
      <c r="EK511" s="53" t="n"/>
      <c r="EL511" s="53" t="n"/>
      <c r="EM511" s="53" t="n"/>
      <c r="EN511" s="53" t="n"/>
      <c r="EO511" s="53" t="n"/>
      <c r="EP511" s="53" t="n"/>
      <c r="EQ511" s="53" t="n"/>
      <c r="ER511" s="53" t="n"/>
      <c r="ES511" s="53" t="n"/>
      <c r="ET511" s="53" t="n"/>
      <c r="EU511" s="53" t="n"/>
      <c r="EV511" s="53" t="n"/>
      <c r="EW511" s="52" t="n"/>
      <c r="EX511" s="53"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EY511" s="53"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EZ511" s="53"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FA511" s="53"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B511" s="53"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C511" s="53" t="n"/>
      <c r="FD511" s="53" t="n"/>
      <c r="FE511" s="57"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FF511" s="56" t="n"/>
      <c r="FG511" s="56" t="n"/>
      <c r="FH511" s="56" t="n"/>
      <c r="FI511" s="56" t="n"/>
      <c r="FJ511" s="56" t="inlineStr">
        <is>
          <t>Received · manager annual</t>
        </is>
      </c>
      <c r="FK511" s="56" t="inlineStr">
        <is>
          <t>CARBON Mapping Master</t>
        </is>
      </c>
      <c r="FL511" s="56" t="n">
        <v>20</v>
      </c>
      <c r="FM511" s="56"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FN511" s="56"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FO511" s="56"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FP511" s="56"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Q511" s="56"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R511" s="56" t="inlineStr">
        <is>
          <t>Complexity: Evidence reads like A3: Creates and executes test cases, regression and sanity; rechecks stories tested by teammates; gives UX input → moved up 0.5
Autonomy: Evidence reads like A2: Decides how to cover scenarios and when to seek help; routine → moved down 0.5
Accountability: Evidence reads like A3: Gives sign-off; scenarios missed on dev/stage but found in production are their responsibility → moved down 0.5
Leadership: Evidence reads like A3: Rechecks stories tested by the team and shares QA status; two reports → moved down 0.5
Business Impact: No survey or manager-mapping signal on criticality: kept at the start point.</t>
        </is>
      </c>
      <c r="FS511"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1" s="56" t="inlineStr">
        <is>
          <t>Self-identified: AI / automation · Testing &amp; quality
For the next role: AI / automation · Testing &amp; quality</t>
        </is>
      </c>
      <c r="FU511" s="56" t="inlineStr">
        <is>
          <t>Per-person summary · CARBON Mapping Master</t>
        </is>
      </c>
    </row>
    <row r="512" ht="90" customHeight="1">
      <c r="A512" s="51" t="inlineStr">
        <is>
          <t>◂ Back</t>
        </is>
      </c>
      <c r="B512" s="29" t="inlineStr">
        <is>
          <t>Mapped</t>
        </is>
      </c>
      <c r="C512" s="28" t="inlineStr">
        <is>
          <t>CARBON</t>
        </is>
      </c>
      <c r="D512" s="29" t="inlineStr">
        <is>
          <t>IRIS2388</t>
        </is>
      </c>
      <c r="E512" s="29" t="inlineStr">
        <is>
          <t>Hrishikesh Thombare</t>
        </is>
      </c>
      <c r="F512" s="29" t="inlineStr">
        <is>
          <t>Quality Assurance</t>
        </is>
      </c>
      <c r="G512" s="29" t="inlineStr">
        <is>
          <t>QA Engineer</t>
        </is>
      </c>
      <c r="H512" s="29" t="inlineStr">
        <is>
          <t>Senior QA Engineer</t>
        </is>
      </c>
      <c r="I512" s="29" t="inlineStr">
        <is>
          <t>L3 – Professional / Associate</t>
        </is>
      </c>
      <c r="J512" s="29" t="inlineStr">
        <is>
          <t>A3</t>
        </is>
      </c>
      <c r="K512" s="29" t="inlineStr">
        <is>
          <t>▲ Up</t>
        </is>
      </c>
      <c r="L512" s="29" t="inlineStr">
        <is>
          <t>Quality Assurance</t>
        </is>
      </c>
      <c r="M512" s="29" t="inlineStr">
        <is>
          <t>Functional &amp; Domain Testing</t>
        </is>
      </c>
      <c r="N512" s="29" t="n"/>
      <c r="O512" s="29" t="n">
        <v>20</v>
      </c>
      <c r="P512" s="28" t="inlineStr">
        <is>
          <t>P2</t>
        </is>
      </c>
      <c r="Q512" s="29" t="inlineStr">
        <is>
          <t>Developing</t>
        </is>
      </c>
      <c r="R512" s="29" t="inlineStr">
        <is>
          <t>3 Apply</t>
        </is>
      </c>
      <c r="S512" s="29" t="inlineStr">
        <is>
          <t>2–4 yrs</t>
        </is>
      </c>
      <c r="T512" s="29" t="inlineStr">
        <is>
          <t>3–5 · 2–5</t>
        </is>
      </c>
      <c r="U512" s="29" t="inlineStr">
        <is>
          <t>QA Engineer</t>
        </is>
      </c>
      <c r="V512" s="29" t="inlineStr">
        <is>
          <t>Workiva: SE · Broadridge India: SE · Nasdaq / AxiomSL: SE · IRIS Vs Market Benchmark — ISTQB certification pathway: Foundation</t>
        </is>
      </c>
      <c r="W512" s="29" t="inlineStr">
        <is>
          <t>ISTQB Foundation → Advanced → Expert; SFIA testing</t>
        </is>
      </c>
      <c r="X512" s="29" t="inlineStr">
        <is>
          <t>Core 2 · Future 2 · Functional 3 · Leadership not scored</t>
        </is>
      </c>
      <c r="Y512" s="52" t="n">
        <v>377</v>
      </c>
      <c r="Z512" s="53" t="inlineStr">
        <is>
          <t>IRIS2388</t>
        </is>
      </c>
      <c r="AA512" s="53" t="inlineStr">
        <is>
          <t>Employee</t>
        </is>
      </c>
      <c r="AB512" s="53" t="inlineStr">
        <is>
          <t>Active</t>
        </is>
      </c>
      <c r="AC512" s="53" t="inlineStr">
        <is>
          <t>Hrishikesh Thombare</t>
        </is>
      </c>
      <c r="AD512" s="54" t="n">
        <v>45831</v>
      </c>
      <c r="AE512" s="53" t="inlineStr">
        <is>
          <t>QA Engineer</t>
        </is>
      </c>
      <c r="AF512" s="53" t="inlineStr">
        <is>
          <t>B.Com</t>
        </is>
      </c>
      <c r="AG512" s="53" t="inlineStr">
        <is>
          <t>Vishal Panchal</t>
        </is>
      </c>
      <c r="AH512" s="53" t="inlineStr">
        <is>
          <t>N-5</t>
        </is>
      </c>
      <c r="AI512" s="53" t="inlineStr">
        <is>
          <t>Individual Contributor</t>
        </is>
      </c>
      <c r="AJ512" s="53" t="inlineStr">
        <is>
          <t>2 years, 9 months, 0 days</t>
        </is>
      </c>
      <c r="AK512" s="53" t="inlineStr">
        <is>
          <t>1 years, 2 months, 2 days</t>
        </is>
      </c>
      <c r="AL512" s="53" t="inlineStr">
        <is>
          <t>Regtech</t>
        </is>
      </c>
      <c r="AM512" s="53" t="inlineStr">
        <is>
          <t>CARBON</t>
        </is>
      </c>
      <c r="AN512" s="53" t="inlineStr">
        <is>
          <t>Quality Assurance</t>
        </is>
      </c>
      <c r="AO512" s="53" t="inlineStr">
        <is>
          <t>Quality Assurance</t>
        </is>
      </c>
      <c r="AP512" s="53" t="inlineStr">
        <is>
          <t>No</t>
        </is>
      </c>
      <c r="AQ512" s="53" t="inlineStr">
        <is>
          <t>Product/Project</t>
        </is>
      </c>
      <c r="AR512" s="53" t="inlineStr">
        <is>
          <t>Software Testing</t>
        </is>
      </c>
      <c r="AS512" s="53" t="inlineStr">
        <is>
          <t>Technical · BA, PM and QA</t>
        </is>
      </c>
      <c r="AT512" s="53" t="n">
        <v>20</v>
      </c>
      <c r="AU512" s="53" t="inlineStr">
        <is>
          <t>Covered</t>
        </is>
      </c>
      <c r="AV512" s="53" t="inlineStr">
        <is>
          <t>IRIS2388</t>
        </is>
      </c>
      <c r="AW512" s="53" t="inlineStr">
        <is>
          <t>Hrishikesh Thombare</t>
        </is>
      </c>
      <c r="AX512" s="53" t="inlineStr">
        <is>
          <t>Technology</t>
        </is>
      </c>
      <c r="AY512" s="53" t="inlineStr">
        <is>
          <t>Quality Assurance</t>
        </is>
      </c>
      <c r="AZ512" s="53" t="inlineStr">
        <is>
          <t>Quality Testing</t>
        </is>
      </c>
      <c r="BA512" s="53" t="n"/>
      <c r="BB512" s="53" t="n"/>
      <c r="BC512" s="53" t="inlineStr">
        <is>
          <t>Employee</t>
        </is>
      </c>
      <c r="BD512" s="53" t="inlineStr">
        <is>
          <t>Vishal Panchal</t>
        </is>
      </c>
      <c r="BE512" s="53" t="inlineStr">
        <is>
          <t>Vishal Panchal</t>
        </is>
      </c>
      <c r="BF512" s="53" t="inlineStr">
        <is>
          <t>No</t>
        </is>
      </c>
      <c r="BG512" s="53" t="inlineStr">
        <is>
          <t>QA Engineer</t>
        </is>
      </c>
      <c r="BH512" s="53" t="inlineStr">
        <is>
          <t>QA Engineer</t>
        </is>
      </c>
      <c r="BI512" s="53" t="inlineStr">
        <is>
          <t>No</t>
        </is>
      </c>
      <c r="BJ512" s="53" t="inlineStr">
        <is>
          <t>—</t>
        </is>
      </c>
      <c r="BK512" s="53" t="inlineStr">
        <is>
          <t>—</t>
        </is>
      </c>
      <c r="BL512" s="53" t="inlineStr">
        <is>
          <t>—</t>
        </is>
      </c>
      <c r="BM512" s="53" t="inlineStr">
        <is>
          <t>Not a manager</t>
        </is>
      </c>
      <c r="BN512" s="53" t="inlineStr">
        <is>
          <t>—</t>
        </is>
      </c>
      <c r="BO512" s="53" t="inlineStr">
        <is>
          <t>—</t>
        </is>
      </c>
      <c r="BP512" s="53" t="inlineStr">
        <is>
          <t>—</t>
        </is>
      </c>
      <c r="BQ512" s="53" t="inlineStr">
        <is>
          <t>Not a manager</t>
        </is>
      </c>
      <c r="BR512" s="53" t="inlineStr">
        <is>
          <t>—</t>
        </is>
      </c>
      <c r="BS512" s="53" t="inlineStr">
        <is>
          <t>L3 – Professional / Associate</t>
        </is>
      </c>
      <c r="BT512" s="53" t="inlineStr">
        <is>
          <t>L3 – Professional / Associate</t>
        </is>
      </c>
      <c r="BU512" s="53" t="inlineStr">
        <is>
          <t>No designation change — current record value carried forward</t>
        </is>
      </c>
      <c r="BV512" s="53"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W512" s="53" t="n"/>
      <c r="BX512" s="53" t="n"/>
      <c r="BY512" s="53" t="n"/>
      <c r="BZ512" s="53" t="n"/>
      <c r="CA512" s="53" t="n"/>
      <c r="CB512" s="53" t="n"/>
      <c r="CC512" s="53" t="n"/>
      <c r="CD512" s="53" t="n"/>
      <c r="CE512" s="53" t="n"/>
      <c r="CF512" s="53" t="n"/>
      <c r="CG512" s="53" t="n"/>
      <c r="CH512" s="53" t="n"/>
      <c r="CI512" s="53" t="n"/>
      <c r="CJ512" s="53" t="n"/>
      <c r="CK512" s="53" t="n"/>
      <c r="CL512" s="53" t="n"/>
      <c r="CM512" s="53" t="n"/>
      <c r="CN512" s="53" t="n"/>
      <c r="CO512" s="53" t="n"/>
      <c r="CP512" s="53" t="n"/>
      <c r="CQ512" s="53" t="n"/>
      <c r="CR512" s="53" t="n"/>
      <c r="CS512" s="53" t="n"/>
      <c r="CT512" s="53" t="n"/>
      <c r="CU512" s="53" t="n"/>
      <c r="CV512" s="53" t="n"/>
      <c r="CW512" s="53" t="n"/>
      <c r="CX512" s="53" t="n"/>
      <c r="CY512" s="53" t="n"/>
      <c r="CZ512" s="53" t="n"/>
      <c r="DA512" s="53" t="n"/>
      <c r="DB512" s="53" t="n"/>
      <c r="DC512" s="53" t="n"/>
      <c r="DD512" s="53" t="n"/>
      <c r="DE512" s="53" t="n"/>
      <c r="DF512" s="53" t="n"/>
      <c r="DG512" s="53" t="n"/>
      <c r="DH512" s="53" t="n"/>
      <c r="DI512" s="53" t="n"/>
      <c r="DJ512" s="53" t="n"/>
      <c r="DK512" s="53" t="n"/>
      <c r="DL512" s="53" t="n"/>
      <c r="DM512" s="53" t="n"/>
      <c r="DN512" s="53" t="n"/>
      <c r="DO512" s="53" t="n"/>
      <c r="DP512" s="53" t="n"/>
      <c r="DQ512" s="53" t="n"/>
      <c r="DR512" s="53" t="n"/>
      <c r="DS512" s="53" t="n"/>
      <c r="DT512" s="53" t="n"/>
      <c r="DU512" s="53" t="n"/>
      <c r="DV512" s="53" t="n"/>
      <c r="DW512" s="53" t="n"/>
      <c r="DX512" s="53" t="n"/>
      <c r="DY512" s="53" t="n"/>
      <c r="DZ512" s="53" t="n"/>
      <c r="EA512" s="53" t="n"/>
      <c r="EB512" s="53" t="n"/>
      <c r="EC512" s="53" t="n"/>
      <c r="ED512" s="53" t="n"/>
      <c r="EE512" s="53" t="n"/>
      <c r="EF512" s="53" t="n"/>
      <c r="EG512" s="53" t="n"/>
      <c r="EH512" s="53" t="n"/>
      <c r="EI512" s="53" t="n"/>
      <c r="EJ512" s="53" t="n"/>
      <c r="EK512" s="53" t="n"/>
      <c r="EL512" s="53" t="n"/>
      <c r="EM512" s="53" t="n"/>
      <c r="EN512" s="53" t="n"/>
      <c r="EO512" s="53" t="n"/>
      <c r="EP512" s="53" t="n"/>
      <c r="EQ512" s="53" t="n"/>
      <c r="ER512" s="53" t="n"/>
      <c r="ES512" s="53" t="n"/>
      <c r="ET512" s="53" t="n"/>
      <c r="EU512" s="53" t="n"/>
      <c r="EV512" s="53" t="n"/>
      <c r="EW512" s="52" t="n"/>
      <c r="EX512" s="53" t="n"/>
      <c r="EY512" s="53" t="n"/>
      <c r="EZ512" s="53" t="n"/>
      <c r="FA512" s="53" t="n"/>
      <c r="FB512" s="53" t="n"/>
      <c r="FC512" s="53" t="n"/>
      <c r="FD512" s="53" t="n"/>
      <c r="FE512" s="57"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FF512" s="56" t="n"/>
      <c r="FG512" s="56" t="n"/>
      <c r="FH512" s="56" t="n"/>
      <c r="FI512" s="56" t="n"/>
      <c r="FJ512" s="56" t="inlineStr">
        <is>
          <t>Received · manager annual</t>
        </is>
      </c>
      <c r="FK512" s="56" t="inlineStr">
        <is>
          <t>CARBON Mapping Master</t>
        </is>
      </c>
      <c r="FL512" s="56" t="n">
        <v>20</v>
      </c>
      <c r="FM512" s="32" t="inlineStr">
        <is>
          <t>Full survey answers not in the files received · How We Grow export needed · HR</t>
        </is>
      </c>
      <c r="FN512" s="56" t="inlineStr">
        <is>
          <t>—</t>
        </is>
      </c>
      <c r="FO512" s="56" t="inlineStr">
        <is>
          <t>—</t>
        </is>
      </c>
      <c r="FP512" s="56" t="inlineStr">
        <is>
          <t>—</t>
        </is>
      </c>
      <c r="FQ512" s="56" t="inlineStr">
        <is>
          <t>—</t>
        </is>
      </c>
      <c r="FR512" s="56"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like A2: Quality and completeness of own testing, defect documentation and fix validation → matches the start
Leadership: Evidence reads like A1: No guiding or leading of others described → matches the start
Business Impact: No survey or manager-mapping signal on criticality: kept at the start point.</t>
        </is>
      </c>
      <c r="FS512"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2" s="56" t="inlineStr">
        <is>
          <t>Self-identified: AI / automation · Technical depth &amp; architecture · Testing &amp; quality · Data, SQL &amp; analytics · Product &amp; tool knowledge · Strategy &amp; business acumen · Broader exposure &amp; ownership
For the next role: AI / automation · Leadership &amp; people management · Technical depth &amp; architecture · Testing &amp; quality · Data, SQL &amp; analytics · Product &amp; tool knowledge · Strategy &amp; business acumen · Broader exposure &amp; ownership</t>
        </is>
      </c>
      <c r="FU512" s="32" t="inlineStr">
        <is>
          <t>Full survey answers not in the files received · How We Grow export needed · HR</t>
        </is>
      </c>
    </row>
    <row r="513" ht="90" customHeight="1">
      <c r="A513" s="51" t="inlineStr">
        <is>
          <t>◂ Back</t>
        </is>
      </c>
      <c r="B513" s="29" t="inlineStr">
        <is>
          <t>Mapped</t>
        </is>
      </c>
      <c r="C513" s="28" t="inlineStr">
        <is>
          <t>CARBON</t>
        </is>
      </c>
      <c r="D513" s="29" t="inlineStr">
        <is>
          <t>IRIS2107</t>
        </is>
      </c>
      <c r="E513" s="29" t="inlineStr">
        <is>
          <t>Pratikkumar Mistry</t>
        </is>
      </c>
      <c r="F513" s="29" t="inlineStr">
        <is>
          <t>Quality Assurance</t>
        </is>
      </c>
      <c r="G513" s="29" t="inlineStr">
        <is>
          <t>QA Engineer</t>
        </is>
      </c>
      <c r="H513" s="29" t="inlineStr">
        <is>
          <t>Senior QA Engineer</t>
        </is>
      </c>
      <c r="I513" s="29" t="inlineStr">
        <is>
          <t>L3 – Professional / Associate</t>
        </is>
      </c>
      <c r="J513" s="29" t="inlineStr">
        <is>
          <t>A3</t>
        </is>
      </c>
      <c r="K513" s="29" t="inlineStr">
        <is>
          <t>▲ Up</t>
        </is>
      </c>
      <c r="L513" s="29" t="inlineStr">
        <is>
          <t>Quality Assurance</t>
        </is>
      </c>
      <c r="M513" s="29" t="inlineStr">
        <is>
          <t>Functional &amp; Domain Testing</t>
        </is>
      </c>
      <c r="N513" s="29" t="n"/>
      <c r="O513" s="29" t="n">
        <v>20</v>
      </c>
      <c r="P513" s="28" t="inlineStr">
        <is>
          <t>P2</t>
        </is>
      </c>
      <c r="Q513" s="29" t="inlineStr">
        <is>
          <t>Developing</t>
        </is>
      </c>
      <c r="R513" s="29" t="inlineStr">
        <is>
          <t>3 Apply</t>
        </is>
      </c>
      <c r="S513" s="29" t="inlineStr">
        <is>
          <t>2–4 yrs</t>
        </is>
      </c>
      <c r="T513" s="29" t="inlineStr">
        <is>
          <t>3–5 · 2–5</t>
        </is>
      </c>
      <c r="U513" s="29" t="inlineStr">
        <is>
          <t>QA Engineer</t>
        </is>
      </c>
      <c r="V513" s="29" t="inlineStr">
        <is>
          <t>Workiva: SE · Broadridge India: SE · Nasdaq / AxiomSL: SE · IRIS Vs Market Benchmark — ISTQB certification pathway: Foundation</t>
        </is>
      </c>
      <c r="W513" s="29" t="inlineStr">
        <is>
          <t>ISTQB Foundation → Advanced → Expert; SFIA testing</t>
        </is>
      </c>
      <c r="X513" s="29" t="inlineStr">
        <is>
          <t>Core 2 · Future 2 · Functional 3 · Leadership not scored</t>
        </is>
      </c>
      <c r="Y513" s="52" t="n">
        <v>265</v>
      </c>
      <c r="Z513" s="53" t="inlineStr">
        <is>
          <t>IRIS2107</t>
        </is>
      </c>
      <c r="AA513" s="53" t="inlineStr">
        <is>
          <t>Employee</t>
        </is>
      </c>
      <c r="AB513" s="53" t="inlineStr">
        <is>
          <t>Active</t>
        </is>
      </c>
      <c r="AC513" s="53" t="inlineStr">
        <is>
          <t>Pratikkumar Mistry</t>
        </is>
      </c>
      <c r="AD513" s="54" t="n">
        <v>45005</v>
      </c>
      <c r="AE513" s="53" t="inlineStr">
        <is>
          <t>QA Engineer</t>
        </is>
      </c>
      <c r="AF513" s="53" t="inlineStr">
        <is>
          <t>B.E</t>
        </is>
      </c>
      <c r="AG513" s="53" t="inlineStr">
        <is>
          <t>Vishal Panchal</t>
        </is>
      </c>
      <c r="AH513" s="53" t="inlineStr">
        <is>
          <t>N-5</t>
        </is>
      </c>
      <c r="AI513" s="53" t="inlineStr">
        <is>
          <t>Individual Contributor</t>
        </is>
      </c>
      <c r="AJ513" s="53" t="inlineStr">
        <is>
          <t>3 years, 5 months, 0 days</t>
        </is>
      </c>
      <c r="AK513" s="53" t="inlineStr">
        <is>
          <t>3 years, 5 months, 5 days</t>
        </is>
      </c>
      <c r="AL513" s="53" t="inlineStr">
        <is>
          <t>Regtech</t>
        </is>
      </c>
      <c r="AM513" s="53" t="inlineStr">
        <is>
          <t>CARBON</t>
        </is>
      </c>
      <c r="AN513" s="53" t="inlineStr">
        <is>
          <t>Quality Assurance</t>
        </is>
      </c>
      <c r="AO513" s="53" t="inlineStr">
        <is>
          <t>Quality Assurance</t>
        </is>
      </c>
      <c r="AP513" s="53" t="inlineStr">
        <is>
          <t>No</t>
        </is>
      </c>
      <c r="AQ513" s="53" t="inlineStr">
        <is>
          <t>Product/Project</t>
        </is>
      </c>
      <c r="AR513" s="53" t="inlineStr">
        <is>
          <t>Software Testing</t>
        </is>
      </c>
      <c r="AS513" s="53" t="inlineStr">
        <is>
          <t>Technical · BA, PM and QA</t>
        </is>
      </c>
      <c r="AT513" s="53" t="n">
        <v>20</v>
      </c>
      <c r="AU513" s="53" t="inlineStr">
        <is>
          <t>Covered</t>
        </is>
      </c>
      <c r="AV513" s="53" t="inlineStr">
        <is>
          <t>IRIS2107</t>
        </is>
      </c>
      <c r="AW513" s="53" t="inlineStr">
        <is>
          <t>Pratikkumar Mistry</t>
        </is>
      </c>
      <c r="AX513" s="53" t="inlineStr">
        <is>
          <t>Technology</t>
        </is>
      </c>
      <c r="AY513" s="53" t="inlineStr">
        <is>
          <t>Quality Assurance</t>
        </is>
      </c>
      <c r="AZ513" s="53" t="inlineStr">
        <is>
          <t>Quality Testing</t>
        </is>
      </c>
      <c r="BA513" s="53" t="n"/>
      <c r="BB513" s="53" t="n"/>
      <c r="BC513" s="53" t="inlineStr">
        <is>
          <t>Employee</t>
        </is>
      </c>
      <c r="BD513" s="53" t="inlineStr">
        <is>
          <t>Vishal Panchal</t>
        </is>
      </c>
      <c r="BE513" s="53" t="inlineStr">
        <is>
          <t>Vishal Panchal</t>
        </is>
      </c>
      <c r="BF513" s="53" t="inlineStr">
        <is>
          <t>No</t>
        </is>
      </c>
      <c r="BG513" s="53" t="inlineStr">
        <is>
          <t>QA Engineer</t>
        </is>
      </c>
      <c r="BH513" s="53" t="inlineStr">
        <is>
          <t>QA Engineer</t>
        </is>
      </c>
      <c r="BI513" s="53" t="inlineStr">
        <is>
          <t>No</t>
        </is>
      </c>
      <c r="BJ513" s="53" t="inlineStr">
        <is>
          <t>—</t>
        </is>
      </c>
      <c r="BK513" s="53" t="inlineStr">
        <is>
          <t>—</t>
        </is>
      </c>
      <c r="BL513" s="53" t="inlineStr">
        <is>
          <t>—</t>
        </is>
      </c>
      <c r="BM513" s="53" t="inlineStr">
        <is>
          <t>Not a manager</t>
        </is>
      </c>
      <c r="BN513" s="53" t="inlineStr">
        <is>
          <t>—</t>
        </is>
      </c>
      <c r="BO513" s="53" t="inlineStr">
        <is>
          <t>—</t>
        </is>
      </c>
      <c r="BP513" s="53" t="inlineStr">
        <is>
          <t>—</t>
        </is>
      </c>
      <c r="BQ513" s="53" t="inlineStr">
        <is>
          <t>Not a manager</t>
        </is>
      </c>
      <c r="BR513" s="53" t="inlineStr">
        <is>
          <t>—</t>
        </is>
      </c>
      <c r="BS513" s="53" t="inlineStr">
        <is>
          <t>L3 – Professional / Associate</t>
        </is>
      </c>
      <c r="BT513" s="53" t="inlineStr">
        <is>
          <t>L3 – Professional / Associate</t>
        </is>
      </c>
      <c r="BU513" s="53" t="inlineStr">
        <is>
          <t>No designation change — current record value carried forward</t>
        </is>
      </c>
      <c r="BV513" s="53"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W513" s="53" t="n"/>
      <c r="BX513" s="53" t="inlineStr">
        <is>
          <t>Europe and United States.</t>
        </is>
      </c>
      <c r="BY513" s="53" t="n"/>
      <c r="BZ513" s="53" t="n"/>
      <c r="CA513" s="53" t="n"/>
      <c r="CB513" s="53" t="n"/>
      <c r="CC513" s="53" t="n"/>
      <c r="CD513" s="53" t="n"/>
      <c r="CE513" s="53" t="n"/>
      <c r="CF513" s="53" t="n"/>
      <c r="CG513" s="53" t="n"/>
      <c r="CH513" s="53" t="n"/>
      <c r="CI513" s="53" t="n"/>
      <c r="CJ513" s="53" t="n"/>
      <c r="CK513" s="53" t="n"/>
      <c r="CL513" s="53" t="n"/>
      <c r="CM513" s="53" t="n"/>
      <c r="CN513" s="53" t="n"/>
      <c r="CO513" s="53" t="n"/>
      <c r="CP513" s="53" t="n"/>
      <c r="CQ513" s="53" t="n"/>
      <c r="CR513" s="53" t="n"/>
      <c r="CS513" s="53" t="n"/>
      <c r="CT513" s="53" t="n"/>
      <c r="CU513" s="53" t="n"/>
      <c r="CV513" s="53" t="n"/>
      <c r="CW513" s="53" t="n"/>
      <c r="CX513" s="53" t="n"/>
      <c r="CY513" s="53" t="n"/>
      <c r="CZ513" s="53" t="n"/>
      <c r="DA513" s="53" t="n"/>
      <c r="DB513" s="53" t="n"/>
      <c r="DC513" s="53" t="n"/>
      <c r="DD513" s="53" t="n"/>
      <c r="DE513" s="53" t="n"/>
      <c r="DF513" s="53" t="n"/>
      <c r="DG513" s="53" t="n"/>
      <c r="DH513" s="53" t="n"/>
      <c r="DI513" s="53" t="n"/>
      <c r="DJ513" s="53" t="n"/>
      <c r="DK513" s="53" t="n"/>
      <c r="DL513" s="53" t="n"/>
      <c r="DM513" s="53" t="n"/>
      <c r="DN513" s="53" t="n"/>
      <c r="DO513" s="53" t="n"/>
      <c r="DP513" s="53" t="n"/>
      <c r="DQ513" s="53" t="n"/>
      <c r="DR513" s="53" t="n"/>
      <c r="DS513" s="53" t="n"/>
      <c r="DT513" s="53" t="n"/>
      <c r="DU513" s="53" t="n"/>
      <c r="DV513" s="53" t="n"/>
      <c r="DW513" s="53" t="n"/>
      <c r="DX513" s="53" t="n"/>
      <c r="DY513" s="53" t="n"/>
      <c r="DZ513" s="53" t="n"/>
      <c r="EA513" s="53" t="n"/>
      <c r="EB513" s="53" t="n"/>
      <c r="EC513" s="53" t="n"/>
      <c r="ED513" s="53" t="n"/>
      <c r="EE513" s="53" t="n"/>
      <c r="EF513" s="53" t="n"/>
      <c r="EG513" s="53" t="n"/>
      <c r="EH513" s="53" t="n"/>
      <c r="EI513" s="53" t="n"/>
      <c r="EJ513" s="53" t="n"/>
      <c r="EK513" s="53" t="n"/>
      <c r="EL513" s="53" t="n"/>
      <c r="EM513" s="53" t="n"/>
      <c r="EN513" s="53" t="n"/>
      <c r="EO513" s="53" t="n"/>
      <c r="EP513" s="53" t="n"/>
      <c r="EQ513" s="53" t="n"/>
      <c r="ER513" s="53" t="n"/>
      <c r="ES513" s="53" t="n"/>
      <c r="ET513" s="53" t="n"/>
      <c r="EU513" s="53" t="n"/>
      <c r="EV513" s="53" t="n"/>
      <c r="EW513" s="52" t="n"/>
      <c r="EX513" s="53"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EY513" s="53"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EZ513" s="53"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FA513" s="53"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B513" s="53" t="inlineStr">
        <is>
          <t>• Key challenges: Unclear requirements; lack of unit testing.
• Support required: AI-based test case generation, clearer requirements, and unit-tested features.</t>
        </is>
      </c>
      <c r="FC513" s="53" t="n"/>
      <c r="FD513" s="53" t="n"/>
      <c r="FE513" s="57"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FF513" s="56" t="n"/>
      <c r="FG513" s="56" t="n"/>
      <c r="FH513" s="56" t="n"/>
      <c r="FI513" s="56" t="n"/>
      <c r="FJ513" s="56" t="inlineStr">
        <is>
          <t>Received · manager annual</t>
        </is>
      </c>
      <c r="FK513" s="56" t="inlineStr">
        <is>
          <t>CARBON Mapping Master</t>
        </is>
      </c>
      <c r="FL513" s="56" t="n">
        <v>20</v>
      </c>
      <c r="FM513" s="56"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FN513" s="56"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FO513" s="56"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FP513" s="56"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Q513" s="56" t="inlineStr">
        <is>
          <t>• Key challenges: Unclear requirements; lack of unit testing.
• Support required: AI-based test case generation, clearer requirements, and unit-tested features.</t>
        </is>
      </c>
      <c r="FR513" s="56" t="inlineStr">
        <is>
          <t>Complexity: Evidence reads like A2: Writes and executes test cases, reports defects, joins sprint grooming, replicates live issues → matches the start
Autonomy: Evidence reads like A2: own survey / KRA answers · summarised by the rater; not quoted → matches the start
Accountability: Evidence reads like A2: Assigned features' test cases, execution and bug closure across Dev, Stage and Live → matches the start
Leadership: Evidence reads like A1: No guiding or leading of others described → matches the start
Business Impact: No survey or manager-mapping signal on criticality: kept at the start point.</t>
        </is>
      </c>
      <c r="FS513"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3" s="56" t="inlineStr">
        <is>
          <t>Self-identified: AI / automation · Testing &amp; quality · Communication &amp; presentation
For the next role: AI / automation · Testing &amp; quality · Communication &amp; presentation</t>
        </is>
      </c>
      <c r="FU513" s="56" t="inlineStr">
        <is>
          <t>Per-person summary · CARBON Mapping Master</t>
        </is>
      </c>
    </row>
    <row r="514" ht="90" customHeight="1">
      <c r="A514" s="51" t="inlineStr">
        <is>
          <t>◂ Back</t>
        </is>
      </c>
      <c r="B514" s="29" t="inlineStr">
        <is>
          <t>Mapped</t>
        </is>
      </c>
      <c r="C514" s="28" t="inlineStr">
        <is>
          <t>CARBON</t>
        </is>
      </c>
      <c r="D514" s="29" t="inlineStr">
        <is>
          <t>IRIS2112</t>
        </is>
      </c>
      <c r="E514" s="29" t="inlineStr">
        <is>
          <t>Vitiksha Gamit</t>
        </is>
      </c>
      <c r="F514" s="29" t="inlineStr">
        <is>
          <t>Quality Assurance</t>
        </is>
      </c>
      <c r="G514" s="29" t="inlineStr">
        <is>
          <t>QA Automation Engineer</t>
        </is>
      </c>
      <c r="H514" s="29" t="inlineStr">
        <is>
          <t>Senior QA Automation Engineer</t>
        </is>
      </c>
      <c r="I514" s="29" t="inlineStr">
        <is>
          <t>L3 – Professional / Associate</t>
        </is>
      </c>
      <c r="J514" s="29" t="inlineStr">
        <is>
          <t>A3</t>
        </is>
      </c>
      <c r="K514" s="29" t="inlineStr">
        <is>
          <t>▲ Up</t>
        </is>
      </c>
      <c r="L514" s="29" t="inlineStr">
        <is>
          <t>Quality Assurance</t>
        </is>
      </c>
      <c r="M514" s="29" t="inlineStr">
        <is>
          <t>Test Automation</t>
        </is>
      </c>
      <c r="N514" s="29" t="n"/>
      <c r="O514" s="29" t="n">
        <v>20</v>
      </c>
      <c r="P514" s="28" t="inlineStr">
        <is>
          <t>P2</t>
        </is>
      </c>
      <c r="Q514" s="29" t="inlineStr">
        <is>
          <t>Developing</t>
        </is>
      </c>
      <c r="R514" s="29" t="inlineStr">
        <is>
          <t>3 Apply</t>
        </is>
      </c>
      <c r="S514" s="29" t="inlineStr">
        <is>
          <t>2–4 yrs</t>
        </is>
      </c>
      <c r="T514" s="29" t="inlineStr">
        <is>
          <t>3–5 · 2–5</t>
        </is>
      </c>
      <c r="U514" s="29" t="inlineStr">
        <is>
          <t>QA Engineer</t>
        </is>
      </c>
      <c r="V514" s="29" t="inlineStr">
        <is>
          <t>Workiva: SE · Broadridge India: SE · Nasdaq / AxiomSL: SE · IRIS Vs Market Benchmark — ISTQB certification pathway: Foundation</t>
        </is>
      </c>
      <c r="W514" s="29" t="inlineStr">
        <is>
          <t>ISTQB Foundation → Advanced → Expert; SFIA testing</t>
        </is>
      </c>
      <c r="X514" s="29" t="inlineStr">
        <is>
          <t>Core 2 · Future 2 · Functional 3 · Leadership not scored</t>
        </is>
      </c>
      <c r="Y514" s="52" t="n">
        <v>267</v>
      </c>
      <c r="Z514" s="53" t="inlineStr">
        <is>
          <t>IRIS2112</t>
        </is>
      </c>
      <c r="AA514" s="53" t="inlineStr">
        <is>
          <t>Employee</t>
        </is>
      </c>
      <c r="AB514" s="53" t="inlineStr">
        <is>
          <t>Active</t>
        </is>
      </c>
      <c r="AC514" s="53" t="inlineStr">
        <is>
          <t>Vitiksha Gamit</t>
        </is>
      </c>
      <c r="AD514" s="54" t="n">
        <v>45026</v>
      </c>
      <c r="AE514" s="53" t="inlineStr">
        <is>
          <t>QA Automation Engineer</t>
        </is>
      </c>
      <c r="AF514" s="53" t="inlineStr">
        <is>
          <t>MSC</t>
        </is>
      </c>
      <c r="AG514" s="53" t="inlineStr">
        <is>
          <t>Vinod Katekar</t>
        </is>
      </c>
      <c r="AH514" s="53" t="inlineStr">
        <is>
          <t>N-4</t>
        </is>
      </c>
      <c r="AI514" s="53" t="inlineStr">
        <is>
          <t>Individual Contributor</t>
        </is>
      </c>
      <c r="AJ514" s="53" t="inlineStr">
        <is>
          <t>0 years, 0 months, 0 days</t>
        </is>
      </c>
      <c r="AK514" s="53" t="inlineStr">
        <is>
          <t>3 years, 4 months, 15 days</t>
        </is>
      </c>
      <c r="AL514" s="53" t="inlineStr">
        <is>
          <t>Regtech</t>
        </is>
      </c>
      <c r="AM514" s="53" t="inlineStr">
        <is>
          <t>CARBON</t>
        </is>
      </c>
      <c r="AN514" s="53" t="inlineStr">
        <is>
          <t>Quality Assurance</t>
        </is>
      </c>
      <c r="AO514" s="53" t="inlineStr">
        <is>
          <t>Quality Assurance</t>
        </is>
      </c>
      <c r="AP514" s="53" t="inlineStr">
        <is>
          <t>No</t>
        </is>
      </c>
      <c r="AQ514" s="53" t="inlineStr">
        <is>
          <t>Product/Project</t>
        </is>
      </c>
      <c r="AR514" s="53" t="inlineStr">
        <is>
          <t>Software Testing</t>
        </is>
      </c>
      <c r="AS514" s="53" t="inlineStr">
        <is>
          <t>Technical · BA, PM and QA</t>
        </is>
      </c>
      <c r="AT514" s="53" t="n">
        <v>20</v>
      </c>
      <c r="AU514" s="53" t="inlineStr">
        <is>
          <t>Covered</t>
        </is>
      </c>
      <c r="AV514" s="53" t="inlineStr">
        <is>
          <t>IRIS2112</t>
        </is>
      </c>
      <c r="AW514" s="53" t="inlineStr">
        <is>
          <t>Vitiksha Gamit</t>
        </is>
      </c>
      <c r="AX514" s="53" t="inlineStr">
        <is>
          <t>Technology</t>
        </is>
      </c>
      <c r="AY514" s="53" t="inlineStr">
        <is>
          <t>Quality Assurance</t>
        </is>
      </c>
      <c r="AZ514" s="53" t="inlineStr">
        <is>
          <t>QA Automation</t>
        </is>
      </c>
      <c r="BA514" s="53" t="n"/>
      <c r="BB514" s="53" t="n"/>
      <c r="BC514" s="53" t="inlineStr">
        <is>
          <t>Employee</t>
        </is>
      </c>
      <c r="BD514" s="53" t="inlineStr">
        <is>
          <t>Vinod Katekar</t>
        </is>
      </c>
      <c r="BE514" s="53" t="inlineStr">
        <is>
          <t>Vinod Katekar</t>
        </is>
      </c>
      <c r="BF514" s="53" t="inlineStr">
        <is>
          <t>No</t>
        </is>
      </c>
      <c r="BG514" s="53" t="inlineStr">
        <is>
          <t>QA Automation Engineer</t>
        </is>
      </c>
      <c r="BH514" s="53" t="inlineStr">
        <is>
          <t>QA Automation Engineer</t>
        </is>
      </c>
      <c r="BI514" s="53" t="inlineStr">
        <is>
          <t>No</t>
        </is>
      </c>
      <c r="BJ514" s="53" t="inlineStr">
        <is>
          <t>—</t>
        </is>
      </c>
      <c r="BK514" s="53" t="inlineStr">
        <is>
          <t>—</t>
        </is>
      </c>
      <c r="BL514" s="53" t="inlineStr">
        <is>
          <t>—</t>
        </is>
      </c>
      <c r="BM514" s="53" t="inlineStr">
        <is>
          <t>Not a manager</t>
        </is>
      </c>
      <c r="BN514" s="53" t="inlineStr">
        <is>
          <t>—</t>
        </is>
      </c>
      <c r="BO514" s="53" t="inlineStr">
        <is>
          <t>—</t>
        </is>
      </c>
      <c r="BP514" s="53" t="inlineStr">
        <is>
          <t>—</t>
        </is>
      </c>
      <c r="BQ514" s="53" t="inlineStr">
        <is>
          <t>Not a manager</t>
        </is>
      </c>
      <c r="BR514" s="53" t="inlineStr">
        <is>
          <t>—</t>
        </is>
      </c>
      <c r="BS514" s="53" t="inlineStr">
        <is>
          <t>L3 – Professional / Associate</t>
        </is>
      </c>
      <c r="BT514" s="53" t="inlineStr">
        <is>
          <t>L3 – Professional / Associate</t>
        </is>
      </c>
      <c r="BU514" s="53" t="inlineStr">
        <is>
          <t>No designation change — current record value carried forward</t>
        </is>
      </c>
      <c r="BV514" s="53"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W514" s="53" t="n"/>
      <c r="BX514" s="53" t="inlineStr">
        <is>
          <t>Global.</t>
        </is>
      </c>
      <c r="BY514" s="53" t="n"/>
      <c r="BZ514" s="53" t="n"/>
      <c r="CA514" s="53" t="n"/>
      <c r="CB514" s="53" t="n"/>
      <c r="CC514" s="53" t="n"/>
      <c r="CD514" s="53" t="n"/>
      <c r="CE514" s="53" t="n"/>
      <c r="CF514" s="53" t="n"/>
      <c r="CG514" s="53" t="n"/>
      <c r="CH514" s="53" t="n"/>
      <c r="CI514" s="53" t="n"/>
      <c r="CJ514" s="53" t="n"/>
      <c r="CK514" s="53" t="n"/>
      <c r="CL514" s="53" t="n"/>
      <c r="CM514" s="53" t="n"/>
      <c r="CN514" s="53" t="n"/>
      <c r="CO514" s="53" t="n"/>
      <c r="CP514" s="53" t="n"/>
      <c r="CQ514" s="53" t="n"/>
      <c r="CR514" s="53" t="n"/>
      <c r="CS514" s="53" t="n"/>
      <c r="CT514" s="53" t="n"/>
      <c r="CU514" s="53" t="n"/>
      <c r="CV514" s="53" t="n"/>
      <c r="CW514" s="53" t="n"/>
      <c r="CX514" s="53" t="n"/>
      <c r="CY514" s="53" t="n"/>
      <c r="CZ514" s="53" t="n"/>
      <c r="DA514" s="53" t="n"/>
      <c r="DB514" s="53" t="n"/>
      <c r="DC514" s="53" t="n"/>
      <c r="DD514" s="53" t="n"/>
      <c r="DE514" s="53" t="n"/>
      <c r="DF514" s="53" t="n"/>
      <c r="DG514" s="53" t="n"/>
      <c r="DH514" s="53" t="n"/>
      <c r="DI514" s="53" t="n"/>
      <c r="DJ514" s="53" t="n"/>
      <c r="DK514" s="53" t="n"/>
      <c r="DL514" s="53" t="n"/>
      <c r="DM514" s="53" t="n"/>
      <c r="DN514" s="53" t="n"/>
      <c r="DO514" s="53" t="n"/>
      <c r="DP514" s="53" t="n"/>
      <c r="DQ514" s="53" t="n"/>
      <c r="DR514" s="53" t="n"/>
      <c r="DS514" s="53" t="n"/>
      <c r="DT514" s="53" t="n"/>
      <c r="DU514" s="53" t="n"/>
      <c r="DV514" s="53" t="n"/>
      <c r="DW514" s="53" t="n"/>
      <c r="DX514" s="53" t="n"/>
      <c r="DY514" s="53" t="n"/>
      <c r="DZ514" s="53" t="n"/>
      <c r="EA514" s="53" t="n"/>
      <c r="EB514" s="53" t="n"/>
      <c r="EC514" s="53" t="n"/>
      <c r="ED514" s="53" t="n"/>
      <c r="EE514" s="53" t="n"/>
      <c r="EF514" s="53" t="n"/>
      <c r="EG514" s="53" t="n"/>
      <c r="EH514" s="53" t="n"/>
      <c r="EI514" s="53" t="n"/>
      <c r="EJ514" s="53" t="n"/>
      <c r="EK514" s="53" t="n"/>
      <c r="EL514" s="53" t="n"/>
      <c r="EM514" s="53" t="n"/>
      <c r="EN514" s="53" t="n"/>
      <c r="EO514" s="53" t="n"/>
      <c r="EP514" s="53" t="n"/>
      <c r="EQ514" s="53" t="n"/>
      <c r="ER514" s="53" t="n"/>
      <c r="ES514" s="53" t="n"/>
      <c r="ET514" s="53" t="n"/>
      <c r="EU514" s="53" t="n"/>
      <c r="EV514" s="53" t="n"/>
      <c r="EW514" s="52" t="n"/>
      <c r="EX514" s="53"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EY514" s="53"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EZ514" s="53"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FA514" s="53"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B514" s="53" t="inlineStr">
        <is>
          <t>• Key challenges: Unclear requirements.
• Support required: Would like more time to try new automation ideas and improve the framework.</t>
        </is>
      </c>
      <c r="FC514" s="53" t="n"/>
      <c r="FD514" s="53" t="n"/>
      <c r="FE514" s="57"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FF514" s="56" t="n"/>
      <c r="FG514" s="56" t="n"/>
      <c r="FH514" s="56" t="n"/>
      <c r="FI514" s="56" t="n"/>
      <c r="FJ514" s="56" t="inlineStr">
        <is>
          <t>Received · manager annual</t>
        </is>
      </c>
      <c r="FK514" s="56" t="inlineStr">
        <is>
          <t>CARBON Mapping Master</t>
        </is>
      </c>
      <c r="FL514" s="56" t="n">
        <v>20</v>
      </c>
      <c r="FM514" s="56"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FN514" s="56"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FO514" s="56"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FP514" s="56"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Q514" s="56" t="inlineStr">
        <is>
          <t>• Key challenges: Unclear requirements.
• Support required: Would like more time to try new automation ideas and improve the framework.</t>
        </is>
      </c>
      <c r="FR514" s="56" t="inlineStr">
        <is>
          <t>Complexity: Evidence reads like A2: Creates, maintains and runs automation scripts and reports defects; no harder cases described → moved down 0.5
Autonomy: Evidence reads like A2: Only says 'freedom to try' new approaches; no concrete decisions named → moved down 0.5
Accountability: Evidence reads like A2: Own automation tests, execution reports and defect reports → moved down 0.5
Leadership: Evidence reads like A1: No guiding or leading of others described → moved down 0.5
Business Impact: No survey or manager-mapping signal on criticality: kept at the start point.</t>
        </is>
      </c>
      <c r="FS514"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514" s="56" t="inlineStr">
        <is>
          <t>Self-identified: AI / automation · Leadership &amp; people management
For the next role: AI / automation · Leadership &amp; people management</t>
        </is>
      </c>
      <c r="FU514" s="56" t="inlineStr">
        <is>
          <t>Per-person summary · CARBON Mapping Master</t>
        </is>
      </c>
    </row>
    <row r="515" ht="90" customHeight="1">
      <c r="A515" s="51" t="inlineStr">
        <is>
          <t>◂ Back</t>
        </is>
      </c>
      <c r="B515" s="29" t="inlineStr">
        <is>
          <t>Mapped</t>
        </is>
      </c>
      <c r="C515" s="28" t="inlineStr">
        <is>
          <t>CARBON</t>
        </is>
      </c>
      <c r="D515" s="29" t="inlineStr">
        <is>
          <t>IRIS2153</t>
        </is>
      </c>
      <c r="E515" s="29" t="inlineStr">
        <is>
          <t>Dhaval Lotwala</t>
        </is>
      </c>
      <c r="F515" s="29" t="inlineStr">
        <is>
          <t>Technology</t>
        </is>
      </c>
      <c r="G515" s="29" t="inlineStr">
        <is>
          <t>Senior Business Analyst</t>
        </is>
      </c>
      <c r="H515" s="29" t="inlineStr">
        <is>
          <t>Business Analysis Specialist</t>
        </is>
      </c>
      <c r="I515" s="29" t="inlineStr">
        <is>
          <t>L4 – Senior</t>
        </is>
      </c>
      <c r="J515" s="29" t="inlineStr">
        <is>
          <t>B1</t>
        </is>
      </c>
      <c r="K515" s="29" t="inlineStr">
        <is>
          <t>▲ Up</t>
        </is>
      </c>
      <c r="L515" s="29" t="inlineStr">
        <is>
          <t>Business Analysis</t>
        </is>
      </c>
      <c r="M515" s="29" t="inlineStr">
        <is>
          <t>Business Analysis</t>
        </is>
      </c>
      <c r="N515" s="29" t="n"/>
      <c r="O515" s="29" t="n">
        <v>20</v>
      </c>
      <c r="P515" s="28" t="inlineStr">
        <is>
          <t>P3 / M2</t>
        </is>
      </c>
      <c r="Q515" s="29" t="inlineStr">
        <is>
          <t>Career / · Team Lead</t>
        </is>
      </c>
      <c r="R515" s="29" t="inlineStr">
        <is>
          <t>4 Enable</t>
        </is>
      </c>
      <c r="S515" s="29" t="inlineStr">
        <is>
          <t>4–7 yrs</t>
        </is>
      </c>
      <c r="T515" s="29" t="inlineStr">
        <is>
          <t>5–8 · 4–8</t>
        </is>
      </c>
      <c r="U515" s="29" t="inlineStr">
        <is>
          <t>Senior Business Analyst</t>
        </is>
      </c>
      <c r="V515" s="29" t="inlineStr">
        <is>
          <t>Regnology — regulatory reporting: BA · Reg Reporting · Big Four consulting: Senior Consultant · IRIS Vs Market Benchmark — IIBA certification pathway: CCBA · Infosys / Accenture: JL4 · L9 Consultant</t>
        </is>
      </c>
      <c r="W515" s="29" t="inlineStr">
        <is>
          <t>IIBA BABOK v3; certifications ECBA · entry → CCBA → CBAP · senior</t>
        </is>
      </c>
      <c r="X515" s="29" t="inlineStr">
        <is>
          <t>Core 3 · Future 3 · Functional 3 · Leadership 1</t>
        </is>
      </c>
      <c r="Y515" s="52" t="n">
        <v>283</v>
      </c>
      <c r="Z515" s="53" t="inlineStr">
        <is>
          <t>IRIS2153</t>
        </is>
      </c>
      <c r="AA515" s="53" t="inlineStr">
        <is>
          <t>Employee</t>
        </is>
      </c>
      <c r="AB515" s="53" t="inlineStr">
        <is>
          <t>Active</t>
        </is>
      </c>
      <c r="AC515" s="53" t="inlineStr">
        <is>
          <t>Dhaval Lotwala</t>
        </is>
      </c>
      <c r="AD515" s="54" t="n">
        <v>45110</v>
      </c>
      <c r="AE515" s="53" t="inlineStr">
        <is>
          <t>Senior Business Analyst</t>
        </is>
      </c>
      <c r="AF515" s="53" t="inlineStr">
        <is>
          <t>B.E</t>
        </is>
      </c>
      <c r="AG515" s="53" t="inlineStr">
        <is>
          <t>Prasad Shirke</t>
        </is>
      </c>
      <c r="AH515" s="53" t="inlineStr">
        <is>
          <t>N-3</t>
        </is>
      </c>
      <c r="AI515" s="53" t="inlineStr">
        <is>
          <t>Individual Contributor</t>
        </is>
      </c>
      <c r="AJ515" s="53" t="inlineStr">
        <is>
          <t>8 years, 5 months, 0 days</t>
        </is>
      </c>
      <c r="AK515" s="53" t="inlineStr">
        <is>
          <t>3 years, 1 months, 22 days</t>
        </is>
      </c>
      <c r="AL515" s="53" t="inlineStr">
        <is>
          <t>Regtech</t>
        </is>
      </c>
      <c r="AM515" s="53" t="inlineStr">
        <is>
          <t>CARBON</t>
        </is>
      </c>
      <c r="AN515" s="53" t="inlineStr">
        <is>
          <t>Technology</t>
        </is>
      </c>
      <c r="AO515" s="53" t="inlineStr">
        <is>
          <t>Business Analysis</t>
        </is>
      </c>
      <c r="AP515" s="53" t="inlineStr">
        <is>
          <t>No</t>
        </is>
      </c>
      <c r="AQ515" s="53" t="inlineStr">
        <is>
          <t>Product/Project</t>
        </is>
      </c>
      <c r="AR515" s="53" t="inlineStr">
        <is>
          <t>Business Analysis</t>
        </is>
      </c>
      <c r="AS515" s="53" t="inlineStr">
        <is>
          <t>Technical · BA, PM and QA</t>
        </is>
      </c>
      <c r="AT515" s="53" t="n">
        <v>20</v>
      </c>
      <c r="AU515" s="53" t="inlineStr">
        <is>
          <t>Covered</t>
        </is>
      </c>
      <c r="AV515" s="53" t="inlineStr">
        <is>
          <t>IRIS2153</t>
        </is>
      </c>
      <c r="AW515" s="53" t="inlineStr">
        <is>
          <t>Dhaval Lotwala</t>
        </is>
      </c>
      <c r="AX515" s="53" t="inlineStr">
        <is>
          <t>Technology</t>
        </is>
      </c>
      <c r="AY515" s="53" t="inlineStr">
        <is>
          <t>Business Analysis</t>
        </is>
      </c>
      <c r="AZ515" s="53" t="inlineStr">
        <is>
          <t>Product / Technology Business Analysis</t>
        </is>
      </c>
      <c r="BA515" s="53" t="n"/>
      <c r="BB515" s="53" t="n"/>
      <c r="BC515" s="53" t="inlineStr">
        <is>
          <t>Employee</t>
        </is>
      </c>
      <c r="BD515" s="53" t="inlineStr">
        <is>
          <t>Prasad Shirke</t>
        </is>
      </c>
      <c r="BE515" s="53" t="inlineStr">
        <is>
          <t>Prasad Shirke</t>
        </is>
      </c>
      <c r="BF515" s="53" t="inlineStr">
        <is>
          <t>No</t>
        </is>
      </c>
      <c r="BG515" s="53" t="inlineStr">
        <is>
          <t>Senior Business Analyst</t>
        </is>
      </c>
      <c r="BH515" s="53" t="inlineStr">
        <is>
          <t>Senior Business Analyst</t>
        </is>
      </c>
      <c r="BI515" s="53" t="inlineStr">
        <is>
          <t>No</t>
        </is>
      </c>
      <c r="BJ515" s="53" t="inlineStr">
        <is>
          <t>—</t>
        </is>
      </c>
      <c r="BK515" s="53" t="inlineStr">
        <is>
          <t>—</t>
        </is>
      </c>
      <c r="BL515" s="53" t="inlineStr">
        <is>
          <t>—</t>
        </is>
      </c>
      <c r="BM515" s="53" t="inlineStr">
        <is>
          <t>Not a manager</t>
        </is>
      </c>
      <c r="BN515" s="53" t="inlineStr">
        <is>
          <t>—</t>
        </is>
      </c>
      <c r="BO515" s="53" t="inlineStr">
        <is>
          <t>—</t>
        </is>
      </c>
      <c r="BP515" s="53" t="inlineStr">
        <is>
          <t>—</t>
        </is>
      </c>
      <c r="BQ515" s="53" t="inlineStr">
        <is>
          <t>Not a manager</t>
        </is>
      </c>
      <c r="BR515" s="53" t="inlineStr">
        <is>
          <t>—</t>
        </is>
      </c>
      <c r="BS515" s="53" t="inlineStr">
        <is>
          <t>L4 – Senior</t>
        </is>
      </c>
      <c r="BT515" s="53" t="inlineStr">
        <is>
          <t>L4 – Senior</t>
        </is>
      </c>
      <c r="BU515" s="53" t="inlineStr">
        <is>
          <t>No designation change — current record value carried forward</t>
        </is>
      </c>
      <c r="BV515" s="53"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W515" s="53" t="n"/>
      <c r="BX515" s="53" t="inlineStr">
        <is>
          <t>Global.</t>
        </is>
      </c>
      <c r="BY515" s="53" t="n"/>
      <c r="BZ515" s="53" t="n"/>
      <c r="CA515" s="53" t="n"/>
      <c r="CB515" s="53" t="n"/>
      <c r="CC515" s="53" t="n"/>
      <c r="CD515" s="53" t="n"/>
      <c r="CE515" s="53" t="n"/>
      <c r="CF515" s="53" t="n"/>
      <c r="CG515" s="53" t="n"/>
      <c r="CH515" s="53" t="n"/>
      <c r="CI515" s="53" t="n"/>
      <c r="CJ515" s="53" t="n"/>
      <c r="CK515" s="53" t="n"/>
      <c r="CL515" s="53" t="n"/>
      <c r="CM515" s="53" t="n"/>
      <c r="CN515" s="53" t="n"/>
      <c r="CO515" s="53" t="n"/>
      <c r="CP515" s="53" t="n"/>
      <c r="CQ515" s="53" t="n"/>
      <c r="CR515" s="53" t="n"/>
      <c r="CS515" s="53" t="n"/>
      <c r="CT515" s="53" t="n"/>
      <c r="CU515" s="53" t="n"/>
      <c r="CV515" s="53" t="n"/>
      <c r="CW515" s="53" t="n"/>
      <c r="CX515" s="53" t="n"/>
      <c r="CY515" s="53" t="n"/>
      <c r="CZ515" s="53" t="n"/>
      <c r="DA515" s="53" t="n"/>
      <c r="DB515" s="53" t="n"/>
      <c r="DC515" s="53" t="n"/>
      <c r="DD515" s="53" t="n"/>
      <c r="DE515" s="53" t="n"/>
      <c r="DF515" s="53" t="n"/>
      <c r="DG515" s="53" t="n"/>
      <c r="DH515" s="53" t="n"/>
      <c r="DI515" s="53" t="n"/>
      <c r="DJ515" s="53" t="n"/>
      <c r="DK515" s="53" t="n"/>
      <c r="DL515" s="53" t="n"/>
      <c r="DM515" s="53" t="n"/>
      <c r="DN515" s="53" t="n"/>
      <c r="DO515" s="53" t="n"/>
      <c r="DP515" s="53" t="n"/>
      <c r="DQ515" s="53" t="n"/>
      <c r="DR515" s="53" t="n"/>
      <c r="DS515" s="53" t="n"/>
      <c r="DT515" s="53" t="n"/>
      <c r="DU515" s="53" t="n"/>
      <c r="DV515" s="53" t="n"/>
      <c r="DW515" s="53" t="n"/>
      <c r="DX515" s="53" t="n"/>
      <c r="DY515" s="53" t="n"/>
      <c r="DZ515" s="53" t="n"/>
      <c r="EA515" s="53" t="n"/>
      <c r="EB515" s="53" t="n"/>
      <c r="EC515" s="53" t="n"/>
      <c r="ED515" s="53" t="n"/>
      <c r="EE515" s="53" t="n"/>
      <c r="EF515" s="53" t="n"/>
      <c r="EG515" s="53" t="n"/>
      <c r="EH515" s="53" t="n"/>
      <c r="EI515" s="53" t="n"/>
      <c r="EJ515" s="53" t="n"/>
      <c r="EK515" s="53" t="n"/>
      <c r="EL515" s="53" t="n"/>
      <c r="EM515" s="53" t="n"/>
      <c r="EN515" s="53" t="n"/>
      <c r="EO515" s="53" t="n"/>
      <c r="EP515" s="53" t="n"/>
      <c r="EQ515" s="53" t="n"/>
      <c r="ER515" s="53" t="n"/>
      <c r="ES515" s="53" t="n"/>
      <c r="ET515" s="53" t="n"/>
      <c r="EU515" s="53" t="n"/>
      <c r="EV515" s="53" t="n"/>
      <c r="EW515" s="52" t="n"/>
      <c r="EX515" s="53"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EY515" s="53"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EZ515" s="53"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FA515" s="53" t="inlineStr">
        <is>
          <t>• Development priorities: CSPO Certification.
• Learning and Development Need: Domain. Domain knowledge.
• Role evolving toward: Yes AI tools help me to present clear requirement to the team.</t>
        </is>
      </c>
      <c r="FB515" s="53" t="inlineStr">
        <is>
          <t>• Key challenges: Thinking of developers.
• Support required: Think before start working.</t>
        </is>
      </c>
      <c r="FC515" s="53" t="n"/>
      <c r="FD515" s="53" t="n"/>
      <c r="FE515" s="57"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FF515" s="56" t="n"/>
      <c r="FG515" s="56" t="n"/>
      <c r="FH515" s="56" t="n"/>
      <c r="FI515" s="56" t="n"/>
      <c r="FJ515" s="56" t="inlineStr">
        <is>
          <t>Received · manager annual</t>
        </is>
      </c>
      <c r="FK515" s="56" t="inlineStr">
        <is>
          <t>CARBON Mapping Master</t>
        </is>
      </c>
      <c r="FL515" s="56" t="n">
        <v>20</v>
      </c>
      <c r="FM515" s="56"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FN515" s="56"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FO515" s="56"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FP515" s="56" t="inlineStr">
        <is>
          <t>• Development priorities: CSPO Certification.
• Learning and Development Need: Domain. Domain knowledge.
• Role evolving toward: Yes AI tools help me to present clear requirement to the team.</t>
        </is>
      </c>
      <c r="FQ515" s="56" t="inlineStr">
        <is>
          <t>• Key challenges: Thinking of developers.
• Support required: Think before start working.</t>
        </is>
      </c>
      <c r="FR515" s="56" t="inlineStr">
        <is>
          <t>Complexity: Evidence reads like A3: own survey / KRA answers · summarised by the rater; not quoted → moved down 0.5
Autonomy: Evidence reads like A3: Decides stakeholder communication and system flow definition → moved down 0.5
Accountability: Evidence reads like A3: own survey / KRA answers · summarised by the rater; not quoted → moved down 0.5
Leadership: Evidence reads like A2: Checks in with team members on blockers and helps with detail → moved down 0.5
Business Impact: No survey or manager-mapping signal on criticality: kept at the start point.</t>
        </is>
      </c>
      <c r="FS515"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515" s="56" t="inlineStr">
        <is>
          <t>Self-identified: Certification / formal course
For the next role: Certification / formal course</t>
        </is>
      </c>
      <c r="FU515" s="56" t="inlineStr">
        <is>
          <t>Per-person summary · CARBON Mapping Master</t>
        </is>
      </c>
    </row>
    <row r="516" ht="90" customHeight="1">
      <c r="A516" s="51" t="inlineStr">
        <is>
          <t>◂ Back</t>
        </is>
      </c>
      <c r="B516" s="29" t="inlineStr">
        <is>
          <t>Mapped</t>
        </is>
      </c>
      <c r="C516" s="28" t="inlineStr">
        <is>
          <t>CARBON</t>
        </is>
      </c>
      <c r="D516" s="29" t="inlineStr">
        <is>
          <t>IRIS2284</t>
        </is>
      </c>
      <c r="E516" s="29" t="inlineStr">
        <is>
          <t>Saniya Baxi</t>
        </is>
      </c>
      <c r="F516" s="29" t="inlineStr">
        <is>
          <t>Technology</t>
        </is>
      </c>
      <c r="G516" s="29" t="inlineStr">
        <is>
          <t>Trainee Business Analyst</t>
        </is>
      </c>
      <c r="H516" s="29" t="inlineStr">
        <is>
          <t>Business Analyst</t>
        </is>
      </c>
      <c r="I516" s="29" t="inlineStr">
        <is>
          <t>L2 – Trainee</t>
        </is>
      </c>
      <c r="J516" s="29" t="inlineStr">
        <is>
          <t>A2</t>
        </is>
      </c>
      <c r="K516" s="29" t="inlineStr">
        <is>
          <t>▲ Up</t>
        </is>
      </c>
      <c r="L516" s="29" t="inlineStr">
        <is>
          <t>Business Analysis</t>
        </is>
      </c>
      <c r="M516" s="29" t="inlineStr">
        <is>
          <t>Business Analysis</t>
        </is>
      </c>
      <c r="N516" s="29" t="n"/>
      <c r="O516" s="29" t="n">
        <v>20</v>
      </c>
      <c r="P516" s="28" t="inlineStr">
        <is>
          <t>P1–P2</t>
        </is>
      </c>
      <c r="Q516" s="29" t="inlineStr">
        <is>
          <t>Entry / Developing</t>
        </is>
      </c>
      <c r="R516" s="29" t="inlineStr">
        <is>
          <t>2 Assist</t>
        </is>
      </c>
      <c r="S516" s="29" t="inlineStr">
        <is>
          <t>0–2 yrs</t>
        </is>
      </c>
      <c r="T516" s="29" t="inlineStr">
        <is>
          <t>1–3 · 0–3</t>
        </is>
      </c>
      <c r="U516" s="29" t="inlineStr">
        <is>
          <t>Associate Business Analyst / Business Analyst</t>
        </is>
      </c>
      <c r="V516" s="29" t="inlineStr">
        <is>
          <t>Big Four consulting: Analyst · IRIS Vs Market Benchmark — IIBA certification pathway: ECBA · Infosys / Accenture: JL3B · L11 Analyst</t>
        </is>
      </c>
      <c r="W516" s="29" t="inlineStr">
        <is>
          <t>IIBA BABOK v3; certifications ECBA · entry → CCBA → CBAP · senior</t>
        </is>
      </c>
      <c r="X516" s="29" t="inlineStr">
        <is>
          <t>Core 2 · Future 2 · Functional 2 · Leadership not scored</t>
        </is>
      </c>
      <c r="Y516" s="52" t="n">
        <v>329</v>
      </c>
      <c r="Z516" s="53" t="inlineStr">
        <is>
          <t>IRIS2284</t>
        </is>
      </c>
      <c r="AA516" s="53" t="inlineStr">
        <is>
          <t>Employee</t>
        </is>
      </c>
      <c r="AB516" s="53" t="inlineStr">
        <is>
          <t>Active</t>
        </is>
      </c>
      <c r="AC516" s="53" t="inlineStr">
        <is>
          <t>Saniya Baxi</t>
        </is>
      </c>
      <c r="AD516" s="54" t="n">
        <v>45474</v>
      </c>
      <c r="AE516" s="53" t="inlineStr">
        <is>
          <t>Trainee Business Analyst</t>
        </is>
      </c>
      <c r="AF516" s="53" t="inlineStr">
        <is>
          <t>Bachelor of Science</t>
        </is>
      </c>
      <c r="AG516" s="53" t="inlineStr">
        <is>
          <t>Prasad Shirke</t>
        </is>
      </c>
      <c r="AH516" s="53" t="inlineStr">
        <is>
          <t>N-3</t>
        </is>
      </c>
      <c r="AI516" s="53" t="inlineStr">
        <is>
          <t>Individual Contributor</t>
        </is>
      </c>
      <c r="AJ516" s="53" t="inlineStr">
        <is>
          <t>0 years, 0 months, 0 days</t>
        </is>
      </c>
      <c r="AK516" s="53" t="inlineStr">
        <is>
          <t>2 years, 1 months, 24 days</t>
        </is>
      </c>
      <c r="AL516" s="53" t="inlineStr">
        <is>
          <t>Regtech</t>
        </is>
      </c>
      <c r="AM516" s="53" t="inlineStr">
        <is>
          <t>CARBON</t>
        </is>
      </c>
      <c r="AN516" s="53" t="inlineStr">
        <is>
          <t>Technology</t>
        </is>
      </c>
      <c r="AO516" s="53" t="inlineStr">
        <is>
          <t>Business Analysis</t>
        </is>
      </c>
      <c r="AP516" s="53" t="inlineStr">
        <is>
          <t>No</t>
        </is>
      </c>
      <c r="AQ516" s="53" t="inlineStr">
        <is>
          <t>Product/Project</t>
        </is>
      </c>
      <c r="AR516" s="53" t="inlineStr">
        <is>
          <t>Business Analysis</t>
        </is>
      </c>
      <c r="AS516" s="53" t="inlineStr">
        <is>
          <t>Technical · BA, PM and QA</t>
        </is>
      </c>
      <c r="AT516" s="53" t="n">
        <v>20</v>
      </c>
      <c r="AU516" s="53" t="inlineStr">
        <is>
          <t>Covered</t>
        </is>
      </c>
      <c r="AV516" s="53" t="inlineStr">
        <is>
          <t>IRIS2284</t>
        </is>
      </c>
      <c r="AW516" s="53" t="inlineStr">
        <is>
          <t>Saniya Baxi</t>
        </is>
      </c>
      <c r="AX516" s="53" t="inlineStr">
        <is>
          <t>Technology</t>
        </is>
      </c>
      <c r="AY516" s="53" t="inlineStr">
        <is>
          <t>Business Analysis</t>
        </is>
      </c>
      <c r="AZ516" s="53" t="inlineStr">
        <is>
          <t>Product / Technology Business Analysis</t>
        </is>
      </c>
      <c r="BA516" s="53" t="n"/>
      <c r="BB516" s="53" t="n"/>
      <c r="BC516" s="53" t="inlineStr">
        <is>
          <t>Employee</t>
        </is>
      </c>
      <c r="BD516" s="53" t="inlineStr">
        <is>
          <t>Prasad Shirke</t>
        </is>
      </c>
      <c r="BE516" s="53" t="inlineStr">
        <is>
          <t>Prasad Shirke</t>
        </is>
      </c>
      <c r="BF516" s="53" t="inlineStr">
        <is>
          <t>No</t>
        </is>
      </c>
      <c r="BG516" s="53" t="inlineStr">
        <is>
          <t>Trainee Business Analyst</t>
        </is>
      </c>
      <c r="BH516" s="53" t="inlineStr">
        <is>
          <t>Trainee Business Analyst</t>
        </is>
      </c>
      <c r="BI516" s="53" t="inlineStr">
        <is>
          <t>No</t>
        </is>
      </c>
      <c r="BJ516" s="53" t="inlineStr">
        <is>
          <t>—</t>
        </is>
      </c>
      <c r="BK516" s="53" t="inlineStr">
        <is>
          <t>—</t>
        </is>
      </c>
      <c r="BL516" s="53" t="inlineStr">
        <is>
          <t>—</t>
        </is>
      </c>
      <c r="BM516" s="53" t="inlineStr">
        <is>
          <t>Not a manager</t>
        </is>
      </c>
      <c r="BN516" s="53" t="inlineStr">
        <is>
          <t>—</t>
        </is>
      </c>
      <c r="BO516" s="53" t="inlineStr">
        <is>
          <t>—</t>
        </is>
      </c>
      <c r="BP516" s="53" t="inlineStr">
        <is>
          <t>—</t>
        </is>
      </c>
      <c r="BQ516" s="53" t="inlineStr">
        <is>
          <t>Not a manager</t>
        </is>
      </c>
      <c r="BR516" s="53" t="inlineStr">
        <is>
          <t>—</t>
        </is>
      </c>
      <c r="BS516" s="53" t="inlineStr">
        <is>
          <t>L2 – Trainee</t>
        </is>
      </c>
      <c r="BT516" s="53" t="inlineStr">
        <is>
          <t>L2 – Trainee</t>
        </is>
      </c>
      <c r="BU516" s="53" t="inlineStr">
        <is>
          <t>No designation change — current record value carried forward</t>
        </is>
      </c>
      <c r="BV516" s="53"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W516" s="53" t="n"/>
      <c r="BX516" s="53" t="inlineStr">
        <is>
          <t>Global; US EU BR.</t>
        </is>
      </c>
      <c r="BY516" s="53" t="n"/>
      <c r="BZ516" s="53" t="n"/>
      <c r="CA516" s="53" t="n"/>
      <c r="CB516" s="53" t="n"/>
      <c r="CC516" s="53" t="n"/>
      <c r="CD516" s="53" t="n"/>
      <c r="CE516" s="53" t="n"/>
      <c r="CF516" s="53" t="n"/>
      <c r="CG516" s="53" t="n"/>
      <c r="CH516" s="53" t="n"/>
      <c r="CI516" s="53" t="n"/>
      <c r="CJ516" s="53" t="n"/>
      <c r="CK516" s="53" t="n"/>
      <c r="CL516" s="53" t="n"/>
      <c r="CM516" s="53" t="n"/>
      <c r="CN516" s="53" t="n"/>
      <c r="CO516" s="53" t="n"/>
      <c r="CP516" s="53" t="n"/>
      <c r="CQ516" s="53" t="n"/>
      <c r="CR516" s="53" t="n"/>
      <c r="CS516" s="53" t="n"/>
      <c r="CT516" s="53" t="n"/>
      <c r="CU516" s="53" t="n"/>
      <c r="CV516" s="53" t="n"/>
      <c r="CW516" s="53" t="n"/>
      <c r="CX516" s="53" t="n"/>
      <c r="CY516" s="53" t="n"/>
      <c r="CZ516" s="53" t="n"/>
      <c r="DA516" s="53" t="n"/>
      <c r="DB516" s="53" t="n"/>
      <c r="DC516" s="53" t="n"/>
      <c r="DD516" s="53" t="n"/>
      <c r="DE516" s="53" t="n"/>
      <c r="DF516" s="53" t="n"/>
      <c r="DG516" s="53" t="n"/>
      <c r="DH516" s="53" t="n"/>
      <c r="DI516" s="53" t="n"/>
      <c r="DJ516" s="53" t="n"/>
      <c r="DK516" s="53" t="n"/>
      <c r="DL516" s="53" t="n"/>
      <c r="DM516" s="53" t="n"/>
      <c r="DN516" s="53" t="n"/>
      <c r="DO516" s="53" t="n"/>
      <c r="DP516" s="53" t="n"/>
      <c r="DQ516" s="53" t="n"/>
      <c r="DR516" s="53" t="n"/>
      <c r="DS516" s="53" t="n"/>
      <c r="DT516" s="53" t="n"/>
      <c r="DU516" s="53" t="n"/>
      <c r="DV516" s="53" t="n"/>
      <c r="DW516" s="53" t="n"/>
      <c r="DX516" s="53" t="n"/>
      <c r="DY516" s="53" t="n"/>
      <c r="DZ516" s="53" t="n"/>
      <c r="EA516" s="53" t="n"/>
      <c r="EB516" s="53" t="n"/>
      <c r="EC516" s="53" t="n"/>
      <c r="ED516" s="53" t="n"/>
      <c r="EE516" s="53" t="n"/>
      <c r="EF516" s="53" t="n"/>
      <c r="EG516" s="53" t="n"/>
      <c r="EH516" s="53" t="n"/>
      <c r="EI516" s="53" t="n"/>
      <c r="EJ516" s="53" t="n"/>
      <c r="EK516" s="53" t="n"/>
      <c r="EL516" s="53" t="n"/>
      <c r="EM516" s="53" t="n"/>
      <c r="EN516" s="53" t="n"/>
      <c r="EO516" s="53" t="n"/>
      <c r="EP516" s="53" t="n"/>
      <c r="EQ516" s="53" t="n"/>
      <c r="ER516" s="53" t="n"/>
      <c r="ES516" s="53" t="n"/>
      <c r="ET516" s="53" t="n"/>
      <c r="EU516" s="53" t="n"/>
      <c r="EV516" s="53" t="n"/>
      <c r="EW516" s="52" t="n"/>
      <c r="EX516" s="53"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EY516" s="53"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EZ516" s="53"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FA516" s="53"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B516" s="53"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C516" s="53" t="n"/>
      <c r="FD516" s="53" t="n"/>
      <c r="FE516" s="57"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FF516" s="56" t="n"/>
      <c r="FG516" s="56" t="n"/>
      <c r="FH516" s="56" t="n"/>
      <c r="FI516" s="56" t="n"/>
      <c r="FJ516" s="56" t="inlineStr">
        <is>
          <t>Received · manager annual</t>
        </is>
      </c>
      <c r="FK516" s="56" t="inlineStr">
        <is>
          <t>CARBON Mapping Master</t>
        </is>
      </c>
      <c r="FL516" s="56" t="n">
        <v>20</v>
      </c>
      <c r="FM516" s="56"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FN516" s="56"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FO516" s="56"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FP516" s="56"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Q516" s="56"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R516" s="56" t="inlineStr">
        <is>
          <t>Complexity: Evidence reads like A3: BRDs, user stories, Figma prototypes and UAT through delivery; handles escalations raised to them → moved up 1
Autonomy: Evidence reads like A2: Only 'brainstorming user flows' named as an independent decision → moved up 0.5
Accountability: Evidence reads like A2: That business needs are correctly captured in the product requirements → moved up 0.5
Leadership: Evidence reads like A1: None described → matches the start
Business Impact: No survey or manager-mapping signal on criticality: kept at the start point.</t>
        </is>
      </c>
      <c r="FS516"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16" s="56" t="inlineStr">
        <is>
          <t>Self-identified: Project / programme management · Data, SQL &amp; analytics · Product &amp; tool knowledge · Strategy &amp; business acumen · Certification / formal course · Broader exposure &amp; ownership
For the next role: Project / programme management · Data, SQL &amp; analytics · Product &amp; tool knowledge · Strategy &amp; business acumen · Certification / formal course · Broader exposure &amp; ownership</t>
        </is>
      </c>
      <c r="FU516" s="56" t="inlineStr">
        <is>
          <t>Per-person summary · CARBON Mapping Master</t>
        </is>
      </c>
    </row>
    <row r="517" ht="90" customHeight="1">
      <c r="A517" s="51" t="inlineStr">
        <is>
          <t>◂ Back</t>
        </is>
      </c>
      <c r="B517" s="29" t="inlineStr">
        <is>
          <t>Mapped</t>
        </is>
      </c>
      <c r="C517" s="28" t="inlineStr">
        <is>
          <t>CARBON</t>
        </is>
      </c>
      <c r="D517" s="29" t="inlineStr">
        <is>
          <t>IRIS1986</t>
        </is>
      </c>
      <c r="E517" s="29" t="inlineStr">
        <is>
          <t>Sarfaraz Badi</t>
        </is>
      </c>
      <c r="F517" s="29" t="inlineStr">
        <is>
          <t>Technology</t>
        </is>
      </c>
      <c r="G517" s="29" t="inlineStr">
        <is>
          <t>Lead Software Engineer</t>
        </is>
      </c>
      <c r="H517" s="29" t="inlineStr">
        <is>
          <t>Lead Software Engineer – POD Lead</t>
        </is>
      </c>
      <c r="I517" s="29" t="inlineStr">
        <is>
          <t>L5 – Lead · IC</t>
        </is>
      </c>
      <c r="J517" s="29" t="inlineStr">
        <is>
          <t>B2</t>
        </is>
      </c>
      <c r="K517" s="29" t="inlineStr">
        <is>
          <t>• Same level</t>
        </is>
      </c>
      <c r="L517" s="29" t="inlineStr">
        <is>
          <t>Engineering &amp; Development</t>
        </is>
      </c>
      <c r="M517" s="29" t="inlineStr">
        <is>
          <t>Backend Development</t>
        </is>
      </c>
      <c r="N517" s="29" t="n"/>
      <c r="O517" s="29" t="n">
        <v>20</v>
      </c>
      <c r="P517" s="28" t="inlineStr">
        <is>
          <t>P4 / M3</t>
        </is>
      </c>
      <c r="Q517" s="29" t="inlineStr">
        <is>
          <t>Senior / Manager</t>
        </is>
      </c>
      <c r="R517" s="29" t="inlineStr">
        <is>
          <t>4–5</t>
        </is>
      </c>
      <c r="S517" s="29" t="inlineStr">
        <is>
          <t>6–9 yrs</t>
        </is>
      </c>
      <c r="T517" s="29" t="inlineStr">
        <is>
          <t>7–10 · 6–11</t>
        </is>
      </c>
      <c r="U517" s="29" t="inlineStr">
        <is>
          <t>Principal Engineer</t>
        </is>
      </c>
      <c r="V517" s="29" t="inlineStr">
        <is>
          <t>Workiva: Senior SE · Broadridge India: Lead SE · Nasdaq / AxiomSL: Senior SE · Salesforce: SMTS · Atlassian: P50 Senior · 6–12 yrs · Freshworks: Lead SE</t>
        </is>
      </c>
      <c r="W517" s="29" t="inlineStr">
        <is>
          <t>SFIA 9 · software development, programming; OWASP secure coding; cloud vendor certifications</t>
        </is>
      </c>
      <c r="X517" s="29" t="inlineStr">
        <is>
          <t>Core 3 · Future 3 · Functional 4 · Leadership 3</t>
        </is>
      </c>
      <c r="Y517" s="52" t="n">
        <v>208</v>
      </c>
      <c r="Z517" s="53" t="inlineStr">
        <is>
          <t>IRIS1986</t>
        </is>
      </c>
      <c r="AA517" s="53" t="inlineStr">
        <is>
          <t>Employee</t>
        </is>
      </c>
      <c r="AB517" s="53" t="inlineStr">
        <is>
          <t>Active</t>
        </is>
      </c>
      <c r="AC517" s="53" t="inlineStr">
        <is>
          <t>Sarfaraz Badi</t>
        </is>
      </c>
      <c r="AD517" s="54" t="n">
        <v>44593</v>
      </c>
      <c r="AE517" s="53" t="inlineStr">
        <is>
          <t>Lead Software Engineer</t>
        </is>
      </c>
      <c r="AF517" s="53" t="inlineStr">
        <is>
          <t>MCA</t>
        </is>
      </c>
      <c r="AG517" s="53" t="inlineStr">
        <is>
          <t>Ashish Singhvi</t>
        </is>
      </c>
      <c r="AH517" s="53" t="inlineStr">
        <is>
          <t>N-2</t>
        </is>
      </c>
      <c r="AI517" s="53" t="inlineStr">
        <is>
          <t>Manager</t>
        </is>
      </c>
      <c r="AJ517" s="53" t="inlineStr">
        <is>
          <t>9 years, 0 months, 0 days</t>
        </is>
      </c>
      <c r="AK517" s="53" t="inlineStr">
        <is>
          <t>4 years, 6 months, 24 days</t>
        </is>
      </c>
      <c r="AL517" s="53" t="inlineStr">
        <is>
          <t>Regtech</t>
        </is>
      </c>
      <c r="AM517" s="53" t="inlineStr">
        <is>
          <t>CARBON</t>
        </is>
      </c>
      <c r="AN517" s="53" t="inlineStr">
        <is>
          <t>Technology</t>
        </is>
      </c>
      <c r="AO517" s="53" t="inlineStr">
        <is>
          <t>Development</t>
        </is>
      </c>
      <c r="AP517" s="53" t="inlineStr">
        <is>
          <t>Yes</t>
        </is>
      </c>
      <c r="AQ517" s="53" t="inlineStr">
        <is>
          <t>Product/Project</t>
        </is>
      </c>
      <c r="AR517" s="53" t="inlineStr">
        <is>
          <t>.NET MVC</t>
        </is>
      </c>
      <c r="AS517" s="53" t="inlineStr">
        <is>
          <t>Technical - Developer</t>
        </is>
      </c>
      <c r="AT517" s="53" t="n">
        <v>20</v>
      </c>
      <c r="AU517" s="53" t="inlineStr">
        <is>
          <t>Covered</t>
        </is>
      </c>
      <c r="AV517" s="53" t="inlineStr">
        <is>
          <t>IRIS1986</t>
        </is>
      </c>
      <c r="AW517" s="53" t="inlineStr">
        <is>
          <t>Sarfaraz Badi</t>
        </is>
      </c>
      <c r="AX517" s="53" t="inlineStr">
        <is>
          <t>Technology</t>
        </is>
      </c>
      <c r="AY517" s="53" t="inlineStr">
        <is>
          <t>Engineering &amp; Development</t>
        </is>
      </c>
      <c r="AZ517" s="53" t="inlineStr">
        <is>
          <t>Full-Stack Engineering</t>
        </is>
      </c>
      <c r="BA517" s="53" t="n"/>
      <c r="BB517" s="53" t="n"/>
      <c r="BC517" s="53" t="inlineStr">
        <is>
          <t>Employee</t>
        </is>
      </c>
      <c r="BD517" s="53" t="inlineStr">
        <is>
          <t>Ashish Singhvi</t>
        </is>
      </c>
      <c r="BE517" s="53" t="inlineStr">
        <is>
          <t>Ashish Singhvi</t>
        </is>
      </c>
      <c r="BF517" s="53" t="inlineStr">
        <is>
          <t>No</t>
        </is>
      </c>
      <c r="BG517" s="53" t="inlineStr">
        <is>
          <t>Lead Software Engineer</t>
        </is>
      </c>
      <c r="BH517" s="53" t="inlineStr">
        <is>
          <t>Lead Software Engineer</t>
        </is>
      </c>
      <c r="BI517" s="53" t="inlineStr">
        <is>
          <t>No</t>
        </is>
      </c>
      <c r="BJ517" s="53" t="n">
        <v>4</v>
      </c>
      <c r="BK517" s="53" t="n">
        <v>4</v>
      </c>
      <c r="BL517" s="53" t="n">
        <v>0</v>
      </c>
      <c r="BM517" s="53" t="inlineStr">
        <is>
          <t>Review</t>
        </is>
      </c>
      <c r="BN517" s="53" t="n">
        <v>4</v>
      </c>
      <c r="BO517" s="53" t="n">
        <v>4</v>
      </c>
      <c r="BP517" s="53" t="n">
        <v>0</v>
      </c>
      <c r="BQ517" s="53" t="inlineStr">
        <is>
          <t>Review</t>
        </is>
      </c>
      <c r="BR517" s="53" t="inlineStr">
        <is>
          <t>No</t>
        </is>
      </c>
      <c r="BS517" s="53" t="inlineStr">
        <is>
          <t>L5 – Lead · IC</t>
        </is>
      </c>
      <c r="BT517" s="53" t="inlineStr">
        <is>
          <t>L5 – Lead · IC</t>
        </is>
      </c>
      <c r="BU517" s="53" t="inlineStr">
        <is>
          <t>No designation change — current record value carried forward</t>
        </is>
      </c>
      <c r="BV517" s="53"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W517" s="53" t="n"/>
      <c r="BX517" s="53" t="inlineStr">
        <is>
          <t>Global.</t>
        </is>
      </c>
      <c r="BY517" s="53" t="n"/>
      <c r="BZ517" s="53" t="n"/>
      <c r="CA517" s="53" t="n"/>
      <c r="CB517" s="53" t="n"/>
      <c r="CC517" s="53" t="n"/>
      <c r="CD517" s="53" t="n"/>
      <c r="CE517" s="53" t="n"/>
      <c r="CF517" s="53" t="n"/>
      <c r="CG517" s="53" t="n"/>
      <c r="CH517" s="53" t="n"/>
      <c r="CI517" s="53" t="n"/>
      <c r="CJ517" s="53" t="n"/>
      <c r="CK517" s="53" t="n"/>
      <c r="CL517" s="53" t="n"/>
      <c r="CM517" s="53" t="n"/>
      <c r="CN517" s="53" t="n"/>
      <c r="CO517" s="53" t="n"/>
      <c r="CP517" s="53" t="n"/>
      <c r="CQ517" s="53" t="n"/>
      <c r="CR517" s="53" t="n"/>
      <c r="CS517" s="53" t="n"/>
      <c r="CT517" s="53" t="n"/>
      <c r="CU517" s="53" t="n"/>
      <c r="CV517" s="53" t="n"/>
      <c r="CW517" s="53" t="n"/>
      <c r="CX517" s="53" t="n"/>
      <c r="CY517" s="53" t="n"/>
      <c r="CZ517" s="53" t="n"/>
      <c r="DA517" s="53" t="n"/>
      <c r="DB517" s="53" t="n"/>
      <c r="DC517" s="53" t="n"/>
      <c r="DD517" s="53" t="n"/>
      <c r="DE517" s="53" t="n"/>
      <c r="DF517" s="53" t="n"/>
      <c r="DG517" s="53" t="n"/>
      <c r="DH517" s="53" t="n"/>
      <c r="DI517" s="53" t="n"/>
      <c r="DJ517" s="53" t="n"/>
      <c r="DK517" s="53" t="n"/>
      <c r="DL517" s="53" t="n"/>
      <c r="DM517" s="53" t="n"/>
      <c r="DN517" s="53" t="n"/>
      <c r="DO517" s="53" t="n"/>
      <c r="DP517" s="53" t="n"/>
      <c r="DQ517" s="53" t="n"/>
      <c r="DR517" s="53" t="n"/>
      <c r="DS517" s="53" t="n"/>
      <c r="DT517" s="53" t="n"/>
      <c r="DU517" s="53" t="n"/>
      <c r="DV517" s="53" t="n"/>
      <c r="DW517" s="53" t="n"/>
      <c r="DX517" s="53" t="n"/>
      <c r="DY517" s="53" t="n"/>
      <c r="DZ517" s="53" t="n"/>
      <c r="EA517" s="53" t="n"/>
      <c r="EB517" s="53" t="n"/>
      <c r="EC517" s="53" t="n"/>
      <c r="ED517" s="53" t="n"/>
      <c r="EE517" s="53" t="n"/>
      <c r="EF517" s="53" t="n"/>
      <c r="EG517" s="53" t="n"/>
      <c r="EH517" s="53" t="n"/>
      <c r="EI517" s="53" t="n"/>
      <c r="EJ517" s="53" t="n"/>
      <c r="EK517" s="53" t="n"/>
      <c r="EL517" s="53" t="n"/>
      <c r="EM517" s="53" t="n"/>
      <c r="EN517" s="53" t="n"/>
      <c r="EO517" s="53" t="n"/>
      <c r="EP517" s="53" t="n"/>
      <c r="EQ517" s="53" t="n"/>
      <c r="ER517" s="53" t="n"/>
      <c r="ES517" s="53" t="n"/>
      <c r="ET517" s="53" t="n"/>
      <c r="EU517" s="53" t="n"/>
      <c r="EV517" s="53" t="n"/>
      <c r="EW517" s="52" t="n"/>
      <c r="EX517" s="53"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EY517" s="53"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EZ517" s="53"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FA517" s="53"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B517" s="53" t="inlineStr">
        <is>
          <t>• Key challenges: Unclear requirements; Manual processes; Context switching.
• Support required: AI based training; Clearer ownership, stronger decision-making authority; streamlined processes.</t>
        </is>
      </c>
      <c r="FC517" s="53" t="n"/>
      <c r="FD517" s="53" t="n"/>
      <c r="FE517" s="57"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FF517" s="56" t="n"/>
      <c r="FG517" s="56" t="n"/>
      <c r="FH517" s="56" t="n"/>
      <c r="FI517" s="56" t="n"/>
      <c r="FJ517" s="56" t="inlineStr">
        <is>
          <t>Received · manager annual</t>
        </is>
      </c>
      <c r="FK517" s="56" t="inlineStr">
        <is>
          <t>CARBON Mapping Master</t>
        </is>
      </c>
      <c r="FL517" s="56" t="n">
        <v>20</v>
      </c>
      <c r="FM517" s="56"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FN517" s="56"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FO517" s="56"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FP517" s="56"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Q517" s="56" t="inlineStr">
        <is>
          <t>• Key challenges: Unclear requirements; Manual processes; Context switching.
• Support required: AI based training; Clearer ownership, stronger decision-making authority; streamlined processes.</t>
        </is>
      </c>
      <c r="FR517" s="56" t="inlineStr">
        <is>
          <t>Complexity: Evidence reads like B2: Technical design and leadership; cross-team dependencies, architecture responsibility, AI technology selection → moved down 0.5
Autonomy: Evidence reads like B1: Decides implementation approach, AI technology selection, development priority, problem resolution → moved down 1
Accountability: Evidence reads like B1: Technical design, code quality and team delivery efficiency for a 3-person team → moved down 0.5
Leadership: Evidence reads like B1: Team leadership and guiding team members; code review; 3 direct reports → moved down 0.5
Business Impact: No survey or manager-mapping signal on criticality: kept at the start point.</t>
        </is>
      </c>
      <c r="FS517"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17" s="56" t="inlineStr">
        <is>
          <t>Self-identified: AI / automation · Technical depth &amp; architecture · Broader exposure &amp; ownership
For the next role: AI / automation · Technical depth &amp; architecture · Broader exposure &amp; ownership</t>
        </is>
      </c>
      <c r="FU517" s="56" t="inlineStr">
        <is>
          <t>Per-person summary · CARBON Mapping Master</t>
        </is>
      </c>
    </row>
    <row r="518" ht="90" customHeight="1">
      <c r="A518" s="51" t="inlineStr">
        <is>
          <t>◂ Back</t>
        </is>
      </c>
      <c r="B518" s="29" t="inlineStr">
        <is>
          <t>Mapped</t>
        </is>
      </c>
      <c r="C518" s="28" t="inlineStr">
        <is>
          <t>CARBON</t>
        </is>
      </c>
      <c r="D518" s="29" t="inlineStr">
        <is>
          <t>IRIS2440</t>
        </is>
      </c>
      <c r="E518" s="29" t="inlineStr">
        <is>
          <t>Aniket Kale</t>
        </is>
      </c>
      <c r="F518" s="29" t="inlineStr">
        <is>
          <t>Technology</t>
        </is>
      </c>
      <c r="G518" s="29" t="inlineStr">
        <is>
          <t>Senior Software Engineer</t>
        </is>
      </c>
      <c r="H518" s="29" t="inlineStr">
        <is>
          <t>Senior Software Engineer</t>
        </is>
      </c>
      <c r="I518" s="29" t="inlineStr">
        <is>
          <t>L4 – Senior</t>
        </is>
      </c>
      <c r="J518" s="29" t="inlineStr">
        <is>
          <t>A3</t>
        </is>
      </c>
      <c r="K518" s="29" t="inlineStr">
        <is>
          <t>• Same level</t>
        </is>
      </c>
      <c r="L518" s="29" t="inlineStr">
        <is>
          <t>Engineering &amp; Development</t>
        </is>
      </c>
      <c r="M518" s="29" t="inlineStr">
        <is>
          <t>Backend Development</t>
        </is>
      </c>
      <c r="N518" s="29" t="n"/>
      <c r="O518" s="29" t="n">
        <v>20</v>
      </c>
      <c r="P518" s="28" t="inlineStr">
        <is>
          <t>P2</t>
        </is>
      </c>
      <c r="Q518" s="29" t="inlineStr">
        <is>
          <t>Developing</t>
        </is>
      </c>
      <c r="R518" s="29" t="inlineStr">
        <is>
          <t>3 Apply</t>
        </is>
      </c>
      <c r="S518" s="29" t="inlineStr">
        <is>
          <t>2–4 yrs</t>
        </is>
      </c>
      <c r="T518" s="29" t="inlineStr">
        <is>
          <t>3–5 · 2–5</t>
        </is>
      </c>
      <c r="U518" s="29" t="inlineStr">
        <is>
          <t>Software Engineer</t>
        </is>
      </c>
      <c r="V518" s="29" t="inlineStr">
        <is>
          <t>Workiva: SE · Broadridge India: SE · Nasdaq / AxiomSL: SE · Salesforce: MTS · Atlassian: P40 · 3–7 yrs · Freshworks: Senior SE</t>
        </is>
      </c>
      <c r="W518" s="29" t="inlineStr">
        <is>
          <t>SFIA 9 · software development, programming; OWASP secure coding; cloud vendor certifications</t>
        </is>
      </c>
      <c r="X518" s="29" t="inlineStr">
        <is>
          <t>Core 2 · Future 2 · Functional 3 · Leadership not scored</t>
        </is>
      </c>
      <c r="Y518" s="52" t="n">
        <v>407</v>
      </c>
      <c r="Z518" s="53" t="inlineStr">
        <is>
          <t>IRIS2440</t>
        </is>
      </c>
      <c r="AA518" s="53" t="inlineStr">
        <is>
          <t>Employee</t>
        </is>
      </c>
      <c r="AB518" s="53" t="inlineStr">
        <is>
          <t>Active</t>
        </is>
      </c>
      <c r="AC518" s="53" t="inlineStr">
        <is>
          <t>Aniket Kale</t>
        </is>
      </c>
      <c r="AD518" s="54" t="n">
        <v>45952</v>
      </c>
      <c r="AE518" s="53" t="inlineStr">
        <is>
          <t>Senior Software Engineer</t>
        </is>
      </c>
      <c r="AF518" s="53" t="inlineStr">
        <is>
          <t>B.E</t>
        </is>
      </c>
      <c r="AG518" s="53" t="inlineStr">
        <is>
          <t>Sarfaraz Badi</t>
        </is>
      </c>
      <c r="AH518" s="53" t="inlineStr">
        <is>
          <t>N-3</t>
        </is>
      </c>
      <c r="AI518" s="53" t="inlineStr">
        <is>
          <t>Individual Contributor</t>
        </is>
      </c>
      <c r="AJ518" s="53" t="inlineStr">
        <is>
          <t>6 years, 0 months, 0 days</t>
        </is>
      </c>
      <c r="AK518" s="53" t="inlineStr">
        <is>
          <t>0 years, 10 months, 3 days</t>
        </is>
      </c>
      <c r="AL518" s="53" t="inlineStr">
        <is>
          <t>Regtech</t>
        </is>
      </c>
      <c r="AM518" s="53" t="inlineStr">
        <is>
          <t>CARBON</t>
        </is>
      </c>
      <c r="AN518" s="53" t="inlineStr">
        <is>
          <t>Technology</t>
        </is>
      </c>
      <c r="AO518" s="53" t="inlineStr">
        <is>
          <t>Development</t>
        </is>
      </c>
      <c r="AP518" s="53" t="inlineStr">
        <is>
          <t>Yes</t>
        </is>
      </c>
      <c r="AQ518" s="53" t="inlineStr">
        <is>
          <t>Product/Project</t>
        </is>
      </c>
      <c r="AR518" s="53" t="inlineStr">
        <is>
          <t>.NET MVC</t>
        </is>
      </c>
      <c r="AS518" s="53" t="inlineStr">
        <is>
          <t>Technical - Developer</t>
        </is>
      </c>
      <c r="AT518" s="53" t="n">
        <v>20</v>
      </c>
      <c r="AU518" s="53" t="inlineStr">
        <is>
          <t>Covered</t>
        </is>
      </c>
      <c r="AV518" s="53" t="inlineStr">
        <is>
          <t>IRIS2440</t>
        </is>
      </c>
      <c r="AW518" s="53" t="inlineStr">
        <is>
          <t>Aniket Kale</t>
        </is>
      </c>
      <c r="AX518" s="53" t="inlineStr">
        <is>
          <t>Technology</t>
        </is>
      </c>
      <c r="AY518" s="53" t="inlineStr">
        <is>
          <t>Engineering &amp; Development</t>
        </is>
      </c>
      <c r="AZ518" s="53" t="inlineStr">
        <is>
          <t>Full-Stack Engineering</t>
        </is>
      </c>
      <c r="BA518" s="53" t="n"/>
      <c r="BB518" s="53" t="n"/>
      <c r="BC518" s="53" t="inlineStr">
        <is>
          <t>Employee</t>
        </is>
      </c>
      <c r="BD518" s="53" t="inlineStr">
        <is>
          <t>Sarfaraz Badi</t>
        </is>
      </c>
      <c r="BE518" s="53" t="inlineStr">
        <is>
          <t>Sarfaraz Badi</t>
        </is>
      </c>
      <c r="BF518" s="53" t="inlineStr">
        <is>
          <t>No</t>
        </is>
      </c>
      <c r="BG518" s="53" t="inlineStr">
        <is>
          <t>Senior Software Engineer</t>
        </is>
      </c>
      <c r="BH518" s="53" t="inlineStr">
        <is>
          <t>Senior Software Engineer</t>
        </is>
      </c>
      <c r="BI518" s="53" t="inlineStr">
        <is>
          <t>No</t>
        </is>
      </c>
      <c r="BJ518" s="53" t="inlineStr">
        <is>
          <t>—</t>
        </is>
      </c>
      <c r="BK518" s="53" t="inlineStr">
        <is>
          <t>—</t>
        </is>
      </c>
      <c r="BL518" s="53" t="inlineStr">
        <is>
          <t>—</t>
        </is>
      </c>
      <c r="BM518" s="53" t="inlineStr">
        <is>
          <t>Not a manager</t>
        </is>
      </c>
      <c r="BN518" s="53" t="inlineStr">
        <is>
          <t>—</t>
        </is>
      </c>
      <c r="BO518" s="53" t="inlineStr">
        <is>
          <t>—</t>
        </is>
      </c>
      <c r="BP518" s="53" t="inlineStr">
        <is>
          <t>—</t>
        </is>
      </c>
      <c r="BQ518" s="53" t="inlineStr">
        <is>
          <t>Not a manager</t>
        </is>
      </c>
      <c r="BR518" s="53" t="inlineStr">
        <is>
          <t>—</t>
        </is>
      </c>
      <c r="BS518" s="53" t="inlineStr">
        <is>
          <t>L4 – Senior</t>
        </is>
      </c>
      <c r="BT518" s="53" t="inlineStr">
        <is>
          <t>L4 – Senior</t>
        </is>
      </c>
      <c r="BU518" s="53" t="inlineStr">
        <is>
          <t>No designation change — current record value carried forward</t>
        </is>
      </c>
      <c r="BV518" s="53"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W518" s="53" t="n"/>
      <c r="BX518" s="53" t="inlineStr">
        <is>
          <t>Global.</t>
        </is>
      </c>
      <c r="BY518" s="53" t="n"/>
      <c r="BZ518" s="53" t="n"/>
      <c r="CA518" s="53" t="n"/>
      <c r="CB518" s="53" t="n"/>
      <c r="CC518" s="53" t="n"/>
      <c r="CD518" s="53" t="n"/>
      <c r="CE518" s="53" t="n"/>
      <c r="CF518" s="53" t="n"/>
      <c r="CG518" s="53" t="n"/>
      <c r="CH518" s="53" t="n"/>
      <c r="CI518" s="53" t="n"/>
      <c r="CJ518" s="53" t="n"/>
      <c r="CK518" s="53" t="n"/>
      <c r="CL518" s="53" t="n"/>
      <c r="CM518" s="53" t="n"/>
      <c r="CN518" s="53" t="n"/>
      <c r="CO518" s="53" t="n"/>
      <c r="CP518" s="53" t="n"/>
      <c r="CQ518" s="53" t="n"/>
      <c r="CR518" s="53" t="n"/>
      <c r="CS518" s="53" t="n"/>
      <c r="CT518" s="53" t="n"/>
      <c r="CU518" s="53" t="n"/>
      <c r="CV518" s="53" t="n"/>
      <c r="CW518" s="53" t="n"/>
      <c r="CX518" s="53" t="n"/>
      <c r="CY518" s="53" t="n"/>
      <c r="CZ518" s="53" t="n"/>
      <c r="DA518" s="53" t="n"/>
      <c r="DB518" s="53" t="n"/>
      <c r="DC518" s="53" t="n"/>
      <c r="DD518" s="53" t="n"/>
      <c r="DE518" s="53" t="n"/>
      <c r="DF518" s="53" t="n"/>
      <c r="DG518" s="53" t="n"/>
      <c r="DH518" s="53" t="n"/>
      <c r="DI518" s="53" t="n"/>
      <c r="DJ518" s="53" t="n"/>
      <c r="DK518" s="53" t="n"/>
      <c r="DL518" s="53" t="n"/>
      <c r="DM518" s="53" t="n"/>
      <c r="DN518" s="53" t="n"/>
      <c r="DO518" s="53" t="n"/>
      <c r="DP518" s="53" t="n"/>
      <c r="DQ518" s="53" t="n"/>
      <c r="DR518" s="53" t="n"/>
      <c r="DS518" s="53" t="n"/>
      <c r="DT518" s="53" t="n"/>
      <c r="DU518" s="53" t="n"/>
      <c r="DV518" s="53" t="n"/>
      <c r="DW518" s="53" t="n"/>
      <c r="DX518" s="53" t="n"/>
      <c r="DY518" s="53" t="n"/>
      <c r="DZ518" s="53" t="n"/>
      <c r="EA518" s="53" t="n"/>
      <c r="EB518" s="53" t="n"/>
      <c r="EC518" s="53" t="n"/>
      <c r="ED518" s="53" t="n"/>
      <c r="EE518" s="53" t="n"/>
      <c r="EF518" s="53" t="n"/>
      <c r="EG518" s="53" t="n"/>
      <c r="EH518" s="53" t="n"/>
      <c r="EI518" s="53" t="n"/>
      <c r="EJ518" s="53" t="n"/>
      <c r="EK518" s="53" t="n"/>
      <c r="EL518" s="53" t="n"/>
      <c r="EM518" s="53" t="n"/>
      <c r="EN518" s="53" t="n"/>
      <c r="EO518" s="53" t="n"/>
      <c r="EP518" s="53" t="n"/>
      <c r="EQ518" s="53" t="n"/>
      <c r="ER518" s="53" t="n"/>
      <c r="ES518" s="53" t="n"/>
      <c r="ET518" s="53" t="n"/>
      <c r="EU518" s="53" t="n"/>
      <c r="EV518" s="53" t="n"/>
      <c r="EW518" s="52" t="n"/>
      <c r="EX518" s="53"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EY518" s="53"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EZ518" s="53" t="inlineStr">
        <is>
          <t>• Current capabilities: Scalability; Technical knowledge.
• Tools / software used: VS code AI tools VS.
• Workload: Rated a moderate load · 3/5 in a typical week.
• Judgment/way of working: Team Coordination.</t>
        </is>
      </c>
      <c r="FA518" s="53" t="inlineStr">
        <is>
          <t>• Development priorities: More exposure to DevOps and AI.
• Learning and Development Need: Handling people at workplace with better communication.</t>
        </is>
      </c>
      <c r="FB518" s="53" t="inlineStr">
        <is>
          <t>• Key challenges: No input received.
• Support required: More Work Flexibility; Better AI tools.</t>
        </is>
      </c>
      <c r="FC518" s="53" t="n"/>
      <c r="FD518" s="53" t="n"/>
      <c r="FE518" s="57"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FF518" s="56" t="n"/>
      <c r="FG518" s="56" t="n"/>
      <c r="FH518" s="56" t="n"/>
      <c r="FI518" s="56" t="n"/>
      <c r="FJ518" s="56" t="inlineStr">
        <is>
          <t>Received · manager annual</t>
        </is>
      </c>
      <c r="FK518" s="56" t="inlineStr">
        <is>
          <t>CARBON Mapping Master</t>
        </is>
      </c>
      <c r="FL518" s="56" t="n">
        <v>20</v>
      </c>
      <c r="FM518" s="56"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FN518" s="56"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FO518" s="56" t="inlineStr">
        <is>
          <t>• Current capabilities: Scalability; Technical knowledge.
• Tools / software used: VS code AI tools VS.
• Workload: Rated a moderate load · 3/5 in a typical week.
• Judgment/way of working: Team Coordination.</t>
        </is>
      </c>
      <c r="FP518" s="56" t="inlineStr">
        <is>
          <t>• Development priorities: More exposure to DevOps and AI.
• Learning and Development Need: Handling people at workplace with better communication.</t>
        </is>
      </c>
      <c r="FQ518" s="56" t="inlineStr">
        <is>
          <t>• Key challenges: No input received.
• Support required: More Work Flexibility; Better AI tools.</t>
        </is>
      </c>
      <c r="FR518" s="56" t="inlineStr">
        <is>
          <t>Complexity: Evidence reads like A3: Handles production issues, builds release packages, works on new POCs → matches the start
Autonomy: Evidence reads like A3: Decides code changes; mentors juniors → matches the start
Accountability: Evidence reads like A3: Solutions owned; production issue fixes and release packages → matches the start
Leadership: Evidence reads like A3: Mentors juniors and assists team members to finish work on time → moved up 0.5
Business Impact: No survey or manager-mapping signal on criticality: kept at the start point.</t>
        </is>
      </c>
      <c r="FS51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18" s="56" t="inlineStr">
        <is>
          <t>Self-identified: AI / automation · Technical depth &amp; architecture · Broader exposure &amp; ownership
For the next role: AI / automation · Technical depth &amp; architecture · Broader exposure &amp; ownership</t>
        </is>
      </c>
      <c r="FU518" s="56" t="inlineStr">
        <is>
          <t>Per-person summary · CARBON Mapping Master</t>
        </is>
      </c>
    </row>
    <row r="519" ht="90" customHeight="1">
      <c r="A519" s="51" t="inlineStr">
        <is>
          <t>◂ Back</t>
        </is>
      </c>
      <c r="B519" s="29" t="inlineStr">
        <is>
          <t>Mapped</t>
        </is>
      </c>
      <c r="C519" s="28" t="inlineStr">
        <is>
          <t>CARBON</t>
        </is>
      </c>
      <c r="D519" s="29" t="inlineStr">
        <is>
          <t>IRIS2434</t>
        </is>
      </c>
      <c r="E519" s="29" t="inlineStr">
        <is>
          <t>Prachi Digambar Raut</t>
        </is>
      </c>
      <c r="F519" s="29" t="inlineStr">
        <is>
          <t>Technology</t>
        </is>
      </c>
      <c r="G519" s="29" t="inlineStr">
        <is>
          <t>Software Engineer</t>
        </is>
      </c>
      <c r="H519" s="29" t="inlineStr">
        <is>
          <t>Senior Software Engineer</t>
        </is>
      </c>
      <c r="I519" s="29" t="inlineStr">
        <is>
          <t>L3 – Professional / Associate</t>
        </is>
      </c>
      <c r="J519" s="29" t="inlineStr">
        <is>
          <t>A3</t>
        </is>
      </c>
      <c r="K519" s="29" t="inlineStr">
        <is>
          <t>▲ Up</t>
        </is>
      </c>
      <c r="L519" s="29" t="inlineStr">
        <is>
          <t>Engineering &amp; Development</t>
        </is>
      </c>
      <c r="M519" s="29" t="inlineStr">
        <is>
          <t>Full-Stack Development</t>
        </is>
      </c>
      <c r="N519" s="29" t="inlineStr">
        <is>
          <t>• Confirm the reporting line — Manager</t>
        </is>
      </c>
      <c r="O519" s="29" t="n">
        <v>20</v>
      </c>
      <c r="P519" s="28" t="inlineStr">
        <is>
          <t>P2</t>
        </is>
      </c>
      <c r="Q519" s="29" t="inlineStr">
        <is>
          <t>Developing</t>
        </is>
      </c>
      <c r="R519" s="29" t="inlineStr">
        <is>
          <t>3 Apply</t>
        </is>
      </c>
      <c r="S519" s="29" t="inlineStr">
        <is>
          <t>2–4 yrs</t>
        </is>
      </c>
      <c r="T519" s="29" t="inlineStr">
        <is>
          <t>3–5 · 2–5</t>
        </is>
      </c>
      <c r="U519" s="29" t="inlineStr">
        <is>
          <t>Software Engineer</t>
        </is>
      </c>
      <c r="V519" s="29" t="inlineStr">
        <is>
          <t>Workiva: SE · Broadridge India: SE · Nasdaq / AxiomSL: SE · Salesforce: MTS · Atlassian: P40 · 3–7 yrs · Freshworks: Senior SE</t>
        </is>
      </c>
      <c r="W519" s="29" t="inlineStr">
        <is>
          <t>SFIA 9 · software development, programming; OWASP secure coding; cloud vendor certifications</t>
        </is>
      </c>
      <c r="X519" s="29" t="inlineStr">
        <is>
          <t>Core 2 · Future 2 · Functional 3 · Leadership not scored</t>
        </is>
      </c>
      <c r="Y519" s="52" t="n">
        <v>402</v>
      </c>
      <c r="Z519" s="53" t="inlineStr">
        <is>
          <t>IRIS2434</t>
        </is>
      </c>
      <c r="AA519" s="53" t="inlineStr">
        <is>
          <t>Employee</t>
        </is>
      </c>
      <c r="AB519" s="53" t="inlineStr">
        <is>
          <t>Active</t>
        </is>
      </c>
      <c r="AC519" s="53" t="inlineStr">
        <is>
          <t>Prachi Digambar Raut</t>
        </is>
      </c>
      <c r="AD519" s="54" t="n">
        <v>45925</v>
      </c>
      <c r="AE519" s="53" t="inlineStr">
        <is>
          <t>Software Engineer</t>
        </is>
      </c>
      <c r="AF519" s="53" t="inlineStr">
        <is>
          <t>BCA</t>
        </is>
      </c>
      <c r="AG519" s="53" t="inlineStr">
        <is>
          <t>Sarfaraz Badi</t>
        </is>
      </c>
      <c r="AH519" s="53" t="inlineStr">
        <is>
          <t>N-3</t>
        </is>
      </c>
      <c r="AI519" s="53" t="inlineStr">
        <is>
          <t>Manager</t>
        </is>
      </c>
      <c r="AJ519" s="53" t="inlineStr">
        <is>
          <t>3 years, 2 months, 00 days</t>
        </is>
      </c>
      <c r="AK519" s="53" t="inlineStr">
        <is>
          <t>0 years, 11 months, 0 days</t>
        </is>
      </c>
      <c r="AL519" s="53" t="inlineStr">
        <is>
          <t>Regtech</t>
        </is>
      </c>
      <c r="AM519" s="53" t="inlineStr">
        <is>
          <t>CARBON</t>
        </is>
      </c>
      <c r="AN519" s="53" t="inlineStr">
        <is>
          <t>Technology</t>
        </is>
      </c>
      <c r="AO519" s="53" t="inlineStr">
        <is>
          <t>Development</t>
        </is>
      </c>
      <c r="AP519" s="53" t="inlineStr">
        <is>
          <t>Yes</t>
        </is>
      </c>
      <c r="AQ519" s="53" t="inlineStr">
        <is>
          <t>Product/Project</t>
        </is>
      </c>
      <c r="AR519" s="53" t="inlineStr">
        <is>
          <t>.NET MVC + React</t>
        </is>
      </c>
      <c r="AS519" s="53" t="inlineStr">
        <is>
          <t>Technical - Developer</t>
        </is>
      </c>
      <c r="AT519" s="53" t="n">
        <v>20</v>
      </c>
      <c r="AU519" s="53" t="inlineStr">
        <is>
          <t>Covered</t>
        </is>
      </c>
      <c r="AV519" s="53" t="inlineStr">
        <is>
          <t>IRIS2434</t>
        </is>
      </c>
      <c r="AW519" s="53" t="inlineStr">
        <is>
          <t>Prachi Digambar Raut</t>
        </is>
      </c>
      <c r="AX519" s="53" t="inlineStr">
        <is>
          <t>Technology</t>
        </is>
      </c>
      <c r="AY519" s="53" t="inlineStr">
        <is>
          <t>Engineering &amp; Development</t>
        </is>
      </c>
      <c r="AZ519" s="53" t="inlineStr">
        <is>
          <t>Full-Stack Engineering</t>
        </is>
      </c>
      <c r="BA519" s="53" t="n"/>
      <c r="BB519" s="53" t="n"/>
      <c r="BC519" s="53" t="inlineStr">
        <is>
          <t>Employee</t>
        </is>
      </c>
      <c r="BD519" s="53" t="inlineStr">
        <is>
          <t>Sarfaraz Badi</t>
        </is>
      </c>
      <c r="BE519" s="53" t="inlineStr">
        <is>
          <t>Sarfaraz Badi</t>
        </is>
      </c>
      <c r="BF519" s="53" t="inlineStr">
        <is>
          <t>No</t>
        </is>
      </c>
      <c r="BG519" s="53" t="inlineStr">
        <is>
          <t>Software Engineer</t>
        </is>
      </c>
      <c r="BH519" s="53" t="inlineStr">
        <is>
          <t>Software Engineer</t>
        </is>
      </c>
      <c r="BI519" s="53" t="inlineStr">
        <is>
          <t>No</t>
        </is>
      </c>
      <c r="BJ519" s="53" t="n">
        <v>4</v>
      </c>
      <c r="BK519" s="53" t="n">
        <v>4</v>
      </c>
      <c r="BL519" s="53" t="n">
        <v>0</v>
      </c>
      <c r="BM519" s="53" t="inlineStr">
        <is>
          <t>Review</t>
        </is>
      </c>
      <c r="BN519" s="53" t="n">
        <v>4</v>
      </c>
      <c r="BO519" s="53" t="n">
        <v>4</v>
      </c>
      <c r="BP519" s="53" t="n">
        <v>0</v>
      </c>
      <c r="BQ519" s="53" t="inlineStr">
        <is>
          <t>Review</t>
        </is>
      </c>
      <c r="BR519" s="53" t="inlineStr">
        <is>
          <t>No</t>
        </is>
      </c>
      <c r="BS519" s="53" t="inlineStr">
        <is>
          <t>L3 – Professional / Associate</t>
        </is>
      </c>
      <c r="BT519" s="53" t="inlineStr">
        <is>
          <t>L3 – Professional / Associate</t>
        </is>
      </c>
      <c r="BU519" s="53" t="inlineStr">
        <is>
          <t>No designation change — current record value carried forward</t>
        </is>
      </c>
      <c r="BV519" s="53"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W519" s="53" t="n"/>
      <c r="BX519" s="53" t="inlineStr">
        <is>
          <t>India</t>
        </is>
      </c>
      <c r="BY519" s="53" t="n"/>
      <c r="BZ519" s="53" t="n"/>
      <c r="CA519" s="53" t="n"/>
      <c r="CB519" s="53" t="n"/>
      <c r="CC519" s="53" t="n"/>
      <c r="CD519" s="53" t="n"/>
      <c r="CE519" s="53" t="n"/>
      <c r="CF519" s="53" t="n"/>
      <c r="CG519" s="53" t="n"/>
      <c r="CH519" s="53" t="n"/>
      <c r="CI519" s="53" t="n"/>
      <c r="CJ519" s="53" t="n"/>
      <c r="CK519" s="53" t="n"/>
      <c r="CL519" s="53" t="n"/>
      <c r="CM519" s="53" t="n"/>
      <c r="CN519" s="53" t="n"/>
      <c r="CO519" s="53" t="n"/>
      <c r="CP519" s="53" t="n"/>
      <c r="CQ519" s="53" t="n"/>
      <c r="CR519" s="53" t="n"/>
      <c r="CS519" s="53" t="n"/>
      <c r="CT519" s="53" t="n"/>
      <c r="CU519" s="53" t="n"/>
      <c r="CV519" s="53" t="n"/>
      <c r="CW519" s="53" t="n"/>
      <c r="CX519" s="53" t="n"/>
      <c r="CY519" s="53" t="n"/>
      <c r="CZ519" s="53" t="n"/>
      <c r="DA519" s="53" t="n"/>
      <c r="DB519" s="53" t="n"/>
      <c r="DC519" s="53" t="n"/>
      <c r="DD519" s="53" t="n"/>
      <c r="DE519" s="53" t="n"/>
      <c r="DF519" s="53" t="n"/>
      <c r="DG519" s="53" t="n"/>
      <c r="DH519" s="53" t="n"/>
      <c r="DI519" s="53" t="n"/>
      <c r="DJ519" s="53" t="n"/>
      <c r="DK519" s="53" t="n"/>
      <c r="DL519" s="53" t="n"/>
      <c r="DM519" s="53" t="n"/>
      <c r="DN519" s="53" t="n"/>
      <c r="DO519" s="53" t="n"/>
      <c r="DP519" s="53" t="n"/>
      <c r="DQ519" s="53" t="n"/>
      <c r="DR519" s="53" t="n"/>
      <c r="DS519" s="53" t="n"/>
      <c r="DT519" s="53" t="n"/>
      <c r="DU519" s="53" t="n"/>
      <c r="DV519" s="53" t="n"/>
      <c r="DW519" s="53" t="n"/>
      <c r="DX519" s="53" t="n"/>
      <c r="DY519" s="53" t="n"/>
      <c r="DZ519" s="53" t="n"/>
      <c r="EA519" s="53" t="n"/>
      <c r="EB519" s="53" t="n"/>
      <c r="EC519" s="53" t="n"/>
      <c r="ED519" s="53" t="n"/>
      <c r="EE519" s="53" t="n"/>
      <c r="EF519" s="53" t="n"/>
      <c r="EG519" s="53" t="n"/>
      <c r="EH519" s="53" t="n"/>
      <c r="EI519" s="53" t="n"/>
      <c r="EJ519" s="53" t="n"/>
      <c r="EK519" s="53" t="n"/>
      <c r="EL519" s="53" t="n"/>
      <c r="EM519" s="53" t="n"/>
      <c r="EN519" s="53" t="n"/>
      <c r="EO519" s="53" t="n"/>
      <c r="EP519" s="53" t="n"/>
      <c r="EQ519" s="53" t="n"/>
      <c r="ER519" s="53" t="n"/>
      <c r="ES519" s="53" t="n"/>
      <c r="ET519" s="53" t="n"/>
      <c r="EU519" s="53" t="n"/>
      <c r="EV519" s="53" t="n"/>
      <c r="EW519" s="52" t="n"/>
      <c r="EX519" s="53" t="inlineStr">
        <is>
          <t>My current role is Software Engineer, developing features, provide optimized solutions, brainstorming with team members for gathering ideas, Guiding team members as i m in a managerial background also; Brainstorming</t>
        </is>
      </c>
      <c r="EY519" s="53"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EZ519" s="53" t="inlineStr">
        <is>
          <t>OOPs and database design; Copilot; Brainstorming with team member coz discussion takes our thinking out of the box or can include the edge cases which we missed</t>
        </is>
      </c>
      <c r="FA519" s="53" t="inlineStr">
        <is>
          <t>Enhance more managerial skills, time management, Command in any suggestions or task assignments; Appreciation and Guidance; I m already in a managerial role but need to learn more about handling urgent situations, task delegation</t>
        </is>
      </c>
      <c r="FB519" s="53" t="inlineStr">
        <is>
          <t>Many tasks and urgency; Clear Requirements, if major changes in requirement then discuss it and provide proper time to do it, proper discussions with involvement of complete team.</t>
        </is>
      </c>
      <c r="FC519" s="53" t="n"/>
      <c r="FD519" s="53" t="n"/>
      <c r="FE519" s="57"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FF519" s="56" t="n"/>
      <c r="FG519" s="56" t="n"/>
      <c r="FH519" s="56" t="n"/>
      <c r="FI519" s="56" t="n"/>
      <c r="FJ519" s="56" t="inlineStr">
        <is>
          <t>Received · manager annual</t>
        </is>
      </c>
      <c r="FK519" s="56" t="inlineStr">
        <is>
          <t>CARBON Mapping Master</t>
        </is>
      </c>
      <c r="FL519" s="56" t="n">
        <v>20</v>
      </c>
      <c r="FM519" s="56" t="inlineStr">
        <is>
          <t>My current role is Software Engineer, developing features, provide optimized solutions, brainstorming with team members for gathering ideas, Guiding team members as i m in a managerial background also; Brainstorming</t>
        </is>
      </c>
      <c r="FN519" s="56"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FO519" s="56" t="inlineStr">
        <is>
          <t>OOPs and database design; Copilot; Brainstorming with team member coz discussion takes our thinking out of the box or can include the edge cases which we missed</t>
        </is>
      </c>
      <c r="FP519" s="56" t="inlineStr">
        <is>
          <t>Enhance more managerial skills, time management, Command in any suggestions or task assignments; Appreciation and Guidance; I m already in a managerial role but need to learn more about handling urgent situations, task delegation</t>
        </is>
      </c>
      <c r="FQ519" s="56" t="inlineStr">
        <is>
          <t>Many tasks and urgency; Clear Requirements, if major changes in requirement then discuss it and provide proper time to do it, proper discussions with involvement of complete team.</t>
        </is>
      </c>
      <c r="FR519" s="56" t="inlineStr">
        <is>
          <t>Complexity: Evidence reads like A2: Feature development and report generation; OOP and database design; no specifics beyond that → matches the start
Autonomy: Evidence reads like A2: Only 'brainstorming' listed; discusses with team and informs higher authorities on issues → moved down 0.5
Accountability: Evidence reads like A2: Describes accountability as shared by the team, not personal → moved down 0.5
Leadership: Evidence reads like A3: Guides team members and brainstorms with them; 4 reports, no allocation described → moved down 0.5</t>
        </is>
      </c>
      <c r="FS519"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19" s="56" t="inlineStr">
        <is>
          <t>Self-identified: Leadership &amp; people management
For the next role: Leadership &amp; people management</t>
        </is>
      </c>
      <c r="FU519" s="56" t="inlineStr">
        <is>
          <t>Per-person summary · CARBON Mapping Master</t>
        </is>
      </c>
    </row>
    <row r="520" ht="90" customHeight="1">
      <c r="A520" s="51" t="inlineStr">
        <is>
          <t>◂ Back</t>
        </is>
      </c>
      <c r="B520" s="29" t="inlineStr">
        <is>
          <t>Mapped</t>
        </is>
      </c>
      <c r="C520" s="28" t="inlineStr">
        <is>
          <t>CARBON</t>
        </is>
      </c>
      <c r="D520" s="29" t="inlineStr">
        <is>
          <t>IRIS2473</t>
        </is>
      </c>
      <c r="E520" s="29" t="inlineStr">
        <is>
          <t>Anuj Pardeshi</t>
        </is>
      </c>
      <c r="F520" s="29" t="inlineStr">
        <is>
          <t>Technology</t>
        </is>
      </c>
      <c r="G520" s="29" t="inlineStr">
        <is>
          <t>Software Engineer</t>
        </is>
      </c>
      <c r="H520" s="29" t="inlineStr">
        <is>
          <t>Senior Software Engineer</t>
        </is>
      </c>
      <c r="I520" s="29" t="inlineStr">
        <is>
          <t>L3 – Professional / Associate</t>
        </is>
      </c>
      <c r="J520" s="29" t="inlineStr">
        <is>
          <t>A3</t>
        </is>
      </c>
      <c r="K520" s="29" t="inlineStr">
        <is>
          <t>▲ Up</t>
        </is>
      </c>
      <c r="L520" s="29" t="inlineStr">
        <is>
          <t>Engineering &amp; Development</t>
        </is>
      </c>
      <c r="M520" s="29" t="inlineStr">
        <is>
          <t>Full-Stack Development</t>
        </is>
      </c>
      <c r="N520" s="29" t="n"/>
      <c r="O520" s="29" t="n">
        <v>20</v>
      </c>
      <c r="P520" s="28" t="inlineStr">
        <is>
          <t>P2</t>
        </is>
      </c>
      <c r="Q520" s="29" t="inlineStr">
        <is>
          <t>Developing</t>
        </is>
      </c>
      <c r="R520" s="29" t="inlineStr">
        <is>
          <t>3 Apply</t>
        </is>
      </c>
      <c r="S520" s="29" t="inlineStr">
        <is>
          <t>2–4 yrs</t>
        </is>
      </c>
      <c r="T520" s="29" t="inlineStr">
        <is>
          <t>3–5 · 2–5</t>
        </is>
      </c>
      <c r="U520" s="29" t="inlineStr">
        <is>
          <t>Software Engineer</t>
        </is>
      </c>
      <c r="V520" s="29" t="inlineStr">
        <is>
          <t>Workiva: SE · Broadridge India: SE · Nasdaq / AxiomSL: SE · Salesforce: MTS · Atlassian: P40 · 3–7 yrs · Freshworks: Senior SE</t>
        </is>
      </c>
      <c r="W520" s="29" t="inlineStr">
        <is>
          <t>SFIA 9 · software development, programming; OWASP secure coding; cloud vendor certifications</t>
        </is>
      </c>
      <c r="X520" s="29" t="inlineStr">
        <is>
          <t>Core 2 · Future 2 · Functional 3 · Leadership not scored</t>
        </is>
      </c>
      <c r="Y520" s="52" t="n">
        <v>446</v>
      </c>
      <c r="Z520" s="53" t="inlineStr">
        <is>
          <t>IRIS2473</t>
        </is>
      </c>
      <c r="AA520" s="53" t="inlineStr">
        <is>
          <t>Employee</t>
        </is>
      </c>
      <c r="AB520" s="53" t="inlineStr">
        <is>
          <t>Serving Notice</t>
        </is>
      </c>
      <c r="AC520" s="53" t="inlineStr">
        <is>
          <t>Anuj Pardeshi</t>
        </is>
      </c>
      <c r="AD520" s="54" t="n">
        <v>46055</v>
      </c>
      <c r="AE520" s="53" t="inlineStr">
        <is>
          <t>Software Engineer</t>
        </is>
      </c>
      <c r="AF520" s="53" t="inlineStr">
        <is>
          <t>B.Tech</t>
        </is>
      </c>
      <c r="AG520" s="53" t="inlineStr">
        <is>
          <t>Prachi Digambar Raut</t>
        </is>
      </c>
      <c r="AH520" s="53" t="inlineStr">
        <is>
          <t>N-4</t>
        </is>
      </c>
      <c r="AI520" s="53" t="inlineStr">
        <is>
          <t>Individual Contributor</t>
        </is>
      </c>
      <c r="AJ520" s="53" t="inlineStr">
        <is>
          <t>3 years, 5 months, 0 days</t>
        </is>
      </c>
      <c r="AK520" s="53" t="inlineStr">
        <is>
          <t>0 years, 6 months, 23 days</t>
        </is>
      </c>
      <c r="AL520" s="53" t="inlineStr">
        <is>
          <t>Regtech</t>
        </is>
      </c>
      <c r="AM520" s="53" t="inlineStr">
        <is>
          <t>CARBON</t>
        </is>
      </c>
      <c r="AN520" s="53" t="inlineStr">
        <is>
          <t>Technology</t>
        </is>
      </c>
      <c r="AO520" s="53" t="inlineStr">
        <is>
          <t>Development</t>
        </is>
      </c>
      <c r="AP520" s="53" t="inlineStr">
        <is>
          <t>Yes</t>
        </is>
      </c>
      <c r="AQ520" s="53" t="inlineStr">
        <is>
          <t>Product/Project</t>
        </is>
      </c>
      <c r="AR520" s="53" t="inlineStr">
        <is>
          <t>.NET MVC + React</t>
        </is>
      </c>
      <c r="AS520" s="53" t="inlineStr">
        <is>
          <t>Technical - Developer</t>
        </is>
      </c>
      <c r="AT520" s="53" t="n">
        <v>20</v>
      </c>
      <c r="AU520" s="53" t="inlineStr">
        <is>
          <t>Covered</t>
        </is>
      </c>
      <c r="AV520" s="53" t="inlineStr">
        <is>
          <t>IRIS2473</t>
        </is>
      </c>
      <c r="AW520" s="53" t="inlineStr">
        <is>
          <t>Anuj Pardeshi</t>
        </is>
      </c>
      <c r="AX520" s="53" t="inlineStr">
        <is>
          <t>Technology</t>
        </is>
      </c>
      <c r="AY520" s="53" t="inlineStr">
        <is>
          <t>Engineering &amp; Development</t>
        </is>
      </c>
      <c r="AZ520" s="53" t="inlineStr">
        <is>
          <t>Backend Engineering ·.NET</t>
        </is>
      </c>
      <c r="BA520" s="53" t="n"/>
      <c r="BB520" s="53" t="n"/>
      <c r="BC520" s="53" t="inlineStr">
        <is>
          <t>Employee</t>
        </is>
      </c>
      <c r="BD520" s="53" t="inlineStr">
        <is>
          <t>Prachi Digambar Raut</t>
        </is>
      </c>
      <c r="BE520" s="53" t="inlineStr">
        <is>
          <t>Prachi Digambar Raut</t>
        </is>
      </c>
      <c r="BF520" s="53" t="inlineStr">
        <is>
          <t>No</t>
        </is>
      </c>
      <c r="BG520" s="53" t="inlineStr">
        <is>
          <t>Software Engineer</t>
        </is>
      </c>
      <c r="BH520" s="53" t="inlineStr">
        <is>
          <t>Software Engineer</t>
        </is>
      </c>
      <c r="BI520" s="53" t="inlineStr">
        <is>
          <t>No</t>
        </is>
      </c>
      <c r="BJ520" s="53" t="inlineStr">
        <is>
          <t>—</t>
        </is>
      </c>
      <c r="BK520" s="53" t="inlineStr">
        <is>
          <t>—</t>
        </is>
      </c>
      <c r="BL520" s="53" t="inlineStr">
        <is>
          <t>—</t>
        </is>
      </c>
      <c r="BM520" s="53" t="inlineStr">
        <is>
          <t>Not a manager</t>
        </is>
      </c>
      <c r="BN520" s="53" t="inlineStr">
        <is>
          <t>—</t>
        </is>
      </c>
      <c r="BO520" s="53" t="inlineStr">
        <is>
          <t>—</t>
        </is>
      </c>
      <c r="BP520" s="53" t="inlineStr">
        <is>
          <t>—</t>
        </is>
      </c>
      <c r="BQ520" s="53" t="inlineStr">
        <is>
          <t>Not a manager</t>
        </is>
      </c>
      <c r="BR520" s="53" t="inlineStr">
        <is>
          <t>—</t>
        </is>
      </c>
      <c r="BS520" s="53" t="inlineStr">
        <is>
          <t>L3 – Professional / Associate</t>
        </is>
      </c>
      <c r="BT520" s="53" t="inlineStr">
        <is>
          <t>L3 – Professional / Associate</t>
        </is>
      </c>
      <c r="BU520" s="53" t="inlineStr">
        <is>
          <t>No designation change — current record value carried forward</t>
        </is>
      </c>
      <c r="BV520" s="53"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W520" s="53" t="n"/>
      <c r="BX520" s="53" t="inlineStr">
        <is>
          <t>India</t>
        </is>
      </c>
      <c r="BY520" s="53" t="n"/>
      <c r="BZ520" s="53" t="n"/>
      <c r="CA520" s="53" t="n"/>
      <c r="CB520" s="53" t="n"/>
      <c r="CC520" s="53" t="n"/>
      <c r="CD520" s="53" t="n"/>
      <c r="CE520" s="53" t="n"/>
      <c r="CF520" s="53" t="n"/>
      <c r="CG520" s="53" t="n"/>
      <c r="CH520" s="53" t="n"/>
      <c r="CI520" s="53" t="n"/>
      <c r="CJ520" s="53" t="n"/>
      <c r="CK520" s="53" t="n"/>
      <c r="CL520" s="53" t="n"/>
      <c r="CM520" s="53" t="n"/>
      <c r="CN520" s="53" t="n"/>
      <c r="CO520" s="53" t="n"/>
      <c r="CP520" s="53" t="n"/>
      <c r="CQ520" s="53" t="n"/>
      <c r="CR520" s="53" t="n"/>
      <c r="CS520" s="53" t="n"/>
      <c r="CT520" s="53" t="n"/>
      <c r="CU520" s="53" t="n"/>
      <c r="CV520" s="53" t="n"/>
      <c r="CW520" s="53" t="n"/>
      <c r="CX520" s="53" t="n"/>
      <c r="CY520" s="53" t="n"/>
      <c r="CZ520" s="53" t="n"/>
      <c r="DA520" s="53" t="n"/>
      <c r="DB520" s="53" t="n"/>
      <c r="DC520" s="53" t="n"/>
      <c r="DD520" s="53" t="n"/>
      <c r="DE520" s="53" t="n"/>
      <c r="DF520" s="53" t="n"/>
      <c r="DG520" s="53" t="n"/>
      <c r="DH520" s="53" t="n"/>
      <c r="DI520" s="53" t="n"/>
      <c r="DJ520" s="53" t="n"/>
      <c r="DK520" s="53" t="n"/>
      <c r="DL520" s="53" t="n"/>
      <c r="DM520" s="53" t="n"/>
      <c r="DN520" s="53" t="n"/>
      <c r="DO520" s="53" t="n"/>
      <c r="DP520" s="53" t="n"/>
      <c r="DQ520" s="53" t="n"/>
      <c r="DR520" s="53" t="n"/>
      <c r="DS520" s="53" t="n"/>
      <c r="DT520" s="53" t="n"/>
      <c r="DU520" s="53" t="n"/>
      <c r="DV520" s="53" t="n"/>
      <c r="DW520" s="53" t="n"/>
      <c r="DX520" s="53" t="n"/>
      <c r="DY520" s="53" t="n"/>
      <c r="DZ520" s="53" t="n"/>
      <c r="EA520" s="53" t="n"/>
      <c r="EB520" s="53" t="n"/>
      <c r="EC520" s="53" t="n"/>
      <c r="ED520" s="53" t="n"/>
      <c r="EE520" s="53" t="n"/>
      <c r="EF520" s="53" t="n"/>
      <c r="EG520" s="53" t="n"/>
      <c r="EH520" s="53" t="n"/>
      <c r="EI520" s="53" t="n"/>
      <c r="EJ520" s="53" t="n"/>
      <c r="EK520" s="53" t="n"/>
      <c r="EL520" s="53" t="n"/>
      <c r="EM520" s="53" t="n"/>
      <c r="EN520" s="53" t="n"/>
      <c r="EO520" s="53" t="n"/>
      <c r="EP520" s="53" t="n"/>
      <c r="EQ520" s="53" t="n"/>
      <c r="ER520" s="53" t="n"/>
      <c r="ES520" s="53" t="n"/>
      <c r="ET520" s="53" t="n"/>
      <c r="EU520" s="53" t="n"/>
      <c r="EV520" s="53" t="n"/>
      <c r="EW520" s="52" t="n"/>
      <c r="EX520" s="53" t="inlineStr">
        <is>
          <t>Im a software engineer at iris developing and Maintaining esg product.; I connot</t>
        </is>
      </c>
      <c r="EY520" s="53" t="inlineStr">
        <is>
          <t>Product Features; Module of Carbon Calculator, Reports; Deployment support Backend model creation Database changes; Database changes</t>
        </is>
      </c>
      <c r="EZ520" s="53" t="inlineStr">
        <is>
          <t>NET Development Angular React Javascript; Github Copilot Cursor; Impact analysis even for small changes</t>
        </is>
      </c>
      <c r="FA520" s="53"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B520" s="53" t="inlineStr">
        <is>
          <t>Backlog of existing featu; more automated tools for routine data so the team can spend more time on high-impact strategy.</t>
        </is>
      </c>
      <c r="FC520" s="53" t="n"/>
      <c r="FD520" s="53" t="n"/>
      <c r="FE520" s="57"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FF520" s="56" t="n"/>
      <c r="FG520" s="56" t="n"/>
      <c r="FH520" s="56" t="n"/>
      <c r="FI520" s="56" t="n"/>
      <c r="FJ520" s="56" t="inlineStr">
        <is>
          <t>Received · manager annual</t>
        </is>
      </c>
      <c r="FK520" s="56" t="inlineStr">
        <is>
          <t>CARBON Mapping Master</t>
        </is>
      </c>
      <c r="FL520" s="56" t="n">
        <v>20</v>
      </c>
      <c r="FM520" s="56" t="inlineStr">
        <is>
          <t>Im a software engineer at iris developing and Maintaining esg product.; I connot</t>
        </is>
      </c>
      <c r="FN520" s="56" t="inlineStr">
        <is>
          <t>Product Features; Module of Carbon Calculator, Reports; Deployment support Backend model creation Database changes; Database changes</t>
        </is>
      </c>
      <c r="FO520" s="56" t="inlineStr">
        <is>
          <t>NET Development Angular React Javascript; Github Copilot Cursor; Impact analysis even for small changes</t>
        </is>
      </c>
      <c r="FP520" s="56"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Q520" s="56" t="inlineStr">
        <is>
          <t>Backlog of existing featu; more automated tools for routine data so the team can spend more time on high-impact strategy.</t>
        </is>
      </c>
      <c r="FR520" s="56" t="inlineStr">
        <is>
          <t>Complexity: Evidence reads like A2: own survey / KRA answers · summarised by the rater; not quoted → matches the start
Autonomy: Evidence reads like A1: Answers 'I cannot' when asked what is decided independently → moved down 0.5
Accountability: Evidence reads like A2: Work on Carbon Calculator and Reports modules; no end-to-end ownership described → matches the start
Leadership: Evidence reads like A1: No guiding or reviewing of others described → matches the start
Business Impact: No survey or manager-mapping signal on criticality: kept at the start point.</t>
        </is>
      </c>
      <c r="FS52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0" s="56" t="inlineStr">
        <is>
          <t>Self-identified: Product &amp; tool knowledge
For the next role: Product &amp; tool knowledge</t>
        </is>
      </c>
      <c r="FU520" s="56" t="inlineStr">
        <is>
          <t>Per-person summary · CARBON Mapping Master</t>
        </is>
      </c>
    </row>
    <row r="521" ht="90" customHeight="1">
      <c r="A521" s="51" t="inlineStr">
        <is>
          <t>◂ Back</t>
        </is>
      </c>
      <c r="B521" s="29" t="inlineStr">
        <is>
          <t>Mapped</t>
        </is>
      </c>
      <c r="C521" s="28" t="inlineStr">
        <is>
          <t>CARBON</t>
        </is>
      </c>
      <c r="D521" s="29" t="inlineStr">
        <is>
          <t>IRIS2472</t>
        </is>
      </c>
      <c r="E521" s="29" t="inlineStr">
        <is>
          <t>Karan Kapadia</t>
        </is>
      </c>
      <c r="F521" s="29" t="inlineStr">
        <is>
          <t>Technology</t>
        </is>
      </c>
      <c r="G521" s="29" t="inlineStr">
        <is>
          <t>Software Engineer</t>
        </is>
      </c>
      <c r="H521" s="29" t="inlineStr">
        <is>
          <t>Senior Software Engineer</t>
        </is>
      </c>
      <c r="I521" s="29" t="inlineStr">
        <is>
          <t>L3 – Professional / Associate</t>
        </is>
      </c>
      <c r="J521" s="29" t="inlineStr">
        <is>
          <t>A3</t>
        </is>
      </c>
      <c r="K521" s="29" t="inlineStr">
        <is>
          <t>▲ Up</t>
        </is>
      </c>
      <c r="L521" s="29" t="inlineStr">
        <is>
          <t>Engineering &amp; Development</t>
        </is>
      </c>
      <c r="M521" s="29" t="inlineStr">
        <is>
          <t>Full-Stack Development</t>
        </is>
      </c>
      <c r="N521" s="29" t="n"/>
      <c r="O521" s="29" t="n">
        <v>19</v>
      </c>
      <c r="P521" s="28" t="inlineStr">
        <is>
          <t>P2</t>
        </is>
      </c>
      <c r="Q521" s="29" t="inlineStr">
        <is>
          <t>Developing</t>
        </is>
      </c>
      <c r="R521" s="29" t="inlineStr">
        <is>
          <t>3 Apply</t>
        </is>
      </c>
      <c r="S521" s="29" t="inlineStr">
        <is>
          <t>2–4 yrs</t>
        </is>
      </c>
      <c r="T521" s="29" t="inlineStr">
        <is>
          <t>3–5 · 2–5</t>
        </is>
      </c>
      <c r="U521" s="29" t="inlineStr">
        <is>
          <t>Software Engineer</t>
        </is>
      </c>
      <c r="V521" s="29" t="inlineStr">
        <is>
          <t>Workiva: SE · Broadridge India: SE · Nasdaq / AxiomSL: SE · Salesforce: MTS · Atlassian: P40 · 3–7 yrs · Freshworks: Senior SE</t>
        </is>
      </c>
      <c r="W521" s="29" t="inlineStr">
        <is>
          <t>SFIA 9 · software development, programming; OWASP secure coding; cloud vendor certifications</t>
        </is>
      </c>
      <c r="X521" s="29" t="inlineStr">
        <is>
          <t>Core 2 · Future 2 · Functional 3 · Leadership not scored</t>
        </is>
      </c>
      <c r="Y521" s="52" t="n">
        <v>445</v>
      </c>
      <c r="Z521" s="53" t="inlineStr">
        <is>
          <t>IRIS2472</t>
        </is>
      </c>
      <c r="AA521" s="53" t="inlineStr">
        <is>
          <t>Employee</t>
        </is>
      </c>
      <c r="AB521" s="53" t="inlineStr">
        <is>
          <t>Active</t>
        </is>
      </c>
      <c r="AC521" s="53" t="inlineStr">
        <is>
          <t>Karan Kapadia</t>
        </is>
      </c>
      <c r="AD521" s="54" t="n">
        <v>46055</v>
      </c>
      <c r="AE521" s="53" t="inlineStr">
        <is>
          <t>Software Engineer</t>
        </is>
      </c>
      <c r="AF521" s="53" t="inlineStr">
        <is>
          <t>MCA</t>
        </is>
      </c>
      <c r="AG521" s="53" t="inlineStr">
        <is>
          <t>Prachi Digambar Raut</t>
        </is>
      </c>
      <c r="AH521" s="53" t="inlineStr">
        <is>
          <t>N-4</t>
        </is>
      </c>
      <c r="AI521" s="53" t="inlineStr">
        <is>
          <t>Individual Contributor</t>
        </is>
      </c>
      <c r="AJ521" s="53" t="inlineStr">
        <is>
          <t>3 years, 10 months, 0 days</t>
        </is>
      </c>
      <c r="AK521" s="53" t="inlineStr">
        <is>
          <t>0 years, 6 months, 23 days</t>
        </is>
      </c>
      <c r="AL521" s="53" t="inlineStr">
        <is>
          <t>Regtech</t>
        </is>
      </c>
      <c r="AM521" s="53" t="inlineStr">
        <is>
          <t>CARBON</t>
        </is>
      </c>
      <c r="AN521" s="53" t="inlineStr">
        <is>
          <t>Technology</t>
        </is>
      </c>
      <c r="AO521" s="53" t="inlineStr">
        <is>
          <t>Development</t>
        </is>
      </c>
      <c r="AP521" s="53" t="inlineStr">
        <is>
          <t>Yes</t>
        </is>
      </c>
      <c r="AQ521" s="53" t="inlineStr">
        <is>
          <t>Product/Project</t>
        </is>
      </c>
      <c r="AR521" s="53" t="inlineStr">
        <is>
          <t>.NET MVC + React</t>
        </is>
      </c>
      <c r="AS521" s="53" t="inlineStr">
        <is>
          <t>Technical - Developer</t>
        </is>
      </c>
      <c r="AT521" s="53" t="n">
        <v>20</v>
      </c>
      <c r="AU521" s="53" t="inlineStr">
        <is>
          <t>Covered</t>
        </is>
      </c>
      <c r="AV521" s="53" t="inlineStr">
        <is>
          <t>IRIS2472</t>
        </is>
      </c>
      <c r="AW521" s="53" t="inlineStr">
        <is>
          <t>Karan Kapadia</t>
        </is>
      </c>
      <c r="AX521" s="53" t="inlineStr">
        <is>
          <t>Technology</t>
        </is>
      </c>
      <c r="AY521" s="53" t="inlineStr">
        <is>
          <t>Engineering &amp; Development</t>
        </is>
      </c>
      <c r="AZ521" s="53" t="inlineStr">
        <is>
          <t>Full-Stack Engineering</t>
        </is>
      </c>
      <c r="BA521" s="53" t="n"/>
      <c r="BB521" s="53" t="n"/>
      <c r="BC521" s="53" t="inlineStr">
        <is>
          <t>Employee</t>
        </is>
      </c>
      <c r="BD521" s="53" t="inlineStr">
        <is>
          <t>Prachi Digambar Raut</t>
        </is>
      </c>
      <c r="BE521" s="53" t="inlineStr">
        <is>
          <t>Prachi Digambar Raut</t>
        </is>
      </c>
      <c r="BF521" s="53" t="inlineStr">
        <is>
          <t>No</t>
        </is>
      </c>
      <c r="BG521" s="53" t="inlineStr">
        <is>
          <t>Software Engineer</t>
        </is>
      </c>
      <c r="BH521" s="53" t="inlineStr">
        <is>
          <t>Software Engineer</t>
        </is>
      </c>
      <c r="BI521" s="53" t="inlineStr">
        <is>
          <t>No</t>
        </is>
      </c>
      <c r="BJ521" s="53" t="inlineStr">
        <is>
          <t>—</t>
        </is>
      </c>
      <c r="BK521" s="53" t="inlineStr">
        <is>
          <t>—</t>
        </is>
      </c>
      <c r="BL521" s="53" t="inlineStr">
        <is>
          <t>—</t>
        </is>
      </c>
      <c r="BM521" s="53" t="inlineStr">
        <is>
          <t>Not a manager</t>
        </is>
      </c>
      <c r="BN521" s="53" t="inlineStr">
        <is>
          <t>—</t>
        </is>
      </c>
      <c r="BO521" s="53" t="inlineStr">
        <is>
          <t>—</t>
        </is>
      </c>
      <c r="BP521" s="53" t="inlineStr">
        <is>
          <t>—</t>
        </is>
      </c>
      <c r="BQ521" s="53" t="inlineStr">
        <is>
          <t>Not a manager</t>
        </is>
      </c>
      <c r="BR521" s="53" t="inlineStr">
        <is>
          <t>—</t>
        </is>
      </c>
      <c r="BS521" s="53" t="inlineStr">
        <is>
          <t>L3 – Professional / Associate</t>
        </is>
      </c>
      <c r="BT521" s="53" t="inlineStr">
        <is>
          <t>L3 – Professional / Associate</t>
        </is>
      </c>
      <c r="BU521" s="53" t="inlineStr">
        <is>
          <t>No designation change — current record value carried forward</t>
        </is>
      </c>
      <c r="BV521" s="53"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W521" s="53" t="n"/>
      <c r="BX521" s="53" t="inlineStr">
        <is>
          <t>Global.</t>
        </is>
      </c>
      <c r="BY521" s="53" t="n"/>
      <c r="BZ521" s="53" t="n"/>
      <c r="CA521" s="53" t="n"/>
      <c r="CB521" s="53" t="n"/>
      <c r="CC521" s="53" t="n"/>
      <c r="CD521" s="53" t="n"/>
      <c r="CE521" s="53" t="n"/>
      <c r="CF521" s="53" t="n"/>
      <c r="CG521" s="53" t="n"/>
      <c r="CH521" s="53" t="n"/>
      <c r="CI521" s="53" t="n"/>
      <c r="CJ521" s="53" t="n"/>
      <c r="CK521" s="53" t="n"/>
      <c r="CL521" s="53" t="n"/>
      <c r="CM521" s="53" t="n"/>
      <c r="CN521" s="53" t="n"/>
      <c r="CO521" s="53" t="n"/>
      <c r="CP521" s="53" t="n"/>
      <c r="CQ521" s="53" t="n"/>
      <c r="CR521" s="53" t="n"/>
      <c r="CS521" s="53" t="n"/>
      <c r="CT521" s="53" t="n"/>
      <c r="CU521" s="53" t="n"/>
      <c r="CV521" s="53" t="n"/>
      <c r="CW521" s="53" t="n"/>
      <c r="CX521" s="53" t="n"/>
      <c r="CY521" s="53" t="n"/>
      <c r="CZ521" s="53" t="n"/>
      <c r="DA521" s="53" t="n"/>
      <c r="DB521" s="53" t="n"/>
      <c r="DC521" s="53" t="n"/>
      <c r="DD521" s="53" t="n"/>
      <c r="DE521" s="53" t="n"/>
      <c r="DF521" s="53" t="n"/>
      <c r="DG521" s="53" t="n"/>
      <c r="DH521" s="53" t="n"/>
      <c r="DI521" s="53" t="n"/>
      <c r="DJ521" s="53" t="n"/>
      <c r="DK521" s="53" t="n"/>
      <c r="DL521" s="53" t="n"/>
      <c r="DM521" s="53" t="n"/>
      <c r="DN521" s="53" t="n"/>
      <c r="DO521" s="53" t="n"/>
      <c r="DP521" s="53" t="n"/>
      <c r="DQ521" s="53" t="n"/>
      <c r="DR521" s="53" t="n"/>
      <c r="DS521" s="53" t="n"/>
      <c r="DT521" s="53" t="n"/>
      <c r="DU521" s="53" t="n"/>
      <c r="DV521" s="53" t="n"/>
      <c r="DW521" s="53" t="n"/>
      <c r="DX521" s="53" t="n"/>
      <c r="DY521" s="53" t="n"/>
      <c r="DZ521" s="53" t="n"/>
      <c r="EA521" s="53" t="n"/>
      <c r="EB521" s="53" t="n"/>
      <c r="EC521" s="53" t="n"/>
      <c r="ED521" s="53" t="n"/>
      <c r="EE521" s="53" t="n"/>
      <c r="EF521" s="53" t="n"/>
      <c r="EG521" s="53" t="n"/>
      <c r="EH521" s="53" t="n"/>
      <c r="EI521" s="53" t="n"/>
      <c r="EJ521" s="53" t="n"/>
      <c r="EK521" s="53" t="n"/>
      <c r="EL521" s="53" t="n"/>
      <c r="EM521" s="53" t="n"/>
      <c r="EN521" s="53" t="n"/>
      <c r="EO521" s="53" t="n"/>
      <c r="EP521" s="53" t="n"/>
      <c r="EQ521" s="53" t="n"/>
      <c r="ER521" s="53" t="n"/>
      <c r="ES521" s="53" t="n"/>
      <c r="ET521" s="53" t="n"/>
      <c r="EU521" s="53" t="n"/>
      <c r="EV521" s="53" t="n"/>
      <c r="EW521" s="52" t="n"/>
      <c r="EX521" s="53"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EY521" s="53"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EZ521" s="53" t="inlineStr">
        <is>
          <t>• Current capabilities: Dotnet Core; pyhton; Mongo; React.
• Tools / software used: Cursor; Better New Monitor.
• Workload: Rated a heavy load · 4/5 in a typical week.</t>
        </is>
      </c>
      <c r="FA521" s="53" t="inlineStr">
        <is>
          <t>• Development priorities: Management skills.
• Learning and Development Need: Good Senior Members.</t>
        </is>
      </c>
      <c r="FB521" s="53" t="inlineStr">
        <is>
          <t>• Key challenges: Other task given in betwe; co-pilot over cursor.
• Support required: Sensible Manager.</t>
        </is>
      </c>
      <c r="FC521" s="53" t="n"/>
      <c r="FD521" s="53" t="n"/>
      <c r="FE521" s="57"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FF521" s="56" t="n"/>
      <c r="FG521" s="56" t="n"/>
      <c r="FH521" s="56" t="n"/>
      <c r="FI521" s="56" t="n"/>
      <c r="FJ521" s="56" t="inlineStr">
        <is>
          <t>Received · manager annual</t>
        </is>
      </c>
      <c r="FK521" s="56" t="inlineStr">
        <is>
          <t>CARBON Mapping Master</t>
        </is>
      </c>
      <c r="FL521" s="56" t="n">
        <v>19</v>
      </c>
      <c r="FM521" s="56"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FN521" s="56"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FO521" s="56" t="inlineStr">
        <is>
          <t>• Current capabilities: Dotnet Core; pyhton; Mongo; React.
• Tools / software used: Cursor; Better New Monitor.
• Workload: Rated a heavy load · 4/5 in a typical week.</t>
        </is>
      </c>
      <c r="FP521" s="56" t="inlineStr">
        <is>
          <t>• Development priorities: Management skills.
• Learning and Development Need: Good Senior Members.</t>
        </is>
      </c>
      <c r="FQ521" s="56" t="inlineStr">
        <is>
          <t>• Key challenges: Other task given in betwe; co-pilot over cursor.
• Support required: Sensible Manager.</t>
        </is>
      </c>
      <c r="FR521" s="56" t="inlineStr">
        <is>
          <t>Complexity: Evidence reads like A2: Lists product understanding, system design, logic; data integration; no concrete problems described → matches the start
Autonomy: Evidence reads like A2: Decides model change requests; discusses with team before starting any work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521"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1" s="56" t="inlineStr">
        <is>
          <t>Self-identified: Answered · no common topic
For the next role: Answered · no common topic</t>
        </is>
      </c>
      <c r="FU521" s="56" t="inlineStr">
        <is>
          <t>Per-person summary · CARBON Mapping Master</t>
        </is>
      </c>
    </row>
    <row r="522" ht="90" customHeight="1">
      <c r="A522" s="51" t="inlineStr">
        <is>
          <t>◂ Back</t>
        </is>
      </c>
      <c r="B522" s="29" t="inlineStr">
        <is>
          <t>Mapped</t>
        </is>
      </c>
      <c r="C522" s="28" t="inlineStr">
        <is>
          <t>CARBON</t>
        </is>
      </c>
      <c r="D522" s="29" t="inlineStr">
        <is>
          <t>IRIS2418</t>
        </is>
      </c>
      <c r="E522" s="29" t="inlineStr">
        <is>
          <t>Omkar Dhumal</t>
        </is>
      </c>
      <c r="F522" s="29" t="inlineStr">
        <is>
          <t>Technology</t>
        </is>
      </c>
      <c r="G522" s="29" t="inlineStr">
        <is>
          <t>Software Engineer</t>
        </is>
      </c>
      <c r="H522" s="29" t="inlineStr">
        <is>
          <t>Senior UI Developer</t>
        </is>
      </c>
      <c r="I522" s="29" t="inlineStr">
        <is>
          <t>L3 – Professional / Associate</t>
        </is>
      </c>
      <c r="J522" s="29" t="inlineStr">
        <is>
          <t>A3</t>
        </is>
      </c>
      <c r="K522" s="29" t="inlineStr">
        <is>
          <t>▲ Up</t>
        </is>
      </c>
      <c r="L522" s="29" t="inlineStr">
        <is>
          <t>Engineering &amp; Development</t>
        </is>
      </c>
      <c r="M522" s="29" t="inlineStr">
        <is>
          <t>Front-End / UI Development</t>
        </is>
      </c>
      <c r="N522" s="29" t="n"/>
      <c r="O522" s="29" t="n">
        <v>20</v>
      </c>
      <c r="P522" s="28" t="inlineStr">
        <is>
          <t>P2</t>
        </is>
      </c>
      <c r="Q522" s="29" t="inlineStr">
        <is>
          <t>Developing</t>
        </is>
      </c>
      <c r="R522" s="29" t="inlineStr">
        <is>
          <t>3 Apply</t>
        </is>
      </c>
      <c r="S522" s="29" t="inlineStr">
        <is>
          <t>2–4 yrs</t>
        </is>
      </c>
      <c r="T522" s="29" t="inlineStr">
        <is>
          <t>3–5 · 2–5</t>
        </is>
      </c>
      <c r="U522" s="29" t="inlineStr">
        <is>
          <t>Software Engineer</t>
        </is>
      </c>
      <c r="V522" s="29" t="inlineStr">
        <is>
          <t>Workiva: SE · Broadridge India: SE · Nasdaq / AxiomSL: SE · Salesforce: MTS · Atlassian: P40 · 3–7 yrs · Freshworks: Senior SE</t>
        </is>
      </c>
      <c r="W522" s="29" t="inlineStr">
        <is>
          <t>SFIA 9 · software development, programming; OWASP secure coding; cloud vendor certifications</t>
        </is>
      </c>
      <c r="X522" s="29" t="inlineStr">
        <is>
          <t>Core 2 · Future 2 · Functional 3 · Leadership not scored</t>
        </is>
      </c>
      <c r="Y522" s="52" t="n">
        <v>390</v>
      </c>
      <c r="Z522" s="53" t="inlineStr">
        <is>
          <t>IRIS2418</t>
        </is>
      </c>
      <c r="AA522" s="53" t="inlineStr">
        <is>
          <t>Employee</t>
        </is>
      </c>
      <c r="AB522" s="53" t="inlineStr">
        <is>
          <t>Active</t>
        </is>
      </c>
      <c r="AC522" s="53" t="inlineStr">
        <is>
          <t>Omkar Dhumal</t>
        </is>
      </c>
      <c r="AD522" s="54" t="n">
        <v>45880</v>
      </c>
      <c r="AE522" s="53" t="inlineStr">
        <is>
          <t>Software Engineer</t>
        </is>
      </c>
      <c r="AF522" s="53" t="inlineStr">
        <is>
          <t>M.Sc</t>
        </is>
      </c>
      <c r="AG522" s="53" t="inlineStr">
        <is>
          <t>Prachi Digambar Raut</t>
        </is>
      </c>
      <c r="AH522" s="53" t="inlineStr">
        <is>
          <t>N-4</t>
        </is>
      </c>
      <c r="AI522" s="53" t="inlineStr">
        <is>
          <t>Individual Contributor</t>
        </is>
      </c>
      <c r="AJ522" s="53" t="inlineStr">
        <is>
          <t>2 years, 3 months, 0 days</t>
        </is>
      </c>
      <c r="AK522" s="53" t="inlineStr">
        <is>
          <t>1 years, 0 months, 14 days</t>
        </is>
      </c>
      <c r="AL522" s="53" t="inlineStr">
        <is>
          <t>Regtech</t>
        </is>
      </c>
      <c r="AM522" s="53" t="inlineStr">
        <is>
          <t>CARBON</t>
        </is>
      </c>
      <c r="AN522" s="53" t="inlineStr">
        <is>
          <t>Technology</t>
        </is>
      </c>
      <c r="AO522" s="53" t="inlineStr">
        <is>
          <t>Development</t>
        </is>
      </c>
      <c r="AP522" s="53" t="inlineStr">
        <is>
          <t>Yes</t>
        </is>
      </c>
      <c r="AQ522" s="53" t="inlineStr">
        <is>
          <t>Product/Project</t>
        </is>
      </c>
      <c r="AR522" s="53" t="inlineStr">
        <is>
          <t>UI</t>
        </is>
      </c>
      <c r="AS522" s="53" t="inlineStr">
        <is>
          <t>Technical - Developer</t>
        </is>
      </c>
      <c r="AT522" s="53" t="n">
        <v>20</v>
      </c>
      <c r="AU522" s="53" t="inlineStr">
        <is>
          <t>Covered</t>
        </is>
      </c>
      <c r="AV522" s="53" t="inlineStr">
        <is>
          <t>IRIS2418</t>
        </is>
      </c>
      <c r="AW522" s="53" t="inlineStr">
        <is>
          <t>Omkar Dhumal</t>
        </is>
      </c>
      <c r="AX522" s="53" t="inlineStr">
        <is>
          <t>Technology</t>
        </is>
      </c>
      <c r="AY522" s="53" t="inlineStr">
        <is>
          <t>Engineering &amp; Development</t>
        </is>
      </c>
      <c r="AZ522" s="53" t="inlineStr">
        <is>
          <t>Frontend / UI Engineering</t>
        </is>
      </c>
      <c r="BA522" s="53" t="n"/>
      <c r="BB522" s="53" t="n"/>
      <c r="BC522" s="53" t="inlineStr">
        <is>
          <t>Employee</t>
        </is>
      </c>
      <c r="BD522" s="53" t="inlineStr">
        <is>
          <t>Prachi Digambar Raut</t>
        </is>
      </c>
      <c r="BE522" s="53" t="inlineStr">
        <is>
          <t>Prachi Digambar Raut</t>
        </is>
      </c>
      <c r="BF522" s="53" t="inlineStr">
        <is>
          <t>No</t>
        </is>
      </c>
      <c r="BG522" s="53" t="inlineStr">
        <is>
          <t>Software Engineer</t>
        </is>
      </c>
      <c r="BH522" s="53" t="inlineStr">
        <is>
          <t>Software Engineer</t>
        </is>
      </c>
      <c r="BI522" s="53" t="inlineStr">
        <is>
          <t>No</t>
        </is>
      </c>
      <c r="BJ522" s="53" t="inlineStr">
        <is>
          <t>—</t>
        </is>
      </c>
      <c r="BK522" s="53" t="inlineStr">
        <is>
          <t>—</t>
        </is>
      </c>
      <c r="BL522" s="53" t="inlineStr">
        <is>
          <t>—</t>
        </is>
      </c>
      <c r="BM522" s="53" t="inlineStr">
        <is>
          <t>Not a manager</t>
        </is>
      </c>
      <c r="BN522" s="53" t="inlineStr">
        <is>
          <t>—</t>
        </is>
      </c>
      <c r="BO522" s="53" t="inlineStr">
        <is>
          <t>—</t>
        </is>
      </c>
      <c r="BP522" s="53" t="inlineStr">
        <is>
          <t>—</t>
        </is>
      </c>
      <c r="BQ522" s="53" t="inlineStr">
        <is>
          <t>Not a manager</t>
        </is>
      </c>
      <c r="BR522" s="53" t="inlineStr">
        <is>
          <t>—</t>
        </is>
      </c>
      <c r="BS522" s="53" t="inlineStr">
        <is>
          <t>L3 – Professional / Associate</t>
        </is>
      </c>
      <c r="BT522" s="53" t="inlineStr">
        <is>
          <t>L3 – Professional / Associate</t>
        </is>
      </c>
      <c r="BU522" s="53" t="inlineStr">
        <is>
          <t>No designation change — current record value carried forward</t>
        </is>
      </c>
      <c r="BV522" s="53"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W522" s="53" t="n"/>
      <c r="BX522" s="53" t="inlineStr">
        <is>
          <t>No input received — attended/was listed as a respondent but did not provide answers to any of the survey questions.</t>
        </is>
      </c>
      <c r="BY522" s="53" t="n"/>
      <c r="BZ522" s="53" t="n"/>
      <c r="CA522" s="53" t="n"/>
      <c r="CB522" s="53" t="n"/>
      <c r="CC522" s="53" t="n"/>
      <c r="CD522" s="53" t="n"/>
      <c r="CE522" s="53" t="n"/>
      <c r="CF522" s="53" t="n"/>
      <c r="CG522" s="53" t="n"/>
      <c r="CH522" s="53" t="n"/>
      <c r="CI522" s="53" t="n"/>
      <c r="CJ522" s="53" t="n"/>
      <c r="CK522" s="53" t="n"/>
      <c r="CL522" s="53" t="n"/>
      <c r="CM522" s="53" t="n"/>
      <c r="CN522" s="53" t="n"/>
      <c r="CO522" s="53" t="n"/>
      <c r="CP522" s="53" t="n"/>
      <c r="CQ522" s="53" t="n"/>
      <c r="CR522" s="53" t="n"/>
      <c r="CS522" s="53" t="n"/>
      <c r="CT522" s="53" t="n"/>
      <c r="CU522" s="53" t="n"/>
      <c r="CV522" s="53" t="n"/>
      <c r="CW522" s="53" t="n"/>
      <c r="CX522" s="53" t="n"/>
      <c r="CY522" s="53" t="n"/>
      <c r="CZ522" s="53" t="n"/>
      <c r="DA522" s="53" t="n"/>
      <c r="DB522" s="53" t="n"/>
      <c r="DC522" s="53" t="n"/>
      <c r="DD522" s="53" t="n"/>
      <c r="DE522" s="53" t="n"/>
      <c r="DF522" s="53" t="n"/>
      <c r="DG522" s="53" t="n"/>
      <c r="DH522" s="53" t="n"/>
      <c r="DI522" s="53" t="n"/>
      <c r="DJ522" s="53" t="n"/>
      <c r="DK522" s="53" t="n"/>
      <c r="DL522" s="53" t="n"/>
      <c r="DM522" s="53" t="n"/>
      <c r="DN522" s="53" t="n"/>
      <c r="DO522" s="53" t="n"/>
      <c r="DP522" s="53" t="n"/>
      <c r="DQ522" s="53" t="n"/>
      <c r="DR522" s="53" t="n"/>
      <c r="DS522" s="53" t="n"/>
      <c r="DT522" s="53" t="n"/>
      <c r="DU522" s="53" t="n"/>
      <c r="DV522" s="53" t="n"/>
      <c r="DW522" s="53" t="n"/>
      <c r="DX522" s="53" t="n"/>
      <c r="DY522" s="53" t="n"/>
      <c r="DZ522" s="53" t="n"/>
      <c r="EA522" s="53" t="n"/>
      <c r="EB522" s="53" t="n"/>
      <c r="EC522" s="53" t="n"/>
      <c r="ED522" s="53" t="n"/>
      <c r="EE522" s="53" t="n"/>
      <c r="EF522" s="53" t="n"/>
      <c r="EG522" s="53" t="n"/>
      <c r="EH522" s="53" t="n"/>
      <c r="EI522" s="53" t="n"/>
      <c r="EJ522" s="53" t="n"/>
      <c r="EK522" s="53" t="n"/>
      <c r="EL522" s="53" t="n"/>
      <c r="EM522" s="53" t="n"/>
      <c r="EN522" s="53" t="n"/>
      <c r="EO522" s="53" t="n"/>
      <c r="EP522" s="53" t="n"/>
      <c r="EQ522" s="53" t="n"/>
      <c r="ER522" s="53" t="n"/>
      <c r="ES522" s="53" t="n"/>
      <c r="ET522" s="53" t="n"/>
      <c r="EU522" s="53" t="n"/>
      <c r="EV522" s="53" t="n"/>
      <c r="EW522" s="52" t="n"/>
      <c r="EX522" s="53" t="inlineStr">
        <is>
          <t>• Role / sub-team: Technology — Software Engineer.
• Core purpose: Input not given by Participant.
• Decision-making autonomy: Input not given by Participant.
• Is this something only they do: Input not given by Participant.</t>
        </is>
      </c>
      <c r="EY522" s="53" t="inlineStr">
        <is>
          <t>• Key responsibilities include: Input not given by Participant.
• Impact if missed or done wrong: Input not given by Participant.
• How measured: Input not given by Participant.</t>
        </is>
      </c>
      <c r="EZ522" s="53" t="inlineStr">
        <is>
          <t>• Current capabilities: Input not given by Participant.
• Tools / software used: Input not given by Participant.</t>
        </is>
      </c>
      <c r="FA522" s="53" t="inlineStr">
        <is>
          <t>• Development priorities: Input not given by Participant.</t>
        </is>
      </c>
      <c r="FB522" s="53" t="inlineStr">
        <is>
          <t>• Key challenges: Input not given by Participant.
• Support required: Input not given by Participant.</t>
        </is>
      </c>
      <c r="FC522" s="53" t="n"/>
      <c r="FD522" s="53" t="n"/>
      <c r="FE522" s="57"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FF522" s="56" t="n"/>
      <c r="FG522" s="56" t="n"/>
      <c r="FH522" s="56" t="n"/>
      <c r="FI522" s="56" t="n"/>
      <c r="FJ522" s="56" t="inlineStr">
        <is>
          <t>Received · manager annual</t>
        </is>
      </c>
      <c r="FK522" s="56" t="inlineStr">
        <is>
          <t>CARBON Mapping Master</t>
        </is>
      </c>
      <c r="FL522" s="56" t="n">
        <v>20</v>
      </c>
      <c r="FM522" s="56" t="inlineStr">
        <is>
          <t>• Role / sub-team: Technology — Software Engineer.
• Core purpose: Input not given by Participant.
• Decision-making autonomy: Input not given by Participant.
• Is this something only they do: Input not given by Participant.</t>
        </is>
      </c>
      <c r="FN522" s="56" t="inlineStr">
        <is>
          <t>• Key responsibilities include: Input not given by Participant.
• Impact if missed or done wrong: Input not given by Participant.
• How measured: Input not given by Participant.</t>
        </is>
      </c>
      <c r="FO522" s="56" t="inlineStr">
        <is>
          <t>• Current capabilities: Input not given by Participant.
• Tools / software used: Input not given by Participant.</t>
        </is>
      </c>
      <c r="FP522" s="56" t="inlineStr">
        <is>
          <t>• Development priorities: Input not given by Participant.</t>
        </is>
      </c>
      <c r="FQ522" s="56" t="inlineStr">
        <is>
          <t>• Key challenges: Input not given by Participant.
• Support required: Input not given by Participant.</t>
        </is>
      </c>
      <c r="FR522" s="56" t="inlineStr">
        <is>
          <t>Complexity: Evidence reads like A3: UI work across micro-frontends, module federation, multiple frameworks and backend integrations; performance focus → moved up 0.5
Autonomy: Evidence reads like A2: Decides user-experience aspects of own UI work only → matches the start
Accountability: Evidence reads like A2: UI he develops, currently the Disclosure Management add-in interface → matches the start
Leadership: Evidence reads like A1: No guidance of others described → matches the start
Business Impact: No survey or manager-mapping signal on criticality: kept at the start point.</t>
        </is>
      </c>
      <c r="FS522"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2" s="56" t="inlineStr">
        <is>
          <t>Self-identified: Answered · no common topic
For the next role: Answered · no common topic</t>
        </is>
      </c>
      <c r="FU522" s="56" t="inlineStr">
        <is>
          <t>Per-person summary · CARBON Mapping Master</t>
        </is>
      </c>
    </row>
    <row r="523" ht="90" customHeight="1">
      <c r="A523" s="51" t="inlineStr">
        <is>
          <t>◂ Back</t>
        </is>
      </c>
      <c r="B523" s="29" t="inlineStr">
        <is>
          <t>Mapped</t>
        </is>
      </c>
      <c r="C523" s="28" t="inlineStr">
        <is>
          <t>CARBON</t>
        </is>
      </c>
      <c r="D523" s="29" t="inlineStr">
        <is>
          <t>IRIS2375</t>
        </is>
      </c>
      <c r="E523" s="29" t="inlineStr">
        <is>
          <t>Shubham Baban Jagtap</t>
        </is>
      </c>
      <c r="F523" s="29" t="inlineStr">
        <is>
          <t>Technology</t>
        </is>
      </c>
      <c r="G523" s="29" t="inlineStr">
        <is>
          <t>Software Engineer</t>
        </is>
      </c>
      <c r="H523" s="29" t="inlineStr">
        <is>
          <t>Senior UI Developer</t>
        </is>
      </c>
      <c r="I523" s="29" t="inlineStr">
        <is>
          <t>L3 – Professional / Associate</t>
        </is>
      </c>
      <c r="J523" s="29" t="inlineStr">
        <is>
          <t>A3</t>
        </is>
      </c>
      <c r="K523" s="29" t="inlineStr">
        <is>
          <t>▲ Up</t>
        </is>
      </c>
      <c r="L523" s="29" t="inlineStr">
        <is>
          <t>Engineering &amp; Development</t>
        </is>
      </c>
      <c r="M523" s="29" t="inlineStr">
        <is>
          <t>Front-End / UI Development</t>
        </is>
      </c>
      <c r="N523" s="29" t="n"/>
      <c r="O523" s="29" t="n">
        <v>19</v>
      </c>
      <c r="P523" s="28" t="inlineStr">
        <is>
          <t>P2</t>
        </is>
      </c>
      <c r="Q523" s="29" t="inlineStr">
        <is>
          <t>Developing</t>
        </is>
      </c>
      <c r="R523" s="29" t="inlineStr">
        <is>
          <t>3 Apply</t>
        </is>
      </c>
      <c r="S523" s="29" t="inlineStr">
        <is>
          <t>2–4 yrs</t>
        </is>
      </c>
      <c r="T523" s="29" t="inlineStr">
        <is>
          <t>3–5 · 2–5</t>
        </is>
      </c>
      <c r="U523" s="29" t="inlineStr">
        <is>
          <t>Software Engineer</t>
        </is>
      </c>
      <c r="V523" s="29" t="inlineStr">
        <is>
          <t>Workiva: SE · Broadridge India: SE · Nasdaq / AxiomSL: SE · Salesforce: MTS · Atlassian: P40 · 3–7 yrs · Freshworks: Senior SE</t>
        </is>
      </c>
      <c r="W523" s="29" t="inlineStr">
        <is>
          <t>SFIA 9 · software development, programming; OWASP secure coding; cloud vendor certifications</t>
        </is>
      </c>
      <c r="X523" s="29" t="inlineStr">
        <is>
          <t>Core 2 · Future 2 · Functional 3 · Leadership not scored</t>
        </is>
      </c>
      <c r="Y523" s="52" t="n">
        <v>371</v>
      </c>
      <c r="Z523" s="53" t="inlineStr">
        <is>
          <t>IRIS2375</t>
        </is>
      </c>
      <c r="AA523" s="53" t="inlineStr">
        <is>
          <t>Employee</t>
        </is>
      </c>
      <c r="AB523" s="53" t="inlineStr">
        <is>
          <t>Active</t>
        </is>
      </c>
      <c r="AC523" s="53" t="inlineStr">
        <is>
          <t>Shubham Baban Jagtap</t>
        </is>
      </c>
      <c r="AD523" s="54" t="n">
        <v>45789</v>
      </c>
      <c r="AE523" s="53" t="inlineStr">
        <is>
          <t>Software Engineer</t>
        </is>
      </c>
      <c r="AF523" s="53" t="inlineStr">
        <is>
          <t>B.E</t>
        </is>
      </c>
      <c r="AG523" s="53" t="inlineStr">
        <is>
          <t>Prachi Digambar Raut</t>
        </is>
      </c>
      <c r="AH523" s="53" t="inlineStr">
        <is>
          <t>N-4</t>
        </is>
      </c>
      <c r="AI523" s="53" t="inlineStr">
        <is>
          <t>Individual Contributor</t>
        </is>
      </c>
      <c r="AJ523" s="53" t="inlineStr">
        <is>
          <t>3 years, 8 months, 0 days</t>
        </is>
      </c>
      <c r="AK523" s="53" t="inlineStr">
        <is>
          <t>1 years, 3 months, 13 days</t>
        </is>
      </c>
      <c r="AL523" s="53" t="inlineStr">
        <is>
          <t>Regtech</t>
        </is>
      </c>
      <c r="AM523" s="53" t="inlineStr">
        <is>
          <t>CARBON</t>
        </is>
      </c>
      <c r="AN523" s="53" t="inlineStr">
        <is>
          <t>Technology</t>
        </is>
      </c>
      <c r="AO523" s="53" t="inlineStr">
        <is>
          <t>Development</t>
        </is>
      </c>
      <c r="AP523" s="53" t="inlineStr">
        <is>
          <t>Yes</t>
        </is>
      </c>
      <c r="AQ523" s="53" t="inlineStr">
        <is>
          <t>Product/Project</t>
        </is>
      </c>
      <c r="AR523" s="53" t="inlineStr">
        <is>
          <t>UI</t>
        </is>
      </c>
      <c r="AS523" s="53" t="inlineStr">
        <is>
          <t>Technical - Developer</t>
        </is>
      </c>
      <c r="AT523" s="53" t="n">
        <v>20</v>
      </c>
      <c r="AU523" s="53" t="inlineStr">
        <is>
          <t>Covered</t>
        </is>
      </c>
      <c r="AV523" s="53" t="inlineStr">
        <is>
          <t>IRIS2375</t>
        </is>
      </c>
      <c r="AW523" s="53" t="inlineStr">
        <is>
          <t>Shubham Baban Jagtap</t>
        </is>
      </c>
      <c r="AX523" s="53" t="inlineStr">
        <is>
          <t>Technology</t>
        </is>
      </c>
      <c r="AY523" s="53" t="inlineStr">
        <is>
          <t>Engineering &amp; Development</t>
        </is>
      </c>
      <c r="AZ523" s="53" t="inlineStr">
        <is>
          <t>Frontend / UI Engineering</t>
        </is>
      </c>
      <c r="BA523" s="53" t="n"/>
      <c r="BB523" s="53" t="n"/>
      <c r="BC523" s="53" t="inlineStr">
        <is>
          <t>Employee</t>
        </is>
      </c>
      <c r="BD523" s="53" t="inlineStr">
        <is>
          <t>Prachi Digambar Raut</t>
        </is>
      </c>
      <c r="BE523" s="53" t="inlineStr">
        <is>
          <t>Prachi Digambar Raut</t>
        </is>
      </c>
      <c r="BF523" s="53" t="inlineStr">
        <is>
          <t>No</t>
        </is>
      </c>
      <c r="BG523" s="53" t="inlineStr">
        <is>
          <t>Software Engineer</t>
        </is>
      </c>
      <c r="BH523" s="53" t="inlineStr">
        <is>
          <t>Software Engineer</t>
        </is>
      </c>
      <c r="BI523" s="53" t="inlineStr">
        <is>
          <t>No</t>
        </is>
      </c>
      <c r="BJ523" s="53" t="inlineStr">
        <is>
          <t>—</t>
        </is>
      </c>
      <c r="BK523" s="53" t="inlineStr">
        <is>
          <t>—</t>
        </is>
      </c>
      <c r="BL523" s="53" t="inlineStr">
        <is>
          <t>—</t>
        </is>
      </c>
      <c r="BM523" s="53" t="inlineStr">
        <is>
          <t>Not a manager</t>
        </is>
      </c>
      <c r="BN523" s="53" t="inlineStr">
        <is>
          <t>—</t>
        </is>
      </c>
      <c r="BO523" s="53" t="inlineStr">
        <is>
          <t>—</t>
        </is>
      </c>
      <c r="BP523" s="53" t="inlineStr">
        <is>
          <t>—</t>
        </is>
      </c>
      <c r="BQ523" s="53" t="inlineStr">
        <is>
          <t>Not a manager</t>
        </is>
      </c>
      <c r="BR523" s="53" t="inlineStr">
        <is>
          <t>—</t>
        </is>
      </c>
      <c r="BS523" s="53" t="inlineStr">
        <is>
          <t>L3 – Professional / Associate</t>
        </is>
      </c>
      <c r="BT523" s="53" t="inlineStr">
        <is>
          <t>L3 – Professional / Associate</t>
        </is>
      </c>
      <c r="BU523" s="53" t="inlineStr">
        <is>
          <t>No designation change — current record value carried forward</t>
        </is>
      </c>
      <c r="BV523" s="53"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W523" s="53" t="n"/>
      <c r="BX523" s="53" t="inlineStr">
        <is>
          <t>Global — no fixed region</t>
        </is>
      </c>
      <c r="BY523" s="53" t="n"/>
      <c r="BZ523" s="53" t="n"/>
      <c r="CA523" s="53" t="n"/>
      <c r="CB523" s="53" t="n"/>
      <c r="CC523" s="53" t="n"/>
      <c r="CD523" s="53" t="n"/>
      <c r="CE523" s="53" t="n"/>
      <c r="CF523" s="53" t="n"/>
      <c r="CG523" s="53" t="n"/>
      <c r="CH523" s="53" t="n"/>
      <c r="CI523" s="53" t="n"/>
      <c r="CJ523" s="53" t="n"/>
      <c r="CK523" s="53" t="n"/>
      <c r="CL523" s="53" t="n"/>
      <c r="CM523" s="53" t="n"/>
      <c r="CN523" s="53" t="n"/>
      <c r="CO523" s="53" t="n"/>
      <c r="CP523" s="53" t="n"/>
      <c r="CQ523" s="53" t="n"/>
      <c r="CR523" s="53" t="n"/>
      <c r="CS523" s="53" t="n"/>
      <c r="CT523" s="53" t="n"/>
      <c r="CU523" s="53" t="n"/>
      <c r="CV523" s="53" t="n"/>
      <c r="CW523" s="53" t="n"/>
      <c r="CX523" s="53" t="n"/>
      <c r="CY523" s="53" t="n"/>
      <c r="CZ523" s="53" t="n"/>
      <c r="DA523" s="53" t="n"/>
      <c r="DB523" s="53" t="n"/>
      <c r="DC523" s="53" t="n"/>
      <c r="DD523" s="53" t="n"/>
      <c r="DE523" s="53" t="n"/>
      <c r="DF523" s="53" t="n"/>
      <c r="DG523" s="53" t="n"/>
      <c r="DH523" s="53" t="n"/>
      <c r="DI523" s="53" t="n"/>
      <c r="DJ523" s="53" t="n"/>
      <c r="DK523" s="53" t="n"/>
      <c r="DL523" s="53" t="n"/>
      <c r="DM523" s="53" t="n"/>
      <c r="DN523" s="53" t="n"/>
      <c r="DO523" s="53" t="n"/>
      <c r="DP523" s="53" t="n"/>
      <c r="DQ523" s="53" t="n"/>
      <c r="DR523" s="53" t="n"/>
      <c r="DS523" s="53" t="n"/>
      <c r="DT523" s="53" t="n"/>
      <c r="DU523" s="53" t="n"/>
      <c r="DV523" s="53" t="n"/>
      <c r="DW523" s="53" t="n"/>
      <c r="DX523" s="53" t="n"/>
      <c r="DY523" s="53" t="n"/>
      <c r="DZ523" s="53" t="n"/>
      <c r="EA523" s="53" t="n"/>
      <c r="EB523" s="53" t="n"/>
      <c r="EC523" s="53" t="n"/>
      <c r="ED523" s="53" t="n"/>
      <c r="EE523" s="53" t="n"/>
      <c r="EF523" s="53" t="n"/>
      <c r="EG523" s="53" t="n"/>
      <c r="EH523" s="53" t="n"/>
      <c r="EI523" s="53" t="n"/>
      <c r="EJ523" s="53" t="n"/>
      <c r="EK523" s="53" t="n"/>
      <c r="EL523" s="53" t="n"/>
      <c r="EM523" s="53" t="n"/>
      <c r="EN523" s="53" t="n"/>
      <c r="EO523" s="53" t="n"/>
      <c r="EP523" s="53" t="n"/>
      <c r="EQ523" s="53" t="n"/>
      <c r="ER523" s="53" t="n"/>
      <c r="ES523" s="53" t="n"/>
      <c r="ET523" s="53" t="n"/>
      <c r="EU523" s="53" t="n"/>
      <c r="EV523" s="53" t="n"/>
      <c r="EW523" s="52" t="n"/>
      <c r="EX523" s="53" t="inlineStr">
        <is>
          <t>Here my role is a software engineer basically a full stack development; shared reusable component</t>
        </is>
      </c>
      <c r="EY523" s="53" t="inlineStr">
        <is>
          <t>ESG; .; UI components; If a decision I made turns out to be wrong, I take ownership, fix it quickly, and loop in the right people so it doesn't repeat.</t>
        </is>
      </c>
      <c r="EZ523" s="53" t="inlineStr">
        <is>
          <t>HTML CSS JS React; Git npm DevTools Figma; Anyone can write working code — what separates doing it well is judgment: knowing when a "quick fix" actually needs a second opinion, catching when a design spec doesn't quite make sense</t>
        </is>
      </c>
      <c r="FA523" s="53"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B523" s="53" t="inlineStr">
        <is>
          <t>Unclear specs requirement; Getting clearer design specs and requirements upfront — it would cut down on back-and-forth and rework later.</t>
        </is>
      </c>
      <c r="FC523" s="53" t="n"/>
      <c r="FD523" s="53" t="n"/>
      <c r="FE523" s="57"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FF523" s="56" t="n"/>
      <c r="FG523" s="56" t="n"/>
      <c r="FH523" s="56" t="n"/>
      <c r="FI523" s="56" t="n"/>
      <c r="FJ523" s="56" t="inlineStr">
        <is>
          <t>Received · manager annual</t>
        </is>
      </c>
      <c r="FK523" s="56" t="inlineStr">
        <is>
          <t>CARBON Mapping Master</t>
        </is>
      </c>
      <c r="FL523" s="56" t="n">
        <v>19</v>
      </c>
      <c r="FM523" s="56" t="inlineStr">
        <is>
          <t>Here my role is a software engineer basically a full stack development; shared reusable component</t>
        </is>
      </c>
      <c r="FN523" s="56" t="inlineStr">
        <is>
          <t>ESG; .; UI components; If a decision I made turns out to be wrong, I take ownership, fix it quickly, and loop in the right people so it doesn't repeat.</t>
        </is>
      </c>
      <c r="FO523" s="56" t="inlineStr">
        <is>
          <t>HTML CSS JS React; Git npm DevTools Figma; Anyone can write working code — what separates doing it well is judgment: knowing when a "quick fix" actually needs a second opinion, catching when a design spec doesn't quite make sense</t>
        </is>
      </c>
      <c r="FP523" s="56"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Q523" s="56" t="inlineStr">
        <is>
          <t>Unclear specs requirement; Getting clearer design specs and requirements upfront — it would cut down on back-and-forth and rework later.</t>
        </is>
      </c>
      <c r="FR523" s="56" t="inlineStr">
        <is>
          <t>Business Impact: No survey or manager-mapping signal on criticality: kept at the start point.</t>
        </is>
      </c>
      <c r="FS523"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3" s="56" t="inlineStr">
        <is>
          <t>Self-identified: Technical depth &amp; architecture · Strategy &amp; business acumen · Broader exposure &amp; ownership
For the next role: Technical depth &amp; architecture · Strategy &amp; business acumen · Broader exposure &amp; ownership</t>
        </is>
      </c>
      <c r="FU523" s="56" t="inlineStr">
        <is>
          <t>Per-person summary · CARBON Mapping Master</t>
        </is>
      </c>
    </row>
    <row r="524" ht="90" customHeight="1">
      <c r="A524" s="51" t="inlineStr">
        <is>
          <t>◂ Back</t>
        </is>
      </c>
      <c r="B524" s="29" t="inlineStr">
        <is>
          <t>Mapped</t>
        </is>
      </c>
      <c r="C524" s="28" t="inlineStr">
        <is>
          <t>CARBON</t>
        </is>
      </c>
      <c r="D524" s="29" t="inlineStr">
        <is>
          <t>IRIS1797</t>
        </is>
      </c>
      <c r="E524" s="29" t="inlineStr">
        <is>
          <t>Rahul Mejari</t>
        </is>
      </c>
      <c r="F524" s="29" t="inlineStr">
        <is>
          <t>Technology</t>
        </is>
      </c>
      <c r="G524" s="29" t="inlineStr">
        <is>
          <t>Senior UI Developer</t>
        </is>
      </c>
      <c r="H524" s="29" t="inlineStr">
        <is>
          <t>Senior UI Developer</t>
        </is>
      </c>
      <c r="I524" s="29" t="inlineStr">
        <is>
          <t>L4 – Senior</t>
        </is>
      </c>
      <c r="J524" s="29" t="inlineStr">
        <is>
          <t>A3</t>
        </is>
      </c>
      <c r="K524" s="29" t="inlineStr">
        <is>
          <t>• Same level</t>
        </is>
      </c>
      <c r="L524" s="29" t="inlineStr">
        <is>
          <t>Engineering &amp; Development</t>
        </is>
      </c>
      <c r="M524" s="29" t="inlineStr">
        <is>
          <t>Front-End / UI Development</t>
        </is>
      </c>
      <c r="N524" s="29" t="n"/>
      <c r="O524" s="29" t="n">
        <v>20</v>
      </c>
      <c r="P524" s="28" t="inlineStr">
        <is>
          <t>P2</t>
        </is>
      </c>
      <c r="Q524" s="29" t="inlineStr">
        <is>
          <t>Developing</t>
        </is>
      </c>
      <c r="R524" s="29" t="inlineStr">
        <is>
          <t>3 Apply</t>
        </is>
      </c>
      <c r="S524" s="29" t="inlineStr">
        <is>
          <t>2–4 yrs</t>
        </is>
      </c>
      <c r="T524" s="29" t="inlineStr">
        <is>
          <t>3–5 · 2–5</t>
        </is>
      </c>
      <c r="U524" s="29" t="inlineStr">
        <is>
          <t>Software Engineer</t>
        </is>
      </c>
      <c r="V524" s="29" t="inlineStr">
        <is>
          <t>Workiva: SE · Broadridge India: SE · Nasdaq / AxiomSL: SE · Salesforce: MTS · Atlassian: P40 · 3–7 yrs · Freshworks: Senior SE</t>
        </is>
      </c>
      <c r="W524" s="29" t="inlineStr">
        <is>
          <t>SFIA 9 · software development, programming; OWASP secure coding; cloud vendor certifications</t>
        </is>
      </c>
      <c r="X524" s="29" t="inlineStr">
        <is>
          <t>Core 2 · Future 2 · Functional 3 · Leadership not scored</t>
        </is>
      </c>
      <c r="Y524" s="52" t="n">
        <v>158</v>
      </c>
      <c r="Z524" s="53" t="inlineStr">
        <is>
          <t>IRIS1797</t>
        </is>
      </c>
      <c r="AA524" s="53" t="inlineStr">
        <is>
          <t>Employee</t>
        </is>
      </c>
      <c r="AB524" s="53" t="inlineStr">
        <is>
          <t>Active</t>
        </is>
      </c>
      <c r="AC524" s="53" t="inlineStr">
        <is>
          <t>Rahul Mejari</t>
        </is>
      </c>
      <c r="AD524" s="54" t="n">
        <v>43668</v>
      </c>
      <c r="AE524" s="53" t="inlineStr">
        <is>
          <t>Senior UI Developer</t>
        </is>
      </c>
      <c r="AF524" s="53" t="inlineStr">
        <is>
          <t>B.E</t>
        </is>
      </c>
      <c r="AG524" s="53" t="inlineStr">
        <is>
          <t>Sarfaraz Badi</t>
        </is>
      </c>
      <c r="AH524" s="53" t="inlineStr">
        <is>
          <t>N-3</t>
        </is>
      </c>
      <c r="AI524" s="53" t="inlineStr">
        <is>
          <t>Individual Contributor</t>
        </is>
      </c>
      <c r="AJ524" s="53" t="inlineStr">
        <is>
          <t>6 years, 10 months, 0 days</t>
        </is>
      </c>
      <c r="AK524" s="53" t="inlineStr">
        <is>
          <t>7 years, 1 months, 3 days</t>
        </is>
      </c>
      <c r="AL524" s="53" t="inlineStr">
        <is>
          <t>Regtech</t>
        </is>
      </c>
      <c r="AM524" s="53" t="inlineStr">
        <is>
          <t>CARBON</t>
        </is>
      </c>
      <c r="AN524" s="53" t="inlineStr">
        <is>
          <t>Technology</t>
        </is>
      </c>
      <c r="AO524" s="53" t="inlineStr">
        <is>
          <t>UI</t>
        </is>
      </c>
      <c r="AP524" s="53" t="inlineStr">
        <is>
          <t>No</t>
        </is>
      </c>
      <c r="AQ524" s="53" t="inlineStr">
        <is>
          <t>Product/Project</t>
        </is>
      </c>
      <c r="AR524" s="53" t="inlineStr">
        <is>
          <t>UI</t>
        </is>
      </c>
      <c r="AS524" s="53" t="inlineStr">
        <is>
          <t>Technical - Developer</t>
        </is>
      </c>
      <c r="AT524" s="53" t="n">
        <v>20</v>
      </c>
      <c r="AU524" s="53" t="inlineStr">
        <is>
          <t>Covered</t>
        </is>
      </c>
      <c r="AV524" s="53" t="inlineStr">
        <is>
          <t>IRIS1797</t>
        </is>
      </c>
      <c r="AW524" s="53" t="inlineStr">
        <is>
          <t>Rahul Mejari</t>
        </is>
      </c>
      <c r="AX524" s="53" t="inlineStr">
        <is>
          <t>Technology</t>
        </is>
      </c>
      <c r="AY524" s="53" t="inlineStr">
        <is>
          <t>Engineering &amp; Development</t>
        </is>
      </c>
      <c r="AZ524" s="53" t="inlineStr">
        <is>
          <t>Frontend / UI Engineering</t>
        </is>
      </c>
      <c r="BA524" s="53" t="n"/>
      <c r="BB524" s="53" t="n"/>
      <c r="BC524" s="53" t="inlineStr">
        <is>
          <t>Employee</t>
        </is>
      </c>
      <c r="BD524" s="53" t="inlineStr">
        <is>
          <t>Sarfaraz Badi</t>
        </is>
      </c>
      <c r="BE524" s="53" t="inlineStr">
        <is>
          <t>Sarfaraz Badi</t>
        </is>
      </c>
      <c r="BF524" s="53" t="inlineStr">
        <is>
          <t>No</t>
        </is>
      </c>
      <c r="BG524" s="53" t="inlineStr">
        <is>
          <t>Senior UI Developer</t>
        </is>
      </c>
      <c r="BH524" s="53" t="inlineStr">
        <is>
          <t>Senior UI Developer</t>
        </is>
      </c>
      <c r="BI524" s="53" t="inlineStr">
        <is>
          <t>No</t>
        </is>
      </c>
      <c r="BJ524" s="53" t="inlineStr">
        <is>
          <t>—</t>
        </is>
      </c>
      <c r="BK524" s="53" t="inlineStr">
        <is>
          <t>—</t>
        </is>
      </c>
      <c r="BL524" s="53" t="inlineStr">
        <is>
          <t>—</t>
        </is>
      </c>
      <c r="BM524" s="53" t="inlineStr">
        <is>
          <t>Not a manager</t>
        </is>
      </c>
      <c r="BN524" s="53" t="inlineStr">
        <is>
          <t>—</t>
        </is>
      </c>
      <c r="BO524" s="53" t="inlineStr">
        <is>
          <t>—</t>
        </is>
      </c>
      <c r="BP524" s="53" t="inlineStr">
        <is>
          <t>—</t>
        </is>
      </c>
      <c r="BQ524" s="53" t="inlineStr">
        <is>
          <t>Not a manager</t>
        </is>
      </c>
      <c r="BR524" s="53" t="inlineStr">
        <is>
          <t>—</t>
        </is>
      </c>
      <c r="BS524" s="53" t="inlineStr">
        <is>
          <t>L4 – Senior</t>
        </is>
      </c>
      <c r="BT524" s="53" t="inlineStr">
        <is>
          <t>L4 – Senior</t>
        </is>
      </c>
      <c r="BU524" s="53" t="inlineStr">
        <is>
          <t>No designation change — current record value carried forward</t>
        </is>
      </c>
      <c r="BV524" s="53"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W524" s="53" t="n"/>
      <c r="BX524" s="53" t="inlineStr">
        <is>
          <t>Global Multiple Regions</t>
        </is>
      </c>
      <c r="BY524" s="53" t="n"/>
      <c r="BZ524" s="53" t="n"/>
      <c r="CA524" s="53" t="n"/>
      <c r="CB524" s="53" t="n"/>
      <c r="CC524" s="53" t="n"/>
      <c r="CD524" s="53" t="n"/>
      <c r="CE524" s="53" t="n"/>
      <c r="CF524" s="53" t="n"/>
      <c r="CG524" s="53" t="n"/>
      <c r="CH524" s="53" t="n"/>
      <c r="CI524" s="53" t="n"/>
      <c r="CJ524" s="53" t="n"/>
      <c r="CK524" s="53" t="n"/>
      <c r="CL524" s="53" t="n"/>
      <c r="CM524" s="53" t="n"/>
      <c r="CN524" s="53" t="n"/>
      <c r="CO524" s="53" t="n"/>
      <c r="CP524" s="53" t="n"/>
      <c r="CQ524" s="53" t="n"/>
      <c r="CR524" s="53" t="n"/>
      <c r="CS524" s="53" t="n"/>
      <c r="CT524" s="53" t="n"/>
      <c r="CU524" s="53" t="n"/>
      <c r="CV524" s="53" t="n"/>
      <c r="CW524" s="53" t="n"/>
      <c r="CX524" s="53" t="n"/>
      <c r="CY524" s="53" t="n"/>
      <c r="CZ524" s="53" t="n"/>
      <c r="DA524" s="53" t="n"/>
      <c r="DB524" s="53" t="n"/>
      <c r="DC524" s="53" t="n"/>
      <c r="DD524" s="53" t="n"/>
      <c r="DE524" s="53" t="n"/>
      <c r="DF524" s="53" t="n"/>
      <c r="DG524" s="53" t="n"/>
      <c r="DH524" s="53" t="n"/>
      <c r="DI524" s="53" t="n"/>
      <c r="DJ524" s="53" t="n"/>
      <c r="DK524" s="53" t="n"/>
      <c r="DL524" s="53" t="n"/>
      <c r="DM524" s="53" t="n"/>
      <c r="DN524" s="53" t="n"/>
      <c r="DO524" s="53" t="n"/>
      <c r="DP524" s="53" t="n"/>
      <c r="DQ524" s="53" t="n"/>
      <c r="DR524" s="53" t="n"/>
      <c r="DS524" s="53" t="n"/>
      <c r="DT524" s="53" t="n"/>
      <c r="DU524" s="53" t="n"/>
      <c r="DV524" s="53" t="n"/>
      <c r="DW524" s="53" t="n"/>
      <c r="DX524" s="53" t="n"/>
      <c r="DY524" s="53" t="n"/>
      <c r="DZ524" s="53" t="n"/>
      <c r="EA524" s="53" t="n"/>
      <c r="EB524" s="53" t="n"/>
      <c r="EC524" s="53" t="n"/>
      <c r="ED524" s="53" t="n"/>
      <c r="EE524" s="53" t="n"/>
      <c r="EF524" s="53" t="n"/>
      <c r="EG524" s="53" t="n"/>
      <c r="EH524" s="53" t="n"/>
      <c r="EI524" s="53" t="n"/>
      <c r="EJ524" s="53" t="n"/>
      <c r="EK524" s="53" t="n"/>
      <c r="EL524" s="53" t="n"/>
      <c r="EM524" s="53" t="n"/>
      <c r="EN524" s="53" t="n"/>
      <c r="EO524" s="53" t="n"/>
      <c r="EP524" s="53" t="n"/>
      <c r="EQ524" s="53" t="n"/>
      <c r="ER524" s="53" t="n"/>
      <c r="ES524" s="53" t="n"/>
      <c r="ET524" s="53" t="n"/>
      <c r="EU524" s="53" t="n"/>
      <c r="EV524" s="53" t="n"/>
      <c r="EW524" s="52" t="n"/>
      <c r="EX524" s="53" t="inlineStr">
        <is>
          <t>The core purpose of my role is to translate business and user requirements into scalable, high-quality, and user-friendly frontend solutions.; Decide code approach</t>
        </is>
      </c>
      <c r="EY524" s="53"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EZ524" s="53" t="inlineStr">
        <is>
          <t>HTML CSS ReactJS; React JS; Yes. Beyond technical skills, the role requires strong judgment in understanding requirements, identifying risks and dependencies</t>
        </is>
      </c>
      <c r="FA524" s="53"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B524" s="53" t="inlineStr">
        <is>
          <t>Changing requirements; better technical planning, and earlier coordination across Product, UI, Backend, QA, and DevOps to reduce rework and improve delivery efficiency.</t>
        </is>
      </c>
      <c r="FC524" s="53" t="n"/>
      <c r="FD524" s="53" t="n"/>
      <c r="FE524" s="57"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FF524" s="56" t="n"/>
      <c r="FG524" s="56" t="n"/>
      <c r="FH524" s="56" t="n"/>
      <c r="FI524" s="56" t="n"/>
      <c r="FJ524" s="56" t="inlineStr">
        <is>
          <t>Received · manager annual</t>
        </is>
      </c>
      <c r="FK524" s="56" t="inlineStr">
        <is>
          <t>CARBON Mapping Master</t>
        </is>
      </c>
      <c r="FL524" s="56" t="n">
        <v>20</v>
      </c>
      <c r="FM524" s="56" t="inlineStr">
        <is>
          <t>The core purpose of my role is to translate business and user requirements into scalable, high-quality, and user-friendly frontend solutions.; Decide code approach</t>
        </is>
      </c>
      <c r="FN524" s="56"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FO524" s="56" t="inlineStr">
        <is>
          <t>HTML CSS ReactJS; React JS; Yes. Beyond technical skills, the role requires strong judgment in understanding requirements, identifying risks and dependencies</t>
        </is>
      </c>
      <c r="FP524" s="56"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Q524" s="56" t="inlineStr">
        <is>
          <t>Changing requirements; better technical planning, and earlier coordination across Product, UI, Backend, QA, and DevOps to reduce rework and improve delivery efficiency.</t>
        </is>
      </c>
      <c r="FR524" s="56" t="inlineStr">
        <is>
          <t>Complexity: Evidence reads like A2: React/HTML/CSS front-end coding; 'UI architecture' named without any concrete example → moved down 0.5
Autonomy: Evidence reads like A2: Decides the code approach → moved down 0.5
Accountability: Evidence reads like A2: own survey / KRA answers · summarised by the rater; not quoted → moved down 0.5
Leadership: Evidence reads like A1: No guiding or reviewing of others described → moved down 0.5
Business Impact: No survey or manager-mapping signal on criticality: kept at the start point.</t>
        </is>
      </c>
      <c r="FS52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4" s="56" t="inlineStr">
        <is>
          <t>Self-identified: Leadership &amp; people management · Technical depth &amp; architecture · Client, sales &amp; stakeholders · Communication &amp; presentation · Strategy &amp; business acumen
For the next role: Leadership &amp; people management · Technical depth &amp; architecture · Client, sales &amp; stakeholders · Communication &amp; presentation · Strategy &amp; business acumen</t>
        </is>
      </c>
      <c r="FU524" s="56" t="inlineStr">
        <is>
          <t>Per-person summary · CARBON Mapping Master</t>
        </is>
      </c>
    </row>
    <row r="525" ht="90" customHeight="1">
      <c r="A525" s="51" t="inlineStr">
        <is>
          <t>◂ Back</t>
        </is>
      </c>
      <c r="B525" s="29" t="inlineStr">
        <is>
          <t>Mapped</t>
        </is>
      </c>
      <c r="C525" s="28" t="inlineStr">
        <is>
          <t>CARBON</t>
        </is>
      </c>
      <c r="D525" s="29" t="inlineStr">
        <is>
          <t>IRIS1535</t>
        </is>
      </c>
      <c r="E525" s="29" t="inlineStr">
        <is>
          <t>Siddhesh Kadam</t>
        </is>
      </c>
      <c r="F525" s="29" t="inlineStr">
        <is>
          <t>Technology</t>
        </is>
      </c>
      <c r="G525" s="29" t="inlineStr">
        <is>
          <t>Senior Software Engineer</t>
        </is>
      </c>
      <c r="H525" s="29" t="inlineStr">
        <is>
          <t>Senior Technical Specialist – POD Lead</t>
        </is>
      </c>
      <c r="I525" s="29" t="inlineStr">
        <is>
          <t>L4 – Senior</t>
        </is>
      </c>
      <c r="J525" s="29" t="inlineStr">
        <is>
          <t>B2</t>
        </is>
      </c>
      <c r="K525" s="29" t="inlineStr">
        <is>
          <t>▲ Up</t>
        </is>
      </c>
      <c r="L525" s="29" t="inlineStr">
        <is>
          <t>Engineering &amp; Development</t>
        </is>
      </c>
      <c r="M525" s="29" t="inlineStr">
        <is>
          <t>Backend Development</t>
        </is>
      </c>
      <c r="N525" s="29" t="inlineStr">
        <is>
          <t>• Confirm the reporting line — Manager</t>
        </is>
      </c>
      <c r="O525" s="29" t="n">
        <v>20</v>
      </c>
      <c r="P525" s="28" t="inlineStr">
        <is>
          <t>P4 / M3</t>
        </is>
      </c>
      <c r="Q525" s="29" t="inlineStr">
        <is>
          <t>Senior / Manager</t>
        </is>
      </c>
      <c r="R525" s="29" t="inlineStr">
        <is>
          <t>4–5</t>
        </is>
      </c>
      <c r="S525" s="29" t="inlineStr">
        <is>
          <t>6–9 yrs</t>
        </is>
      </c>
      <c r="T525" s="29" t="inlineStr">
        <is>
          <t>7–10 · 6–11</t>
        </is>
      </c>
      <c r="U525" s="29" t="inlineStr">
        <is>
          <t>Lead / Staff Engineer</t>
        </is>
      </c>
      <c r="V525" s="29" t="inlineStr">
        <is>
          <t>Workiva: Senior SE · Broadridge India: Lead SE · Nasdaq / AxiomSL: Senior SE · Salesforce: SMTS · Atlassian: P50 Senior · 6–12 yrs · Freshworks: Lead SE</t>
        </is>
      </c>
      <c r="W525" s="29" t="inlineStr">
        <is>
          <t>SFIA 9 · software development, programming; OWASP secure coding; cloud vendor certifications</t>
        </is>
      </c>
      <c r="X525" s="29" t="inlineStr">
        <is>
          <t>Core 3 · Future 3 · Functional 4 · Leadership 3</t>
        </is>
      </c>
      <c r="Y525" s="52" t="n">
        <v>125</v>
      </c>
      <c r="Z525" s="53" t="inlineStr">
        <is>
          <t>IRIS1535</t>
        </is>
      </c>
      <c r="AA525" s="53" t="inlineStr">
        <is>
          <t>Employee</t>
        </is>
      </c>
      <c r="AB525" s="53" t="inlineStr">
        <is>
          <t>Active</t>
        </is>
      </c>
      <c r="AC525" s="53" t="inlineStr">
        <is>
          <t>Siddhesh Kadam</t>
        </is>
      </c>
      <c r="AD525" s="54" t="n">
        <v>42115</v>
      </c>
      <c r="AE525" s="53" t="inlineStr">
        <is>
          <t>Senior Software Engineer</t>
        </is>
      </c>
      <c r="AF525" s="53" t="inlineStr">
        <is>
          <t>B.E</t>
        </is>
      </c>
      <c r="AG525" s="53" t="inlineStr">
        <is>
          <t>Ashish Singhvi</t>
        </is>
      </c>
      <c r="AH525" s="53" t="inlineStr">
        <is>
          <t>N-2</t>
        </is>
      </c>
      <c r="AI525" s="53" t="inlineStr">
        <is>
          <t>Manager</t>
        </is>
      </c>
      <c r="AJ525" s="53" t="inlineStr">
        <is>
          <t>0 years, 0 months, 0 days</t>
        </is>
      </c>
      <c r="AK525" s="53" t="inlineStr">
        <is>
          <t>11 years, 4 months, 4 days</t>
        </is>
      </c>
      <c r="AL525" s="53" t="inlineStr">
        <is>
          <t>Regtech</t>
        </is>
      </c>
      <c r="AM525" s="53" t="inlineStr">
        <is>
          <t>CARBON</t>
        </is>
      </c>
      <c r="AN525" s="53" t="inlineStr">
        <is>
          <t>Technology</t>
        </is>
      </c>
      <c r="AO525" s="53" t="inlineStr">
        <is>
          <t>Development</t>
        </is>
      </c>
      <c r="AP525" s="53" t="inlineStr">
        <is>
          <t>Yes</t>
        </is>
      </c>
      <c r="AQ525" s="53" t="inlineStr">
        <is>
          <t>Product/Project</t>
        </is>
      </c>
      <c r="AR525" s="53" t="inlineStr">
        <is>
          <t>.NET MVC</t>
        </is>
      </c>
      <c r="AS525" s="53" t="inlineStr">
        <is>
          <t>Technical - Developer</t>
        </is>
      </c>
      <c r="AT525" s="53" t="n">
        <v>20</v>
      </c>
      <c r="AU525" s="53" t="inlineStr">
        <is>
          <t>Covered</t>
        </is>
      </c>
      <c r="AV525" s="53" t="inlineStr">
        <is>
          <t>IRIS1535</t>
        </is>
      </c>
      <c r="AW525" s="53" t="inlineStr">
        <is>
          <t>Siddhesh Kadam</t>
        </is>
      </c>
      <c r="AX525" s="53" t="inlineStr">
        <is>
          <t>Technology</t>
        </is>
      </c>
      <c r="AY525" s="53" t="inlineStr">
        <is>
          <t>Engineering &amp; Development</t>
        </is>
      </c>
      <c r="AZ525" s="53" t="inlineStr">
        <is>
          <t>Full-Stack Engineering</t>
        </is>
      </c>
      <c r="BA525" s="53" t="n"/>
      <c r="BB525" s="53" t="n"/>
      <c r="BC525" s="53" t="inlineStr">
        <is>
          <t>Employee</t>
        </is>
      </c>
      <c r="BD525" s="53" t="inlineStr">
        <is>
          <t>Ashish Singhvi</t>
        </is>
      </c>
      <c r="BE525" s="53" t="inlineStr">
        <is>
          <t>Ashish Singhvi</t>
        </is>
      </c>
      <c r="BF525" s="53" t="inlineStr">
        <is>
          <t>No</t>
        </is>
      </c>
      <c r="BG525" s="53" t="inlineStr">
        <is>
          <t>Senior Software Engineer</t>
        </is>
      </c>
      <c r="BH525" s="53" t="inlineStr">
        <is>
          <t>Senior Software Engineer</t>
        </is>
      </c>
      <c r="BI525" s="53" t="inlineStr">
        <is>
          <t>No</t>
        </is>
      </c>
      <c r="BJ525" s="53" t="n">
        <v>2</v>
      </c>
      <c r="BK525" s="53" t="n">
        <v>2</v>
      </c>
      <c r="BL525" s="53" t="n">
        <v>0</v>
      </c>
      <c r="BM525" s="53" t="inlineStr">
        <is>
          <t>Consolidate / flatten</t>
        </is>
      </c>
      <c r="BN525" s="53" t="n">
        <v>2</v>
      </c>
      <c r="BO525" s="53" t="n">
        <v>2</v>
      </c>
      <c r="BP525" s="53" t="n">
        <v>0</v>
      </c>
      <c r="BQ525" s="53" t="inlineStr">
        <is>
          <t>Consolidate / flatten</t>
        </is>
      </c>
      <c r="BR525" s="53" t="inlineStr">
        <is>
          <t>No</t>
        </is>
      </c>
      <c r="BS525" s="53" t="inlineStr">
        <is>
          <t>L4 – Senior</t>
        </is>
      </c>
      <c r="BT525" s="53" t="inlineStr">
        <is>
          <t>L4 – Senior</t>
        </is>
      </c>
      <c r="BU525" s="53" t="inlineStr">
        <is>
          <t>No designation change — current record value carried forward</t>
        </is>
      </c>
      <c r="BV525" s="53"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W525" s="53" t="n"/>
      <c r="BX525" s="53" t="inlineStr">
        <is>
          <t>Golbal.</t>
        </is>
      </c>
      <c r="BY525" s="53" t="n"/>
      <c r="BZ525" s="53" t="n"/>
      <c r="CA525" s="53" t="n"/>
      <c r="CB525" s="53" t="n"/>
      <c r="CC525" s="53" t="n"/>
      <c r="CD525" s="53" t="n"/>
      <c r="CE525" s="53" t="n"/>
      <c r="CF525" s="53" t="n"/>
      <c r="CG525" s="53" t="n"/>
      <c r="CH525" s="53" t="n"/>
      <c r="CI525" s="53" t="n"/>
      <c r="CJ525" s="53" t="n"/>
      <c r="CK525" s="53" t="n"/>
      <c r="CL525" s="53" t="n"/>
      <c r="CM525" s="53" t="n"/>
      <c r="CN525" s="53" t="n"/>
      <c r="CO525" s="53" t="n"/>
      <c r="CP525" s="53" t="n"/>
      <c r="CQ525" s="53" t="n"/>
      <c r="CR525" s="53" t="n"/>
      <c r="CS525" s="53" t="n"/>
      <c r="CT525" s="53" t="n"/>
      <c r="CU525" s="53" t="n"/>
      <c r="CV525" s="53" t="n"/>
      <c r="CW525" s="53" t="n"/>
      <c r="CX525" s="53" t="n"/>
      <c r="CY525" s="53" t="n"/>
      <c r="CZ525" s="53" t="n"/>
      <c r="DA525" s="53" t="n"/>
      <c r="DB525" s="53" t="n"/>
      <c r="DC525" s="53" t="n"/>
      <c r="DD525" s="53" t="n"/>
      <c r="DE525" s="53" t="n"/>
      <c r="DF525" s="53" t="n"/>
      <c r="DG525" s="53" t="n"/>
      <c r="DH525" s="53" t="n"/>
      <c r="DI525" s="53" t="n"/>
      <c r="DJ525" s="53" t="n"/>
      <c r="DK525" s="53" t="n"/>
      <c r="DL525" s="53" t="n"/>
      <c r="DM525" s="53" t="n"/>
      <c r="DN525" s="53" t="n"/>
      <c r="DO525" s="53" t="n"/>
      <c r="DP525" s="53" t="n"/>
      <c r="DQ525" s="53" t="n"/>
      <c r="DR525" s="53" t="n"/>
      <c r="DS525" s="53" t="n"/>
      <c r="DT525" s="53" t="n"/>
      <c r="DU525" s="53" t="n"/>
      <c r="DV525" s="53" t="n"/>
      <c r="DW525" s="53" t="n"/>
      <c r="DX525" s="53" t="n"/>
      <c r="DY525" s="53" t="n"/>
      <c r="DZ525" s="53" t="n"/>
      <c r="EA525" s="53" t="n"/>
      <c r="EB525" s="53" t="n"/>
      <c r="EC525" s="53" t="n"/>
      <c r="ED525" s="53" t="n"/>
      <c r="EE525" s="53" t="n"/>
      <c r="EF525" s="53" t="n"/>
      <c r="EG525" s="53" t="n"/>
      <c r="EH525" s="53" t="n"/>
      <c r="EI525" s="53" t="n"/>
      <c r="EJ525" s="53" t="n"/>
      <c r="EK525" s="53" t="n"/>
      <c r="EL525" s="53" t="n"/>
      <c r="EM525" s="53" t="n"/>
      <c r="EN525" s="53" t="n"/>
      <c r="EO525" s="53" t="n"/>
      <c r="EP525" s="53" t="n"/>
      <c r="EQ525" s="53" t="n"/>
      <c r="ER525" s="53" t="n"/>
      <c r="ES525" s="53" t="n"/>
      <c r="ET525" s="53" t="n"/>
      <c r="EU525" s="53" t="n"/>
      <c r="EV525" s="53" t="n"/>
      <c r="EW525" s="52" t="n"/>
      <c r="EX525" s="53"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EY525" s="53"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EZ525" s="53"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FA525" s="53"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B525" s="53" t="inlineStr">
        <is>
          <t>• Key challenges: Changing priorities; unclear requirements; cross-team dependencies.
• Support required: Clearer requirements, better documentation, and faster cross-team communication.</t>
        </is>
      </c>
      <c r="FC525" s="53" t="n"/>
      <c r="FD525" s="53" t="n"/>
      <c r="FE525" s="57"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FF525" s="56" t="n"/>
      <c r="FG525" s="56" t="n"/>
      <c r="FH525" s="56" t="n"/>
      <c r="FI525" s="56" t="n"/>
      <c r="FJ525" s="56" t="inlineStr">
        <is>
          <t>Received · manager annual</t>
        </is>
      </c>
      <c r="FK525" s="56" t="inlineStr">
        <is>
          <t>CARBON Mapping Master</t>
        </is>
      </c>
      <c r="FL525" s="56" t="n">
        <v>20</v>
      </c>
      <c r="FM525" s="56"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FN525" s="56"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FO525" s="56"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FP525" s="56"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Q525" s="56" t="inlineStr">
        <is>
          <t>• Key challenges: Changing priorities; unclear requirements; cross-team dependencies.
• Support required: Clearer requirements, better documentation, and faster cross-team communication.</t>
        </is>
      </c>
      <c r="FR525" s="56" t="inlineStr">
        <is>
          <t>Business Impact: No survey or manager-mapping signal on criticality: kept at the start point.</t>
        </is>
      </c>
      <c r="FS525"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25" s="56" t="inlineStr">
        <is>
          <t>Self-identified: Leadership &amp; people management · Technical depth &amp; architecture · Product &amp; tool knowledge · Client, sales &amp; stakeholders
For the next role: Leadership &amp; people management · Technical depth &amp; architecture · Product &amp; tool knowledge · Client, sales &amp; stakeholders</t>
        </is>
      </c>
      <c r="FU525" s="56" t="inlineStr">
        <is>
          <t>Per-person summary · CARBON Mapping Master</t>
        </is>
      </c>
    </row>
    <row r="526" ht="90" customHeight="1">
      <c r="A526" s="51" t="inlineStr">
        <is>
          <t>◂ Back</t>
        </is>
      </c>
      <c r="B526" s="29" t="inlineStr">
        <is>
          <t>Mapped</t>
        </is>
      </c>
      <c r="C526" s="28" t="inlineStr">
        <is>
          <t>CARBON</t>
        </is>
      </c>
      <c r="D526" s="29" t="inlineStr">
        <is>
          <t>IRIS1890</t>
        </is>
      </c>
      <c r="E526" s="29" t="inlineStr">
        <is>
          <t>Hetal Chauhan</t>
        </is>
      </c>
      <c r="F526" s="29" t="inlineStr">
        <is>
          <t>Technology</t>
        </is>
      </c>
      <c r="G526" s="29" t="inlineStr">
        <is>
          <t>Software Engineer</t>
        </is>
      </c>
      <c r="H526" s="29" t="inlineStr">
        <is>
          <t>Technical Specialist – POD Lead</t>
        </is>
      </c>
      <c r="I526" s="29" t="inlineStr">
        <is>
          <t>L3 – Professional / Associate</t>
        </is>
      </c>
      <c r="J526" s="29" t="inlineStr">
        <is>
          <t>B1</t>
        </is>
      </c>
      <c r="K526" s="29" t="inlineStr">
        <is>
          <t>▲ Up</t>
        </is>
      </c>
      <c r="L526" s="29" t="inlineStr">
        <is>
          <t>Engineering &amp; Development</t>
        </is>
      </c>
      <c r="M526" s="29" t="inlineStr">
        <is>
          <t>Backend Development</t>
        </is>
      </c>
      <c r="N526" s="29" t="inlineStr">
        <is>
          <t>• Confirm the reporting line — Manager</t>
        </is>
      </c>
      <c r="O526" s="29" t="n">
        <v>19</v>
      </c>
      <c r="P526" s="28" t="inlineStr">
        <is>
          <t>P3 / M2</t>
        </is>
      </c>
      <c r="Q526" s="29" t="inlineStr">
        <is>
          <t>Career / · Team Lead</t>
        </is>
      </c>
      <c r="R526" s="29" t="inlineStr">
        <is>
          <t>4 Enable</t>
        </is>
      </c>
      <c r="S526" s="29" t="inlineStr">
        <is>
          <t>4–7 yrs</t>
        </is>
      </c>
      <c r="T526" s="29" t="inlineStr">
        <is>
          <t>5–8 · 4–8</t>
        </is>
      </c>
      <c r="U526" s="29" t="inlineStr">
        <is>
          <t>Senior Software Engineer</t>
        </is>
      </c>
      <c r="V526" s="29" t="inlineStr">
        <is>
          <t>Workiva: SE / Senior SE · Broadridge India: Senior SE · Nasdaq / AxiomSL: Senior SE · Salesforce: MTS · Atlassian: P40 · Freshworks: Senior SE</t>
        </is>
      </c>
      <c r="W526" s="29" t="inlineStr">
        <is>
          <t>SFIA 9 · software development, programming; OWASP secure coding; cloud vendor certifications</t>
        </is>
      </c>
      <c r="X526" s="29" t="inlineStr">
        <is>
          <t>Core 3 · Future 3 · Functional 3 · Leadership 2</t>
        </is>
      </c>
      <c r="Y526" s="52" t="n">
        <v>175</v>
      </c>
      <c r="Z526" s="53" t="inlineStr">
        <is>
          <t>IRIS1890</t>
        </is>
      </c>
      <c r="AA526" s="53" t="inlineStr">
        <is>
          <t>Employee</t>
        </is>
      </c>
      <c r="AB526" s="53" t="inlineStr">
        <is>
          <t>Active</t>
        </is>
      </c>
      <c r="AC526" s="53" t="inlineStr">
        <is>
          <t>Hetal Chauhan</t>
        </is>
      </c>
      <c r="AD526" s="54" t="n">
        <v>44200</v>
      </c>
      <c r="AE526" s="53" t="inlineStr">
        <is>
          <t>Software Engineer</t>
        </is>
      </c>
      <c r="AF526" s="53" t="inlineStr">
        <is>
          <t>MCA</t>
        </is>
      </c>
      <c r="AG526" s="53" t="inlineStr">
        <is>
          <t>Siddhesh Kadam</t>
        </is>
      </c>
      <c r="AH526" s="53" t="inlineStr">
        <is>
          <t>N-3</t>
        </is>
      </c>
      <c r="AI526" s="53" t="inlineStr">
        <is>
          <t>Manager</t>
        </is>
      </c>
      <c r="AJ526" s="53" t="inlineStr">
        <is>
          <t>11 years, 1 months, 0 days</t>
        </is>
      </c>
      <c r="AK526" s="53" t="inlineStr">
        <is>
          <t>5 years, 7 months, 21 days</t>
        </is>
      </c>
      <c r="AL526" s="53" t="inlineStr">
        <is>
          <t>Regtech</t>
        </is>
      </c>
      <c r="AM526" s="53" t="inlineStr">
        <is>
          <t>CARBON</t>
        </is>
      </c>
      <c r="AN526" s="53" t="inlineStr">
        <is>
          <t>Technology</t>
        </is>
      </c>
      <c r="AO526" s="53" t="inlineStr">
        <is>
          <t>Development</t>
        </is>
      </c>
      <c r="AP526" s="53" t="inlineStr">
        <is>
          <t>Yes</t>
        </is>
      </c>
      <c r="AQ526" s="53" t="inlineStr">
        <is>
          <t>Product/Project</t>
        </is>
      </c>
      <c r="AR526" s="53" t="inlineStr">
        <is>
          <t>.NET MVC</t>
        </is>
      </c>
      <c r="AS526" s="53" t="inlineStr">
        <is>
          <t>Technical - Developer</t>
        </is>
      </c>
      <c r="AT526" s="53" t="n">
        <v>20</v>
      </c>
      <c r="AU526" s="53" t="inlineStr">
        <is>
          <t>Covered</t>
        </is>
      </c>
      <c r="AV526" s="53" t="inlineStr">
        <is>
          <t>IRIS1890</t>
        </is>
      </c>
      <c r="AW526" s="53" t="inlineStr">
        <is>
          <t>Hetal Chauhan</t>
        </is>
      </c>
      <c r="AX526" s="53" t="inlineStr">
        <is>
          <t>Technology</t>
        </is>
      </c>
      <c r="AY526" s="53" t="inlineStr">
        <is>
          <t>Engineering &amp; Development</t>
        </is>
      </c>
      <c r="AZ526" s="53" t="inlineStr">
        <is>
          <t>Backend Engineering ·.NET</t>
        </is>
      </c>
      <c r="BA526" s="53" t="n"/>
      <c r="BB526" s="53" t="n"/>
      <c r="BC526" s="53" t="inlineStr">
        <is>
          <t>Employee</t>
        </is>
      </c>
      <c r="BD526" s="53" t="inlineStr">
        <is>
          <t>Siddhesh Kadam</t>
        </is>
      </c>
      <c r="BE526" s="53" t="inlineStr">
        <is>
          <t>Siddhesh Kadam</t>
        </is>
      </c>
      <c r="BF526" s="53" t="inlineStr">
        <is>
          <t>No</t>
        </is>
      </c>
      <c r="BG526" s="53" t="inlineStr">
        <is>
          <t>Software Engineer</t>
        </is>
      </c>
      <c r="BH526" s="53" t="inlineStr">
        <is>
          <t>Software Engineer</t>
        </is>
      </c>
      <c r="BI526" s="53" t="inlineStr">
        <is>
          <t>No</t>
        </is>
      </c>
      <c r="BJ526" s="53" t="n">
        <v>3</v>
      </c>
      <c r="BK526" s="53" t="n">
        <v>3</v>
      </c>
      <c r="BL526" s="53" t="n">
        <v>0</v>
      </c>
      <c r="BM526" s="53" t="inlineStr">
        <is>
          <t>Review</t>
        </is>
      </c>
      <c r="BN526" s="53" t="n">
        <v>3</v>
      </c>
      <c r="BO526" s="53" t="n">
        <v>3</v>
      </c>
      <c r="BP526" s="53" t="n">
        <v>0</v>
      </c>
      <c r="BQ526" s="53" t="inlineStr">
        <is>
          <t>Review</t>
        </is>
      </c>
      <c r="BR526" s="53" t="inlineStr">
        <is>
          <t>No</t>
        </is>
      </c>
      <c r="BS526" s="53" t="inlineStr">
        <is>
          <t>L3 – Professional / Associate</t>
        </is>
      </c>
      <c r="BT526" s="53" t="inlineStr">
        <is>
          <t>L3 – Professional / Associate</t>
        </is>
      </c>
      <c r="BU526" s="53" t="inlineStr">
        <is>
          <t>No designation change — current record value carried forward</t>
        </is>
      </c>
      <c r="BV526" s="53"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W526" s="53" t="n"/>
      <c r="BX526" s="53" t="inlineStr">
        <is>
          <t>No input received — attended/was listed as a respondent but did not provide answers to any of the survey questions.</t>
        </is>
      </c>
      <c r="BY526" s="53" t="n"/>
      <c r="BZ526" s="53" t="n"/>
      <c r="CA526" s="53" t="n"/>
      <c r="CB526" s="53" t="n"/>
      <c r="CC526" s="53" t="n"/>
      <c r="CD526" s="53" t="n"/>
      <c r="CE526" s="53" t="n"/>
      <c r="CF526" s="53" t="n"/>
      <c r="CG526" s="53" t="n"/>
      <c r="CH526" s="53" t="n"/>
      <c r="CI526" s="53" t="n"/>
      <c r="CJ526" s="53" t="n"/>
      <c r="CK526" s="53" t="n"/>
      <c r="CL526" s="53" t="n"/>
      <c r="CM526" s="53" t="n"/>
      <c r="CN526" s="53" t="n"/>
      <c r="CO526" s="53" t="n"/>
      <c r="CP526" s="53" t="n"/>
      <c r="CQ526" s="53" t="n"/>
      <c r="CR526" s="53" t="n"/>
      <c r="CS526" s="53" t="n"/>
      <c r="CT526" s="53" t="n"/>
      <c r="CU526" s="53" t="n"/>
      <c r="CV526" s="53" t="n"/>
      <c r="CW526" s="53" t="n"/>
      <c r="CX526" s="53" t="n"/>
      <c r="CY526" s="53" t="n"/>
      <c r="CZ526" s="53" t="n"/>
      <c r="DA526" s="53" t="n"/>
      <c r="DB526" s="53" t="n"/>
      <c r="DC526" s="53" t="n"/>
      <c r="DD526" s="53" t="n"/>
      <c r="DE526" s="53" t="n"/>
      <c r="DF526" s="53" t="n"/>
      <c r="DG526" s="53" t="n"/>
      <c r="DH526" s="53" t="n"/>
      <c r="DI526" s="53" t="n"/>
      <c r="DJ526" s="53" t="n"/>
      <c r="DK526" s="53" t="n"/>
      <c r="DL526" s="53" t="n"/>
      <c r="DM526" s="53" t="n"/>
      <c r="DN526" s="53" t="n"/>
      <c r="DO526" s="53" t="n"/>
      <c r="DP526" s="53" t="n"/>
      <c r="DQ526" s="53" t="n"/>
      <c r="DR526" s="53" t="n"/>
      <c r="DS526" s="53" t="n"/>
      <c r="DT526" s="53" t="n"/>
      <c r="DU526" s="53" t="n"/>
      <c r="DV526" s="53" t="n"/>
      <c r="DW526" s="53" t="n"/>
      <c r="DX526" s="53" t="n"/>
      <c r="DY526" s="53" t="n"/>
      <c r="DZ526" s="53" t="n"/>
      <c r="EA526" s="53" t="n"/>
      <c r="EB526" s="53" t="n"/>
      <c r="EC526" s="53" t="n"/>
      <c r="ED526" s="53" t="n"/>
      <c r="EE526" s="53" t="n"/>
      <c r="EF526" s="53" t="n"/>
      <c r="EG526" s="53" t="n"/>
      <c r="EH526" s="53" t="n"/>
      <c r="EI526" s="53" t="n"/>
      <c r="EJ526" s="53" t="n"/>
      <c r="EK526" s="53" t="n"/>
      <c r="EL526" s="53" t="n"/>
      <c r="EM526" s="53" t="n"/>
      <c r="EN526" s="53" t="n"/>
      <c r="EO526" s="53" t="n"/>
      <c r="EP526" s="53" t="n"/>
      <c r="EQ526" s="53" t="n"/>
      <c r="ER526" s="53" t="n"/>
      <c r="ES526" s="53" t="n"/>
      <c r="ET526" s="53" t="n"/>
      <c r="EU526" s="53" t="n"/>
      <c r="EV526" s="53" t="n"/>
      <c r="EW526" s="52" t="n"/>
      <c r="EX526" s="53" t="inlineStr">
        <is>
          <t>• Role / sub-team: Technology — Software Engineer.
• Core purpose: Input not given by Participant.
• Decision-making autonomy: Input not given by Participant.
• Is this something only they do: Input not given by Participant.</t>
        </is>
      </c>
      <c r="EY526" s="53" t="inlineStr">
        <is>
          <t>• Key responsibilities include: Input not given by Participant.
• Impact if missed or done wrong: Input not given by Participant.
• How measured: Input not given by Participant.</t>
        </is>
      </c>
      <c r="EZ526" s="53" t="inlineStr">
        <is>
          <t>• Current capabilities: Input not given by Participant.
• Tools / software used: Input not given by Participant.</t>
        </is>
      </c>
      <c r="FA526" s="53" t="inlineStr">
        <is>
          <t>• Development priorities: Input not given by Participant.</t>
        </is>
      </c>
      <c r="FB526" s="53" t="inlineStr">
        <is>
          <t>• Key challenges: Input not given by Participant.
• Support required: Input not given by Participant.</t>
        </is>
      </c>
      <c r="FC526" s="53" t="n"/>
      <c r="FD526" s="53" t="n"/>
      <c r="FE526" s="57"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FF526" s="56" t="n"/>
      <c r="FG526" s="56" t="n"/>
      <c r="FH526" s="56" t="n"/>
      <c r="FI526" s="56" t="n"/>
      <c r="FJ526" s="56" t="inlineStr">
        <is>
          <t>Received · manager annual</t>
        </is>
      </c>
      <c r="FK526" s="56" t="inlineStr">
        <is>
          <t>CARBON Mapping Master</t>
        </is>
      </c>
      <c r="FL526" s="56" t="n">
        <v>19</v>
      </c>
      <c r="FM526" s="56" t="inlineStr">
        <is>
          <t>• Role / sub-team: Technology — Software Engineer.
• Core purpose: Input not given by Participant.
• Decision-making autonomy: Input not given by Participant.
• Is this something only they do: Input not given by Participant.</t>
        </is>
      </c>
      <c r="FN526" s="56" t="inlineStr">
        <is>
          <t>• Key responsibilities include: Input not given by Participant.
• Impact if missed or done wrong: Input not given by Participant.
• How measured: Input not given by Participant.</t>
        </is>
      </c>
      <c r="FO526" s="56" t="inlineStr">
        <is>
          <t>• Current capabilities: Input not given by Participant.
• Tools / software used: Input not given by Participant.</t>
        </is>
      </c>
      <c r="FP526" s="56" t="inlineStr">
        <is>
          <t>• Development priorities: Input not given by Participant.</t>
        </is>
      </c>
      <c r="FQ526" s="56" t="inlineStr">
        <is>
          <t>• Key challenges: Input not given by Participant.
• Support required: Input not given by Participant.</t>
        </is>
      </c>
      <c r="FR526" s="56" t="inlineStr">
        <is>
          <t>Complexity: Evidence reads like A3: Development plus requirement analysis, live-issue quick fixes and guiding team members; answers are brief → moved up 0.5
Autonomy: Evidence reads like A3: Decides quick fixes of live issues on his own → matches the start
Accountability: Evidence reads like A3: On-time delivery of product requirements; errors pass wrong message to customer → moved down 0.5
Leadership: Evidence reads like A3: States 'guide team member' twice; 3 reports, no allocation or review described → moved down 0.5
Business Impact: No survey or manager-mapping signal on criticality: kept at the start point.</t>
        </is>
      </c>
      <c r="FS52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26" s="56" t="inlineStr">
        <is>
          <t>Self-identified: AI / automation
For the next role: AI / automation</t>
        </is>
      </c>
      <c r="FU526" s="56" t="inlineStr">
        <is>
          <t>Per-person summary · CARBON Mapping Master</t>
        </is>
      </c>
    </row>
    <row r="527" ht="90" customHeight="1">
      <c r="A527" s="51" t="inlineStr">
        <is>
          <t>◂ Back</t>
        </is>
      </c>
      <c r="B527" s="29" t="inlineStr">
        <is>
          <t>Mapped</t>
        </is>
      </c>
      <c r="C527" s="28" t="inlineStr">
        <is>
          <t>CARBON</t>
        </is>
      </c>
      <c r="D527" s="29" t="inlineStr">
        <is>
          <t>IRIS2280</t>
        </is>
      </c>
      <c r="E527" s="29" t="inlineStr">
        <is>
          <t>Harsh Borad</t>
        </is>
      </c>
      <c r="F527" s="29" t="inlineStr">
        <is>
          <t>Technology</t>
        </is>
      </c>
      <c r="G527" s="29" t="inlineStr">
        <is>
          <t>Software Engineer</t>
        </is>
      </c>
      <c r="H527" s="29" t="inlineStr">
        <is>
          <t>Senior Software Engineer</t>
        </is>
      </c>
      <c r="I527" s="29" t="inlineStr">
        <is>
          <t>L3 – Professional / Associate</t>
        </is>
      </c>
      <c r="J527" s="29" t="inlineStr">
        <is>
          <t>A3</t>
        </is>
      </c>
      <c r="K527" s="29" t="inlineStr">
        <is>
          <t>▲ Up</t>
        </is>
      </c>
      <c r="L527" s="29" t="inlineStr">
        <is>
          <t>Engineering &amp; Development</t>
        </is>
      </c>
      <c r="M527" s="29" t="inlineStr">
        <is>
          <t>Full-Stack Development</t>
        </is>
      </c>
      <c r="N527" s="29" t="n"/>
      <c r="O527" s="29" t="n">
        <v>20</v>
      </c>
      <c r="P527" s="28" t="inlineStr">
        <is>
          <t>P2</t>
        </is>
      </c>
      <c r="Q527" s="29" t="inlineStr">
        <is>
          <t>Developing</t>
        </is>
      </c>
      <c r="R527" s="29" t="inlineStr">
        <is>
          <t>3 Apply</t>
        </is>
      </c>
      <c r="S527" s="29" t="inlineStr">
        <is>
          <t>2–4 yrs</t>
        </is>
      </c>
      <c r="T527" s="29" t="inlineStr">
        <is>
          <t>3–5 · 2–5</t>
        </is>
      </c>
      <c r="U527" s="29" t="inlineStr">
        <is>
          <t>Software Engineer</t>
        </is>
      </c>
      <c r="V527" s="29" t="inlineStr">
        <is>
          <t>Workiva: SE · Broadridge India: SE · Nasdaq / AxiomSL: SE · Salesforce: MTS · Atlassian: P40 · 3–7 yrs · Freshworks: Senior SE</t>
        </is>
      </c>
      <c r="W527" s="29" t="inlineStr">
        <is>
          <t>SFIA 9 · software development, programming; OWASP secure coding; cloud vendor certifications</t>
        </is>
      </c>
      <c r="X527" s="29" t="inlineStr">
        <is>
          <t>Core 2 · Future 2 · Functional 3 · Leadership not scored</t>
        </is>
      </c>
      <c r="Y527" s="52" t="n">
        <v>326</v>
      </c>
      <c r="Z527" s="53" t="inlineStr">
        <is>
          <t>IRIS2280</t>
        </is>
      </c>
      <c r="AA527" s="53" t="inlineStr">
        <is>
          <t>Employee</t>
        </is>
      </c>
      <c r="AB527" s="53" t="inlineStr">
        <is>
          <t>Active</t>
        </is>
      </c>
      <c r="AC527" s="53" t="inlineStr">
        <is>
          <t>Harsh Borad</t>
        </is>
      </c>
      <c r="AD527" s="54" t="n">
        <v>45474</v>
      </c>
      <c r="AE527" s="53" t="inlineStr">
        <is>
          <t>Software Engineer</t>
        </is>
      </c>
      <c r="AF527" s="53" t="inlineStr">
        <is>
          <t>B.Tech</t>
        </is>
      </c>
      <c r="AG527" s="53" t="inlineStr">
        <is>
          <t>Hetal Chauhan</t>
        </is>
      </c>
      <c r="AH527" s="53" t="inlineStr">
        <is>
          <t>N-4</t>
        </is>
      </c>
      <c r="AI527" s="53" t="inlineStr">
        <is>
          <t>Individual Contributor</t>
        </is>
      </c>
      <c r="AJ527" s="53" t="inlineStr">
        <is>
          <t>0 years, 2 months, 0 days</t>
        </is>
      </c>
      <c r="AK527" s="53" t="inlineStr">
        <is>
          <t>2 years, 1 months, 24 days</t>
        </is>
      </c>
      <c r="AL527" s="53" t="inlineStr">
        <is>
          <t>Regtech</t>
        </is>
      </c>
      <c r="AM527" s="53" t="inlineStr">
        <is>
          <t>CARBON</t>
        </is>
      </c>
      <c r="AN527" s="53" t="inlineStr">
        <is>
          <t>Technology</t>
        </is>
      </c>
      <c r="AO527" s="53" t="inlineStr">
        <is>
          <t>Development</t>
        </is>
      </c>
      <c r="AP527" s="53" t="inlineStr">
        <is>
          <t>Yes</t>
        </is>
      </c>
      <c r="AQ527" s="53" t="inlineStr">
        <is>
          <t>Product/Project</t>
        </is>
      </c>
      <c r="AR527" s="53" t="inlineStr">
        <is>
          <t>.NET MVC + Angular</t>
        </is>
      </c>
      <c r="AS527" s="53" t="inlineStr">
        <is>
          <t>Technical - Developer</t>
        </is>
      </c>
      <c r="AT527" s="53" t="n">
        <v>20</v>
      </c>
      <c r="AU527" s="53" t="inlineStr">
        <is>
          <t>Covered</t>
        </is>
      </c>
      <c r="AV527" s="53" t="inlineStr">
        <is>
          <t>IRIS2280</t>
        </is>
      </c>
      <c r="AW527" s="53" t="inlineStr">
        <is>
          <t>Harsh Borad</t>
        </is>
      </c>
      <c r="AX527" s="53" t="inlineStr">
        <is>
          <t>Technology</t>
        </is>
      </c>
      <c r="AY527" s="53" t="inlineStr">
        <is>
          <t>Engineering &amp; Development</t>
        </is>
      </c>
      <c r="AZ527" s="53" t="inlineStr">
        <is>
          <t>Frontend / UI Engineering</t>
        </is>
      </c>
      <c r="BA527" s="53" t="n"/>
      <c r="BB527" s="53" t="n"/>
      <c r="BC527" s="53" t="inlineStr">
        <is>
          <t>Employee</t>
        </is>
      </c>
      <c r="BD527" s="53" t="inlineStr">
        <is>
          <t>Hetal Chauhan</t>
        </is>
      </c>
      <c r="BE527" s="53" t="inlineStr">
        <is>
          <t>Hetal Chauhan</t>
        </is>
      </c>
      <c r="BF527" s="53" t="inlineStr">
        <is>
          <t>No</t>
        </is>
      </c>
      <c r="BG527" s="53" t="inlineStr">
        <is>
          <t>Software Engineer</t>
        </is>
      </c>
      <c r="BH527" s="53" t="inlineStr">
        <is>
          <t>Software Engineer</t>
        </is>
      </c>
      <c r="BI527" s="53" t="inlineStr">
        <is>
          <t>No</t>
        </is>
      </c>
      <c r="BJ527" s="53" t="inlineStr">
        <is>
          <t>—</t>
        </is>
      </c>
      <c r="BK527" s="53" t="inlineStr">
        <is>
          <t>—</t>
        </is>
      </c>
      <c r="BL527" s="53" t="inlineStr">
        <is>
          <t>—</t>
        </is>
      </c>
      <c r="BM527" s="53" t="inlineStr">
        <is>
          <t>Not a manager</t>
        </is>
      </c>
      <c r="BN527" s="53" t="inlineStr">
        <is>
          <t>—</t>
        </is>
      </c>
      <c r="BO527" s="53" t="inlineStr">
        <is>
          <t>—</t>
        </is>
      </c>
      <c r="BP527" s="53" t="inlineStr">
        <is>
          <t>—</t>
        </is>
      </c>
      <c r="BQ527" s="53" t="inlineStr">
        <is>
          <t>Not a manager</t>
        </is>
      </c>
      <c r="BR527" s="53" t="inlineStr">
        <is>
          <t>—</t>
        </is>
      </c>
      <c r="BS527" s="53" t="inlineStr">
        <is>
          <t>L3 – Professional / Associate</t>
        </is>
      </c>
      <c r="BT527" s="53" t="inlineStr">
        <is>
          <t>L3 – Professional / Associate</t>
        </is>
      </c>
      <c r="BU527" s="53" t="inlineStr">
        <is>
          <t>No designation change — current record value carried forward</t>
        </is>
      </c>
      <c r="BV527" s="53"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W527" s="53" t="n"/>
      <c r="BX527" s="53" t="inlineStr">
        <is>
          <t>US - ESMA; Global.</t>
        </is>
      </c>
      <c r="BY527" s="53" t="n"/>
      <c r="BZ527" s="53" t="n"/>
      <c r="CA527" s="53" t="n"/>
      <c r="CB527" s="53" t="n"/>
      <c r="CC527" s="53" t="n"/>
      <c r="CD527" s="53" t="n"/>
      <c r="CE527" s="53" t="n"/>
      <c r="CF527" s="53" t="n"/>
      <c r="CG527" s="53" t="n"/>
      <c r="CH527" s="53" t="n"/>
      <c r="CI527" s="53" t="n"/>
      <c r="CJ527" s="53" t="n"/>
      <c r="CK527" s="53" t="n"/>
      <c r="CL527" s="53" t="n"/>
      <c r="CM527" s="53" t="n"/>
      <c r="CN527" s="53" t="n"/>
      <c r="CO527" s="53" t="n"/>
      <c r="CP527" s="53" t="n"/>
      <c r="CQ527" s="53" t="n"/>
      <c r="CR527" s="53" t="n"/>
      <c r="CS527" s="53" t="n"/>
      <c r="CT527" s="53" t="n"/>
      <c r="CU527" s="53" t="n"/>
      <c r="CV527" s="53" t="n"/>
      <c r="CW527" s="53" t="n"/>
      <c r="CX527" s="53" t="n"/>
      <c r="CY527" s="53" t="n"/>
      <c r="CZ527" s="53" t="n"/>
      <c r="DA527" s="53" t="n"/>
      <c r="DB527" s="53" t="n"/>
      <c r="DC527" s="53" t="n"/>
      <c r="DD527" s="53" t="n"/>
      <c r="DE527" s="53" t="n"/>
      <c r="DF527" s="53" t="n"/>
      <c r="DG527" s="53" t="n"/>
      <c r="DH527" s="53" t="n"/>
      <c r="DI527" s="53" t="n"/>
      <c r="DJ527" s="53" t="n"/>
      <c r="DK527" s="53" t="n"/>
      <c r="DL527" s="53" t="n"/>
      <c r="DM527" s="53" t="n"/>
      <c r="DN527" s="53" t="n"/>
      <c r="DO527" s="53" t="n"/>
      <c r="DP527" s="53" t="n"/>
      <c r="DQ527" s="53" t="n"/>
      <c r="DR527" s="53" t="n"/>
      <c r="DS527" s="53" t="n"/>
      <c r="DT527" s="53" t="n"/>
      <c r="DU527" s="53" t="n"/>
      <c r="DV527" s="53" t="n"/>
      <c r="DW527" s="53" t="n"/>
      <c r="DX527" s="53" t="n"/>
      <c r="DY527" s="53" t="n"/>
      <c r="DZ527" s="53" t="n"/>
      <c r="EA527" s="53" t="n"/>
      <c r="EB527" s="53" t="n"/>
      <c r="EC527" s="53" t="n"/>
      <c r="ED527" s="53" t="n"/>
      <c r="EE527" s="53" t="n"/>
      <c r="EF527" s="53" t="n"/>
      <c r="EG527" s="53" t="n"/>
      <c r="EH527" s="53" t="n"/>
      <c r="EI527" s="53" t="n"/>
      <c r="EJ527" s="53" t="n"/>
      <c r="EK527" s="53" t="n"/>
      <c r="EL527" s="53" t="n"/>
      <c r="EM527" s="53" t="n"/>
      <c r="EN527" s="53" t="n"/>
      <c r="EO527" s="53" t="n"/>
      <c r="EP527" s="53" t="n"/>
      <c r="EQ527" s="53" t="n"/>
      <c r="ER527" s="53" t="n"/>
      <c r="ES527" s="53" t="n"/>
      <c r="ET527" s="53" t="n"/>
      <c r="EU527" s="53" t="n"/>
      <c r="EV527" s="53" t="n"/>
      <c r="EW527" s="52" t="n"/>
      <c r="EX527" s="53"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EY527" s="53"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EZ527" s="53"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FA527" s="53"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B527" s="53" t="inlineStr">
        <is>
          <t>• Key challenges: AI Credits; Laptop; Ad hoc requirements; No Clarity in requirement; Changing in requirements.
• Support required: Clear Requirements and better AI tools; AI tools usage training; Technical Lead with Better tech knowledge in specific Tech Stack.</t>
        </is>
      </c>
      <c r="FC527" s="53" t="n"/>
      <c r="FD527" s="53" t="n"/>
      <c r="FE527" s="57"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FF527" s="56" t="n"/>
      <c r="FG527" s="56" t="n"/>
      <c r="FH527" s="56" t="n"/>
      <c r="FI527" s="56" t="n"/>
      <c r="FJ527" s="56" t="inlineStr">
        <is>
          <t>Received · manager annual</t>
        </is>
      </c>
      <c r="FK527" s="56" t="inlineStr">
        <is>
          <t>CARBON Mapping Master</t>
        </is>
      </c>
      <c r="FL527" s="56" t="n">
        <v>20</v>
      </c>
      <c r="FM527" s="56"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FN527" s="56"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FO527" s="56"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FP527" s="56"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Q527" s="56" t="inlineStr">
        <is>
          <t>• Key challenges: AI Credits; Laptop; Ad hoc requirements; No Clarity in requirement; Changing in requirements.
• Support required: Clear Requirements and better AI tools; AI tools usage training; Technical Lead with Better tech knowledge in specific Tech Stack.</t>
        </is>
      </c>
      <c r="FR527" s="56" t="inlineStr">
        <is>
          <t>Complexity: Evidence reads like A3: Builds reusable front-end components and REST APIs for whole features; solves performance issues → moved up 0.5
Autonomy: Evidence reads like A3: Decides feature enhancements, code structure, performance and bug fixes on own features → moved up 0.5
Accountability: Evidence reads like A2: own survey / KRA answers · summarised by the rater; not quoted → matches the start
Leadership: Evidence reads like A1: No guiding or reviewing of others described → matches the start
Business Impact: No survey or manager-mapping signal on criticality: kept at the start point.</t>
        </is>
      </c>
      <c r="FS527"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7" s="56" t="inlineStr">
        <is>
          <t>Self-identified: AI / automation · Product &amp; tool knowledge
For the next role: AI / automation · Product &amp; tool knowledge</t>
        </is>
      </c>
      <c r="FU527" s="56" t="inlineStr">
        <is>
          <t>Per-person summary · CARBON Mapping Master</t>
        </is>
      </c>
    </row>
    <row r="528" ht="90" customHeight="1">
      <c r="A528" s="51" t="inlineStr">
        <is>
          <t>◂ Back</t>
        </is>
      </c>
      <c r="B528" s="29" t="inlineStr">
        <is>
          <t>Mapped</t>
        </is>
      </c>
      <c r="C528" s="28" t="inlineStr">
        <is>
          <t>CARBON</t>
        </is>
      </c>
      <c r="D528" s="29" t="inlineStr">
        <is>
          <t>IRIS2160</t>
        </is>
      </c>
      <c r="E528" s="29" t="inlineStr">
        <is>
          <t>Parth Jitendrabhai Parmar</t>
        </is>
      </c>
      <c r="F528" s="29" t="inlineStr">
        <is>
          <t>Technology</t>
        </is>
      </c>
      <c r="G528" s="29" t="inlineStr">
        <is>
          <t>Software Engineer</t>
        </is>
      </c>
      <c r="H528" s="29" t="inlineStr">
        <is>
          <t>Senior Software Engineer</t>
        </is>
      </c>
      <c r="I528" s="29" t="inlineStr">
        <is>
          <t>L3 – Professional / Associate</t>
        </is>
      </c>
      <c r="J528" s="29" t="inlineStr">
        <is>
          <t>A3</t>
        </is>
      </c>
      <c r="K528" s="29" t="inlineStr">
        <is>
          <t>▲ Up</t>
        </is>
      </c>
      <c r="L528" s="29" t="inlineStr">
        <is>
          <t>Engineering &amp; Development</t>
        </is>
      </c>
      <c r="M528" s="29" t="inlineStr">
        <is>
          <t>Full-Stack Development</t>
        </is>
      </c>
      <c r="N528" s="29" t="inlineStr">
        <is>
          <t>• Confirm the reporting line — Manager</t>
        </is>
      </c>
      <c r="O528" s="29" t="n">
        <v>20</v>
      </c>
      <c r="P528" s="28" t="inlineStr">
        <is>
          <t>P2</t>
        </is>
      </c>
      <c r="Q528" s="29" t="inlineStr">
        <is>
          <t>Developing</t>
        </is>
      </c>
      <c r="R528" s="29" t="inlineStr">
        <is>
          <t>3 Apply</t>
        </is>
      </c>
      <c r="S528" s="29" t="inlineStr">
        <is>
          <t>2–4 yrs</t>
        </is>
      </c>
      <c r="T528" s="29" t="inlineStr">
        <is>
          <t>3–5 · 2–5</t>
        </is>
      </c>
      <c r="U528" s="29" t="inlineStr">
        <is>
          <t>Software Engineer</t>
        </is>
      </c>
      <c r="V528" s="29" t="inlineStr">
        <is>
          <t>Workiva: SE · Broadridge India: SE · Nasdaq / AxiomSL: SE · Salesforce: MTS · Atlassian: P40 · 3–7 yrs · Freshworks: Senior SE</t>
        </is>
      </c>
      <c r="W528" s="29" t="inlineStr">
        <is>
          <t>SFIA 9 · software development, programming; OWASP secure coding; cloud vendor certifications</t>
        </is>
      </c>
      <c r="X528" s="29" t="inlineStr">
        <is>
          <t>Core 2 · Future 2 · Functional 3 · Leadership not scored</t>
        </is>
      </c>
      <c r="Y528" s="52" t="n">
        <v>285</v>
      </c>
      <c r="Z528" s="53" t="inlineStr">
        <is>
          <t>IRIS2160</t>
        </is>
      </c>
      <c r="AA528" s="53" t="inlineStr">
        <is>
          <t>Employee</t>
        </is>
      </c>
      <c r="AB528" s="53" t="inlineStr">
        <is>
          <t>Active</t>
        </is>
      </c>
      <c r="AC528" s="53" t="inlineStr">
        <is>
          <t>Parth Jitendrabhai Parmar</t>
        </is>
      </c>
      <c r="AD528" s="54" t="n">
        <v>45131</v>
      </c>
      <c r="AE528" s="53" t="inlineStr">
        <is>
          <t>Software Engineer</t>
        </is>
      </c>
      <c r="AF528" s="53" t="inlineStr">
        <is>
          <t>B.SC</t>
        </is>
      </c>
      <c r="AG528" s="53" t="inlineStr">
        <is>
          <t>Hetal Chauhan</t>
        </is>
      </c>
      <c r="AH528" s="53" t="inlineStr">
        <is>
          <t>N-4</t>
        </is>
      </c>
      <c r="AI528" s="53" t="inlineStr">
        <is>
          <t>Manager</t>
        </is>
      </c>
      <c r="AJ528" s="53" t="inlineStr">
        <is>
          <t>1 years, 3 months, 0 days</t>
        </is>
      </c>
      <c r="AK528" s="53" t="inlineStr">
        <is>
          <t>3 years, 1 months, 1 days</t>
        </is>
      </c>
      <c r="AL528" s="53" t="inlineStr">
        <is>
          <t>Regtech</t>
        </is>
      </c>
      <c r="AM528" s="53" t="inlineStr">
        <is>
          <t>CARBON</t>
        </is>
      </c>
      <c r="AN528" s="53" t="inlineStr">
        <is>
          <t>Technology</t>
        </is>
      </c>
      <c r="AO528" s="53" t="inlineStr">
        <is>
          <t>Development</t>
        </is>
      </c>
      <c r="AP528" s="53" t="inlineStr">
        <is>
          <t>Yes</t>
        </is>
      </c>
      <c r="AQ528" s="53" t="inlineStr">
        <is>
          <t>Product/Project</t>
        </is>
      </c>
      <c r="AR528" s="53" t="inlineStr">
        <is>
          <t>Fullstack</t>
        </is>
      </c>
      <c r="AS528" s="53" t="inlineStr">
        <is>
          <t>Technical - Developer</t>
        </is>
      </c>
      <c r="AT528" s="53" t="n">
        <v>20</v>
      </c>
      <c r="AU528" s="53" t="inlineStr">
        <is>
          <t>Covered</t>
        </is>
      </c>
      <c r="AV528" s="53" t="inlineStr">
        <is>
          <t>IRIS2160</t>
        </is>
      </c>
      <c r="AW528" s="53" t="inlineStr">
        <is>
          <t>Parth Jitendrabhai Parmar</t>
        </is>
      </c>
      <c r="AX528" s="53" t="inlineStr">
        <is>
          <t>Technology</t>
        </is>
      </c>
      <c r="AY528" s="53" t="inlineStr">
        <is>
          <t>Engineering &amp; Development</t>
        </is>
      </c>
      <c r="AZ528" s="53" t="inlineStr">
        <is>
          <t>Full-Stack Engineering &amp; Devops</t>
        </is>
      </c>
      <c r="BA528" s="53" t="n"/>
      <c r="BB528" s="53" t="n"/>
      <c r="BC528" s="53" t="inlineStr">
        <is>
          <t>Employee</t>
        </is>
      </c>
      <c r="BD528" s="53" t="inlineStr">
        <is>
          <t>Hetal Chauhan</t>
        </is>
      </c>
      <c r="BE528" s="53" t="inlineStr">
        <is>
          <t>Hetal Chauhan</t>
        </is>
      </c>
      <c r="BF528" s="53" t="inlineStr">
        <is>
          <t>No</t>
        </is>
      </c>
      <c r="BG528" s="53" t="inlineStr">
        <is>
          <t>Software Engineer</t>
        </is>
      </c>
      <c r="BH528" s="53" t="inlineStr">
        <is>
          <t>Software Engineer</t>
        </is>
      </c>
      <c r="BI528" s="53" t="inlineStr">
        <is>
          <t>No</t>
        </is>
      </c>
      <c r="BJ528" s="53" t="n">
        <v>2</v>
      </c>
      <c r="BK528" s="53" t="n">
        <v>2</v>
      </c>
      <c r="BL528" s="53" t="n">
        <v>0</v>
      </c>
      <c r="BM528" s="53" t="inlineStr">
        <is>
          <t>Consolidate / flatten</t>
        </is>
      </c>
      <c r="BN528" s="53" t="n">
        <v>2</v>
      </c>
      <c r="BO528" s="53" t="n">
        <v>2</v>
      </c>
      <c r="BP528" s="53" t="n">
        <v>0</v>
      </c>
      <c r="BQ528" s="53" t="inlineStr">
        <is>
          <t>Consolidate / flatten</t>
        </is>
      </c>
      <c r="BR528" s="53" t="inlineStr">
        <is>
          <t>No</t>
        </is>
      </c>
      <c r="BS528" s="53" t="inlineStr">
        <is>
          <t>L3 – Professional / Associate</t>
        </is>
      </c>
      <c r="BT528" s="53" t="inlineStr">
        <is>
          <t>L3 – Professional / Associate</t>
        </is>
      </c>
      <c r="BU528" s="53" t="inlineStr">
        <is>
          <t>No designation change — current record value carried forward</t>
        </is>
      </c>
      <c r="BV528" s="53"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W528" s="53" t="n"/>
      <c r="BX528" s="53" t="inlineStr">
        <is>
          <t>US-FERC.</t>
        </is>
      </c>
      <c r="BY528" s="53" t="n"/>
      <c r="BZ528" s="53" t="n"/>
      <c r="CA528" s="53" t="n"/>
      <c r="CB528" s="53" t="n"/>
      <c r="CC528" s="53" t="n"/>
      <c r="CD528" s="53" t="n"/>
      <c r="CE528" s="53" t="n"/>
      <c r="CF528" s="53" t="n"/>
      <c r="CG528" s="53" t="n"/>
      <c r="CH528" s="53" t="n"/>
      <c r="CI528" s="53" t="n"/>
      <c r="CJ528" s="53" t="n"/>
      <c r="CK528" s="53" t="n"/>
      <c r="CL528" s="53" t="n"/>
      <c r="CM528" s="53" t="n"/>
      <c r="CN528" s="53" t="n"/>
      <c r="CO528" s="53" t="n"/>
      <c r="CP528" s="53" t="n"/>
      <c r="CQ528" s="53" t="n"/>
      <c r="CR528" s="53" t="n"/>
      <c r="CS528" s="53" t="n"/>
      <c r="CT528" s="53" t="n"/>
      <c r="CU528" s="53" t="n"/>
      <c r="CV528" s="53" t="n"/>
      <c r="CW528" s="53" t="n"/>
      <c r="CX528" s="53" t="n"/>
      <c r="CY528" s="53" t="n"/>
      <c r="CZ528" s="53" t="n"/>
      <c r="DA528" s="53" t="n"/>
      <c r="DB528" s="53" t="n"/>
      <c r="DC528" s="53" t="n"/>
      <c r="DD528" s="53" t="n"/>
      <c r="DE528" s="53" t="n"/>
      <c r="DF528" s="53" t="n"/>
      <c r="DG528" s="53" t="n"/>
      <c r="DH528" s="53" t="n"/>
      <c r="DI528" s="53" t="n"/>
      <c r="DJ528" s="53" t="n"/>
      <c r="DK528" s="53" t="n"/>
      <c r="DL528" s="53" t="n"/>
      <c r="DM528" s="53" t="n"/>
      <c r="DN528" s="53" t="n"/>
      <c r="DO528" s="53" t="n"/>
      <c r="DP528" s="53" t="n"/>
      <c r="DQ528" s="53" t="n"/>
      <c r="DR528" s="53" t="n"/>
      <c r="DS528" s="53" t="n"/>
      <c r="DT528" s="53" t="n"/>
      <c r="DU528" s="53" t="n"/>
      <c r="DV528" s="53" t="n"/>
      <c r="DW528" s="53" t="n"/>
      <c r="DX528" s="53" t="n"/>
      <c r="DY528" s="53" t="n"/>
      <c r="DZ528" s="53" t="n"/>
      <c r="EA528" s="53" t="n"/>
      <c r="EB528" s="53" t="n"/>
      <c r="EC528" s="53" t="n"/>
      <c r="ED528" s="53" t="n"/>
      <c r="EE528" s="53" t="n"/>
      <c r="EF528" s="53" t="n"/>
      <c r="EG528" s="53" t="n"/>
      <c r="EH528" s="53" t="n"/>
      <c r="EI528" s="53" t="n"/>
      <c r="EJ528" s="53" t="n"/>
      <c r="EK528" s="53" t="n"/>
      <c r="EL528" s="53" t="n"/>
      <c r="EM528" s="53" t="n"/>
      <c r="EN528" s="53" t="n"/>
      <c r="EO528" s="53" t="n"/>
      <c r="EP528" s="53" t="n"/>
      <c r="EQ528" s="53" t="n"/>
      <c r="ER528" s="53" t="n"/>
      <c r="ES528" s="53" t="n"/>
      <c r="ET528" s="53" t="n"/>
      <c r="EU528" s="53" t="n"/>
      <c r="EV528" s="53" t="n"/>
      <c r="EW528" s="52" t="n"/>
      <c r="EX528" s="53"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EY528" s="53"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EZ528" s="53"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FA528" s="53"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B528" s="53" t="inlineStr">
        <is>
          <t>• Key challenges: Approval delays; Laptop; AI Credits; Changing Requirements; lenevo laptop.
• Support required: Clear requirements upfront, with no changes during development.</t>
        </is>
      </c>
      <c r="FC528" s="53" t="n"/>
      <c r="FD528" s="53" t="n"/>
      <c r="FE528" s="57"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FF528" s="56" t="n"/>
      <c r="FG528" s="56" t="n"/>
      <c r="FH528" s="56" t="n"/>
      <c r="FI528" s="56" t="n"/>
      <c r="FJ528" s="56" t="inlineStr">
        <is>
          <t>Received · manager annual</t>
        </is>
      </c>
      <c r="FK528" s="56" t="inlineStr">
        <is>
          <t>CARBON Mapping Master</t>
        </is>
      </c>
      <c r="FL528" s="56" t="n">
        <v>20</v>
      </c>
      <c r="FM528" s="56"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FN528" s="56"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FO528" s="56"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FP528" s="56"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Q528" s="56" t="inlineStr">
        <is>
          <t>• Key challenges: Approval delays; Laptop; AI Credits; Changing Requirements; lenevo laptop.
• Support required: Clear requirements upfront, with no changes during development.</t>
        </is>
      </c>
      <c r="FR528" s="56" t="inlineStr">
        <is>
          <t>Complexity: Evidence reads like A3: Designs and builds full-stack features; deployment and DevOps automation; production deployment done by few → moved up 0.5
Autonomy: Evidence reads like A3: Independently designs solution, optimises code and automates repeated tasks → matches the start
Accountability: Evidence reads like A3: Feature end to end from design to production readiness → moved down 0.5
Leadership: Evidence reads like A1: No guidance of others described despite 2 reports → moved down 1
Business Impact: No survey or manager-mapping signal on criticality: kept at the start point.</t>
        </is>
      </c>
      <c r="FS528"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8" s="56" t="inlineStr">
        <is>
          <t>Self-identified: Technical depth &amp; architecture
For the next role: Technical depth &amp; architecture</t>
        </is>
      </c>
      <c r="FU528" s="56" t="inlineStr">
        <is>
          <t>Per-person summary · CARBON Mapping Master</t>
        </is>
      </c>
    </row>
    <row r="529" ht="90" customHeight="1">
      <c r="A529" s="51" t="inlineStr">
        <is>
          <t>◂ Back</t>
        </is>
      </c>
      <c r="B529" s="29" t="inlineStr">
        <is>
          <t>Mapped</t>
        </is>
      </c>
      <c r="C529" s="28" t="inlineStr">
        <is>
          <t>CARBON</t>
        </is>
      </c>
      <c r="D529" s="29" t="inlineStr">
        <is>
          <t>IRIS2031</t>
        </is>
      </c>
      <c r="E529" s="29" t="inlineStr">
        <is>
          <t>Bansi Amipara</t>
        </is>
      </c>
      <c r="F529" s="29" t="inlineStr">
        <is>
          <t>Technology</t>
        </is>
      </c>
      <c r="G529" s="29" t="inlineStr">
        <is>
          <t>Software Engineer</t>
        </is>
      </c>
      <c r="H529" s="29" t="inlineStr">
        <is>
          <t>Senior Software Engineer</t>
        </is>
      </c>
      <c r="I529" s="29" t="inlineStr">
        <is>
          <t>L3 – Professional / Associate</t>
        </is>
      </c>
      <c r="J529" s="29" t="inlineStr">
        <is>
          <t>A3</t>
        </is>
      </c>
      <c r="K529" s="29" t="inlineStr">
        <is>
          <t>▲ Up</t>
        </is>
      </c>
      <c r="L529" s="29" t="inlineStr">
        <is>
          <t>Engineering &amp; Development</t>
        </is>
      </c>
      <c r="M529" s="29" t="inlineStr">
        <is>
          <t>Backend Development</t>
        </is>
      </c>
      <c r="N529" s="29" t="n"/>
      <c r="O529" s="29" t="n">
        <v>20</v>
      </c>
      <c r="P529" s="28" t="inlineStr">
        <is>
          <t>P2</t>
        </is>
      </c>
      <c r="Q529" s="29" t="inlineStr">
        <is>
          <t>Developing</t>
        </is>
      </c>
      <c r="R529" s="29" t="inlineStr">
        <is>
          <t>3 Apply</t>
        </is>
      </c>
      <c r="S529" s="29" t="inlineStr">
        <is>
          <t>2–4 yrs</t>
        </is>
      </c>
      <c r="T529" s="29" t="inlineStr">
        <is>
          <t>3–5 · 2–5</t>
        </is>
      </c>
      <c r="U529" s="29" t="inlineStr">
        <is>
          <t>Software Engineer</t>
        </is>
      </c>
      <c r="V529" s="29" t="inlineStr">
        <is>
          <t>Workiva: SE · Broadridge India: SE · Nasdaq / AxiomSL: SE · Salesforce: MTS · Atlassian: P40 · 3–7 yrs · Freshworks: Senior SE</t>
        </is>
      </c>
      <c r="W529" s="29" t="inlineStr">
        <is>
          <t>SFIA 9 · software development, programming; OWASP secure coding; cloud vendor certifications</t>
        </is>
      </c>
      <c r="X529" s="29" t="inlineStr">
        <is>
          <t>Core 2 · Future 2 · Functional 3 · Leadership not scored</t>
        </is>
      </c>
      <c r="Y529" s="52" t="n">
        <v>225</v>
      </c>
      <c r="Z529" s="53" t="inlineStr">
        <is>
          <t>IRIS2031</t>
        </is>
      </c>
      <c r="AA529" s="53" t="inlineStr">
        <is>
          <t>Employee</t>
        </is>
      </c>
      <c r="AB529" s="53" t="inlineStr">
        <is>
          <t>Active</t>
        </is>
      </c>
      <c r="AC529" s="53" t="inlineStr">
        <is>
          <t>Bansi Amipara</t>
        </is>
      </c>
      <c r="AD529" s="54" t="n">
        <v>44743</v>
      </c>
      <c r="AE529" s="53" t="inlineStr">
        <is>
          <t>Software Engineer</t>
        </is>
      </c>
      <c r="AF529" s="53" t="inlineStr">
        <is>
          <t>MSC-ICT</t>
        </is>
      </c>
      <c r="AG529" s="53" t="inlineStr">
        <is>
          <t>Parth Jitendrabhai Parmar</t>
        </is>
      </c>
      <c r="AH529" s="53" t="inlineStr">
        <is>
          <t>N-5</t>
        </is>
      </c>
      <c r="AI529" s="53" t="inlineStr">
        <is>
          <t>Individual Contributor</t>
        </is>
      </c>
      <c r="AJ529" s="53" t="inlineStr">
        <is>
          <t>0 years, 0 months, 0 days</t>
        </is>
      </c>
      <c r="AK529" s="53" t="inlineStr">
        <is>
          <t>4 years, 1 months, 24 days</t>
        </is>
      </c>
      <c r="AL529" s="53" t="inlineStr">
        <is>
          <t>Regtech</t>
        </is>
      </c>
      <c r="AM529" s="53" t="inlineStr">
        <is>
          <t>CARBON</t>
        </is>
      </c>
      <c r="AN529" s="53" t="inlineStr">
        <is>
          <t>Technology</t>
        </is>
      </c>
      <c r="AO529" s="53" t="inlineStr">
        <is>
          <t>Development</t>
        </is>
      </c>
      <c r="AP529" s="53" t="inlineStr">
        <is>
          <t>Yes</t>
        </is>
      </c>
      <c r="AQ529" s="53" t="inlineStr">
        <is>
          <t>Product/Project</t>
        </is>
      </c>
      <c r="AR529" s="53" t="inlineStr">
        <is>
          <t>.NET MVC</t>
        </is>
      </c>
      <c r="AS529" s="53" t="inlineStr">
        <is>
          <t>Technical - Developer</t>
        </is>
      </c>
      <c r="AT529" s="53" t="n">
        <v>20</v>
      </c>
      <c r="AU529" s="53" t="inlineStr">
        <is>
          <t>Covered</t>
        </is>
      </c>
      <c r="AV529" s="53" t="inlineStr">
        <is>
          <t>IRIS2031</t>
        </is>
      </c>
      <c r="AW529" s="53" t="inlineStr">
        <is>
          <t>Bansi Amipara</t>
        </is>
      </c>
      <c r="AX529" s="53" t="inlineStr">
        <is>
          <t>Technology</t>
        </is>
      </c>
      <c r="AY529" s="53" t="inlineStr">
        <is>
          <t>Engineering &amp; Development</t>
        </is>
      </c>
      <c r="AZ529" s="53" t="inlineStr">
        <is>
          <t>Frontend / UI Engineering</t>
        </is>
      </c>
      <c r="BA529" s="53" t="n"/>
      <c r="BB529" s="53" t="n"/>
      <c r="BC529" s="53" t="inlineStr">
        <is>
          <t>Employee</t>
        </is>
      </c>
      <c r="BD529" s="53" t="inlineStr">
        <is>
          <t>Parth Jitendrabhai Parmar</t>
        </is>
      </c>
      <c r="BE529" s="53" t="inlineStr">
        <is>
          <t>Parth Jitendrabhai Parmar</t>
        </is>
      </c>
      <c r="BF529" s="53" t="inlineStr">
        <is>
          <t>No</t>
        </is>
      </c>
      <c r="BG529" s="53" t="inlineStr">
        <is>
          <t>Software Engineer</t>
        </is>
      </c>
      <c r="BH529" s="53" t="inlineStr">
        <is>
          <t>Software Engineer</t>
        </is>
      </c>
      <c r="BI529" s="53" t="inlineStr">
        <is>
          <t>No</t>
        </is>
      </c>
      <c r="BJ529" s="53" t="inlineStr">
        <is>
          <t>—</t>
        </is>
      </c>
      <c r="BK529" s="53" t="inlineStr">
        <is>
          <t>—</t>
        </is>
      </c>
      <c r="BL529" s="53" t="inlineStr">
        <is>
          <t>—</t>
        </is>
      </c>
      <c r="BM529" s="53" t="inlineStr">
        <is>
          <t>Not a manager</t>
        </is>
      </c>
      <c r="BN529" s="53" t="inlineStr">
        <is>
          <t>—</t>
        </is>
      </c>
      <c r="BO529" s="53" t="inlineStr">
        <is>
          <t>—</t>
        </is>
      </c>
      <c r="BP529" s="53" t="inlineStr">
        <is>
          <t>—</t>
        </is>
      </c>
      <c r="BQ529" s="53" t="inlineStr">
        <is>
          <t>Not a manager</t>
        </is>
      </c>
      <c r="BR529" s="53" t="inlineStr">
        <is>
          <t>—</t>
        </is>
      </c>
      <c r="BS529" s="53" t="inlineStr">
        <is>
          <t>L3 – Professional / Associate</t>
        </is>
      </c>
      <c r="BT529" s="53" t="inlineStr">
        <is>
          <t>L3 – Professional / Associate</t>
        </is>
      </c>
      <c r="BU529" s="53" t="inlineStr">
        <is>
          <t>No designation change — current record value carried forward</t>
        </is>
      </c>
      <c r="BV529" s="53"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W529" s="53" t="n"/>
      <c r="BX529" s="53" t="inlineStr">
        <is>
          <t>Global.</t>
        </is>
      </c>
      <c r="BY529" s="53" t="n"/>
      <c r="BZ529" s="53" t="n"/>
      <c r="CA529" s="53" t="n"/>
      <c r="CB529" s="53" t="n"/>
      <c r="CC529" s="53" t="n"/>
      <c r="CD529" s="53" t="n"/>
      <c r="CE529" s="53" t="n"/>
      <c r="CF529" s="53" t="n"/>
      <c r="CG529" s="53" t="n"/>
      <c r="CH529" s="53" t="n"/>
      <c r="CI529" s="53" t="n"/>
      <c r="CJ529" s="53" t="n"/>
      <c r="CK529" s="53" t="n"/>
      <c r="CL529" s="53" t="n"/>
      <c r="CM529" s="53" t="n"/>
      <c r="CN529" s="53" t="n"/>
      <c r="CO529" s="53" t="n"/>
      <c r="CP529" s="53" t="n"/>
      <c r="CQ529" s="53" t="n"/>
      <c r="CR529" s="53" t="n"/>
      <c r="CS529" s="53" t="n"/>
      <c r="CT529" s="53" t="n"/>
      <c r="CU529" s="53" t="n"/>
      <c r="CV529" s="53" t="n"/>
      <c r="CW529" s="53" t="n"/>
      <c r="CX529" s="53" t="n"/>
      <c r="CY529" s="53" t="n"/>
      <c r="CZ529" s="53" t="n"/>
      <c r="DA529" s="53" t="n"/>
      <c r="DB529" s="53" t="n"/>
      <c r="DC529" s="53" t="n"/>
      <c r="DD529" s="53" t="n"/>
      <c r="DE529" s="53" t="n"/>
      <c r="DF529" s="53" t="n"/>
      <c r="DG529" s="53" t="n"/>
      <c r="DH529" s="53" t="n"/>
      <c r="DI529" s="53" t="n"/>
      <c r="DJ529" s="53" t="n"/>
      <c r="DK529" s="53" t="n"/>
      <c r="DL529" s="53" t="n"/>
      <c r="DM529" s="53" t="n"/>
      <c r="DN529" s="53" t="n"/>
      <c r="DO529" s="53" t="n"/>
      <c r="DP529" s="53" t="n"/>
      <c r="DQ529" s="53" t="n"/>
      <c r="DR529" s="53" t="n"/>
      <c r="DS529" s="53" t="n"/>
      <c r="DT529" s="53" t="n"/>
      <c r="DU529" s="53" t="n"/>
      <c r="DV529" s="53" t="n"/>
      <c r="DW529" s="53" t="n"/>
      <c r="DX529" s="53" t="n"/>
      <c r="DY529" s="53" t="n"/>
      <c r="DZ529" s="53" t="n"/>
      <c r="EA529" s="53" t="n"/>
      <c r="EB529" s="53" t="n"/>
      <c r="EC529" s="53" t="n"/>
      <c r="ED529" s="53" t="n"/>
      <c r="EE529" s="53" t="n"/>
      <c r="EF529" s="53" t="n"/>
      <c r="EG529" s="53" t="n"/>
      <c r="EH529" s="53" t="n"/>
      <c r="EI529" s="53" t="n"/>
      <c r="EJ529" s="53" t="n"/>
      <c r="EK529" s="53" t="n"/>
      <c r="EL529" s="53" t="n"/>
      <c r="EM529" s="53" t="n"/>
      <c r="EN529" s="53" t="n"/>
      <c r="EO529" s="53" t="n"/>
      <c r="EP529" s="53" t="n"/>
      <c r="EQ529" s="53" t="n"/>
      <c r="ER529" s="53" t="n"/>
      <c r="ES529" s="53" t="n"/>
      <c r="ET529" s="53" t="n"/>
      <c r="EU529" s="53" t="n"/>
      <c r="EV529" s="53" t="n"/>
      <c r="EW529" s="52" t="n"/>
      <c r="EX529" s="53"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EY529" s="53"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EZ529" s="53" t="inlineStr">
        <is>
          <t>• Current capabilities: How to devide problems.
• Tools / software used: Vs code; Copilot.
• Workload: Rated a heavy load · 4/5 in a typical week.
• Judgment/way of working: Quick learner; AI first approch, flexibility.</t>
        </is>
      </c>
      <c r="FA529" s="53"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B529" s="53" t="inlineStr">
        <is>
          <t>• Key challenges: Unclear requirements.
• Support required: Need to clear requirement before develop any features.</t>
        </is>
      </c>
      <c r="FC529" s="53" t="n"/>
      <c r="FD529" s="53" t="n"/>
      <c r="FE529" s="57"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FF529" s="56" t="n"/>
      <c r="FG529" s="56" t="n"/>
      <c r="FH529" s="56" t="n"/>
      <c r="FI529" s="56" t="n"/>
      <c r="FJ529" s="56" t="inlineStr">
        <is>
          <t>Received · manager annual</t>
        </is>
      </c>
      <c r="FK529" s="56" t="inlineStr">
        <is>
          <t>CARBON Mapping Master</t>
        </is>
      </c>
      <c r="FL529" s="56" t="n">
        <v>20</v>
      </c>
      <c r="FM529" s="56"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FN529" s="56"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FO529" s="56" t="inlineStr">
        <is>
          <t>• Current capabilities: How to devide problems.
• Tools / software used: Vs code; Copilot.
• Workload: Rated a heavy load · 4/5 in a typical week.
• Judgment/way of working: Quick learner; AI first approch, flexibility.</t>
        </is>
      </c>
      <c r="FP529" s="56"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Q529" s="56" t="inlineStr">
        <is>
          <t>• Key challenges: Unclear requirements.
• Support required: Need to clear requirement before develop any features.</t>
        </is>
      </c>
      <c r="FR529" s="56" t="inlineStr">
        <is>
          <t>Complexity: Evidence reads like A2: Full-stack development of AI-based reusable components; no harder cases described → matches the start
Autonomy: Evidence reads like A2: Decides only on optimising existing output → matches the start
Accountability: Evidence reads like A2: Own common components and feature stability meeting expected standards → matches the start
Leadership: Evidence reads like A1: No guiding or reviewing of others described → matches the start
Business Impact: No survey or manager-mapping signal on criticality: kept at the start point.</t>
        </is>
      </c>
      <c r="FS52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29" s="56" t="inlineStr">
        <is>
          <t>Self-identified: AI / automation · Technical depth &amp; architecture · Product &amp; tool knowledge
For the next role: AI / automation · Technical depth &amp; architecture · Product &amp; tool knowledge</t>
        </is>
      </c>
      <c r="FU529" s="56" t="inlineStr">
        <is>
          <t>Per-person summary · CARBON Mapping Master</t>
        </is>
      </c>
    </row>
    <row r="530" ht="90" customHeight="1">
      <c r="A530" s="51" t="inlineStr">
        <is>
          <t>◂ Back</t>
        </is>
      </c>
      <c r="B530" s="29" t="inlineStr">
        <is>
          <t>Mapped</t>
        </is>
      </c>
      <c r="C530" s="28" t="inlineStr">
        <is>
          <t>CARBON</t>
        </is>
      </c>
      <c r="D530" s="29" t="inlineStr">
        <is>
          <t>IRIS2159</t>
        </is>
      </c>
      <c r="E530" s="29" t="inlineStr">
        <is>
          <t>Rushali Patel</t>
        </is>
      </c>
      <c r="F530" s="29" t="inlineStr">
        <is>
          <t>Technology</t>
        </is>
      </c>
      <c r="G530" s="29" t="inlineStr">
        <is>
          <t>Software Engineer</t>
        </is>
      </c>
      <c r="H530" s="29" t="inlineStr">
        <is>
          <t>Senior UI Developer</t>
        </is>
      </c>
      <c r="I530" s="29" t="inlineStr">
        <is>
          <t>L3 – Professional / Associate</t>
        </is>
      </c>
      <c r="J530" s="29" t="inlineStr">
        <is>
          <t>A3</t>
        </is>
      </c>
      <c r="K530" s="29" t="inlineStr">
        <is>
          <t>▲ Up</t>
        </is>
      </c>
      <c r="L530" s="29" t="inlineStr">
        <is>
          <t>Engineering &amp; Development</t>
        </is>
      </c>
      <c r="M530" s="29" t="inlineStr">
        <is>
          <t>Front-End / UI Development</t>
        </is>
      </c>
      <c r="N530" s="29" t="n"/>
      <c r="O530" s="29" t="n">
        <v>20</v>
      </c>
      <c r="P530" s="28" t="inlineStr">
        <is>
          <t>P2</t>
        </is>
      </c>
      <c r="Q530" s="29" t="inlineStr">
        <is>
          <t>Developing</t>
        </is>
      </c>
      <c r="R530" s="29" t="inlineStr">
        <is>
          <t>3 Apply</t>
        </is>
      </c>
      <c r="S530" s="29" t="inlineStr">
        <is>
          <t>2–4 yrs</t>
        </is>
      </c>
      <c r="T530" s="29" t="inlineStr">
        <is>
          <t>3–5 · 2–5</t>
        </is>
      </c>
      <c r="U530" s="29" t="inlineStr">
        <is>
          <t>Software Engineer</t>
        </is>
      </c>
      <c r="V530" s="29" t="inlineStr">
        <is>
          <t>Workiva: SE · Broadridge India: SE · Nasdaq / AxiomSL: SE · Salesforce: MTS · Atlassian: P40 · 3–7 yrs · Freshworks: Senior SE</t>
        </is>
      </c>
      <c r="W530" s="29" t="inlineStr">
        <is>
          <t>SFIA 9 · software development, programming; OWASP secure coding; cloud vendor certifications</t>
        </is>
      </c>
      <c r="X530" s="29" t="inlineStr">
        <is>
          <t>Core 2 · Future 2 · Functional 3 · Leadership not scored</t>
        </is>
      </c>
      <c r="Y530" s="52" t="n">
        <v>284</v>
      </c>
      <c r="Z530" s="53" t="inlineStr">
        <is>
          <t>IRIS2159</t>
        </is>
      </c>
      <c r="AA530" s="53" t="inlineStr">
        <is>
          <t>Employee</t>
        </is>
      </c>
      <c r="AB530" s="53" t="inlineStr">
        <is>
          <t>Active</t>
        </is>
      </c>
      <c r="AC530" s="53" t="inlineStr">
        <is>
          <t>Rushali Patel</t>
        </is>
      </c>
      <c r="AD530" s="54" t="n">
        <v>45125</v>
      </c>
      <c r="AE530" s="53" t="inlineStr">
        <is>
          <t>Software Engineer</t>
        </is>
      </c>
      <c r="AF530" s="53" t="inlineStr">
        <is>
          <t>MSc</t>
        </is>
      </c>
      <c r="AG530" s="53" t="inlineStr">
        <is>
          <t>Parth Jitendrabhai Parmar</t>
        </is>
      </c>
      <c r="AH530" s="53" t="inlineStr">
        <is>
          <t>N-5</t>
        </is>
      </c>
      <c r="AI530" s="53" t="inlineStr">
        <is>
          <t>Individual Contributor</t>
        </is>
      </c>
      <c r="AJ530" s="53" t="inlineStr">
        <is>
          <t>0 years, 0 months, 0 days</t>
        </is>
      </c>
      <c r="AK530" s="53" t="inlineStr">
        <is>
          <t>3 years, 1 months, 7 days</t>
        </is>
      </c>
      <c r="AL530" s="53" t="inlineStr">
        <is>
          <t>Regtech</t>
        </is>
      </c>
      <c r="AM530" s="53" t="inlineStr">
        <is>
          <t>CARBON</t>
        </is>
      </c>
      <c r="AN530" s="53" t="inlineStr">
        <is>
          <t>Technology</t>
        </is>
      </c>
      <c r="AO530" s="53" t="inlineStr">
        <is>
          <t>UI</t>
        </is>
      </c>
      <c r="AP530" s="53" t="inlineStr">
        <is>
          <t>Yes</t>
        </is>
      </c>
      <c r="AQ530" s="53" t="inlineStr">
        <is>
          <t>Product/Project</t>
        </is>
      </c>
      <c r="AR530" s="53" t="inlineStr">
        <is>
          <t>UI</t>
        </is>
      </c>
      <c r="AS530" s="53" t="inlineStr">
        <is>
          <t>Technical - Developer</t>
        </is>
      </c>
      <c r="AT530" s="53" t="n">
        <v>20</v>
      </c>
      <c r="AU530" s="53" t="inlineStr">
        <is>
          <t>Covered</t>
        </is>
      </c>
      <c r="AV530" s="53" t="inlineStr">
        <is>
          <t>IRIS2159</t>
        </is>
      </c>
      <c r="AW530" s="53" t="inlineStr">
        <is>
          <t>Rushali Patel</t>
        </is>
      </c>
      <c r="AX530" s="53" t="inlineStr">
        <is>
          <t>Technology</t>
        </is>
      </c>
      <c r="AY530" s="53" t="inlineStr">
        <is>
          <t>Engineering &amp; Development</t>
        </is>
      </c>
      <c r="AZ530" s="53" t="inlineStr">
        <is>
          <t>Frontend / UI Engineering</t>
        </is>
      </c>
      <c r="BA530" s="53" t="n"/>
      <c r="BB530" s="53" t="n"/>
      <c r="BC530" s="53" t="inlineStr">
        <is>
          <t>Employee</t>
        </is>
      </c>
      <c r="BD530" s="53" t="inlineStr">
        <is>
          <t>Parth Jitendrabhai Parmar</t>
        </is>
      </c>
      <c r="BE530" s="53" t="inlineStr">
        <is>
          <t>Parth Jitendrabhai Parmar</t>
        </is>
      </c>
      <c r="BF530" s="53" t="inlineStr">
        <is>
          <t>No</t>
        </is>
      </c>
      <c r="BG530" s="53" t="inlineStr">
        <is>
          <t>Software Engineer</t>
        </is>
      </c>
      <c r="BH530" s="53" t="inlineStr">
        <is>
          <t>Software Engineer</t>
        </is>
      </c>
      <c r="BI530" s="53" t="inlineStr">
        <is>
          <t>No</t>
        </is>
      </c>
      <c r="BJ530" s="53" t="inlineStr">
        <is>
          <t>—</t>
        </is>
      </c>
      <c r="BK530" s="53" t="inlineStr">
        <is>
          <t>—</t>
        </is>
      </c>
      <c r="BL530" s="53" t="inlineStr">
        <is>
          <t>—</t>
        </is>
      </c>
      <c r="BM530" s="53" t="inlineStr">
        <is>
          <t>Not a manager</t>
        </is>
      </c>
      <c r="BN530" s="53" t="inlineStr">
        <is>
          <t>—</t>
        </is>
      </c>
      <c r="BO530" s="53" t="inlineStr">
        <is>
          <t>—</t>
        </is>
      </c>
      <c r="BP530" s="53" t="inlineStr">
        <is>
          <t>—</t>
        </is>
      </c>
      <c r="BQ530" s="53" t="inlineStr">
        <is>
          <t>Not a manager</t>
        </is>
      </c>
      <c r="BR530" s="53" t="inlineStr">
        <is>
          <t>—</t>
        </is>
      </c>
      <c r="BS530" s="53" t="inlineStr">
        <is>
          <t>L3 – Professional / Associate</t>
        </is>
      </c>
      <c r="BT530" s="53" t="inlineStr">
        <is>
          <t>L3 – Professional / Associate</t>
        </is>
      </c>
      <c r="BU530" s="53" t="inlineStr">
        <is>
          <t>No designation change — current record value carried forward</t>
        </is>
      </c>
      <c r="BV530" s="53"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W530" s="53" t="n"/>
      <c r="BX530" s="53" t="inlineStr">
        <is>
          <t>Internal.</t>
        </is>
      </c>
      <c r="BY530" s="53" t="n"/>
      <c r="BZ530" s="53" t="n"/>
      <c r="CA530" s="53" t="n"/>
      <c r="CB530" s="53" t="n"/>
      <c r="CC530" s="53" t="n"/>
      <c r="CD530" s="53" t="n"/>
      <c r="CE530" s="53" t="n"/>
      <c r="CF530" s="53" t="n"/>
      <c r="CG530" s="53" t="n"/>
      <c r="CH530" s="53" t="n"/>
      <c r="CI530" s="53" t="n"/>
      <c r="CJ530" s="53" t="n"/>
      <c r="CK530" s="53" t="n"/>
      <c r="CL530" s="53" t="n"/>
      <c r="CM530" s="53" t="n"/>
      <c r="CN530" s="53" t="n"/>
      <c r="CO530" s="53" t="n"/>
      <c r="CP530" s="53" t="n"/>
      <c r="CQ530" s="53" t="n"/>
      <c r="CR530" s="53" t="n"/>
      <c r="CS530" s="53" t="n"/>
      <c r="CT530" s="53" t="n"/>
      <c r="CU530" s="53" t="n"/>
      <c r="CV530" s="53" t="n"/>
      <c r="CW530" s="53" t="n"/>
      <c r="CX530" s="53" t="n"/>
      <c r="CY530" s="53" t="n"/>
      <c r="CZ530" s="53" t="n"/>
      <c r="DA530" s="53" t="n"/>
      <c r="DB530" s="53" t="n"/>
      <c r="DC530" s="53" t="n"/>
      <c r="DD530" s="53" t="n"/>
      <c r="DE530" s="53" t="n"/>
      <c r="DF530" s="53" t="n"/>
      <c r="DG530" s="53" t="n"/>
      <c r="DH530" s="53" t="n"/>
      <c r="DI530" s="53" t="n"/>
      <c r="DJ530" s="53" t="n"/>
      <c r="DK530" s="53" t="n"/>
      <c r="DL530" s="53" t="n"/>
      <c r="DM530" s="53" t="n"/>
      <c r="DN530" s="53" t="n"/>
      <c r="DO530" s="53" t="n"/>
      <c r="DP530" s="53" t="n"/>
      <c r="DQ530" s="53" t="n"/>
      <c r="DR530" s="53" t="n"/>
      <c r="DS530" s="53" t="n"/>
      <c r="DT530" s="53" t="n"/>
      <c r="DU530" s="53" t="n"/>
      <c r="DV530" s="53" t="n"/>
      <c r="DW530" s="53" t="n"/>
      <c r="DX530" s="53" t="n"/>
      <c r="DY530" s="53" t="n"/>
      <c r="DZ530" s="53" t="n"/>
      <c r="EA530" s="53" t="n"/>
      <c r="EB530" s="53" t="n"/>
      <c r="EC530" s="53" t="n"/>
      <c r="ED530" s="53" t="n"/>
      <c r="EE530" s="53" t="n"/>
      <c r="EF530" s="53" t="n"/>
      <c r="EG530" s="53" t="n"/>
      <c r="EH530" s="53" t="n"/>
      <c r="EI530" s="53" t="n"/>
      <c r="EJ530" s="53" t="n"/>
      <c r="EK530" s="53" t="n"/>
      <c r="EL530" s="53" t="n"/>
      <c r="EM530" s="53" t="n"/>
      <c r="EN530" s="53" t="n"/>
      <c r="EO530" s="53" t="n"/>
      <c r="EP530" s="53" t="n"/>
      <c r="EQ530" s="53" t="n"/>
      <c r="ER530" s="53" t="n"/>
      <c r="ES530" s="53" t="n"/>
      <c r="ET530" s="53" t="n"/>
      <c r="EU530" s="53" t="n"/>
      <c r="EV530" s="53" t="n"/>
      <c r="EW530" s="52" t="n"/>
      <c r="EX530" s="53"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EY530" s="53" t="inlineStr">
        <is>
          <t>• Key responsibilities include: Develop user stories; Bug fixes.
• Personally accountable for: User story development, bug fixes, API development.
• Impact if missed or done wrong: It can cause delay and rework.
• How measured: Same as everyone.</t>
        </is>
      </c>
      <c r="EZ530" s="53" t="inlineStr">
        <is>
          <t>• Current capabilities: React js javascript.
• Tools / software used: Vs code.
• Workload: Rated a moderate load · 3/5 in a typical week.
• Judgment/way of working: Understand requirement clearly and deliver quality work.</t>
        </is>
      </c>
      <c r="FA530" s="53" t="inlineStr">
        <is>
          <t>• Development priorities: AI tools and prompt engineering for better coding standard.
• Learning and Development Need: Prompt Engineering. Learned backend and APIs earlier.
• Role evolving toward: More AI-assisted coding.</t>
        </is>
      </c>
      <c r="FB530" s="53" t="inlineStr">
        <is>
          <t>• Key challenges: Changing requirement.
• Support required: Clear requirements help developers work faster and avoid rework.</t>
        </is>
      </c>
      <c r="FC530" s="53" t="n"/>
      <c r="FD530" s="53" t="n"/>
      <c r="FE530" s="57"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FF530" s="56" t="n"/>
      <c r="FG530" s="56" t="n"/>
      <c r="FH530" s="56" t="n"/>
      <c r="FI530" s="56" t="n"/>
      <c r="FJ530" s="56" t="inlineStr">
        <is>
          <t>Received · manager annual</t>
        </is>
      </c>
      <c r="FK530" s="56" t="inlineStr">
        <is>
          <t>CARBON Mapping Master</t>
        </is>
      </c>
      <c r="FL530" s="56" t="n">
        <v>20</v>
      </c>
      <c r="FM530" s="56"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FN530" s="56" t="inlineStr">
        <is>
          <t>• Key responsibilities include: Develop user stories; Bug fixes.
• Personally accountable for: User story development, bug fixes, API development.
• Impact if missed or done wrong: It can cause delay and rework.
• How measured: Same as everyone.</t>
        </is>
      </c>
      <c r="FO530" s="56" t="inlineStr">
        <is>
          <t>• Current capabilities: React js javascript.
• Tools / software used: Vs code.
• Workload: Rated a moderate load · 3/5 in a typical week.
• Judgment/way of working: Understand requirement clearly and deliver quality work.</t>
        </is>
      </c>
      <c r="FP530" s="56" t="inlineStr">
        <is>
          <t>• Development priorities: AI tools and prompt engineering for better coding standard.
• Learning and Development Need: Prompt Engineering. Learned backend and APIs earlier.
• Role evolving toward: More AI-assisted coding.</t>
        </is>
      </c>
      <c r="FQ530" s="56" t="inlineStr">
        <is>
          <t>• Key challenges: Changing requirement.
• Support required: Clear requirements help developers work faster and avoid rework.</t>
        </is>
      </c>
      <c r="FR530" s="56" t="inlineStr">
        <is>
          <t>Complexity: Evidence reads like A2: Develops user stories and bug fixes in React; still learning backend → matches the start
Autonomy: Evidence reads like A2: Only 'understand the problem' given as independent decision → matches the start
Accountability: Evidence reads like A2: User story development and bug fixes; errors cause delay and rework → matches the start
Leadership: Evidence reads like A1: No guidance of others described → matches the start
Business Impact: No survey or manager-mapping signal on criticality: kept at the start point.</t>
        </is>
      </c>
      <c r="FS530"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30" s="56" t="inlineStr">
        <is>
          <t>Self-identified: AI / automation · Technical depth &amp; architecture · Product &amp; tool knowledge
For the next role: AI / automation · Technical depth &amp; architecture · Product &amp; tool knowledge</t>
        </is>
      </c>
      <c r="FU530" s="56" t="inlineStr">
        <is>
          <t>Per-person summary · CARBON Mapping Master</t>
        </is>
      </c>
    </row>
    <row r="531" ht="90" customHeight="1">
      <c r="A531" s="51" t="inlineStr">
        <is>
          <t>◂ Back</t>
        </is>
      </c>
      <c r="B531" s="29" t="inlineStr">
        <is>
          <t>Mapped</t>
        </is>
      </c>
      <c r="C531" s="28" t="inlineStr">
        <is>
          <t>CARBON</t>
        </is>
      </c>
      <c r="D531" s="29" t="inlineStr">
        <is>
          <t>IRIS2281</t>
        </is>
      </c>
      <c r="E531" s="29" t="inlineStr">
        <is>
          <t>Riya Parekh</t>
        </is>
      </c>
      <c r="F531" s="29" t="inlineStr">
        <is>
          <t>Technology</t>
        </is>
      </c>
      <c r="G531" s="29" t="inlineStr">
        <is>
          <t>Software Engineer</t>
        </is>
      </c>
      <c r="H531" s="29" t="inlineStr">
        <is>
          <t>Senior Software Engineer</t>
        </is>
      </c>
      <c r="I531" s="29" t="inlineStr">
        <is>
          <t>L3 – Professional / Associate</t>
        </is>
      </c>
      <c r="J531" s="29" t="inlineStr">
        <is>
          <t>A3</t>
        </is>
      </c>
      <c r="K531" s="29" t="inlineStr">
        <is>
          <t>▲ Up</t>
        </is>
      </c>
      <c r="L531" s="29" t="inlineStr">
        <is>
          <t>Engineering &amp; Development</t>
        </is>
      </c>
      <c r="M531" s="29" t="inlineStr">
        <is>
          <t>Full-Stack Development</t>
        </is>
      </c>
      <c r="N531" s="29" t="n"/>
      <c r="O531" s="29" t="n">
        <v>20</v>
      </c>
      <c r="P531" s="28" t="inlineStr">
        <is>
          <t>P2</t>
        </is>
      </c>
      <c r="Q531" s="29" t="inlineStr">
        <is>
          <t>Developing</t>
        </is>
      </c>
      <c r="R531" s="29" t="inlineStr">
        <is>
          <t>3 Apply</t>
        </is>
      </c>
      <c r="S531" s="29" t="inlineStr">
        <is>
          <t>2–4 yrs</t>
        </is>
      </c>
      <c r="T531" s="29" t="inlineStr">
        <is>
          <t>3–5 · 2–5</t>
        </is>
      </c>
      <c r="U531" s="29" t="inlineStr">
        <is>
          <t>Software Engineer</t>
        </is>
      </c>
      <c r="V531" s="29" t="inlineStr">
        <is>
          <t>Workiva: SE · Broadridge India: SE · Nasdaq / AxiomSL: SE · Salesforce: MTS · Atlassian: P40 · 3–7 yrs · Freshworks: Senior SE</t>
        </is>
      </c>
      <c r="W531" s="29" t="inlineStr">
        <is>
          <t>SFIA 9 · software development, programming; OWASP secure coding; cloud vendor certifications</t>
        </is>
      </c>
      <c r="X531" s="29" t="inlineStr">
        <is>
          <t>Core 2 · Future 2 · Functional 3 · Leadership not scored</t>
        </is>
      </c>
      <c r="Y531" s="52" t="n">
        <v>327</v>
      </c>
      <c r="Z531" s="53" t="inlineStr">
        <is>
          <t>IRIS2281</t>
        </is>
      </c>
      <c r="AA531" s="53" t="inlineStr">
        <is>
          <t>Employee</t>
        </is>
      </c>
      <c r="AB531" s="53" t="inlineStr">
        <is>
          <t>Active</t>
        </is>
      </c>
      <c r="AC531" s="53" t="inlineStr">
        <is>
          <t>Riya Parekh</t>
        </is>
      </c>
      <c r="AD531" s="54" t="n">
        <v>45474</v>
      </c>
      <c r="AE531" s="53" t="inlineStr">
        <is>
          <t>Software Engineer</t>
        </is>
      </c>
      <c r="AF531" s="53" t="inlineStr">
        <is>
          <t>Bachelor of Science</t>
        </is>
      </c>
      <c r="AG531" s="53" t="inlineStr">
        <is>
          <t>Hetal Chauhan</t>
        </is>
      </c>
      <c r="AH531" s="53" t="inlineStr">
        <is>
          <t>N-4</t>
        </is>
      </c>
      <c r="AI531" s="53" t="inlineStr">
        <is>
          <t>Individual Contributor</t>
        </is>
      </c>
      <c r="AJ531" s="53" t="inlineStr">
        <is>
          <t>0 years, 0 months, 0 days</t>
        </is>
      </c>
      <c r="AK531" s="53" t="inlineStr">
        <is>
          <t>2 years, 1 months, 24 days</t>
        </is>
      </c>
      <c r="AL531" s="53" t="inlineStr">
        <is>
          <t>Regtech</t>
        </is>
      </c>
      <c r="AM531" s="53" t="inlineStr">
        <is>
          <t>CARBON</t>
        </is>
      </c>
      <c r="AN531" s="53" t="inlineStr">
        <is>
          <t>Technology</t>
        </is>
      </c>
      <c r="AO531" s="53" t="inlineStr">
        <is>
          <t>Development</t>
        </is>
      </c>
      <c r="AP531" s="53" t="inlineStr">
        <is>
          <t>Yes</t>
        </is>
      </c>
      <c r="AQ531" s="53" t="inlineStr">
        <is>
          <t>Product/Project</t>
        </is>
      </c>
      <c r="AR531" s="53" t="inlineStr">
        <is>
          <t>.NET MVC + Angular</t>
        </is>
      </c>
      <c r="AS531" s="53" t="inlineStr">
        <is>
          <t>Technical - Developer</t>
        </is>
      </c>
      <c r="AT531" s="53" t="n">
        <v>20</v>
      </c>
      <c r="AU531" s="53" t="inlineStr">
        <is>
          <t>Covered</t>
        </is>
      </c>
      <c r="AV531" s="53" t="inlineStr">
        <is>
          <t>IRIS2281</t>
        </is>
      </c>
      <c r="AW531" s="53" t="inlineStr">
        <is>
          <t>Riya Parekh</t>
        </is>
      </c>
      <c r="AX531" s="53" t="inlineStr">
        <is>
          <t>Technology</t>
        </is>
      </c>
      <c r="AY531" s="53" t="inlineStr">
        <is>
          <t>Engineering &amp; Development</t>
        </is>
      </c>
      <c r="AZ531" s="53" t="inlineStr">
        <is>
          <t>Full-Stack Engineering</t>
        </is>
      </c>
      <c r="BA531" s="53" t="n"/>
      <c r="BB531" s="53" t="n"/>
      <c r="BC531" s="53" t="inlineStr">
        <is>
          <t>Employee</t>
        </is>
      </c>
      <c r="BD531" s="53" t="inlineStr">
        <is>
          <t>Hetal Chauhan</t>
        </is>
      </c>
      <c r="BE531" s="53" t="inlineStr">
        <is>
          <t>Hetal Chauhan</t>
        </is>
      </c>
      <c r="BF531" s="53" t="inlineStr">
        <is>
          <t>No</t>
        </is>
      </c>
      <c r="BG531" s="53" t="inlineStr">
        <is>
          <t>Software Engineer</t>
        </is>
      </c>
      <c r="BH531" s="53" t="inlineStr">
        <is>
          <t>Software Engineer</t>
        </is>
      </c>
      <c r="BI531" s="53" t="inlineStr">
        <is>
          <t>No</t>
        </is>
      </c>
      <c r="BJ531" s="53" t="inlineStr">
        <is>
          <t>—</t>
        </is>
      </c>
      <c r="BK531" s="53" t="inlineStr">
        <is>
          <t>—</t>
        </is>
      </c>
      <c r="BL531" s="53" t="inlineStr">
        <is>
          <t>—</t>
        </is>
      </c>
      <c r="BM531" s="53" t="inlineStr">
        <is>
          <t>Not a manager</t>
        </is>
      </c>
      <c r="BN531" s="53" t="inlineStr">
        <is>
          <t>—</t>
        </is>
      </c>
      <c r="BO531" s="53" t="inlineStr">
        <is>
          <t>—</t>
        </is>
      </c>
      <c r="BP531" s="53" t="inlineStr">
        <is>
          <t>—</t>
        </is>
      </c>
      <c r="BQ531" s="53" t="inlineStr">
        <is>
          <t>Not a manager</t>
        </is>
      </c>
      <c r="BR531" s="53" t="inlineStr">
        <is>
          <t>—</t>
        </is>
      </c>
      <c r="BS531" s="53" t="inlineStr">
        <is>
          <t>L3 – Professional / Associate</t>
        </is>
      </c>
      <c r="BT531" s="53" t="inlineStr">
        <is>
          <t>L3 – Professional / Associate</t>
        </is>
      </c>
      <c r="BU531" s="53" t="inlineStr">
        <is>
          <t>No designation change — current record value carried forward</t>
        </is>
      </c>
      <c r="BV531" s="53"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W531" s="53" t="n"/>
      <c r="BX531" s="53" t="inlineStr">
        <is>
          <t>Global.</t>
        </is>
      </c>
      <c r="BY531" s="53" t="n"/>
      <c r="BZ531" s="53" t="n"/>
      <c r="CA531" s="53" t="n"/>
      <c r="CB531" s="53" t="n"/>
      <c r="CC531" s="53" t="n"/>
      <c r="CD531" s="53" t="n"/>
      <c r="CE531" s="53" t="n"/>
      <c r="CF531" s="53" t="n"/>
      <c r="CG531" s="53" t="n"/>
      <c r="CH531" s="53" t="n"/>
      <c r="CI531" s="53" t="n"/>
      <c r="CJ531" s="53" t="n"/>
      <c r="CK531" s="53" t="n"/>
      <c r="CL531" s="53" t="n"/>
      <c r="CM531" s="53" t="n"/>
      <c r="CN531" s="53" t="n"/>
      <c r="CO531" s="53" t="n"/>
      <c r="CP531" s="53" t="n"/>
      <c r="CQ531" s="53" t="n"/>
      <c r="CR531" s="53" t="n"/>
      <c r="CS531" s="53" t="n"/>
      <c r="CT531" s="53" t="n"/>
      <c r="CU531" s="53" t="n"/>
      <c r="CV531" s="53" t="n"/>
      <c r="CW531" s="53" t="n"/>
      <c r="CX531" s="53" t="n"/>
      <c r="CY531" s="53" t="n"/>
      <c r="CZ531" s="53" t="n"/>
      <c r="DA531" s="53" t="n"/>
      <c r="DB531" s="53" t="n"/>
      <c r="DC531" s="53" t="n"/>
      <c r="DD531" s="53" t="n"/>
      <c r="DE531" s="53" t="n"/>
      <c r="DF531" s="53" t="n"/>
      <c r="DG531" s="53" t="n"/>
      <c r="DH531" s="53" t="n"/>
      <c r="DI531" s="53" t="n"/>
      <c r="DJ531" s="53" t="n"/>
      <c r="DK531" s="53" t="n"/>
      <c r="DL531" s="53" t="n"/>
      <c r="DM531" s="53" t="n"/>
      <c r="DN531" s="53" t="n"/>
      <c r="DO531" s="53" t="n"/>
      <c r="DP531" s="53" t="n"/>
      <c r="DQ531" s="53" t="n"/>
      <c r="DR531" s="53" t="n"/>
      <c r="DS531" s="53" t="n"/>
      <c r="DT531" s="53" t="n"/>
      <c r="DU531" s="53" t="n"/>
      <c r="DV531" s="53" t="n"/>
      <c r="DW531" s="53" t="n"/>
      <c r="DX531" s="53" t="n"/>
      <c r="DY531" s="53" t="n"/>
      <c r="DZ531" s="53" t="n"/>
      <c r="EA531" s="53" t="n"/>
      <c r="EB531" s="53" t="n"/>
      <c r="EC531" s="53" t="n"/>
      <c r="ED531" s="53" t="n"/>
      <c r="EE531" s="53" t="n"/>
      <c r="EF531" s="53" t="n"/>
      <c r="EG531" s="53" t="n"/>
      <c r="EH531" s="53" t="n"/>
      <c r="EI531" s="53" t="n"/>
      <c r="EJ531" s="53" t="n"/>
      <c r="EK531" s="53" t="n"/>
      <c r="EL531" s="53" t="n"/>
      <c r="EM531" s="53" t="n"/>
      <c r="EN531" s="53" t="n"/>
      <c r="EO531" s="53" t="n"/>
      <c r="EP531" s="53" t="n"/>
      <c r="EQ531" s="53" t="n"/>
      <c r="ER531" s="53" t="n"/>
      <c r="ES531" s="53" t="n"/>
      <c r="ET531" s="53" t="n"/>
      <c r="EU531" s="53" t="n"/>
      <c r="EV531" s="53" t="n"/>
      <c r="EW531" s="52" t="n"/>
      <c r="EX531" s="53"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EY531" s="53"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EZ531" s="53"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FA531" s="53"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B531" s="53"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C531" s="53" t="n"/>
      <c r="FD531" s="53" t="n"/>
      <c r="FE531" s="57" t="inlineStr">
        <is>
          <t>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FF531" s="56" t="n"/>
      <c r="FG531" s="56" t="n"/>
      <c r="FH531" s="56" t="n"/>
      <c r="FI531" s="56" t="n"/>
      <c r="FJ531" s="56" t="inlineStr">
        <is>
          <t>Received · manager annual</t>
        </is>
      </c>
      <c r="FK531" s="56" t="inlineStr">
        <is>
          <t>CARBON Mapping Master</t>
        </is>
      </c>
      <c r="FL531" s="56" t="n">
        <v>20</v>
      </c>
      <c r="FM531" s="56"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FN531" s="56"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FO531" s="56"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FP531" s="56"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Q531" s="56"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R531" s="56" t="inlineStr">
        <is>
          <t>Complexity: Evidence reads like A3: Backend APIs, data models and API performance optimisation patterns; one of few doing optimisation → moved up 0.5
Autonomy: Evidence reads like A2: Decides API optimisation within own backend work → matches the start
Accountability: Evidence reads like A3: API performance under multiple users and backend structure; slowness reaches clients → moved up 0.5
Leadership: Evidence reads like A1: No guidance of others described → matches the start
Business Impact: No survey or manager-mapping signal on criticality: kept at the start point.</t>
        </is>
      </c>
      <c r="FS531"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31" s="56" t="inlineStr">
        <is>
          <t>Self-identified: Leadership &amp; people management · Technical depth &amp; architecture · Broader exposure &amp; ownership
For the next role: Leadership &amp; people management · Technical depth &amp; architecture · Broader exposure &amp; ownership</t>
        </is>
      </c>
      <c r="FU531" s="56" t="inlineStr">
        <is>
          <t>Per-person summary · CARBON Mapping Master</t>
        </is>
      </c>
    </row>
    <row r="532" ht="90" customHeight="1">
      <c r="A532" s="51" t="inlineStr">
        <is>
          <t>◂ Back</t>
        </is>
      </c>
      <c r="B532" s="29" t="inlineStr">
        <is>
          <t>Mapped</t>
        </is>
      </c>
      <c r="C532" s="28" t="inlineStr">
        <is>
          <t>CARBON</t>
        </is>
      </c>
      <c r="D532" s="29" t="inlineStr">
        <is>
          <t>IRIS2544</t>
        </is>
      </c>
      <c r="E532" s="29" t="inlineStr">
        <is>
          <t>Harsh Icecreamwala</t>
        </is>
      </c>
      <c r="F532" s="29" t="inlineStr">
        <is>
          <t>Technology</t>
        </is>
      </c>
      <c r="G532" s="29" t="inlineStr">
        <is>
          <t>Software Engineer</t>
        </is>
      </c>
      <c r="H532" s="29" t="inlineStr">
        <is>
          <t>Senior Software Engineer</t>
        </is>
      </c>
      <c r="I532" s="29" t="inlineStr">
        <is>
          <t>Not in current mapping files</t>
        </is>
      </c>
      <c r="J532" s="29" t="inlineStr">
        <is>
          <t>A3</t>
        </is>
      </c>
      <c r="K532" s="29" t="inlineStr">
        <is>
          <t>● Newly mapped</t>
        </is>
      </c>
      <c r="L532" s="29" t="inlineStr">
        <is>
          <t>Engineering &amp; Development</t>
        </is>
      </c>
      <c r="M532" s="29" t="inlineStr">
        <is>
          <t>Backend Development</t>
        </is>
      </c>
      <c r="N532" s="29" t="n"/>
      <c r="O532" s="29" t="n">
        <v>20</v>
      </c>
      <c r="P532" s="28" t="inlineStr">
        <is>
          <t>P2</t>
        </is>
      </c>
      <c r="Q532" s="29" t="inlineStr">
        <is>
          <t>Developing</t>
        </is>
      </c>
      <c r="R532" s="29" t="inlineStr">
        <is>
          <t>3 Apply</t>
        </is>
      </c>
      <c r="S532" s="29" t="inlineStr">
        <is>
          <t>2–4 yrs</t>
        </is>
      </c>
      <c r="T532" s="29" t="inlineStr">
        <is>
          <t>3–5 · 2–5</t>
        </is>
      </c>
      <c r="U532" s="29" t="inlineStr">
        <is>
          <t>Software Engineer</t>
        </is>
      </c>
      <c r="V532" s="29" t="inlineStr">
        <is>
          <t>Workiva: SE · Broadridge India: SE · Nasdaq / AxiomSL: SE · Salesforce: MTS · Atlassian: P40 · 3–7 yrs · Freshworks: Senior SE</t>
        </is>
      </c>
      <c r="W532" s="29" t="inlineStr">
        <is>
          <t>SFIA 9 · software development, programming; OWASP secure coding; cloud vendor certifications</t>
        </is>
      </c>
      <c r="X532" s="29" t="inlineStr">
        <is>
          <t>Core 2 · Future 2 · Functional 3 · Leadership not scored</t>
        </is>
      </c>
      <c r="Y532" s="52" t="n">
        <v>518</v>
      </c>
      <c r="Z532" s="53" t="inlineStr">
        <is>
          <t>IRIS2544</t>
        </is>
      </c>
      <c r="AA532" s="53" t="inlineStr">
        <is>
          <t>Employee</t>
        </is>
      </c>
      <c r="AB532" s="53" t="inlineStr">
        <is>
          <t>Active</t>
        </is>
      </c>
      <c r="AC532" s="53" t="inlineStr">
        <is>
          <t>Harsh Icecreamwala</t>
        </is>
      </c>
      <c r="AD532" s="54" t="n">
        <v>46217</v>
      </c>
      <c r="AE532" s="53" t="inlineStr">
        <is>
          <t>Software Engineer</t>
        </is>
      </c>
      <c r="AF532" s="53" t="inlineStr">
        <is>
          <t>Master of Science</t>
        </is>
      </c>
      <c r="AG532" s="53" t="inlineStr">
        <is>
          <t>Siddhesh Kadam</t>
        </is>
      </c>
      <c r="AH532" s="53" t="inlineStr">
        <is>
          <t>N-3</t>
        </is>
      </c>
      <c r="AI532" s="53" t="inlineStr">
        <is>
          <t>Individual Contributor</t>
        </is>
      </c>
      <c r="AJ532" s="53" t="inlineStr">
        <is>
          <t>2 years, 8 months, 0 days</t>
        </is>
      </c>
      <c r="AK532" s="53" t="inlineStr">
        <is>
          <t>0 years, 1 months, 11 days</t>
        </is>
      </c>
      <c r="AL532" s="53" t="inlineStr">
        <is>
          <t>Regtech</t>
        </is>
      </c>
      <c r="AM532" s="53" t="inlineStr">
        <is>
          <t>CARBON</t>
        </is>
      </c>
      <c r="AN532" s="53" t="inlineStr">
        <is>
          <t>Technology</t>
        </is>
      </c>
      <c r="AO532" s="53" t="inlineStr">
        <is>
          <t>Development</t>
        </is>
      </c>
      <c r="AP532" s="53" t="inlineStr">
        <is>
          <t>Yes</t>
        </is>
      </c>
      <c r="AQ532" s="53" t="inlineStr">
        <is>
          <t>Product/Project</t>
        </is>
      </c>
      <c r="AR532" s="53" t="inlineStr">
        <is>
          <t>.NET MVC</t>
        </is>
      </c>
      <c r="AS532" s="53" t="inlineStr">
        <is>
          <t>Technical - Developer</t>
        </is>
      </c>
      <c r="AT532" s="53" t="n">
        <v>20</v>
      </c>
      <c r="AU532" s="53" t="inlineStr">
        <is>
          <t>Covered</t>
        </is>
      </c>
      <c r="AV532" s="53" t="n"/>
      <c r="AW532" s="53" t="n"/>
      <c r="AX532" s="53" t="n"/>
      <c r="AY532" s="53" t="n"/>
      <c r="AZ532" s="53" t="n"/>
      <c r="BA532" s="53" t="n"/>
      <c r="BB532" s="53" t="n"/>
      <c r="BC532" s="53" t="n"/>
      <c r="BD532" s="53" t="n"/>
      <c r="BE532" s="53" t="n"/>
      <c r="BF532" s="53" t="n"/>
      <c r="BG532" s="53" t="n"/>
      <c r="BH532" s="53" t="n"/>
      <c r="BI532" s="53" t="n"/>
      <c r="BJ532" s="53" t="n"/>
      <c r="BK532" s="53" t="n"/>
      <c r="BL532" s="53" t="n"/>
      <c r="BM532" s="53" t="n"/>
      <c r="BN532" s="53" t="n"/>
      <c r="BO532" s="53" t="n"/>
      <c r="BP532" s="53" t="n"/>
      <c r="BQ532" s="53" t="n"/>
      <c r="BR532" s="53" t="n"/>
      <c r="BS532" s="53" t="n"/>
      <c r="BT532" s="53" t="n"/>
      <c r="BU532" s="53" t="n"/>
      <c r="BV532" s="53" t="n"/>
      <c r="BW532" s="53" t="n"/>
      <c r="BX532" s="53" t="n"/>
      <c r="BY532" s="53" t="n"/>
      <c r="BZ532" s="53" t="n"/>
      <c r="CA532" s="53" t="n"/>
      <c r="CB532" s="53" t="n"/>
      <c r="CC532" s="53" t="n"/>
      <c r="CD532" s="53" t="n"/>
      <c r="CE532" s="53" t="n"/>
      <c r="CF532" s="53" t="n"/>
      <c r="CG532" s="53" t="n"/>
      <c r="CH532" s="53" t="n"/>
      <c r="CI532" s="53" t="n"/>
      <c r="CJ532" s="53" t="n"/>
      <c r="CK532" s="53" t="n"/>
      <c r="CL532" s="53" t="n"/>
      <c r="CM532" s="53" t="n"/>
      <c r="CN532" s="53" t="n"/>
      <c r="CO532" s="53" t="n"/>
      <c r="CP532" s="53" t="n"/>
      <c r="CQ532" s="53" t="n"/>
      <c r="CR532" s="53" t="n"/>
      <c r="CS532" s="53" t="n"/>
      <c r="CT532" s="53" t="n"/>
      <c r="CU532" s="53" t="n"/>
      <c r="CV532" s="53" t="n"/>
      <c r="CW532" s="53" t="n"/>
      <c r="CX532" s="53" t="n"/>
      <c r="CY532" s="53" t="n"/>
      <c r="CZ532" s="53" t="n"/>
      <c r="DA532" s="53" t="n"/>
      <c r="DB532" s="53" t="n"/>
      <c r="DC532" s="53" t="n"/>
      <c r="DD532" s="53" t="n"/>
      <c r="DE532" s="53" t="n"/>
      <c r="DF532" s="53" t="n"/>
      <c r="DG532" s="53" t="n"/>
      <c r="DH532" s="53" t="n"/>
      <c r="DI532" s="53" t="n"/>
      <c r="DJ532" s="53" t="n"/>
      <c r="DK532" s="53" t="n"/>
      <c r="DL532" s="53" t="n"/>
      <c r="DM532" s="53" t="n"/>
      <c r="DN532" s="53" t="n"/>
      <c r="DO532" s="53" t="n"/>
      <c r="DP532" s="53" t="n"/>
      <c r="DQ532" s="53" t="n"/>
      <c r="DR532" s="53" t="n"/>
      <c r="DS532" s="53" t="n"/>
      <c r="DT532" s="53" t="n"/>
      <c r="DU532" s="53" t="n"/>
      <c r="DV532" s="53" t="n"/>
      <c r="DW532" s="53" t="n"/>
      <c r="DX532" s="53" t="n"/>
      <c r="DY532" s="53" t="n"/>
      <c r="DZ532" s="53" t="n"/>
      <c r="EA532" s="53" t="n"/>
      <c r="EB532" s="53" t="n"/>
      <c r="EC532" s="53" t="n"/>
      <c r="ED532" s="53" t="n"/>
      <c r="EE532" s="53" t="n"/>
      <c r="EF532" s="53" t="n"/>
      <c r="EG532" s="53" t="n"/>
      <c r="EH532" s="53" t="n"/>
      <c r="EI532" s="53" t="n"/>
      <c r="EJ532" s="53" t="n"/>
      <c r="EK532" s="53" t="n"/>
      <c r="EL532" s="53" t="n"/>
      <c r="EM532" s="53" t="n"/>
      <c r="EN532" s="53" t="n"/>
      <c r="EO532" s="53" t="n"/>
      <c r="EP532" s="53" t="n"/>
      <c r="EQ532" s="53" t="n"/>
      <c r="ER532" s="53" t="n"/>
      <c r="ES532" s="53" t="n"/>
      <c r="ET532" s="53" t="n"/>
      <c r="EU532" s="53" t="n"/>
      <c r="EV532" s="53" t="n"/>
      <c r="EW532" s="52" t="n"/>
      <c r="EX532" s="53" t="n"/>
      <c r="EY532" s="53" t="n"/>
      <c r="EZ532" s="53" t="n"/>
      <c r="FA532" s="53" t="n"/>
      <c r="FB532" s="53" t="n"/>
      <c r="FC532" s="53" t="n"/>
      <c r="FD532" s="53" t="n"/>
      <c r="FE532" s="55" t="inlineStr">
        <is>
          <t>KRAs not received · manager to supply</t>
        </is>
      </c>
      <c r="FF532" s="56" t="n"/>
      <c r="FG532" s="56" t="n"/>
      <c r="FH532" s="56" t="n"/>
      <c r="FI532" s="56" t="n"/>
      <c r="FJ532" s="32" t="inlineStr">
        <is>
          <t>KRAs not received · manager to supply</t>
        </is>
      </c>
      <c r="FK532" s="56" t="n"/>
      <c r="FL532" s="56" t="n">
        <v>20</v>
      </c>
      <c r="FM532" s="32" t="inlineStr">
        <is>
          <t>Full survey answers not in the files received · How We Grow export needed · HR</t>
        </is>
      </c>
      <c r="FN532" s="56" t="inlineStr">
        <is>
          <t>—</t>
        </is>
      </c>
      <c r="FO532" s="56" t="inlineStr">
        <is>
          <t>—</t>
        </is>
      </c>
      <c r="FP532" s="56" t="inlineStr">
        <is>
          <t>—</t>
        </is>
      </c>
      <c r="FQ532" s="56" t="inlineStr">
        <is>
          <t>—</t>
        </is>
      </c>
      <c r="FR532" s="56"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consistency → matches the start
Leadership: Evidence reads like A1: No guiding or reviewing of others described → matches the start
Business Impact: No survey or manager-mapping signal on criticality: kept at the start point.</t>
        </is>
      </c>
      <c r="FS53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32" s="56" t="inlineStr">
        <is>
          <t>Self-identified: AI / automation
For the next role: AI / automation</t>
        </is>
      </c>
      <c r="FU532" s="32" t="inlineStr">
        <is>
          <t>Full survey answers not in the files received · How We Grow export needed · HR</t>
        </is>
      </c>
    </row>
    <row r="533" ht="90" customHeight="1">
      <c r="A533" s="51" t="inlineStr">
        <is>
          <t>◂ Back</t>
        </is>
      </c>
      <c r="B533" s="29" t="inlineStr">
        <is>
          <t>Mapped</t>
        </is>
      </c>
      <c r="C533" s="28" t="inlineStr">
        <is>
          <t>CARBON</t>
        </is>
      </c>
      <c r="D533" s="29" t="inlineStr">
        <is>
          <t>IRIS2146</t>
        </is>
      </c>
      <c r="E533" s="29" t="inlineStr">
        <is>
          <t>Parthviben Mistry</t>
        </is>
      </c>
      <c r="F533" s="29" t="inlineStr">
        <is>
          <t>Technology</t>
        </is>
      </c>
      <c r="G533" s="29" t="inlineStr">
        <is>
          <t>Software Engineer</t>
        </is>
      </c>
      <c r="H533" s="29" t="inlineStr">
        <is>
          <t>Senior Software Engineer</t>
        </is>
      </c>
      <c r="I533" s="29" t="inlineStr">
        <is>
          <t>L3 – Professional / Associate</t>
        </is>
      </c>
      <c r="J533" s="29" t="inlineStr">
        <is>
          <t>A3</t>
        </is>
      </c>
      <c r="K533" s="29" t="inlineStr">
        <is>
          <t>▲ Up</t>
        </is>
      </c>
      <c r="L533" s="29" t="inlineStr">
        <is>
          <t>Engineering &amp; Development</t>
        </is>
      </c>
      <c r="M533" s="29" t="inlineStr">
        <is>
          <t>Full-Stack Development</t>
        </is>
      </c>
      <c r="N533" s="29" t="n"/>
      <c r="O533" s="29" t="n">
        <v>20</v>
      </c>
      <c r="P533" s="28" t="inlineStr">
        <is>
          <t>P2</t>
        </is>
      </c>
      <c r="Q533" s="29" t="inlineStr">
        <is>
          <t>Developing</t>
        </is>
      </c>
      <c r="R533" s="29" t="inlineStr">
        <is>
          <t>3 Apply</t>
        </is>
      </c>
      <c r="S533" s="29" t="inlineStr">
        <is>
          <t>2–4 yrs</t>
        </is>
      </c>
      <c r="T533" s="29" t="inlineStr">
        <is>
          <t>3–5 · 2–5</t>
        </is>
      </c>
      <c r="U533" s="29" t="inlineStr">
        <is>
          <t>Software Engineer</t>
        </is>
      </c>
      <c r="V533" s="29" t="inlineStr">
        <is>
          <t>Workiva: SE · Broadridge India: SE · Nasdaq / AxiomSL: SE · Salesforce: MTS · Atlassian: P40 · 3–7 yrs · Freshworks: Senior SE</t>
        </is>
      </c>
      <c r="W533" s="29" t="inlineStr">
        <is>
          <t>SFIA 9 · software development, programming; OWASP secure coding; cloud vendor certifications</t>
        </is>
      </c>
      <c r="X533" s="29" t="inlineStr">
        <is>
          <t>Core 2 · Future 2 · Functional 3 · Leadership not scored</t>
        </is>
      </c>
      <c r="Y533" s="52" t="n">
        <v>281</v>
      </c>
      <c r="Z533" s="53" t="inlineStr">
        <is>
          <t>IRIS2146</t>
        </is>
      </c>
      <c r="AA533" s="53" t="inlineStr">
        <is>
          <t>Employee</t>
        </is>
      </c>
      <c r="AB533" s="53" t="inlineStr">
        <is>
          <t>Active</t>
        </is>
      </c>
      <c r="AC533" s="53" t="inlineStr">
        <is>
          <t>Parthviben Mistry</t>
        </is>
      </c>
      <c r="AD533" s="54" t="n">
        <v>45089</v>
      </c>
      <c r="AE533" s="53" t="inlineStr">
        <is>
          <t>Software Engineer</t>
        </is>
      </c>
      <c r="AF533" s="53" t="inlineStr">
        <is>
          <t>B.Tech</t>
        </is>
      </c>
      <c r="AG533" s="53" t="inlineStr">
        <is>
          <t>Siddhesh Kadam</t>
        </is>
      </c>
      <c r="AH533" s="53" t="inlineStr">
        <is>
          <t>N-3</t>
        </is>
      </c>
      <c r="AI533" s="53" t="inlineStr">
        <is>
          <t>Individual Contributor</t>
        </is>
      </c>
      <c r="AJ533" s="53" t="inlineStr">
        <is>
          <t>1 years, 0 months, 0 days</t>
        </is>
      </c>
      <c r="AK533" s="53" t="inlineStr">
        <is>
          <t>3 years, 2 months, 13 days</t>
        </is>
      </c>
      <c r="AL533" s="53" t="inlineStr">
        <is>
          <t>Regtech</t>
        </is>
      </c>
      <c r="AM533" s="53" t="inlineStr">
        <is>
          <t>CARBON</t>
        </is>
      </c>
      <c r="AN533" s="53" t="inlineStr">
        <is>
          <t>Technology</t>
        </is>
      </c>
      <c r="AO533" s="53" t="inlineStr">
        <is>
          <t>Development</t>
        </is>
      </c>
      <c r="AP533" s="53" t="inlineStr">
        <is>
          <t>Yes</t>
        </is>
      </c>
      <c r="AQ533" s="53" t="inlineStr">
        <is>
          <t>Product/Project</t>
        </is>
      </c>
      <c r="AR533" s="53" t="inlineStr">
        <is>
          <t>Angular</t>
        </is>
      </c>
      <c r="AS533" s="53" t="inlineStr">
        <is>
          <t>Technical - Developer</t>
        </is>
      </c>
      <c r="AT533" s="53" t="n">
        <v>20</v>
      </c>
      <c r="AU533" s="53" t="inlineStr">
        <is>
          <t>Covered</t>
        </is>
      </c>
      <c r="AV533" s="53" t="inlineStr">
        <is>
          <t>IRIS2146</t>
        </is>
      </c>
      <c r="AW533" s="53" t="inlineStr">
        <is>
          <t>Parthviben Mistry</t>
        </is>
      </c>
      <c r="AX533" s="53" t="inlineStr">
        <is>
          <t>Technology</t>
        </is>
      </c>
      <c r="AY533" s="53" t="inlineStr">
        <is>
          <t>Engineering &amp; Development</t>
        </is>
      </c>
      <c r="AZ533" s="53" t="inlineStr">
        <is>
          <t>Frontend / UI Engineering</t>
        </is>
      </c>
      <c r="BA533" s="53" t="n"/>
      <c r="BB533" s="53" t="n"/>
      <c r="BC533" s="53" t="inlineStr">
        <is>
          <t>Employee</t>
        </is>
      </c>
      <c r="BD533" s="53" t="inlineStr">
        <is>
          <t>Siddhesh Kadam</t>
        </is>
      </c>
      <c r="BE533" s="53" t="inlineStr">
        <is>
          <t>Siddhesh Kadam</t>
        </is>
      </c>
      <c r="BF533" s="53" t="inlineStr">
        <is>
          <t>No</t>
        </is>
      </c>
      <c r="BG533" s="53" t="inlineStr">
        <is>
          <t>Software Engineer</t>
        </is>
      </c>
      <c r="BH533" s="53" t="inlineStr">
        <is>
          <t>Software Engineer</t>
        </is>
      </c>
      <c r="BI533" s="53" t="inlineStr">
        <is>
          <t>No</t>
        </is>
      </c>
      <c r="BJ533" s="53" t="inlineStr">
        <is>
          <t>—</t>
        </is>
      </c>
      <c r="BK533" s="53" t="inlineStr">
        <is>
          <t>—</t>
        </is>
      </c>
      <c r="BL533" s="53" t="inlineStr">
        <is>
          <t>—</t>
        </is>
      </c>
      <c r="BM533" s="53" t="inlineStr">
        <is>
          <t>Not a manager</t>
        </is>
      </c>
      <c r="BN533" s="53" t="inlineStr">
        <is>
          <t>—</t>
        </is>
      </c>
      <c r="BO533" s="53" t="inlineStr">
        <is>
          <t>—</t>
        </is>
      </c>
      <c r="BP533" s="53" t="inlineStr">
        <is>
          <t>—</t>
        </is>
      </c>
      <c r="BQ533" s="53" t="inlineStr">
        <is>
          <t>Not a manager</t>
        </is>
      </c>
      <c r="BR533" s="53" t="inlineStr">
        <is>
          <t>—</t>
        </is>
      </c>
      <c r="BS533" s="53" t="inlineStr">
        <is>
          <t>L3 – Professional / Associate</t>
        </is>
      </c>
      <c r="BT533" s="53" t="inlineStr">
        <is>
          <t>L3 – Professional / Associate</t>
        </is>
      </c>
      <c r="BU533" s="53" t="inlineStr">
        <is>
          <t>No designation change — current record value carried forward</t>
        </is>
      </c>
      <c r="BV533" s="53"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W533" s="53" t="n"/>
      <c r="BX533" s="53" t="inlineStr">
        <is>
          <t>No input received — attended/was listed as a respondent but did not provide answers to any of the survey questions.</t>
        </is>
      </c>
      <c r="BY533" s="53" t="n"/>
      <c r="BZ533" s="53" t="n"/>
      <c r="CA533" s="53" t="n"/>
      <c r="CB533" s="53" t="n"/>
      <c r="CC533" s="53" t="n"/>
      <c r="CD533" s="53" t="n"/>
      <c r="CE533" s="53" t="n"/>
      <c r="CF533" s="53" t="n"/>
      <c r="CG533" s="53" t="n"/>
      <c r="CH533" s="53" t="n"/>
      <c r="CI533" s="53" t="n"/>
      <c r="CJ533" s="53" t="n"/>
      <c r="CK533" s="53" t="n"/>
      <c r="CL533" s="53" t="n"/>
      <c r="CM533" s="53" t="n"/>
      <c r="CN533" s="53" t="n"/>
      <c r="CO533" s="53" t="n"/>
      <c r="CP533" s="53" t="n"/>
      <c r="CQ533" s="53" t="n"/>
      <c r="CR533" s="53" t="n"/>
      <c r="CS533" s="53" t="n"/>
      <c r="CT533" s="53" t="n"/>
      <c r="CU533" s="53" t="n"/>
      <c r="CV533" s="53" t="n"/>
      <c r="CW533" s="53" t="n"/>
      <c r="CX533" s="53" t="n"/>
      <c r="CY533" s="53" t="n"/>
      <c r="CZ533" s="53" t="n"/>
      <c r="DA533" s="53" t="n"/>
      <c r="DB533" s="53" t="n"/>
      <c r="DC533" s="53" t="n"/>
      <c r="DD533" s="53" t="n"/>
      <c r="DE533" s="53" t="n"/>
      <c r="DF533" s="53" t="n"/>
      <c r="DG533" s="53" t="n"/>
      <c r="DH533" s="53" t="n"/>
      <c r="DI533" s="53" t="n"/>
      <c r="DJ533" s="53" t="n"/>
      <c r="DK533" s="53" t="n"/>
      <c r="DL533" s="53" t="n"/>
      <c r="DM533" s="53" t="n"/>
      <c r="DN533" s="53" t="n"/>
      <c r="DO533" s="53" t="n"/>
      <c r="DP533" s="53" t="n"/>
      <c r="DQ533" s="53" t="n"/>
      <c r="DR533" s="53" t="n"/>
      <c r="DS533" s="53" t="n"/>
      <c r="DT533" s="53" t="n"/>
      <c r="DU533" s="53" t="n"/>
      <c r="DV533" s="53" t="n"/>
      <c r="DW533" s="53" t="n"/>
      <c r="DX533" s="53" t="n"/>
      <c r="DY533" s="53" t="n"/>
      <c r="DZ533" s="53" t="n"/>
      <c r="EA533" s="53" t="n"/>
      <c r="EB533" s="53" t="n"/>
      <c r="EC533" s="53" t="n"/>
      <c r="ED533" s="53" t="n"/>
      <c r="EE533" s="53" t="n"/>
      <c r="EF533" s="53" t="n"/>
      <c r="EG533" s="53" t="n"/>
      <c r="EH533" s="53" t="n"/>
      <c r="EI533" s="53" t="n"/>
      <c r="EJ533" s="53" t="n"/>
      <c r="EK533" s="53" t="n"/>
      <c r="EL533" s="53" t="n"/>
      <c r="EM533" s="53" t="n"/>
      <c r="EN533" s="53" t="n"/>
      <c r="EO533" s="53" t="n"/>
      <c r="EP533" s="53" t="n"/>
      <c r="EQ533" s="53" t="n"/>
      <c r="ER533" s="53" t="n"/>
      <c r="ES533" s="53" t="n"/>
      <c r="ET533" s="53" t="n"/>
      <c r="EU533" s="53" t="n"/>
      <c r="EV533" s="53" t="n"/>
      <c r="EW533" s="52" t="n"/>
      <c r="EX533" s="53" t="inlineStr">
        <is>
          <t>• Role / sub-team: Technology — Software Engineer.
• Core purpose: Input not given by Participant.
• Decision-making autonomy: Input not given by Participant.
• Is this something only they do: Input not given by Participant.</t>
        </is>
      </c>
      <c r="EY533" s="53" t="inlineStr">
        <is>
          <t>• Key responsibilities include: Input not given by Participant.
• Impact if missed or done wrong: Input not given by Participant.
• How measured: Input not given by Participant.</t>
        </is>
      </c>
      <c r="EZ533" s="53" t="inlineStr">
        <is>
          <t>• Current capabilities: Input not given by Participant.
• Tools / software used: Input not given by Participant.</t>
        </is>
      </c>
      <c r="FA533" s="53" t="inlineStr">
        <is>
          <t>• Development priorities: Input not given by Participant.</t>
        </is>
      </c>
      <c r="FB533" s="53" t="inlineStr">
        <is>
          <t>• Key challenges: Input not given by Participant.
• Support required: Input not given by Participant.</t>
        </is>
      </c>
      <c r="FC533" s="53" t="n"/>
      <c r="FD533" s="53" t="n"/>
      <c r="FE533" s="57"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FF533" s="56" t="n"/>
      <c r="FG533" s="56" t="n"/>
      <c r="FH533" s="56" t="n"/>
      <c r="FI533" s="56" t="n"/>
      <c r="FJ533" s="56" t="inlineStr">
        <is>
          <t>Received · manager annual</t>
        </is>
      </c>
      <c r="FK533" s="56" t="inlineStr">
        <is>
          <t>CARBON Mapping Master</t>
        </is>
      </c>
      <c r="FL533" s="56" t="n">
        <v>20</v>
      </c>
      <c r="FM533" s="56" t="inlineStr">
        <is>
          <t>• Role / sub-team: Technology — Software Engineer.
• Core purpose: Input not given by Participant.
• Decision-making autonomy: Input not given by Participant.
• Is this something only they do: Input not given by Participant.</t>
        </is>
      </c>
      <c r="FN533" s="56" t="inlineStr">
        <is>
          <t>• Key responsibilities include: Input not given by Participant.
• Impact if missed or done wrong: Input not given by Participant.
• How measured: Input not given by Participant.</t>
        </is>
      </c>
      <c r="FO533" s="56" t="inlineStr">
        <is>
          <t>• Current capabilities: Input not given by Participant.
• Tools / software used: Input not given by Participant.</t>
        </is>
      </c>
      <c r="FP533" s="56" t="inlineStr">
        <is>
          <t>• Development priorities: Input not given by Participant.</t>
        </is>
      </c>
      <c r="FQ533" s="56" t="inlineStr">
        <is>
          <t>• Key challenges: Input not given by Participant.
• Support required: Input not given by Participant.</t>
        </is>
      </c>
      <c r="FR533" s="56" t="inlineStr">
        <is>
          <t>Complexity: Evidence reads like B1: Micro-frontend architecture, Module Federation, shared libraries, CDNs and common components for the product → moved up 1
Autonomy: Evidence reads like B1: own survey / KRA answers · summarised by the rater; not quoted → moved up 1
Accountability: Evidence reads like B1: own survey / KRA answers · summarised by the rater; not quoted → moved up 1
Leadership: Evidence reads like A3: Supports and guides the team; writes reusable skill doc for product team → moved up 1
Business Impact: No survey or manager-mapping signal on criticality: kept at the start point.</t>
        </is>
      </c>
      <c r="FS533"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33" s="56" t="inlineStr">
        <is>
          <t>Self-identified: Leadership &amp; people management · Project / programme management · Technical depth &amp; architecture · Strategy &amp; business acumen · Broader exposure &amp; ownership
For the next role: AI / automation · Leadership &amp; people management · Project / programme management · Technical depth &amp; architecture · Product &amp; tool knowledge · Strategy &amp; business acumen · Broader exposure &amp; ownership</t>
        </is>
      </c>
      <c r="FU533" s="56" t="inlineStr">
        <is>
          <t>Per-person summary · CARBON Mapping Master</t>
        </is>
      </c>
    </row>
    <row r="534" ht="90" customHeight="1">
      <c r="A534" s="51" t="inlineStr">
        <is>
          <t>◂ Back</t>
        </is>
      </c>
      <c r="B534" s="29" t="inlineStr">
        <is>
          <t>Mapped</t>
        </is>
      </c>
      <c r="C534" s="28" t="inlineStr">
        <is>
          <t>CARBON</t>
        </is>
      </c>
      <c r="D534" s="29" t="inlineStr">
        <is>
          <t>IRIS2495</t>
        </is>
      </c>
      <c r="E534" s="29" t="inlineStr">
        <is>
          <t>Manasvi Sharma</t>
        </is>
      </c>
      <c r="F534" s="29" t="inlineStr">
        <is>
          <t>Technology</t>
        </is>
      </c>
      <c r="G534" s="29" t="inlineStr">
        <is>
          <t>Senior Software Engineer - AI/ML</t>
        </is>
      </c>
      <c r="H534" s="29" t="inlineStr">
        <is>
          <t>AI/ML Specialist – POD Lead</t>
        </is>
      </c>
      <c r="I534" s="29" t="inlineStr">
        <is>
          <t>L4 – Senior</t>
        </is>
      </c>
      <c r="J534" s="29" t="inlineStr">
        <is>
          <t>B1</t>
        </is>
      </c>
      <c r="K534" s="29" t="inlineStr">
        <is>
          <t>▲ Up</t>
        </is>
      </c>
      <c r="L534" s="29" t="inlineStr">
        <is>
          <t>Engineering &amp; Development</t>
        </is>
      </c>
      <c r="M534" s="29" t="inlineStr">
        <is>
          <t>AI / ML &amp; GenAI Engineering</t>
        </is>
      </c>
      <c r="N534" s="29" t="n"/>
      <c r="O534" s="29" t="n">
        <v>20</v>
      </c>
      <c r="P534" s="28" t="inlineStr">
        <is>
          <t>P3 / M2</t>
        </is>
      </c>
      <c r="Q534" s="29" t="inlineStr">
        <is>
          <t>Career / · Team Lead</t>
        </is>
      </c>
      <c r="R534" s="29" t="inlineStr">
        <is>
          <t>4 Enable</t>
        </is>
      </c>
      <c r="S534" s="29" t="inlineStr">
        <is>
          <t>4–7 yrs</t>
        </is>
      </c>
      <c r="T534" s="29" t="inlineStr">
        <is>
          <t>5–8 · 4–8</t>
        </is>
      </c>
      <c r="U534" s="29" t="inlineStr">
        <is>
          <t>Senior Software Engineer</t>
        </is>
      </c>
      <c r="V534" s="29" t="inlineStr">
        <is>
          <t>Workiva: SE / Senior SE · Broadridge India: Senior SE · Nasdaq / AxiomSL: Senior SE · Salesforce: MTS · Atlassian: P40 · Freshworks: Senior SE</t>
        </is>
      </c>
      <c r="W534" s="29" t="inlineStr">
        <is>
          <t>SFIA 9 · software development, programming; OWASP secure coding; cloud vendor certifications</t>
        </is>
      </c>
      <c r="X534" s="29" t="inlineStr">
        <is>
          <t>Core 3 · Future 3 · Functional 3 · Leadership 2</t>
        </is>
      </c>
      <c r="Y534" s="52" t="n">
        <v>468</v>
      </c>
      <c r="Z534" s="53" t="inlineStr">
        <is>
          <t>IRIS2495</t>
        </is>
      </c>
      <c r="AA534" s="53" t="inlineStr">
        <is>
          <t>Employee</t>
        </is>
      </c>
      <c r="AB534" s="53" t="inlineStr">
        <is>
          <t>Active</t>
        </is>
      </c>
      <c r="AC534" s="53" t="inlineStr">
        <is>
          <t>Manasvi Sharma</t>
        </is>
      </c>
      <c r="AD534" s="54" t="n">
        <v>46097</v>
      </c>
      <c r="AE534" s="53" t="inlineStr">
        <is>
          <t>Senior Software Engineer - AI/ML</t>
        </is>
      </c>
      <c r="AF534" s="53" t="inlineStr">
        <is>
          <t>B.Sc</t>
        </is>
      </c>
      <c r="AG534" s="53" t="inlineStr">
        <is>
          <t>Ashish Singhvi</t>
        </is>
      </c>
      <c r="AH534" s="53" t="inlineStr">
        <is>
          <t>N-2</t>
        </is>
      </c>
      <c r="AI534" s="53" t="inlineStr">
        <is>
          <t>Manager</t>
        </is>
      </c>
      <c r="AJ534" s="53" t="inlineStr">
        <is>
          <t>7 years, 0 months, 0 days</t>
        </is>
      </c>
      <c r="AK534" s="53" t="inlineStr">
        <is>
          <t>0 years, 5 months, 9 days</t>
        </is>
      </c>
      <c r="AL534" s="53" t="inlineStr">
        <is>
          <t>Regtech</t>
        </is>
      </c>
      <c r="AM534" s="53" t="inlineStr">
        <is>
          <t>CARBON</t>
        </is>
      </c>
      <c r="AN534" s="53" t="inlineStr">
        <is>
          <t>Technology</t>
        </is>
      </c>
      <c r="AO534" s="53" t="inlineStr">
        <is>
          <t>Development</t>
        </is>
      </c>
      <c r="AP534" s="53" t="inlineStr">
        <is>
          <t>Yes</t>
        </is>
      </c>
      <c r="AQ534" s="53" t="inlineStr">
        <is>
          <t>Product/Project</t>
        </is>
      </c>
      <c r="AR534" s="53" t="inlineStr">
        <is>
          <t>AI/ML</t>
        </is>
      </c>
      <c r="AS534" s="53" t="inlineStr">
        <is>
          <t>Technical - Developer</t>
        </is>
      </c>
      <c r="AT534" s="53" t="n">
        <v>20</v>
      </c>
      <c r="AU534" s="53" t="inlineStr">
        <is>
          <t>Covered</t>
        </is>
      </c>
      <c r="AV534" s="53" t="inlineStr">
        <is>
          <t>IRIS2495</t>
        </is>
      </c>
      <c r="AW534" s="53" t="inlineStr">
        <is>
          <t>Manasvi Sharma</t>
        </is>
      </c>
      <c r="AX534" s="53" t="inlineStr">
        <is>
          <t>Technology</t>
        </is>
      </c>
      <c r="AY534" s="53" t="inlineStr">
        <is>
          <t>Engineering &amp; Development</t>
        </is>
      </c>
      <c r="AZ534" s="53" t="inlineStr">
        <is>
          <t>AI / ML Engineering</t>
        </is>
      </c>
      <c r="BA534" s="53" t="n"/>
      <c r="BB534" s="53" t="n"/>
      <c r="BC534" s="53" t="inlineStr">
        <is>
          <t>Employee</t>
        </is>
      </c>
      <c r="BD534" s="53" t="inlineStr">
        <is>
          <t>Ashish Singhvi</t>
        </is>
      </c>
      <c r="BE534" s="53" t="inlineStr">
        <is>
          <t>Ashish Singhvi</t>
        </is>
      </c>
      <c r="BF534" s="53" t="inlineStr">
        <is>
          <t>No</t>
        </is>
      </c>
      <c r="BG534" s="53" t="inlineStr">
        <is>
          <t>Senior Software Engineer - AI/ML</t>
        </is>
      </c>
      <c r="BH534" s="53" t="inlineStr">
        <is>
          <t>Senior Software Engineer - AI/ML</t>
        </is>
      </c>
      <c r="BI534" s="53" t="inlineStr">
        <is>
          <t>No</t>
        </is>
      </c>
      <c r="BJ534" s="53" t="n">
        <v>1</v>
      </c>
      <c r="BK534" s="53" t="n">
        <v>1</v>
      </c>
      <c r="BL534" s="53" t="n">
        <v>0</v>
      </c>
      <c r="BM534" s="53" t="inlineStr">
        <is>
          <t>Consolidate / flatten</t>
        </is>
      </c>
      <c r="BN534" s="53" t="n">
        <v>1</v>
      </c>
      <c r="BO534" s="53" t="n">
        <v>1</v>
      </c>
      <c r="BP534" s="53" t="n">
        <v>0</v>
      </c>
      <c r="BQ534" s="53" t="inlineStr">
        <is>
          <t>Consolidate / flatten</t>
        </is>
      </c>
      <c r="BR534" s="53" t="inlineStr">
        <is>
          <t>No</t>
        </is>
      </c>
      <c r="BS534" s="53" t="inlineStr">
        <is>
          <t>L4 – Senior</t>
        </is>
      </c>
      <c r="BT534" s="53" t="inlineStr">
        <is>
          <t>L4 – Senior</t>
        </is>
      </c>
      <c r="BU534" s="53" t="inlineStr">
        <is>
          <t>No designation change — current record value carried forward</t>
        </is>
      </c>
      <c r="BV534"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W534" s="53" t="n"/>
      <c r="BX534" s="53" t="inlineStr">
        <is>
          <t>All; Internal.</t>
        </is>
      </c>
      <c r="BY534" s="53" t="n"/>
      <c r="BZ534" s="53" t="n"/>
      <c r="CA534" s="53" t="n"/>
      <c r="CB534" s="53" t="n"/>
      <c r="CC534" s="53" t="n"/>
      <c r="CD534" s="53" t="n"/>
      <c r="CE534" s="53" t="n"/>
      <c r="CF534" s="53" t="n"/>
      <c r="CG534" s="53" t="n"/>
      <c r="CH534" s="53" t="n"/>
      <c r="CI534" s="53" t="n"/>
      <c r="CJ534" s="53" t="n"/>
      <c r="CK534" s="53" t="n"/>
      <c r="CL534" s="53" t="n"/>
      <c r="CM534" s="53" t="n"/>
      <c r="CN534" s="53" t="n"/>
      <c r="CO534" s="53" t="n"/>
      <c r="CP534" s="53" t="n"/>
      <c r="CQ534" s="53" t="n"/>
      <c r="CR534" s="53" t="n"/>
      <c r="CS534" s="53" t="n"/>
      <c r="CT534" s="53" t="n"/>
      <c r="CU534" s="53" t="n"/>
      <c r="CV534" s="53" t="n"/>
      <c r="CW534" s="53" t="n"/>
      <c r="CX534" s="53" t="n"/>
      <c r="CY534" s="53" t="n"/>
      <c r="CZ534" s="53" t="n"/>
      <c r="DA534" s="53" t="n"/>
      <c r="DB534" s="53" t="n"/>
      <c r="DC534" s="53" t="n"/>
      <c r="DD534" s="53" t="n"/>
      <c r="DE534" s="53" t="n"/>
      <c r="DF534" s="53" t="n"/>
      <c r="DG534" s="53" t="n"/>
      <c r="DH534" s="53" t="n"/>
      <c r="DI534" s="53" t="n"/>
      <c r="DJ534" s="53" t="n"/>
      <c r="DK534" s="53" t="n"/>
      <c r="DL534" s="53" t="n"/>
      <c r="DM534" s="53" t="n"/>
      <c r="DN534" s="53" t="n"/>
      <c r="DO534" s="53" t="n"/>
      <c r="DP534" s="53" t="n"/>
      <c r="DQ534" s="53" t="n"/>
      <c r="DR534" s="53" t="n"/>
      <c r="DS534" s="53" t="n"/>
      <c r="DT534" s="53" t="n"/>
      <c r="DU534" s="53" t="n"/>
      <c r="DV534" s="53" t="n"/>
      <c r="DW534" s="53" t="n"/>
      <c r="DX534" s="53" t="n"/>
      <c r="DY534" s="53" t="n"/>
      <c r="DZ534" s="53" t="n"/>
      <c r="EA534" s="53" t="n"/>
      <c r="EB534" s="53" t="n"/>
      <c r="EC534" s="53" t="n"/>
      <c r="ED534" s="53" t="n"/>
      <c r="EE534" s="53" t="n"/>
      <c r="EF534" s="53" t="n"/>
      <c r="EG534" s="53" t="n"/>
      <c r="EH534" s="53" t="n"/>
      <c r="EI534" s="53" t="n"/>
      <c r="EJ534" s="53" t="n"/>
      <c r="EK534" s="53" t="n"/>
      <c r="EL534" s="53" t="n"/>
      <c r="EM534" s="53" t="n"/>
      <c r="EN534" s="53" t="n"/>
      <c r="EO534" s="53" t="n"/>
      <c r="EP534" s="53" t="n"/>
      <c r="EQ534" s="53" t="n"/>
      <c r="ER534" s="53" t="n"/>
      <c r="ES534" s="53" t="n"/>
      <c r="ET534" s="53" t="n"/>
      <c r="EU534" s="53" t="n"/>
      <c r="EV534" s="53" t="n"/>
      <c r="EW534" s="52" t="n"/>
      <c r="EX534" s="53"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EY534" s="53"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EZ534" s="53"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FA534" s="53"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B534" s="53"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C534" s="53" t="n"/>
      <c r="FD534" s="53" t="n"/>
      <c r="FE534"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FF534" s="56" t="n"/>
      <c r="FG534" s="56" t="n"/>
      <c r="FH534" s="56" t="n"/>
      <c r="FI534" s="56" t="n"/>
      <c r="FJ534" s="56" t="inlineStr">
        <is>
          <t>Received · manager annual</t>
        </is>
      </c>
      <c r="FK534" s="56" t="inlineStr">
        <is>
          <t>CARBON Mapping Master</t>
        </is>
      </c>
      <c r="FL534" s="56" t="n">
        <v>20</v>
      </c>
      <c r="FM534" s="56"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FN534" s="56"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FO534" s="56"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FP534" s="56"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Q534" s="56"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R534" s="56" t="inlineStr">
        <is>
          <t>Complexity: Evidence reads like B1: Trains small language models, builds the data-engineering pipeline, benchmarks embeddings for anomaly detection → moved up 0.5
Autonomy: Evidence reads like A3: Decides research methodology and which AI tools to build → matches the start
Accountability: Evidence reads like A3: Owns the SLM training/data pipeline and embedding benchmarking; owned production anomaly-detection issues → moved down 0.5
Leadership: Evidence reads like A2: Helps the team understand problems across domains; no guiding of the one report described → moved down 0.5</t>
        </is>
      </c>
      <c r="FS534"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534" s="56" t="inlineStr">
        <is>
          <t>Self-identified: Leadership &amp; people management · Domain, regulatory &amp; XBRL · Product &amp; tool knowledge · Broader exposure &amp; ownership
For the next role: Leadership &amp; people management · Domain, regulatory &amp; XBRL · Product &amp; tool knowledge · Broader exposure &amp; ownership</t>
        </is>
      </c>
      <c r="FU534" s="56" t="inlineStr">
        <is>
          <t>Per-person summary · CARBON Mapping Master</t>
        </is>
      </c>
    </row>
    <row r="535" ht="90" customHeight="1">
      <c r="A535" s="51" t="inlineStr">
        <is>
          <t>◂ Back</t>
        </is>
      </c>
      <c r="B535" s="29" t="inlineStr">
        <is>
          <t>Mapped</t>
        </is>
      </c>
      <c r="C535" s="28" t="inlineStr">
        <is>
          <t>CARBON</t>
        </is>
      </c>
      <c r="D535" s="29" t="inlineStr">
        <is>
          <t>IRIS2407</t>
        </is>
      </c>
      <c r="E535" s="29" t="inlineStr">
        <is>
          <t>Ayush Dattatraya Tikone</t>
        </is>
      </c>
      <c r="F535" s="29" t="inlineStr">
        <is>
          <t>Technology</t>
        </is>
      </c>
      <c r="G535" s="29" t="inlineStr">
        <is>
          <t>Software Engineer - AI/ML</t>
        </is>
      </c>
      <c r="H535" s="29" t="inlineStr">
        <is>
          <t>AI/ML Engineer</t>
        </is>
      </c>
      <c r="I535" s="29" t="inlineStr">
        <is>
          <t>L3 – Professional / Associate</t>
        </is>
      </c>
      <c r="J535" s="29" t="inlineStr">
        <is>
          <t>A2</t>
        </is>
      </c>
      <c r="K535" s="29" t="inlineStr">
        <is>
          <t>• Same level</t>
        </is>
      </c>
      <c r="L535" s="29" t="inlineStr">
        <is>
          <t>Engineering &amp; Development</t>
        </is>
      </c>
      <c r="M535" s="29" t="inlineStr">
        <is>
          <t>AI / ML &amp; GenAI Engineering</t>
        </is>
      </c>
      <c r="N535" s="29" t="n"/>
      <c r="O535" s="29" t="n">
        <v>20</v>
      </c>
      <c r="P535" s="28" t="inlineStr">
        <is>
          <t>P1–P2</t>
        </is>
      </c>
      <c r="Q535" s="29" t="inlineStr">
        <is>
          <t>Entry / Developing</t>
        </is>
      </c>
      <c r="R535" s="29" t="inlineStr">
        <is>
          <t>2 Assist</t>
        </is>
      </c>
      <c r="S535" s="29" t="inlineStr">
        <is>
          <t>0–2 yrs</t>
        </is>
      </c>
      <c r="T535" s="29" t="inlineStr">
        <is>
          <t>1–3 · 0–3</t>
        </is>
      </c>
      <c r="U535" s="29" t="inlineStr">
        <is>
          <t>Associate Software Engineer / Software Engineer</t>
        </is>
      </c>
      <c r="V535" s="29" t="inlineStr">
        <is>
          <t>Workiva: Associate SE · Broadridge India: SE · Nasdaq / AxiomSL: SE · Salesforce: AMTS · Atlassian: P30 Junior · 0–2 yrs · Freshworks: SE</t>
        </is>
      </c>
      <c r="W535" s="29" t="inlineStr">
        <is>
          <t>SFIA 9 · software development, programming; OWASP secure coding; cloud vendor certifications</t>
        </is>
      </c>
      <c r="X535" s="29" t="inlineStr">
        <is>
          <t>Core 2 · Future 2 · Functional 2 · Leadership not scored</t>
        </is>
      </c>
      <c r="Y535" s="52" t="n">
        <v>387</v>
      </c>
      <c r="Z535" s="53" t="inlineStr">
        <is>
          <t>IRIS2407</t>
        </is>
      </c>
      <c r="AA535" s="53" t="inlineStr">
        <is>
          <t>Employee</t>
        </is>
      </c>
      <c r="AB535" s="53" t="inlineStr">
        <is>
          <t>Active</t>
        </is>
      </c>
      <c r="AC535" s="53" t="inlineStr">
        <is>
          <t>Ayush Dattatraya Tikone</t>
        </is>
      </c>
      <c r="AD535" s="54" t="n">
        <v>45859</v>
      </c>
      <c r="AE535" s="53" t="inlineStr">
        <is>
          <t>Software Engineer - AI/ML</t>
        </is>
      </c>
      <c r="AF535" s="53" t="inlineStr">
        <is>
          <t>B.Tech</t>
        </is>
      </c>
      <c r="AG535" s="53" t="inlineStr">
        <is>
          <t>Manasvi Sharma</t>
        </is>
      </c>
      <c r="AH535" s="53" t="inlineStr">
        <is>
          <t>N-3</t>
        </is>
      </c>
      <c r="AI535" s="53" t="inlineStr">
        <is>
          <t>Individual Contributor</t>
        </is>
      </c>
      <c r="AJ535" s="53" t="inlineStr">
        <is>
          <t>0 years, 0 months, 0 days</t>
        </is>
      </c>
      <c r="AK535" s="53" t="inlineStr">
        <is>
          <t>1 years, 1 months, 4 days</t>
        </is>
      </c>
      <c r="AL535" s="53" t="inlineStr">
        <is>
          <t>Regtech</t>
        </is>
      </c>
      <c r="AM535" s="53" t="inlineStr">
        <is>
          <t>CARBON</t>
        </is>
      </c>
      <c r="AN535" s="53" t="inlineStr">
        <is>
          <t>Technology</t>
        </is>
      </c>
      <c r="AO535" s="53" t="inlineStr">
        <is>
          <t>Development</t>
        </is>
      </c>
      <c r="AP535" s="53" t="inlineStr">
        <is>
          <t>Yes</t>
        </is>
      </c>
      <c r="AQ535" s="53" t="inlineStr">
        <is>
          <t>Product/Project</t>
        </is>
      </c>
      <c r="AR535" s="53" t="inlineStr">
        <is>
          <t>AI/ML</t>
        </is>
      </c>
      <c r="AS535" s="53" t="inlineStr">
        <is>
          <t>Technical - Developer</t>
        </is>
      </c>
      <c r="AT535" s="53" t="n">
        <v>20</v>
      </c>
      <c r="AU535" s="53" t="inlineStr">
        <is>
          <t>Covered</t>
        </is>
      </c>
      <c r="AV535" s="53" t="inlineStr">
        <is>
          <t>IRIS2407</t>
        </is>
      </c>
      <c r="AW535" s="53" t="inlineStr">
        <is>
          <t>Ayush Dattatraya Tikone</t>
        </is>
      </c>
      <c r="AX535" s="53" t="inlineStr">
        <is>
          <t>Technology</t>
        </is>
      </c>
      <c r="AY535" s="53" t="inlineStr">
        <is>
          <t>Engineering &amp; Development</t>
        </is>
      </c>
      <c r="AZ535" s="53" t="inlineStr">
        <is>
          <t>AI / ML Engineering</t>
        </is>
      </c>
      <c r="BA535" s="53" t="n"/>
      <c r="BB535" s="53" t="n"/>
      <c r="BC535" s="53" t="inlineStr">
        <is>
          <t>Employee</t>
        </is>
      </c>
      <c r="BD535" s="53" t="inlineStr">
        <is>
          <t>Manasvi Sharma</t>
        </is>
      </c>
      <c r="BE535" s="53" t="inlineStr">
        <is>
          <t>Manasvi Sharma</t>
        </is>
      </c>
      <c r="BF535" s="53" t="inlineStr">
        <is>
          <t>No</t>
        </is>
      </c>
      <c r="BG535" s="53" t="inlineStr">
        <is>
          <t>Software Engineer - AI/ML</t>
        </is>
      </c>
      <c r="BH535" s="53" t="inlineStr">
        <is>
          <t>Software Engineer - AI/ML</t>
        </is>
      </c>
      <c r="BI535" s="53" t="inlineStr">
        <is>
          <t>No</t>
        </is>
      </c>
      <c r="BJ535" s="53" t="inlineStr">
        <is>
          <t>—</t>
        </is>
      </c>
      <c r="BK535" s="53" t="inlineStr">
        <is>
          <t>—</t>
        </is>
      </c>
      <c r="BL535" s="53" t="inlineStr">
        <is>
          <t>—</t>
        </is>
      </c>
      <c r="BM535" s="53" t="inlineStr">
        <is>
          <t>Not a manager</t>
        </is>
      </c>
      <c r="BN535" s="53" t="inlineStr">
        <is>
          <t>—</t>
        </is>
      </c>
      <c r="BO535" s="53" t="inlineStr">
        <is>
          <t>—</t>
        </is>
      </c>
      <c r="BP535" s="53" t="inlineStr">
        <is>
          <t>—</t>
        </is>
      </c>
      <c r="BQ535" s="53" t="inlineStr">
        <is>
          <t>Not a manager</t>
        </is>
      </c>
      <c r="BR535" s="53" t="inlineStr">
        <is>
          <t>—</t>
        </is>
      </c>
      <c r="BS535" s="53" t="inlineStr">
        <is>
          <t>L3 – Professional / Associate</t>
        </is>
      </c>
      <c r="BT535" s="53" t="inlineStr">
        <is>
          <t>L3 – Professional / Associate</t>
        </is>
      </c>
      <c r="BU535" s="53" t="inlineStr">
        <is>
          <t>No designation change — current record value carried forward</t>
        </is>
      </c>
      <c r="BV535" s="53"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W535" s="53" t="n"/>
      <c r="BX535" s="53" t="n"/>
      <c r="BY535" s="53" t="n"/>
      <c r="BZ535" s="53" t="n"/>
      <c r="CA535" s="53" t="n"/>
      <c r="CB535" s="53" t="n"/>
      <c r="CC535" s="53" t="n"/>
      <c r="CD535" s="53" t="n"/>
      <c r="CE535" s="53" t="n"/>
      <c r="CF535" s="53" t="n"/>
      <c r="CG535" s="53" t="n"/>
      <c r="CH535" s="53" t="n"/>
      <c r="CI535" s="53" t="n"/>
      <c r="CJ535" s="53" t="n"/>
      <c r="CK535" s="53" t="n"/>
      <c r="CL535" s="53" t="n"/>
      <c r="CM535" s="53" t="n"/>
      <c r="CN535" s="53" t="n"/>
      <c r="CO535" s="53" t="n"/>
      <c r="CP535" s="53" t="n"/>
      <c r="CQ535" s="53" t="n"/>
      <c r="CR535" s="53" t="n"/>
      <c r="CS535" s="53" t="n"/>
      <c r="CT535" s="53" t="n"/>
      <c r="CU535" s="53" t="n"/>
      <c r="CV535" s="53" t="n"/>
      <c r="CW535" s="53" t="n"/>
      <c r="CX535" s="53" t="n"/>
      <c r="CY535" s="53" t="n"/>
      <c r="CZ535" s="53" t="n"/>
      <c r="DA535" s="53" t="n"/>
      <c r="DB535" s="53" t="n"/>
      <c r="DC535" s="53" t="n"/>
      <c r="DD535" s="53" t="n"/>
      <c r="DE535" s="53" t="n"/>
      <c r="DF535" s="53" t="n"/>
      <c r="DG535" s="53" t="n"/>
      <c r="DH535" s="53" t="n"/>
      <c r="DI535" s="53" t="n"/>
      <c r="DJ535" s="53" t="n"/>
      <c r="DK535" s="53" t="n"/>
      <c r="DL535" s="53" t="n"/>
      <c r="DM535" s="53" t="n"/>
      <c r="DN535" s="53" t="n"/>
      <c r="DO535" s="53" t="n"/>
      <c r="DP535" s="53" t="n"/>
      <c r="DQ535" s="53" t="n"/>
      <c r="DR535" s="53" t="n"/>
      <c r="DS535" s="53" t="n"/>
      <c r="DT535" s="53" t="n"/>
      <c r="DU535" s="53" t="n"/>
      <c r="DV535" s="53" t="n"/>
      <c r="DW535" s="53" t="n"/>
      <c r="DX535" s="53" t="n"/>
      <c r="DY535" s="53" t="n"/>
      <c r="DZ535" s="53" t="n"/>
      <c r="EA535" s="53" t="n"/>
      <c r="EB535" s="53" t="n"/>
      <c r="EC535" s="53" t="n"/>
      <c r="ED535" s="53" t="n"/>
      <c r="EE535" s="53" t="n"/>
      <c r="EF535" s="53" t="n"/>
      <c r="EG535" s="53" t="n"/>
      <c r="EH535" s="53" t="n"/>
      <c r="EI535" s="53" t="n"/>
      <c r="EJ535" s="53" t="n"/>
      <c r="EK535" s="53" t="n"/>
      <c r="EL535" s="53" t="n"/>
      <c r="EM535" s="53" t="n"/>
      <c r="EN535" s="53" t="n"/>
      <c r="EO535" s="53" t="n"/>
      <c r="EP535" s="53" t="n"/>
      <c r="EQ535" s="53" t="n"/>
      <c r="ER535" s="53" t="n"/>
      <c r="ES535" s="53" t="n"/>
      <c r="ET535" s="53" t="n"/>
      <c r="EU535" s="53" t="n"/>
      <c r="EV535" s="53" t="n"/>
      <c r="EW535" s="52" t="n"/>
      <c r="EX535" s="53" t="n"/>
      <c r="EY535" s="53" t="n"/>
      <c r="EZ535" s="53" t="n"/>
      <c r="FA535" s="53" t="n"/>
      <c r="FB535" s="53" t="n"/>
      <c r="FC535" s="53" t="n"/>
      <c r="FD535" s="53" t="n"/>
      <c r="FE535" s="57"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FF535" s="56" t="n"/>
      <c r="FG535" s="56" t="n"/>
      <c r="FH535" s="56" t="n"/>
      <c r="FI535" s="56" t="n"/>
      <c r="FJ535" s="56" t="inlineStr">
        <is>
          <t>Received · manager annual</t>
        </is>
      </c>
      <c r="FK535" s="56" t="inlineStr">
        <is>
          <t>CARBON Mapping Master</t>
        </is>
      </c>
      <c r="FL535" s="56" t="n">
        <v>20</v>
      </c>
      <c r="FM535" s="32" t="inlineStr">
        <is>
          <t>Full survey answers not in the files received · How We Grow export needed · HR</t>
        </is>
      </c>
      <c r="FN535" s="56" t="inlineStr">
        <is>
          <t>—</t>
        </is>
      </c>
      <c r="FO535" s="56" t="inlineStr">
        <is>
          <t>—</t>
        </is>
      </c>
      <c r="FP535" s="56" t="inlineStr">
        <is>
          <t>—</t>
        </is>
      </c>
      <c r="FQ535" s="56" t="inlineStr">
        <is>
          <t>—</t>
        </is>
      </c>
      <c r="FR535" s="56"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reliability, pipelines and evaluation → moved up 0.5
Leadership: Evidence reads like A1: No guiding or leading described → matches the start
Business Impact: No survey or manager-mapping signal on criticality: kept at the start point.</t>
        </is>
      </c>
      <c r="FS535"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535" s="56" t="inlineStr">
        <is>
          <t>Self-identified: AI / automation · Leadership &amp; people management · Project / programme management · Technical depth &amp; architecture · Broader exposure &amp; ownership
For the next role: AI / automation · Leadership &amp; people management · Project / programme management · Technical depth &amp; architecture · Broader exposure &amp; ownership</t>
        </is>
      </c>
      <c r="FU535" s="32" t="inlineStr">
        <is>
          <t>Full survey answers not in the files received · How We Grow export needed · HR</t>
        </is>
      </c>
    </row>
    <row r="536" ht="90" customHeight="1">
      <c r="A536" s="51" t="inlineStr">
        <is>
          <t>◂ Back</t>
        </is>
      </c>
      <c r="B536" s="29" t="inlineStr">
        <is>
          <t>Mapped</t>
        </is>
      </c>
      <c r="C536" s="28" t="inlineStr">
        <is>
          <t>CARBON</t>
        </is>
      </c>
      <c r="D536" s="29" t="inlineStr">
        <is>
          <t>IRIS2509</t>
        </is>
      </c>
      <c r="E536" s="29" t="inlineStr">
        <is>
          <t>Mandar Ukrulkar</t>
        </is>
      </c>
      <c r="F536" s="29" t="inlineStr">
        <is>
          <t>Technology</t>
        </is>
      </c>
      <c r="G536" s="29" t="inlineStr">
        <is>
          <t>Software Engineer - AI/ML</t>
        </is>
      </c>
      <c r="H536" s="29" t="inlineStr">
        <is>
          <t>Senior AI/ML Engineer</t>
        </is>
      </c>
      <c r="I536" s="29" t="inlineStr">
        <is>
          <t>L3 – Professional / Associate</t>
        </is>
      </c>
      <c r="J536" s="29" t="inlineStr">
        <is>
          <t>A3</t>
        </is>
      </c>
      <c r="K536" s="29" t="inlineStr">
        <is>
          <t>▲ Up</t>
        </is>
      </c>
      <c r="L536" s="29" t="inlineStr">
        <is>
          <t>Engineering &amp; Development</t>
        </is>
      </c>
      <c r="M536" s="29" t="inlineStr">
        <is>
          <t>AI / ML &amp; GenAI Engineering</t>
        </is>
      </c>
      <c r="N536" s="29" t="inlineStr">
        <is>
          <t>• Confirm the reporting line — Manager</t>
        </is>
      </c>
      <c r="O536" s="29" t="n">
        <v>20</v>
      </c>
      <c r="P536" s="28" t="inlineStr">
        <is>
          <t>P2</t>
        </is>
      </c>
      <c r="Q536" s="29" t="inlineStr">
        <is>
          <t>Developing</t>
        </is>
      </c>
      <c r="R536" s="29" t="inlineStr">
        <is>
          <t>3 Apply</t>
        </is>
      </c>
      <c r="S536" s="29" t="inlineStr">
        <is>
          <t>2–4 yrs</t>
        </is>
      </c>
      <c r="T536" s="29" t="inlineStr">
        <is>
          <t>3–5 · 2–5</t>
        </is>
      </c>
      <c r="U536" s="29" t="inlineStr">
        <is>
          <t>Software Engineer</t>
        </is>
      </c>
      <c r="V536" s="29" t="inlineStr">
        <is>
          <t>Workiva: SE · Broadridge India: SE · Nasdaq / AxiomSL: SE · Salesforce: MTS · Atlassian: P40 · 3–7 yrs · Freshworks: Senior SE</t>
        </is>
      </c>
      <c r="W536" s="29" t="inlineStr">
        <is>
          <t>SFIA 9 · software development, programming; OWASP secure coding; cloud vendor certifications</t>
        </is>
      </c>
      <c r="X536" s="29" t="inlineStr">
        <is>
          <t>Core 2 · Future 2 · Functional 3 · Leadership not scored</t>
        </is>
      </c>
      <c r="Y536" s="52" t="n">
        <v>480</v>
      </c>
      <c r="Z536" s="53" t="inlineStr">
        <is>
          <t>IRIS2509</t>
        </is>
      </c>
      <c r="AA536" s="53" t="inlineStr">
        <is>
          <t>Employee</t>
        </is>
      </c>
      <c r="AB536" s="53" t="inlineStr">
        <is>
          <t>Active</t>
        </is>
      </c>
      <c r="AC536" s="53" t="inlineStr">
        <is>
          <t>Mandar Ukrulkar</t>
        </is>
      </c>
      <c r="AD536" s="54" t="n">
        <v>46125</v>
      </c>
      <c r="AE536" s="53" t="inlineStr">
        <is>
          <t>Software Engineer - AI/ML</t>
        </is>
      </c>
      <c r="AF536" s="53" t="inlineStr">
        <is>
          <t>B.E</t>
        </is>
      </c>
      <c r="AG536" s="53" t="inlineStr">
        <is>
          <t>Ashish Singhvi</t>
        </is>
      </c>
      <c r="AH536" s="53" t="inlineStr">
        <is>
          <t>N-2</t>
        </is>
      </c>
      <c r="AI536" s="53" t="inlineStr">
        <is>
          <t>Manager</t>
        </is>
      </c>
      <c r="AJ536" s="53" t="inlineStr">
        <is>
          <t>4 years, 0 months, 0 days</t>
        </is>
      </c>
      <c r="AK536" s="53" t="inlineStr">
        <is>
          <t>0 years, 4 months, 12 days</t>
        </is>
      </c>
      <c r="AL536" s="53" t="inlineStr">
        <is>
          <t>Regtech</t>
        </is>
      </c>
      <c r="AM536" s="53" t="inlineStr">
        <is>
          <t>CARBON</t>
        </is>
      </c>
      <c r="AN536" s="53" t="inlineStr">
        <is>
          <t>Technology</t>
        </is>
      </c>
      <c r="AO536" s="53" t="inlineStr">
        <is>
          <t>Development</t>
        </is>
      </c>
      <c r="AP536" s="53" t="inlineStr">
        <is>
          <t>Yes</t>
        </is>
      </c>
      <c r="AQ536" s="53" t="inlineStr">
        <is>
          <t>Product/Project</t>
        </is>
      </c>
      <c r="AR536" s="53" t="inlineStr">
        <is>
          <t>AI/ML</t>
        </is>
      </c>
      <c r="AS536" s="53" t="inlineStr">
        <is>
          <t>Technical - Developer</t>
        </is>
      </c>
      <c r="AT536" s="53" t="n">
        <v>20</v>
      </c>
      <c r="AU536" s="53" t="inlineStr">
        <is>
          <t>Covered</t>
        </is>
      </c>
      <c r="AV536" s="53" t="inlineStr">
        <is>
          <t>IRIS2509</t>
        </is>
      </c>
      <c r="AW536" s="53" t="inlineStr">
        <is>
          <t>Mandar Ukrulkar</t>
        </is>
      </c>
      <c r="AX536" s="53" t="inlineStr">
        <is>
          <t>Technology</t>
        </is>
      </c>
      <c r="AY536" s="53" t="inlineStr">
        <is>
          <t>Engineering &amp; Development</t>
        </is>
      </c>
      <c r="AZ536" s="53" t="inlineStr">
        <is>
          <t>AI / ML Engineering</t>
        </is>
      </c>
      <c r="BA536" s="53" t="n"/>
      <c r="BB536" s="53" t="n"/>
      <c r="BC536" s="53" t="inlineStr">
        <is>
          <t>Employee</t>
        </is>
      </c>
      <c r="BD536" s="53" t="inlineStr">
        <is>
          <t>Ashish Singhvi</t>
        </is>
      </c>
      <c r="BE536" s="53" t="inlineStr">
        <is>
          <t>Ashish Singhvi</t>
        </is>
      </c>
      <c r="BF536" s="53" t="inlineStr">
        <is>
          <t>No</t>
        </is>
      </c>
      <c r="BG536" s="53" t="inlineStr">
        <is>
          <t>Software Engineer - AI/ML</t>
        </is>
      </c>
      <c r="BH536" s="53" t="inlineStr">
        <is>
          <t>Software Engineer - AI/ML</t>
        </is>
      </c>
      <c r="BI536" s="53" t="inlineStr">
        <is>
          <t>No</t>
        </is>
      </c>
      <c r="BJ536" s="53" t="n">
        <v>1</v>
      </c>
      <c r="BK536" s="53" t="n">
        <v>1</v>
      </c>
      <c r="BL536" s="53" t="n">
        <v>0</v>
      </c>
      <c r="BM536" s="53" t="inlineStr">
        <is>
          <t>Consolidate / flatten</t>
        </is>
      </c>
      <c r="BN536" s="53" t="n">
        <v>1</v>
      </c>
      <c r="BO536" s="53" t="n">
        <v>1</v>
      </c>
      <c r="BP536" s="53" t="n">
        <v>0</v>
      </c>
      <c r="BQ536" s="53" t="inlineStr">
        <is>
          <t>Consolidate / flatten</t>
        </is>
      </c>
      <c r="BR536" s="53" t="inlineStr">
        <is>
          <t>No</t>
        </is>
      </c>
      <c r="BS536" s="53" t="inlineStr">
        <is>
          <t>L3 – Professional / Associate</t>
        </is>
      </c>
      <c r="BT536" s="53" t="inlineStr">
        <is>
          <t>L3 – Professional / Associate</t>
        </is>
      </c>
      <c r="BU536" s="53" t="inlineStr">
        <is>
          <t>No designation change — current record value carried forward</t>
        </is>
      </c>
      <c r="BV536"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W536" s="53" t="n"/>
      <c r="BX536" s="53" t="n"/>
      <c r="BY536" s="53" t="n"/>
      <c r="BZ536" s="53" t="n"/>
      <c r="CA536" s="53" t="n"/>
      <c r="CB536" s="53" t="n"/>
      <c r="CC536" s="53" t="n"/>
      <c r="CD536" s="53" t="n"/>
      <c r="CE536" s="53" t="n"/>
      <c r="CF536" s="53" t="n"/>
      <c r="CG536" s="53" t="n"/>
      <c r="CH536" s="53" t="n"/>
      <c r="CI536" s="53" t="n"/>
      <c r="CJ536" s="53" t="n"/>
      <c r="CK536" s="53" t="n"/>
      <c r="CL536" s="53" t="n"/>
      <c r="CM536" s="53" t="n"/>
      <c r="CN536" s="53" t="n"/>
      <c r="CO536" s="53" t="n"/>
      <c r="CP536" s="53" t="n"/>
      <c r="CQ536" s="53" t="n"/>
      <c r="CR536" s="53" t="n"/>
      <c r="CS536" s="53" t="n"/>
      <c r="CT536" s="53" t="n"/>
      <c r="CU536" s="53" t="n"/>
      <c r="CV536" s="53" t="n"/>
      <c r="CW536" s="53" t="n"/>
      <c r="CX536" s="53" t="n"/>
      <c r="CY536" s="53" t="n"/>
      <c r="CZ536" s="53" t="n"/>
      <c r="DA536" s="53" t="n"/>
      <c r="DB536" s="53" t="n"/>
      <c r="DC536" s="53" t="n"/>
      <c r="DD536" s="53" t="n"/>
      <c r="DE536" s="53" t="n"/>
      <c r="DF536" s="53" t="n"/>
      <c r="DG536" s="53" t="n"/>
      <c r="DH536" s="53" t="n"/>
      <c r="DI536" s="53" t="n"/>
      <c r="DJ536" s="53" t="n"/>
      <c r="DK536" s="53" t="n"/>
      <c r="DL536" s="53" t="n"/>
      <c r="DM536" s="53" t="n"/>
      <c r="DN536" s="53" t="n"/>
      <c r="DO536" s="53" t="n"/>
      <c r="DP536" s="53" t="n"/>
      <c r="DQ536" s="53" t="n"/>
      <c r="DR536" s="53" t="n"/>
      <c r="DS536" s="53" t="n"/>
      <c r="DT536" s="53" t="n"/>
      <c r="DU536" s="53" t="n"/>
      <c r="DV536" s="53" t="n"/>
      <c r="DW536" s="53" t="n"/>
      <c r="DX536" s="53" t="n"/>
      <c r="DY536" s="53" t="n"/>
      <c r="DZ536" s="53" t="n"/>
      <c r="EA536" s="53" t="n"/>
      <c r="EB536" s="53" t="n"/>
      <c r="EC536" s="53" t="n"/>
      <c r="ED536" s="53" t="n"/>
      <c r="EE536" s="53" t="n"/>
      <c r="EF536" s="53" t="n"/>
      <c r="EG536" s="53" t="n"/>
      <c r="EH536" s="53" t="n"/>
      <c r="EI536" s="53" t="n"/>
      <c r="EJ536" s="53" t="n"/>
      <c r="EK536" s="53" t="n"/>
      <c r="EL536" s="53" t="n"/>
      <c r="EM536" s="53" t="n"/>
      <c r="EN536" s="53" t="n"/>
      <c r="EO536" s="53" t="n"/>
      <c r="EP536" s="53" t="n"/>
      <c r="EQ536" s="53" t="n"/>
      <c r="ER536" s="53" t="n"/>
      <c r="ES536" s="53" t="n"/>
      <c r="ET536" s="53" t="n"/>
      <c r="EU536" s="53" t="n"/>
      <c r="EV536" s="53" t="n"/>
      <c r="EW536" s="52" t="inlineStr">
        <is>
          <t>Dhiraj to take over the team in long term - short term arrangemet can be Mandar</t>
        </is>
      </c>
      <c r="EX536" s="53" t="n"/>
      <c r="EY536" s="53" t="n"/>
      <c r="EZ536" s="53" t="n"/>
      <c r="FA536" s="53" t="n"/>
      <c r="FB536" s="53" t="n"/>
      <c r="FC536" s="53" t="n"/>
      <c r="FD536" s="53" t="n"/>
      <c r="FE536"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FF536" s="56" t="n"/>
      <c r="FG536" s="56" t="n"/>
      <c r="FH536" s="56" t="n"/>
      <c r="FI536" s="56" t="n"/>
      <c r="FJ536" s="56" t="inlineStr">
        <is>
          <t>Received · manager annual</t>
        </is>
      </c>
      <c r="FK536" s="56" t="inlineStr">
        <is>
          <t>CARBON Mapping Master</t>
        </is>
      </c>
      <c r="FL536" s="56" t="n">
        <v>20</v>
      </c>
      <c r="FM536" s="32" t="inlineStr">
        <is>
          <t>Full survey answers not in the files received · How We Grow export needed · HR</t>
        </is>
      </c>
      <c r="FN536" s="56" t="inlineStr">
        <is>
          <t>—</t>
        </is>
      </c>
      <c r="FO536" s="56" t="inlineStr">
        <is>
          <t>—</t>
        </is>
      </c>
      <c r="FP536" s="56" t="inlineStr">
        <is>
          <t>—</t>
        </is>
      </c>
      <c r="FQ536" s="56" t="inlineStr">
        <is>
          <t>—</t>
        </is>
      </c>
      <c r="FR536" s="56"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reworked → moved down 0.5
Leadership: Evidence reads like A1: No guiding or leading described, despite one direct report in HR data → moved down 0.5
Business Impact: No survey or manager-mapping signal on criticality: kept at the start point.</t>
        </is>
      </c>
      <c r="FS536"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36" s="56" t="inlineStr">
        <is>
          <t>Self-identified: Leadership &amp; people management
For the next role: Leadership &amp; people management</t>
        </is>
      </c>
      <c r="FU536" s="32" t="inlineStr">
        <is>
          <t>Full survey answers not in the files received · How We Grow export needed · HR</t>
        </is>
      </c>
    </row>
    <row r="537" ht="90" customHeight="1">
      <c r="A537" s="51" t="inlineStr">
        <is>
          <t>◂ Back</t>
        </is>
      </c>
      <c r="B537" s="29" t="inlineStr">
        <is>
          <t>Mapped</t>
        </is>
      </c>
      <c r="C537" s="28" t="inlineStr">
        <is>
          <t>CARBON</t>
        </is>
      </c>
      <c r="D537" s="29" t="inlineStr">
        <is>
          <t>IRIS2406</t>
        </is>
      </c>
      <c r="E537" s="29" t="inlineStr">
        <is>
          <t>Saurabh Kadam</t>
        </is>
      </c>
      <c r="F537" s="29" t="inlineStr">
        <is>
          <t>Technology</t>
        </is>
      </c>
      <c r="G537" s="29" t="inlineStr">
        <is>
          <t>Software Engineer - AI/ML</t>
        </is>
      </c>
      <c r="H537" s="29" t="inlineStr">
        <is>
          <t>Senior AI/ML Engineer</t>
        </is>
      </c>
      <c r="I537" s="29" t="inlineStr">
        <is>
          <t>L3 – Professional / Associate</t>
        </is>
      </c>
      <c r="J537" s="29" t="inlineStr">
        <is>
          <t>A3</t>
        </is>
      </c>
      <c r="K537" s="29" t="inlineStr">
        <is>
          <t>▲ Up</t>
        </is>
      </c>
      <c r="L537" s="29" t="inlineStr">
        <is>
          <t>Engineering &amp; Development</t>
        </is>
      </c>
      <c r="M537" s="29" t="inlineStr">
        <is>
          <t>AI / ML &amp; GenAI Engineering</t>
        </is>
      </c>
      <c r="N537" s="29" t="n"/>
      <c r="O537" s="29" t="n">
        <v>0</v>
      </c>
      <c r="P537" s="28" t="inlineStr">
        <is>
          <t>P2</t>
        </is>
      </c>
      <c r="Q537" s="29" t="inlineStr">
        <is>
          <t>Developing</t>
        </is>
      </c>
      <c r="R537" s="29" t="inlineStr">
        <is>
          <t>3 Apply</t>
        </is>
      </c>
      <c r="S537" s="29" t="inlineStr">
        <is>
          <t>2–4 yrs</t>
        </is>
      </c>
      <c r="T537" s="29" t="inlineStr">
        <is>
          <t>3–5 · 2–5</t>
        </is>
      </c>
      <c r="U537" s="29" t="inlineStr">
        <is>
          <t>Software Engineer</t>
        </is>
      </c>
      <c r="V537" s="29" t="inlineStr">
        <is>
          <t>Workiva: SE · Broadridge India: SE · Nasdaq / AxiomSL: SE · Salesforce: MTS · Atlassian: P40 · 3–7 yrs · Freshworks: Senior SE</t>
        </is>
      </c>
      <c r="W537" s="29" t="inlineStr">
        <is>
          <t>SFIA 9 · software development, programming; OWASP secure coding; cloud vendor certifications</t>
        </is>
      </c>
      <c r="X537" s="29" t="inlineStr">
        <is>
          <t>Core 2 · Future 2 · Functional 3 · Leadership not scored</t>
        </is>
      </c>
      <c r="Y537" s="52" t="n">
        <v>386</v>
      </c>
      <c r="Z537" s="53" t="inlineStr">
        <is>
          <t>IRIS2406</t>
        </is>
      </c>
      <c r="AA537" s="53" t="inlineStr">
        <is>
          <t>Employee</t>
        </is>
      </c>
      <c r="AB537" s="53" t="inlineStr">
        <is>
          <t>Active</t>
        </is>
      </c>
      <c r="AC537" s="53" t="inlineStr">
        <is>
          <t>Saurabh Kadam</t>
        </is>
      </c>
      <c r="AD537" s="54" t="n">
        <v>45859</v>
      </c>
      <c r="AE537" s="53" t="inlineStr">
        <is>
          <t>Software Engineer - AI/ML</t>
        </is>
      </c>
      <c r="AF537" s="53" t="inlineStr">
        <is>
          <t>M.Sc</t>
        </is>
      </c>
      <c r="AG537" s="53" t="inlineStr">
        <is>
          <t>Mandar Ukrulkar</t>
        </is>
      </c>
      <c r="AH537" s="53" t="inlineStr">
        <is>
          <t>N-3</t>
        </is>
      </c>
      <c r="AI537" s="53" t="inlineStr">
        <is>
          <t>Manager</t>
        </is>
      </c>
      <c r="AJ537" s="53" t="inlineStr">
        <is>
          <t>2 years, 0 months, 0 days</t>
        </is>
      </c>
      <c r="AK537" s="53" t="inlineStr">
        <is>
          <t>1 years, 1 months, 4 days</t>
        </is>
      </c>
      <c r="AL537" s="53" t="inlineStr">
        <is>
          <t>Regtech</t>
        </is>
      </c>
      <c r="AM537" s="53" t="inlineStr">
        <is>
          <t>CARBON</t>
        </is>
      </c>
      <c r="AN537" s="53" t="inlineStr">
        <is>
          <t>Technology</t>
        </is>
      </c>
      <c r="AO537" s="53" t="inlineStr">
        <is>
          <t>Development</t>
        </is>
      </c>
      <c r="AP537" s="53" t="inlineStr">
        <is>
          <t>Yes</t>
        </is>
      </c>
      <c r="AQ537" s="53" t="inlineStr">
        <is>
          <t>Product/Project</t>
        </is>
      </c>
      <c r="AR537" s="53" t="inlineStr">
        <is>
          <t>AI/ML</t>
        </is>
      </c>
      <c r="AS537" s="53" t="inlineStr">
        <is>
          <t>Technical - Developer</t>
        </is>
      </c>
      <c r="AT537" s="53" t="n">
        <v>0</v>
      </c>
      <c r="AU537" s="53" t="inlineStr">
        <is>
          <t>Excluded</t>
        </is>
      </c>
      <c r="AV537" s="53" t="inlineStr">
        <is>
          <t>IRIS2406</t>
        </is>
      </c>
      <c r="AW537" s="53" t="inlineStr">
        <is>
          <t>Saurabh Kadam</t>
        </is>
      </c>
      <c r="AX537" s="53" t="inlineStr">
        <is>
          <t>Technology</t>
        </is>
      </c>
      <c r="AY537" s="53" t="inlineStr">
        <is>
          <t>Engineering &amp; Development</t>
        </is>
      </c>
      <c r="AZ537" s="53" t="inlineStr">
        <is>
          <t>AI / ML Engineering</t>
        </is>
      </c>
      <c r="BA537" s="53" t="n"/>
      <c r="BB537" s="53" t="n"/>
      <c r="BC537" s="53" t="inlineStr">
        <is>
          <t>Employee</t>
        </is>
      </c>
      <c r="BD537" s="53" t="inlineStr">
        <is>
          <t>Mandar Ukrulkar</t>
        </is>
      </c>
      <c r="BE537" s="53" t="inlineStr">
        <is>
          <t>Mandar Ukrulkar</t>
        </is>
      </c>
      <c r="BF537" s="53" t="inlineStr">
        <is>
          <t>No</t>
        </is>
      </c>
      <c r="BG537" s="53" t="inlineStr">
        <is>
          <t>Software Engineer - AI/ML</t>
        </is>
      </c>
      <c r="BH537" s="53" t="inlineStr">
        <is>
          <t>Software Engineer - AI/ML</t>
        </is>
      </c>
      <c r="BI537" s="53" t="inlineStr">
        <is>
          <t>No</t>
        </is>
      </c>
      <c r="BJ537" s="53" t="inlineStr">
        <is>
          <t>—</t>
        </is>
      </c>
      <c r="BK537" s="53" t="inlineStr">
        <is>
          <t>—</t>
        </is>
      </c>
      <c r="BL537" s="53" t="inlineStr">
        <is>
          <t>—</t>
        </is>
      </c>
      <c r="BM537" s="53" t="inlineStr">
        <is>
          <t>Not a manager</t>
        </is>
      </c>
      <c r="BN537" s="53" t="inlineStr">
        <is>
          <t>—</t>
        </is>
      </c>
      <c r="BO537" s="53" t="inlineStr">
        <is>
          <t>—</t>
        </is>
      </c>
      <c r="BP537" s="53" t="inlineStr">
        <is>
          <t>—</t>
        </is>
      </c>
      <c r="BQ537" s="53" t="inlineStr">
        <is>
          <t>Not a manager</t>
        </is>
      </c>
      <c r="BR537" s="53" t="inlineStr">
        <is>
          <t>—</t>
        </is>
      </c>
      <c r="BS537" s="53" t="inlineStr">
        <is>
          <t>L3 – Professional / Associate</t>
        </is>
      </c>
      <c r="BT537" s="53" t="inlineStr">
        <is>
          <t>L3 – Professional / Associate</t>
        </is>
      </c>
      <c r="BU537" s="53" t="inlineStr">
        <is>
          <t>No designation change — current record value carried forward</t>
        </is>
      </c>
      <c r="BV537" s="53"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W537" s="53" t="n"/>
      <c r="BX537" s="53" t="n"/>
      <c r="BY537" s="53" t="n"/>
      <c r="BZ537" s="53" t="n"/>
      <c r="CA537" s="53" t="n"/>
      <c r="CB537" s="53" t="n"/>
      <c r="CC537" s="53" t="n"/>
      <c r="CD537" s="53" t="n"/>
      <c r="CE537" s="53" t="n"/>
      <c r="CF537" s="53" t="n"/>
      <c r="CG537" s="53" t="n"/>
      <c r="CH537" s="53" t="n"/>
      <c r="CI537" s="53" t="n"/>
      <c r="CJ537" s="53" t="n"/>
      <c r="CK537" s="53" t="n"/>
      <c r="CL537" s="53" t="n"/>
      <c r="CM537" s="53" t="n"/>
      <c r="CN537" s="53" t="n"/>
      <c r="CO537" s="53" t="n"/>
      <c r="CP537" s="53" t="n"/>
      <c r="CQ537" s="53" t="n"/>
      <c r="CR537" s="53" t="n"/>
      <c r="CS537" s="53" t="n"/>
      <c r="CT537" s="53" t="n"/>
      <c r="CU537" s="53" t="n"/>
      <c r="CV537" s="53" t="n"/>
      <c r="CW537" s="53" t="n"/>
      <c r="CX537" s="53" t="n"/>
      <c r="CY537" s="53" t="n"/>
      <c r="CZ537" s="53" t="n"/>
      <c r="DA537" s="53" t="n"/>
      <c r="DB537" s="53" t="n"/>
      <c r="DC537" s="53" t="n"/>
      <c r="DD537" s="53" t="n"/>
      <c r="DE537" s="53" t="n"/>
      <c r="DF537" s="53" t="n"/>
      <c r="DG537" s="53" t="n"/>
      <c r="DH537" s="53" t="n"/>
      <c r="DI537" s="53" t="n"/>
      <c r="DJ537" s="53" t="n"/>
      <c r="DK537" s="53" t="n"/>
      <c r="DL537" s="53" t="n"/>
      <c r="DM537" s="53" t="n"/>
      <c r="DN537" s="53" t="n"/>
      <c r="DO537" s="53" t="n"/>
      <c r="DP537" s="53" t="n"/>
      <c r="DQ537" s="53" t="n"/>
      <c r="DR537" s="53" t="n"/>
      <c r="DS537" s="53" t="n"/>
      <c r="DT537" s="53" t="n"/>
      <c r="DU537" s="53" t="n"/>
      <c r="DV537" s="53" t="n"/>
      <c r="DW537" s="53" t="n"/>
      <c r="DX537" s="53" t="n"/>
      <c r="DY537" s="53" t="n"/>
      <c r="DZ537" s="53" t="n"/>
      <c r="EA537" s="53" t="n"/>
      <c r="EB537" s="53" t="n"/>
      <c r="EC537" s="53" t="n"/>
      <c r="ED537" s="53" t="n"/>
      <c r="EE537" s="53" t="n"/>
      <c r="EF537" s="53" t="n"/>
      <c r="EG537" s="53" t="n"/>
      <c r="EH537" s="53" t="n"/>
      <c r="EI537" s="53" t="n"/>
      <c r="EJ537" s="53" t="n"/>
      <c r="EK537" s="53" t="n"/>
      <c r="EL537" s="53" t="n"/>
      <c r="EM537" s="53" t="n"/>
      <c r="EN537" s="53" t="n"/>
      <c r="EO537" s="53" t="n"/>
      <c r="EP537" s="53" t="n"/>
      <c r="EQ537" s="53" t="n"/>
      <c r="ER537" s="53" t="n"/>
      <c r="ES537" s="53" t="n"/>
      <c r="ET537" s="53" t="n"/>
      <c r="EU537" s="53" t="n"/>
      <c r="EV537" s="53" t="n"/>
      <c r="EW537" s="52" t="n"/>
      <c r="EX537" s="53" t="n"/>
      <c r="EY537" s="53" t="n"/>
      <c r="EZ537" s="53" t="n"/>
      <c r="FA537" s="53" t="n"/>
      <c r="FB537" s="53" t="n"/>
      <c r="FC537" s="53" t="n"/>
      <c r="FD537" s="53" t="n"/>
      <c r="FE537" s="57"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FF537" s="56" t="n"/>
      <c r="FG537" s="56" t="n"/>
      <c r="FH537" s="56" t="n"/>
      <c r="FI537" s="56" t="n"/>
      <c r="FJ537" s="56" t="inlineStr">
        <is>
          <t>Received · manager annual</t>
        </is>
      </c>
      <c r="FK537" s="56" t="inlineStr">
        <is>
          <t>CARBON Mapping Master</t>
        </is>
      </c>
      <c r="FL537" s="56" t="n">
        <v>0</v>
      </c>
      <c r="FM537" s="32" t="inlineStr">
        <is>
          <t>No survey response on file</t>
        </is>
      </c>
      <c r="FN537" s="56" t="inlineStr">
        <is>
          <t>—</t>
        </is>
      </c>
      <c r="FO537" s="56" t="inlineStr">
        <is>
          <t>—</t>
        </is>
      </c>
      <c r="FP537" s="56" t="inlineStr">
        <is>
          <t>—</t>
        </is>
      </c>
      <c r="FQ537" s="56" t="inlineStr">
        <is>
          <t>—</t>
        </is>
      </c>
      <c r="FR53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37"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37" s="56" t="n"/>
      <c r="FU537" s="32" t="inlineStr">
        <is>
          <t>No survey response on file</t>
        </is>
      </c>
    </row>
    <row r="538" ht="90" customHeight="1">
      <c r="A538" s="51" t="inlineStr">
        <is>
          <t>◂ Back</t>
        </is>
      </c>
      <c r="B538" s="29" t="inlineStr">
        <is>
          <t>Mapped</t>
        </is>
      </c>
      <c r="C538" s="28" t="inlineStr">
        <is>
          <t>iFile</t>
        </is>
      </c>
      <c r="D538" s="29" t="inlineStr">
        <is>
          <t>IRIS0553</t>
        </is>
      </c>
      <c r="E538" s="29" t="inlineStr">
        <is>
          <t>Chetan Galande</t>
        </is>
      </c>
      <c r="F538" s="29" t="inlineStr">
        <is>
          <t>Technology</t>
        </is>
      </c>
      <c r="G538" s="29" t="inlineStr">
        <is>
          <t>Business Analyst</t>
        </is>
      </c>
      <c r="H538" s="29" t="inlineStr">
        <is>
          <t>Business Analysis Specialist</t>
        </is>
      </c>
      <c r="I538" s="29" t="inlineStr">
        <is>
          <t>L3 – Professional / Associate</t>
        </is>
      </c>
      <c r="J538" s="29" t="inlineStr">
        <is>
          <t>A3</t>
        </is>
      </c>
      <c r="K538" s="29" t="inlineStr">
        <is>
          <t>▲ Up</t>
        </is>
      </c>
      <c r="L538" s="29" t="inlineStr">
        <is>
          <t>Business Analysis</t>
        </is>
      </c>
      <c r="M538" s="29" t="inlineStr">
        <is>
          <t>Business Analysis</t>
        </is>
      </c>
      <c r="N538" s="29" t="n"/>
      <c r="O538" s="29" t="n">
        <v>20</v>
      </c>
      <c r="P538" s="28" t="inlineStr">
        <is>
          <t>P2</t>
        </is>
      </c>
      <c r="Q538" s="29" t="inlineStr">
        <is>
          <t>Developing</t>
        </is>
      </c>
      <c r="R538" s="29" t="inlineStr">
        <is>
          <t>3 Apply</t>
        </is>
      </c>
      <c r="S538" s="29" t="inlineStr">
        <is>
          <t>2–4 yrs</t>
        </is>
      </c>
      <c r="T538" s="29" t="inlineStr">
        <is>
          <t>3–5 · 2–5</t>
        </is>
      </c>
      <c r="U538" s="29" t="inlineStr">
        <is>
          <t>Senior Business Analyst</t>
        </is>
      </c>
      <c r="V538" s="29" t="inlineStr">
        <is>
          <t>Regnology — regulatory reporting: Junior BA · Reg Reporting · Big Four consulting: Consultant · IRIS Vs Market Benchmark — IIBA certification pathway: ECBA · Infosys / Accenture: JL3A · L10 Senior Analyst</t>
        </is>
      </c>
      <c r="W538" s="29" t="inlineStr">
        <is>
          <t>IIBA BABOK v3; certifications ECBA · entry → CCBA → CBAP · senior</t>
        </is>
      </c>
      <c r="X538" s="29" t="inlineStr">
        <is>
          <t>Core 2 · Future 2 · Functional 3 · Leadership not scored</t>
        </is>
      </c>
      <c r="Y538" s="52" t="n">
        <v>73</v>
      </c>
      <c r="Z538" s="53" t="inlineStr">
        <is>
          <t>IRIS0553</t>
        </is>
      </c>
      <c r="AA538" s="53" t="inlineStr">
        <is>
          <t>Employee</t>
        </is>
      </c>
      <c r="AB538" s="53" t="inlineStr">
        <is>
          <t>Active</t>
        </is>
      </c>
      <c r="AC538" s="53" t="inlineStr">
        <is>
          <t>Chetan Galande</t>
        </is>
      </c>
      <c r="AD538" s="54" t="n">
        <v>40603</v>
      </c>
      <c r="AE538" s="53" t="inlineStr">
        <is>
          <t>Business Analyst</t>
        </is>
      </c>
      <c r="AF538" s="53" t="inlineStr">
        <is>
          <t>MBA</t>
        </is>
      </c>
      <c r="AG538" s="53" t="inlineStr">
        <is>
          <t>Saurabh Kadam</t>
        </is>
      </c>
      <c r="AH538" s="53" t="inlineStr">
        <is>
          <t>N-4</t>
        </is>
      </c>
      <c r="AI538" s="53" t="inlineStr">
        <is>
          <t>Individual Contributor</t>
        </is>
      </c>
      <c r="AJ538" s="53" t="inlineStr">
        <is>
          <t>0 years, 0 months, 0 days</t>
        </is>
      </c>
      <c r="AK538" s="53" t="inlineStr">
        <is>
          <t>15 years, 5 months, 24 days</t>
        </is>
      </c>
      <c r="AL538" s="53" t="inlineStr">
        <is>
          <t>Suptech</t>
        </is>
      </c>
      <c r="AM538" s="53" t="inlineStr">
        <is>
          <t>iFile</t>
        </is>
      </c>
      <c r="AN538" s="53" t="inlineStr">
        <is>
          <t>Technology</t>
        </is>
      </c>
      <c r="AO538" s="53" t="inlineStr">
        <is>
          <t>Business Analysis</t>
        </is>
      </c>
      <c r="AP538" s="53" t="inlineStr">
        <is>
          <t>No</t>
        </is>
      </c>
      <c r="AQ538" s="53" t="inlineStr">
        <is>
          <t>Product/Project</t>
        </is>
      </c>
      <c r="AR538" s="53" t="inlineStr">
        <is>
          <t>Business Analysis</t>
        </is>
      </c>
      <c r="AS538" s="53" t="inlineStr">
        <is>
          <t>Technical · BA, PM and QA</t>
        </is>
      </c>
      <c r="AT538" s="53" t="n">
        <v>20</v>
      </c>
      <c r="AU538" s="53" t="inlineStr">
        <is>
          <t>Covered</t>
        </is>
      </c>
      <c r="AV538" s="53" t="n"/>
      <c r="AW538" s="53" t="n"/>
      <c r="AX538" s="53" t="n"/>
      <c r="AY538" s="53" t="n"/>
      <c r="AZ538" s="53" t="n"/>
      <c r="BA538" s="53" t="n"/>
      <c r="BB538" s="53" t="n"/>
      <c r="BC538" s="53" t="n"/>
      <c r="BD538" s="53" t="n"/>
      <c r="BE538" s="53" t="n"/>
      <c r="BF538" s="53" t="n"/>
      <c r="BG538" s="53" t="n"/>
      <c r="BH538" s="53" t="n"/>
      <c r="BI538" s="53" t="n"/>
      <c r="BJ538" s="53" t="n"/>
      <c r="BK538" s="53" t="n"/>
      <c r="BL538" s="53" t="n"/>
      <c r="BM538" s="53" t="n"/>
      <c r="BN538" s="53" t="n"/>
      <c r="BO538" s="53" t="n"/>
      <c r="BP538" s="53" t="n"/>
      <c r="BQ538" s="53" t="n"/>
      <c r="BR538" s="53" t="n"/>
      <c r="BS538" s="53" t="n"/>
      <c r="BT538" s="53" t="n"/>
      <c r="BU538" s="53" t="n"/>
      <c r="BV538" s="53" t="n"/>
      <c r="BW538" s="53" t="n"/>
      <c r="BX538" s="53" t="n"/>
      <c r="BY538" s="53" t="n"/>
      <c r="BZ538" s="53" t="n"/>
      <c r="CA538" s="53" t="n"/>
      <c r="CB538" s="53" t="n"/>
      <c r="CC538" s="53" t="n"/>
      <c r="CD538" s="53" t="n"/>
      <c r="CE538" s="53" t="n"/>
      <c r="CF538" s="53" t="n"/>
      <c r="CG538" s="53" t="n"/>
      <c r="CH538" s="53" t="n"/>
      <c r="CI538" s="53" t="n"/>
      <c r="CJ538" s="53" t="n"/>
      <c r="CK538" s="53" t="n"/>
      <c r="CL538" s="53" t="n"/>
      <c r="CM538" s="53" t="n"/>
      <c r="CN538" s="53" t="n"/>
      <c r="CO538" s="53" t="n"/>
      <c r="CP538" s="53" t="n"/>
      <c r="CQ538" s="53" t="n"/>
      <c r="CR538" s="53" t="n"/>
      <c r="CS538" s="53" t="n"/>
      <c r="CT538" s="53" t="n"/>
      <c r="CU538" s="53" t="n"/>
      <c r="CV538" s="53" t="n"/>
      <c r="CW538" s="53" t="n"/>
      <c r="CX538" s="53" t="n"/>
      <c r="CY538" s="53" t="n"/>
      <c r="CZ538" s="53" t="n"/>
      <c r="DA538" s="53" t="n"/>
      <c r="DB538" s="53" t="n"/>
      <c r="DC538" s="53" t="n"/>
      <c r="DD538" s="53" t="inlineStr">
        <is>
          <t>IRIS0553</t>
        </is>
      </c>
      <c r="DE538" s="53" t="inlineStr">
        <is>
          <t>Employee</t>
        </is>
      </c>
      <c r="DF538" s="53" t="inlineStr">
        <is>
          <t>Active</t>
        </is>
      </c>
      <c r="DG538" s="53" t="inlineStr">
        <is>
          <t>Chetan Galande</t>
        </is>
      </c>
      <c r="DH538" s="54" t="n">
        <v>40603</v>
      </c>
      <c r="DI538" s="53" t="inlineStr">
        <is>
          <t>Business Analyst</t>
        </is>
      </c>
      <c r="DJ538" s="53" t="inlineStr">
        <is>
          <t>Business Analysis</t>
        </is>
      </c>
      <c r="DK538" s="53" t="inlineStr">
        <is>
          <t>Business / Functional Analysis</t>
        </is>
      </c>
      <c r="DL538" s="53" t="inlineStr">
        <is>
          <t>Business Analyst</t>
        </is>
      </c>
      <c r="DM538" s="53" t="inlineStr">
        <is>
          <t>L3 – Professional / Associate</t>
        </is>
      </c>
      <c r="DN538" s="53" t="inlineStr">
        <is>
          <t>MBA</t>
        </is>
      </c>
      <c r="DO538" s="53" t="inlineStr">
        <is>
          <t>Saurabh Kadam</t>
        </is>
      </c>
      <c r="DP538" s="53" t="inlineStr">
        <is>
          <t>N-3</t>
        </is>
      </c>
      <c r="DQ538" s="53" t="inlineStr">
        <is>
          <t>Individual Contributor</t>
        </is>
      </c>
      <c r="DR538" s="53" t="inlineStr">
        <is>
          <t>0 years, 0 months, 0 days</t>
        </is>
      </c>
      <c r="DS538" s="53" t="inlineStr">
        <is>
          <t>15 years, 3 months, 19 days</t>
        </is>
      </c>
      <c r="DT538" s="53" t="inlineStr">
        <is>
          <t>15 years, 3 months, 19 days</t>
        </is>
      </c>
      <c r="DU538" s="53" t="n"/>
      <c r="DV538" s="53" t="inlineStr">
        <is>
          <t>Suptech</t>
        </is>
      </c>
      <c r="DW538" s="53" t="inlineStr">
        <is>
          <t>iFile</t>
        </is>
      </c>
      <c r="DX538" s="53" t="inlineStr">
        <is>
          <t>Technology</t>
        </is>
      </c>
      <c r="DY538" s="53" t="inlineStr">
        <is>
          <t>Business Analysis</t>
        </is>
      </c>
      <c r="DZ538" s="53" t="inlineStr">
        <is>
          <t>No</t>
        </is>
      </c>
      <c r="EA538" s="53" t="inlineStr">
        <is>
          <t>Product/Project</t>
        </is>
      </c>
      <c r="EB538" s="53" t="inlineStr">
        <is>
          <t>Business Analysis</t>
        </is>
      </c>
      <c r="EC538" s="53" t="inlineStr">
        <is>
          <t>Technical · BA, PM and QA</t>
        </is>
      </c>
      <c r="ED538" s="53" t="inlineStr">
        <is>
          <t>Hybrid</t>
        </is>
      </c>
      <c r="EE538" s="53" t="n"/>
      <c r="EF538" s="53"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EG538"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38" s="53" t="n">
        <v>4</v>
      </c>
      <c r="EI538" s="53" t="inlineStr">
        <is>
          <t>31/10/2025</t>
        </is>
      </c>
      <c r="EJ538" s="53" t="inlineStr">
        <is>
          <t>Senior Business Analyst · review – experience supports senior band</t>
        </is>
      </c>
      <c r="EK538" s="53" t="inlineStr">
        <is>
          <t>No</t>
        </is>
      </c>
      <c r="EL538" s="53" t="n">
        <v>4</v>
      </c>
      <c r="EM538" s="53" t="inlineStr">
        <is>
          <t>High</t>
        </is>
      </c>
      <c r="EN538" s="53" t="inlineStr">
        <is>
          <t>Trusted Professional</t>
        </is>
      </c>
      <c r="EO538" s="53" t="inlineStr">
        <is>
          <t>No</t>
        </is>
      </c>
      <c r="EP538" s="53" t="inlineStr">
        <is>
          <t>No</t>
        </is>
      </c>
      <c r="EQ538" s="53" t="inlineStr">
        <is>
          <t>No</t>
        </is>
      </c>
      <c r="ER538" s="53" t="inlineStr">
        <is>
          <t>Darshit Vora</t>
        </is>
      </c>
      <c r="ES538" s="53" t="inlineStr">
        <is>
          <t>Requirement engineering &amp; BRD writing; Agile/Scrum; domain · RegTech/XBRL knowledge; stakeholder management</t>
        </is>
      </c>
      <c r="ET538" s="53" t="inlineStr">
        <is>
          <t>Transition to leadership: people management &amp; delegation, mentoring/coaching, project ownership &amp; stakeholder management, prioritisation under ambiguity, presentation &amp; influence skills</t>
        </is>
      </c>
      <c r="EU538" s="53" t="n"/>
      <c r="EV538" s="53" t="n"/>
      <c r="EW538" s="52" t="n"/>
      <c r="EX538" s="53" t="n"/>
      <c r="EY538" s="53" t="n"/>
      <c r="EZ538" s="53" t="n"/>
      <c r="FA538" s="53" t="n"/>
      <c r="FB538" s="53" t="n"/>
      <c r="FC538" s="53" t="n"/>
      <c r="FD538" s="53" t="n"/>
      <c r="FE538" s="57"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FF538"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38" s="56" t="n"/>
      <c r="FH538" s="56" t="inlineStr">
        <is>
          <t>4</t>
        </is>
      </c>
      <c r="FI538" s="56" t="n"/>
      <c r="FJ538" s="56" t="inlineStr">
        <is>
          <t>Received · manager annual, quarterly</t>
        </is>
      </c>
      <c r="FK538" s="56" t="inlineStr">
        <is>
          <t>Talent Mapping · iFile collated</t>
        </is>
      </c>
      <c r="FL538" s="56" t="n">
        <v>20</v>
      </c>
      <c r="FM538" s="32" t="inlineStr">
        <is>
          <t>Full survey answers not in the files received · How We Grow export needed · HR</t>
        </is>
      </c>
      <c r="FN538" s="56" t="inlineStr">
        <is>
          <t>—</t>
        </is>
      </c>
      <c r="FO538" s="56" t="inlineStr">
        <is>
          <t>—</t>
        </is>
      </c>
      <c r="FP538" s="56" t="inlineStr">
        <is>
          <t>—</t>
        </is>
      </c>
      <c r="FQ538" s="56" t="inlineStr">
        <is>
          <t>—</t>
        </is>
      </c>
      <c r="FR538" s="56"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requirements to quality build released to production → matches the start
Leadership: Evidence reads like A2: Reviews documentation; manager note targets mentoring junior BAs, not described by him → matches the start
Business Impact: No survey or manager-mapping signal on criticality: kept at the start point.</t>
        </is>
      </c>
      <c r="FS53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38" s="56" t="inlineStr">
        <is>
          <t>Self-identified: AI / automation · Project / programme management · Certification / formal course
For the next role: AI / automation · Project / programme management · Certification / formal course</t>
        </is>
      </c>
      <c r="FU538" s="32" t="inlineStr">
        <is>
          <t>Full survey answers not in the files received · How We Grow export needed · HR</t>
        </is>
      </c>
    </row>
    <row r="539" ht="90" customHeight="1">
      <c r="A539" s="51" t="inlineStr">
        <is>
          <t>◂ Back</t>
        </is>
      </c>
      <c r="B539" s="29" t="inlineStr">
        <is>
          <t>Mapped</t>
        </is>
      </c>
      <c r="C539" s="28" t="inlineStr">
        <is>
          <t>iFile</t>
        </is>
      </c>
      <c r="D539" s="29" t="inlineStr">
        <is>
          <t>IRIS2378</t>
        </is>
      </c>
      <c r="E539" s="29" t="inlineStr">
        <is>
          <t>Darshit Vora</t>
        </is>
      </c>
      <c r="F539" s="29" t="inlineStr">
        <is>
          <t>Technology</t>
        </is>
      </c>
      <c r="G539" s="29" t="inlineStr">
        <is>
          <t>Business Analyst</t>
        </is>
      </c>
      <c r="H539" s="29" t="inlineStr">
        <is>
          <t>Senior Business Analyst</t>
        </is>
      </c>
      <c r="I539" s="29" t="inlineStr">
        <is>
          <t>L3 – Professional / Associate</t>
        </is>
      </c>
      <c r="J539" s="29" t="inlineStr">
        <is>
          <t>A3</t>
        </is>
      </c>
      <c r="K539" s="29" t="inlineStr">
        <is>
          <t>▲ Up</t>
        </is>
      </c>
      <c r="L539" s="29" t="inlineStr">
        <is>
          <t>Business Analysis</t>
        </is>
      </c>
      <c r="M539" s="29" t="inlineStr">
        <is>
          <t>Business Analysis</t>
        </is>
      </c>
      <c r="N539" s="29" t="n"/>
      <c r="O539" s="29" t="n">
        <v>20</v>
      </c>
      <c r="P539" s="28" t="inlineStr">
        <is>
          <t>P2</t>
        </is>
      </c>
      <c r="Q539" s="29" t="inlineStr">
        <is>
          <t>Developing</t>
        </is>
      </c>
      <c r="R539" s="29" t="inlineStr">
        <is>
          <t>3 Apply</t>
        </is>
      </c>
      <c r="S539" s="29" t="inlineStr">
        <is>
          <t>2–4 yrs</t>
        </is>
      </c>
      <c r="T539" s="29" t="inlineStr">
        <is>
          <t>3–5 · 2–5</t>
        </is>
      </c>
      <c r="U539" s="29" t="inlineStr">
        <is>
          <t>Business Analyst</t>
        </is>
      </c>
      <c r="V539" s="29" t="inlineStr">
        <is>
          <t>Regnology — regulatory reporting: Junior BA · Reg Reporting · Big Four consulting: Consultant · IRIS Vs Market Benchmark — IIBA certification pathway: ECBA · Infosys / Accenture: JL3A · L10 Senior Analyst</t>
        </is>
      </c>
      <c r="W539" s="29" t="inlineStr">
        <is>
          <t>IIBA BABOK v3; certifications ECBA · entry → CCBA → CBAP · senior</t>
        </is>
      </c>
      <c r="X539" s="29" t="inlineStr">
        <is>
          <t>Core 2 · Future 2 · Functional 3 · Leadership not scored</t>
        </is>
      </c>
      <c r="Y539" s="52" t="n">
        <v>372</v>
      </c>
      <c r="Z539" s="53" t="inlineStr">
        <is>
          <t>IRIS2378</t>
        </is>
      </c>
      <c r="AA539" s="53" t="inlineStr">
        <is>
          <t>Employee</t>
        </is>
      </c>
      <c r="AB539" s="53" t="inlineStr">
        <is>
          <t>Active</t>
        </is>
      </c>
      <c r="AC539" s="53" t="inlineStr">
        <is>
          <t>Darshit Vora</t>
        </is>
      </c>
      <c r="AD539" s="54" t="n">
        <v>45810</v>
      </c>
      <c r="AE539" s="53" t="inlineStr">
        <is>
          <t>Business Analyst</t>
        </is>
      </c>
      <c r="AF539" s="53" t="inlineStr">
        <is>
          <t>Post Graduate Program in Management</t>
        </is>
      </c>
      <c r="AG539" s="53" t="inlineStr">
        <is>
          <t>Saurabh Kadam</t>
        </is>
      </c>
      <c r="AH539" s="53" t="inlineStr">
        <is>
          <t>N-4</t>
        </is>
      </c>
      <c r="AI539" s="53" t="inlineStr">
        <is>
          <t>Individual Contributor</t>
        </is>
      </c>
      <c r="AJ539" s="53" t="inlineStr">
        <is>
          <t>7 years, 11 months, 0 days</t>
        </is>
      </c>
      <c r="AK539" s="53" t="inlineStr">
        <is>
          <t>1 years, 2 months, 23 days</t>
        </is>
      </c>
      <c r="AL539" s="53" t="inlineStr">
        <is>
          <t>Suptech</t>
        </is>
      </c>
      <c r="AM539" s="53" t="inlineStr">
        <is>
          <t>iFile</t>
        </is>
      </c>
      <c r="AN539" s="53" t="inlineStr">
        <is>
          <t>Technology</t>
        </is>
      </c>
      <c r="AO539" s="53" t="inlineStr">
        <is>
          <t>Business Analysis</t>
        </is>
      </c>
      <c r="AP539" s="53" t="inlineStr">
        <is>
          <t>No</t>
        </is>
      </c>
      <c r="AQ539" s="53" t="inlineStr">
        <is>
          <t>Product/Project</t>
        </is>
      </c>
      <c r="AR539" s="53" t="inlineStr">
        <is>
          <t>Business Analysis</t>
        </is>
      </c>
      <c r="AS539" s="53" t="inlineStr">
        <is>
          <t>Technical · BA, PM and QA</t>
        </is>
      </c>
      <c r="AT539" s="53" t="n">
        <v>20</v>
      </c>
      <c r="AU539" s="53" t="inlineStr">
        <is>
          <t>Covered</t>
        </is>
      </c>
      <c r="AV539" s="53" t="n"/>
      <c r="AW539" s="53" t="n"/>
      <c r="AX539" s="53" t="n"/>
      <c r="AY539" s="53" t="n"/>
      <c r="AZ539" s="53" t="n"/>
      <c r="BA539" s="53" t="n"/>
      <c r="BB539" s="53" t="n"/>
      <c r="BC539" s="53" t="n"/>
      <c r="BD539" s="53" t="n"/>
      <c r="BE539" s="53" t="n"/>
      <c r="BF539" s="53" t="n"/>
      <c r="BG539" s="53" t="n"/>
      <c r="BH539" s="53" t="n"/>
      <c r="BI539" s="53" t="n"/>
      <c r="BJ539" s="53" t="n"/>
      <c r="BK539" s="53" t="n"/>
      <c r="BL539" s="53" t="n"/>
      <c r="BM539" s="53" t="n"/>
      <c r="BN539" s="53" t="n"/>
      <c r="BO539" s="53" t="n"/>
      <c r="BP539" s="53" t="n"/>
      <c r="BQ539" s="53" t="n"/>
      <c r="BR539" s="53" t="n"/>
      <c r="BS539" s="53" t="n"/>
      <c r="BT539" s="53" t="n"/>
      <c r="BU539" s="53" t="n"/>
      <c r="BV539" s="53" t="n"/>
      <c r="BW539" s="53" t="n"/>
      <c r="BX539" s="53" t="n"/>
      <c r="BY539" s="53" t="n"/>
      <c r="BZ539" s="53" t="n"/>
      <c r="CA539" s="53" t="n"/>
      <c r="CB539" s="53" t="n"/>
      <c r="CC539" s="53" t="n"/>
      <c r="CD539" s="53" t="n"/>
      <c r="CE539" s="53" t="n"/>
      <c r="CF539" s="53" t="n"/>
      <c r="CG539" s="53" t="n"/>
      <c r="CH539" s="53" t="n"/>
      <c r="CI539" s="53" t="n"/>
      <c r="CJ539" s="53" t="n"/>
      <c r="CK539" s="53" t="n"/>
      <c r="CL539" s="53" t="n"/>
      <c r="CM539" s="53" t="n"/>
      <c r="CN539" s="53" t="n"/>
      <c r="CO539" s="53" t="n"/>
      <c r="CP539" s="53" t="n"/>
      <c r="CQ539" s="53" t="n"/>
      <c r="CR539" s="53" t="n"/>
      <c r="CS539" s="53" t="n"/>
      <c r="CT539" s="53" t="n"/>
      <c r="CU539" s="53" t="n"/>
      <c r="CV539" s="53" t="n"/>
      <c r="CW539" s="53" t="n"/>
      <c r="CX539" s="53" t="n"/>
      <c r="CY539" s="53" t="n"/>
      <c r="CZ539" s="53" t="n"/>
      <c r="DA539" s="53" t="n"/>
      <c r="DB539" s="53" t="n"/>
      <c r="DC539" s="53" t="n"/>
      <c r="DD539" s="53" t="inlineStr">
        <is>
          <t>IRIS2378</t>
        </is>
      </c>
      <c r="DE539" s="53" t="inlineStr">
        <is>
          <t>Employee</t>
        </is>
      </c>
      <c r="DF539" s="53" t="inlineStr">
        <is>
          <t>Active</t>
        </is>
      </c>
      <c r="DG539" s="53" t="inlineStr">
        <is>
          <t>Darshit Vora</t>
        </is>
      </c>
      <c r="DH539" s="54" t="n">
        <v>45810</v>
      </c>
      <c r="DI539" s="53" t="inlineStr">
        <is>
          <t>Business Analyst</t>
        </is>
      </c>
      <c r="DJ539" s="53" t="inlineStr">
        <is>
          <t>Business Analysis</t>
        </is>
      </c>
      <c r="DK539" s="53" t="inlineStr">
        <is>
          <t>Business / Functional Analysis</t>
        </is>
      </c>
      <c r="DL539" s="53" t="inlineStr">
        <is>
          <t>Business Analyst</t>
        </is>
      </c>
      <c r="DM539" s="53" t="inlineStr">
        <is>
          <t>L3 – Professional / Associate</t>
        </is>
      </c>
      <c r="DN539" s="53" t="inlineStr">
        <is>
          <t>Post Graduate Program in Management</t>
        </is>
      </c>
      <c r="DO539" s="53" t="inlineStr">
        <is>
          <t>Saurabh Kadam</t>
        </is>
      </c>
      <c r="DP539" s="53" t="inlineStr">
        <is>
          <t>N-3</t>
        </is>
      </c>
      <c r="DQ539" s="53" t="inlineStr">
        <is>
          <t>Individual Contributor</t>
        </is>
      </c>
      <c r="DR539" s="53" t="inlineStr">
        <is>
          <t>7 years, 11 months, 0 days</t>
        </is>
      </c>
      <c r="DS539" s="53" t="inlineStr">
        <is>
          <t>1 years, 0 months, 18 days</t>
        </is>
      </c>
      <c r="DT539" s="53" t="inlineStr">
        <is>
          <t>8 years, 11 months, 18 days</t>
        </is>
      </c>
      <c r="DU539" s="53" t="n"/>
      <c r="DV539" s="53" t="inlineStr">
        <is>
          <t>Suptech</t>
        </is>
      </c>
      <c r="DW539" s="53" t="inlineStr">
        <is>
          <t>iFile</t>
        </is>
      </c>
      <c r="DX539" s="53" t="inlineStr">
        <is>
          <t>Technology</t>
        </is>
      </c>
      <c r="DY539" s="53" t="inlineStr">
        <is>
          <t>Business Analysis</t>
        </is>
      </c>
      <c r="DZ539" s="53" t="inlineStr">
        <is>
          <t>No</t>
        </is>
      </c>
      <c r="EA539" s="53" t="inlineStr">
        <is>
          <t>Product/Project</t>
        </is>
      </c>
      <c r="EB539" s="53" t="inlineStr">
        <is>
          <t>Business Analysis</t>
        </is>
      </c>
      <c r="EC539" s="53" t="inlineStr">
        <is>
          <t>Technical · BA, PM and QA</t>
        </is>
      </c>
      <c r="ED539" s="53" t="inlineStr">
        <is>
          <t>Hybrid</t>
        </is>
      </c>
      <c r="EE539" s="53" t="n"/>
      <c r="EF539" s="53"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EG539"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39" s="53" t="n">
        <v>4</v>
      </c>
      <c r="EI539" s="53" t="inlineStr">
        <is>
          <t>31/10/2025</t>
        </is>
      </c>
      <c r="EJ539" s="53" t="inlineStr">
        <is>
          <t>Senior Business Analyst · review – experience supports senior band</t>
        </is>
      </c>
      <c r="EK539" s="53" t="inlineStr">
        <is>
          <t>No</t>
        </is>
      </c>
      <c r="EL539" s="53" t="n">
        <v>4</v>
      </c>
      <c r="EM539" s="53" t="inlineStr">
        <is>
          <t>High</t>
        </is>
      </c>
      <c r="EN539" s="53" t="inlineStr">
        <is>
          <t>High Impact / Growth Talent</t>
        </is>
      </c>
      <c r="EO539" s="53" t="inlineStr">
        <is>
          <t>No</t>
        </is>
      </c>
      <c r="EP539" s="53" t="inlineStr">
        <is>
          <t>No</t>
        </is>
      </c>
      <c r="EQ539" s="53" t="inlineStr">
        <is>
          <t>No</t>
        </is>
      </c>
      <c r="ER539" s="53" t="inlineStr">
        <is>
          <t>Chetan Galande</t>
        </is>
      </c>
      <c r="ES539" s="53" t="inlineStr">
        <is>
          <t>Requirement engineering &amp; BRD writing; Agile/Scrum; domain · RegTech/XBRL knowledge; stakeholder management</t>
        </is>
      </c>
      <c r="ET539" s="53" t="inlineStr">
        <is>
          <t>Transition to leadership: people management &amp; delegation, mentoring/coaching, project ownership &amp; stakeholder management, prioritisation under ambiguity, presentation &amp; influence skills</t>
        </is>
      </c>
      <c r="EU539" s="53" t="n"/>
      <c r="EV539" s="53" t="n"/>
      <c r="EW539" s="52" t="n"/>
      <c r="EX539" s="53" t="n"/>
      <c r="EY539" s="53" t="n"/>
      <c r="EZ539" s="53" t="n"/>
      <c r="FA539" s="53" t="n"/>
      <c r="FB539" s="53" t="n"/>
      <c r="FC539" s="53" t="n"/>
      <c r="FD539" s="53" t="n"/>
      <c r="FE539" s="57"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FF539"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39" s="56" t="n"/>
      <c r="FH539" s="56" t="inlineStr">
        <is>
          <t>4</t>
        </is>
      </c>
      <c r="FI539" s="56" t="n"/>
      <c r="FJ539" s="56" t="inlineStr">
        <is>
          <t>Received · manager annual, quarterly</t>
        </is>
      </c>
      <c r="FK539" s="56" t="inlineStr">
        <is>
          <t>Talent Mapping · iFile collated</t>
        </is>
      </c>
      <c r="FL539" s="56" t="n">
        <v>20</v>
      </c>
      <c r="FM539" s="32" t="inlineStr">
        <is>
          <t>Full survey answers not in the files received · How We Grow export needed · HR</t>
        </is>
      </c>
      <c r="FN539" s="56" t="inlineStr">
        <is>
          <t>—</t>
        </is>
      </c>
      <c r="FO539" s="56" t="inlineStr">
        <is>
          <t>—</t>
        </is>
      </c>
      <c r="FP539" s="56" t="inlineStr">
        <is>
          <t>—</t>
        </is>
      </c>
      <c r="FQ539" s="56" t="inlineStr">
        <is>
          <t>—</t>
        </is>
      </c>
      <c r="FR539" s="56"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Business requirements, process definitions, user stories; error means documentation rework and re-discussion → moved down 0.5
Leadership: Evidence reads like A2: Runs feature walkthroughs; mentoring of juniors appears only in manager note → matches the start
Business Impact: No survey or manager-mapping signal on criticality: kept at the start point.</t>
        </is>
      </c>
      <c r="FS539"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39" s="56" t="inlineStr">
        <is>
          <t>Self-identified: Product &amp; tool knowledge · Broader exposure &amp; ownership
For the next role: Product &amp; tool knowledge · Broader exposure &amp; ownership</t>
        </is>
      </c>
      <c r="FU539" s="32" t="inlineStr">
        <is>
          <t>Full survey answers not in the files received · How We Grow export needed · HR</t>
        </is>
      </c>
    </row>
    <row r="540" ht="90" customHeight="1">
      <c r="A540" s="51" t="inlineStr">
        <is>
          <t>◂ Back</t>
        </is>
      </c>
      <c r="B540" s="29" t="inlineStr">
        <is>
          <t>Mapped</t>
        </is>
      </c>
      <c r="C540" s="28" t="inlineStr">
        <is>
          <t>iFile</t>
        </is>
      </c>
      <c r="D540" s="29" t="inlineStr">
        <is>
          <t>IRIS2251</t>
        </is>
      </c>
      <c r="E540" s="29" t="inlineStr">
        <is>
          <t>Saurabh Dutta</t>
        </is>
      </c>
      <c r="F540" s="29" t="inlineStr">
        <is>
          <t>Technology</t>
        </is>
      </c>
      <c r="G540" s="29" t="inlineStr">
        <is>
          <t>Business Analyst</t>
        </is>
      </c>
      <c r="H540" s="29" t="inlineStr">
        <is>
          <t>Senior Business Analyst</t>
        </is>
      </c>
      <c r="I540" s="29" t="inlineStr">
        <is>
          <t>L3 – Professional / Associate</t>
        </is>
      </c>
      <c r="J540" s="29" t="inlineStr">
        <is>
          <t>A3</t>
        </is>
      </c>
      <c r="K540" s="29" t="inlineStr">
        <is>
          <t>▲ Up</t>
        </is>
      </c>
      <c r="L540" s="29" t="inlineStr">
        <is>
          <t>Business Analysis</t>
        </is>
      </c>
      <c r="M540" s="29" t="inlineStr">
        <is>
          <t>Business Analysis</t>
        </is>
      </c>
      <c r="N540" s="29" t="n"/>
      <c r="O540" s="29" t="n">
        <v>20</v>
      </c>
      <c r="P540" s="28" t="inlineStr">
        <is>
          <t>P2</t>
        </is>
      </c>
      <c r="Q540" s="29" t="inlineStr">
        <is>
          <t>Developing</t>
        </is>
      </c>
      <c r="R540" s="29" t="inlineStr">
        <is>
          <t>3 Apply</t>
        </is>
      </c>
      <c r="S540" s="29" t="inlineStr">
        <is>
          <t>2–4 yrs</t>
        </is>
      </c>
      <c r="T540" s="29" t="inlineStr">
        <is>
          <t>3–5 · 2–5</t>
        </is>
      </c>
      <c r="U540" s="29" t="inlineStr">
        <is>
          <t>Business Analyst</t>
        </is>
      </c>
      <c r="V540" s="29" t="inlineStr">
        <is>
          <t>Regnology — regulatory reporting: Junior BA · Reg Reporting · Big Four consulting: Consultant · IRIS Vs Market Benchmark — IIBA certification pathway: ECBA · Infosys / Accenture: JL3A · L10 Senior Analyst</t>
        </is>
      </c>
      <c r="W540" s="29" t="inlineStr">
        <is>
          <t>IIBA BABOK v3; certifications ECBA · entry → CCBA → CBAP · senior</t>
        </is>
      </c>
      <c r="X540" s="29" t="inlineStr">
        <is>
          <t>Core 2 · Future 2 · Functional 3 · Leadership not scored</t>
        </is>
      </c>
      <c r="Y540" s="52" t="n">
        <v>316</v>
      </c>
      <c r="Z540" s="53" t="inlineStr">
        <is>
          <t>IRIS2251</t>
        </is>
      </c>
      <c r="AA540" s="53" t="inlineStr">
        <is>
          <t>Employee</t>
        </is>
      </c>
      <c r="AB540" s="53" t="inlineStr">
        <is>
          <t>Active</t>
        </is>
      </c>
      <c r="AC540" s="53" t="inlineStr">
        <is>
          <t>Saurabh Dutta</t>
        </is>
      </c>
      <c r="AD540" s="54" t="n">
        <v>45433</v>
      </c>
      <c r="AE540" s="53" t="inlineStr">
        <is>
          <t>Business Analyst</t>
        </is>
      </c>
      <c r="AF540" s="53" t="inlineStr">
        <is>
          <t>MBA</t>
        </is>
      </c>
      <c r="AG540" s="53" t="inlineStr">
        <is>
          <t>Saurabh Kadam</t>
        </is>
      </c>
      <c r="AH540" s="53" t="inlineStr">
        <is>
          <t>N-4</t>
        </is>
      </c>
      <c r="AI540" s="53" t="inlineStr">
        <is>
          <t>Individual Contributor</t>
        </is>
      </c>
      <c r="AJ540" s="53" t="inlineStr">
        <is>
          <t>3 years, 1 months, 0 days</t>
        </is>
      </c>
      <c r="AK540" s="53" t="inlineStr">
        <is>
          <t>2 years, 3 months, 4 days</t>
        </is>
      </c>
      <c r="AL540" s="53" t="inlineStr">
        <is>
          <t>Suptech</t>
        </is>
      </c>
      <c r="AM540" s="53" t="inlineStr">
        <is>
          <t>iFile</t>
        </is>
      </c>
      <c r="AN540" s="53" t="inlineStr">
        <is>
          <t>Technology</t>
        </is>
      </c>
      <c r="AO540" s="53" t="inlineStr">
        <is>
          <t>Business Analysis</t>
        </is>
      </c>
      <c r="AP540" s="53" t="inlineStr">
        <is>
          <t>No</t>
        </is>
      </c>
      <c r="AQ540" s="53" t="inlineStr">
        <is>
          <t>Product/Project</t>
        </is>
      </c>
      <c r="AR540" s="53" t="inlineStr">
        <is>
          <t>Business Analysis</t>
        </is>
      </c>
      <c r="AS540" s="53" t="inlineStr">
        <is>
          <t>Technical · BA, PM and QA</t>
        </is>
      </c>
      <c r="AT540" s="53" t="n">
        <v>20</v>
      </c>
      <c r="AU540" s="53" t="inlineStr">
        <is>
          <t>Covered</t>
        </is>
      </c>
      <c r="AV540" s="53" t="n"/>
      <c r="AW540" s="53" t="n"/>
      <c r="AX540" s="53" t="n"/>
      <c r="AY540" s="53" t="n"/>
      <c r="AZ540" s="53" t="n"/>
      <c r="BA540" s="53" t="n"/>
      <c r="BB540" s="53" t="n"/>
      <c r="BC540" s="53" t="n"/>
      <c r="BD540" s="53" t="n"/>
      <c r="BE540" s="53" t="n"/>
      <c r="BF540" s="53" t="n"/>
      <c r="BG540" s="53" t="n"/>
      <c r="BH540" s="53" t="n"/>
      <c r="BI540" s="53" t="n"/>
      <c r="BJ540" s="53" t="n"/>
      <c r="BK540" s="53" t="n"/>
      <c r="BL540" s="53" t="n"/>
      <c r="BM540" s="53" t="n"/>
      <c r="BN540" s="53" t="n"/>
      <c r="BO540" s="53" t="n"/>
      <c r="BP540" s="53" t="n"/>
      <c r="BQ540" s="53" t="n"/>
      <c r="BR540" s="53" t="n"/>
      <c r="BS540" s="53" t="n"/>
      <c r="BT540" s="53" t="n"/>
      <c r="BU540" s="53" t="n"/>
      <c r="BV540" s="53" t="n"/>
      <c r="BW540" s="53" t="n"/>
      <c r="BX540" s="53" t="n"/>
      <c r="BY540" s="53" t="n"/>
      <c r="BZ540" s="53" t="n"/>
      <c r="CA540" s="53" t="n"/>
      <c r="CB540" s="53" t="n"/>
      <c r="CC540" s="53" t="n"/>
      <c r="CD540" s="53" t="n"/>
      <c r="CE540" s="53" t="n"/>
      <c r="CF540" s="53" t="n"/>
      <c r="CG540" s="53" t="n"/>
      <c r="CH540" s="53" t="n"/>
      <c r="CI540" s="53" t="n"/>
      <c r="CJ540" s="53" t="n"/>
      <c r="CK540" s="53" t="n"/>
      <c r="CL540" s="53" t="n"/>
      <c r="CM540" s="53" t="n"/>
      <c r="CN540" s="53" t="n"/>
      <c r="CO540" s="53" t="n"/>
      <c r="CP540" s="53" t="n"/>
      <c r="CQ540" s="53" t="n"/>
      <c r="CR540" s="53" t="n"/>
      <c r="CS540" s="53" t="n"/>
      <c r="CT540" s="53" t="n"/>
      <c r="CU540" s="53" t="n"/>
      <c r="CV540" s="53" t="n"/>
      <c r="CW540" s="53" t="n"/>
      <c r="CX540" s="53" t="n"/>
      <c r="CY540" s="53" t="n"/>
      <c r="CZ540" s="53" t="n"/>
      <c r="DA540" s="53" t="n"/>
      <c r="DB540" s="53" t="n"/>
      <c r="DC540" s="53" t="n"/>
      <c r="DD540" s="53" t="inlineStr">
        <is>
          <t>IRIS2251</t>
        </is>
      </c>
      <c r="DE540" s="53" t="inlineStr">
        <is>
          <t>Employee</t>
        </is>
      </c>
      <c r="DF540" s="53" t="inlineStr">
        <is>
          <t>Active</t>
        </is>
      </c>
      <c r="DG540" s="53" t="inlineStr">
        <is>
          <t>Saurabh Dutta</t>
        </is>
      </c>
      <c r="DH540" s="54" t="n">
        <v>45433</v>
      </c>
      <c r="DI540" s="53" t="inlineStr">
        <is>
          <t>Business Analyst</t>
        </is>
      </c>
      <c r="DJ540" s="53" t="inlineStr">
        <is>
          <t>Business Analysis</t>
        </is>
      </c>
      <c r="DK540" s="53" t="inlineStr">
        <is>
          <t>Business / Functional Analysis</t>
        </is>
      </c>
      <c r="DL540" s="53" t="inlineStr">
        <is>
          <t>Business Analyst</t>
        </is>
      </c>
      <c r="DM540" s="53" t="inlineStr">
        <is>
          <t>L3 – Professional / Associate</t>
        </is>
      </c>
      <c r="DN540" s="53" t="inlineStr">
        <is>
          <t>MBA</t>
        </is>
      </c>
      <c r="DO540" s="53" t="inlineStr">
        <is>
          <t>Saurabh Kadam</t>
        </is>
      </c>
      <c r="DP540" s="53" t="inlineStr">
        <is>
          <t>N-3</t>
        </is>
      </c>
      <c r="DQ540" s="53" t="inlineStr">
        <is>
          <t>Individual Contributor</t>
        </is>
      </c>
      <c r="DR540" s="53" t="inlineStr">
        <is>
          <t>3 years, 1 months, 0 days</t>
        </is>
      </c>
      <c r="DS540" s="53" t="inlineStr">
        <is>
          <t>2 years, 0 months, 30 days</t>
        </is>
      </c>
      <c r="DT540" s="53" t="inlineStr">
        <is>
          <t>5 years, 1 months, 30 days</t>
        </is>
      </c>
      <c r="DU540" s="53" t="n"/>
      <c r="DV540" s="53" t="inlineStr">
        <is>
          <t>Suptech</t>
        </is>
      </c>
      <c r="DW540" s="53" t="inlineStr">
        <is>
          <t>iFile</t>
        </is>
      </c>
      <c r="DX540" s="53" t="inlineStr">
        <is>
          <t>Technology</t>
        </is>
      </c>
      <c r="DY540" s="53" t="inlineStr">
        <is>
          <t>Business Analysis</t>
        </is>
      </c>
      <c r="DZ540" s="53" t="inlineStr">
        <is>
          <t>No</t>
        </is>
      </c>
      <c r="EA540" s="53" t="inlineStr">
        <is>
          <t>Product/Project</t>
        </is>
      </c>
      <c r="EB540" s="53" t="inlineStr">
        <is>
          <t>Business Analysis</t>
        </is>
      </c>
      <c r="EC540" s="53" t="inlineStr">
        <is>
          <t>Technical · BA, PM and QA</t>
        </is>
      </c>
      <c r="ED540" s="53" t="inlineStr">
        <is>
          <t>Hybrid</t>
        </is>
      </c>
      <c r="EE540" s="53" t="n"/>
      <c r="EF540" s="53"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EG540"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40" s="53" t="n">
        <v>4</v>
      </c>
      <c r="EI540" s="53" t="inlineStr">
        <is>
          <t>31/10/2025</t>
        </is>
      </c>
      <c r="EJ540" s="53" t="inlineStr">
        <is>
          <t>Business Analyst</t>
        </is>
      </c>
      <c r="EK540" s="53" t="inlineStr">
        <is>
          <t>No</t>
        </is>
      </c>
      <c r="EL540" s="53" t="n">
        <v>4</v>
      </c>
      <c r="EM540" s="53" t="inlineStr">
        <is>
          <t>High</t>
        </is>
      </c>
      <c r="EN540" s="53" t="inlineStr">
        <is>
          <t>Core Contributor</t>
        </is>
      </c>
      <c r="EO540" s="53" t="inlineStr">
        <is>
          <t>No</t>
        </is>
      </c>
      <c r="EP540" s="53" t="inlineStr">
        <is>
          <t>No</t>
        </is>
      </c>
      <c r="EQ540" s="53" t="inlineStr">
        <is>
          <t>No</t>
        </is>
      </c>
      <c r="ER540" s="53" t="inlineStr">
        <is>
          <t>Parmesh Vala</t>
        </is>
      </c>
      <c r="ES540" s="53" t="inlineStr">
        <is>
          <t>Requirement engineering &amp; BRD writing; Agile/Scrum; domain · RegTech/XBRL knowledge; stakeholder management</t>
        </is>
      </c>
      <c r="ET540" s="53" t="inlineStr">
        <is>
          <t>Transition to leadership: people management &amp; delegation, mentoring/coaching, project ownership &amp; stakeholder management, prioritisation under ambiguity, presentation &amp; influence skills</t>
        </is>
      </c>
      <c r="EU540" s="53" t="n"/>
      <c r="EV540" s="53" t="n"/>
      <c r="EW540" s="52" t="n"/>
      <c r="EX540" s="53" t="n"/>
      <c r="EY540" s="53" t="n"/>
      <c r="EZ540" s="53" t="n"/>
      <c r="FA540" s="53" t="n"/>
      <c r="FB540" s="53" t="n"/>
      <c r="FC540" s="53" t="n"/>
      <c r="FD540" s="53" t="n"/>
      <c r="FE540" s="57"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FF540"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40" s="56" t="n"/>
      <c r="FH540" s="56" t="inlineStr">
        <is>
          <t>4</t>
        </is>
      </c>
      <c r="FI540" s="56" t="n"/>
      <c r="FJ540" s="56" t="inlineStr">
        <is>
          <t>Received · manager annual, quarterly</t>
        </is>
      </c>
      <c r="FK540" s="56" t="inlineStr">
        <is>
          <t>Talent Mapping · iFile collated</t>
        </is>
      </c>
      <c r="FL540" s="56" t="n">
        <v>20</v>
      </c>
      <c r="FM540" s="32" t="inlineStr">
        <is>
          <t>Full survey answers not in the files received · How We Grow export needed · HR</t>
        </is>
      </c>
      <c r="FN540" s="56" t="inlineStr">
        <is>
          <t>—</t>
        </is>
      </c>
      <c r="FO540" s="56" t="inlineStr">
        <is>
          <t>—</t>
        </is>
      </c>
      <c r="FP540" s="56" t="inlineStr">
        <is>
          <t>—</t>
        </is>
      </c>
      <c r="FQ540" s="56" t="inlineStr">
        <is>
          <t>—</t>
        </is>
      </c>
      <c r="FR540" s="56"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on-time client delivery for the project workstream → matches the start
Leadership: Evidence reads like A1: No guidance of others described → moved down 0.5
Business Impact: No survey or manager-mapping signal on criticality: kept at the start point.</t>
        </is>
      </c>
      <c r="FS54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40" s="56" t="inlineStr">
        <is>
          <t>Self-identified: Project / programme management
For the next role: Project / programme management</t>
        </is>
      </c>
      <c r="FU540" s="32" t="inlineStr">
        <is>
          <t>Full survey answers not in the files received · How We Grow export needed · HR</t>
        </is>
      </c>
    </row>
    <row r="541" ht="90" customHeight="1">
      <c r="A541" s="51" t="inlineStr">
        <is>
          <t>◂ Back</t>
        </is>
      </c>
      <c r="B541" s="29" t="inlineStr">
        <is>
          <t>Mapped</t>
        </is>
      </c>
      <c r="C541" s="28" t="inlineStr">
        <is>
          <t>iFile</t>
        </is>
      </c>
      <c r="D541" s="29" t="inlineStr">
        <is>
          <t>IRIS2542</t>
        </is>
      </c>
      <c r="E541" s="29" t="inlineStr">
        <is>
          <t>Parmesh Vala</t>
        </is>
      </c>
      <c r="F541" s="29" t="inlineStr">
        <is>
          <t>Technology</t>
        </is>
      </c>
      <c r="G541" s="29" t="inlineStr">
        <is>
          <t>Trainee Business Analyst</t>
        </is>
      </c>
      <c r="H541" s="29" t="inlineStr">
        <is>
          <t>Trainee Business Analyst</t>
        </is>
      </c>
      <c r="I541" s="29" t="inlineStr">
        <is>
          <t>L1 – Intern</t>
        </is>
      </c>
      <c r="J541" s="29" t="inlineStr">
        <is>
          <t>A1</t>
        </is>
      </c>
      <c r="K541" s="29" t="inlineStr">
        <is>
          <t>• Same level</t>
        </is>
      </c>
      <c r="L541" s="29" t="inlineStr">
        <is>
          <t>Business Analysis</t>
        </is>
      </c>
      <c r="M541" s="29" t="inlineStr">
        <is>
          <t>Business Analysis</t>
        </is>
      </c>
      <c r="N541" s="29" t="n"/>
      <c r="O541" s="29" t="n">
        <v>20</v>
      </c>
      <c r="P541" s="28" t="inlineStr">
        <is>
          <t>Entry / P1 · intern</t>
        </is>
      </c>
      <c r="Q541" s="29" t="inlineStr">
        <is>
          <t>Entry</t>
        </is>
      </c>
      <c r="R541" s="29" t="inlineStr">
        <is>
          <t>1 Follow</t>
        </is>
      </c>
      <c r="S541" s="29" t="inlineStr">
        <is>
          <t>0 yrs · fresher / intern</t>
        </is>
      </c>
      <c r="T541" s="29" t="inlineStr">
        <is>
          <t>—</t>
        </is>
      </c>
      <c r="U541" s="29" t="inlineStr">
        <is>
          <t>Associate Business Analyst</t>
        </is>
      </c>
      <c r="V541" s="29" t="inlineStr">
        <is>
          <t>—</t>
        </is>
      </c>
      <c r="W541" s="29" t="inlineStr">
        <is>
          <t>IIBA BABOK v3; certifications ECBA · entry → CCBA → CBAP · senior</t>
        </is>
      </c>
      <c r="X541" s="29" t="inlineStr">
        <is>
          <t>Core 1 · Future 1 · Functional 1 · Leadership not scored</t>
        </is>
      </c>
      <c r="Y541" s="52" t="n">
        <v>515</v>
      </c>
      <c r="Z541" s="53" t="inlineStr">
        <is>
          <t>IRIS2542</t>
        </is>
      </c>
      <c r="AA541" s="53" t="inlineStr">
        <is>
          <t>Employee</t>
        </is>
      </c>
      <c r="AB541" s="53" t="inlineStr">
        <is>
          <t>Active</t>
        </is>
      </c>
      <c r="AC541" s="53" t="inlineStr">
        <is>
          <t>Parmesh Vala</t>
        </is>
      </c>
      <c r="AD541" s="54" t="n">
        <v>46204</v>
      </c>
      <c r="AE541" s="53" t="inlineStr">
        <is>
          <t>Trainee Business Analyst</t>
        </is>
      </c>
      <c r="AF541" s="53" t="inlineStr">
        <is>
          <t>B.Tech</t>
        </is>
      </c>
      <c r="AG541" s="53" t="inlineStr">
        <is>
          <t>Saurabh Kadam</t>
        </is>
      </c>
      <c r="AH541" s="53" t="inlineStr">
        <is>
          <t>N-4</t>
        </is>
      </c>
      <c r="AI541" s="53" t="inlineStr">
        <is>
          <t>Individual Contributor</t>
        </is>
      </c>
      <c r="AJ541" s="53" t="inlineStr">
        <is>
          <t>0 years, 0 months, 0 days</t>
        </is>
      </c>
      <c r="AK541" s="53" t="inlineStr">
        <is>
          <t>0 years, 1 months, 24 days</t>
        </is>
      </c>
      <c r="AL541" s="53" t="inlineStr">
        <is>
          <t>Suptech</t>
        </is>
      </c>
      <c r="AM541" s="53" t="inlineStr">
        <is>
          <t>iFile</t>
        </is>
      </c>
      <c r="AN541" s="53" t="inlineStr">
        <is>
          <t>Technology</t>
        </is>
      </c>
      <c r="AO541" s="53" t="inlineStr">
        <is>
          <t>Business Analysis</t>
        </is>
      </c>
      <c r="AP541" s="53" t="inlineStr">
        <is>
          <t>Yes</t>
        </is>
      </c>
      <c r="AQ541" s="53" t="inlineStr">
        <is>
          <t>Product/Project</t>
        </is>
      </c>
      <c r="AR541" s="53" t="inlineStr">
        <is>
          <t>Business Analysis</t>
        </is>
      </c>
      <c r="AS541" s="53" t="inlineStr">
        <is>
          <t>Technical · BA, PM and QA</t>
        </is>
      </c>
      <c r="AT541" s="53" t="n">
        <v>20</v>
      </c>
      <c r="AU541" s="53" t="inlineStr">
        <is>
          <t>Covered</t>
        </is>
      </c>
      <c r="AV541" s="53" t="n"/>
      <c r="AW541" s="53" t="n"/>
      <c r="AX541" s="53" t="n"/>
      <c r="AY541" s="53" t="n"/>
      <c r="AZ541" s="53" t="n"/>
      <c r="BA541" s="53" t="n"/>
      <c r="BB541" s="53" t="n"/>
      <c r="BC541" s="53" t="n"/>
      <c r="BD541" s="53" t="n"/>
      <c r="BE541" s="53" t="n"/>
      <c r="BF541" s="53" t="n"/>
      <c r="BG541" s="53" t="n"/>
      <c r="BH541" s="53" t="n"/>
      <c r="BI541" s="53" t="n"/>
      <c r="BJ541" s="53" t="n"/>
      <c r="BK541" s="53" t="n"/>
      <c r="BL541" s="53" t="n"/>
      <c r="BM541" s="53" t="n"/>
      <c r="BN541" s="53" t="n"/>
      <c r="BO541" s="53" t="n"/>
      <c r="BP541" s="53" t="n"/>
      <c r="BQ541" s="53" t="n"/>
      <c r="BR541" s="53" t="n"/>
      <c r="BS541" s="53" t="n"/>
      <c r="BT541" s="53" t="n"/>
      <c r="BU541" s="53" t="n"/>
      <c r="BV541" s="53" t="n"/>
      <c r="BW541" s="53" t="n"/>
      <c r="BX541" s="53" t="n"/>
      <c r="BY541" s="53" t="n"/>
      <c r="BZ541" s="53" t="n"/>
      <c r="CA541" s="53" t="n"/>
      <c r="CB541" s="53" t="n"/>
      <c r="CC541" s="53" t="n"/>
      <c r="CD541" s="53" t="n"/>
      <c r="CE541" s="53" t="n"/>
      <c r="CF541" s="53" t="n"/>
      <c r="CG541" s="53" t="n"/>
      <c r="CH541" s="53" t="n"/>
      <c r="CI541" s="53" t="n"/>
      <c r="CJ541" s="53" t="n"/>
      <c r="CK541" s="53" t="n"/>
      <c r="CL541" s="53" t="n"/>
      <c r="CM541" s="53" t="n"/>
      <c r="CN541" s="53" t="n"/>
      <c r="CO541" s="53" t="n"/>
      <c r="CP541" s="53" t="n"/>
      <c r="CQ541" s="53" t="n"/>
      <c r="CR541" s="53" t="n"/>
      <c r="CS541" s="53" t="n"/>
      <c r="CT541" s="53" t="n"/>
      <c r="CU541" s="53" t="n"/>
      <c r="CV541" s="53" t="n"/>
      <c r="CW541" s="53" t="n"/>
      <c r="CX541" s="53" t="n"/>
      <c r="CY541" s="53" t="n"/>
      <c r="CZ541" s="53" t="n"/>
      <c r="DA541" s="53" t="n"/>
      <c r="DB541" s="53" t="n"/>
      <c r="DC541" s="53" t="n"/>
      <c r="DD541" s="53" t="inlineStr">
        <is>
          <t>INTN0277</t>
        </is>
      </c>
      <c r="DE541" s="53" t="inlineStr">
        <is>
          <t>Junior Analsyst</t>
        </is>
      </c>
      <c r="DF541" s="53" t="inlineStr">
        <is>
          <t>Active</t>
        </is>
      </c>
      <c r="DG541" s="53" t="inlineStr">
        <is>
          <t>Parmesh Vala</t>
        </is>
      </c>
      <c r="DH541" s="54" t="n">
        <v>45831</v>
      </c>
      <c r="DI541" s="53" t="inlineStr">
        <is>
          <t>Intern</t>
        </is>
      </c>
      <c r="DJ541" s="53" t="inlineStr">
        <is>
          <t>Business Analysis</t>
        </is>
      </c>
      <c r="DK541" s="53" t="inlineStr">
        <is>
          <t>Business / Functional Analysis</t>
        </is>
      </c>
      <c r="DL541" s="53" t="inlineStr">
        <is>
          <t>Intern</t>
        </is>
      </c>
      <c r="DM541" s="53" t="inlineStr">
        <is>
          <t>L1 – Intern</t>
        </is>
      </c>
      <c r="DN541" s="53" t="inlineStr">
        <is>
          <t>B.Tech</t>
        </is>
      </c>
      <c r="DO541" s="53" t="inlineStr">
        <is>
          <t>Saurabh Kadam</t>
        </is>
      </c>
      <c r="DP541" s="53" t="inlineStr">
        <is>
          <t>N-3</t>
        </is>
      </c>
      <c r="DQ541" s="53" t="inlineStr">
        <is>
          <t>Individual Contributor</t>
        </is>
      </c>
      <c r="DR541" s="53" t="inlineStr">
        <is>
          <t>0 years, 0 months, 0 days</t>
        </is>
      </c>
      <c r="DS541" s="53" t="inlineStr">
        <is>
          <t>0 years, 11 months, 28 days</t>
        </is>
      </c>
      <c r="DT541" s="53" t="inlineStr">
        <is>
          <t>0 years, 11 months, 28 days</t>
        </is>
      </c>
      <c r="DU541" s="53" t="n"/>
      <c r="DV541" s="53" t="inlineStr">
        <is>
          <t>Suptech</t>
        </is>
      </c>
      <c r="DW541" s="53" t="inlineStr">
        <is>
          <t>iFile</t>
        </is>
      </c>
      <c r="DX541" s="53" t="inlineStr">
        <is>
          <t>Technology</t>
        </is>
      </c>
      <c r="DY541" s="53" t="inlineStr">
        <is>
          <t>Business Analysis</t>
        </is>
      </c>
      <c r="DZ541" s="53" t="inlineStr">
        <is>
          <t>Yes</t>
        </is>
      </c>
      <c r="EA541" s="53" t="inlineStr">
        <is>
          <t>Product/Project</t>
        </is>
      </c>
      <c r="EB541" s="53" t="inlineStr">
        <is>
          <t>Business Analysis</t>
        </is>
      </c>
      <c r="EC541" s="53" t="inlineStr">
        <is>
          <t>Technical · BA, PM and QA</t>
        </is>
      </c>
      <c r="ED541" s="53" t="inlineStr">
        <is>
          <t>Hybrid</t>
        </is>
      </c>
      <c r="EE541" s="53" t="n"/>
      <c r="EF541" s="53"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EG541"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41" s="53" t="n">
        <v>4</v>
      </c>
      <c r="EI541" s="54" t="n">
        <v>46029</v>
      </c>
      <c r="EJ541" s="53" t="inlineStr">
        <is>
          <t>Junior Analyst</t>
        </is>
      </c>
      <c r="EK541" s="53" t="inlineStr">
        <is>
          <t>No</t>
        </is>
      </c>
      <c r="EL541" s="53" t="n">
        <v>4</v>
      </c>
      <c r="EM541" s="53" t="inlineStr">
        <is>
          <t>High</t>
        </is>
      </c>
      <c r="EN541" s="53" t="inlineStr">
        <is>
          <t>Emerging Talent</t>
        </is>
      </c>
      <c r="EO541" s="53" t="inlineStr">
        <is>
          <t>No</t>
        </is>
      </c>
      <c r="EP541" s="53" t="inlineStr">
        <is>
          <t>No</t>
        </is>
      </c>
      <c r="EQ541" s="53" t="inlineStr">
        <is>
          <t>No</t>
        </is>
      </c>
      <c r="ER541" s="53" t="inlineStr">
        <is>
          <t>Not Applicable</t>
        </is>
      </c>
      <c r="ES541" s="53" t="inlineStr">
        <is>
          <t>Requirement engineering &amp; BRD writing; Agile/Scrum; domain · RegTech/XBRL knowledge; stakeholder management</t>
        </is>
      </c>
      <c r="ET541" s="53" t="inlineStr">
        <is>
          <t>Transition to leadership: people management &amp; delegation, mentoring/coaching, project ownership &amp; stakeholder management, prioritisation under ambiguity, presentation &amp; influence skills</t>
        </is>
      </c>
      <c r="EU541" s="53" t="n"/>
      <c r="EV541" s="53" t="n"/>
      <c r="EW541" s="52" t="n"/>
      <c r="EX541" s="53" t="n"/>
      <c r="EY541" s="53" t="n"/>
      <c r="EZ541" s="53" t="n"/>
      <c r="FA541" s="53" t="n"/>
      <c r="FB541" s="53" t="n"/>
      <c r="FC541" s="53" t="n"/>
      <c r="FD541" s="53" t="inlineStr">
        <is>
          <t>INTN0277</t>
        </is>
      </c>
      <c r="FE541" s="57"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FF541"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41" s="56" t="n"/>
      <c r="FH541" s="56" t="inlineStr">
        <is>
          <t>4</t>
        </is>
      </c>
      <c r="FI541" s="56" t="n"/>
      <c r="FJ541" s="56" t="inlineStr">
        <is>
          <t>Received · manager annual, quarterly</t>
        </is>
      </c>
      <c r="FK541" s="56" t="inlineStr">
        <is>
          <t>Talent Mapping · iFile collated</t>
        </is>
      </c>
      <c r="FL541" s="56" t="n">
        <v>20</v>
      </c>
      <c r="FM541" s="32" t="inlineStr">
        <is>
          <t>Full survey answers not in the files received · How We Grow export needed · HR</t>
        </is>
      </c>
      <c r="FN541" s="56" t="inlineStr">
        <is>
          <t>—</t>
        </is>
      </c>
      <c r="FO541" s="56" t="inlineStr">
        <is>
          <t>—</t>
        </is>
      </c>
      <c r="FP541" s="56" t="inlineStr">
        <is>
          <t>—</t>
        </is>
      </c>
      <c r="FQ541" s="56" t="inlineStr">
        <is>
          <t>—</t>
        </is>
      </c>
      <c r="FR541" s="56" t="n"/>
      <c r="FS541"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41" s="56" t="inlineStr">
        <is>
          <t>Self-identified: Strategy &amp; business acumen
For the next role: Strategy &amp; business acumen</t>
        </is>
      </c>
      <c r="FU541" s="32" t="inlineStr">
        <is>
          <t>Full survey answers not in the files received · How We Grow export needed · HR</t>
        </is>
      </c>
    </row>
    <row r="542" ht="90" customHeight="1">
      <c r="A542" s="51" t="inlineStr">
        <is>
          <t>◂ Back</t>
        </is>
      </c>
      <c r="B542" s="29" t="inlineStr">
        <is>
          <t>Mapped</t>
        </is>
      </c>
      <c r="C542" s="28" t="inlineStr">
        <is>
          <t>CARBON</t>
        </is>
      </c>
      <c r="D542" s="29" t="inlineStr">
        <is>
          <t>IRIS2445</t>
        </is>
      </c>
      <c r="E542" s="29" t="inlineStr">
        <is>
          <t>Mohammad Irfan</t>
        </is>
      </c>
      <c r="F542" s="29" t="inlineStr">
        <is>
          <t>Technology</t>
        </is>
      </c>
      <c r="G542" s="29" t="inlineStr">
        <is>
          <t>Senior Software Engineer - AI/ML</t>
        </is>
      </c>
      <c r="H542" s="29" t="inlineStr">
        <is>
          <t>Senior AI/ML Engineer</t>
        </is>
      </c>
      <c r="I542" s="29" t="inlineStr">
        <is>
          <t>L4 – Senior</t>
        </is>
      </c>
      <c r="J542" s="29" t="inlineStr">
        <is>
          <t>A3</t>
        </is>
      </c>
      <c r="K542" s="29" t="inlineStr">
        <is>
          <t>• Same level</t>
        </is>
      </c>
      <c r="L542" s="29" t="inlineStr">
        <is>
          <t>Engineering &amp; Development</t>
        </is>
      </c>
      <c r="M542" s="29" t="inlineStr">
        <is>
          <t>AI / ML &amp; GenAI Engineering</t>
        </is>
      </c>
      <c r="N542" s="29" t="n"/>
      <c r="O542" s="29" t="n">
        <v>20</v>
      </c>
      <c r="P542" s="28" t="inlineStr">
        <is>
          <t>P2</t>
        </is>
      </c>
      <c r="Q542" s="29" t="inlineStr">
        <is>
          <t>Developing</t>
        </is>
      </c>
      <c r="R542" s="29" t="inlineStr">
        <is>
          <t>3 Apply</t>
        </is>
      </c>
      <c r="S542" s="29" t="inlineStr">
        <is>
          <t>2–4 yrs</t>
        </is>
      </c>
      <c r="T542" s="29" t="inlineStr">
        <is>
          <t>3–5 · 2–5</t>
        </is>
      </c>
      <c r="U542" s="29" t="inlineStr">
        <is>
          <t>Software Engineer</t>
        </is>
      </c>
      <c r="V542" s="29" t="inlineStr">
        <is>
          <t>Workiva: SE · Broadridge India: SE · Nasdaq / AxiomSL: SE · Salesforce: MTS · Atlassian: P40 · 3–7 yrs · Freshworks: Senior SE</t>
        </is>
      </c>
      <c r="W542" s="29" t="inlineStr">
        <is>
          <t>SFIA 9 · software development, programming; OWASP secure coding; cloud vendor certifications</t>
        </is>
      </c>
      <c r="X542" s="29" t="inlineStr">
        <is>
          <t>Core 2 · Future 2 · Functional 3 · Leadership not scored</t>
        </is>
      </c>
      <c r="Y542" s="52" t="n">
        <v>412</v>
      </c>
      <c r="Z542" s="53" t="inlineStr">
        <is>
          <t>IRIS2445</t>
        </is>
      </c>
      <c r="AA542" s="53" t="inlineStr">
        <is>
          <t>Employee</t>
        </is>
      </c>
      <c r="AB542" s="53" t="inlineStr">
        <is>
          <t>Active</t>
        </is>
      </c>
      <c r="AC542" s="53" t="inlineStr">
        <is>
          <t>Mohammad Irfan</t>
        </is>
      </c>
      <c r="AD542" s="54" t="n">
        <v>45986</v>
      </c>
      <c r="AE542" s="53" t="inlineStr">
        <is>
          <t>Senior Software Engineer - AI/ML</t>
        </is>
      </c>
      <c r="AF542" s="53" t="inlineStr">
        <is>
          <t>M.Sc</t>
        </is>
      </c>
      <c r="AG542" s="53" t="inlineStr">
        <is>
          <t>Ashish Singhvi</t>
        </is>
      </c>
      <c r="AH542" s="53" t="inlineStr">
        <is>
          <t>N-2</t>
        </is>
      </c>
      <c r="AI542" s="53" t="inlineStr">
        <is>
          <t>Individual Contributor</t>
        </is>
      </c>
      <c r="AJ542" s="53" t="inlineStr">
        <is>
          <t>3 years, 8 months, 0 days</t>
        </is>
      </c>
      <c r="AK542" s="53" t="inlineStr">
        <is>
          <t>0 years, 9 months, 0 days</t>
        </is>
      </c>
      <c r="AL542" s="53" t="inlineStr">
        <is>
          <t>Regtech</t>
        </is>
      </c>
      <c r="AM542" s="53" t="inlineStr">
        <is>
          <t>CARBON</t>
        </is>
      </c>
      <c r="AN542" s="53" t="inlineStr">
        <is>
          <t>Technology</t>
        </is>
      </c>
      <c r="AO542" s="53" t="inlineStr">
        <is>
          <t>Development</t>
        </is>
      </c>
      <c r="AP542" s="53" t="inlineStr">
        <is>
          <t>Yes</t>
        </is>
      </c>
      <c r="AQ542" s="53" t="inlineStr">
        <is>
          <t>Product/Project</t>
        </is>
      </c>
      <c r="AR542" s="53" t="inlineStr">
        <is>
          <t>AI/ML</t>
        </is>
      </c>
      <c r="AS542" s="53" t="inlineStr">
        <is>
          <t>Technical - Developer</t>
        </is>
      </c>
      <c r="AT542" s="53" t="n">
        <v>20</v>
      </c>
      <c r="AU542" s="53" t="inlineStr">
        <is>
          <t>Covered</t>
        </is>
      </c>
      <c r="AV542" s="53" t="inlineStr">
        <is>
          <t>IRIS2445</t>
        </is>
      </c>
      <c r="AW542" s="53" t="inlineStr">
        <is>
          <t>Mohammad Irfan</t>
        </is>
      </c>
      <c r="AX542" s="53" t="inlineStr">
        <is>
          <t>Technology</t>
        </is>
      </c>
      <c r="AY542" s="53" t="inlineStr">
        <is>
          <t>Engineering &amp; Development</t>
        </is>
      </c>
      <c r="AZ542" s="53" t="inlineStr">
        <is>
          <t>AI / ML Engineering</t>
        </is>
      </c>
      <c r="BA542" s="53" t="n"/>
      <c r="BB542" s="53" t="n"/>
      <c r="BC542" s="53" t="inlineStr">
        <is>
          <t>Employee</t>
        </is>
      </c>
      <c r="BD542" s="53" t="inlineStr">
        <is>
          <t>Ashish Singhvi</t>
        </is>
      </c>
      <c r="BE542" s="53" t="inlineStr">
        <is>
          <t>Ashish Singhvi</t>
        </is>
      </c>
      <c r="BF542" s="53" t="inlineStr">
        <is>
          <t>No</t>
        </is>
      </c>
      <c r="BG542" s="53" t="inlineStr">
        <is>
          <t>Senior Software Engineer - AI/ML</t>
        </is>
      </c>
      <c r="BH542" s="53" t="inlineStr">
        <is>
          <t>Senior Software Engineer - AI/ML</t>
        </is>
      </c>
      <c r="BI542" s="53" t="inlineStr">
        <is>
          <t>No</t>
        </is>
      </c>
      <c r="BJ542" s="53" t="inlineStr">
        <is>
          <t>—</t>
        </is>
      </c>
      <c r="BK542" s="53" t="inlineStr">
        <is>
          <t>—</t>
        </is>
      </c>
      <c r="BL542" s="53" t="inlineStr">
        <is>
          <t>—</t>
        </is>
      </c>
      <c r="BM542" s="53" t="inlineStr">
        <is>
          <t>Not a manager</t>
        </is>
      </c>
      <c r="BN542" s="53" t="inlineStr">
        <is>
          <t>—</t>
        </is>
      </c>
      <c r="BO542" s="53" t="inlineStr">
        <is>
          <t>—</t>
        </is>
      </c>
      <c r="BP542" s="53" t="inlineStr">
        <is>
          <t>—</t>
        </is>
      </c>
      <c r="BQ542" s="53" t="inlineStr">
        <is>
          <t>Not a manager</t>
        </is>
      </c>
      <c r="BR542" s="53" t="inlineStr">
        <is>
          <t>—</t>
        </is>
      </c>
      <c r="BS542" s="53" t="inlineStr">
        <is>
          <t>L4 – Senior</t>
        </is>
      </c>
      <c r="BT542" s="53" t="inlineStr">
        <is>
          <t>L4 – Senior</t>
        </is>
      </c>
      <c r="BU542" s="53" t="inlineStr">
        <is>
          <t>No designation change — current record value carried forward</t>
        </is>
      </c>
      <c r="BV542" s="53"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W542" s="53" t="n"/>
      <c r="BX542" s="53" t="inlineStr">
        <is>
          <t>Global.</t>
        </is>
      </c>
      <c r="BY542" s="53" t="n"/>
      <c r="BZ542" s="53" t="n"/>
      <c r="CA542" s="53" t="n"/>
      <c r="CB542" s="53" t="n"/>
      <c r="CC542" s="53" t="n"/>
      <c r="CD542" s="53" t="n"/>
      <c r="CE542" s="53" t="n"/>
      <c r="CF542" s="53" t="n"/>
      <c r="CG542" s="53" t="n"/>
      <c r="CH542" s="53" t="n"/>
      <c r="CI542" s="53" t="n"/>
      <c r="CJ542" s="53" t="n"/>
      <c r="CK542" s="53" t="n"/>
      <c r="CL542" s="53" t="n"/>
      <c r="CM542" s="53" t="n"/>
      <c r="CN542" s="53" t="n"/>
      <c r="CO542" s="53" t="n"/>
      <c r="CP542" s="53" t="n"/>
      <c r="CQ542" s="53" t="n"/>
      <c r="CR542" s="53" t="n"/>
      <c r="CS542" s="53" t="n"/>
      <c r="CT542" s="53" t="n"/>
      <c r="CU542" s="53" t="n"/>
      <c r="CV542" s="53" t="n"/>
      <c r="CW542" s="53" t="n"/>
      <c r="CX542" s="53" t="n"/>
      <c r="CY542" s="53" t="n"/>
      <c r="CZ542" s="53" t="n"/>
      <c r="DA542" s="53" t="n"/>
      <c r="DB542" s="53" t="n"/>
      <c r="DC542" s="53" t="n"/>
      <c r="DD542" s="53" t="n"/>
      <c r="DE542" s="53" t="n"/>
      <c r="DF542" s="53" t="n"/>
      <c r="DG542" s="53" t="n"/>
      <c r="DH542" s="53" t="n"/>
      <c r="DI542" s="53" t="n"/>
      <c r="DJ542" s="53" t="n"/>
      <c r="DK542" s="53" t="n"/>
      <c r="DL542" s="53" t="n"/>
      <c r="DM542" s="53" t="n"/>
      <c r="DN542" s="53" t="n"/>
      <c r="DO542" s="53" t="n"/>
      <c r="DP542" s="53" t="n"/>
      <c r="DQ542" s="53" t="n"/>
      <c r="DR542" s="53" t="n"/>
      <c r="DS542" s="53" t="n"/>
      <c r="DT542" s="53" t="n"/>
      <c r="DU542" s="53" t="n"/>
      <c r="DV542" s="53" t="n"/>
      <c r="DW542" s="53" t="n"/>
      <c r="DX542" s="53" t="n"/>
      <c r="DY542" s="53" t="n"/>
      <c r="DZ542" s="53" t="n"/>
      <c r="EA542" s="53" t="n"/>
      <c r="EB542" s="53" t="n"/>
      <c r="EC542" s="53" t="n"/>
      <c r="ED542" s="53" t="n"/>
      <c r="EE542" s="53" t="n"/>
      <c r="EF542" s="53" t="n"/>
      <c r="EG542" s="53" t="n"/>
      <c r="EH542" s="53" t="n"/>
      <c r="EI542" s="53" t="n"/>
      <c r="EJ542" s="53" t="n"/>
      <c r="EK542" s="53" t="n"/>
      <c r="EL542" s="53" t="n"/>
      <c r="EM542" s="53" t="n"/>
      <c r="EN542" s="53" t="n"/>
      <c r="EO542" s="53" t="n"/>
      <c r="EP542" s="53" t="n"/>
      <c r="EQ542" s="53" t="n"/>
      <c r="ER542" s="53" t="n"/>
      <c r="ES542" s="53" t="n"/>
      <c r="ET542" s="53" t="n"/>
      <c r="EU542" s="53" t="n"/>
      <c r="EV542" s="53" t="n"/>
      <c r="EW542" s="52" t="n"/>
      <c r="EX542" s="53"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EY542" s="53"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EZ542" s="53"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FA542" s="53"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B542" s="53" t="inlineStr">
        <is>
          <t>• Key challenges: Limited compute and model.
• Support required: Better access to compute, models, tools, and dedicated time for experimentation, proper evaluation frameworks would enable faster development, testing, and improvement of AI solutions.</t>
        </is>
      </c>
      <c r="FC542" s="53" t="n"/>
      <c r="FD542" s="53" t="n"/>
      <c r="FE542" s="57"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FF542" s="56" t="n"/>
      <c r="FG542" s="56" t="n"/>
      <c r="FH542" s="56" t="n"/>
      <c r="FI542" s="56" t="n"/>
      <c r="FJ542" s="56" t="inlineStr">
        <is>
          <t>Received · manager annual</t>
        </is>
      </c>
      <c r="FK542" s="56" t="inlineStr">
        <is>
          <t>CARBON Mapping Master</t>
        </is>
      </c>
      <c r="FL542" s="56" t="n">
        <v>20</v>
      </c>
      <c r="FM542" s="56"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FN542" s="56"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FO542" s="56"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FP542" s="56"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Q542" s="56" t="inlineStr">
        <is>
          <t>• Key challenges: Limited compute and model.
• Support required: Better access to compute, models, tools, and dedicated time for experimentation, proper evaluation frameworks would enable faster development, testing, and improvement of AI solutions.</t>
        </is>
      </c>
      <c r="FR542" s="56" t="inlineStr">
        <is>
          <t>Complexity: Evidence reads like B1: Designs and builds a multi-agent financial assistant combining agentic AI, RAG and document intelligence → moved up 0.5
Autonomy: Evidence reads like A3: Decides research and experiments alone; sole owner of the assistant's design → matches the start
Accountability: Evidence reads like A3: Accuracy and reliability of the multi-agent assistant's responses; does RCA on tester-reported faults → matches the start
Leadership: Evidence reads like A1: No guiding or reviewing of others described → moved down 0.5
Business Impact: No survey or manager-mapping signal on criticality: kept at the start point.</t>
        </is>
      </c>
      <c r="FS542"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42" s="56" t="inlineStr">
        <is>
          <t>Self-identified: AI / automation · Leadership &amp; people management · Technical depth &amp; architecture · Product &amp; tool knowledge · Broader exposure &amp; ownership
For the next role: AI / automation · Leadership &amp; people management · Technical depth &amp; architecture · Product &amp; tool knowledge · Broader exposure &amp; ownership</t>
        </is>
      </c>
      <c r="FU542" s="56" t="inlineStr">
        <is>
          <t>Per-person summary · CARBON Mapping Master</t>
        </is>
      </c>
    </row>
    <row r="543" ht="90" customHeight="1">
      <c r="A543" s="51" t="inlineStr">
        <is>
          <t>◂ Back</t>
        </is>
      </c>
      <c r="B543" s="29" t="inlineStr">
        <is>
          <t>Mapped</t>
        </is>
      </c>
      <c r="C543" s="28" t="inlineStr">
        <is>
          <t>CARBON</t>
        </is>
      </c>
      <c r="D543" s="29" t="inlineStr">
        <is>
          <t>IRIS2500</t>
        </is>
      </c>
      <c r="E543" s="29" t="inlineStr">
        <is>
          <t>Vishal Nanaware</t>
        </is>
      </c>
      <c r="F543" s="29" t="inlineStr">
        <is>
          <t>Technology</t>
        </is>
      </c>
      <c r="G543" s="29" t="inlineStr">
        <is>
          <t>Senior Software Engineer - AI/ML</t>
        </is>
      </c>
      <c r="H543" s="29" t="inlineStr">
        <is>
          <t>Senior AI/ML Engineer</t>
        </is>
      </c>
      <c r="I543" s="29" t="inlineStr">
        <is>
          <t>L4 – Senior</t>
        </is>
      </c>
      <c r="J543" s="29" t="inlineStr">
        <is>
          <t>A3</t>
        </is>
      </c>
      <c r="K543" s="29" t="inlineStr">
        <is>
          <t>• Same level</t>
        </is>
      </c>
      <c r="L543" s="29" t="inlineStr">
        <is>
          <t>Engineering &amp; Development</t>
        </is>
      </c>
      <c r="M543" s="29" t="inlineStr">
        <is>
          <t>AI / ML &amp; GenAI Engineering</t>
        </is>
      </c>
      <c r="N543" s="29" t="n"/>
      <c r="O543" s="29" t="n">
        <v>20</v>
      </c>
      <c r="P543" s="28" t="inlineStr">
        <is>
          <t>P2</t>
        </is>
      </c>
      <c r="Q543" s="29" t="inlineStr">
        <is>
          <t>Developing</t>
        </is>
      </c>
      <c r="R543" s="29" t="inlineStr">
        <is>
          <t>3 Apply</t>
        </is>
      </c>
      <c r="S543" s="29" t="inlineStr">
        <is>
          <t>2–4 yrs</t>
        </is>
      </c>
      <c r="T543" s="29" t="inlineStr">
        <is>
          <t>3–5 · 2–5</t>
        </is>
      </c>
      <c r="U543" s="29" t="inlineStr">
        <is>
          <t>Software Engineer</t>
        </is>
      </c>
      <c r="V543" s="29" t="inlineStr">
        <is>
          <t>Workiva: SE · Broadridge India: SE · Nasdaq / AxiomSL: SE · Salesforce: MTS · Atlassian: P40 · 3–7 yrs · Freshworks: Senior SE</t>
        </is>
      </c>
      <c r="W543" s="29" t="inlineStr">
        <is>
          <t>SFIA 9 · software development, programming; OWASP secure coding; cloud vendor certifications</t>
        </is>
      </c>
      <c r="X543" s="29" t="inlineStr">
        <is>
          <t>Core 2 · Future 2 · Functional 3 · Leadership not scored</t>
        </is>
      </c>
      <c r="Y543" s="52" t="n">
        <v>471</v>
      </c>
      <c r="Z543" s="53" t="inlineStr">
        <is>
          <t>IRIS2500</t>
        </is>
      </c>
      <c r="AA543" s="53" t="inlineStr">
        <is>
          <t>Employee</t>
        </is>
      </c>
      <c r="AB543" s="53" t="inlineStr">
        <is>
          <t>Active</t>
        </is>
      </c>
      <c r="AC543" s="53" t="inlineStr">
        <is>
          <t>Vishal Nanaware</t>
        </is>
      </c>
      <c r="AD543" s="54" t="n">
        <v>46101</v>
      </c>
      <c r="AE543" s="53" t="inlineStr">
        <is>
          <t>Senior Software Engineer - AI/ML</t>
        </is>
      </c>
      <c r="AF543" s="53" t="inlineStr">
        <is>
          <t>M.Tech</t>
        </is>
      </c>
      <c r="AG543" s="53" t="inlineStr">
        <is>
          <t>Ashish Singhvi</t>
        </is>
      </c>
      <c r="AH543" s="53" t="inlineStr">
        <is>
          <t>N-2</t>
        </is>
      </c>
      <c r="AI543" s="53" t="inlineStr">
        <is>
          <t>Individual Contributor</t>
        </is>
      </c>
      <c r="AJ543" s="53" t="inlineStr">
        <is>
          <t>4 years, 0 months, 0 days</t>
        </is>
      </c>
      <c r="AK543" s="53" t="inlineStr">
        <is>
          <t>0 years, 5 months, 5 days</t>
        </is>
      </c>
      <c r="AL543" s="53" t="inlineStr">
        <is>
          <t>Regtech</t>
        </is>
      </c>
      <c r="AM543" s="53" t="inlineStr">
        <is>
          <t>CARBON</t>
        </is>
      </c>
      <c r="AN543" s="53" t="inlineStr">
        <is>
          <t>Technology</t>
        </is>
      </c>
      <c r="AO543" s="53" t="inlineStr">
        <is>
          <t>Development</t>
        </is>
      </c>
      <c r="AP543" s="53" t="inlineStr">
        <is>
          <t>Yes</t>
        </is>
      </c>
      <c r="AQ543" s="53" t="inlineStr">
        <is>
          <t>Product/Project</t>
        </is>
      </c>
      <c r="AR543" s="53" t="inlineStr">
        <is>
          <t>AI/ML</t>
        </is>
      </c>
      <c r="AS543" s="53" t="inlineStr">
        <is>
          <t>Technical - Developer</t>
        </is>
      </c>
      <c r="AT543" s="53" t="n">
        <v>20</v>
      </c>
      <c r="AU543" s="53" t="inlineStr">
        <is>
          <t>Covered</t>
        </is>
      </c>
      <c r="AV543" s="53" t="inlineStr">
        <is>
          <t>IRIS2500</t>
        </is>
      </c>
      <c r="AW543" s="53" t="inlineStr">
        <is>
          <t>Vishal Nanaware</t>
        </is>
      </c>
      <c r="AX543" s="53" t="inlineStr">
        <is>
          <t>Technology</t>
        </is>
      </c>
      <c r="AY543" s="53" t="inlineStr">
        <is>
          <t>Engineering &amp; Development</t>
        </is>
      </c>
      <c r="AZ543" s="53" t="inlineStr">
        <is>
          <t>AI / ML Engineering</t>
        </is>
      </c>
      <c r="BA543" s="53" t="n"/>
      <c r="BB543" s="53" t="n"/>
      <c r="BC543" s="53" t="inlineStr">
        <is>
          <t>Employee</t>
        </is>
      </c>
      <c r="BD543" s="53" t="inlineStr">
        <is>
          <t>Ashish Singhvi</t>
        </is>
      </c>
      <c r="BE543" s="53" t="inlineStr">
        <is>
          <t>Ashish Singhvi</t>
        </is>
      </c>
      <c r="BF543" s="53" t="inlineStr">
        <is>
          <t>No</t>
        </is>
      </c>
      <c r="BG543" s="53" t="inlineStr">
        <is>
          <t>Senior Software Engineer - AI/ML</t>
        </is>
      </c>
      <c r="BH543" s="53" t="inlineStr">
        <is>
          <t>Senior Software Engineer - AI/ML</t>
        </is>
      </c>
      <c r="BI543" s="53" t="inlineStr">
        <is>
          <t>No</t>
        </is>
      </c>
      <c r="BJ543" s="53" t="inlineStr">
        <is>
          <t>—</t>
        </is>
      </c>
      <c r="BK543" s="53" t="inlineStr">
        <is>
          <t>—</t>
        </is>
      </c>
      <c r="BL543" s="53" t="inlineStr">
        <is>
          <t>—</t>
        </is>
      </c>
      <c r="BM543" s="53" t="inlineStr">
        <is>
          <t>Not a manager</t>
        </is>
      </c>
      <c r="BN543" s="53" t="inlineStr">
        <is>
          <t>—</t>
        </is>
      </c>
      <c r="BO543" s="53" t="inlineStr">
        <is>
          <t>—</t>
        </is>
      </c>
      <c r="BP543" s="53" t="inlineStr">
        <is>
          <t>—</t>
        </is>
      </c>
      <c r="BQ543" s="53" t="inlineStr">
        <is>
          <t>Not a manager</t>
        </is>
      </c>
      <c r="BR543" s="53" t="inlineStr">
        <is>
          <t>—</t>
        </is>
      </c>
      <c r="BS543" s="53" t="inlineStr">
        <is>
          <t>L4 – Senior</t>
        </is>
      </c>
      <c r="BT543" s="53" t="inlineStr">
        <is>
          <t>L4 – Senior</t>
        </is>
      </c>
      <c r="BU543" s="53" t="inlineStr">
        <is>
          <t>No designation change — current record value carried forward</t>
        </is>
      </c>
      <c r="BV543"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W543" s="53" t="n"/>
      <c r="BX543" s="53" t="inlineStr">
        <is>
          <t>All.</t>
        </is>
      </c>
      <c r="BY543" s="53" t="n"/>
      <c r="BZ543" s="53" t="n"/>
      <c r="CA543" s="53" t="n"/>
      <c r="CB543" s="53" t="n"/>
      <c r="CC543" s="53" t="n"/>
      <c r="CD543" s="53" t="n"/>
      <c r="CE543" s="53" t="n"/>
      <c r="CF543" s="53" t="n"/>
      <c r="CG543" s="53" t="n"/>
      <c r="CH543" s="53" t="n"/>
      <c r="CI543" s="53" t="n"/>
      <c r="CJ543" s="53" t="n"/>
      <c r="CK543" s="53" t="n"/>
      <c r="CL543" s="53" t="n"/>
      <c r="CM543" s="53" t="n"/>
      <c r="CN543" s="53" t="n"/>
      <c r="CO543" s="53" t="n"/>
      <c r="CP543" s="53" t="n"/>
      <c r="CQ543" s="53" t="n"/>
      <c r="CR543" s="53" t="n"/>
      <c r="CS543" s="53" t="n"/>
      <c r="CT543" s="53" t="n"/>
      <c r="CU543" s="53" t="n"/>
      <c r="CV543" s="53" t="n"/>
      <c r="CW543" s="53" t="n"/>
      <c r="CX543" s="53" t="n"/>
      <c r="CY543" s="53" t="n"/>
      <c r="CZ543" s="53" t="n"/>
      <c r="DA543" s="53" t="n"/>
      <c r="DB543" s="53" t="n"/>
      <c r="DC543" s="53" t="n"/>
      <c r="DD543" s="53" t="n"/>
      <c r="DE543" s="53" t="n"/>
      <c r="DF543" s="53" t="n"/>
      <c r="DG543" s="53" t="n"/>
      <c r="DH543" s="53" t="n"/>
      <c r="DI543" s="53" t="n"/>
      <c r="DJ543" s="53" t="n"/>
      <c r="DK543" s="53" t="n"/>
      <c r="DL543" s="53" t="n"/>
      <c r="DM543" s="53" t="n"/>
      <c r="DN543" s="53" t="n"/>
      <c r="DO543" s="53" t="n"/>
      <c r="DP543" s="53" t="n"/>
      <c r="DQ543" s="53" t="n"/>
      <c r="DR543" s="53" t="n"/>
      <c r="DS543" s="53" t="n"/>
      <c r="DT543" s="53" t="n"/>
      <c r="DU543" s="53" t="n"/>
      <c r="DV543" s="53" t="n"/>
      <c r="DW543" s="53" t="n"/>
      <c r="DX543" s="53" t="n"/>
      <c r="DY543" s="53" t="n"/>
      <c r="DZ543" s="53" t="n"/>
      <c r="EA543" s="53" t="n"/>
      <c r="EB543" s="53" t="n"/>
      <c r="EC543" s="53" t="n"/>
      <c r="ED543" s="53" t="n"/>
      <c r="EE543" s="53" t="n"/>
      <c r="EF543" s="53" t="n"/>
      <c r="EG543" s="53" t="n"/>
      <c r="EH543" s="53" t="n"/>
      <c r="EI543" s="53" t="n"/>
      <c r="EJ543" s="53" t="n"/>
      <c r="EK543" s="53" t="n"/>
      <c r="EL543" s="53" t="n"/>
      <c r="EM543" s="53" t="n"/>
      <c r="EN543" s="53" t="n"/>
      <c r="EO543" s="53" t="n"/>
      <c r="EP543" s="53" t="n"/>
      <c r="EQ543" s="53" t="n"/>
      <c r="ER543" s="53" t="n"/>
      <c r="ES543" s="53" t="n"/>
      <c r="ET543" s="53" t="n"/>
      <c r="EU543" s="53" t="n"/>
      <c r="EV543" s="53" t="n"/>
      <c r="EW543" s="52" t="n"/>
      <c r="EX543" s="53"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EY543" s="53"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EZ543" s="53" t="inlineStr">
        <is>
          <t>• Current capabilities: Python and ML; Backend development; RAG pipeline.
• Tools / software used: Azure; Claude; Git.
• Workload: Rated a moderate load · 3/5 in a typical week.
• Judgment/way of working: Deliver within time.</t>
        </is>
      </c>
      <c r="FA543" s="53" t="inlineStr">
        <is>
          <t>• Development priorities: No input received.</t>
        </is>
      </c>
      <c r="FB543" s="53" t="inlineStr">
        <is>
          <t>• Key challenges: KT.
• Support required: Clear requirements.</t>
        </is>
      </c>
      <c r="FC543" s="53" t="n"/>
      <c r="FD543" s="53" t="n"/>
      <c r="FE543"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FF543" s="56" t="n"/>
      <c r="FG543" s="56" t="n"/>
      <c r="FH543" s="56" t="n"/>
      <c r="FI543" s="56" t="n"/>
      <c r="FJ543" s="56" t="inlineStr">
        <is>
          <t>Received · manager annual</t>
        </is>
      </c>
      <c r="FK543" s="56" t="inlineStr">
        <is>
          <t>CARBON Mapping Master</t>
        </is>
      </c>
      <c r="FL543" s="56" t="n">
        <v>20</v>
      </c>
      <c r="FM543" s="56"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FN543" s="56"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FO543" s="56" t="inlineStr">
        <is>
          <t>• Current capabilities: Python and ML; Backend development; RAG pipeline.
• Tools / software used: Azure; Claude; Git.
• Workload: Rated a moderate load · 3/5 in a typical week.
• Judgment/way of working: Deliver within time.</t>
        </is>
      </c>
      <c r="FP543" s="56" t="inlineStr">
        <is>
          <t>• Development priorities: No input received.</t>
        </is>
      </c>
      <c r="FQ543" s="56" t="inlineStr">
        <is>
          <t>• Key challenges: KT.
• Support required: Clear requirements.</t>
        </is>
      </c>
      <c r="FR543" s="56" t="inlineStr">
        <is>
          <t>Complexity: Evidence reads like A3: Enhances and adds AI features, evaluates LLMs, works to replace commercial LLMs with trained open models → matches the start
Autonomy: Evidence reads like A2: Decides own approach and tests own development → moved down 0.5
Accountability: Evidence reads like A2: Own AI feature enhancements and new use cases → moved down 0.5
Leadership: Evidence reads like A1: 'Technical leadership' listed with no team, object or example → moved down 0.5
Business Impact: No survey or manager-mapping signal on criticality: kept at the start point.</t>
        </is>
      </c>
      <c r="FS543"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43" s="56" t="inlineStr">
        <is>
          <t>Self-identified: AI / automation · Technical depth &amp; architecture
For the next role: AI / automation · Technical depth &amp; architecture</t>
        </is>
      </c>
      <c r="FU543" s="56" t="inlineStr">
        <is>
          <t>Per-person summary · CARBON Mapping Master</t>
        </is>
      </c>
    </row>
    <row r="544" ht="90" customHeight="1">
      <c r="A544" s="51" t="inlineStr">
        <is>
          <t>◂ Back</t>
        </is>
      </c>
      <c r="B544" s="29" t="inlineStr">
        <is>
          <t>Mapped</t>
        </is>
      </c>
      <c r="C544" s="28" t="inlineStr">
        <is>
          <t>iFile</t>
        </is>
      </c>
      <c r="D544" s="29" t="inlineStr">
        <is>
          <t>IRIS1689</t>
        </is>
      </c>
      <c r="E544" s="29" t="inlineStr">
        <is>
          <t>Suman Kumar</t>
        </is>
      </c>
      <c r="F544" s="29" t="inlineStr">
        <is>
          <t>Technology</t>
        </is>
      </c>
      <c r="G544" s="29" t="inlineStr">
        <is>
          <t>Technical Architect</t>
        </is>
      </c>
      <c r="H544" s="29" t="inlineStr">
        <is>
          <t>Practice Lead – Solution &amp; Technical Architecture · Player-Coach</t>
        </is>
      </c>
      <c r="I544" s="29" t="inlineStr">
        <is>
          <t>L3 – Professional / Associate</t>
        </is>
      </c>
      <c r="J544" s="29" t="inlineStr">
        <is>
          <t>B+</t>
        </is>
      </c>
      <c r="K544" s="29" t="inlineStr">
        <is>
          <t>▲ Up</t>
        </is>
      </c>
      <c r="L544" s="29" t="inlineStr">
        <is>
          <t>Engineering &amp; Architecture</t>
        </is>
      </c>
      <c r="M544" s="29" t="inlineStr">
        <is>
          <t>Solution &amp; Technical Architecture</t>
        </is>
      </c>
      <c r="N544" s="29" t="n"/>
      <c r="O544" s="29" t="n">
        <v>20</v>
      </c>
      <c r="P544" s="28" t="inlineStr">
        <is>
          <t>P5–P6 / M4–M5</t>
        </is>
      </c>
      <c r="Q544" s="29" t="inlineStr">
        <is>
          <t>Expert / Senior Manager · player-coach</t>
        </is>
      </c>
      <c r="R544" s="29" t="inlineStr">
        <is>
          <t>5 Ensure, advise</t>
        </is>
      </c>
      <c r="S544" s="29" t="inlineStr">
        <is>
          <t>9–14 yrs</t>
        </is>
      </c>
      <c r="T544" s="29" t="inlineStr">
        <is>
          <t>9–13 · 9–14</t>
        </is>
      </c>
      <c r="U544" s="29" t="inlineStr">
        <is>
          <t>Tech Lead Manager / Practice Lead · player-coach</t>
        </is>
      </c>
      <c r="V544" s="29" t="inlineStr">
        <is>
          <t>Google: Tech Lead Manager · TLM · McKinsey player/coach · 3–5 reports · SaaS: player-coach team lead carrying own work</t>
        </is>
      </c>
      <c r="W544" s="29" t="inlineStr">
        <is>
          <t>SFIA 9 · solution architecture; TOGAF; AWS / Azure architect certifications</t>
        </is>
      </c>
      <c r="X544" s="29" t="inlineStr">
        <is>
          <t>Core 4 · Future 4 · Functional 4 · Leadership 4</t>
        </is>
      </c>
      <c r="Y544" s="52" t="n">
        <v>141</v>
      </c>
      <c r="Z544" s="53" t="inlineStr">
        <is>
          <t>IRIS1689</t>
        </is>
      </c>
      <c r="AA544" s="53" t="inlineStr">
        <is>
          <t>Employee</t>
        </is>
      </c>
      <c r="AB544" s="53" t="inlineStr">
        <is>
          <t>Active</t>
        </is>
      </c>
      <c r="AC544" s="53" t="inlineStr">
        <is>
          <t>Suman Kumar</t>
        </is>
      </c>
      <c r="AD544" s="54" t="n">
        <v>43070</v>
      </c>
      <c r="AE544" s="53" t="inlineStr">
        <is>
          <t>Technical Architect</t>
        </is>
      </c>
      <c r="AF544" s="53" t="inlineStr">
        <is>
          <t>B.E</t>
        </is>
      </c>
      <c r="AG544" s="53" t="inlineStr">
        <is>
          <t>P K X Thomas</t>
        </is>
      </c>
      <c r="AH544" s="53" t="inlineStr">
        <is>
          <t>N-1</t>
        </is>
      </c>
      <c r="AI544" s="53" t="inlineStr">
        <is>
          <t>Manager</t>
        </is>
      </c>
      <c r="AJ544" s="53" t="inlineStr">
        <is>
          <t>8 years, 5 months, 0 days</t>
        </is>
      </c>
      <c r="AK544" s="53" t="inlineStr">
        <is>
          <t>8 years, 8 months, 24 days</t>
        </is>
      </c>
      <c r="AL544" s="53" t="inlineStr">
        <is>
          <t>Suptech</t>
        </is>
      </c>
      <c r="AM544" s="53" t="inlineStr">
        <is>
          <t>iFile</t>
        </is>
      </c>
      <c r="AN544" s="53" t="inlineStr">
        <is>
          <t>Technology</t>
        </is>
      </c>
      <c r="AO544" s="53" t="inlineStr">
        <is>
          <t>Development</t>
        </is>
      </c>
      <c r="AP544" s="53" t="inlineStr">
        <is>
          <t>Yes</t>
        </is>
      </c>
      <c r="AQ544" s="53" t="inlineStr">
        <is>
          <t>Product/Project</t>
        </is>
      </c>
      <c r="AR544" s="53" t="inlineStr">
        <is>
          <t>Java</t>
        </is>
      </c>
      <c r="AS544" s="53" t="inlineStr">
        <is>
          <t>Technical - Developer</t>
        </is>
      </c>
      <c r="AT544" s="53" t="n">
        <v>20</v>
      </c>
      <c r="AU544" s="53" t="inlineStr">
        <is>
          <t>Covered</t>
        </is>
      </c>
      <c r="AV544" s="53" t="n"/>
      <c r="AW544" s="53" t="n"/>
      <c r="AX544" s="53" t="n"/>
      <c r="AY544" s="53" t="n"/>
      <c r="AZ544" s="53" t="n"/>
      <c r="BA544" s="53" t="n"/>
      <c r="BB544" s="53" t="n"/>
      <c r="BC544" s="53" t="n"/>
      <c r="BD544" s="53" t="n"/>
      <c r="BE544" s="53" t="n"/>
      <c r="BF544" s="53" t="n"/>
      <c r="BG544" s="53" t="n"/>
      <c r="BH544" s="53" t="n"/>
      <c r="BI544" s="53" t="n"/>
      <c r="BJ544" s="53" t="n"/>
      <c r="BK544" s="53" t="n"/>
      <c r="BL544" s="53" t="n"/>
      <c r="BM544" s="53" t="n"/>
      <c r="BN544" s="53" t="n"/>
      <c r="BO544" s="53" t="n"/>
      <c r="BP544" s="53" t="n"/>
      <c r="BQ544" s="53" t="n"/>
      <c r="BR544" s="53" t="n"/>
      <c r="BS544" s="53" t="n"/>
      <c r="BT544" s="53" t="n"/>
      <c r="BU544" s="53" t="n"/>
      <c r="BV544" s="53" t="n"/>
      <c r="BW544" s="53" t="n"/>
      <c r="BX544" s="53" t="n"/>
      <c r="BY544" s="53" t="n"/>
      <c r="BZ544" s="53" t="n"/>
      <c r="CA544" s="53" t="n"/>
      <c r="CB544" s="53" t="n"/>
      <c r="CC544" s="53" t="n"/>
      <c r="CD544" s="53" t="n"/>
      <c r="CE544" s="53" t="n"/>
      <c r="CF544" s="53" t="n"/>
      <c r="CG544" s="53" t="n"/>
      <c r="CH544" s="53" t="n"/>
      <c r="CI544" s="53" t="n"/>
      <c r="CJ544" s="53" t="n"/>
      <c r="CK544" s="53" t="n"/>
      <c r="CL544" s="53" t="n"/>
      <c r="CM544" s="53" t="n"/>
      <c r="CN544" s="53" t="n"/>
      <c r="CO544" s="53" t="n"/>
      <c r="CP544" s="53" t="n"/>
      <c r="CQ544" s="53" t="n"/>
      <c r="CR544" s="53" t="n"/>
      <c r="CS544" s="53" t="n"/>
      <c r="CT544" s="53" t="n"/>
      <c r="CU544" s="53" t="n"/>
      <c r="CV544" s="53" t="n"/>
      <c r="CW544" s="53" t="n"/>
      <c r="CX544" s="53" t="n"/>
      <c r="CY544" s="53" t="n"/>
      <c r="CZ544" s="53" t="n"/>
      <c r="DA544" s="53" t="n"/>
      <c r="DB544" s="53" t="n"/>
      <c r="DC544" s="53" t="n"/>
      <c r="DD544" s="53" t="inlineStr">
        <is>
          <t>IRIS1689</t>
        </is>
      </c>
      <c r="DE544" s="53" t="inlineStr">
        <is>
          <t>Employee</t>
        </is>
      </c>
      <c r="DF544" s="53" t="inlineStr">
        <is>
          <t>Active</t>
        </is>
      </c>
      <c r="DG544" s="53" t="inlineStr">
        <is>
          <t>Suman Kumar</t>
        </is>
      </c>
      <c r="DH544" s="54" t="n">
        <v>43070</v>
      </c>
      <c r="DI544" s="53" t="inlineStr">
        <is>
          <t>Technical Architect</t>
        </is>
      </c>
      <c r="DJ544" s="53" t="inlineStr">
        <is>
          <t>Engineering &amp; Architecture</t>
        </is>
      </c>
      <c r="DK544" s="53" t="inlineStr">
        <is>
          <t>Solution / Software Architecture</t>
        </is>
      </c>
      <c r="DL544" s="53" t="inlineStr">
        <is>
          <t>Technical Architect</t>
        </is>
      </c>
      <c r="DM544" s="53" t="inlineStr">
        <is>
          <t>L3 – Professional / Associate</t>
        </is>
      </c>
      <c r="DN544" s="53" t="inlineStr">
        <is>
          <t>B.E</t>
        </is>
      </c>
      <c r="DO544" s="53" t="inlineStr">
        <is>
          <t>Pradip Dey</t>
        </is>
      </c>
      <c r="DP544" s="53" t="inlineStr">
        <is>
          <t>N-2</t>
        </is>
      </c>
      <c r="DQ544" s="53" t="inlineStr">
        <is>
          <t>Manager</t>
        </is>
      </c>
      <c r="DR544" s="53" t="inlineStr">
        <is>
          <t>8 years, 5 months, 0 days</t>
        </is>
      </c>
      <c r="DS544" s="53" t="inlineStr">
        <is>
          <t>8 years, 6 months, 19 days</t>
        </is>
      </c>
      <c r="DT544" s="53" t="inlineStr">
        <is>
          <t>16 years, 11 months, 19 days</t>
        </is>
      </c>
      <c r="DU544" s="53" t="n">
        <v>8.552054794520551</v>
      </c>
      <c r="DV544" s="53" t="inlineStr">
        <is>
          <t>Suptech</t>
        </is>
      </c>
      <c r="DW544" s="53" t="inlineStr">
        <is>
          <t>iFile</t>
        </is>
      </c>
      <c r="DX544" s="53" t="inlineStr">
        <is>
          <t>Technology</t>
        </is>
      </c>
      <c r="DY544" s="53" t="inlineStr">
        <is>
          <t>Development</t>
        </is>
      </c>
      <c r="DZ544" s="53" t="inlineStr">
        <is>
          <t>Yes</t>
        </is>
      </c>
      <c r="EA544" s="53" t="inlineStr">
        <is>
          <t>Product/Project</t>
        </is>
      </c>
      <c r="EB544" s="53" t="inlineStr">
        <is>
          <t>Java</t>
        </is>
      </c>
      <c r="EC544" s="53" t="inlineStr">
        <is>
          <t>Technical - Developer</t>
        </is>
      </c>
      <c r="ED544" s="53" t="inlineStr">
        <is>
          <t>Work From Office - Turbhe</t>
        </is>
      </c>
      <c r="EE544" s="53" t="n"/>
      <c r="EF544" s="53"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EG544" s="53" t="inlineStr">
        <is>
          <t>1. SARB CR completion as per schedule
2. Saudi stock exchange project execution as per schedule
3. Jordan -  Ongoing operations support and client engagement 
4. Pre-sales &amp; Strategic Contributions</t>
        </is>
      </c>
      <c r="EH544" s="53" t="inlineStr">
        <is>
          <t>Outstanding</t>
        </is>
      </c>
      <c r="EI544" s="54" t="n">
        <v>45931</v>
      </c>
      <c r="EJ544" s="53" t="inlineStr">
        <is>
          <t>Technical Architect</t>
        </is>
      </c>
      <c r="EK544" s="53" t="n"/>
      <c r="EL544" s="53" t="n">
        <v>5</v>
      </c>
      <c r="EM544" s="53" t="inlineStr">
        <is>
          <t>High</t>
        </is>
      </c>
      <c r="EN544" s="53" t="inlineStr">
        <is>
          <t>Future Leader</t>
        </is>
      </c>
      <c r="EO544" s="53" t="n"/>
      <c r="EP544" s="53" t="inlineStr">
        <is>
          <t>Y</t>
        </is>
      </c>
      <c r="EQ544" s="53" t="inlineStr">
        <is>
          <t>Y</t>
        </is>
      </c>
      <c r="ER544" s="53" t="n"/>
      <c r="ES544" s="53" t="inlineStr">
        <is>
          <t>TOGAF certification
Deposit Insurance Domain expertise if Suman wants to</t>
        </is>
      </c>
      <c r="ET544" s="53" t="n"/>
      <c r="EU544" s="53" t="inlineStr">
        <is>
          <t>QFCRA,TADAWUL</t>
        </is>
      </c>
      <c r="EV544" s="53" t="n"/>
      <c r="EW544" s="52" t="n"/>
      <c r="EX544" s="53" t="n"/>
      <c r="EY544" s="53" t="n"/>
      <c r="EZ544" s="53" t="n"/>
      <c r="FA544" s="53" t="n"/>
      <c r="FB544" s="53" t="n"/>
      <c r="FC544" s="53" t="n"/>
      <c r="FD544" s="53" t="n"/>
      <c r="FE544" s="57"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FF544" s="56" t="inlineStr">
        <is>
          <t>1. SARB CR completion as per schedule
2. Saudi stock exchange project execution as per schedule
3. Jordan -  Ongoing operations support and client engagement 
4. Pre-sales &amp; Strategic Contributions</t>
        </is>
      </c>
      <c r="FG544" s="56" t="n"/>
      <c r="FH544" s="56" t="inlineStr">
        <is>
          <t>Outstanding</t>
        </is>
      </c>
      <c r="FI544" s="56" t="n"/>
      <c r="FJ544" s="56" t="inlineStr">
        <is>
          <t>Received · manager annual, quarterly</t>
        </is>
      </c>
      <c r="FK544" s="56" t="inlineStr">
        <is>
          <t>Talent Mapping · iFile collated</t>
        </is>
      </c>
      <c r="FL544" s="56" t="n">
        <v>20</v>
      </c>
      <c r="FM544" s="32" t="inlineStr">
        <is>
          <t>Full survey answers not in the files received · How We Grow export needed · HR</t>
        </is>
      </c>
      <c r="FN544" s="56" t="inlineStr">
        <is>
          <t>—</t>
        </is>
      </c>
      <c r="FO544" s="56" t="inlineStr">
        <is>
          <t>—</t>
        </is>
      </c>
      <c r="FP544" s="56" t="inlineStr">
        <is>
          <t>—</t>
        </is>
      </c>
      <c r="FQ544" s="56" t="inlineStr">
        <is>
          <t>—</t>
        </is>
      </c>
      <c r="FR544" s="56"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architecture meeting complex requirements; KRA adds delivery governance of SARB programme → moved down 0.5
Leadership: Evidence reads like B2: Guides the technical and the functional team; 6 direct reports → moved down 0.5
Business Impact: Moved +0.5: the survey / manager mapping marks it business-critical.</t>
        </is>
      </c>
      <c r="FS544"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544" s="56" t="inlineStr">
        <is>
          <t>Self-identified: Domain, regulatory &amp; XBRL · Communication &amp; presentation · Certification / formal course
For the next role: Domain, regulatory &amp; XBRL · Communication &amp; presentation · Certification / formal course</t>
        </is>
      </c>
      <c r="FU544" s="32" t="inlineStr">
        <is>
          <t>Full survey answers not in the files received · How We Grow export needed · HR</t>
        </is>
      </c>
    </row>
    <row r="545" ht="90" customHeight="1">
      <c r="A545" s="51" t="inlineStr">
        <is>
          <t>◂ Back</t>
        </is>
      </c>
      <c r="B545" s="29" t="inlineStr">
        <is>
          <t>Mapped</t>
        </is>
      </c>
      <c r="C545" s="28" t="inlineStr">
        <is>
          <t>iFile</t>
        </is>
      </c>
      <c r="D545" s="29" t="inlineStr">
        <is>
          <t>IRIS2082</t>
        </is>
      </c>
      <c r="E545" s="29" t="inlineStr">
        <is>
          <t>Giridhar Singh</t>
        </is>
      </c>
      <c r="F545" s="29" t="inlineStr">
        <is>
          <t>Technology</t>
        </is>
      </c>
      <c r="G545" s="29" t="inlineStr">
        <is>
          <t>Technical Architect</t>
        </is>
      </c>
      <c r="H545" s="29" t="inlineStr">
        <is>
          <t>Technical Architect</t>
        </is>
      </c>
      <c r="I545" s="29" t="inlineStr">
        <is>
          <t>L3 – Professional / Associate</t>
        </is>
      </c>
      <c r="J545" s="29" t="inlineStr">
        <is>
          <t>B3</t>
        </is>
      </c>
      <c r="K545" s="29" t="inlineStr">
        <is>
          <t>▲ Up</t>
        </is>
      </c>
      <c r="L545" s="29" t="inlineStr">
        <is>
          <t>Engineering &amp; Architecture</t>
        </is>
      </c>
      <c r="M545" s="29" t="inlineStr">
        <is>
          <t>Solution &amp; Technical Architecture</t>
        </is>
      </c>
      <c r="N545" s="29" t="inlineStr">
        <is>
          <t>• Confirm the reporting line — Manager</t>
        </is>
      </c>
      <c r="O545" s="29" t="n">
        <v>20</v>
      </c>
      <c r="P545" s="28" t="inlineStr">
        <is>
          <t>P5 / M4</t>
        </is>
      </c>
      <c r="Q545" s="29" t="inlineStr">
        <is>
          <t>Expert / Senior Manager</t>
        </is>
      </c>
      <c r="R545" s="29" t="inlineStr">
        <is>
          <t>5 Ensure, advise</t>
        </is>
      </c>
      <c r="S545" s="29" t="inlineStr">
        <is>
          <t>8–12 yrs</t>
        </is>
      </c>
      <c r="T545" s="29" t="inlineStr">
        <is>
          <t>9–13 · 9–14</t>
        </is>
      </c>
      <c r="U545" s="29" t="inlineStr">
        <is>
          <t>Chief / Enterprise Architect</t>
        </is>
      </c>
      <c r="V545" s="29" t="inlineStr">
        <is>
          <t>Workiva: Staff SE · Broadridge India: Senior Lead SE · Nasdaq / AxiomSL: Lead SE · Salesforce: LMTS · Atlassian: P50 Senior · Freshworks: Staff SE</t>
        </is>
      </c>
      <c r="W545" s="29" t="inlineStr">
        <is>
          <t>SFIA 9 · solution architecture; TOGAF; AWS / Azure architect certifications</t>
        </is>
      </c>
      <c r="X545" s="29" t="inlineStr">
        <is>
          <t>Core 4 · Future 3 · Functional 4 · Leadership 3</t>
        </is>
      </c>
      <c r="Y545" s="52" t="n">
        <v>255</v>
      </c>
      <c r="Z545" s="53" t="inlineStr">
        <is>
          <t>IRIS2082</t>
        </is>
      </c>
      <c r="AA545" s="53" t="inlineStr">
        <is>
          <t>Employee</t>
        </is>
      </c>
      <c r="AB545" s="53" t="inlineStr">
        <is>
          <t>Active</t>
        </is>
      </c>
      <c r="AC545" s="53" t="inlineStr">
        <is>
          <t>Giridhar Singh</t>
        </is>
      </c>
      <c r="AD545" s="54" t="n">
        <v>44894</v>
      </c>
      <c r="AE545" s="53" t="inlineStr">
        <is>
          <t>Technical Architect</t>
        </is>
      </c>
      <c r="AF545" s="53" t="inlineStr">
        <is>
          <t>B.SC</t>
        </is>
      </c>
      <c r="AG545" s="53" t="inlineStr">
        <is>
          <t>Suman Kumar</t>
        </is>
      </c>
      <c r="AH545" s="53" t="inlineStr">
        <is>
          <t>N-2</t>
        </is>
      </c>
      <c r="AI545" s="53" t="inlineStr">
        <is>
          <t>Individual Contributor</t>
        </is>
      </c>
      <c r="AJ545" s="53" t="inlineStr">
        <is>
          <t>14 years, 1 months, 0 days</t>
        </is>
      </c>
      <c r="AK545" s="53" t="inlineStr">
        <is>
          <t>3 years, 8 months, 27 days</t>
        </is>
      </c>
      <c r="AL545" s="53" t="inlineStr">
        <is>
          <t>Suptech</t>
        </is>
      </c>
      <c r="AM545" s="53" t="inlineStr">
        <is>
          <t>iFile</t>
        </is>
      </c>
      <c r="AN545" s="53" t="inlineStr">
        <is>
          <t>Technology</t>
        </is>
      </c>
      <c r="AO545" s="53" t="inlineStr">
        <is>
          <t>Development</t>
        </is>
      </c>
      <c r="AP545" s="53" t="inlineStr">
        <is>
          <t>Yes</t>
        </is>
      </c>
      <c r="AQ545" s="53" t="inlineStr">
        <is>
          <t>Product/Project</t>
        </is>
      </c>
      <c r="AR545" s="53" t="inlineStr">
        <is>
          <t>Java</t>
        </is>
      </c>
      <c r="AS545" s="53" t="inlineStr">
        <is>
          <t>Technical - Developer</t>
        </is>
      </c>
      <c r="AT545" s="53" t="n">
        <v>20</v>
      </c>
      <c r="AU545" s="53" t="inlineStr">
        <is>
          <t>Covered</t>
        </is>
      </c>
      <c r="AV545" s="53" t="n"/>
      <c r="AW545" s="53" t="n"/>
      <c r="AX545" s="53" t="n"/>
      <c r="AY545" s="53" t="n"/>
      <c r="AZ545" s="53" t="n"/>
      <c r="BA545" s="53" t="n"/>
      <c r="BB545" s="53" t="n"/>
      <c r="BC545" s="53" t="n"/>
      <c r="BD545" s="53" t="n"/>
      <c r="BE545" s="53" t="n"/>
      <c r="BF545" s="53" t="n"/>
      <c r="BG545" s="53" t="n"/>
      <c r="BH545" s="53" t="n"/>
      <c r="BI545" s="53" t="n"/>
      <c r="BJ545" s="53" t="n"/>
      <c r="BK545" s="53" t="n"/>
      <c r="BL545" s="53" t="n"/>
      <c r="BM545" s="53" t="n"/>
      <c r="BN545" s="53" t="n"/>
      <c r="BO545" s="53" t="n"/>
      <c r="BP545" s="53" t="n"/>
      <c r="BQ545" s="53" t="n"/>
      <c r="BR545" s="53" t="n"/>
      <c r="BS545" s="53" t="n"/>
      <c r="BT545" s="53" t="n"/>
      <c r="BU545" s="53" t="n"/>
      <c r="BV545" s="53" t="n"/>
      <c r="BW545" s="53" t="n"/>
      <c r="BX545" s="53" t="n"/>
      <c r="BY545" s="53" t="n"/>
      <c r="BZ545" s="53" t="n"/>
      <c r="CA545" s="53" t="n"/>
      <c r="CB545" s="53" t="n"/>
      <c r="CC545" s="53" t="n"/>
      <c r="CD545" s="53" t="n"/>
      <c r="CE545" s="53" t="n"/>
      <c r="CF545" s="53" t="n"/>
      <c r="CG545" s="53" t="n"/>
      <c r="CH545" s="53" t="n"/>
      <c r="CI545" s="53" t="n"/>
      <c r="CJ545" s="53" t="n"/>
      <c r="CK545" s="53" t="n"/>
      <c r="CL545" s="53" t="n"/>
      <c r="CM545" s="53" t="n"/>
      <c r="CN545" s="53" t="n"/>
      <c r="CO545" s="53" t="n"/>
      <c r="CP545" s="53" t="n"/>
      <c r="CQ545" s="53" t="n"/>
      <c r="CR545" s="53" t="n"/>
      <c r="CS545" s="53" t="n"/>
      <c r="CT545" s="53" t="n"/>
      <c r="CU545" s="53" t="n"/>
      <c r="CV545" s="53" t="n"/>
      <c r="CW545" s="53" t="n"/>
      <c r="CX545" s="53" t="n"/>
      <c r="CY545" s="53" t="n"/>
      <c r="CZ545" s="53" t="n"/>
      <c r="DA545" s="53" t="n"/>
      <c r="DB545" s="53" t="n"/>
      <c r="DC545" s="53" t="n"/>
      <c r="DD545" s="53" t="inlineStr">
        <is>
          <t>IRIS2082</t>
        </is>
      </c>
      <c r="DE545" s="53" t="inlineStr">
        <is>
          <t>Employee</t>
        </is>
      </c>
      <c r="DF545" s="53" t="inlineStr">
        <is>
          <t>Active</t>
        </is>
      </c>
      <c r="DG545" s="53" t="inlineStr">
        <is>
          <t>Giridhar Singh</t>
        </is>
      </c>
      <c r="DH545" s="54" t="n">
        <v>44894</v>
      </c>
      <c r="DI545" s="53" t="inlineStr">
        <is>
          <t>Technical Architect</t>
        </is>
      </c>
      <c r="DJ545" s="53" t="inlineStr">
        <is>
          <t>Engineering &amp; Architecture</t>
        </is>
      </c>
      <c r="DK545" s="53" t="inlineStr">
        <is>
          <t>Solution / Software Architecture</t>
        </is>
      </c>
      <c r="DL545" s="53" t="inlineStr">
        <is>
          <t>Technical Architect</t>
        </is>
      </c>
      <c r="DM545" s="53" t="inlineStr">
        <is>
          <t>L3 – Professional / Associate</t>
        </is>
      </c>
      <c r="DN545" s="53" t="inlineStr">
        <is>
          <t>B.SC</t>
        </is>
      </c>
      <c r="DO545" s="53" t="inlineStr">
        <is>
          <t>Suman Kumar</t>
        </is>
      </c>
      <c r="DP545" s="53" t="inlineStr">
        <is>
          <t>N-3</t>
        </is>
      </c>
      <c r="DQ545" s="53" t="inlineStr">
        <is>
          <t>Individual Contributor</t>
        </is>
      </c>
      <c r="DR545" s="53" t="inlineStr">
        <is>
          <t>14 years, 1 months, 0 days</t>
        </is>
      </c>
      <c r="DS545" s="53" t="inlineStr">
        <is>
          <t>3 years, 6 months, 22 days</t>
        </is>
      </c>
      <c r="DT545" s="53" t="inlineStr">
        <is>
          <t>17 years, 7 months, 22 days</t>
        </is>
      </c>
      <c r="DU545" s="53" t="n"/>
      <c r="DV545" s="53" t="inlineStr">
        <is>
          <t>Suptech</t>
        </is>
      </c>
      <c r="DW545" s="53" t="inlineStr">
        <is>
          <t>iFile</t>
        </is>
      </c>
      <c r="DX545" s="53" t="inlineStr">
        <is>
          <t>Technology</t>
        </is>
      </c>
      <c r="DY545" s="53" t="inlineStr">
        <is>
          <t>Development</t>
        </is>
      </c>
      <c r="DZ545" s="53" t="inlineStr">
        <is>
          <t>Yes</t>
        </is>
      </c>
      <c r="EA545" s="53" t="inlineStr">
        <is>
          <t>Product/Project</t>
        </is>
      </c>
      <c r="EB545" s="53" t="inlineStr">
        <is>
          <t>Java</t>
        </is>
      </c>
      <c r="EC545" s="53" t="inlineStr">
        <is>
          <t>Technical - Developer</t>
        </is>
      </c>
      <c r="ED545" s="53" t="inlineStr">
        <is>
          <t>Remote- Outside Mumbai</t>
        </is>
      </c>
      <c r="EE545" s="53"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EF54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4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5" s="53" t="n">
        <v>3</v>
      </c>
      <c r="EI545" s="54" t="n">
        <v>46113</v>
      </c>
      <c r="EJ545" s="53" t="inlineStr">
        <is>
          <t>Technical Architect</t>
        </is>
      </c>
      <c r="EK545" s="53" t="inlineStr">
        <is>
          <t>No</t>
        </is>
      </c>
      <c r="EL545" s="53" t="n">
        <v>2</v>
      </c>
      <c r="EM545" s="53" t="inlineStr">
        <is>
          <t>Low</t>
        </is>
      </c>
      <c r="EN545" s="53" t="inlineStr">
        <is>
          <t>Performance Risk</t>
        </is>
      </c>
      <c r="EO545" s="53" t="inlineStr">
        <is>
          <t>No</t>
        </is>
      </c>
      <c r="EP545" s="53" t="inlineStr">
        <is>
          <t>No</t>
        </is>
      </c>
      <c r="EQ545" s="53" t="inlineStr">
        <is>
          <t>Yes</t>
        </is>
      </c>
      <c r="ER545" s="53" t="n"/>
      <c r="ES545" s="53" t="inlineStr">
        <is>
          <t>Reactive Programming/Spring AI/System Design &amp; Pattern</t>
        </is>
      </c>
      <c r="ET545" s="53" t="n"/>
      <c r="EU545" s="53" t="n"/>
      <c r="EV545" s="53" t="n"/>
      <c r="EW545" s="52" t="n"/>
      <c r="EX545" s="53" t="n"/>
      <c r="EY545" s="53" t="n"/>
      <c r="EZ545" s="53" t="n"/>
      <c r="FA545" s="53" t="n"/>
      <c r="FB545" s="53" t="n"/>
      <c r="FC545" s="53" t="n"/>
      <c r="FD545" s="53" t="n"/>
      <c r="FE54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4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5" s="56"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FH545" s="56" t="inlineStr">
        <is>
          <t>3</t>
        </is>
      </c>
      <c r="FI545" s="56" t="n"/>
      <c r="FJ545" s="56" t="inlineStr">
        <is>
          <t>Received · manager annual, quarterly, self</t>
        </is>
      </c>
      <c r="FK545" s="56" t="inlineStr">
        <is>
          <t>Talent Mapping · iFile collated</t>
        </is>
      </c>
      <c r="FL545" s="56" t="n">
        <v>20</v>
      </c>
      <c r="FM545" s="32" t="inlineStr">
        <is>
          <t>Full survey answers not in the files received · How We Grow export needed · HR</t>
        </is>
      </c>
      <c r="FN545" s="56" t="inlineStr">
        <is>
          <t>—</t>
        </is>
      </c>
      <c r="FO545" s="56" t="inlineStr">
        <is>
          <t>—</t>
        </is>
      </c>
      <c r="FP545" s="56" t="inlineStr">
        <is>
          <t>—</t>
        </is>
      </c>
      <c r="FQ545" s="56" t="inlineStr">
        <is>
          <t>—</t>
        </is>
      </c>
      <c r="FR545" s="56"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architecture, solution design and technical decisions of the Mini iFile platform → moved down 1
Leadership: Evidence reads like B1: Provides technical leadership to the build team; leads design and implementation; no direct reports → moved down 1
Business Impact: Moved +0.5: the survey / manager mapping marks it business-critical.</t>
        </is>
      </c>
      <c r="FS545"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545" s="56" t="inlineStr">
        <is>
          <t>Self-identified: Leadership &amp; people management · Technical depth &amp; architecture · Strategy &amp; business acumen
For the next role: Leadership &amp; people management · Technical depth &amp; architecture · Strategy &amp; business acumen</t>
        </is>
      </c>
      <c r="FU545" s="32" t="inlineStr">
        <is>
          <t>Full survey answers not in the files received · How We Grow export needed · HR</t>
        </is>
      </c>
    </row>
    <row r="546" ht="90" customHeight="1">
      <c r="A546" s="51" t="inlineStr">
        <is>
          <t>◂ Back</t>
        </is>
      </c>
      <c r="B546" s="29" t="inlineStr">
        <is>
          <t>Mapped</t>
        </is>
      </c>
      <c r="C546" s="28" t="inlineStr">
        <is>
          <t>iFile</t>
        </is>
      </c>
      <c r="D546" s="29" t="inlineStr">
        <is>
          <t>IRIS2465</t>
        </is>
      </c>
      <c r="E546" s="29" t="inlineStr">
        <is>
          <t>Monisha Ubriani</t>
        </is>
      </c>
      <c r="F546" s="29" t="inlineStr">
        <is>
          <t>Technology</t>
        </is>
      </c>
      <c r="G546" s="29" t="inlineStr">
        <is>
          <t>Lead Software Engineer</t>
        </is>
      </c>
      <c r="H546" s="29" t="inlineStr">
        <is>
          <t>Senior Technical Specialist</t>
        </is>
      </c>
      <c r="I546" s="29" t="inlineStr">
        <is>
          <t>L5 – Lead · IC</t>
        </is>
      </c>
      <c r="J546" s="29" t="inlineStr">
        <is>
          <t>B2</t>
        </is>
      </c>
      <c r="K546" s="29" t="inlineStr">
        <is>
          <t>▼ Down · protected</t>
        </is>
      </c>
      <c r="L546" s="29" t="inlineStr">
        <is>
          <t>Engineering &amp; Development</t>
        </is>
      </c>
      <c r="M546" s="29" t="inlineStr">
        <is>
          <t>Backend Development</t>
        </is>
      </c>
      <c r="N546" s="29" t="n"/>
      <c r="O546" s="29" t="n">
        <v>20</v>
      </c>
      <c r="P546" s="28" t="inlineStr">
        <is>
          <t>P4 / M3</t>
        </is>
      </c>
      <c r="Q546" s="29" t="inlineStr">
        <is>
          <t>Senior / Manager</t>
        </is>
      </c>
      <c r="R546" s="29" t="inlineStr">
        <is>
          <t>4–5</t>
        </is>
      </c>
      <c r="S546" s="29" t="inlineStr">
        <is>
          <t>6–9 yrs</t>
        </is>
      </c>
      <c r="T546" s="29" t="inlineStr">
        <is>
          <t>7–10 · 6–11</t>
        </is>
      </c>
      <c r="U546" s="29" t="inlineStr">
        <is>
          <t>Lead / Staff Engineer</t>
        </is>
      </c>
      <c r="V546" s="29" t="inlineStr">
        <is>
          <t>Workiva: Senior SE · Broadridge India: Lead SE · Nasdaq / AxiomSL: Senior SE · Salesforce: SMTS · Atlassian: P50 Senior · 6–12 yrs · Freshworks: Lead SE</t>
        </is>
      </c>
      <c r="W546" s="29" t="inlineStr">
        <is>
          <t>SFIA 9 · software development, programming; OWASP secure coding; cloud vendor certifications</t>
        </is>
      </c>
      <c r="X546" s="29" t="inlineStr">
        <is>
          <t>Core 3 · Future 3 · Functional 4 · Leadership 2</t>
        </is>
      </c>
      <c r="Y546" s="52" t="n">
        <v>438</v>
      </c>
      <c r="Z546" s="53" t="inlineStr">
        <is>
          <t>IRIS2465</t>
        </is>
      </c>
      <c r="AA546" s="53" t="inlineStr">
        <is>
          <t>Employee</t>
        </is>
      </c>
      <c r="AB546" s="53" t="inlineStr">
        <is>
          <t>Active</t>
        </is>
      </c>
      <c r="AC546" s="53" t="inlineStr">
        <is>
          <t>Monisha Ubriani</t>
        </is>
      </c>
      <c r="AD546" s="54" t="n">
        <v>46041</v>
      </c>
      <c r="AE546" s="53" t="inlineStr">
        <is>
          <t>Lead Software Engineer</t>
        </is>
      </c>
      <c r="AF546" s="53" t="inlineStr">
        <is>
          <t>B.E</t>
        </is>
      </c>
      <c r="AG546" s="53" t="inlineStr">
        <is>
          <t>Suman Kumar</t>
        </is>
      </c>
      <c r="AH546" s="53" t="inlineStr">
        <is>
          <t>N-2</t>
        </is>
      </c>
      <c r="AI546" s="53" t="inlineStr">
        <is>
          <t>Individual Contributor</t>
        </is>
      </c>
      <c r="AJ546" s="53" t="inlineStr">
        <is>
          <t>11 years, 0 months, 0 days</t>
        </is>
      </c>
      <c r="AK546" s="53" t="inlineStr">
        <is>
          <t>0 years, 7 months, 6 days</t>
        </is>
      </c>
      <c r="AL546" s="53" t="inlineStr">
        <is>
          <t>Suptech</t>
        </is>
      </c>
      <c r="AM546" s="53" t="inlineStr">
        <is>
          <t>iFile</t>
        </is>
      </c>
      <c r="AN546" s="53" t="inlineStr">
        <is>
          <t>Technology</t>
        </is>
      </c>
      <c r="AO546" s="53" t="inlineStr">
        <is>
          <t>Development</t>
        </is>
      </c>
      <c r="AP546" s="53" t="inlineStr">
        <is>
          <t>Yes</t>
        </is>
      </c>
      <c r="AQ546" s="53" t="inlineStr">
        <is>
          <t>Product/Project</t>
        </is>
      </c>
      <c r="AR546" s="53" t="inlineStr">
        <is>
          <t>Java</t>
        </is>
      </c>
      <c r="AS546" s="53" t="inlineStr">
        <is>
          <t>Technical - Developer</t>
        </is>
      </c>
      <c r="AT546" s="53" t="n">
        <v>20</v>
      </c>
      <c r="AU546" s="53" t="inlineStr">
        <is>
          <t>Covered</t>
        </is>
      </c>
      <c r="AV546" s="53" t="n"/>
      <c r="AW546" s="53" t="n"/>
      <c r="AX546" s="53" t="n"/>
      <c r="AY546" s="53" t="n"/>
      <c r="AZ546" s="53" t="n"/>
      <c r="BA546" s="53" t="n"/>
      <c r="BB546" s="53" t="n"/>
      <c r="BC546" s="53" t="n"/>
      <c r="BD546" s="53" t="n"/>
      <c r="BE546" s="53" t="n"/>
      <c r="BF546" s="53" t="n"/>
      <c r="BG546" s="53" t="n"/>
      <c r="BH546" s="53" t="n"/>
      <c r="BI546" s="53" t="n"/>
      <c r="BJ546" s="53" t="n"/>
      <c r="BK546" s="53" t="n"/>
      <c r="BL546" s="53" t="n"/>
      <c r="BM546" s="53" t="n"/>
      <c r="BN546" s="53" t="n"/>
      <c r="BO546" s="53" t="n"/>
      <c r="BP546" s="53" t="n"/>
      <c r="BQ546" s="53" t="n"/>
      <c r="BR546" s="53" t="n"/>
      <c r="BS546" s="53" t="n"/>
      <c r="BT546" s="53" t="n"/>
      <c r="BU546" s="53" t="n"/>
      <c r="BV546" s="53" t="n"/>
      <c r="BW546" s="53" t="n"/>
      <c r="BX546" s="53" t="n"/>
      <c r="BY546" s="53" t="n"/>
      <c r="BZ546" s="53" t="n"/>
      <c r="CA546" s="53" t="n"/>
      <c r="CB546" s="53" t="n"/>
      <c r="CC546" s="53" t="n"/>
      <c r="CD546" s="53" t="n"/>
      <c r="CE546" s="53" t="n"/>
      <c r="CF546" s="53" t="n"/>
      <c r="CG546" s="53" t="n"/>
      <c r="CH546" s="53" t="n"/>
      <c r="CI546" s="53" t="n"/>
      <c r="CJ546" s="53" t="n"/>
      <c r="CK546" s="53" t="n"/>
      <c r="CL546" s="53" t="n"/>
      <c r="CM546" s="53" t="n"/>
      <c r="CN546" s="53" t="n"/>
      <c r="CO546" s="53" t="n"/>
      <c r="CP546" s="53" t="n"/>
      <c r="CQ546" s="53" t="n"/>
      <c r="CR546" s="53" t="n"/>
      <c r="CS546" s="53" t="n"/>
      <c r="CT546" s="53" t="n"/>
      <c r="CU546" s="53" t="n"/>
      <c r="CV546" s="53" t="n"/>
      <c r="CW546" s="53" t="n"/>
      <c r="CX546" s="53" t="n"/>
      <c r="CY546" s="53" t="n"/>
      <c r="CZ546" s="53" t="n"/>
      <c r="DA546" s="53" t="n"/>
      <c r="DB546" s="53" t="n"/>
      <c r="DC546" s="53" t="n"/>
      <c r="DD546" s="53" t="inlineStr">
        <is>
          <t>IRIS2465</t>
        </is>
      </c>
      <c r="DE546" s="53" t="inlineStr">
        <is>
          <t>Employee</t>
        </is>
      </c>
      <c r="DF546" s="53" t="inlineStr">
        <is>
          <t>Active</t>
        </is>
      </c>
      <c r="DG546" s="53" t="inlineStr">
        <is>
          <t>Monisha Ubriani</t>
        </is>
      </c>
      <c r="DH546" s="54" t="n">
        <v>46041</v>
      </c>
      <c r="DI546" s="53" t="inlineStr">
        <is>
          <t>Lead Software Engineer</t>
        </is>
      </c>
      <c r="DJ546" s="53" t="inlineStr">
        <is>
          <t>Engineering &amp; Development</t>
        </is>
      </c>
      <c r="DK546" s="53" t="inlineStr">
        <is>
          <t>Backend Engineering · Java</t>
        </is>
      </c>
      <c r="DL546" s="53" t="inlineStr">
        <is>
          <t>Lead Software Engineer</t>
        </is>
      </c>
      <c r="DM546" s="53" t="inlineStr">
        <is>
          <t>L5 – Lead · IC</t>
        </is>
      </c>
      <c r="DN546" s="53" t="inlineStr">
        <is>
          <t>B.E</t>
        </is>
      </c>
      <c r="DO546" s="53" t="inlineStr">
        <is>
          <t>Suman Kumar</t>
        </is>
      </c>
      <c r="DP546" s="53" t="inlineStr">
        <is>
          <t>N-3</t>
        </is>
      </c>
      <c r="DQ546" s="53" t="inlineStr">
        <is>
          <t>Individual Contributor</t>
        </is>
      </c>
      <c r="DR546" s="53" t="inlineStr">
        <is>
          <t>11 years, 0 months, 0 days</t>
        </is>
      </c>
      <c r="DS546" s="53" t="inlineStr">
        <is>
          <t>0 years, 5 months, 1 days</t>
        </is>
      </c>
      <c r="DT546" s="53" t="inlineStr">
        <is>
          <t>11 years, 5 months, 1 days</t>
        </is>
      </c>
      <c r="DU546" s="53" t="n"/>
      <c r="DV546" s="53" t="inlineStr">
        <is>
          <t>Suptech</t>
        </is>
      </c>
      <c r="DW546" s="53" t="inlineStr">
        <is>
          <t>iFile</t>
        </is>
      </c>
      <c r="DX546" s="53" t="inlineStr">
        <is>
          <t>Technology</t>
        </is>
      </c>
      <c r="DY546" s="53" t="inlineStr">
        <is>
          <t>Development</t>
        </is>
      </c>
      <c r="DZ546" s="53" t="inlineStr">
        <is>
          <t>Yes</t>
        </is>
      </c>
      <c r="EA546" s="53" t="inlineStr">
        <is>
          <t>Product/Project</t>
        </is>
      </c>
      <c r="EB546" s="53" t="inlineStr">
        <is>
          <t>Java</t>
        </is>
      </c>
      <c r="EC546" s="53" t="inlineStr">
        <is>
          <t>Technical - Developer</t>
        </is>
      </c>
      <c r="ED546" s="53" t="inlineStr">
        <is>
          <t>Work From Office - Turbhe</t>
        </is>
      </c>
      <c r="EE546" s="53"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EF54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G546" s="53" t="inlineStr">
        <is>
          <t>Q1: Deliver committed sprint stories with &gt;=90% sprint commitment adherence this quarter
Q1: Maintain code quality: defect leakage to QA/UAT &lt;=5% of delivered stories
Q1: Resolve assigned production/critical bugs within agreed SLA · &gt;=95% within SLA</t>
        </is>
      </c>
      <c r="EH546" s="53" t="n">
        <v>4</v>
      </c>
      <c r="EI546" s="54" t="n">
        <v>46113</v>
      </c>
      <c r="EJ546" s="53" t="inlineStr">
        <is>
          <t>Lead Software Engineer</t>
        </is>
      </c>
      <c r="EK546" s="53" t="inlineStr">
        <is>
          <t>No</t>
        </is>
      </c>
      <c r="EL546" s="53" t="n">
        <v>4</v>
      </c>
      <c r="EM546" s="53" t="inlineStr">
        <is>
          <t>High</t>
        </is>
      </c>
      <c r="EN546" s="53" t="inlineStr">
        <is>
          <t>High Impact / Growth Talent</t>
        </is>
      </c>
      <c r="EO546" s="53" t="inlineStr">
        <is>
          <t>No</t>
        </is>
      </c>
      <c r="EP546" s="53" t="inlineStr">
        <is>
          <t>No</t>
        </is>
      </c>
      <c r="EQ546" s="53" t="inlineStr">
        <is>
          <t>Yes</t>
        </is>
      </c>
      <c r="ER546" s="53" t="n"/>
      <c r="ES546" s="53" t="inlineStr">
        <is>
          <t>Architecture &amp; Scalability/Spring AI/System Design &amp; Pattern</t>
        </is>
      </c>
      <c r="ET546" s="53" t="n"/>
      <c r="EU546" s="53" t="n"/>
      <c r="EV546" s="53" t="n"/>
      <c r="EW546" s="52" t="n"/>
      <c r="EX546" s="53" t="n"/>
      <c r="EY546" s="53" t="n"/>
      <c r="EZ546" s="53" t="n"/>
      <c r="FA546" s="53" t="n"/>
      <c r="FB546" s="53" t="n"/>
      <c r="FC546" s="53" t="n"/>
      <c r="FD546" s="53" t="n"/>
      <c r="FE54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FF546" s="56" t="inlineStr">
        <is>
          <t>Q1: Deliver committed sprint stories with &gt;=90% sprint commitment adherence this quarter
Q1: Maintain code quality: defect leakage to QA/UAT &lt;=5% of delivered stories
Q1: Resolve assigned production/critical bugs within agreed SLA · &gt;=95% within SLA</t>
        </is>
      </c>
      <c r="FG546" s="56"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FH546" s="56" t="inlineStr">
        <is>
          <t>4</t>
        </is>
      </c>
      <c r="FI546" s="56" t="n"/>
      <c r="FJ546" s="56" t="inlineStr">
        <is>
          <t>Received · manager annual, quarterly, self</t>
        </is>
      </c>
      <c r="FK546" s="56" t="inlineStr">
        <is>
          <t>Talent Mapping · iFile collated</t>
        </is>
      </c>
      <c r="FL546" s="56" t="n">
        <v>20</v>
      </c>
      <c r="FM546" s="32" t="inlineStr">
        <is>
          <t>Full survey answers not in the files received · How We Grow export needed · HR</t>
        </is>
      </c>
      <c r="FN546" s="56" t="inlineStr">
        <is>
          <t>—</t>
        </is>
      </c>
      <c r="FO546" s="56" t="inlineStr">
        <is>
          <t>—</t>
        </is>
      </c>
      <c r="FP546" s="56" t="inlineStr">
        <is>
          <t>—</t>
        </is>
      </c>
      <c r="FQ546" s="56" t="inlineStr">
        <is>
          <t>—</t>
        </is>
      </c>
      <c r="FR546" s="56"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end: requirement accuracy, design handed to developers, client commitments → moved down 1
Leadership: Evidence reads like A3: Reviews code and builds; introduces AI-assisted working methods to the team → moved down 1
Business Impact: Moved +0.5: the survey / manager mapping marks it business-critical.</t>
        </is>
      </c>
      <c r="FS546"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46" s="56" t="inlineStr">
        <is>
          <t>Self-identified: Technical depth &amp; architecture · Client, sales &amp; stakeholders · Broader exposure &amp; ownership
For the next role: Technical depth &amp; architecture · Client, sales &amp; stakeholders · Broader exposure &amp; ownership</t>
        </is>
      </c>
      <c r="FU546" s="32" t="inlineStr">
        <is>
          <t>Full survey answers not in the files received · How We Grow export needed · HR</t>
        </is>
      </c>
    </row>
    <row r="547" ht="90" customHeight="1">
      <c r="A547" s="51" t="inlineStr">
        <is>
          <t>◂ Back</t>
        </is>
      </c>
      <c r="B547" s="29" t="inlineStr">
        <is>
          <t>Mapped</t>
        </is>
      </c>
      <c r="C547" s="28" t="inlineStr">
        <is>
          <t>iFile</t>
        </is>
      </c>
      <c r="D547" s="29" t="inlineStr">
        <is>
          <t>IRIS1804</t>
        </is>
      </c>
      <c r="E547" s="29" t="inlineStr">
        <is>
          <t>Sagar Jadhav</t>
        </is>
      </c>
      <c r="F547" s="29" t="inlineStr">
        <is>
          <t>Technology</t>
        </is>
      </c>
      <c r="G547" s="29" t="inlineStr">
        <is>
          <t>Lead Software Engineer</t>
        </is>
      </c>
      <c r="H547" s="29" t="inlineStr">
        <is>
          <t>Engineering Manager</t>
        </is>
      </c>
      <c r="I547" s="29" t="inlineStr">
        <is>
          <t>L5 – Lead · IC</t>
        </is>
      </c>
      <c r="J547" s="29" t="inlineStr">
        <is>
          <t>B2</t>
        </is>
      </c>
      <c r="K547" s="29" t="inlineStr">
        <is>
          <t>▼ Down · protected</t>
        </is>
      </c>
      <c r="L547" s="29" t="inlineStr">
        <is>
          <t>Engineering &amp; Development</t>
        </is>
      </c>
      <c r="M547" s="29" t="inlineStr">
        <is>
          <t>Full-Stack Development</t>
        </is>
      </c>
      <c r="N547" s="29" t="n"/>
      <c r="O547" s="29" t="n">
        <v>20</v>
      </c>
      <c r="P547" s="28" t="inlineStr">
        <is>
          <t>P4 / M3</t>
        </is>
      </c>
      <c r="Q547" s="29" t="inlineStr">
        <is>
          <t>Senior / Manager</t>
        </is>
      </c>
      <c r="R547" s="29" t="inlineStr">
        <is>
          <t>4–5</t>
        </is>
      </c>
      <c r="S547" s="29" t="inlineStr">
        <is>
          <t>6–9 yrs</t>
        </is>
      </c>
      <c r="T547" s="29" t="inlineStr">
        <is>
          <t>7–10 · 6–11</t>
        </is>
      </c>
      <c r="U547" s="29" t="inlineStr">
        <is>
          <t>Manager</t>
        </is>
      </c>
      <c r="V547" s="29" t="inlineStr">
        <is>
          <t>Workiva: Senior SE · Broadridge India: Lead SE · Nasdaq / AxiomSL: Senior SE · Salesforce: SMTS · Atlassian: P50 Senior · 6–12 yrs · Freshworks: Lead SE</t>
        </is>
      </c>
      <c r="W547" s="29" t="inlineStr">
        <is>
          <t>SFIA 9 · software development, programming; OWASP secure coding; cloud vendor certifications</t>
        </is>
      </c>
      <c r="X547" s="29" t="inlineStr">
        <is>
          <t>Core 3 · Future 3 · Functional 4 · Leadership 3</t>
        </is>
      </c>
      <c r="Y547" s="52" t="n">
        <v>159</v>
      </c>
      <c r="Z547" s="53" t="inlineStr">
        <is>
          <t>IRIS1804</t>
        </is>
      </c>
      <c r="AA547" s="53" t="inlineStr">
        <is>
          <t>Employee</t>
        </is>
      </c>
      <c r="AB547" s="53" t="inlineStr">
        <is>
          <t>Active</t>
        </is>
      </c>
      <c r="AC547" s="53" t="inlineStr">
        <is>
          <t>Sagar Jadhav</t>
        </is>
      </c>
      <c r="AD547" s="54" t="n">
        <v>43703</v>
      </c>
      <c r="AE547" s="53" t="inlineStr">
        <is>
          <t>Lead Software Engineer</t>
        </is>
      </c>
      <c r="AF547" s="53" t="inlineStr">
        <is>
          <t>B.E</t>
        </is>
      </c>
      <c r="AG547" s="53" t="inlineStr">
        <is>
          <t>Suman Kumar</t>
        </is>
      </c>
      <c r="AH547" s="53" t="inlineStr">
        <is>
          <t>N-2</t>
        </is>
      </c>
      <c r="AI547" s="53" t="inlineStr">
        <is>
          <t>Manager</t>
        </is>
      </c>
      <c r="AJ547" s="53" t="inlineStr">
        <is>
          <t>6 years, 0 months, 0 days</t>
        </is>
      </c>
      <c r="AK547" s="53" t="inlineStr">
        <is>
          <t>6 years, 11 months, 30 days</t>
        </is>
      </c>
      <c r="AL547" s="53" t="inlineStr">
        <is>
          <t>Suptech</t>
        </is>
      </c>
      <c r="AM547" s="53" t="inlineStr">
        <is>
          <t>iFile</t>
        </is>
      </c>
      <c r="AN547" s="53" t="inlineStr">
        <is>
          <t>Technology</t>
        </is>
      </c>
      <c r="AO547" s="53" t="inlineStr">
        <is>
          <t>Development</t>
        </is>
      </c>
      <c r="AP547" s="53" t="inlineStr">
        <is>
          <t>Yes</t>
        </is>
      </c>
      <c r="AQ547" s="53" t="inlineStr">
        <is>
          <t>Product/Project</t>
        </is>
      </c>
      <c r="AR547" s="53" t="inlineStr">
        <is>
          <t>Java</t>
        </is>
      </c>
      <c r="AS547" s="53" t="inlineStr">
        <is>
          <t>Technical - Developer</t>
        </is>
      </c>
      <c r="AT547" s="53" t="n">
        <v>20</v>
      </c>
      <c r="AU547" s="53" t="inlineStr">
        <is>
          <t>Covered</t>
        </is>
      </c>
      <c r="AV547" s="53" t="n"/>
      <c r="AW547" s="53" t="n"/>
      <c r="AX547" s="53" t="n"/>
      <c r="AY547" s="53" t="n"/>
      <c r="AZ547" s="53" t="n"/>
      <c r="BA547" s="53" t="n"/>
      <c r="BB547" s="53" t="n"/>
      <c r="BC547" s="53" t="n"/>
      <c r="BD547" s="53" t="n"/>
      <c r="BE547" s="53" t="n"/>
      <c r="BF547" s="53" t="n"/>
      <c r="BG547" s="53" t="n"/>
      <c r="BH547" s="53" t="n"/>
      <c r="BI547" s="53" t="n"/>
      <c r="BJ547" s="53" t="n"/>
      <c r="BK547" s="53" t="n"/>
      <c r="BL547" s="53" t="n"/>
      <c r="BM547" s="53" t="n"/>
      <c r="BN547" s="53" t="n"/>
      <c r="BO547" s="53" t="n"/>
      <c r="BP547" s="53" t="n"/>
      <c r="BQ547" s="53" t="n"/>
      <c r="BR547" s="53" t="n"/>
      <c r="BS547" s="53" t="n"/>
      <c r="BT547" s="53" t="n"/>
      <c r="BU547" s="53" t="n"/>
      <c r="BV547" s="53" t="n"/>
      <c r="BW547" s="53" t="n"/>
      <c r="BX547" s="53" t="n"/>
      <c r="BY547" s="53" t="n"/>
      <c r="BZ547" s="53" t="n"/>
      <c r="CA547" s="53" t="n"/>
      <c r="CB547" s="53" t="n"/>
      <c r="CC547" s="53" t="n"/>
      <c r="CD547" s="53" t="n"/>
      <c r="CE547" s="53" t="n"/>
      <c r="CF547" s="53" t="n"/>
      <c r="CG547" s="53" t="n"/>
      <c r="CH547" s="53" t="n"/>
      <c r="CI547" s="53" t="n"/>
      <c r="CJ547" s="53" t="n"/>
      <c r="CK547" s="53" t="n"/>
      <c r="CL547" s="53" t="n"/>
      <c r="CM547" s="53" t="n"/>
      <c r="CN547" s="53" t="n"/>
      <c r="CO547" s="53" t="n"/>
      <c r="CP547" s="53" t="n"/>
      <c r="CQ547" s="53" t="n"/>
      <c r="CR547" s="53" t="n"/>
      <c r="CS547" s="53" t="n"/>
      <c r="CT547" s="53" t="n"/>
      <c r="CU547" s="53" t="n"/>
      <c r="CV547" s="53" t="n"/>
      <c r="CW547" s="53" t="n"/>
      <c r="CX547" s="53" t="n"/>
      <c r="CY547" s="53" t="n"/>
      <c r="CZ547" s="53" t="n"/>
      <c r="DA547" s="53" t="n"/>
      <c r="DB547" s="53" t="n"/>
      <c r="DC547" s="53" t="n"/>
      <c r="DD547" s="53" t="inlineStr">
        <is>
          <t>IRIS1804</t>
        </is>
      </c>
      <c r="DE547" s="53" t="inlineStr">
        <is>
          <t>Employee</t>
        </is>
      </c>
      <c r="DF547" s="53" t="inlineStr">
        <is>
          <t>Active</t>
        </is>
      </c>
      <c r="DG547" s="53" t="inlineStr">
        <is>
          <t>Sagar Jadhav</t>
        </is>
      </c>
      <c r="DH547" s="54" t="n">
        <v>43703</v>
      </c>
      <c r="DI547" s="53" t="inlineStr">
        <is>
          <t>Lead Software Engineer</t>
        </is>
      </c>
      <c r="DJ547" s="53" t="inlineStr">
        <is>
          <t>Engineering &amp; Development</t>
        </is>
      </c>
      <c r="DK547" s="53" t="inlineStr">
        <is>
          <t>Backend Engineering · Java</t>
        </is>
      </c>
      <c r="DL547" s="53" t="inlineStr">
        <is>
          <t>Lead Software Engineer</t>
        </is>
      </c>
      <c r="DM547" s="53" t="inlineStr">
        <is>
          <t>L5 – Lead · IC</t>
        </is>
      </c>
      <c r="DN547" s="53" t="inlineStr">
        <is>
          <t>B.E</t>
        </is>
      </c>
      <c r="DO547" s="53" t="inlineStr">
        <is>
          <t>Suman Kumar</t>
        </is>
      </c>
      <c r="DP547" s="53" t="inlineStr">
        <is>
          <t>N-3</t>
        </is>
      </c>
      <c r="DQ547" s="53" t="inlineStr">
        <is>
          <t>Manager</t>
        </is>
      </c>
      <c r="DR547" s="53" t="inlineStr">
        <is>
          <t>6 years, 0 months, 0 days</t>
        </is>
      </c>
      <c r="DS547" s="53" t="inlineStr">
        <is>
          <t>6 years, 9 months, 25 days</t>
        </is>
      </c>
      <c r="DT547" s="53" t="inlineStr">
        <is>
          <t>12 years, 9 months, 25 days</t>
        </is>
      </c>
      <c r="DU547" s="53" t="n">
        <v>6.81849315068493</v>
      </c>
      <c r="DV547" s="53" t="inlineStr">
        <is>
          <t>Suptech</t>
        </is>
      </c>
      <c r="DW547" s="53" t="inlineStr">
        <is>
          <t>iFile</t>
        </is>
      </c>
      <c r="DX547" s="53" t="inlineStr">
        <is>
          <t>Technology</t>
        </is>
      </c>
      <c r="DY547" s="53" t="inlineStr">
        <is>
          <t>Development</t>
        </is>
      </c>
      <c r="DZ547" s="53" t="inlineStr">
        <is>
          <t>Yes</t>
        </is>
      </c>
      <c r="EA547" s="53" t="inlineStr">
        <is>
          <t>Product/Project</t>
        </is>
      </c>
      <c r="EB547" s="53" t="inlineStr">
        <is>
          <t>Java</t>
        </is>
      </c>
      <c r="EC547" s="53" t="inlineStr">
        <is>
          <t>Technical - Developer</t>
        </is>
      </c>
      <c r="ED547" s="53" t="inlineStr">
        <is>
          <t>Work From Office - Turbhe</t>
        </is>
      </c>
      <c r="EE547" s="53"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EF547"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G547" s="53" t="inlineStr">
        <is>
          <t>Q1: Deliver team release roadmap on schedule: &gt;=90% of committed releases on time
Q1: Keep team sprint velocity stable and defect leakage &lt;=5%
Q1: Drive production stability: critical incidents resolved within SLA &gt;=95%</t>
        </is>
      </c>
      <c r="EH547" s="53" t="n">
        <v>4</v>
      </c>
      <c r="EI547" s="54" t="n">
        <v>46113</v>
      </c>
      <c r="EJ547" s="53" t="inlineStr">
        <is>
          <t>Lead Software Engineer</t>
        </is>
      </c>
      <c r="EK547" s="53" t="inlineStr">
        <is>
          <t>No</t>
        </is>
      </c>
      <c r="EL547" s="53" t="n">
        <v>4</v>
      </c>
      <c r="EM547" s="53" t="inlineStr">
        <is>
          <t>High</t>
        </is>
      </c>
      <c r="EN547" s="53" t="inlineStr">
        <is>
          <t>High Impact / Growth Talent</t>
        </is>
      </c>
      <c r="EO547" s="53" t="inlineStr">
        <is>
          <t>No</t>
        </is>
      </c>
      <c r="EP547" s="53" t="inlineStr">
        <is>
          <t>No</t>
        </is>
      </c>
      <c r="EQ547" s="53" t="inlineStr">
        <is>
          <t>Yes</t>
        </is>
      </c>
      <c r="ER547" s="53" t="n"/>
      <c r="ES547" s="53" t="inlineStr">
        <is>
          <t>Architecture &amp; Scalability/Spring AI/System Design &amp; Pattern</t>
        </is>
      </c>
      <c r="ET547" s="53" t="n"/>
      <c r="EU547" s="53" t="n"/>
      <c r="EV547" s="53" t="n"/>
      <c r="EW547" s="52" t="n"/>
      <c r="EX547" s="53" t="n"/>
      <c r="EY547" s="53" t="n"/>
      <c r="EZ547" s="53" t="n"/>
      <c r="FA547" s="53" t="n"/>
      <c r="FB547" s="53" t="n"/>
      <c r="FC547" s="53" t="n"/>
      <c r="FD547" s="53" t="n"/>
      <c r="FE547"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FF547" s="56" t="inlineStr">
        <is>
          <t>Q1: Deliver team release roadmap on schedule: &gt;=90% of committed releases on time
Q1: Keep team sprint velocity stable · +/-10% and defect leakage &lt;=5%
Q1: Drive production stability: critical incidents resolved within SLA &gt;=95%</t>
        </is>
      </c>
      <c r="FG547" s="56"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FH547" s="56" t="inlineStr">
        <is>
          <t>4</t>
        </is>
      </c>
      <c r="FI547" s="56" t="n"/>
      <c r="FJ547" s="56" t="inlineStr">
        <is>
          <t>Received · manager annual, quarterly, self</t>
        </is>
      </c>
      <c r="FK547" s="56" t="inlineStr">
        <is>
          <t>Talent Mapping · iFile collated</t>
        </is>
      </c>
      <c r="FL547" s="56" t="n">
        <v>20</v>
      </c>
      <c r="FM547" s="32" t="inlineStr">
        <is>
          <t>Full survey answers not in the files received · How We Grow export needed · HR</t>
        </is>
      </c>
      <c r="FN547" s="56" t="inlineStr">
        <is>
          <t>—</t>
        </is>
      </c>
      <c r="FO547" s="56" t="inlineStr">
        <is>
          <t>—</t>
        </is>
      </c>
      <c r="FP547" s="56" t="inlineStr">
        <is>
          <t>—</t>
        </is>
      </c>
      <c r="FQ547" s="56" t="inlineStr">
        <is>
          <t>—</t>
        </is>
      </c>
      <c r="FR547" s="56" t="inlineStr">
        <is>
          <t>Business Impact: Moved +0.5: the survey / manager mapping marks it business-critical.</t>
        </is>
      </c>
      <c r="FS547"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547" s="56" t="inlineStr">
        <is>
          <t>Self-identified: Leadership &amp; people management · Technical depth &amp; architecture · Domain, regulatory &amp; XBRL · Client, sales &amp; stakeholders · Strategy &amp; business acumen · Broader exposure &amp; ownership
For the next role: Leadership &amp; people management · Technical depth &amp; architecture · Domain, regulatory &amp; XBRL · Client, sales &amp; stakeholders · Strategy &amp; business acumen · Broader exposure &amp; ownership</t>
        </is>
      </c>
      <c r="FU547" s="32" t="inlineStr">
        <is>
          <t>Full survey answers not in the files received · How We Grow export needed · HR</t>
        </is>
      </c>
    </row>
    <row r="548" ht="90" customHeight="1">
      <c r="A548" s="51" t="inlineStr">
        <is>
          <t>◂ Back</t>
        </is>
      </c>
      <c r="B548" s="29" t="inlineStr">
        <is>
          <t>Mapped</t>
        </is>
      </c>
      <c r="C548" s="28" t="inlineStr">
        <is>
          <t>iFile</t>
        </is>
      </c>
      <c r="D548" s="29" t="inlineStr">
        <is>
          <t>IRIS2293</t>
        </is>
      </c>
      <c r="E548" s="29" t="inlineStr">
        <is>
          <t>Chetan Yerpude</t>
        </is>
      </c>
      <c r="F548" s="29" t="inlineStr">
        <is>
          <t>Technology</t>
        </is>
      </c>
      <c r="G548" s="29" t="inlineStr">
        <is>
          <t>Software Engineer</t>
        </is>
      </c>
      <c r="H548" s="29" t="inlineStr">
        <is>
          <t>Senior Software Engineer</t>
        </is>
      </c>
      <c r="I548" s="29" t="inlineStr">
        <is>
          <t>L3 – Professional / Associate</t>
        </is>
      </c>
      <c r="J548" s="29" t="inlineStr">
        <is>
          <t>A3</t>
        </is>
      </c>
      <c r="K548" s="29" t="inlineStr">
        <is>
          <t>▲ Up</t>
        </is>
      </c>
      <c r="L548" s="29" t="inlineStr">
        <is>
          <t>Engineering &amp; Development</t>
        </is>
      </c>
      <c r="M548" s="29" t="inlineStr">
        <is>
          <t>Backend Development</t>
        </is>
      </c>
      <c r="N548" s="29" t="n"/>
      <c r="O548" s="29" t="n">
        <v>20</v>
      </c>
      <c r="P548" s="28" t="inlineStr">
        <is>
          <t>P2</t>
        </is>
      </c>
      <c r="Q548" s="29" t="inlineStr">
        <is>
          <t>Developing</t>
        </is>
      </c>
      <c r="R548" s="29" t="inlineStr">
        <is>
          <t>3 Apply</t>
        </is>
      </c>
      <c r="S548" s="29" t="inlineStr">
        <is>
          <t>2–4 yrs</t>
        </is>
      </c>
      <c r="T548" s="29" t="inlineStr">
        <is>
          <t>3–5 · 2–5</t>
        </is>
      </c>
      <c r="U548" s="29" t="inlineStr">
        <is>
          <t>Software Engineer</t>
        </is>
      </c>
      <c r="V548" s="29" t="inlineStr">
        <is>
          <t>Workiva: SE · Broadridge India: SE · Nasdaq / AxiomSL: SE · Salesforce: MTS · Atlassian: P40 · 3–7 yrs · Freshworks: Senior SE</t>
        </is>
      </c>
      <c r="W548" s="29" t="inlineStr">
        <is>
          <t>SFIA 9 · software development, programming; OWASP secure coding; cloud vendor certifications</t>
        </is>
      </c>
      <c r="X548" s="29" t="inlineStr">
        <is>
          <t>Core 2 · Future 2 · Functional 3 · Leadership not scored</t>
        </is>
      </c>
      <c r="Y548" s="52" t="n">
        <v>333</v>
      </c>
      <c r="Z548" s="53" t="inlineStr">
        <is>
          <t>IRIS2293</t>
        </is>
      </c>
      <c r="AA548" s="53" t="inlineStr">
        <is>
          <t>Employee</t>
        </is>
      </c>
      <c r="AB548" s="53" t="inlineStr">
        <is>
          <t>Active</t>
        </is>
      </c>
      <c r="AC548" s="53" t="inlineStr">
        <is>
          <t>Chetan Yerpude</t>
        </is>
      </c>
      <c r="AD548" s="54" t="n">
        <v>45481</v>
      </c>
      <c r="AE548" s="53" t="inlineStr">
        <is>
          <t>Software Engineer</t>
        </is>
      </c>
      <c r="AF548" s="53" t="inlineStr">
        <is>
          <t>B.Tech + PG diploma in Advance Computing · CDAC</t>
        </is>
      </c>
      <c r="AG548" s="53" t="inlineStr">
        <is>
          <t>Sagar Jadhav</t>
        </is>
      </c>
      <c r="AH548" s="53" t="inlineStr">
        <is>
          <t>N-3</t>
        </is>
      </c>
      <c r="AI548" s="53" t="inlineStr">
        <is>
          <t>Individual Contributor</t>
        </is>
      </c>
      <c r="AJ548" s="53" t="inlineStr">
        <is>
          <t>4 years, 0 months, 0 days</t>
        </is>
      </c>
      <c r="AK548" s="53" t="inlineStr">
        <is>
          <t>2 years, 1 months, 17 days</t>
        </is>
      </c>
      <c r="AL548" s="53" t="inlineStr">
        <is>
          <t>Suptech</t>
        </is>
      </c>
      <c r="AM548" s="53" t="inlineStr">
        <is>
          <t>iFile</t>
        </is>
      </c>
      <c r="AN548" s="53" t="inlineStr">
        <is>
          <t>Technology</t>
        </is>
      </c>
      <c r="AO548" s="53" t="inlineStr">
        <is>
          <t>Development</t>
        </is>
      </c>
      <c r="AP548" s="53" t="inlineStr">
        <is>
          <t>Yes</t>
        </is>
      </c>
      <c r="AQ548" s="53" t="inlineStr">
        <is>
          <t>Product/Project</t>
        </is>
      </c>
      <c r="AR548" s="53" t="inlineStr">
        <is>
          <t>Java</t>
        </is>
      </c>
      <c r="AS548" s="53" t="inlineStr">
        <is>
          <t>Technical - Developer</t>
        </is>
      </c>
      <c r="AT548" s="53" t="n">
        <v>20</v>
      </c>
      <c r="AU548" s="53" t="inlineStr">
        <is>
          <t>Covered</t>
        </is>
      </c>
      <c r="AV548" s="53" t="n"/>
      <c r="AW548" s="53" t="n"/>
      <c r="AX548" s="53" t="n"/>
      <c r="AY548" s="53" t="n"/>
      <c r="AZ548" s="53" t="n"/>
      <c r="BA548" s="53" t="n"/>
      <c r="BB548" s="53" t="n"/>
      <c r="BC548" s="53" t="n"/>
      <c r="BD548" s="53" t="n"/>
      <c r="BE548" s="53" t="n"/>
      <c r="BF548" s="53" t="n"/>
      <c r="BG548" s="53" t="n"/>
      <c r="BH548" s="53" t="n"/>
      <c r="BI548" s="53" t="n"/>
      <c r="BJ548" s="53" t="n"/>
      <c r="BK548" s="53" t="n"/>
      <c r="BL548" s="53" t="n"/>
      <c r="BM548" s="53" t="n"/>
      <c r="BN548" s="53" t="n"/>
      <c r="BO548" s="53" t="n"/>
      <c r="BP548" s="53" t="n"/>
      <c r="BQ548" s="53" t="n"/>
      <c r="BR548" s="53" t="n"/>
      <c r="BS548" s="53" t="n"/>
      <c r="BT548" s="53" t="n"/>
      <c r="BU548" s="53" t="n"/>
      <c r="BV548" s="53" t="n"/>
      <c r="BW548" s="53" t="n"/>
      <c r="BX548" s="53" t="n"/>
      <c r="BY548" s="53" t="n"/>
      <c r="BZ548" s="53" t="n"/>
      <c r="CA548" s="53" t="n"/>
      <c r="CB548" s="53" t="n"/>
      <c r="CC548" s="53" t="n"/>
      <c r="CD548" s="53" t="n"/>
      <c r="CE548" s="53" t="n"/>
      <c r="CF548" s="53" t="n"/>
      <c r="CG548" s="53" t="n"/>
      <c r="CH548" s="53" t="n"/>
      <c r="CI548" s="53" t="n"/>
      <c r="CJ548" s="53" t="n"/>
      <c r="CK548" s="53" t="n"/>
      <c r="CL548" s="53" t="n"/>
      <c r="CM548" s="53" t="n"/>
      <c r="CN548" s="53" t="n"/>
      <c r="CO548" s="53" t="n"/>
      <c r="CP548" s="53" t="n"/>
      <c r="CQ548" s="53" t="n"/>
      <c r="CR548" s="53" t="n"/>
      <c r="CS548" s="53" t="n"/>
      <c r="CT548" s="53" t="n"/>
      <c r="CU548" s="53" t="n"/>
      <c r="CV548" s="53" t="n"/>
      <c r="CW548" s="53" t="n"/>
      <c r="CX548" s="53" t="n"/>
      <c r="CY548" s="53" t="n"/>
      <c r="CZ548" s="53" t="n"/>
      <c r="DA548" s="53" t="n"/>
      <c r="DB548" s="53" t="n"/>
      <c r="DC548" s="53" t="n"/>
      <c r="DD548" s="53" t="inlineStr">
        <is>
          <t>IRIS2293</t>
        </is>
      </c>
      <c r="DE548" s="53" t="inlineStr">
        <is>
          <t>Employee</t>
        </is>
      </c>
      <c r="DF548" s="53" t="inlineStr">
        <is>
          <t>Active</t>
        </is>
      </c>
      <c r="DG548" s="53" t="inlineStr">
        <is>
          <t>Chetan Yerpude</t>
        </is>
      </c>
      <c r="DH548" s="54" t="n">
        <v>45481</v>
      </c>
      <c r="DI548" s="53" t="inlineStr">
        <is>
          <t>Software Engineer</t>
        </is>
      </c>
      <c r="DJ548" s="53" t="inlineStr">
        <is>
          <t>Engineering &amp; Development</t>
        </is>
      </c>
      <c r="DK548" s="53" t="inlineStr">
        <is>
          <t>Backend Engineering · Java</t>
        </is>
      </c>
      <c r="DL548" s="53" t="inlineStr">
        <is>
          <t>Software Engineer</t>
        </is>
      </c>
      <c r="DM548" s="53" t="inlineStr">
        <is>
          <t>L3 – Professional / Associate</t>
        </is>
      </c>
      <c r="DN548" s="53" t="inlineStr">
        <is>
          <t>B.Tech + PG diploma in Advance Computing · CDAC</t>
        </is>
      </c>
      <c r="DO548" s="53" t="inlineStr">
        <is>
          <t>Sagar Jadhav</t>
        </is>
      </c>
      <c r="DP548" s="53" t="inlineStr">
        <is>
          <t>N-4</t>
        </is>
      </c>
      <c r="DQ548" s="53" t="inlineStr">
        <is>
          <t>Individual Contributor</t>
        </is>
      </c>
      <c r="DR548" s="53" t="inlineStr">
        <is>
          <t>4 years, 0 months, 0 days</t>
        </is>
      </c>
      <c r="DS548" s="53" t="inlineStr">
        <is>
          <t>1 years, 11 months, 12 days</t>
        </is>
      </c>
      <c r="DT548" s="53" t="inlineStr">
        <is>
          <t>5 years, 11 months, 12 days</t>
        </is>
      </c>
      <c r="DU548" s="53" t="n"/>
      <c r="DV548" s="53" t="inlineStr">
        <is>
          <t>Suptech</t>
        </is>
      </c>
      <c r="DW548" s="53" t="inlineStr">
        <is>
          <t>iFile</t>
        </is>
      </c>
      <c r="DX548" s="53" t="inlineStr">
        <is>
          <t>Technology</t>
        </is>
      </c>
      <c r="DY548" s="53" t="inlineStr">
        <is>
          <t>Development</t>
        </is>
      </c>
      <c r="DZ548" s="53" t="inlineStr">
        <is>
          <t>Yes</t>
        </is>
      </c>
      <c r="EA548" s="53" t="inlineStr">
        <is>
          <t>Product/Project</t>
        </is>
      </c>
      <c r="EB548" s="53" t="inlineStr">
        <is>
          <t>Java</t>
        </is>
      </c>
      <c r="EC548" s="53" t="inlineStr">
        <is>
          <t>Technical - Developer</t>
        </is>
      </c>
      <c r="ED548" s="53" t="inlineStr">
        <is>
          <t>Work From Office - Turbhe</t>
        </is>
      </c>
      <c r="EE548" s="53"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EF54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4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8" s="53" t="n">
        <v>3</v>
      </c>
      <c r="EI548" s="54" t="n">
        <v>46113</v>
      </c>
      <c r="EJ548" s="53" t="inlineStr">
        <is>
          <t>Software Engineer</t>
        </is>
      </c>
      <c r="EK548" s="53" t="inlineStr">
        <is>
          <t>No</t>
        </is>
      </c>
      <c r="EL548" s="53" t="n">
        <v>3</v>
      </c>
      <c r="EM548" s="53" t="inlineStr">
        <is>
          <t>Medium</t>
        </is>
      </c>
      <c r="EN548" s="53" t="inlineStr">
        <is>
          <t>Core Contributor</t>
        </is>
      </c>
      <c r="EO548" s="53" t="inlineStr">
        <is>
          <t>No</t>
        </is>
      </c>
      <c r="EP548" s="53" t="inlineStr">
        <is>
          <t>No</t>
        </is>
      </c>
      <c r="EQ548" s="53" t="inlineStr">
        <is>
          <t>Yes</t>
        </is>
      </c>
      <c r="ER548" s="53" t="n"/>
      <c r="ES548" s="53" t="inlineStr">
        <is>
          <t>Reactive Programming/Spring AI/System Design &amp; Pattern</t>
        </is>
      </c>
      <c r="ET548" s="53" t="n"/>
      <c r="EU548" s="53" t="n"/>
      <c r="EV548" s="53" t="n"/>
      <c r="EW548" s="52" t="n"/>
      <c r="EX548" s="53" t="n"/>
      <c r="EY548" s="53" t="n"/>
      <c r="EZ548" s="53" t="n"/>
      <c r="FA548" s="53" t="n"/>
      <c r="FB548" s="53" t="n"/>
      <c r="FC548" s="53" t="n"/>
      <c r="FD548" s="53" t="n"/>
      <c r="FE54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4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8" s="56"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FH548" s="56" t="inlineStr">
        <is>
          <t>3</t>
        </is>
      </c>
      <c r="FI548" s="56" t="n"/>
      <c r="FJ548" s="56" t="inlineStr">
        <is>
          <t>Received · manager annual, quarterly, self</t>
        </is>
      </c>
      <c r="FK548" s="56" t="inlineStr">
        <is>
          <t>Talent Mapping · iFile collated</t>
        </is>
      </c>
      <c r="FL548" s="56" t="n">
        <v>20</v>
      </c>
      <c r="FM548" s="32" t="inlineStr">
        <is>
          <t>Full survey answers not in the files received · How We Grow export needed · HR</t>
        </is>
      </c>
      <c r="FN548" s="56" t="inlineStr">
        <is>
          <t>—</t>
        </is>
      </c>
      <c r="FO548" s="56" t="inlineStr">
        <is>
          <t>—</t>
        </is>
      </c>
      <c r="FP548" s="56" t="inlineStr">
        <is>
          <t>—</t>
        </is>
      </c>
      <c r="FQ548" s="56" t="inlineStr">
        <is>
          <t>—</t>
        </is>
      </c>
      <c r="FR548" s="56" t="inlineStr">
        <is>
          <t>Business Impact: Moved +0.5: the survey / manager mapping marks it business-critical.</t>
        </is>
      </c>
      <c r="FS54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48"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548" s="32" t="inlineStr">
        <is>
          <t>Full survey answers not in the files received · How We Grow export needed · HR</t>
        </is>
      </c>
    </row>
    <row r="549" ht="90" customHeight="1">
      <c r="A549" s="51" t="inlineStr">
        <is>
          <t>◂ Back</t>
        </is>
      </c>
      <c r="B549" s="29" t="inlineStr">
        <is>
          <t>Mapped</t>
        </is>
      </c>
      <c r="C549" s="28" t="inlineStr">
        <is>
          <t>iFile</t>
        </is>
      </c>
      <c r="D549" s="29" t="inlineStr">
        <is>
          <t>IRIS2221</t>
        </is>
      </c>
      <c r="E549" s="29" t="inlineStr">
        <is>
          <t>Rajshree Bhosale</t>
        </is>
      </c>
      <c r="F549" s="29" t="inlineStr">
        <is>
          <t>Technology</t>
        </is>
      </c>
      <c r="G549" s="29" t="inlineStr">
        <is>
          <t>Software Engineer</t>
        </is>
      </c>
      <c r="H549" s="29" t="inlineStr">
        <is>
          <t>Senior UI Developer</t>
        </is>
      </c>
      <c r="I549" s="29" t="inlineStr">
        <is>
          <t>L3 – Professional / Associate</t>
        </is>
      </c>
      <c r="J549" s="29" t="inlineStr">
        <is>
          <t>A3</t>
        </is>
      </c>
      <c r="K549" s="29" t="inlineStr">
        <is>
          <t>▲ Up</t>
        </is>
      </c>
      <c r="L549" s="29" t="inlineStr">
        <is>
          <t>Engineering &amp; Development</t>
        </is>
      </c>
      <c r="M549" s="29" t="inlineStr">
        <is>
          <t>Front-End / UI Development</t>
        </is>
      </c>
      <c r="N549" s="29" t="n"/>
      <c r="O549" s="29" t="n">
        <v>20</v>
      </c>
      <c r="P549" s="28" t="inlineStr">
        <is>
          <t>P2</t>
        </is>
      </c>
      <c r="Q549" s="29" t="inlineStr">
        <is>
          <t>Developing</t>
        </is>
      </c>
      <c r="R549" s="29" t="inlineStr">
        <is>
          <t>3 Apply</t>
        </is>
      </c>
      <c r="S549" s="29" t="inlineStr">
        <is>
          <t>2–4 yrs</t>
        </is>
      </c>
      <c r="T549" s="29" t="inlineStr">
        <is>
          <t>3–5 · 2–5</t>
        </is>
      </c>
      <c r="U549" s="29" t="inlineStr">
        <is>
          <t>Software Engineer</t>
        </is>
      </c>
      <c r="V549" s="29" t="inlineStr">
        <is>
          <t>Workiva: SE · Broadridge India: SE · Nasdaq / AxiomSL: SE · Salesforce: MTS · Atlassian: P40 · 3–7 yrs · Freshworks: Senior SE</t>
        </is>
      </c>
      <c r="W549" s="29" t="inlineStr">
        <is>
          <t>SFIA 9 · software development, programming; OWASP secure coding; cloud vendor certifications</t>
        </is>
      </c>
      <c r="X549" s="29" t="inlineStr">
        <is>
          <t>Core 2 · Future 2 · Functional 3 · Leadership not scored</t>
        </is>
      </c>
      <c r="Y549" s="52" t="n">
        <v>304</v>
      </c>
      <c r="Z549" s="53" t="inlineStr">
        <is>
          <t>IRIS2221</t>
        </is>
      </c>
      <c r="AA549" s="53" t="inlineStr">
        <is>
          <t>Employee</t>
        </is>
      </c>
      <c r="AB549" s="53" t="inlineStr">
        <is>
          <t>Active</t>
        </is>
      </c>
      <c r="AC549" s="53" t="inlineStr">
        <is>
          <t>Rajshree Bhosale</t>
        </is>
      </c>
      <c r="AD549" s="54" t="n">
        <v>45315</v>
      </c>
      <c r="AE549" s="53" t="inlineStr">
        <is>
          <t>Software Engineer</t>
        </is>
      </c>
      <c r="AF549" s="53" t="inlineStr">
        <is>
          <t>MCA</t>
        </is>
      </c>
      <c r="AG549" s="53" t="inlineStr">
        <is>
          <t>Sagar Jadhav</t>
        </is>
      </c>
      <c r="AH549" s="53" t="inlineStr">
        <is>
          <t>N-3</t>
        </is>
      </c>
      <c r="AI549" s="53" t="inlineStr">
        <is>
          <t>Individual Contributor</t>
        </is>
      </c>
      <c r="AJ549" s="53" t="inlineStr">
        <is>
          <t>3 years, 6 months, 0 days</t>
        </is>
      </c>
      <c r="AK549" s="53" t="inlineStr">
        <is>
          <t>2 years, 7 months, 1 days</t>
        </is>
      </c>
      <c r="AL549" s="53" t="inlineStr">
        <is>
          <t>Suptech</t>
        </is>
      </c>
      <c r="AM549" s="53" t="inlineStr">
        <is>
          <t>iFile</t>
        </is>
      </c>
      <c r="AN549" s="53" t="inlineStr">
        <is>
          <t>Technology</t>
        </is>
      </c>
      <c r="AO549" s="53" t="inlineStr">
        <is>
          <t>Development</t>
        </is>
      </c>
      <c r="AP549" s="53" t="inlineStr">
        <is>
          <t>Yes</t>
        </is>
      </c>
      <c r="AQ549" s="53" t="inlineStr">
        <is>
          <t>Product/Project</t>
        </is>
      </c>
      <c r="AR549" s="53" t="inlineStr">
        <is>
          <t>Angular</t>
        </is>
      </c>
      <c r="AS549" s="53" t="inlineStr">
        <is>
          <t>Technical - Developer</t>
        </is>
      </c>
      <c r="AT549" s="53" t="n">
        <v>20</v>
      </c>
      <c r="AU549" s="53" t="inlineStr">
        <is>
          <t>Covered</t>
        </is>
      </c>
      <c r="AV549" s="53" t="n"/>
      <c r="AW549" s="53" t="n"/>
      <c r="AX549" s="53" t="n"/>
      <c r="AY549" s="53" t="n"/>
      <c r="AZ549" s="53" t="n"/>
      <c r="BA549" s="53" t="n"/>
      <c r="BB549" s="53" t="n"/>
      <c r="BC549" s="53" t="n"/>
      <c r="BD549" s="53" t="n"/>
      <c r="BE549" s="53" t="n"/>
      <c r="BF549" s="53" t="n"/>
      <c r="BG549" s="53" t="n"/>
      <c r="BH549" s="53" t="n"/>
      <c r="BI549" s="53" t="n"/>
      <c r="BJ549" s="53" t="n"/>
      <c r="BK549" s="53" t="n"/>
      <c r="BL549" s="53" t="n"/>
      <c r="BM549" s="53" t="n"/>
      <c r="BN549" s="53" t="n"/>
      <c r="BO549" s="53" t="n"/>
      <c r="BP549" s="53" t="n"/>
      <c r="BQ549" s="53" t="n"/>
      <c r="BR549" s="53" t="n"/>
      <c r="BS549" s="53" t="n"/>
      <c r="BT549" s="53" t="n"/>
      <c r="BU549" s="53" t="n"/>
      <c r="BV549" s="53" t="n"/>
      <c r="BW549" s="53" t="n"/>
      <c r="BX549" s="53" t="n"/>
      <c r="BY549" s="53" t="n"/>
      <c r="BZ549" s="53" t="n"/>
      <c r="CA549" s="53" t="n"/>
      <c r="CB549" s="53" t="n"/>
      <c r="CC549" s="53" t="n"/>
      <c r="CD549" s="53" t="n"/>
      <c r="CE549" s="53" t="n"/>
      <c r="CF549" s="53" t="n"/>
      <c r="CG549" s="53" t="n"/>
      <c r="CH549" s="53" t="n"/>
      <c r="CI549" s="53" t="n"/>
      <c r="CJ549" s="53" t="n"/>
      <c r="CK549" s="53" t="n"/>
      <c r="CL549" s="53" t="n"/>
      <c r="CM549" s="53" t="n"/>
      <c r="CN549" s="53" t="n"/>
      <c r="CO549" s="53" t="n"/>
      <c r="CP549" s="53" t="n"/>
      <c r="CQ549" s="53" t="n"/>
      <c r="CR549" s="53" t="n"/>
      <c r="CS549" s="53" t="n"/>
      <c r="CT549" s="53" t="n"/>
      <c r="CU549" s="53" t="n"/>
      <c r="CV549" s="53" t="n"/>
      <c r="CW549" s="53" t="n"/>
      <c r="CX549" s="53" t="n"/>
      <c r="CY549" s="53" t="n"/>
      <c r="CZ549" s="53" t="n"/>
      <c r="DA549" s="53" t="n"/>
      <c r="DB549" s="53" t="n"/>
      <c r="DC549" s="53" t="n"/>
      <c r="DD549" s="53" t="inlineStr">
        <is>
          <t>IRIS2221</t>
        </is>
      </c>
      <c r="DE549" s="53" t="inlineStr">
        <is>
          <t>Employee</t>
        </is>
      </c>
      <c r="DF549" s="53" t="inlineStr">
        <is>
          <t>Active</t>
        </is>
      </c>
      <c r="DG549" s="53" t="inlineStr">
        <is>
          <t>Rajshree Bhosale</t>
        </is>
      </c>
      <c r="DH549" s="54" t="n">
        <v>45315</v>
      </c>
      <c r="DI549" s="53" t="inlineStr">
        <is>
          <t>Software Engineer</t>
        </is>
      </c>
      <c r="DJ549" s="53" t="inlineStr">
        <is>
          <t>Engineering &amp; Development</t>
        </is>
      </c>
      <c r="DK549" s="53" t="inlineStr">
        <is>
          <t>Software Engineering</t>
        </is>
      </c>
      <c r="DL549" s="53" t="inlineStr">
        <is>
          <t>Software Engineer</t>
        </is>
      </c>
      <c r="DM549" s="53" t="inlineStr">
        <is>
          <t>L3 – Professional / Associate</t>
        </is>
      </c>
      <c r="DN549" s="53" t="inlineStr">
        <is>
          <t>MCA</t>
        </is>
      </c>
      <c r="DO549" s="53" t="inlineStr">
        <is>
          <t>Sagar Jadhav</t>
        </is>
      </c>
      <c r="DP549" s="53" t="inlineStr">
        <is>
          <t>N-4</t>
        </is>
      </c>
      <c r="DQ549" s="53" t="inlineStr">
        <is>
          <t>Individual Contributor</t>
        </is>
      </c>
      <c r="DR549" s="53" t="inlineStr">
        <is>
          <t>3 years, 6 months, 0 days</t>
        </is>
      </c>
      <c r="DS549" s="53" t="inlineStr">
        <is>
          <t>2 years, 4 months, 27 days</t>
        </is>
      </c>
      <c r="DT549" s="53" t="inlineStr">
        <is>
          <t>5 years, 10 months, 27 days</t>
        </is>
      </c>
      <c r="DU549" s="53" t="n"/>
      <c r="DV549" s="53" t="inlineStr">
        <is>
          <t>Suptech</t>
        </is>
      </c>
      <c r="DW549" s="53" t="inlineStr">
        <is>
          <t>iFile</t>
        </is>
      </c>
      <c r="DX549" s="53" t="inlineStr">
        <is>
          <t>Technology</t>
        </is>
      </c>
      <c r="DY549" s="53" t="inlineStr">
        <is>
          <t>Development</t>
        </is>
      </c>
      <c r="DZ549" s="53" t="inlineStr">
        <is>
          <t>Yes</t>
        </is>
      </c>
      <c r="EA549" s="53" t="inlineStr">
        <is>
          <t>Product/Project</t>
        </is>
      </c>
      <c r="EB549" s="53" t="inlineStr">
        <is>
          <t>Angular</t>
        </is>
      </c>
      <c r="EC549" s="53" t="inlineStr">
        <is>
          <t>Technical - Developer</t>
        </is>
      </c>
      <c r="ED549" s="53" t="inlineStr">
        <is>
          <t>Work From Office - Turbhe</t>
        </is>
      </c>
      <c r="EE549" s="53"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EF54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G54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9" s="53" t="n">
        <v>4</v>
      </c>
      <c r="EI549" s="54" t="n">
        <v>46113</v>
      </c>
      <c r="EJ549" s="53" t="inlineStr">
        <is>
          <t>Software Engineer</t>
        </is>
      </c>
      <c r="EK549" s="53" t="inlineStr">
        <is>
          <t>No</t>
        </is>
      </c>
      <c r="EL549" s="53" t="n">
        <v>4</v>
      </c>
      <c r="EM549" s="53" t="inlineStr">
        <is>
          <t>High</t>
        </is>
      </c>
      <c r="EN549" s="53" t="inlineStr">
        <is>
          <t>High Impact / Growth Talent</t>
        </is>
      </c>
      <c r="EO549" s="53" t="inlineStr">
        <is>
          <t>Yes</t>
        </is>
      </c>
      <c r="EP549" s="53" t="inlineStr">
        <is>
          <t>No</t>
        </is>
      </c>
      <c r="EQ549" s="53" t="inlineStr">
        <is>
          <t>Yes</t>
        </is>
      </c>
      <c r="ER549" s="53" t="n"/>
      <c r="ES549" s="53" t="inlineStr">
        <is>
          <t>Architecture &amp; Scalability</t>
        </is>
      </c>
      <c r="ET549" s="53" t="n"/>
      <c r="EU549" s="53" t="n"/>
      <c r="EV549" s="53" t="n"/>
      <c r="EW549" s="52" t="n"/>
      <c r="EX549" s="53" t="n"/>
      <c r="EY549" s="53" t="n"/>
      <c r="EZ549" s="53" t="n"/>
      <c r="FA549" s="53" t="n"/>
      <c r="FB549" s="53" t="n"/>
      <c r="FC549" s="53" t="n"/>
      <c r="FD549" s="53" t="n"/>
      <c r="FE54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FF54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9" s="56"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FH549" s="56" t="inlineStr">
        <is>
          <t>4</t>
        </is>
      </c>
      <c r="FI549" s="56" t="n"/>
      <c r="FJ549" s="56" t="inlineStr">
        <is>
          <t>Received · manager annual, quarterly, self</t>
        </is>
      </c>
      <c r="FK549" s="56" t="inlineStr">
        <is>
          <t>Talent Mapping · iFile collated</t>
        </is>
      </c>
      <c r="FL549" s="56" t="n">
        <v>20</v>
      </c>
      <c r="FM549" s="32" t="inlineStr">
        <is>
          <t>Full survey answers not in the files received · How We Grow export needed · HR</t>
        </is>
      </c>
      <c r="FN549" s="56" t="inlineStr">
        <is>
          <t>—</t>
        </is>
      </c>
      <c r="FO549" s="56" t="inlineStr">
        <is>
          <t>—</t>
        </is>
      </c>
      <c r="FP549" s="56" t="inlineStr">
        <is>
          <t>—</t>
        </is>
      </c>
      <c r="FQ549" s="56" t="inlineStr">
        <is>
          <t>—</t>
        </is>
      </c>
      <c r="FR549" s="56"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through QA, UAT and production → moved up 0.5
Leadership: Evidence reads like A1: No guiding or leading described → matches the start
Business Impact: Moved +0.5: the survey / manager mapping marks it business-critical.</t>
        </is>
      </c>
      <c r="FS549"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49" s="56" t="inlineStr">
        <is>
          <t>Self-identified: Technical depth &amp; architecture
For the next role: Technical depth &amp; architecture</t>
        </is>
      </c>
      <c r="FU549" s="32" t="inlineStr">
        <is>
          <t>Full survey answers not in the files received · How We Grow export needed · HR</t>
        </is>
      </c>
    </row>
    <row r="550" ht="90" customHeight="1">
      <c r="A550" s="51" t="inlineStr">
        <is>
          <t>◂ Back</t>
        </is>
      </c>
      <c r="B550" s="29" t="inlineStr">
        <is>
          <t>Mapped</t>
        </is>
      </c>
      <c r="C550" s="28" t="inlineStr">
        <is>
          <t>iFile</t>
        </is>
      </c>
      <c r="D550" s="29" t="inlineStr">
        <is>
          <t>IRIS2321</t>
        </is>
      </c>
      <c r="E550" s="29" t="inlineStr">
        <is>
          <t>Chandani Gusain</t>
        </is>
      </c>
      <c r="F550" s="29" t="inlineStr">
        <is>
          <t>Technology</t>
        </is>
      </c>
      <c r="G550" s="29" t="inlineStr">
        <is>
          <t>Software Engineer</t>
        </is>
      </c>
      <c r="H550" s="29" t="inlineStr">
        <is>
          <t>UI Developer</t>
        </is>
      </c>
      <c r="I550" s="29" t="inlineStr">
        <is>
          <t>L3 – Professional / Associate</t>
        </is>
      </c>
      <c r="J550" s="29" t="inlineStr">
        <is>
          <t>A2</t>
        </is>
      </c>
      <c r="K550" s="29" t="inlineStr">
        <is>
          <t>• Same level</t>
        </is>
      </c>
      <c r="L550" s="29" t="inlineStr">
        <is>
          <t>Engineering &amp; Development</t>
        </is>
      </c>
      <c r="M550" s="29" t="inlineStr">
        <is>
          <t>Front-End / UI Development</t>
        </is>
      </c>
      <c r="N550" s="29" t="n"/>
      <c r="O550" s="29" t="n">
        <v>20</v>
      </c>
      <c r="P550" s="28" t="inlineStr">
        <is>
          <t>P1–P2</t>
        </is>
      </c>
      <c r="Q550" s="29" t="inlineStr">
        <is>
          <t>Entry / Developing</t>
        </is>
      </c>
      <c r="R550" s="29" t="inlineStr">
        <is>
          <t>2 Assist</t>
        </is>
      </c>
      <c r="S550" s="29" t="inlineStr">
        <is>
          <t>0–2 yrs</t>
        </is>
      </c>
      <c r="T550" s="29" t="inlineStr">
        <is>
          <t>1–3 · 0–3</t>
        </is>
      </c>
      <c r="U550" s="29" t="inlineStr">
        <is>
          <t>Associate Software Engineer / Software Engineer</t>
        </is>
      </c>
      <c r="V550" s="29" t="inlineStr">
        <is>
          <t>Workiva: Associate SE · Broadridge India: SE · Nasdaq / AxiomSL: SE · Salesforce: AMTS · Atlassian: P30 Junior · 0–2 yrs · Freshworks: SE</t>
        </is>
      </c>
      <c r="W550" s="29" t="inlineStr">
        <is>
          <t>SFIA 9 · software development, programming; OWASP secure coding; cloud vendor certifications</t>
        </is>
      </c>
      <c r="X550" s="29" t="inlineStr">
        <is>
          <t>Core 2 · Future 2 · Functional 2 · Leadership not scored</t>
        </is>
      </c>
      <c r="Y550" s="52" t="n">
        <v>351</v>
      </c>
      <c r="Z550" s="53" t="inlineStr">
        <is>
          <t>IRIS2321</t>
        </is>
      </c>
      <c r="AA550" s="53" t="inlineStr">
        <is>
          <t>Employee</t>
        </is>
      </c>
      <c r="AB550" s="53" t="inlineStr">
        <is>
          <t>Active</t>
        </is>
      </c>
      <c r="AC550" s="53" t="inlineStr">
        <is>
          <t>Chandani Gusain</t>
        </is>
      </c>
      <c r="AD550" s="54" t="n">
        <v>45597</v>
      </c>
      <c r="AE550" s="53" t="inlineStr">
        <is>
          <t>Software Engineer</t>
        </is>
      </c>
      <c r="AF550" s="53" t="inlineStr">
        <is>
          <t>B.SC</t>
        </is>
      </c>
      <c r="AG550" s="53" t="inlineStr">
        <is>
          <t>Sagar Jadhav</t>
        </is>
      </c>
      <c r="AH550" s="53" t="inlineStr">
        <is>
          <t>N-3</t>
        </is>
      </c>
      <c r="AI550" s="53" t="inlineStr">
        <is>
          <t>Individual Contributor</t>
        </is>
      </c>
      <c r="AJ550" s="53" t="inlineStr">
        <is>
          <t>0 years, 0 months, 0 days</t>
        </is>
      </c>
      <c r="AK550" s="53" t="inlineStr">
        <is>
          <t>1 years, 9 months, 24 days</t>
        </is>
      </c>
      <c r="AL550" s="53" t="inlineStr">
        <is>
          <t>Suptech</t>
        </is>
      </c>
      <c r="AM550" s="53" t="inlineStr">
        <is>
          <t>iFile</t>
        </is>
      </c>
      <c r="AN550" s="53" t="inlineStr">
        <is>
          <t>Technology</t>
        </is>
      </c>
      <c r="AO550" s="53" t="inlineStr">
        <is>
          <t>Development</t>
        </is>
      </c>
      <c r="AP550" s="53" t="inlineStr">
        <is>
          <t>Yes</t>
        </is>
      </c>
      <c r="AQ550" s="53" t="inlineStr">
        <is>
          <t>Product/Project</t>
        </is>
      </c>
      <c r="AR550" s="53" t="inlineStr">
        <is>
          <t>Angular</t>
        </is>
      </c>
      <c r="AS550" s="53" t="inlineStr">
        <is>
          <t>Technical - Developer</t>
        </is>
      </c>
      <c r="AT550" s="53" t="n">
        <v>20</v>
      </c>
      <c r="AU550" s="53" t="inlineStr">
        <is>
          <t>Covered</t>
        </is>
      </c>
      <c r="AV550" s="53" t="n"/>
      <c r="AW550" s="53" t="n"/>
      <c r="AX550" s="53" t="n"/>
      <c r="AY550" s="53" t="n"/>
      <c r="AZ550" s="53" t="n"/>
      <c r="BA550" s="53" t="n"/>
      <c r="BB550" s="53" t="n"/>
      <c r="BC550" s="53" t="n"/>
      <c r="BD550" s="53" t="n"/>
      <c r="BE550" s="53" t="n"/>
      <c r="BF550" s="53" t="n"/>
      <c r="BG550" s="53" t="n"/>
      <c r="BH550" s="53" t="n"/>
      <c r="BI550" s="53" t="n"/>
      <c r="BJ550" s="53" t="n"/>
      <c r="BK550" s="53" t="n"/>
      <c r="BL550" s="53" t="n"/>
      <c r="BM550" s="53" t="n"/>
      <c r="BN550" s="53" t="n"/>
      <c r="BO550" s="53" t="n"/>
      <c r="BP550" s="53" t="n"/>
      <c r="BQ550" s="53" t="n"/>
      <c r="BR550" s="53" t="n"/>
      <c r="BS550" s="53" t="n"/>
      <c r="BT550" s="53" t="n"/>
      <c r="BU550" s="53" t="n"/>
      <c r="BV550" s="53" t="n"/>
      <c r="BW550" s="53" t="n"/>
      <c r="BX550" s="53" t="n"/>
      <c r="BY550" s="53" t="n"/>
      <c r="BZ550" s="53" t="n"/>
      <c r="CA550" s="53" t="n"/>
      <c r="CB550" s="53" t="n"/>
      <c r="CC550" s="53" t="n"/>
      <c r="CD550" s="53" t="n"/>
      <c r="CE550" s="53" t="n"/>
      <c r="CF550" s="53" t="n"/>
      <c r="CG550" s="53" t="n"/>
      <c r="CH550" s="53" t="n"/>
      <c r="CI550" s="53" t="n"/>
      <c r="CJ550" s="53" t="n"/>
      <c r="CK550" s="53" t="n"/>
      <c r="CL550" s="53" t="n"/>
      <c r="CM550" s="53" t="n"/>
      <c r="CN550" s="53" t="n"/>
      <c r="CO550" s="53" t="n"/>
      <c r="CP550" s="53" t="n"/>
      <c r="CQ550" s="53" t="n"/>
      <c r="CR550" s="53" t="n"/>
      <c r="CS550" s="53" t="n"/>
      <c r="CT550" s="53" t="n"/>
      <c r="CU550" s="53" t="n"/>
      <c r="CV550" s="53" t="n"/>
      <c r="CW550" s="53" t="n"/>
      <c r="CX550" s="53" t="n"/>
      <c r="CY550" s="53" t="n"/>
      <c r="CZ550" s="53" t="n"/>
      <c r="DA550" s="53" t="n"/>
      <c r="DB550" s="53" t="n"/>
      <c r="DC550" s="53" t="n"/>
      <c r="DD550" s="53" t="inlineStr">
        <is>
          <t>IRIS2321</t>
        </is>
      </c>
      <c r="DE550" s="53" t="inlineStr">
        <is>
          <t>Employee</t>
        </is>
      </c>
      <c r="DF550" s="53" t="inlineStr">
        <is>
          <t>Active</t>
        </is>
      </c>
      <c r="DG550" s="53" t="inlineStr">
        <is>
          <t>Chandani Gusain</t>
        </is>
      </c>
      <c r="DH550" s="54" t="n">
        <v>45597</v>
      </c>
      <c r="DI550" s="53" t="inlineStr">
        <is>
          <t>Software Engineer</t>
        </is>
      </c>
      <c r="DJ550" s="53" t="inlineStr">
        <is>
          <t>Engineering &amp; Development</t>
        </is>
      </c>
      <c r="DK550" s="53" t="inlineStr">
        <is>
          <t>Software Engineering</t>
        </is>
      </c>
      <c r="DL550" s="53" t="inlineStr">
        <is>
          <t>Software Engineer</t>
        </is>
      </c>
      <c r="DM550" s="53" t="inlineStr">
        <is>
          <t>L3 – Professional / Associate</t>
        </is>
      </c>
      <c r="DN550" s="53" t="inlineStr">
        <is>
          <t>B.SC</t>
        </is>
      </c>
      <c r="DO550" s="53" t="inlineStr">
        <is>
          <t>Sagar Jadhav</t>
        </is>
      </c>
      <c r="DP550" s="53" t="inlineStr">
        <is>
          <t>N-4</t>
        </is>
      </c>
      <c r="DQ550" s="53" t="inlineStr">
        <is>
          <t>Individual Contributor</t>
        </is>
      </c>
      <c r="DR550" s="53" t="inlineStr">
        <is>
          <t>0 years, 0 months, 0 days</t>
        </is>
      </c>
      <c r="DS550" s="53" t="inlineStr">
        <is>
          <t>1 years, 7 months, 19 days</t>
        </is>
      </c>
      <c r="DT550" s="53" t="inlineStr">
        <is>
          <t>1 years, 7 months, 19 days</t>
        </is>
      </c>
      <c r="DU550" s="53" t="n"/>
      <c r="DV550" s="53" t="inlineStr">
        <is>
          <t>Suptech</t>
        </is>
      </c>
      <c r="DW550" s="53" t="inlineStr">
        <is>
          <t>iFile</t>
        </is>
      </c>
      <c r="DX550" s="53" t="inlineStr">
        <is>
          <t>Technology</t>
        </is>
      </c>
      <c r="DY550" s="53" t="inlineStr">
        <is>
          <t>Development</t>
        </is>
      </c>
      <c r="DZ550" s="53" t="inlineStr">
        <is>
          <t>Yes</t>
        </is>
      </c>
      <c r="EA550" s="53" t="inlineStr">
        <is>
          <t>Product/Project</t>
        </is>
      </c>
      <c r="EB550" s="53" t="inlineStr">
        <is>
          <t>Angular</t>
        </is>
      </c>
      <c r="EC550" s="53" t="inlineStr">
        <is>
          <t>Technical - Developer</t>
        </is>
      </c>
      <c r="ED550" s="53" t="inlineStr">
        <is>
          <t>Work From Office - Turbhe</t>
        </is>
      </c>
      <c r="EE550" s="53"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EF55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55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0" s="53" t="n">
        <v>3</v>
      </c>
      <c r="EI550" s="54" t="n">
        <v>46113</v>
      </c>
      <c r="EJ550" s="53" t="inlineStr">
        <is>
          <t>Software Engineer</t>
        </is>
      </c>
      <c r="EK550" s="53" t="inlineStr">
        <is>
          <t>No</t>
        </is>
      </c>
      <c r="EL550" s="53" t="n">
        <v>3</v>
      </c>
      <c r="EM550" s="53" t="inlineStr">
        <is>
          <t>High</t>
        </is>
      </c>
      <c r="EN550" s="53" t="inlineStr">
        <is>
          <t>Trusted Professional</t>
        </is>
      </c>
      <c r="EO550" s="53" t="inlineStr">
        <is>
          <t>No</t>
        </is>
      </c>
      <c r="EP550" s="53" t="inlineStr">
        <is>
          <t>No</t>
        </is>
      </c>
      <c r="EQ550" s="53" t="inlineStr">
        <is>
          <t>Yes</t>
        </is>
      </c>
      <c r="ER550" s="53" t="n"/>
      <c r="ES550" s="53" t="inlineStr">
        <is>
          <t>Architecture &amp; Scalability</t>
        </is>
      </c>
      <c r="ET550" s="53" t="n"/>
      <c r="EU550" s="53" t="n"/>
      <c r="EV550" s="53" t="n"/>
      <c r="EW550" s="52" t="n"/>
      <c r="EX550" s="53" t="n"/>
      <c r="EY550" s="53" t="n"/>
      <c r="EZ550" s="53" t="n"/>
      <c r="FA550" s="53" t="n"/>
      <c r="FB550" s="53" t="n"/>
      <c r="FC550" s="53" t="n"/>
      <c r="FD550" s="53" t="n"/>
      <c r="FE55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55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0" s="56"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FH550" s="56" t="inlineStr">
        <is>
          <t>3</t>
        </is>
      </c>
      <c r="FI550" s="56" t="n"/>
      <c r="FJ550" s="56" t="inlineStr">
        <is>
          <t>Received · manager annual, quarterly, self</t>
        </is>
      </c>
      <c r="FK550" s="56" t="inlineStr">
        <is>
          <t>Talent Mapping · iFile collated</t>
        </is>
      </c>
      <c r="FL550" s="56" t="n">
        <v>20</v>
      </c>
      <c r="FM550" s="32" t="inlineStr">
        <is>
          <t>Full survey answers not in the files received · How We Grow export needed · HR</t>
        </is>
      </c>
      <c r="FN550" s="56" t="inlineStr">
        <is>
          <t>—</t>
        </is>
      </c>
      <c r="FO550" s="56" t="inlineStr">
        <is>
          <t>—</t>
        </is>
      </c>
      <c r="FP550" s="56" t="inlineStr">
        <is>
          <t>—</t>
        </is>
      </c>
      <c r="FQ550" s="56" t="inlineStr">
        <is>
          <t>—</t>
        </is>
      </c>
      <c r="FR550" s="56"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start
Leadership: Evidence reads like A1: No guidance of others described → matches the start
Business Impact: Moved +0.5: the survey / manager mapping marks it business-critical.</t>
        </is>
      </c>
      <c r="FS550"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0" s="56" t="inlineStr">
        <is>
          <t>Self-identified: Leadership &amp; people management · Technical depth &amp; architecture
For the next role: Leadership &amp; people management · Technical depth &amp; architecture</t>
        </is>
      </c>
      <c r="FU550" s="32" t="inlineStr">
        <is>
          <t>Full survey answers not in the files received · How We Grow export needed · HR</t>
        </is>
      </c>
    </row>
    <row r="551" ht="90" customHeight="1">
      <c r="A551" s="51" t="inlineStr">
        <is>
          <t>◂ Back</t>
        </is>
      </c>
      <c r="B551" s="29" t="inlineStr">
        <is>
          <t>Mapped</t>
        </is>
      </c>
      <c r="C551" s="28" t="inlineStr">
        <is>
          <t>iFile</t>
        </is>
      </c>
      <c r="D551" s="29" t="inlineStr">
        <is>
          <t>IRIS2320</t>
        </is>
      </c>
      <c r="E551" s="29" t="inlineStr">
        <is>
          <t>Faisal Pathan</t>
        </is>
      </c>
      <c r="F551" s="29" t="inlineStr">
        <is>
          <t>Technology</t>
        </is>
      </c>
      <c r="G551" s="29" t="inlineStr">
        <is>
          <t>Software Engineer</t>
        </is>
      </c>
      <c r="H551" s="29" t="inlineStr">
        <is>
          <t>UI Developer</t>
        </is>
      </c>
      <c r="I551" s="29" t="inlineStr">
        <is>
          <t>L3 – Professional / Associate</t>
        </is>
      </c>
      <c r="J551" s="29" t="inlineStr">
        <is>
          <t>A2</t>
        </is>
      </c>
      <c r="K551" s="29" t="inlineStr">
        <is>
          <t>• Same level</t>
        </is>
      </c>
      <c r="L551" s="29" t="inlineStr">
        <is>
          <t>Engineering &amp; Development</t>
        </is>
      </c>
      <c r="M551" s="29" t="inlineStr">
        <is>
          <t>Front-End / UI Development</t>
        </is>
      </c>
      <c r="N551" s="29" t="n"/>
      <c r="O551" s="29" t="n">
        <v>20</v>
      </c>
      <c r="P551" s="28" t="inlineStr">
        <is>
          <t>P1–P2</t>
        </is>
      </c>
      <c r="Q551" s="29" t="inlineStr">
        <is>
          <t>Entry / Developing</t>
        </is>
      </c>
      <c r="R551" s="29" t="inlineStr">
        <is>
          <t>2 Assist</t>
        </is>
      </c>
      <c r="S551" s="29" t="inlineStr">
        <is>
          <t>0–2 yrs</t>
        </is>
      </c>
      <c r="T551" s="29" t="inlineStr">
        <is>
          <t>1–3 · 0–3</t>
        </is>
      </c>
      <c r="U551" s="29" t="inlineStr">
        <is>
          <t>Associate Software Engineer / Software Engineer</t>
        </is>
      </c>
      <c r="V551" s="29" t="inlineStr">
        <is>
          <t>Workiva: Associate SE · Broadridge India: SE · Nasdaq / AxiomSL: SE · Salesforce: AMTS · Atlassian: P30 Junior · 0–2 yrs · Freshworks: SE</t>
        </is>
      </c>
      <c r="W551" s="29" t="inlineStr">
        <is>
          <t>SFIA 9 · software development, programming; OWASP secure coding; cloud vendor certifications</t>
        </is>
      </c>
      <c r="X551" s="29" t="inlineStr">
        <is>
          <t>Core 2 · Future 2 · Functional 2 · Leadership not scored</t>
        </is>
      </c>
      <c r="Y551" s="52" t="n">
        <v>350</v>
      </c>
      <c r="Z551" s="53" t="inlineStr">
        <is>
          <t>IRIS2320</t>
        </is>
      </c>
      <c r="AA551" s="53" t="inlineStr">
        <is>
          <t>Employee</t>
        </is>
      </c>
      <c r="AB551" s="53" t="inlineStr">
        <is>
          <t>Active</t>
        </is>
      </c>
      <c r="AC551" s="53" t="inlineStr">
        <is>
          <t>Faisal Pathan</t>
        </is>
      </c>
      <c r="AD551" s="54" t="n">
        <v>45597</v>
      </c>
      <c r="AE551" s="53" t="inlineStr">
        <is>
          <t>Software Engineer</t>
        </is>
      </c>
      <c r="AF551" s="53" t="inlineStr">
        <is>
          <t>B.SC</t>
        </is>
      </c>
      <c r="AG551" s="53" t="inlineStr">
        <is>
          <t>Sagar Jadhav</t>
        </is>
      </c>
      <c r="AH551" s="53" t="inlineStr">
        <is>
          <t>N-3</t>
        </is>
      </c>
      <c r="AI551" s="53" t="inlineStr">
        <is>
          <t>Individual Contributor</t>
        </is>
      </c>
      <c r="AJ551" s="53" t="inlineStr">
        <is>
          <t>0 years, 0 months, 0 days</t>
        </is>
      </c>
      <c r="AK551" s="53" t="inlineStr">
        <is>
          <t>1 years, 9 months, 24 days</t>
        </is>
      </c>
      <c r="AL551" s="53" t="inlineStr">
        <is>
          <t>Suptech</t>
        </is>
      </c>
      <c r="AM551" s="53" t="inlineStr">
        <is>
          <t>iFile</t>
        </is>
      </c>
      <c r="AN551" s="53" t="inlineStr">
        <is>
          <t>Technology</t>
        </is>
      </c>
      <c r="AO551" s="53" t="inlineStr">
        <is>
          <t>Development</t>
        </is>
      </c>
      <c r="AP551" s="53" t="inlineStr">
        <is>
          <t>Yes</t>
        </is>
      </c>
      <c r="AQ551" s="53" t="inlineStr">
        <is>
          <t>Product/Project</t>
        </is>
      </c>
      <c r="AR551" s="53" t="inlineStr">
        <is>
          <t>Angular</t>
        </is>
      </c>
      <c r="AS551" s="53" t="inlineStr">
        <is>
          <t>Technical - Developer</t>
        </is>
      </c>
      <c r="AT551" s="53" t="n">
        <v>20</v>
      </c>
      <c r="AU551" s="53" t="inlineStr">
        <is>
          <t>Covered</t>
        </is>
      </c>
      <c r="AV551" s="53" t="n"/>
      <c r="AW551" s="53" t="n"/>
      <c r="AX551" s="53" t="n"/>
      <c r="AY551" s="53" t="n"/>
      <c r="AZ551" s="53" t="n"/>
      <c r="BA551" s="53" t="n"/>
      <c r="BB551" s="53" t="n"/>
      <c r="BC551" s="53" t="n"/>
      <c r="BD551" s="53" t="n"/>
      <c r="BE551" s="53" t="n"/>
      <c r="BF551" s="53" t="n"/>
      <c r="BG551" s="53" t="n"/>
      <c r="BH551" s="53" t="n"/>
      <c r="BI551" s="53" t="n"/>
      <c r="BJ551" s="53" t="n"/>
      <c r="BK551" s="53" t="n"/>
      <c r="BL551" s="53" t="n"/>
      <c r="BM551" s="53" t="n"/>
      <c r="BN551" s="53" t="n"/>
      <c r="BO551" s="53" t="n"/>
      <c r="BP551" s="53" t="n"/>
      <c r="BQ551" s="53" t="n"/>
      <c r="BR551" s="53" t="n"/>
      <c r="BS551" s="53" t="n"/>
      <c r="BT551" s="53" t="n"/>
      <c r="BU551" s="53" t="n"/>
      <c r="BV551" s="53" t="n"/>
      <c r="BW551" s="53" t="n"/>
      <c r="BX551" s="53" t="n"/>
      <c r="BY551" s="53" t="n"/>
      <c r="BZ551" s="53" t="n"/>
      <c r="CA551" s="53" t="n"/>
      <c r="CB551" s="53" t="n"/>
      <c r="CC551" s="53" t="n"/>
      <c r="CD551" s="53" t="n"/>
      <c r="CE551" s="53" t="n"/>
      <c r="CF551" s="53" t="n"/>
      <c r="CG551" s="53" t="n"/>
      <c r="CH551" s="53" t="n"/>
      <c r="CI551" s="53" t="n"/>
      <c r="CJ551" s="53" t="n"/>
      <c r="CK551" s="53" t="n"/>
      <c r="CL551" s="53" t="n"/>
      <c r="CM551" s="53" t="n"/>
      <c r="CN551" s="53" t="n"/>
      <c r="CO551" s="53" t="n"/>
      <c r="CP551" s="53" t="n"/>
      <c r="CQ551" s="53" t="n"/>
      <c r="CR551" s="53" t="n"/>
      <c r="CS551" s="53" t="n"/>
      <c r="CT551" s="53" t="n"/>
      <c r="CU551" s="53" t="n"/>
      <c r="CV551" s="53" t="n"/>
      <c r="CW551" s="53" t="n"/>
      <c r="CX551" s="53" t="n"/>
      <c r="CY551" s="53" t="n"/>
      <c r="CZ551" s="53" t="n"/>
      <c r="DA551" s="53" t="n"/>
      <c r="DB551" s="53" t="n"/>
      <c r="DC551" s="53" t="n"/>
      <c r="DD551" s="53" t="inlineStr">
        <is>
          <t>IRIS2320</t>
        </is>
      </c>
      <c r="DE551" s="53" t="inlineStr">
        <is>
          <t>Employee</t>
        </is>
      </c>
      <c r="DF551" s="53" t="inlineStr">
        <is>
          <t>Active</t>
        </is>
      </c>
      <c r="DG551" s="53" t="inlineStr">
        <is>
          <t>Faisal Pathan</t>
        </is>
      </c>
      <c r="DH551" s="54" t="n">
        <v>45597</v>
      </c>
      <c r="DI551" s="53" t="inlineStr">
        <is>
          <t>Software Engineer</t>
        </is>
      </c>
      <c r="DJ551" s="53" t="inlineStr">
        <is>
          <t>Engineering &amp; Development</t>
        </is>
      </c>
      <c r="DK551" s="53" t="inlineStr">
        <is>
          <t>Software Engineering</t>
        </is>
      </c>
      <c r="DL551" s="53" t="inlineStr">
        <is>
          <t>Software Engineer</t>
        </is>
      </c>
      <c r="DM551" s="53" t="inlineStr">
        <is>
          <t>L3 – Professional / Associate</t>
        </is>
      </c>
      <c r="DN551" s="53" t="inlineStr">
        <is>
          <t>B.SC</t>
        </is>
      </c>
      <c r="DO551" s="53" t="inlineStr">
        <is>
          <t>Sagar Jadhav</t>
        </is>
      </c>
      <c r="DP551" s="53" t="inlineStr">
        <is>
          <t>N-4</t>
        </is>
      </c>
      <c r="DQ551" s="53" t="inlineStr">
        <is>
          <t>Individual Contributor</t>
        </is>
      </c>
      <c r="DR551" s="53" t="inlineStr">
        <is>
          <t>0 years, 0 months, 0 days</t>
        </is>
      </c>
      <c r="DS551" s="53" t="inlineStr">
        <is>
          <t>1 years, 7 months, 19 days</t>
        </is>
      </c>
      <c r="DT551" s="53" t="inlineStr">
        <is>
          <t>1 years, 7 months, 19 days</t>
        </is>
      </c>
      <c r="DU551" s="53" t="n"/>
      <c r="DV551" s="53" t="inlineStr">
        <is>
          <t>Suptech</t>
        </is>
      </c>
      <c r="DW551" s="53" t="inlineStr">
        <is>
          <t>iFile</t>
        </is>
      </c>
      <c r="DX551" s="53" t="inlineStr">
        <is>
          <t>Technology</t>
        </is>
      </c>
      <c r="DY551" s="53" t="inlineStr">
        <is>
          <t>Development</t>
        </is>
      </c>
      <c r="DZ551" s="53" t="inlineStr">
        <is>
          <t>Yes</t>
        </is>
      </c>
      <c r="EA551" s="53" t="inlineStr">
        <is>
          <t>Product/Project</t>
        </is>
      </c>
      <c r="EB551" s="53" t="inlineStr">
        <is>
          <t>Angular</t>
        </is>
      </c>
      <c r="EC551" s="53" t="inlineStr">
        <is>
          <t>Technical - Developer</t>
        </is>
      </c>
      <c r="ED551" s="53" t="inlineStr">
        <is>
          <t>Work From Office - Turbhe</t>
        </is>
      </c>
      <c r="EE551" s="53"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EF55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G55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1" s="53" t="n">
        <v>4</v>
      </c>
      <c r="EI551" s="54" t="n">
        <v>46113</v>
      </c>
      <c r="EJ551" s="53" t="inlineStr">
        <is>
          <t>Software Engineer</t>
        </is>
      </c>
      <c r="EK551" s="53" t="inlineStr">
        <is>
          <t>No</t>
        </is>
      </c>
      <c r="EL551" s="53" t="n">
        <v>4</v>
      </c>
      <c r="EM551" s="53" t="inlineStr">
        <is>
          <t>High</t>
        </is>
      </c>
      <c r="EN551" s="53" t="inlineStr">
        <is>
          <t>High Impact / Growth Talent</t>
        </is>
      </c>
      <c r="EO551" s="53" t="inlineStr">
        <is>
          <t>Yes</t>
        </is>
      </c>
      <c r="EP551" s="53" t="inlineStr">
        <is>
          <t>No</t>
        </is>
      </c>
      <c r="EQ551" s="53" t="inlineStr">
        <is>
          <t>Yes</t>
        </is>
      </c>
      <c r="ER551" s="53" t="n"/>
      <c r="ES551" s="53" t="inlineStr">
        <is>
          <t>Architecture &amp; Scalability</t>
        </is>
      </c>
      <c r="ET551" s="53" t="n"/>
      <c r="EU551" s="53" t="n"/>
      <c r="EV551" s="53" t="n"/>
      <c r="EW551" s="52" t="n"/>
      <c r="EX551" s="53" t="n"/>
      <c r="EY551" s="53" t="n"/>
      <c r="EZ551" s="53" t="n"/>
      <c r="FA551" s="53" t="n"/>
      <c r="FB551" s="53" t="n"/>
      <c r="FC551" s="53" t="n"/>
      <c r="FD551" s="53" t="n"/>
      <c r="FE55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FF55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1" s="56"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FH551" s="56" t="inlineStr">
        <is>
          <t>4</t>
        </is>
      </c>
      <c r="FI551" s="56" t="n"/>
      <c r="FJ551" s="56" t="inlineStr">
        <is>
          <t>Received · manager annual, quarterly, self</t>
        </is>
      </c>
      <c r="FK551" s="56" t="inlineStr">
        <is>
          <t>Talent Mapping · iFile collated</t>
        </is>
      </c>
      <c r="FL551" s="56" t="n">
        <v>20</v>
      </c>
      <c r="FM551" s="32" t="inlineStr">
        <is>
          <t>Full survey answers not in the files received · How We Grow export needed · HR</t>
        </is>
      </c>
      <c r="FN551" s="56" t="inlineStr">
        <is>
          <t>—</t>
        </is>
      </c>
      <c r="FO551" s="56" t="inlineStr">
        <is>
          <t>—</t>
        </is>
      </c>
      <c r="FP551" s="56" t="inlineStr">
        <is>
          <t>—</t>
        </is>
      </c>
      <c r="FQ551" s="56" t="inlineStr">
        <is>
          <t>—</t>
        </is>
      </c>
      <c r="FR551" s="56" t="inlineStr">
        <is>
          <t>Business Impact: Moved +0.5: the survey / manager mapping marks it business-critical.</t>
        </is>
      </c>
      <c r="FS55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1"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551" s="32" t="inlineStr">
        <is>
          <t>Full survey answers not in the files received · How We Grow export needed · HR</t>
        </is>
      </c>
    </row>
    <row r="552" ht="90" customHeight="1">
      <c r="A552" s="51" t="inlineStr">
        <is>
          <t>◂ Back</t>
        </is>
      </c>
      <c r="B552" s="29" t="inlineStr">
        <is>
          <t>Mapped</t>
        </is>
      </c>
      <c r="C552" s="28" t="inlineStr">
        <is>
          <t>iFile</t>
        </is>
      </c>
      <c r="D552" s="29" t="inlineStr">
        <is>
          <t>IRIS2322</t>
        </is>
      </c>
      <c r="E552" s="29" t="inlineStr">
        <is>
          <t>Lalita Dixit</t>
        </is>
      </c>
      <c r="F552" s="29" t="inlineStr">
        <is>
          <t>Technology</t>
        </is>
      </c>
      <c r="G552" s="29" t="inlineStr">
        <is>
          <t>Software Engineer</t>
        </is>
      </c>
      <c r="H552" s="29" t="inlineStr">
        <is>
          <t>UI Developer</t>
        </is>
      </c>
      <c r="I552" s="29" t="inlineStr">
        <is>
          <t>L3 – Professional / Associate</t>
        </is>
      </c>
      <c r="J552" s="29" t="inlineStr">
        <is>
          <t>A2</t>
        </is>
      </c>
      <c r="K552" s="29" t="inlineStr">
        <is>
          <t>• Same level</t>
        </is>
      </c>
      <c r="L552" s="29" t="inlineStr">
        <is>
          <t>Engineering &amp; Development</t>
        </is>
      </c>
      <c r="M552" s="29" t="inlineStr">
        <is>
          <t>Front-End / UI Development</t>
        </is>
      </c>
      <c r="N552" s="29" t="n"/>
      <c r="O552" s="29" t="n">
        <v>20</v>
      </c>
      <c r="P552" s="28" t="inlineStr">
        <is>
          <t>P1–P2</t>
        </is>
      </c>
      <c r="Q552" s="29" t="inlineStr">
        <is>
          <t>Entry / Developing</t>
        </is>
      </c>
      <c r="R552" s="29" t="inlineStr">
        <is>
          <t>2 Assist</t>
        </is>
      </c>
      <c r="S552" s="29" t="inlineStr">
        <is>
          <t>0–2 yrs</t>
        </is>
      </c>
      <c r="T552" s="29" t="inlineStr">
        <is>
          <t>1–3 · 0–3</t>
        </is>
      </c>
      <c r="U552" s="29" t="inlineStr">
        <is>
          <t>Associate Software Engineer / Software Engineer</t>
        </is>
      </c>
      <c r="V552" s="29" t="inlineStr">
        <is>
          <t>Workiva: Associate SE · Broadridge India: SE · Nasdaq / AxiomSL: SE · Salesforce: AMTS · Atlassian: P30 Junior · 0–2 yrs · Freshworks: SE</t>
        </is>
      </c>
      <c r="W552" s="29" t="inlineStr">
        <is>
          <t>SFIA 9 · software development, programming; OWASP secure coding; cloud vendor certifications</t>
        </is>
      </c>
      <c r="X552" s="29" t="inlineStr">
        <is>
          <t>Core 2 · Future 2 · Functional 2 · Leadership not scored</t>
        </is>
      </c>
      <c r="Y552" s="52" t="n">
        <v>352</v>
      </c>
      <c r="Z552" s="53" t="inlineStr">
        <is>
          <t>IRIS2322</t>
        </is>
      </c>
      <c r="AA552" s="53" t="inlineStr">
        <is>
          <t>Employee</t>
        </is>
      </c>
      <c r="AB552" s="53" t="inlineStr">
        <is>
          <t>Active</t>
        </is>
      </c>
      <c r="AC552" s="53" t="inlineStr">
        <is>
          <t>Lalita Dixit</t>
        </is>
      </c>
      <c r="AD552" s="54" t="n">
        <v>45597</v>
      </c>
      <c r="AE552" s="53" t="inlineStr">
        <is>
          <t>Software Engineer</t>
        </is>
      </c>
      <c r="AF552" s="53" t="inlineStr">
        <is>
          <t>B.SC</t>
        </is>
      </c>
      <c r="AG552" s="53" t="inlineStr">
        <is>
          <t>Sagar Jadhav</t>
        </is>
      </c>
      <c r="AH552" s="53" t="inlineStr">
        <is>
          <t>N-3</t>
        </is>
      </c>
      <c r="AI552" s="53" t="inlineStr">
        <is>
          <t>Individual Contributor</t>
        </is>
      </c>
      <c r="AJ552" s="53" t="inlineStr">
        <is>
          <t>0 years, 0 months, 0 days</t>
        </is>
      </c>
      <c r="AK552" s="53" t="inlineStr">
        <is>
          <t>1 years, 9 months, 24 days</t>
        </is>
      </c>
      <c r="AL552" s="53" t="inlineStr">
        <is>
          <t>Suptech</t>
        </is>
      </c>
      <c r="AM552" s="53" t="inlineStr">
        <is>
          <t>iFile</t>
        </is>
      </c>
      <c r="AN552" s="53" t="inlineStr">
        <is>
          <t>Technology</t>
        </is>
      </c>
      <c r="AO552" s="53" t="inlineStr">
        <is>
          <t>Development</t>
        </is>
      </c>
      <c r="AP552" s="53" t="inlineStr">
        <is>
          <t>Yes</t>
        </is>
      </c>
      <c r="AQ552" s="53" t="inlineStr">
        <is>
          <t>Product/Project</t>
        </is>
      </c>
      <c r="AR552" s="53" t="inlineStr">
        <is>
          <t>Angular</t>
        </is>
      </c>
      <c r="AS552" s="53" t="inlineStr">
        <is>
          <t>Technical - Developer</t>
        </is>
      </c>
      <c r="AT552" s="53" t="n">
        <v>20</v>
      </c>
      <c r="AU552" s="53" t="inlineStr">
        <is>
          <t>Covered</t>
        </is>
      </c>
      <c r="AV552" s="53" t="n"/>
      <c r="AW552" s="53" t="n"/>
      <c r="AX552" s="53" t="n"/>
      <c r="AY552" s="53" t="n"/>
      <c r="AZ552" s="53" t="n"/>
      <c r="BA552" s="53" t="n"/>
      <c r="BB552" s="53" t="n"/>
      <c r="BC552" s="53" t="n"/>
      <c r="BD552" s="53" t="n"/>
      <c r="BE552" s="53" t="n"/>
      <c r="BF552" s="53" t="n"/>
      <c r="BG552" s="53" t="n"/>
      <c r="BH552" s="53" t="n"/>
      <c r="BI552" s="53" t="n"/>
      <c r="BJ552" s="53" t="n"/>
      <c r="BK552" s="53" t="n"/>
      <c r="BL552" s="53" t="n"/>
      <c r="BM552" s="53" t="n"/>
      <c r="BN552" s="53" t="n"/>
      <c r="BO552" s="53" t="n"/>
      <c r="BP552" s="53" t="n"/>
      <c r="BQ552" s="53" t="n"/>
      <c r="BR552" s="53" t="n"/>
      <c r="BS552" s="53" t="n"/>
      <c r="BT552" s="53" t="n"/>
      <c r="BU552" s="53" t="n"/>
      <c r="BV552" s="53" t="n"/>
      <c r="BW552" s="53" t="n"/>
      <c r="BX552" s="53" t="n"/>
      <c r="BY552" s="53" t="n"/>
      <c r="BZ552" s="53" t="n"/>
      <c r="CA552" s="53" t="n"/>
      <c r="CB552" s="53" t="n"/>
      <c r="CC552" s="53" t="n"/>
      <c r="CD552" s="53" t="n"/>
      <c r="CE552" s="53" t="n"/>
      <c r="CF552" s="53" t="n"/>
      <c r="CG552" s="53" t="n"/>
      <c r="CH552" s="53" t="n"/>
      <c r="CI552" s="53" t="n"/>
      <c r="CJ552" s="53" t="n"/>
      <c r="CK552" s="53" t="n"/>
      <c r="CL552" s="53" t="n"/>
      <c r="CM552" s="53" t="n"/>
      <c r="CN552" s="53" t="n"/>
      <c r="CO552" s="53" t="n"/>
      <c r="CP552" s="53" t="n"/>
      <c r="CQ552" s="53" t="n"/>
      <c r="CR552" s="53" t="n"/>
      <c r="CS552" s="53" t="n"/>
      <c r="CT552" s="53" t="n"/>
      <c r="CU552" s="53" t="n"/>
      <c r="CV552" s="53" t="n"/>
      <c r="CW552" s="53" t="n"/>
      <c r="CX552" s="53" t="n"/>
      <c r="CY552" s="53" t="n"/>
      <c r="CZ552" s="53" t="n"/>
      <c r="DA552" s="53" t="n"/>
      <c r="DB552" s="53" t="n"/>
      <c r="DC552" s="53" t="n"/>
      <c r="DD552" s="53" t="inlineStr">
        <is>
          <t>IRIS2322</t>
        </is>
      </c>
      <c r="DE552" s="53" t="inlineStr">
        <is>
          <t>Employee</t>
        </is>
      </c>
      <c r="DF552" s="53" t="inlineStr">
        <is>
          <t>Active</t>
        </is>
      </c>
      <c r="DG552" s="53" t="inlineStr">
        <is>
          <t>Lalita Dixit</t>
        </is>
      </c>
      <c r="DH552" s="54" t="n">
        <v>45597</v>
      </c>
      <c r="DI552" s="53" t="inlineStr">
        <is>
          <t>Software Engineer</t>
        </is>
      </c>
      <c r="DJ552" s="53" t="inlineStr">
        <is>
          <t>Engineering &amp; Development</t>
        </is>
      </c>
      <c r="DK552" s="53" t="inlineStr">
        <is>
          <t>Software Engineering</t>
        </is>
      </c>
      <c r="DL552" s="53" t="inlineStr">
        <is>
          <t>Software Engineer</t>
        </is>
      </c>
      <c r="DM552" s="53" t="inlineStr">
        <is>
          <t>L3 – Professional / Associate</t>
        </is>
      </c>
      <c r="DN552" s="53" t="inlineStr">
        <is>
          <t>B.SC</t>
        </is>
      </c>
      <c r="DO552" s="53" t="inlineStr">
        <is>
          <t>Sagar Jadhav</t>
        </is>
      </c>
      <c r="DP552" s="53" t="inlineStr">
        <is>
          <t>N-4</t>
        </is>
      </c>
      <c r="DQ552" s="53" t="inlineStr">
        <is>
          <t>Individual Contributor</t>
        </is>
      </c>
      <c r="DR552" s="53" t="inlineStr">
        <is>
          <t>0 years, 0 months, 0 days</t>
        </is>
      </c>
      <c r="DS552" s="53" t="inlineStr">
        <is>
          <t>1 years, 7 months, 19 days</t>
        </is>
      </c>
      <c r="DT552" s="53" t="inlineStr">
        <is>
          <t>1 years, 7 months, 19 days</t>
        </is>
      </c>
      <c r="DU552" s="53" t="n"/>
      <c r="DV552" s="53" t="inlineStr">
        <is>
          <t>Suptech</t>
        </is>
      </c>
      <c r="DW552" s="53" t="inlineStr">
        <is>
          <t>iFile</t>
        </is>
      </c>
      <c r="DX552" s="53" t="inlineStr">
        <is>
          <t>Technology</t>
        </is>
      </c>
      <c r="DY552" s="53" t="inlineStr">
        <is>
          <t>Development</t>
        </is>
      </c>
      <c r="DZ552" s="53" t="inlineStr">
        <is>
          <t>Yes</t>
        </is>
      </c>
      <c r="EA552" s="53" t="inlineStr">
        <is>
          <t>Product/Project</t>
        </is>
      </c>
      <c r="EB552" s="53" t="inlineStr">
        <is>
          <t>Angular</t>
        </is>
      </c>
      <c r="EC552" s="53" t="inlineStr">
        <is>
          <t>Technical - Developer</t>
        </is>
      </c>
      <c r="ED552" s="53" t="inlineStr">
        <is>
          <t>Work From Office - Turbhe</t>
        </is>
      </c>
      <c r="EE552" s="53"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EF55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55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2" s="53" t="n">
        <v>3</v>
      </c>
      <c r="EI552" s="54" t="n">
        <v>46113</v>
      </c>
      <c r="EJ552" s="53" t="inlineStr">
        <is>
          <t>Software Engineer</t>
        </is>
      </c>
      <c r="EK552" s="53" t="inlineStr">
        <is>
          <t>No</t>
        </is>
      </c>
      <c r="EL552" s="53" t="n">
        <v>3</v>
      </c>
      <c r="EM552" s="53" t="inlineStr">
        <is>
          <t>Medium</t>
        </is>
      </c>
      <c r="EN552" s="53" t="inlineStr">
        <is>
          <t>Reliable Specialist</t>
        </is>
      </c>
      <c r="EO552" s="53" t="inlineStr">
        <is>
          <t>No</t>
        </is>
      </c>
      <c r="EP552" s="53" t="inlineStr">
        <is>
          <t>No</t>
        </is>
      </c>
      <c r="EQ552" s="53" t="inlineStr">
        <is>
          <t>Yes</t>
        </is>
      </c>
      <c r="ER552" s="53" t="n"/>
      <c r="ES552" s="53" t="n"/>
      <c r="ET552" s="53" t="n"/>
      <c r="EU552" s="53" t="n"/>
      <c r="EV552" s="53" t="n"/>
      <c r="EW552" s="52" t="n"/>
      <c r="EX552" s="53" t="n"/>
      <c r="EY552" s="53" t="n"/>
      <c r="EZ552" s="53" t="n"/>
      <c r="FA552" s="53" t="n"/>
      <c r="FB552" s="53" t="n"/>
      <c r="FC552" s="53" t="n"/>
      <c r="FD552" s="53" t="n"/>
      <c r="FE55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55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2" s="56"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FH552" s="56" t="inlineStr">
        <is>
          <t>3</t>
        </is>
      </c>
      <c r="FI552" s="56" t="n"/>
      <c r="FJ552" s="56" t="inlineStr">
        <is>
          <t>Received · manager annual, quarterly, self</t>
        </is>
      </c>
      <c r="FK552" s="56" t="inlineStr">
        <is>
          <t>Talent Mapping · iFile collated</t>
        </is>
      </c>
      <c r="FL552" s="56" t="n">
        <v>20</v>
      </c>
      <c r="FM552" s="32" t="inlineStr">
        <is>
          <t>Full survey answers not in the files received · How We Grow export needed · HR</t>
        </is>
      </c>
      <c r="FN552" s="56" t="inlineStr">
        <is>
          <t>—</t>
        </is>
      </c>
      <c r="FO552" s="56" t="inlineStr">
        <is>
          <t>—</t>
        </is>
      </c>
      <c r="FP552" s="56" t="inlineStr">
        <is>
          <t>—</t>
        </is>
      </c>
      <c r="FQ552" s="56" t="inlineStr">
        <is>
          <t>—</t>
        </is>
      </c>
      <c r="FR552" s="56" t="inlineStr">
        <is>
          <t>Business Impact: Moved +0.5: the survey / manager mapping marks it business-critical.</t>
        </is>
      </c>
      <c r="FS552"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2" s="56" t="inlineStr">
        <is>
          <t>Self-identified: Leadership &amp; people management · Project / programme management · Technical depth &amp; architecture
For the next role: Leadership &amp; people management · Project / programme management · Technical depth &amp; architecture</t>
        </is>
      </c>
      <c r="FU552" s="32" t="inlineStr">
        <is>
          <t>Full survey answers not in the files received · How We Grow export needed · HR</t>
        </is>
      </c>
    </row>
    <row r="553" ht="90" customHeight="1">
      <c r="A553" s="51" t="inlineStr">
        <is>
          <t>◂ Back</t>
        </is>
      </c>
      <c r="B553" s="29" t="inlineStr">
        <is>
          <t>Mapped</t>
        </is>
      </c>
      <c r="C553" s="28" t="inlineStr">
        <is>
          <t>iFile</t>
        </is>
      </c>
      <c r="D553" s="29" t="inlineStr">
        <is>
          <t>IRIS1640</t>
        </is>
      </c>
      <c r="E553" s="29" t="inlineStr">
        <is>
          <t>Vivek Shinde</t>
        </is>
      </c>
      <c r="F553" s="29" t="inlineStr">
        <is>
          <t>Technology</t>
        </is>
      </c>
      <c r="G553" s="29" t="inlineStr">
        <is>
          <t>Senior Software Engineer</t>
        </is>
      </c>
      <c r="H553" s="29" t="inlineStr">
        <is>
          <t>Technical Specialist – POD Lead</t>
        </is>
      </c>
      <c r="I553" s="29" t="inlineStr">
        <is>
          <t>L4 – Senior</t>
        </is>
      </c>
      <c r="J553" s="29" t="inlineStr">
        <is>
          <t>B1</t>
        </is>
      </c>
      <c r="K553" s="29" t="inlineStr">
        <is>
          <t>▲ Up</t>
        </is>
      </c>
      <c r="L553" s="29" t="inlineStr">
        <is>
          <t>Engineering &amp; Development</t>
        </is>
      </c>
      <c r="M553" s="29" t="inlineStr">
        <is>
          <t>Backend Development</t>
        </is>
      </c>
      <c r="N553" s="29" t="n"/>
      <c r="O553" s="29" t="n">
        <v>20</v>
      </c>
      <c r="P553" s="28" t="inlineStr">
        <is>
          <t>P3 / M2</t>
        </is>
      </c>
      <c r="Q553" s="29" t="inlineStr">
        <is>
          <t>Career / · Team Lead</t>
        </is>
      </c>
      <c r="R553" s="29" t="inlineStr">
        <is>
          <t>4 Enable</t>
        </is>
      </c>
      <c r="S553" s="29" t="inlineStr">
        <is>
          <t>4–7 yrs</t>
        </is>
      </c>
      <c r="T553" s="29" t="inlineStr">
        <is>
          <t>5–8 · 4–8</t>
        </is>
      </c>
      <c r="U553" s="29" t="inlineStr">
        <is>
          <t>Senior Software Engineer</t>
        </is>
      </c>
      <c r="V553" s="29" t="inlineStr">
        <is>
          <t>Workiva: SE / Senior SE · Broadridge India: Senior SE · Nasdaq / AxiomSL: Senior SE · Salesforce: MTS · Atlassian: P40 · Freshworks: Senior SE</t>
        </is>
      </c>
      <c r="W553" s="29" t="inlineStr">
        <is>
          <t>SFIA 9 · software development, programming; OWASP secure coding; cloud vendor certifications</t>
        </is>
      </c>
      <c r="X553" s="29" t="inlineStr">
        <is>
          <t>Core 3 · Future 3 · Functional 3 · Leadership 2</t>
        </is>
      </c>
      <c r="Y553" s="52" t="n">
        <v>134</v>
      </c>
      <c r="Z553" s="53" t="inlineStr">
        <is>
          <t>IRIS1640</t>
        </is>
      </c>
      <c r="AA553" s="53" t="inlineStr">
        <is>
          <t>Employee</t>
        </is>
      </c>
      <c r="AB553" s="53" t="inlineStr">
        <is>
          <t>Active</t>
        </is>
      </c>
      <c r="AC553" s="53" t="inlineStr">
        <is>
          <t>Vivek Shinde</t>
        </is>
      </c>
      <c r="AD553" s="54" t="n">
        <v>42863</v>
      </c>
      <c r="AE553" s="53" t="inlineStr">
        <is>
          <t>Senior Software Engineer</t>
        </is>
      </c>
      <c r="AF553" s="53" t="inlineStr">
        <is>
          <t>MMS</t>
        </is>
      </c>
      <c r="AG553" s="53" t="inlineStr">
        <is>
          <t>Suman Kumar</t>
        </is>
      </c>
      <c r="AH553" s="53" t="inlineStr">
        <is>
          <t>N-2</t>
        </is>
      </c>
      <c r="AI553" s="53" t="inlineStr">
        <is>
          <t>Manager</t>
        </is>
      </c>
      <c r="AJ553" s="53" t="inlineStr">
        <is>
          <t>0 years, 0 months, 0 days</t>
        </is>
      </c>
      <c r="AK553" s="53" t="inlineStr">
        <is>
          <t>9 years, 3 months, 17 days</t>
        </is>
      </c>
      <c r="AL553" s="53" t="inlineStr">
        <is>
          <t>Suptech</t>
        </is>
      </c>
      <c r="AM553" s="53" t="inlineStr">
        <is>
          <t>iFile</t>
        </is>
      </c>
      <c r="AN553" s="53" t="inlineStr">
        <is>
          <t>Technology</t>
        </is>
      </c>
      <c r="AO553" s="53" t="inlineStr">
        <is>
          <t>Development</t>
        </is>
      </c>
      <c r="AP553" s="53" t="inlineStr">
        <is>
          <t>Yes</t>
        </is>
      </c>
      <c r="AQ553" s="53" t="inlineStr">
        <is>
          <t>Product/Project</t>
        </is>
      </c>
      <c r="AR553" s="53" t="inlineStr">
        <is>
          <t>Java</t>
        </is>
      </c>
      <c r="AS553" s="53" t="inlineStr">
        <is>
          <t>Technical - Developer</t>
        </is>
      </c>
      <c r="AT553" s="53" t="n">
        <v>20</v>
      </c>
      <c r="AU553" s="53" t="inlineStr">
        <is>
          <t>Covered</t>
        </is>
      </c>
      <c r="AV553" s="53" t="n"/>
      <c r="AW553" s="53" t="n"/>
      <c r="AX553" s="53" t="n"/>
      <c r="AY553" s="53" t="n"/>
      <c r="AZ553" s="53" t="n"/>
      <c r="BA553" s="53" t="n"/>
      <c r="BB553" s="53" t="n"/>
      <c r="BC553" s="53" t="n"/>
      <c r="BD553" s="53" t="n"/>
      <c r="BE553" s="53" t="n"/>
      <c r="BF553" s="53" t="n"/>
      <c r="BG553" s="53" t="n"/>
      <c r="BH553" s="53" t="n"/>
      <c r="BI553" s="53" t="n"/>
      <c r="BJ553" s="53" t="n"/>
      <c r="BK553" s="53" t="n"/>
      <c r="BL553" s="53" t="n"/>
      <c r="BM553" s="53" t="n"/>
      <c r="BN553" s="53" t="n"/>
      <c r="BO553" s="53" t="n"/>
      <c r="BP553" s="53" t="n"/>
      <c r="BQ553" s="53" t="n"/>
      <c r="BR553" s="53" t="n"/>
      <c r="BS553" s="53" t="n"/>
      <c r="BT553" s="53" t="n"/>
      <c r="BU553" s="53" t="n"/>
      <c r="BV553" s="53" t="n"/>
      <c r="BW553" s="53" t="n"/>
      <c r="BX553" s="53" t="n"/>
      <c r="BY553" s="53" t="n"/>
      <c r="BZ553" s="53" t="n"/>
      <c r="CA553" s="53" t="n"/>
      <c r="CB553" s="53" t="n"/>
      <c r="CC553" s="53" t="n"/>
      <c r="CD553" s="53" t="n"/>
      <c r="CE553" s="53" t="n"/>
      <c r="CF553" s="53" t="n"/>
      <c r="CG553" s="53" t="n"/>
      <c r="CH553" s="53" t="n"/>
      <c r="CI553" s="53" t="n"/>
      <c r="CJ553" s="53" t="n"/>
      <c r="CK553" s="53" t="n"/>
      <c r="CL553" s="53" t="n"/>
      <c r="CM553" s="53" t="n"/>
      <c r="CN553" s="53" t="n"/>
      <c r="CO553" s="53" t="n"/>
      <c r="CP553" s="53" t="n"/>
      <c r="CQ553" s="53" t="n"/>
      <c r="CR553" s="53" t="n"/>
      <c r="CS553" s="53" t="n"/>
      <c r="CT553" s="53" t="n"/>
      <c r="CU553" s="53" t="n"/>
      <c r="CV553" s="53" t="n"/>
      <c r="CW553" s="53" t="n"/>
      <c r="CX553" s="53" t="n"/>
      <c r="CY553" s="53" t="n"/>
      <c r="CZ553" s="53" t="n"/>
      <c r="DA553" s="53" t="n"/>
      <c r="DB553" s="53" t="n"/>
      <c r="DC553" s="53" t="n"/>
      <c r="DD553" s="53" t="inlineStr">
        <is>
          <t>IRIS1640</t>
        </is>
      </c>
      <c r="DE553" s="53" t="inlineStr">
        <is>
          <t>Employee</t>
        </is>
      </c>
      <c r="DF553" s="53" t="inlineStr">
        <is>
          <t>Active</t>
        </is>
      </c>
      <c r="DG553" s="53" t="inlineStr">
        <is>
          <t>Vivek Shinde</t>
        </is>
      </c>
      <c r="DH553" s="54" t="n">
        <v>42863</v>
      </c>
      <c r="DI553" s="53" t="inlineStr">
        <is>
          <t>Senior Software Engineer</t>
        </is>
      </c>
      <c r="DJ553" s="53" t="inlineStr">
        <is>
          <t>Engineering &amp; Development</t>
        </is>
      </c>
      <c r="DK553" s="53" t="inlineStr">
        <is>
          <t>Backend Engineering · Java</t>
        </is>
      </c>
      <c r="DL553" s="53" t="inlineStr">
        <is>
          <t>Senior Software Engineer</t>
        </is>
      </c>
      <c r="DM553" s="53" t="inlineStr">
        <is>
          <t>L4 – Senior</t>
        </is>
      </c>
      <c r="DN553" s="53" t="inlineStr">
        <is>
          <t>MMS</t>
        </is>
      </c>
      <c r="DO553" s="53" t="inlineStr">
        <is>
          <t>Suman Kumar</t>
        </is>
      </c>
      <c r="DP553" s="53" t="inlineStr">
        <is>
          <t>N-3</t>
        </is>
      </c>
      <c r="DQ553" s="53" t="inlineStr">
        <is>
          <t>Manager</t>
        </is>
      </c>
      <c r="DR553" s="53" t="inlineStr">
        <is>
          <t>0 years, 0 months, 0 days</t>
        </is>
      </c>
      <c r="DS553" s="53" t="inlineStr">
        <is>
          <t>9 years, 1 months, 12 days</t>
        </is>
      </c>
      <c r="DT553" s="53" t="inlineStr">
        <is>
          <t>9 years, 1 months, 12 days</t>
        </is>
      </c>
      <c r="DU553" s="53" t="n">
        <v>9.1162100456621</v>
      </c>
      <c r="DV553" s="53" t="inlineStr">
        <is>
          <t>Suptech</t>
        </is>
      </c>
      <c r="DW553" s="53" t="inlineStr">
        <is>
          <t>iFile</t>
        </is>
      </c>
      <c r="DX553" s="53" t="inlineStr">
        <is>
          <t>Technology</t>
        </is>
      </c>
      <c r="DY553" s="53" t="inlineStr">
        <is>
          <t>Development</t>
        </is>
      </c>
      <c r="DZ553" s="53" t="inlineStr">
        <is>
          <t>Yes</t>
        </is>
      </c>
      <c r="EA553" s="53" t="inlineStr">
        <is>
          <t>Product/Project</t>
        </is>
      </c>
      <c r="EB553" s="53" t="inlineStr">
        <is>
          <t>Java</t>
        </is>
      </c>
      <c r="EC553" s="53" t="inlineStr">
        <is>
          <t>Technical - Developer</t>
        </is>
      </c>
      <c r="ED553" s="53" t="inlineStr">
        <is>
          <t>Work From Office - Turbhe</t>
        </is>
      </c>
      <c r="EE553" s="53"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EF553"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G553" s="53" t="inlineStr">
        <is>
          <t>Q1: Deliver team release roadmap on schedule: &gt;=90% of committed releases on time
Q1: Keep team sprint velocity stable and defect leakage &lt;=5%
Q1: Drive production stability: critical incidents resolved within SLA &gt;=95%</t>
        </is>
      </c>
      <c r="EH553" s="53" t="n">
        <v>3</v>
      </c>
      <c r="EI553" s="54" t="n">
        <v>46113</v>
      </c>
      <c r="EJ553" s="53" t="inlineStr">
        <is>
          <t>Senior Software Engineer</t>
        </is>
      </c>
      <c r="EK553" s="53" t="inlineStr">
        <is>
          <t>No</t>
        </is>
      </c>
      <c r="EL553" s="53" t="n">
        <v>3</v>
      </c>
      <c r="EM553" s="53" t="inlineStr">
        <is>
          <t>Low</t>
        </is>
      </c>
      <c r="EN553" s="53" t="inlineStr">
        <is>
          <t>Reliable Specialist</t>
        </is>
      </c>
      <c r="EO553" s="53" t="inlineStr">
        <is>
          <t>No</t>
        </is>
      </c>
      <c r="EP553" s="53" t="inlineStr">
        <is>
          <t>No</t>
        </is>
      </c>
      <c r="EQ553" s="53" t="inlineStr">
        <is>
          <t>Yes</t>
        </is>
      </c>
      <c r="ER553" s="53" t="n"/>
      <c r="ES553" s="53" t="inlineStr">
        <is>
          <t>Spring AI/System Design &amp; Pattern</t>
        </is>
      </c>
      <c r="ET553" s="53" t="n"/>
      <c r="EU553" s="53" t="n"/>
      <c r="EV553" s="53" t="n"/>
      <c r="EW553" s="52" t="n"/>
      <c r="EX553" s="53" t="n"/>
      <c r="EY553" s="53" t="n"/>
      <c r="EZ553" s="53" t="n"/>
      <c r="FA553" s="53" t="n"/>
      <c r="FB553" s="53" t="n"/>
      <c r="FC553" s="53" t="n"/>
      <c r="FD553" s="53" t="n"/>
      <c r="FE553"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FF553" s="56" t="inlineStr">
        <is>
          <t>Q1: Deliver team release roadmap on schedule: &gt;=90% of committed releases on time
Q1: Keep team sprint velocity stable · +/-10% and defect leakage &lt;=5%
Q1: Drive production stability: critical incidents resolved within SLA &gt;=95%</t>
        </is>
      </c>
      <c r="FG553" s="56"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FH553" s="56" t="inlineStr">
        <is>
          <t>3</t>
        </is>
      </c>
      <c r="FI553" s="56" t="n"/>
      <c r="FJ553" s="56" t="inlineStr">
        <is>
          <t>Received · manager annual, quarterly, self</t>
        </is>
      </c>
      <c r="FK553" s="56" t="inlineStr">
        <is>
          <t>Talent Mapping · iFile collated</t>
        </is>
      </c>
      <c r="FL553" s="56" t="n">
        <v>20</v>
      </c>
      <c r="FM553" s="32" t="inlineStr">
        <is>
          <t>Full survey answers not in the files received · How We Grow export needed · HR</t>
        </is>
      </c>
      <c r="FN553" s="56" t="inlineStr">
        <is>
          <t>—</t>
        </is>
      </c>
      <c r="FO553" s="56" t="inlineStr">
        <is>
          <t>—</t>
        </is>
      </c>
      <c r="FP553" s="56" t="inlineStr">
        <is>
          <t>—</t>
        </is>
      </c>
      <c r="FQ553" s="56" t="inlineStr">
        <is>
          <t>—</t>
        </is>
      </c>
      <c r="FR553" s="56"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sprints and release to production; has 3 reports → matches the start
Leadership: Evidence reads like B1: Describes 'development and leading' with code reviews; KRA includes assigning tasks; 3 reports → matches the start
Business Impact: Moved +0.5: the survey / manager mapping marks it business-critical.</t>
        </is>
      </c>
      <c r="FS553"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53" s="56" t="inlineStr">
        <is>
          <t>Self-identified: Leadership &amp; people management · Technical depth &amp; architecture
For the next role: Leadership &amp; people management · Technical depth &amp; architecture</t>
        </is>
      </c>
      <c r="FU553" s="32" t="inlineStr">
        <is>
          <t>Full survey answers not in the files received · How We Grow export needed · HR</t>
        </is>
      </c>
    </row>
    <row r="554" ht="90" customHeight="1">
      <c r="A554" s="51" t="inlineStr">
        <is>
          <t>◂ Back</t>
        </is>
      </c>
      <c r="B554" s="29" t="inlineStr">
        <is>
          <t>Mapped</t>
        </is>
      </c>
      <c r="C554" s="28" t="inlineStr">
        <is>
          <t>iFile</t>
        </is>
      </c>
      <c r="D554" s="29" t="inlineStr">
        <is>
          <t>IRIS2194</t>
        </is>
      </c>
      <c r="E554" s="29" t="inlineStr">
        <is>
          <t>Sahil Chavan</t>
        </is>
      </c>
      <c r="F554" s="29" t="inlineStr">
        <is>
          <t>Technology</t>
        </is>
      </c>
      <c r="G554" s="29" t="inlineStr">
        <is>
          <t>Software Engineer</t>
        </is>
      </c>
      <c r="H554" s="29" t="inlineStr">
        <is>
          <t>Senior Software Engineer</t>
        </is>
      </c>
      <c r="I554" s="29" t="inlineStr">
        <is>
          <t>L3 – Professional / Associate</t>
        </is>
      </c>
      <c r="J554" s="29" t="inlineStr">
        <is>
          <t>A3</t>
        </is>
      </c>
      <c r="K554" s="29" t="inlineStr">
        <is>
          <t>▲ Up</t>
        </is>
      </c>
      <c r="L554" s="29" t="inlineStr">
        <is>
          <t>Engineering &amp; Development</t>
        </is>
      </c>
      <c r="M554" s="29" t="inlineStr">
        <is>
          <t>Backend Development</t>
        </is>
      </c>
      <c r="N554" s="29" t="n"/>
      <c r="O554" s="29" t="n">
        <v>19</v>
      </c>
      <c r="P554" s="28" t="inlineStr">
        <is>
          <t>P2</t>
        </is>
      </c>
      <c r="Q554" s="29" t="inlineStr">
        <is>
          <t>Developing</t>
        </is>
      </c>
      <c r="R554" s="29" t="inlineStr">
        <is>
          <t>3 Apply</t>
        </is>
      </c>
      <c r="S554" s="29" t="inlineStr">
        <is>
          <t>2–4 yrs</t>
        </is>
      </c>
      <c r="T554" s="29" t="inlineStr">
        <is>
          <t>3–5 · 2–5</t>
        </is>
      </c>
      <c r="U554" s="29" t="inlineStr">
        <is>
          <t>Software Engineer</t>
        </is>
      </c>
      <c r="V554" s="29" t="inlineStr">
        <is>
          <t>Workiva: SE · Broadridge India: SE · Nasdaq / AxiomSL: SE · Salesforce: MTS · Atlassian: P40 · 3–7 yrs · Freshworks: Senior SE</t>
        </is>
      </c>
      <c r="W554" s="29" t="inlineStr">
        <is>
          <t>SFIA 9 · software development, programming; OWASP secure coding; cloud vendor certifications</t>
        </is>
      </c>
      <c r="X554" s="29" t="inlineStr">
        <is>
          <t>Core 2 · Future 2 · Functional 3 · Leadership not scored</t>
        </is>
      </c>
      <c r="Y554" s="52" t="n">
        <v>296</v>
      </c>
      <c r="Z554" s="53" t="inlineStr">
        <is>
          <t>IRIS2194</t>
        </is>
      </c>
      <c r="AA554" s="53" t="inlineStr">
        <is>
          <t>Employee</t>
        </is>
      </c>
      <c r="AB554" s="53" t="inlineStr">
        <is>
          <t>Active</t>
        </is>
      </c>
      <c r="AC554" s="53" t="inlineStr">
        <is>
          <t>Sahil Chavan</t>
        </is>
      </c>
      <c r="AD554" s="54" t="n">
        <v>45204</v>
      </c>
      <c r="AE554" s="53" t="inlineStr">
        <is>
          <t>Software Engineer</t>
        </is>
      </c>
      <c r="AF554" s="53" t="inlineStr">
        <is>
          <t>B.E</t>
        </is>
      </c>
      <c r="AG554" s="53" t="inlineStr">
        <is>
          <t>Vivek Shinde</t>
        </is>
      </c>
      <c r="AH554" s="53" t="inlineStr">
        <is>
          <t>N-3</t>
        </is>
      </c>
      <c r="AI554" s="53" t="inlineStr">
        <is>
          <t>Individual Contributor</t>
        </is>
      </c>
      <c r="AJ554" s="53" t="inlineStr">
        <is>
          <t>2 years, 2 months, 0 days</t>
        </is>
      </c>
      <c r="AK554" s="53" t="inlineStr">
        <is>
          <t>2 years, 10 months, 20 days</t>
        </is>
      </c>
      <c r="AL554" s="53" t="inlineStr">
        <is>
          <t>Suptech</t>
        </is>
      </c>
      <c r="AM554" s="53" t="inlineStr">
        <is>
          <t>iFile</t>
        </is>
      </c>
      <c r="AN554" s="53" t="inlineStr">
        <is>
          <t>Technology</t>
        </is>
      </c>
      <c r="AO554" s="53" t="inlineStr">
        <is>
          <t>Development</t>
        </is>
      </c>
      <c r="AP554" s="53" t="inlineStr">
        <is>
          <t>Yes</t>
        </is>
      </c>
      <c r="AQ554" s="53" t="inlineStr">
        <is>
          <t>Product/Project</t>
        </is>
      </c>
      <c r="AR554" s="53" t="inlineStr">
        <is>
          <t>Java</t>
        </is>
      </c>
      <c r="AS554" s="53" t="inlineStr">
        <is>
          <t>Technical - Developer</t>
        </is>
      </c>
      <c r="AT554" s="53" t="n">
        <v>20</v>
      </c>
      <c r="AU554" s="53" t="inlineStr">
        <is>
          <t>Covered</t>
        </is>
      </c>
      <c r="AV554" s="53" t="n"/>
      <c r="AW554" s="53" t="n"/>
      <c r="AX554" s="53" t="n"/>
      <c r="AY554" s="53" t="n"/>
      <c r="AZ554" s="53" t="n"/>
      <c r="BA554" s="53" t="n"/>
      <c r="BB554" s="53" t="n"/>
      <c r="BC554" s="53" t="n"/>
      <c r="BD554" s="53" t="n"/>
      <c r="BE554" s="53" t="n"/>
      <c r="BF554" s="53" t="n"/>
      <c r="BG554" s="53" t="n"/>
      <c r="BH554" s="53" t="n"/>
      <c r="BI554" s="53" t="n"/>
      <c r="BJ554" s="53" t="n"/>
      <c r="BK554" s="53" t="n"/>
      <c r="BL554" s="53" t="n"/>
      <c r="BM554" s="53" t="n"/>
      <c r="BN554" s="53" t="n"/>
      <c r="BO554" s="53" t="n"/>
      <c r="BP554" s="53" t="n"/>
      <c r="BQ554" s="53" t="n"/>
      <c r="BR554" s="53" t="n"/>
      <c r="BS554" s="53" t="n"/>
      <c r="BT554" s="53" t="n"/>
      <c r="BU554" s="53" t="n"/>
      <c r="BV554" s="53" t="n"/>
      <c r="BW554" s="53" t="n"/>
      <c r="BX554" s="53" t="n"/>
      <c r="BY554" s="53" t="n"/>
      <c r="BZ554" s="53" t="n"/>
      <c r="CA554" s="53" t="n"/>
      <c r="CB554" s="53" t="n"/>
      <c r="CC554" s="53" t="n"/>
      <c r="CD554" s="53" t="n"/>
      <c r="CE554" s="53" t="n"/>
      <c r="CF554" s="53" t="n"/>
      <c r="CG554" s="53" t="n"/>
      <c r="CH554" s="53" t="n"/>
      <c r="CI554" s="53" t="n"/>
      <c r="CJ554" s="53" t="n"/>
      <c r="CK554" s="53" t="n"/>
      <c r="CL554" s="53" t="n"/>
      <c r="CM554" s="53" t="n"/>
      <c r="CN554" s="53" t="n"/>
      <c r="CO554" s="53" t="n"/>
      <c r="CP554" s="53" t="n"/>
      <c r="CQ554" s="53" t="n"/>
      <c r="CR554" s="53" t="n"/>
      <c r="CS554" s="53" t="n"/>
      <c r="CT554" s="53" t="n"/>
      <c r="CU554" s="53" t="n"/>
      <c r="CV554" s="53" t="n"/>
      <c r="CW554" s="53" t="n"/>
      <c r="CX554" s="53" t="n"/>
      <c r="CY554" s="53" t="n"/>
      <c r="CZ554" s="53" t="n"/>
      <c r="DA554" s="53" t="n"/>
      <c r="DB554" s="53" t="n"/>
      <c r="DC554" s="53" t="n"/>
      <c r="DD554" s="53" t="inlineStr">
        <is>
          <t>IRIS2194</t>
        </is>
      </c>
      <c r="DE554" s="53" t="inlineStr">
        <is>
          <t>Employee</t>
        </is>
      </c>
      <c r="DF554" s="53" t="inlineStr">
        <is>
          <t>Active</t>
        </is>
      </c>
      <c r="DG554" s="53" t="inlineStr">
        <is>
          <t>Sahil Chavan</t>
        </is>
      </c>
      <c r="DH554" s="54" t="n">
        <v>45204</v>
      </c>
      <c r="DI554" s="53" t="inlineStr">
        <is>
          <t>Software Engineer</t>
        </is>
      </c>
      <c r="DJ554" s="53" t="inlineStr">
        <is>
          <t>Engineering &amp; Development</t>
        </is>
      </c>
      <c r="DK554" s="53" t="inlineStr">
        <is>
          <t>Backend Engineering · Java</t>
        </is>
      </c>
      <c r="DL554" s="53" t="inlineStr">
        <is>
          <t>Software Engineer</t>
        </is>
      </c>
      <c r="DM554" s="53" t="inlineStr">
        <is>
          <t>L3 – Professional / Associate</t>
        </is>
      </c>
      <c r="DN554" s="53" t="inlineStr">
        <is>
          <t>B.E</t>
        </is>
      </c>
      <c r="DO554" s="53" t="inlineStr">
        <is>
          <t>Vivek Shinde</t>
        </is>
      </c>
      <c r="DP554" s="53" t="inlineStr">
        <is>
          <t>N-4</t>
        </is>
      </c>
      <c r="DQ554" s="53" t="inlineStr">
        <is>
          <t>Individual Contributor</t>
        </is>
      </c>
      <c r="DR554" s="53" t="inlineStr">
        <is>
          <t>2 years, 2 months, 0 days</t>
        </is>
      </c>
      <c r="DS554" s="53" t="inlineStr">
        <is>
          <t>2 years, 8 months, 15 days</t>
        </is>
      </c>
      <c r="DT554" s="53" t="inlineStr">
        <is>
          <t>4 years, 10 months, 15 days</t>
        </is>
      </c>
      <c r="DU554" s="53" t="n"/>
      <c r="DV554" s="53" t="inlineStr">
        <is>
          <t>Suptech</t>
        </is>
      </c>
      <c r="DW554" s="53" t="inlineStr">
        <is>
          <t>iFile</t>
        </is>
      </c>
      <c r="DX554" s="53" t="inlineStr">
        <is>
          <t>Technology</t>
        </is>
      </c>
      <c r="DY554" s="53" t="inlineStr">
        <is>
          <t>Development</t>
        </is>
      </c>
      <c r="DZ554" s="53" t="inlineStr">
        <is>
          <t>Yes</t>
        </is>
      </c>
      <c r="EA554" s="53" t="inlineStr">
        <is>
          <t>Product/Project</t>
        </is>
      </c>
      <c r="EB554" s="53" t="inlineStr">
        <is>
          <t>Java</t>
        </is>
      </c>
      <c r="EC554" s="53" t="inlineStr">
        <is>
          <t>Technical - Developer</t>
        </is>
      </c>
      <c r="ED554" s="53" t="inlineStr">
        <is>
          <t>Work From Office - Turbhe</t>
        </is>
      </c>
      <c r="EE554" s="53"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EF55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4" s="53" t="n">
        <v>3</v>
      </c>
      <c r="EI554" s="54" t="n">
        <v>46113</v>
      </c>
      <c r="EJ554" s="53" t="inlineStr">
        <is>
          <t>Software Engineer</t>
        </is>
      </c>
      <c r="EK554" s="53" t="inlineStr">
        <is>
          <t>No</t>
        </is>
      </c>
      <c r="EL554" s="53" t="n">
        <v>3</v>
      </c>
      <c r="EM554" s="53" t="inlineStr">
        <is>
          <t>Medium</t>
        </is>
      </c>
      <c r="EN554" s="53" t="inlineStr">
        <is>
          <t>Core Contributor</t>
        </is>
      </c>
      <c r="EO554" s="53" t="inlineStr">
        <is>
          <t>No</t>
        </is>
      </c>
      <c r="EP554" s="53" t="inlineStr">
        <is>
          <t>No</t>
        </is>
      </c>
      <c r="EQ554" s="53" t="inlineStr">
        <is>
          <t>Yes</t>
        </is>
      </c>
      <c r="ER554" s="53" t="n"/>
      <c r="ES554" s="53" t="inlineStr">
        <is>
          <t>Reactive Programming/Spring AI/System Design &amp; Pattern</t>
        </is>
      </c>
      <c r="ET554" s="53" t="n"/>
      <c r="EU554" s="53" t="n"/>
      <c r="EV554" s="53" t="n"/>
      <c r="EW554" s="52" t="n"/>
      <c r="EX554" s="53" t="n"/>
      <c r="EY554" s="53" t="n"/>
      <c r="EZ554" s="53" t="n"/>
      <c r="FA554" s="53" t="n"/>
      <c r="FB554" s="53" t="n"/>
      <c r="FC554" s="53" t="n"/>
      <c r="FD554" s="53" t="n"/>
      <c r="FE55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4" s="56"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FH554" s="56" t="inlineStr">
        <is>
          <t>3</t>
        </is>
      </c>
      <c r="FI554" s="56" t="n"/>
      <c r="FJ554" s="56" t="inlineStr">
        <is>
          <t>Received · manager annual, quarterly, self</t>
        </is>
      </c>
      <c r="FK554" s="56" t="inlineStr">
        <is>
          <t>Talent Mapping · iFile collated</t>
        </is>
      </c>
      <c r="FL554" s="56" t="n">
        <v>19</v>
      </c>
      <c r="FM554" s="32" t="inlineStr">
        <is>
          <t>Full survey answers not in the files received · How We Grow export needed · HR</t>
        </is>
      </c>
      <c r="FN554" s="56" t="inlineStr">
        <is>
          <t>—</t>
        </is>
      </c>
      <c r="FO554" s="56" t="inlineStr">
        <is>
          <t>—</t>
        </is>
      </c>
      <c r="FP554" s="56" t="inlineStr">
        <is>
          <t>—</t>
        </is>
      </c>
      <c r="FQ554" s="56" t="inlineStr">
        <is>
          <t>—</t>
        </is>
      </c>
      <c r="FR554" s="56"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for understanding client requirements → moved up 0.5
Leadership: Evidence reads like A1: No guiding or leading described → matches the start
Business Impact: Moved +0.5: the survey / manager mapping marks it business-critical.</t>
        </is>
      </c>
      <c r="FS55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4" s="56" t="inlineStr">
        <is>
          <t>Self-identified: Client, sales &amp; stakeholders · Broader exposure &amp; ownership
For the next role: Client, sales &amp; stakeholders · Broader exposure &amp; ownership</t>
        </is>
      </c>
      <c r="FU554" s="32" t="inlineStr">
        <is>
          <t>Full survey answers not in the files received · How We Grow export needed · HR</t>
        </is>
      </c>
    </row>
    <row r="555" ht="90" customHeight="1">
      <c r="A555" s="51" t="inlineStr">
        <is>
          <t>◂ Back</t>
        </is>
      </c>
      <c r="B555" s="29" t="inlineStr">
        <is>
          <t>Mapped</t>
        </is>
      </c>
      <c r="C555" s="28" t="inlineStr">
        <is>
          <t>iFile</t>
        </is>
      </c>
      <c r="D555" s="29" t="inlineStr">
        <is>
          <t>IRIS2396</t>
        </is>
      </c>
      <c r="E555" s="29" t="inlineStr">
        <is>
          <t>Chirag Suryawanshi</t>
        </is>
      </c>
      <c r="F555" s="29" t="inlineStr">
        <is>
          <t>Technology</t>
        </is>
      </c>
      <c r="G555" s="29" t="inlineStr">
        <is>
          <t>Trainee Software Engineer</t>
        </is>
      </c>
      <c r="H555" s="29" t="inlineStr">
        <is>
          <t>Software Engineer</t>
        </is>
      </c>
      <c r="I555" s="29" t="inlineStr">
        <is>
          <t>L2 – Trainee</t>
        </is>
      </c>
      <c r="J555" s="29" t="inlineStr">
        <is>
          <t>A2</t>
        </is>
      </c>
      <c r="K555" s="29" t="inlineStr">
        <is>
          <t>▲ Up</t>
        </is>
      </c>
      <c r="L555" s="29" t="inlineStr">
        <is>
          <t>Engineering &amp; Development</t>
        </is>
      </c>
      <c r="M555" s="29" t="inlineStr">
        <is>
          <t>Backend Development</t>
        </is>
      </c>
      <c r="N555" s="29" t="n"/>
      <c r="O555" s="29" t="n">
        <v>18</v>
      </c>
      <c r="P555" s="28" t="inlineStr">
        <is>
          <t>P1–P2</t>
        </is>
      </c>
      <c r="Q555" s="29" t="inlineStr">
        <is>
          <t>Entry / Developing</t>
        </is>
      </c>
      <c r="R555" s="29" t="inlineStr">
        <is>
          <t>2 Assist</t>
        </is>
      </c>
      <c r="S555" s="29" t="inlineStr">
        <is>
          <t>0–2 yrs</t>
        </is>
      </c>
      <c r="T555" s="29" t="inlineStr">
        <is>
          <t>1–3 · 0–3</t>
        </is>
      </c>
      <c r="U555" s="29" t="inlineStr">
        <is>
          <t>Associate Software Engineer / Software Engineer</t>
        </is>
      </c>
      <c r="V555" s="29" t="inlineStr">
        <is>
          <t>Workiva: Associate SE · Broadridge India: SE · Nasdaq / AxiomSL: SE · Salesforce: AMTS · Atlassian: P30 Junior · 0–2 yrs · Freshworks: SE</t>
        </is>
      </c>
      <c r="W555" s="29" t="inlineStr">
        <is>
          <t>SFIA 9 · software development, programming; OWASP secure coding; cloud vendor certifications</t>
        </is>
      </c>
      <c r="X555" s="29" t="inlineStr">
        <is>
          <t>Core 2 · Future 2 · Functional 2 · Leadership not scored</t>
        </is>
      </c>
      <c r="Y555" s="52" t="n">
        <v>382</v>
      </c>
      <c r="Z555" s="53" t="inlineStr">
        <is>
          <t>IRIS2396</t>
        </is>
      </c>
      <c r="AA555" s="53" t="inlineStr">
        <is>
          <t>Employee</t>
        </is>
      </c>
      <c r="AB555" s="53" t="inlineStr">
        <is>
          <t>Active</t>
        </is>
      </c>
      <c r="AC555" s="53" t="inlineStr">
        <is>
          <t>Chirag Suryawanshi</t>
        </is>
      </c>
      <c r="AD555" s="54" t="n">
        <v>45839</v>
      </c>
      <c r="AE555" s="53" t="inlineStr">
        <is>
          <t>Trainee Software Engineer</t>
        </is>
      </c>
      <c r="AF555" s="53" t="inlineStr">
        <is>
          <t>B.Tech</t>
        </is>
      </c>
      <c r="AG555" s="53" t="inlineStr">
        <is>
          <t>Vivek Shinde</t>
        </is>
      </c>
      <c r="AH555" s="53" t="inlineStr">
        <is>
          <t>N-3</t>
        </is>
      </c>
      <c r="AI555" s="53" t="inlineStr">
        <is>
          <t>Individual Contributor</t>
        </is>
      </c>
      <c r="AJ555" s="53" t="inlineStr">
        <is>
          <t>0 years, 0 months, 0 days</t>
        </is>
      </c>
      <c r="AK555" s="53" t="inlineStr">
        <is>
          <t>1 years, 1 months, 24 days</t>
        </is>
      </c>
      <c r="AL555" s="53" t="inlineStr">
        <is>
          <t>Suptech</t>
        </is>
      </c>
      <c r="AM555" s="53" t="inlineStr">
        <is>
          <t>iFile</t>
        </is>
      </c>
      <c r="AN555" s="53" t="inlineStr">
        <is>
          <t>Technology</t>
        </is>
      </c>
      <c r="AO555" s="53" t="inlineStr">
        <is>
          <t>Development</t>
        </is>
      </c>
      <c r="AP555" s="53" t="inlineStr">
        <is>
          <t>Yes</t>
        </is>
      </c>
      <c r="AQ555" s="53" t="inlineStr">
        <is>
          <t>Product/Project</t>
        </is>
      </c>
      <c r="AR555" s="53" t="inlineStr">
        <is>
          <t>Java</t>
        </is>
      </c>
      <c r="AS555" s="53" t="inlineStr">
        <is>
          <t>Technical - Developer</t>
        </is>
      </c>
      <c r="AT555" s="53" t="n">
        <v>20</v>
      </c>
      <c r="AU555" s="53" t="inlineStr">
        <is>
          <t>Covered</t>
        </is>
      </c>
      <c r="AV555" s="53" t="n"/>
      <c r="AW555" s="53" t="n"/>
      <c r="AX555" s="53" t="n"/>
      <c r="AY555" s="53" t="n"/>
      <c r="AZ555" s="53" t="n"/>
      <c r="BA555" s="53" t="n"/>
      <c r="BB555" s="53" t="n"/>
      <c r="BC555" s="53" t="n"/>
      <c r="BD555" s="53" t="n"/>
      <c r="BE555" s="53" t="n"/>
      <c r="BF555" s="53" t="n"/>
      <c r="BG555" s="53" t="n"/>
      <c r="BH555" s="53" t="n"/>
      <c r="BI555" s="53" t="n"/>
      <c r="BJ555" s="53" t="n"/>
      <c r="BK555" s="53" t="n"/>
      <c r="BL555" s="53" t="n"/>
      <c r="BM555" s="53" t="n"/>
      <c r="BN555" s="53" t="n"/>
      <c r="BO555" s="53" t="n"/>
      <c r="BP555" s="53" t="n"/>
      <c r="BQ555" s="53" t="n"/>
      <c r="BR555" s="53" t="n"/>
      <c r="BS555" s="53" t="n"/>
      <c r="BT555" s="53" t="n"/>
      <c r="BU555" s="53" t="n"/>
      <c r="BV555" s="53" t="n"/>
      <c r="BW555" s="53" t="n"/>
      <c r="BX555" s="53" t="n"/>
      <c r="BY555" s="53" t="n"/>
      <c r="BZ555" s="53" t="n"/>
      <c r="CA555" s="53" t="n"/>
      <c r="CB555" s="53" t="n"/>
      <c r="CC555" s="53" t="n"/>
      <c r="CD555" s="53" t="n"/>
      <c r="CE555" s="53" t="n"/>
      <c r="CF555" s="53" t="n"/>
      <c r="CG555" s="53" t="n"/>
      <c r="CH555" s="53" t="n"/>
      <c r="CI555" s="53" t="n"/>
      <c r="CJ555" s="53" t="n"/>
      <c r="CK555" s="53" t="n"/>
      <c r="CL555" s="53" t="n"/>
      <c r="CM555" s="53" t="n"/>
      <c r="CN555" s="53" t="n"/>
      <c r="CO555" s="53" t="n"/>
      <c r="CP555" s="53" t="n"/>
      <c r="CQ555" s="53" t="n"/>
      <c r="CR555" s="53" t="n"/>
      <c r="CS555" s="53" t="n"/>
      <c r="CT555" s="53" t="n"/>
      <c r="CU555" s="53" t="n"/>
      <c r="CV555" s="53" t="n"/>
      <c r="CW555" s="53" t="n"/>
      <c r="CX555" s="53" t="n"/>
      <c r="CY555" s="53" t="n"/>
      <c r="CZ555" s="53" t="n"/>
      <c r="DA555" s="53" t="n"/>
      <c r="DB555" s="53" t="n"/>
      <c r="DC555" s="53" t="n"/>
      <c r="DD555" s="53" t="inlineStr">
        <is>
          <t>IRIS2396</t>
        </is>
      </c>
      <c r="DE555" s="53" t="inlineStr">
        <is>
          <t>Employee</t>
        </is>
      </c>
      <c r="DF555" s="53" t="inlineStr">
        <is>
          <t>Active</t>
        </is>
      </c>
      <c r="DG555" s="53" t="inlineStr">
        <is>
          <t>Chirag Suryawanshi</t>
        </is>
      </c>
      <c r="DH555" s="54" t="n">
        <v>45839</v>
      </c>
      <c r="DI555" s="53" t="inlineStr">
        <is>
          <t>Trainee Software Engineer</t>
        </is>
      </c>
      <c r="DJ555" s="53" t="inlineStr">
        <is>
          <t>Engineering &amp; Development</t>
        </is>
      </c>
      <c r="DK555" s="53" t="inlineStr">
        <is>
          <t>Backend Engineering · Java</t>
        </is>
      </c>
      <c r="DL555" s="53" t="inlineStr">
        <is>
          <t>Trainee Software Engineer</t>
        </is>
      </c>
      <c r="DM555" s="53" t="inlineStr">
        <is>
          <t>L2 – Trainee</t>
        </is>
      </c>
      <c r="DN555" s="53" t="inlineStr">
        <is>
          <t>B.Tech</t>
        </is>
      </c>
      <c r="DO555" s="53" t="inlineStr">
        <is>
          <t>Vivek Shinde</t>
        </is>
      </c>
      <c r="DP555" s="53" t="inlineStr">
        <is>
          <t>N-4</t>
        </is>
      </c>
      <c r="DQ555" s="53" t="inlineStr">
        <is>
          <t>Individual Contributor</t>
        </is>
      </c>
      <c r="DR555" s="53" t="inlineStr">
        <is>
          <t>0 years, 0 months, 0 days</t>
        </is>
      </c>
      <c r="DS555" s="53" t="inlineStr">
        <is>
          <t>0 years, 11 months, 19 days</t>
        </is>
      </c>
      <c r="DT555" s="53" t="inlineStr">
        <is>
          <t>0 years, 11 months, 19 days</t>
        </is>
      </c>
      <c r="DU555" s="53" t="n"/>
      <c r="DV555" s="53" t="inlineStr">
        <is>
          <t>Suptech</t>
        </is>
      </c>
      <c r="DW555" s="53" t="inlineStr">
        <is>
          <t>iFile</t>
        </is>
      </c>
      <c r="DX555" s="53" t="inlineStr">
        <is>
          <t>Technology</t>
        </is>
      </c>
      <c r="DY555" s="53" t="inlineStr">
        <is>
          <t>Development</t>
        </is>
      </c>
      <c r="DZ555" s="53" t="inlineStr">
        <is>
          <t>Yes</t>
        </is>
      </c>
      <c r="EA555" s="53" t="inlineStr">
        <is>
          <t>Product/Project</t>
        </is>
      </c>
      <c r="EB555" s="53" t="inlineStr">
        <is>
          <t>Java</t>
        </is>
      </c>
      <c r="EC555" s="53" t="inlineStr">
        <is>
          <t>Technical - Developer</t>
        </is>
      </c>
      <c r="ED555" s="53" t="inlineStr">
        <is>
          <t>Work From Office - Turbhe</t>
        </is>
      </c>
      <c r="EE555" s="53"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EF55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5" s="53" t="n">
        <v>4</v>
      </c>
      <c r="EI555" s="54" t="n">
        <v>46113</v>
      </c>
      <c r="EJ555" s="53" t="inlineStr">
        <is>
          <t>Trainee Software Engineer</t>
        </is>
      </c>
      <c r="EK555" s="53" t="inlineStr">
        <is>
          <t>No</t>
        </is>
      </c>
      <c r="EL555" s="53" t="n">
        <v>4</v>
      </c>
      <c r="EM555" s="53" t="inlineStr">
        <is>
          <t>High</t>
        </is>
      </c>
      <c r="EN555" s="53" t="inlineStr">
        <is>
          <t>High Impact / Growth Talent</t>
        </is>
      </c>
      <c r="EO555" s="53" t="inlineStr">
        <is>
          <t>No</t>
        </is>
      </c>
      <c r="EP555" s="53" t="inlineStr">
        <is>
          <t>No</t>
        </is>
      </c>
      <c r="EQ555" s="53" t="inlineStr">
        <is>
          <t>Yes</t>
        </is>
      </c>
      <c r="ER555" s="53" t="n"/>
      <c r="ES555" s="53" t="inlineStr">
        <is>
          <t>Reactive Programming/Spring AI/System Design &amp; Pattern</t>
        </is>
      </c>
      <c r="ET555" s="53" t="n"/>
      <c r="EU555" s="53" t="n"/>
      <c r="EV555" s="53" t="n"/>
      <c r="EW555" s="52" t="n"/>
      <c r="EX555" s="53" t="n"/>
      <c r="EY555" s="53" t="n"/>
      <c r="EZ555" s="53" t="n"/>
      <c r="FA555" s="53" t="n"/>
      <c r="FB555" s="53" t="n"/>
      <c r="FC555" s="53" t="n"/>
      <c r="FD555" s="53" t="n"/>
      <c r="FE55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5" s="56"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FH555" s="56" t="inlineStr">
        <is>
          <t>4</t>
        </is>
      </c>
      <c r="FI555" s="56" t="n"/>
      <c r="FJ555" s="56" t="inlineStr">
        <is>
          <t>Received · manager annual, quarterly, self</t>
        </is>
      </c>
      <c r="FK555" s="56" t="inlineStr">
        <is>
          <t>Talent Mapping · iFile collated</t>
        </is>
      </c>
      <c r="FL555" s="56" t="n">
        <v>18</v>
      </c>
      <c r="FM555" s="32" t="inlineStr">
        <is>
          <t>Full survey answers not in the files received · How We Grow export needed · HR</t>
        </is>
      </c>
      <c r="FN555" s="56" t="inlineStr">
        <is>
          <t>—</t>
        </is>
      </c>
      <c r="FO555" s="56" t="inlineStr">
        <is>
          <t>—</t>
        </is>
      </c>
      <c r="FP555" s="56" t="inlineStr">
        <is>
          <t>—</t>
        </is>
      </c>
      <c r="FQ555" s="56" t="inlineStr">
        <is>
          <t>—</t>
        </is>
      </c>
      <c r="FR555" s="56" t="inlineStr">
        <is>
          <t>Business Impact: Moved +0.5: the survey / manager mapping marks it business-critical.</t>
        </is>
      </c>
      <c r="FS555"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555" s="56" t="inlineStr">
        <is>
          <t>Self-identified: Answered · no common topic
For the next role: Answered · no common topic</t>
        </is>
      </c>
      <c r="FU555" s="32" t="inlineStr">
        <is>
          <t>Full survey answers not in the files received · How We Grow export needed · HR</t>
        </is>
      </c>
    </row>
    <row r="556" ht="90" customHeight="1">
      <c r="A556" s="51" t="inlineStr">
        <is>
          <t>◂ Back</t>
        </is>
      </c>
      <c r="B556" s="29" t="inlineStr">
        <is>
          <t>Mapped</t>
        </is>
      </c>
      <c r="C556" s="28" t="inlineStr">
        <is>
          <t>iFile</t>
        </is>
      </c>
      <c r="D556" s="29" t="inlineStr">
        <is>
          <t>IRIS2255</t>
        </is>
      </c>
      <c r="E556" s="29" t="inlineStr">
        <is>
          <t>Tanay Hisariya</t>
        </is>
      </c>
      <c r="F556" s="29" t="inlineStr">
        <is>
          <t>Technology</t>
        </is>
      </c>
      <c r="G556" s="29" t="inlineStr">
        <is>
          <t>Trainee Software Engineer</t>
        </is>
      </c>
      <c r="H556" s="29" t="inlineStr">
        <is>
          <t>Software Engineer</t>
        </is>
      </c>
      <c r="I556" s="29" t="inlineStr">
        <is>
          <t>L2 – Trainee</t>
        </is>
      </c>
      <c r="J556" s="29" t="inlineStr">
        <is>
          <t>A2</t>
        </is>
      </c>
      <c r="K556" s="29" t="inlineStr">
        <is>
          <t>▲ Up</t>
        </is>
      </c>
      <c r="L556" s="29" t="inlineStr">
        <is>
          <t>Engineering &amp; Development</t>
        </is>
      </c>
      <c r="M556" s="29" t="inlineStr">
        <is>
          <t>Full-Stack Development</t>
        </is>
      </c>
      <c r="N556" s="29" t="n"/>
      <c r="O556" s="29" t="n">
        <v>20</v>
      </c>
      <c r="P556" s="28" t="inlineStr">
        <is>
          <t>P1–P2</t>
        </is>
      </c>
      <c r="Q556" s="29" t="inlineStr">
        <is>
          <t>Entry / Developing</t>
        </is>
      </c>
      <c r="R556" s="29" t="inlineStr">
        <is>
          <t>2 Assist</t>
        </is>
      </c>
      <c r="S556" s="29" t="inlineStr">
        <is>
          <t>0–2 yrs</t>
        </is>
      </c>
      <c r="T556" s="29" t="inlineStr">
        <is>
          <t>1–3 · 0–3</t>
        </is>
      </c>
      <c r="U556" s="29" t="inlineStr">
        <is>
          <t>Associate Software Engineer / Software Engineer</t>
        </is>
      </c>
      <c r="V556" s="29" t="inlineStr">
        <is>
          <t>Workiva: Associate SE · Broadridge India: SE · Nasdaq / AxiomSL: SE · Salesforce: AMTS · Atlassian: P30 Junior · 0–2 yrs · Freshworks: SE</t>
        </is>
      </c>
      <c r="W556" s="29" t="inlineStr">
        <is>
          <t>SFIA 9 · software development, programming; OWASP secure coding; cloud vendor certifications</t>
        </is>
      </c>
      <c r="X556" s="29" t="inlineStr">
        <is>
          <t>Core 2 · Future 2 · Functional 2 · Leadership not scored</t>
        </is>
      </c>
      <c r="Y556" s="52" t="n">
        <v>318</v>
      </c>
      <c r="Z556" s="53" t="inlineStr">
        <is>
          <t>IRIS2255</t>
        </is>
      </c>
      <c r="AA556" s="53" t="inlineStr">
        <is>
          <t>Employee</t>
        </is>
      </c>
      <c r="AB556" s="53" t="inlineStr">
        <is>
          <t>Active</t>
        </is>
      </c>
      <c r="AC556" s="53" t="inlineStr">
        <is>
          <t>Tanay Hisariya</t>
        </is>
      </c>
      <c r="AD556" s="54" t="n">
        <v>45446</v>
      </c>
      <c r="AE556" s="53" t="inlineStr">
        <is>
          <t>Trainee Software Engineer</t>
        </is>
      </c>
      <c r="AF556" s="53" t="inlineStr">
        <is>
          <t>B.E</t>
        </is>
      </c>
      <c r="AG556" s="53" t="inlineStr">
        <is>
          <t>Vivek Shinde</t>
        </is>
      </c>
      <c r="AH556" s="53" t="inlineStr">
        <is>
          <t>N-3</t>
        </is>
      </c>
      <c r="AI556" s="53" t="inlineStr">
        <is>
          <t>Individual Contributor</t>
        </is>
      </c>
      <c r="AJ556" s="53" t="inlineStr">
        <is>
          <t>0 years, 0 months, 0 days</t>
        </is>
      </c>
      <c r="AK556" s="53" t="inlineStr">
        <is>
          <t>2 years, 2 months, 22 days</t>
        </is>
      </c>
      <c r="AL556" s="53" t="inlineStr">
        <is>
          <t>Suptech</t>
        </is>
      </c>
      <c r="AM556" s="53" t="inlineStr">
        <is>
          <t>iFile</t>
        </is>
      </c>
      <c r="AN556" s="53" t="inlineStr">
        <is>
          <t>Technology</t>
        </is>
      </c>
      <c r="AO556" s="53" t="inlineStr">
        <is>
          <t>Development</t>
        </is>
      </c>
      <c r="AP556" s="53" t="inlineStr">
        <is>
          <t>Yes</t>
        </is>
      </c>
      <c r="AQ556" s="53" t="inlineStr">
        <is>
          <t>Product/Project</t>
        </is>
      </c>
      <c r="AR556" s="53" t="inlineStr">
        <is>
          <t>Java + Angular</t>
        </is>
      </c>
      <c r="AS556" s="53" t="inlineStr">
        <is>
          <t>Technical - Developer</t>
        </is>
      </c>
      <c r="AT556" s="53" t="n">
        <v>20</v>
      </c>
      <c r="AU556" s="53" t="inlineStr">
        <is>
          <t>Covered</t>
        </is>
      </c>
      <c r="AV556" s="53" t="n"/>
      <c r="AW556" s="53" t="n"/>
      <c r="AX556" s="53" t="n"/>
      <c r="AY556" s="53" t="n"/>
      <c r="AZ556" s="53" t="n"/>
      <c r="BA556" s="53" t="n"/>
      <c r="BB556" s="53" t="n"/>
      <c r="BC556" s="53" t="n"/>
      <c r="BD556" s="53" t="n"/>
      <c r="BE556" s="53" t="n"/>
      <c r="BF556" s="53" t="n"/>
      <c r="BG556" s="53" t="n"/>
      <c r="BH556" s="53" t="n"/>
      <c r="BI556" s="53" t="n"/>
      <c r="BJ556" s="53" t="n"/>
      <c r="BK556" s="53" t="n"/>
      <c r="BL556" s="53" t="n"/>
      <c r="BM556" s="53" t="n"/>
      <c r="BN556" s="53" t="n"/>
      <c r="BO556" s="53" t="n"/>
      <c r="BP556" s="53" t="n"/>
      <c r="BQ556" s="53" t="n"/>
      <c r="BR556" s="53" t="n"/>
      <c r="BS556" s="53" t="n"/>
      <c r="BT556" s="53" t="n"/>
      <c r="BU556" s="53" t="n"/>
      <c r="BV556" s="53" t="n"/>
      <c r="BW556" s="53" t="n"/>
      <c r="BX556" s="53" t="n"/>
      <c r="BY556" s="53" t="n"/>
      <c r="BZ556" s="53" t="n"/>
      <c r="CA556" s="53" t="n"/>
      <c r="CB556" s="53" t="n"/>
      <c r="CC556" s="53" t="n"/>
      <c r="CD556" s="53" t="n"/>
      <c r="CE556" s="53" t="n"/>
      <c r="CF556" s="53" t="n"/>
      <c r="CG556" s="53" t="n"/>
      <c r="CH556" s="53" t="n"/>
      <c r="CI556" s="53" t="n"/>
      <c r="CJ556" s="53" t="n"/>
      <c r="CK556" s="53" t="n"/>
      <c r="CL556" s="53" t="n"/>
      <c r="CM556" s="53" t="n"/>
      <c r="CN556" s="53" t="n"/>
      <c r="CO556" s="53" t="n"/>
      <c r="CP556" s="53" t="n"/>
      <c r="CQ556" s="53" t="n"/>
      <c r="CR556" s="53" t="n"/>
      <c r="CS556" s="53" t="n"/>
      <c r="CT556" s="53" t="n"/>
      <c r="CU556" s="53" t="n"/>
      <c r="CV556" s="53" t="n"/>
      <c r="CW556" s="53" t="n"/>
      <c r="CX556" s="53" t="n"/>
      <c r="CY556" s="53" t="n"/>
      <c r="CZ556" s="53" t="n"/>
      <c r="DA556" s="53" t="n"/>
      <c r="DB556" s="53" t="n"/>
      <c r="DC556" s="53" t="n"/>
      <c r="DD556" s="53" t="inlineStr">
        <is>
          <t>IRIS2255</t>
        </is>
      </c>
      <c r="DE556" s="53" t="inlineStr">
        <is>
          <t>Employee</t>
        </is>
      </c>
      <c r="DF556" s="53" t="inlineStr">
        <is>
          <t>Active</t>
        </is>
      </c>
      <c r="DG556" s="53" t="inlineStr">
        <is>
          <t>Tanay Hisariya</t>
        </is>
      </c>
      <c r="DH556" s="54" t="n">
        <v>45446</v>
      </c>
      <c r="DI556" s="53" t="inlineStr">
        <is>
          <t>Trainee Software Engineer</t>
        </is>
      </c>
      <c r="DJ556" s="53" t="inlineStr">
        <is>
          <t>Engineering &amp; Development</t>
        </is>
      </c>
      <c r="DK556" s="53" t="inlineStr">
        <is>
          <t>Backend Engineering · Java</t>
        </is>
      </c>
      <c r="DL556" s="53" t="inlineStr">
        <is>
          <t>Trainee Software Engineer</t>
        </is>
      </c>
      <c r="DM556" s="53" t="inlineStr">
        <is>
          <t>L2 – Trainee</t>
        </is>
      </c>
      <c r="DN556" s="53" t="inlineStr">
        <is>
          <t>B.E</t>
        </is>
      </c>
      <c r="DO556" s="53" t="inlineStr">
        <is>
          <t>Vivek Shinde</t>
        </is>
      </c>
      <c r="DP556" s="53" t="inlineStr">
        <is>
          <t>N-4</t>
        </is>
      </c>
      <c r="DQ556" s="53" t="inlineStr">
        <is>
          <t>Individual Contributor</t>
        </is>
      </c>
      <c r="DR556" s="53" t="inlineStr">
        <is>
          <t>0 years, 0 months, 0 days</t>
        </is>
      </c>
      <c r="DS556" s="53" t="inlineStr">
        <is>
          <t>2 years, 0 months, 17 days</t>
        </is>
      </c>
      <c r="DT556" s="53" t="inlineStr">
        <is>
          <t>2 years, 0 months, 17 days</t>
        </is>
      </c>
      <c r="DU556" s="53" t="n"/>
      <c r="DV556" s="53" t="inlineStr">
        <is>
          <t>Suptech</t>
        </is>
      </c>
      <c r="DW556" s="53" t="inlineStr">
        <is>
          <t>iFile</t>
        </is>
      </c>
      <c r="DX556" s="53" t="inlineStr">
        <is>
          <t>Technology</t>
        </is>
      </c>
      <c r="DY556" s="53" t="inlineStr">
        <is>
          <t>Development</t>
        </is>
      </c>
      <c r="DZ556" s="53" t="inlineStr">
        <is>
          <t>Yes</t>
        </is>
      </c>
      <c r="EA556" s="53" t="inlineStr">
        <is>
          <t>Product/Project</t>
        </is>
      </c>
      <c r="EB556" s="53" t="inlineStr">
        <is>
          <t>Java + Angular</t>
        </is>
      </c>
      <c r="EC556" s="53" t="inlineStr">
        <is>
          <t>Technical - Developer</t>
        </is>
      </c>
      <c r="ED556" s="53" t="inlineStr">
        <is>
          <t>Work From Office - Turbhe</t>
        </is>
      </c>
      <c r="EE556" s="53"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EF55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6" s="53" t="n">
        <v>4</v>
      </c>
      <c r="EI556" s="54" t="n">
        <v>46113</v>
      </c>
      <c r="EJ556" s="53" t="inlineStr">
        <is>
          <t>Trainee Software Engineer</t>
        </is>
      </c>
      <c r="EK556" s="53" t="inlineStr">
        <is>
          <t>No</t>
        </is>
      </c>
      <c r="EL556" s="53" t="n">
        <v>4</v>
      </c>
      <c r="EM556" s="53" t="inlineStr">
        <is>
          <t>High</t>
        </is>
      </c>
      <c r="EN556" s="53" t="inlineStr">
        <is>
          <t>High Impact / Growth Talent</t>
        </is>
      </c>
      <c r="EO556" s="53" t="inlineStr">
        <is>
          <t>No</t>
        </is>
      </c>
      <c r="EP556" s="53" t="inlineStr">
        <is>
          <t>No</t>
        </is>
      </c>
      <c r="EQ556" s="53" t="inlineStr">
        <is>
          <t>Yes</t>
        </is>
      </c>
      <c r="ER556" s="53" t="n"/>
      <c r="ES556" s="53" t="inlineStr">
        <is>
          <t>Reactive Programming/Spring AI/System Design &amp; Pattern</t>
        </is>
      </c>
      <c r="ET556" s="53" t="n"/>
      <c r="EU556" s="53" t="n"/>
      <c r="EV556" s="53" t="n"/>
      <c r="EW556" s="52" t="n"/>
      <c r="EX556" s="53" t="n"/>
      <c r="EY556" s="53" t="n"/>
      <c r="EZ556" s="53" t="n"/>
      <c r="FA556" s="53" t="n"/>
      <c r="FB556" s="53" t="n"/>
      <c r="FC556" s="53" t="n"/>
      <c r="FD556" s="53" t="n"/>
      <c r="FE55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6" s="56"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FH556" s="56" t="inlineStr">
        <is>
          <t>4</t>
        </is>
      </c>
      <c r="FI556" s="56" t="n"/>
      <c r="FJ556" s="56" t="inlineStr">
        <is>
          <t>Received · manager annual, quarterly, self</t>
        </is>
      </c>
      <c r="FK556" s="56" t="inlineStr">
        <is>
          <t>Talent Mapping · iFile collated</t>
        </is>
      </c>
      <c r="FL556" s="56" t="n">
        <v>20</v>
      </c>
      <c r="FM556" s="32" t="inlineStr">
        <is>
          <t>Full survey answers not in the files received · How We Grow export needed · HR</t>
        </is>
      </c>
      <c r="FN556" s="56" t="inlineStr">
        <is>
          <t>—</t>
        </is>
      </c>
      <c r="FO556" s="56" t="inlineStr">
        <is>
          <t>—</t>
        </is>
      </c>
      <c r="FP556" s="56" t="inlineStr">
        <is>
          <t>—</t>
        </is>
      </c>
      <c r="FQ556" s="56" t="inlineStr">
        <is>
          <t>—</t>
        </is>
      </c>
      <c r="FR556" s="56"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Evidence reads like A1: None described → matches the start
Business Impact: Moved +1: the survey / manager mapping marks it business-critical and it does work no one else does.</t>
        </is>
      </c>
      <c r="FS556"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556" s="56" t="inlineStr">
        <is>
          <t>Self-identified: Technical depth &amp; architecture · Broader exposure &amp; ownership
For the next role: Technical depth &amp; architecture · Broader exposure &amp; ownership</t>
        </is>
      </c>
      <c r="FU556" s="32" t="inlineStr">
        <is>
          <t>Full survey answers not in the files received · How We Grow export needed · HR</t>
        </is>
      </c>
    </row>
    <row r="557" ht="90" customHeight="1">
      <c r="A557" s="51" t="inlineStr">
        <is>
          <t>◂ Back</t>
        </is>
      </c>
      <c r="B557" s="29" t="inlineStr">
        <is>
          <t>Mapped</t>
        </is>
      </c>
      <c r="C557" s="28" t="inlineStr">
        <is>
          <t>iFile</t>
        </is>
      </c>
      <c r="D557" s="29" t="inlineStr">
        <is>
          <t>IRIS2132</t>
        </is>
      </c>
      <c r="E557" s="29" t="inlineStr">
        <is>
          <t>Shubham Mhadgut</t>
        </is>
      </c>
      <c r="F557" s="29" t="inlineStr">
        <is>
          <t>Technology</t>
        </is>
      </c>
      <c r="G557" s="29" t="inlineStr">
        <is>
          <t>Software Engineer</t>
        </is>
      </c>
      <c r="H557" s="29" t="inlineStr">
        <is>
          <t>Senior Software Engineer</t>
        </is>
      </c>
      <c r="I557" s="29" t="inlineStr">
        <is>
          <t>L3 – Professional / Associate</t>
        </is>
      </c>
      <c r="J557" s="29" t="inlineStr">
        <is>
          <t>A3</t>
        </is>
      </c>
      <c r="K557" s="29" t="inlineStr">
        <is>
          <t>▲ Up</t>
        </is>
      </c>
      <c r="L557" s="29" t="inlineStr">
        <is>
          <t>Engineering &amp; Development</t>
        </is>
      </c>
      <c r="M557" s="29" t="inlineStr">
        <is>
          <t>Backend Development</t>
        </is>
      </c>
      <c r="N557" s="29" t="n"/>
      <c r="O557" s="29" t="n">
        <v>20</v>
      </c>
      <c r="P557" s="28" t="inlineStr">
        <is>
          <t>P2</t>
        </is>
      </c>
      <c r="Q557" s="29" t="inlineStr">
        <is>
          <t>Developing</t>
        </is>
      </c>
      <c r="R557" s="29" t="inlineStr">
        <is>
          <t>3 Apply</t>
        </is>
      </c>
      <c r="S557" s="29" t="inlineStr">
        <is>
          <t>2–4 yrs</t>
        </is>
      </c>
      <c r="T557" s="29" t="inlineStr">
        <is>
          <t>3–5 · 2–5</t>
        </is>
      </c>
      <c r="U557" s="29" t="inlineStr">
        <is>
          <t>Software Engineer</t>
        </is>
      </c>
      <c r="V557" s="29" t="inlineStr">
        <is>
          <t>Workiva: SE · Broadridge India: SE · Nasdaq / AxiomSL: SE · Salesforce: MTS · Atlassian: P40 · 3–7 yrs · Freshworks: Senior SE</t>
        </is>
      </c>
      <c r="W557" s="29" t="inlineStr">
        <is>
          <t>SFIA 9 · software development, programming; OWASP secure coding; cloud vendor certifications</t>
        </is>
      </c>
      <c r="X557" s="29" t="inlineStr">
        <is>
          <t>Core 2 · Future 2 · Functional 3 · Leadership not scored</t>
        </is>
      </c>
      <c r="Y557" s="52" t="n">
        <v>273</v>
      </c>
      <c r="Z557" s="53" t="inlineStr">
        <is>
          <t>IRIS2132</t>
        </is>
      </c>
      <c r="AA557" s="53" t="inlineStr">
        <is>
          <t>Employee</t>
        </is>
      </c>
      <c r="AB557" s="53" t="inlineStr">
        <is>
          <t>Active</t>
        </is>
      </c>
      <c r="AC557" s="53" t="inlineStr">
        <is>
          <t>Shubham Mhadgut</t>
        </is>
      </c>
      <c r="AD557" s="54" t="n">
        <v>45064</v>
      </c>
      <c r="AE557" s="53" t="inlineStr">
        <is>
          <t>Software Engineer</t>
        </is>
      </c>
      <c r="AF557" s="53" t="inlineStr">
        <is>
          <t>B.Tech</t>
        </is>
      </c>
      <c r="AG557" s="53" t="inlineStr">
        <is>
          <t>Suman Kumar</t>
        </is>
      </c>
      <c r="AH557" s="53" t="inlineStr">
        <is>
          <t>N-2</t>
        </is>
      </c>
      <c r="AI557" s="53" t="inlineStr">
        <is>
          <t>Individual Contributor</t>
        </is>
      </c>
      <c r="AJ557" s="53" t="inlineStr">
        <is>
          <t>2 years, 10 months, 10 days</t>
        </is>
      </c>
      <c r="AK557" s="53" t="inlineStr">
        <is>
          <t>3 years, 3 months, 7 days</t>
        </is>
      </c>
      <c r="AL557" s="53" t="inlineStr">
        <is>
          <t>Suptech</t>
        </is>
      </c>
      <c r="AM557" s="53" t="inlineStr">
        <is>
          <t>iFile</t>
        </is>
      </c>
      <c r="AN557" s="53" t="inlineStr">
        <is>
          <t>Technology</t>
        </is>
      </c>
      <c r="AO557" s="53" t="inlineStr">
        <is>
          <t>Development</t>
        </is>
      </c>
      <c r="AP557" s="53" t="inlineStr">
        <is>
          <t>Yes</t>
        </is>
      </c>
      <c r="AQ557" s="53" t="inlineStr">
        <is>
          <t>Product/Project</t>
        </is>
      </c>
      <c r="AR557" s="53" t="inlineStr">
        <is>
          <t>Java</t>
        </is>
      </c>
      <c r="AS557" s="53" t="inlineStr">
        <is>
          <t>Technical - Developer</t>
        </is>
      </c>
      <c r="AT557" s="53" t="n">
        <v>20</v>
      </c>
      <c r="AU557" s="53" t="inlineStr">
        <is>
          <t>Covered</t>
        </is>
      </c>
      <c r="AV557" s="53" t="n"/>
      <c r="AW557" s="53" t="n"/>
      <c r="AX557" s="53" t="n"/>
      <c r="AY557" s="53" t="n"/>
      <c r="AZ557" s="53" t="n"/>
      <c r="BA557" s="53" t="n"/>
      <c r="BB557" s="53" t="n"/>
      <c r="BC557" s="53" t="n"/>
      <c r="BD557" s="53" t="n"/>
      <c r="BE557" s="53" t="n"/>
      <c r="BF557" s="53" t="n"/>
      <c r="BG557" s="53" t="n"/>
      <c r="BH557" s="53" t="n"/>
      <c r="BI557" s="53" t="n"/>
      <c r="BJ557" s="53" t="n"/>
      <c r="BK557" s="53" t="n"/>
      <c r="BL557" s="53" t="n"/>
      <c r="BM557" s="53" t="n"/>
      <c r="BN557" s="53" t="n"/>
      <c r="BO557" s="53" t="n"/>
      <c r="BP557" s="53" t="n"/>
      <c r="BQ557" s="53" t="n"/>
      <c r="BR557" s="53" t="n"/>
      <c r="BS557" s="53" t="n"/>
      <c r="BT557" s="53" t="n"/>
      <c r="BU557" s="53" t="n"/>
      <c r="BV557" s="53" t="n"/>
      <c r="BW557" s="53" t="n"/>
      <c r="BX557" s="53" t="n"/>
      <c r="BY557" s="53" t="n"/>
      <c r="BZ557" s="53" t="n"/>
      <c r="CA557" s="53" t="n"/>
      <c r="CB557" s="53" t="n"/>
      <c r="CC557" s="53" t="n"/>
      <c r="CD557" s="53" t="n"/>
      <c r="CE557" s="53" t="n"/>
      <c r="CF557" s="53" t="n"/>
      <c r="CG557" s="53" t="n"/>
      <c r="CH557" s="53" t="n"/>
      <c r="CI557" s="53" t="n"/>
      <c r="CJ557" s="53" t="n"/>
      <c r="CK557" s="53" t="n"/>
      <c r="CL557" s="53" t="n"/>
      <c r="CM557" s="53" t="n"/>
      <c r="CN557" s="53" t="n"/>
      <c r="CO557" s="53" t="n"/>
      <c r="CP557" s="53" t="n"/>
      <c r="CQ557" s="53" t="n"/>
      <c r="CR557" s="53" t="n"/>
      <c r="CS557" s="53" t="n"/>
      <c r="CT557" s="53" t="n"/>
      <c r="CU557" s="53" t="n"/>
      <c r="CV557" s="53" t="n"/>
      <c r="CW557" s="53" t="n"/>
      <c r="CX557" s="53" t="n"/>
      <c r="CY557" s="53" t="n"/>
      <c r="CZ557" s="53" t="n"/>
      <c r="DA557" s="53" t="n"/>
      <c r="DB557" s="53" t="n"/>
      <c r="DC557" s="53" t="n"/>
      <c r="DD557" s="53" t="inlineStr">
        <is>
          <t>IRIS2132</t>
        </is>
      </c>
      <c r="DE557" s="53" t="inlineStr">
        <is>
          <t>Employee</t>
        </is>
      </c>
      <c r="DF557" s="53" t="inlineStr">
        <is>
          <t>Active</t>
        </is>
      </c>
      <c r="DG557" s="53" t="inlineStr">
        <is>
          <t>Shubham Mhadgut</t>
        </is>
      </c>
      <c r="DH557" s="54" t="n">
        <v>45064</v>
      </c>
      <c r="DI557" s="53" t="inlineStr">
        <is>
          <t>Software Engineer</t>
        </is>
      </c>
      <c r="DJ557" s="53" t="inlineStr">
        <is>
          <t>Engineering &amp; Development</t>
        </is>
      </c>
      <c r="DK557" s="53" t="inlineStr">
        <is>
          <t>Backend Engineering · Java</t>
        </is>
      </c>
      <c r="DL557" s="53" t="inlineStr">
        <is>
          <t>Software Engineer</t>
        </is>
      </c>
      <c r="DM557" s="53" t="inlineStr">
        <is>
          <t>L3 – Professional / Associate</t>
        </is>
      </c>
      <c r="DN557" s="53" t="inlineStr">
        <is>
          <t>B.Tech</t>
        </is>
      </c>
      <c r="DO557" s="53" t="inlineStr">
        <is>
          <t>Suman Kumar</t>
        </is>
      </c>
      <c r="DP557" s="53" t="inlineStr">
        <is>
          <t>N-3</t>
        </is>
      </c>
      <c r="DQ557" s="53" t="inlineStr">
        <is>
          <t>Individual Contributor</t>
        </is>
      </c>
      <c r="DR557" s="53" t="inlineStr">
        <is>
          <t>2 years, 10 months, 10 days</t>
        </is>
      </c>
      <c r="DS557" s="53" t="inlineStr">
        <is>
          <t>3 years, 1 months, 2 days</t>
        </is>
      </c>
      <c r="DT557" s="53" t="inlineStr">
        <is>
          <t>5 years, 11 months, 12 days</t>
        </is>
      </c>
      <c r="DU557" s="53" t="n"/>
      <c r="DV557" s="53" t="inlineStr">
        <is>
          <t>Suptech</t>
        </is>
      </c>
      <c r="DW557" s="53" t="inlineStr">
        <is>
          <t>iFile</t>
        </is>
      </c>
      <c r="DX557" s="53" t="inlineStr">
        <is>
          <t>Technology</t>
        </is>
      </c>
      <c r="DY557" s="53" t="inlineStr">
        <is>
          <t>Development</t>
        </is>
      </c>
      <c r="DZ557" s="53" t="inlineStr">
        <is>
          <t>Yes</t>
        </is>
      </c>
      <c r="EA557" s="53" t="inlineStr">
        <is>
          <t>Product/Project</t>
        </is>
      </c>
      <c r="EB557" s="53" t="inlineStr">
        <is>
          <t>Java</t>
        </is>
      </c>
      <c r="EC557" s="53" t="inlineStr">
        <is>
          <t>Technical - Developer</t>
        </is>
      </c>
      <c r="ED557" s="53" t="inlineStr">
        <is>
          <t>Work From Office - Turbhe</t>
        </is>
      </c>
      <c r="EE557" s="53"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EF55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G55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7" s="53" t="n">
        <v>4</v>
      </c>
      <c r="EI557" s="54" t="n">
        <v>46113</v>
      </c>
      <c r="EJ557" s="53" t="inlineStr">
        <is>
          <t>Software Engineer</t>
        </is>
      </c>
      <c r="EK557" s="53" t="inlineStr">
        <is>
          <t>No</t>
        </is>
      </c>
      <c r="EL557" s="53" t="n">
        <v>4</v>
      </c>
      <c r="EM557" s="53" t="inlineStr">
        <is>
          <t>High</t>
        </is>
      </c>
      <c r="EN557" s="53" t="inlineStr">
        <is>
          <t>Emerging Talent</t>
        </is>
      </c>
      <c r="EO557" s="53" t="inlineStr">
        <is>
          <t>No</t>
        </is>
      </c>
      <c r="EP557" s="53" t="inlineStr">
        <is>
          <t>No</t>
        </is>
      </c>
      <c r="EQ557" s="53" t="inlineStr">
        <is>
          <t>Yes</t>
        </is>
      </c>
      <c r="ER557" s="53" t="n"/>
      <c r="ES557" s="53" t="inlineStr">
        <is>
          <t>Architecture &amp; Scalability/Spring AI/System Design &amp; Pattern</t>
        </is>
      </c>
      <c r="ET557" s="53" t="n"/>
      <c r="EU557" s="53" t="n"/>
      <c r="EV557" s="53" t="n"/>
      <c r="EW557" s="52" t="n"/>
      <c r="EX557" s="53" t="n"/>
      <c r="EY557" s="53" t="n"/>
      <c r="EZ557" s="53" t="n"/>
      <c r="FA557" s="53" t="n"/>
      <c r="FB557" s="53" t="n"/>
      <c r="FC557" s="53" t="n"/>
      <c r="FD557" s="53" t="n"/>
      <c r="FE55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FF55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7" s="56"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FH557" s="56" t="inlineStr">
        <is>
          <t>4</t>
        </is>
      </c>
      <c r="FI557" s="56" t="n"/>
      <c r="FJ557" s="56" t="inlineStr">
        <is>
          <t>Received · manager annual, quarterly, self</t>
        </is>
      </c>
      <c r="FK557" s="56" t="inlineStr">
        <is>
          <t>Talent Mapping · iFile collated</t>
        </is>
      </c>
      <c r="FL557" s="56" t="n">
        <v>20</v>
      </c>
      <c r="FM557" s="32" t="inlineStr">
        <is>
          <t>Full survey answers not in the files received · How We Grow export needed · HR</t>
        </is>
      </c>
      <c r="FN557" s="56" t="inlineStr">
        <is>
          <t>—</t>
        </is>
      </c>
      <c r="FO557" s="56" t="inlineStr">
        <is>
          <t>—</t>
        </is>
      </c>
      <c r="FP557" s="56" t="inlineStr">
        <is>
          <t>—</t>
        </is>
      </c>
      <c r="FQ557" s="56" t="inlineStr">
        <is>
          <t>—</t>
        </is>
      </c>
      <c r="FR557" s="56"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features end to end; KRA: CSV validation module production support → moved up 0.5
Leadership: Evidence reads like A3: Supports colleagues on backend and UI; KRA: knowledge transfer and reviewing modules against standards → moved up 1
Business Impact: Moved +0.5: the survey / manager mapping marks it business-critical.</t>
        </is>
      </c>
      <c r="FS55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7" s="56" t="inlineStr">
        <is>
          <t>Self-identified: Technical depth &amp; architecture · Strategy &amp; business acumen · Broader exposure &amp; ownership
For the next role: Leadership &amp; people management · Technical depth &amp; architecture · Client, sales &amp; stakeholders · Strategy &amp; business acumen · Broader exposure &amp; ownership</t>
        </is>
      </c>
      <c r="FU557" s="32" t="inlineStr">
        <is>
          <t>Full survey answers not in the files received · How We Grow export needed · HR</t>
        </is>
      </c>
    </row>
    <row r="558" ht="90" customHeight="1">
      <c r="A558" s="51" t="inlineStr">
        <is>
          <t>◂ Back</t>
        </is>
      </c>
      <c r="B558" s="29" t="inlineStr">
        <is>
          <t>Mapped</t>
        </is>
      </c>
      <c r="C558" s="28" t="inlineStr">
        <is>
          <t>iFile</t>
        </is>
      </c>
      <c r="D558" s="29" t="inlineStr">
        <is>
          <t>IRIS2295</t>
        </is>
      </c>
      <c r="E558" s="29" t="inlineStr">
        <is>
          <t>Sourav Moharana</t>
        </is>
      </c>
      <c r="F558" s="29" t="inlineStr">
        <is>
          <t>Technology</t>
        </is>
      </c>
      <c r="G558" s="29" t="inlineStr">
        <is>
          <t>Software Engineer</t>
        </is>
      </c>
      <c r="H558" s="29" t="inlineStr">
        <is>
          <t>Senior Software Engineer</t>
        </is>
      </c>
      <c r="I558" s="29" t="inlineStr">
        <is>
          <t>L3 – Professional / Associate</t>
        </is>
      </c>
      <c r="J558" s="29" t="inlineStr">
        <is>
          <t>A3</t>
        </is>
      </c>
      <c r="K558" s="29" t="inlineStr">
        <is>
          <t>▲ Up</t>
        </is>
      </c>
      <c r="L558" s="29" t="inlineStr">
        <is>
          <t>Engineering &amp; Development</t>
        </is>
      </c>
      <c r="M558" s="29" t="inlineStr">
        <is>
          <t>Backend Development</t>
        </is>
      </c>
      <c r="N558" s="29" t="n"/>
      <c r="O558" s="29" t="n">
        <v>20</v>
      </c>
      <c r="P558" s="28" t="inlineStr">
        <is>
          <t>P2</t>
        </is>
      </c>
      <c r="Q558" s="29" t="inlineStr">
        <is>
          <t>Developing</t>
        </is>
      </c>
      <c r="R558" s="29" t="inlineStr">
        <is>
          <t>3 Apply</t>
        </is>
      </c>
      <c r="S558" s="29" t="inlineStr">
        <is>
          <t>2–4 yrs</t>
        </is>
      </c>
      <c r="T558" s="29" t="inlineStr">
        <is>
          <t>3–5 · 2–5</t>
        </is>
      </c>
      <c r="U558" s="29" t="inlineStr">
        <is>
          <t>Software Engineer</t>
        </is>
      </c>
      <c r="V558" s="29" t="inlineStr">
        <is>
          <t>Workiva: SE · Broadridge India: SE · Nasdaq / AxiomSL: SE · Salesforce: MTS · Atlassian: P40 · 3–7 yrs · Freshworks: Senior SE</t>
        </is>
      </c>
      <c r="W558" s="29" t="inlineStr">
        <is>
          <t>SFIA 9 · software development, programming; OWASP secure coding; cloud vendor certifications</t>
        </is>
      </c>
      <c r="X558" s="29" t="inlineStr">
        <is>
          <t>Core 2 · Future 2 · Functional 3 · Leadership not scored</t>
        </is>
      </c>
      <c r="Y558" s="52" t="n">
        <v>334</v>
      </c>
      <c r="Z558" s="53" t="inlineStr">
        <is>
          <t>IRIS2295</t>
        </is>
      </c>
      <c r="AA558" s="53" t="inlineStr">
        <is>
          <t>Employee</t>
        </is>
      </c>
      <c r="AB558" s="53" t="inlineStr">
        <is>
          <t>Active</t>
        </is>
      </c>
      <c r="AC558" s="53" t="inlineStr">
        <is>
          <t>Sourav Moharana</t>
        </is>
      </c>
      <c r="AD558" s="54" t="n">
        <v>45491</v>
      </c>
      <c r="AE558" s="53" t="inlineStr">
        <is>
          <t>Software Engineer</t>
        </is>
      </c>
      <c r="AF558" s="53" t="inlineStr">
        <is>
          <t>B.Tech</t>
        </is>
      </c>
      <c r="AG558" s="53" t="inlineStr">
        <is>
          <t>Suman Kumar</t>
        </is>
      </c>
      <c r="AH558" s="53" t="inlineStr">
        <is>
          <t>N-2</t>
        </is>
      </c>
      <c r="AI558" s="53" t="inlineStr">
        <is>
          <t>Individual Contributor</t>
        </is>
      </c>
      <c r="AJ558" s="53" t="inlineStr">
        <is>
          <t>3 years, 0 months, 0 days</t>
        </is>
      </c>
      <c r="AK558" s="53" t="inlineStr">
        <is>
          <t>2 years, 1 months, 7 days</t>
        </is>
      </c>
      <c r="AL558" s="53" t="inlineStr">
        <is>
          <t>Suptech</t>
        </is>
      </c>
      <c r="AM558" s="53" t="inlineStr">
        <is>
          <t>iFile</t>
        </is>
      </c>
      <c r="AN558" s="53" t="inlineStr">
        <is>
          <t>Technology</t>
        </is>
      </c>
      <c r="AO558" s="53" t="inlineStr">
        <is>
          <t>Development</t>
        </is>
      </c>
      <c r="AP558" s="53" t="inlineStr">
        <is>
          <t>Yes</t>
        </is>
      </c>
      <c r="AQ558" s="53" t="inlineStr">
        <is>
          <t>Product/Project</t>
        </is>
      </c>
      <c r="AR558" s="53" t="inlineStr">
        <is>
          <t>Java</t>
        </is>
      </c>
      <c r="AS558" s="53" t="inlineStr">
        <is>
          <t>Technical - Developer</t>
        </is>
      </c>
      <c r="AT558" s="53" t="n">
        <v>20</v>
      </c>
      <c r="AU558" s="53" t="inlineStr">
        <is>
          <t>Covered</t>
        </is>
      </c>
      <c r="AV558" s="53" t="n"/>
      <c r="AW558" s="53" t="n"/>
      <c r="AX558" s="53" t="n"/>
      <c r="AY558" s="53" t="n"/>
      <c r="AZ558" s="53" t="n"/>
      <c r="BA558" s="53" t="n"/>
      <c r="BB558" s="53" t="n"/>
      <c r="BC558" s="53" t="n"/>
      <c r="BD558" s="53" t="n"/>
      <c r="BE558" s="53" t="n"/>
      <c r="BF558" s="53" t="n"/>
      <c r="BG558" s="53" t="n"/>
      <c r="BH558" s="53" t="n"/>
      <c r="BI558" s="53" t="n"/>
      <c r="BJ558" s="53" t="n"/>
      <c r="BK558" s="53" t="n"/>
      <c r="BL558" s="53" t="n"/>
      <c r="BM558" s="53" t="n"/>
      <c r="BN558" s="53" t="n"/>
      <c r="BO558" s="53" t="n"/>
      <c r="BP558" s="53" t="n"/>
      <c r="BQ558" s="53" t="n"/>
      <c r="BR558" s="53" t="n"/>
      <c r="BS558" s="53" t="n"/>
      <c r="BT558" s="53" t="n"/>
      <c r="BU558" s="53" t="n"/>
      <c r="BV558" s="53" t="n"/>
      <c r="BW558" s="53" t="n"/>
      <c r="BX558" s="53" t="n"/>
      <c r="BY558" s="53" t="n"/>
      <c r="BZ558" s="53" t="n"/>
      <c r="CA558" s="53" t="n"/>
      <c r="CB558" s="53" t="n"/>
      <c r="CC558" s="53" t="n"/>
      <c r="CD558" s="53" t="n"/>
      <c r="CE558" s="53" t="n"/>
      <c r="CF558" s="53" t="n"/>
      <c r="CG558" s="53" t="n"/>
      <c r="CH558" s="53" t="n"/>
      <c r="CI558" s="53" t="n"/>
      <c r="CJ558" s="53" t="n"/>
      <c r="CK558" s="53" t="n"/>
      <c r="CL558" s="53" t="n"/>
      <c r="CM558" s="53" t="n"/>
      <c r="CN558" s="53" t="n"/>
      <c r="CO558" s="53" t="n"/>
      <c r="CP558" s="53" t="n"/>
      <c r="CQ558" s="53" t="n"/>
      <c r="CR558" s="53" t="n"/>
      <c r="CS558" s="53" t="n"/>
      <c r="CT558" s="53" t="n"/>
      <c r="CU558" s="53" t="n"/>
      <c r="CV558" s="53" t="n"/>
      <c r="CW558" s="53" t="n"/>
      <c r="CX558" s="53" t="n"/>
      <c r="CY558" s="53" t="n"/>
      <c r="CZ558" s="53" t="n"/>
      <c r="DA558" s="53" t="n"/>
      <c r="DB558" s="53" t="n"/>
      <c r="DC558" s="53" t="n"/>
      <c r="DD558" s="53" t="inlineStr">
        <is>
          <t>IRIS2295</t>
        </is>
      </c>
      <c r="DE558" s="53" t="inlineStr">
        <is>
          <t>Employee</t>
        </is>
      </c>
      <c r="DF558" s="53" t="inlineStr">
        <is>
          <t>Active</t>
        </is>
      </c>
      <c r="DG558" s="53" t="inlineStr">
        <is>
          <t>Sourav Moharana</t>
        </is>
      </c>
      <c r="DH558" s="54" t="n">
        <v>45491</v>
      </c>
      <c r="DI558" s="53" t="inlineStr">
        <is>
          <t>Software Engineer</t>
        </is>
      </c>
      <c r="DJ558" s="53" t="inlineStr">
        <is>
          <t>Engineering &amp; Development</t>
        </is>
      </c>
      <c r="DK558" s="53" t="inlineStr">
        <is>
          <t>Backend Engineering · Java</t>
        </is>
      </c>
      <c r="DL558" s="53" t="inlineStr">
        <is>
          <t>Software Engineer</t>
        </is>
      </c>
      <c r="DM558" s="53" t="inlineStr">
        <is>
          <t>L3 – Professional / Associate</t>
        </is>
      </c>
      <c r="DN558" s="53" t="inlineStr">
        <is>
          <t>B.Tech</t>
        </is>
      </c>
      <c r="DO558" s="53" t="inlineStr">
        <is>
          <t>Suman Kumar</t>
        </is>
      </c>
      <c r="DP558" s="53" t="inlineStr">
        <is>
          <t>N-3</t>
        </is>
      </c>
      <c r="DQ558" s="53" t="inlineStr">
        <is>
          <t>Individual Contributor</t>
        </is>
      </c>
      <c r="DR558" s="53" t="inlineStr">
        <is>
          <t>3 years, 0 months, 0 days</t>
        </is>
      </c>
      <c r="DS558" s="53" t="inlineStr">
        <is>
          <t>1 years, 11 months, 2 days</t>
        </is>
      </c>
      <c r="DT558" s="53" t="inlineStr">
        <is>
          <t>4 years, 11 months, 2 days</t>
        </is>
      </c>
      <c r="DU558" s="53" t="n"/>
      <c r="DV558" s="53" t="inlineStr">
        <is>
          <t>Suptech</t>
        </is>
      </c>
      <c r="DW558" s="53" t="inlineStr">
        <is>
          <t>iFile</t>
        </is>
      </c>
      <c r="DX558" s="53" t="inlineStr">
        <is>
          <t>Technology</t>
        </is>
      </c>
      <c r="DY558" s="53" t="inlineStr">
        <is>
          <t>Development</t>
        </is>
      </c>
      <c r="DZ558" s="53" t="inlineStr">
        <is>
          <t>Yes</t>
        </is>
      </c>
      <c r="EA558" s="53" t="inlineStr">
        <is>
          <t>Product/Project</t>
        </is>
      </c>
      <c r="EB558" s="53" t="inlineStr">
        <is>
          <t>Java</t>
        </is>
      </c>
      <c r="EC558" s="53" t="inlineStr">
        <is>
          <t>Technical - Developer</t>
        </is>
      </c>
      <c r="ED558" s="53" t="inlineStr">
        <is>
          <t>Work From Office - Turbhe</t>
        </is>
      </c>
      <c r="EE558" s="53"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EF55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8" s="53" t="n">
        <v>4</v>
      </c>
      <c r="EI558" s="54" t="n">
        <v>46113</v>
      </c>
      <c r="EJ558" s="53" t="inlineStr">
        <is>
          <t>Software Engineer</t>
        </is>
      </c>
      <c r="EK558" s="53" t="inlineStr">
        <is>
          <t>No</t>
        </is>
      </c>
      <c r="EL558" s="53" t="n">
        <v>4</v>
      </c>
      <c r="EM558" s="53" t="inlineStr">
        <is>
          <t>High</t>
        </is>
      </c>
      <c r="EN558" s="53" t="inlineStr">
        <is>
          <t>Trusted Professional</t>
        </is>
      </c>
      <c r="EO558" s="53" t="inlineStr">
        <is>
          <t>No</t>
        </is>
      </c>
      <c r="EP558" s="53" t="inlineStr">
        <is>
          <t>No</t>
        </is>
      </c>
      <c r="EQ558" s="53" t="inlineStr">
        <is>
          <t>Yes</t>
        </is>
      </c>
      <c r="ER558" s="53" t="n"/>
      <c r="ES558" s="53" t="inlineStr">
        <is>
          <t>Reactive Programming/Spring AI/System Design &amp; Pattern</t>
        </is>
      </c>
      <c r="ET558" s="53" t="n"/>
      <c r="EU558" s="53" t="n"/>
      <c r="EV558" s="53" t="n"/>
      <c r="EW558" s="52" t="n"/>
      <c r="EX558" s="53" t="n"/>
      <c r="EY558" s="53" t="n"/>
      <c r="EZ558" s="53" t="n"/>
      <c r="FA558" s="53" t="n"/>
      <c r="FB558" s="53" t="n"/>
      <c r="FC558" s="53" t="n"/>
      <c r="FD558" s="53" t="n"/>
      <c r="FE55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8" s="56"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 and exploring opportunities to apply in project.</t>
        </is>
      </c>
      <c r="FH558" s="56" t="inlineStr">
        <is>
          <t>4</t>
        </is>
      </c>
      <c r="FI558" s="56" t="n"/>
      <c r="FJ558" s="56" t="inlineStr">
        <is>
          <t>Received · manager annual, quarterly, self</t>
        </is>
      </c>
      <c r="FK558" s="56" t="inlineStr">
        <is>
          <t>Talent Mapping · iFile collated</t>
        </is>
      </c>
      <c r="FL558" s="56" t="n">
        <v>20</v>
      </c>
      <c r="FM558" s="32" t="inlineStr">
        <is>
          <t>Full survey answers not in the files received · How We Grow export needed · HR</t>
        </is>
      </c>
      <c r="FN558" s="56" t="inlineStr">
        <is>
          <t>—</t>
        </is>
      </c>
      <c r="FO558" s="56" t="inlineStr">
        <is>
          <t>—</t>
        </is>
      </c>
      <c r="FP558" s="56" t="inlineStr">
        <is>
          <t>—</t>
        </is>
      </c>
      <c r="FQ558" s="56" t="inlineStr">
        <is>
          <t>—</t>
        </is>
      </c>
      <c r="FR558" s="56" t="inlineStr">
        <is>
          <t>Business Impact: Moved +0.5: the survey / manager mapping marks it business-critical.</t>
        </is>
      </c>
      <c r="FS55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8" s="56" t="inlineStr">
        <is>
          <t>Self-identified: Leadership &amp; people management · Technical depth &amp; architecture · Strategy &amp; business acumen
For the next role: Leadership &amp; people management · Technical depth &amp; architecture · Strategy &amp; business acumen</t>
        </is>
      </c>
      <c r="FU558" s="32" t="inlineStr">
        <is>
          <t>Full survey answers not in the files received · How We Grow export needed · HR</t>
        </is>
      </c>
    </row>
    <row r="559" ht="90" customHeight="1">
      <c r="A559" s="51" t="inlineStr">
        <is>
          <t>◂ Back</t>
        </is>
      </c>
      <c r="B559" s="29" t="inlineStr">
        <is>
          <t>Mapped</t>
        </is>
      </c>
      <c r="C559" s="28" t="inlineStr">
        <is>
          <t>Corporate</t>
        </is>
      </c>
      <c r="D559" s="29" t="inlineStr">
        <is>
          <t>IRIS2103</t>
        </is>
      </c>
      <c r="E559" s="29" t="inlineStr">
        <is>
          <t>Mahesh Tilave</t>
        </is>
      </c>
      <c r="F559" s="29" t="inlineStr">
        <is>
          <t>IT &amp; Infrastructure</t>
        </is>
      </c>
      <c r="G559" s="29" t="inlineStr">
        <is>
          <t>Team Lead – IT Infrastructure</t>
        </is>
      </c>
      <c r="H559" s="29" t="inlineStr">
        <is>
          <t>Senior IT Manager</t>
        </is>
      </c>
      <c r="I559" s="29" t="inlineStr">
        <is>
          <t>Not in current mapping files</t>
        </is>
      </c>
      <c r="J559" s="29" t="inlineStr">
        <is>
          <t>B2</t>
        </is>
      </c>
      <c r="K559" s="29" t="inlineStr">
        <is>
          <t>● Newly mapped</t>
        </is>
      </c>
      <c r="L559" s="29" t="inlineStr">
        <is>
          <t>IT &amp; Infrastructure</t>
        </is>
      </c>
      <c r="M559" s="29" t="inlineStr">
        <is>
          <t>IT Infrastructure Leadership</t>
        </is>
      </c>
      <c r="N559" s="29" t="inlineStr">
        <is>
          <t>• Confirm the reporting line — Manager</t>
        </is>
      </c>
      <c r="O559" s="29" t="n">
        <v>20</v>
      </c>
      <c r="P559" s="28" t="inlineStr">
        <is>
          <t>P4 / M3</t>
        </is>
      </c>
      <c r="Q559" s="29" t="inlineStr">
        <is>
          <t>Senior / Manager</t>
        </is>
      </c>
      <c r="R559" s="29" t="inlineStr">
        <is>
          <t>4–5</t>
        </is>
      </c>
      <c r="S559" s="29" t="inlineStr">
        <is>
          <t>6–9 yrs</t>
        </is>
      </c>
      <c r="T559" s="29" t="inlineStr">
        <is>
          <t>7–10 · 6–11</t>
        </is>
      </c>
      <c r="U559" s="29" t="inlineStr">
        <is>
          <t>Senior Manager</t>
        </is>
      </c>
      <c r="V559" s="29" t="inlineStr">
        <is>
          <t>Atlassian company-wide P-levels: P50 Senior · IRIS Vs Competitor Benchmark — infrastructure ladder: Infrastructure Lead</t>
        </is>
      </c>
      <c r="W559" s="29" t="inlineStr">
        <is>
          <t>ITIL 4; ISO/IEC 27001:2022; SFIA infrastructure</t>
        </is>
      </c>
      <c r="X559" s="29" t="inlineStr">
        <is>
          <t>Core 3 · Future 3 · Functional 4 · Leadership 3</t>
        </is>
      </c>
      <c r="Y559" s="52" t="n">
        <v>263</v>
      </c>
      <c r="Z559" s="53" t="inlineStr">
        <is>
          <t>IRIS2103</t>
        </is>
      </c>
      <c r="AA559" s="53" t="inlineStr">
        <is>
          <t>Employee</t>
        </is>
      </c>
      <c r="AB559" s="53" t="inlineStr">
        <is>
          <t>Active</t>
        </is>
      </c>
      <c r="AC559" s="53" t="inlineStr">
        <is>
          <t>Mahesh Tilave</t>
        </is>
      </c>
      <c r="AD559" s="54" t="n">
        <v>44981</v>
      </c>
      <c r="AE559" s="53" t="inlineStr">
        <is>
          <t>Team Lead – IT Infrastructure</t>
        </is>
      </c>
      <c r="AF559" s="53" t="inlineStr">
        <is>
          <t>BA</t>
        </is>
      </c>
      <c r="AG559" s="53" t="inlineStr">
        <is>
          <t>P K X Thomas</t>
        </is>
      </c>
      <c r="AH559" s="53" t="inlineStr">
        <is>
          <t>N-1</t>
        </is>
      </c>
      <c r="AI559" s="53" t="inlineStr">
        <is>
          <t>Manager</t>
        </is>
      </c>
      <c r="AJ559" s="53" t="inlineStr">
        <is>
          <t>17 years, 0 months, 0 days</t>
        </is>
      </c>
      <c r="AK559" s="53" t="inlineStr">
        <is>
          <t>3 years, 6 months, 1 days</t>
        </is>
      </c>
      <c r="AL559" s="53" t="inlineStr">
        <is>
          <t>Corporate</t>
        </is>
      </c>
      <c r="AM559" s="53" t="inlineStr">
        <is>
          <t>Corporate</t>
        </is>
      </c>
      <c r="AN559" s="53" t="inlineStr">
        <is>
          <t>IT &amp; Infrastructure</t>
        </is>
      </c>
      <c r="AO559" s="53" t="inlineStr">
        <is>
          <t>Infra</t>
        </is>
      </c>
      <c r="AP559" s="53" t="inlineStr">
        <is>
          <t>No</t>
        </is>
      </c>
      <c r="AQ559" s="53" t="inlineStr">
        <is>
          <t>General &amp; Admin</t>
        </is>
      </c>
      <c r="AR559" s="53" t="inlineStr">
        <is>
          <t>Infra</t>
        </is>
      </c>
      <c r="AS559" s="53" t="inlineStr">
        <is>
          <t>Non-technical</t>
        </is>
      </c>
      <c r="AT559" s="53" t="n">
        <v>20</v>
      </c>
      <c r="AU559" s="53" t="inlineStr">
        <is>
          <t>Covered</t>
        </is>
      </c>
      <c r="AV559" s="53" t="n"/>
      <c r="AW559" s="53" t="n"/>
      <c r="AX559" s="53" t="n"/>
      <c r="AY559" s="53" t="n"/>
      <c r="AZ559" s="53" t="n"/>
      <c r="BA559" s="53" t="n"/>
      <c r="BB559" s="53" t="n"/>
      <c r="BC559" s="53" t="n"/>
      <c r="BD559" s="53" t="n"/>
      <c r="BE559" s="53" t="n"/>
      <c r="BF559" s="53" t="n"/>
      <c r="BG559" s="53" t="n"/>
      <c r="BH559" s="53" t="n"/>
      <c r="BI559" s="53" t="n"/>
      <c r="BJ559" s="53" t="n"/>
      <c r="BK559" s="53" t="n"/>
      <c r="BL559" s="53" t="n"/>
      <c r="BM559" s="53" t="n"/>
      <c r="BN559" s="53" t="n"/>
      <c r="BO559" s="53" t="n"/>
      <c r="BP559" s="53" t="n"/>
      <c r="BQ559" s="53" t="n"/>
      <c r="BR559" s="53" t="n"/>
      <c r="BS559" s="53" t="n"/>
      <c r="BT559" s="53" t="n"/>
      <c r="BU559" s="53" t="n"/>
      <c r="BV559" s="53" t="n"/>
      <c r="BW559" s="53" t="n"/>
      <c r="BX559" s="53" t="n"/>
      <c r="BY559" s="53" t="n"/>
      <c r="BZ559" s="53" t="n"/>
      <c r="CA559" s="53" t="n"/>
      <c r="CB559" s="53" t="n"/>
      <c r="CC559" s="53" t="n"/>
      <c r="CD559" s="53" t="n"/>
      <c r="CE559" s="53" t="n"/>
      <c r="CF559" s="53" t="n"/>
      <c r="CG559" s="53" t="n"/>
      <c r="CH559" s="53" t="n"/>
      <c r="CI559" s="53" t="n"/>
      <c r="CJ559" s="53" t="n"/>
      <c r="CK559" s="53" t="n"/>
      <c r="CL559" s="53" t="n"/>
      <c r="CM559" s="53" t="n"/>
      <c r="CN559" s="53" t="n"/>
      <c r="CO559" s="53" t="n"/>
      <c r="CP559" s="53" t="n"/>
      <c r="CQ559" s="53" t="n"/>
      <c r="CR559" s="53" t="n"/>
      <c r="CS559" s="53" t="n"/>
      <c r="CT559" s="53" t="n"/>
      <c r="CU559" s="53" t="n"/>
      <c r="CV559" s="53" t="n"/>
      <c r="CW559" s="53" t="n"/>
      <c r="CX559" s="53" t="n"/>
      <c r="CY559" s="53" t="n"/>
      <c r="CZ559" s="53" t="n"/>
      <c r="DA559" s="53" t="n"/>
      <c r="DB559" s="53" t="n"/>
      <c r="DC559" s="53" t="n"/>
      <c r="DD559" s="53" t="n"/>
      <c r="DE559" s="53" t="n"/>
      <c r="DF559" s="53" t="n"/>
      <c r="DG559" s="53" t="n"/>
      <c r="DH559" s="53" t="n"/>
      <c r="DI559" s="53" t="n"/>
      <c r="DJ559" s="53" t="n"/>
      <c r="DK559" s="53" t="n"/>
      <c r="DL559" s="53" t="n"/>
      <c r="DM559" s="53" t="n"/>
      <c r="DN559" s="53" t="n"/>
      <c r="DO559" s="53" t="n"/>
      <c r="DP559" s="53" t="n"/>
      <c r="DQ559" s="53" t="n"/>
      <c r="DR559" s="53" t="n"/>
      <c r="DS559" s="53" t="n"/>
      <c r="DT559" s="53" t="n"/>
      <c r="DU559" s="53" t="n"/>
      <c r="DV559" s="53" t="n"/>
      <c r="DW559" s="53" t="n"/>
      <c r="DX559" s="53" t="n"/>
      <c r="DY559" s="53" t="n"/>
      <c r="DZ559" s="53" t="n"/>
      <c r="EA559" s="53" t="n"/>
      <c r="EB559" s="53" t="n"/>
      <c r="EC559" s="53" t="n"/>
      <c r="ED559" s="53" t="n"/>
      <c r="EE559" s="53" t="n"/>
      <c r="EF559" s="53" t="n"/>
      <c r="EG559" s="53" t="n"/>
      <c r="EH559" s="53" t="n"/>
      <c r="EI559" s="53" t="n"/>
      <c r="EJ559" s="53" t="n"/>
      <c r="EK559" s="53" t="n"/>
      <c r="EL559" s="53" t="n"/>
      <c r="EM559" s="53" t="n"/>
      <c r="EN559" s="53" t="n"/>
      <c r="EO559" s="53" t="n"/>
      <c r="EP559" s="53" t="n"/>
      <c r="EQ559" s="53" t="n"/>
      <c r="ER559" s="53" t="n"/>
      <c r="ES559" s="53" t="n"/>
      <c r="ET559" s="53" t="n"/>
      <c r="EU559" s="53" t="n"/>
      <c r="EV559" s="53" t="n"/>
      <c r="EW559" s="52" t="n"/>
      <c r="EX559" s="53" t="n"/>
      <c r="EY559" s="53" t="n"/>
      <c r="EZ559" s="53" t="n"/>
      <c r="FA559" s="53" t="n"/>
      <c r="FB559" s="53" t="n"/>
      <c r="FC559" s="53" t="n"/>
      <c r="FD559" s="53" t="n"/>
      <c r="FE559" s="55" t="inlineStr">
        <is>
          <t>KRAs not received · manager to supply</t>
        </is>
      </c>
      <c r="FF559" s="56" t="n"/>
      <c r="FG559" s="56" t="n"/>
      <c r="FH559" s="56" t="n"/>
      <c r="FI559" s="56" t="n"/>
      <c r="FJ559" s="32" t="inlineStr">
        <is>
          <t>KRAs not received · manager to supply</t>
        </is>
      </c>
      <c r="FK559" s="56" t="n"/>
      <c r="FL559" s="56" t="n">
        <v>20</v>
      </c>
      <c r="FM559" s="32" t="inlineStr">
        <is>
          <t>Full survey answers not in the files received · How We Grow export needed · HR</t>
        </is>
      </c>
      <c r="FN559" s="56" t="inlineStr">
        <is>
          <t>—</t>
        </is>
      </c>
      <c r="FO559" s="56" t="inlineStr">
        <is>
          <t>—</t>
        </is>
      </c>
      <c r="FP559" s="56" t="inlineStr">
        <is>
          <t>—</t>
        </is>
      </c>
      <c r="FQ559" s="56" t="inlineStr">
        <is>
          <t>—</t>
        </is>
      </c>
      <c r="FR559" s="56"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like B2: Infra uptime target of 99.99%, compliance and ISO audits, projects; team of seven → moved down 0.5
Leadership: Evidence reads like B2: Team management and training listed; 7 direct reports → moved down 0.5
Business Impact: No survey or manager-mapping signal on criticality: kept at the start point.</t>
        </is>
      </c>
      <c r="FS559" s="56" t="n"/>
      <c r="FT559" s="56" t="inlineStr">
        <is>
          <t>Self-identified: Project / programme management
For the next role: Project / programme management</t>
        </is>
      </c>
      <c r="FU559" s="32" t="inlineStr">
        <is>
          <t>Full survey answers not in the files received · How We Grow export needed · HR</t>
        </is>
      </c>
    </row>
    <row r="560" ht="90" customHeight="1">
      <c r="A560" s="51" t="inlineStr">
        <is>
          <t>◂ Back</t>
        </is>
      </c>
      <c r="B560" s="29" t="inlineStr">
        <is>
          <t>Mapped</t>
        </is>
      </c>
      <c r="C560" s="28" t="inlineStr">
        <is>
          <t>Corporate</t>
        </is>
      </c>
      <c r="D560" s="29" t="inlineStr">
        <is>
          <t>IRIS0265</t>
        </is>
      </c>
      <c r="E560" s="29" t="inlineStr">
        <is>
          <t>Rajit Kumar Sahu</t>
        </is>
      </c>
      <c r="F560" s="29" t="inlineStr">
        <is>
          <t>IT &amp; Infrastructure</t>
        </is>
      </c>
      <c r="G560" s="29" t="inlineStr">
        <is>
          <t>System Administrator</t>
        </is>
      </c>
      <c r="H560" s="29" t="inlineStr">
        <is>
          <t>Infrastructure Specialist</t>
        </is>
      </c>
      <c r="I560" s="29" t="inlineStr">
        <is>
          <t>Not in current mapping files</t>
        </is>
      </c>
      <c r="J560" s="29" t="inlineStr">
        <is>
          <t>B1</t>
        </is>
      </c>
      <c r="K560" s="29" t="inlineStr">
        <is>
          <t>● Newly mapped</t>
        </is>
      </c>
      <c r="L560" s="29" t="inlineStr">
        <is>
          <t>IT &amp; Infrastructure</t>
        </is>
      </c>
      <c r="M560" s="29" t="inlineStr">
        <is>
          <t>Infrastructure &amp; Cloud Operations</t>
        </is>
      </c>
      <c r="N560" s="29" t="n"/>
      <c r="O560" s="29" t="n">
        <v>20</v>
      </c>
      <c r="P560" s="28" t="inlineStr">
        <is>
          <t>P3 / M2</t>
        </is>
      </c>
      <c r="Q560" s="29" t="inlineStr">
        <is>
          <t>Career / · Team Lead</t>
        </is>
      </c>
      <c r="R560" s="29" t="inlineStr">
        <is>
          <t>4 Enable</t>
        </is>
      </c>
      <c r="S560" s="29" t="inlineStr">
        <is>
          <t>4–7 yrs</t>
        </is>
      </c>
      <c r="T560" s="29" t="inlineStr">
        <is>
          <t>5–8 · 4–8</t>
        </is>
      </c>
      <c r="U560" s="29" t="inlineStr">
        <is>
          <t>Senior System Administrator</t>
        </is>
      </c>
      <c r="V560" s="29" t="inlineStr">
        <is>
          <t>Atlassian company-wide P-levels: P40 · IRIS Vs Competitor Benchmark — infrastructure ladder: Senior SysAdmin</t>
        </is>
      </c>
      <c r="W560" s="29" t="inlineStr">
        <is>
          <t>ITIL 4; ISO/IEC 27001:2022; SFIA infrastructure</t>
        </is>
      </c>
      <c r="X560" s="29" t="inlineStr">
        <is>
          <t>Core 3 · Future 3 · Functional 3 · Leadership 1</t>
        </is>
      </c>
      <c r="Y560" s="52" t="n">
        <v>46</v>
      </c>
      <c r="Z560" s="53" t="inlineStr">
        <is>
          <t>IRIS0265</t>
        </is>
      </c>
      <c r="AA560" s="53" t="inlineStr">
        <is>
          <t>Employee</t>
        </is>
      </c>
      <c r="AB560" s="53" t="inlineStr">
        <is>
          <t>Active</t>
        </is>
      </c>
      <c r="AC560" s="53" t="inlineStr">
        <is>
          <t>Rajit Kumar Sahu</t>
        </is>
      </c>
      <c r="AD560" s="54" t="n">
        <v>39867</v>
      </c>
      <c r="AE560" s="53" t="inlineStr">
        <is>
          <t>System Administrator</t>
        </is>
      </c>
      <c r="AF560" s="53" t="inlineStr">
        <is>
          <t>BA</t>
        </is>
      </c>
      <c r="AG560" s="53" t="inlineStr">
        <is>
          <t>Mahesh Tilave</t>
        </is>
      </c>
      <c r="AH560" s="53" t="inlineStr">
        <is>
          <t>N-2</t>
        </is>
      </c>
      <c r="AI560" s="53" t="inlineStr">
        <is>
          <t>Individual Contributor</t>
        </is>
      </c>
      <c r="AJ560" s="53" t="inlineStr">
        <is>
          <t>1 years, 5 months, 0 days</t>
        </is>
      </c>
      <c r="AK560" s="53" t="inlineStr">
        <is>
          <t>17 years, 6 months, 2 days</t>
        </is>
      </c>
      <c r="AL560" s="53" t="inlineStr">
        <is>
          <t>Corporate</t>
        </is>
      </c>
      <c r="AM560" s="53" t="inlineStr">
        <is>
          <t>Corporate</t>
        </is>
      </c>
      <c r="AN560" s="53" t="inlineStr">
        <is>
          <t>IT &amp; Infrastructure</t>
        </is>
      </c>
      <c r="AO560" s="53" t="inlineStr">
        <is>
          <t>Infra</t>
        </is>
      </c>
      <c r="AP560" s="53" t="inlineStr">
        <is>
          <t>No</t>
        </is>
      </c>
      <c r="AQ560" s="53" t="inlineStr">
        <is>
          <t>General &amp; Admin</t>
        </is>
      </c>
      <c r="AR560" s="53" t="inlineStr">
        <is>
          <t>Infra</t>
        </is>
      </c>
      <c r="AS560" s="53" t="inlineStr">
        <is>
          <t>Non-technical</t>
        </is>
      </c>
      <c r="AT560" s="53" t="n">
        <v>20</v>
      </c>
      <c r="AU560" s="53" t="inlineStr">
        <is>
          <t>Covered</t>
        </is>
      </c>
      <c r="AV560" s="53" t="n"/>
      <c r="AW560" s="53" t="n"/>
      <c r="AX560" s="53" t="n"/>
      <c r="AY560" s="53" t="n"/>
      <c r="AZ560" s="53" t="n"/>
      <c r="BA560" s="53" t="n"/>
      <c r="BB560" s="53" t="n"/>
      <c r="BC560" s="53" t="n"/>
      <c r="BD560" s="53" t="n"/>
      <c r="BE560" s="53" t="n"/>
      <c r="BF560" s="53" t="n"/>
      <c r="BG560" s="53" t="n"/>
      <c r="BH560" s="53" t="n"/>
      <c r="BI560" s="53" t="n"/>
      <c r="BJ560" s="53" t="n"/>
      <c r="BK560" s="53" t="n"/>
      <c r="BL560" s="53" t="n"/>
      <c r="BM560" s="53" t="n"/>
      <c r="BN560" s="53" t="n"/>
      <c r="BO560" s="53" t="n"/>
      <c r="BP560" s="53" t="n"/>
      <c r="BQ560" s="53" t="n"/>
      <c r="BR560" s="53" t="n"/>
      <c r="BS560" s="53" t="n"/>
      <c r="BT560" s="53" t="n"/>
      <c r="BU560" s="53" t="n"/>
      <c r="BV560" s="53" t="n"/>
      <c r="BW560" s="53" t="n"/>
      <c r="BX560" s="53" t="n"/>
      <c r="BY560" s="53" t="n"/>
      <c r="BZ560" s="53" t="n"/>
      <c r="CA560" s="53" t="n"/>
      <c r="CB560" s="53" t="n"/>
      <c r="CC560" s="53" t="n"/>
      <c r="CD560" s="53" t="n"/>
      <c r="CE560" s="53" t="n"/>
      <c r="CF560" s="53" t="n"/>
      <c r="CG560" s="53" t="n"/>
      <c r="CH560" s="53" t="n"/>
      <c r="CI560" s="53" t="n"/>
      <c r="CJ560" s="53" t="n"/>
      <c r="CK560" s="53" t="n"/>
      <c r="CL560" s="53" t="n"/>
      <c r="CM560" s="53" t="n"/>
      <c r="CN560" s="53" t="n"/>
      <c r="CO560" s="53" t="n"/>
      <c r="CP560" s="53" t="n"/>
      <c r="CQ560" s="53" t="n"/>
      <c r="CR560" s="53" t="n"/>
      <c r="CS560" s="53" t="n"/>
      <c r="CT560" s="53" t="n"/>
      <c r="CU560" s="53" t="n"/>
      <c r="CV560" s="53" t="n"/>
      <c r="CW560" s="53" t="n"/>
      <c r="CX560" s="53" t="n"/>
      <c r="CY560" s="53" t="n"/>
      <c r="CZ560" s="53" t="n"/>
      <c r="DA560" s="53" t="n"/>
      <c r="DB560" s="53" t="n"/>
      <c r="DC560" s="53" t="n"/>
      <c r="DD560" s="53" t="n"/>
      <c r="DE560" s="53" t="n"/>
      <c r="DF560" s="53" t="n"/>
      <c r="DG560" s="53" t="n"/>
      <c r="DH560" s="53" t="n"/>
      <c r="DI560" s="53" t="n"/>
      <c r="DJ560" s="53" t="n"/>
      <c r="DK560" s="53" t="n"/>
      <c r="DL560" s="53" t="n"/>
      <c r="DM560" s="53" t="n"/>
      <c r="DN560" s="53" t="n"/>
      <c r="DO560" s="53" t="n"/>
      <c r="DP560" s="53" t="n"/>
      <c r="DQ560" s="53" t="n"/>
      <c r="DR560" s="53" t="n"/>
      <c r="DS560" s="53" t="n"/>
      <c r="DT560" s="53" t="n"/>
      <c r="DU560" s="53" t="n"/>
      <c r="DV560" s="53" t="n"/>
      <c r="DW560" s="53" t="n"/>
      <c r="DX560" s="53" t="n"/>
      <c r="DY560" s="53" t="n"/>
      <c r="DZ560" s="53" t="n"/>
      <c r="EA560" s="53" t="n"/>
      <c r="EB560" s="53" t="n"/>
      <c r="EC560" s="53" t="n"/>
      <c r="ED560" s="53" t="n"/>
      <c r="EE560" s="53" t="n"/>
      <c r="EF560" s="53" t="n"/>
      <c r="EG560" s="53" t="n"/>
      <c r="EH560" s="53" t="n"/>
      <c r="EI560" s="53" t="n"/>
      <c r="EJ560" s="53" t="n"/>
      <c r="EK560" s="53" t="n"/>
      <c r="EL560" s="53" t="n"/>
      <c r="EM560" s="53" t="n"/>
      <c r="EN560" s="53" t="n"/>
      <c r="EO560" s="53" t="n"/>
      <c r="EP560" s="53" t="n"/>
      <c r="EQ560" s="53" t="n"/>
      <c r="ER560" s="53" t="n"/>
      <c r="ES560" s="53" t="n"/>
      <c r="ET560" s="53" t="n"/>
      <c r="EU560" s="53" t="n"/>
      <c r="EV560" s="53" t="n"/>
      <c r="EW560" s="52" t="n"/>
      <c r="EX560" s="53" t="n"/>
      <c r="EY560" s="53" t="n"/>
      <c r="EZ560" s="53" t="n"/>
      <c r="FA560" s="53" t="n"/>
      <c r="FB560" s="53" t="n"/>
      <c r="FC560" s="53" t="n"/>
      <c r="FD560" s="53" t="n"/>
      <c r="FE560" s="55" t="inlineStr">
        <is>
          <t>KRAs not received · manager to supply</t>
        </is>
      </c>
      <c r="FF560" s="56" t="n"/>
      <c r="FG560" s="56" t="n"/>
      <c r="FH560" s="56" t="n"/>
      <c r="FI560" s="56" t="n"/>
      <c r="FJ560" s="32" t="inlineStr">
        <is>
          <t>KRAs not received · manager to supply</t>
        </is>
      </c>
      <c r="FK560" s="56" t="n"/>
      <c r="FL560" s="56" t="n">
        <v>20</v>
      </c>
      <c r="FM560" s="32" t="inlineStr">
        <is>
          <t>Full survey answers not in the files received · How We Grow export needed · HR</t>
        </is>
      </c>
      <c r="FN560" s="56" t="inlineStr">
        <is>
          <t>—</t>
        </is>
      </c>
      <c r="FO560" s="56" t="inlineStr">
        <is>
          <t>—</t>
        </is>
      </c>
      <c r="FP560" s="56" t="inlineStr">
        <is>
          <t>—</t>
        </is>
      </c>
      <c r="FQ560" s="56" t="inlineStr">
        <is>
          <t>—</t>
        </is>
      </c>
      <c r="FR560" s="56"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reads like A3: Availability, backup, disaster recovery and security of Linux, database and AWS systems → matches the start
Leadership: Evidence reads like A1: No guiding or leading of others described → moved down 0.5
Business Impact: No survey or manager-mapping signal on criticality: kept at the start point.</t>
        </is>
      </c>
      <c r="FS560"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0" s="56" t="inlineStr">
        <is>
          <t>Self-identified: Leadership &amp; people management · Technical depth &amp; architecture · Domain, regulatory &amp; XBRL · Strategy &amp; business acumen
For the next role: Leadership &amp; people management · Technical depth &amp; architecture · Domain, regulatory &amp; XBRL · Strategy &amp; business acumen</t>
        </is>
      </c>
      <c r="FU560" s="32" t="inlineStr">
        <is>
          <t>Full survey answers not in the files received · How We Grow export needed · HR</t>
        </is>
      </c>
    </row>
    <row r="561" ht="90" customHeight="1">
      <c r="A561" s="51" t="inlineStr">
        <is>
          <t>◂ Back</t>
        </is>
      </c>
      <c r="B561" s="29" t="inlineStr">
        <is>
          <t>Mapped</t>
        </is>
      </c>
      <c r="C561" s="28" t="inlineStr">
        <is>
          <t>Corporate</t>
        </is>
      </c>
      <c r="D561" s="29" t="inlineStr">
        <is>
          <t>IRIS0909</t>
        </is>
      </c>
      <c r="E561" s="29" t="inlineStr">
        <is>
          <t>Ramesh Kone</t>
        </is>
      </c>
      <c r="F561" s="29" t="inlineStr">
        <is>
          <t>IT &amp; Infrastructure</t>
        </is>
      </c>
      <c r="G561" s="29" t="inlineStr">
        <is>
          <t>System Administrator</t>
        </is>
      </c>
      <c r="H561" s="29" t="inlineStr">
        <is>
          <t>Infrastructure Specialist – POD Lead</t>
        </is>
      </c>
      <c r="I561" s="29" t="inlineStr">
        <is>
          <t>Not in current mapping files</t>
        </is>
      </c>
      <c r="J561" s="29" t="inlineStr">
        <is>
          <t>B1</t>
        </is>
      </c>
      <c r="K561" s="29" t="inlineStr">
        <is>
          <t>● Newly mapped</t>
        </is>
      </c>
      <c r="L561" s="29" t="inlineStr">
        <is>
          <t>IT &amp; Infrastructure</t>
        </is>
      </c>
      <c r="M561" s="29" t="inlineStr">
        <is>
          <t>Infrastructure &amp; Cloud Operations</t>
        </is>
      </c>
      <c r="N561" s="29" t="n"/>
      <c r="O561" s="29" t="n">
        <v>20</v>
      </c>
      <c r="P561" s="28" t="inlineStr">
        <is>
          <t>P3 / M2</t>
        </is>
      </c>
      <c r="Q561" s="29" t="inlineStr">
        <is>
          <t>Career / · Team Lead</t>
        </is>
      </c>
      <c r="R561" s="29" t="inlineStr">
        <is>
          <t>4 Enable</t>
        </is>
      </c>
      <c r="S561" s="29" t="inlineStr">
        <is>
          <t>4–7 yrs</t>
        </is>
      </c>
      <c r="T561" s="29" t="inlineStr">
        <is>
          <t>5–8 · 4–8</t>
        </is>
      </c>
      <c r="U561" s="29" t="inlineStr">
        <is>
          <t>Senior System Administrator</t>
        </is>
      </c>
      <c r="V561" s="29" t="inlineStr">
        <is>
          <t>Atlassian company-wide P-levels: P40 · IRIS Vs Competitor Benchmark — infrastructure ladder: Senior SysAdmin</t>
        </is>
      </c>
      <c r="W561" s="29" t="inlineStr">
        <is>
          <t>ITIL 4; ISO/IEC 27001:2022; SFIA infrastructure</t>
        </is>
      </c>
      <c r="X561" s="29" t="inlineStr">
        <is>
          <t>Core 3 · Future 3 · Functional 3 · Leadership 2</t>
        </is>
      </c>
      <c r="Y561" s="52" t="n">
        <v>98</v>
      </c>
      <c r="Z561" s="53" t="inlineStr">
        <is>
          <t>IRIS0909</t>
        </is>
      </c>
      <c r="AA561" s="53" t="inlineStr">
        <is>
          <t>Employee</t>
        </is>
      </c>
      <c r="AB561" s="53" t="inlineStr">
        <is>
          <t>Active</t>
        </is>
      </c>
      <c r="AC561" s="53" t="inlineStr">
        <is>
          <t>Ramesh Kone</t>
        </is>
      </c>
      <c r="AD561" s="54" t="n">
        <v>40798</v>
      </c>
      <c r="AE561" s="53" t="inlineStr">
        <is>
          <t>System Administrator</t>
        </is>
      </c>
      <c r="AF561" s="53" t="inlineStr">
        <is>
          <t>B.Com</t>
        </is>
      </c>
      <c r="AG561" s="53" t="inlineStr">
        <is>
          <t>Mahesh Tilave</t>
        </is>
      </c>
      <c r="AH561" s="53" t="inlineStr">
        <is>
          <t>N-2</t>
        </is>
      </c>
      <c r="AI561" s="53" t="inlineStr">
        <is>
          <t>Manager</t>
        </is>
      </c>
      <c r="AJ561" s="53" t="inlineStr">
        <is>
          <t>4 years, 1 months, 0 days</t>
        </is>
      </c>
      <c r="AK561" s="53" t="inlineStr">
        <is>
          <t>14 years, 11 months, 13 days</t>
        </is>
      </c>
      <c r="AL561" s="53" t="inlineStr">
        <is>
          <t>Corporate</t>
        </is>
      </c>
      <c r="AM561" s="53" t="inlineStr">
        <is>
          <t>Corporate</t>
        </is>
      </c>
      <c r="AN561" s="53" t="inlineStr">
        <is>
          <t>IT &amp; Infrastructure</t>
        </is>
      </c>
      <c r="AO561" s="53" t="inlineStr">
        <is>
          <t>Infra</t>
        </is>
      </c>
      <c r="AP561" s="53" t="inlineStr">
        <is>
          <t>No</t>
        </is>
      </c>
      <c r="AQ561" s="53" t="inlineStr">
        <is>
          <t>General &amp; Admin</t>
        </is>
      </c>
      <c r="AR561" s="53" t="inlineStr">
        <is>
          <t>Infra</t>
        </is>
      </c>
      <c r="AS561" s="53" t="inlineStr">
        <is>
          <t>Non-technical</t>
        </is>
      </c>
      <c r="AT561" s="53" t="n">
        <v>20</v>
      </c>
      <c r="AU561" s="53" t="inlineStr">
        <is>
          <t>Covered</t>
        </is>
      </c>
      <c r="AV561" s="53" t="n"/>
      <c r="AW561" s="53" t="n"/>
      <c r="AX561" s="53" t="n"/>
      <c r="AY561" s="53" t="n"/>
      <c r="AZ561" s="53" t="n"/>
      <c r="BA561" s="53" t="n"/>
      <c r="BB561" s="53" t="n"/>
      <c r="BC561" s="53" t="n"/>
      <c r="BD561" s="53" t="n"/>
      <c r="BE561" s="53" t="n"/>
      <c r="BF561" s="53" t="n"/>
      <c r="BG561" s="53" t="n"/>
      <c r="BH561" s="53" t="n"/>
      <c r="BI561" s="53" t="n"/>
      <c r="BJ561" s="53" t="n"/>
      <c r="BK561" s="53" t="n"/>
      <c r="BL561" s="53" t="n"/>
      <c r="BM561" s="53" t="n"/>
      <c r="BN561" s="53" t="n"/>
      <c r="BO561" s="53" t="n"/>
      <c r="BP561" s="53" t="n"/>
      <c r="BQ561" s="53" t="n"/>
      <c r="BR561" s="53" t="n"/>
      <c r="BS561" s="53" t="n"/>
      <c r="BT561" s="53" t="n"/>
      <c r="BU561" s="53" t="n"/>
      <c r="BV561" s="53" t="n"/>
      <c r="BW561" s="53" t="n"/>
      <c r="BX561" s="53" t="n"/>
      <c r="BY561" s="53" t="n"/>
      <c r="BZ561" s="53" t="n"/>
      <c r="CA561" s="53" t="n"/>
      <c r="CB561" s="53" t="n"/>
      <c r="CC561" s="53" t="n"/>
      <c r="CD561" s="53" t="n"/>
      <c r="CE561" s="53" t="n"/>
      <c r="CF561" s="53" t="n"/>
      <c r="CG561" s="53" t="n"/>
      <c r="CH561" s="53" t="n"/>
      <c r="CI561" s="53" t="n"/>
      <c r="CJ561" s="53" t="n"/>
      <c r="CK561" s="53" t="n"/>
      <c r="CL561" s="53" t="n"/>
      <c r="CM561" s="53" t="n"/>
      <c r="CN561" s="53" t="n"/>
      <c r="CO561" s="53" t="n"/>
      <c r="CP561" s="53" t="n"/>
      <c r="CQ561" s="53" t="n"/>
      <c r="CR561" s="53" t="n"/>
      <c r="CS561" s="53" t="n"/>
      <c r="CT561" s="53" t="n"/>
      <c r="CU561" s="53" t="n"/>
      <c r="CV561" s="53" t="n"/>
      <c r="CW561" s="53" t="n"/>
      <c r="CX561" s="53" t="n"/>
      <c r="CY561" s="53" t="n"/>
      <c r="CZ561" s="53" t="n"/>
      <c r="DA561" s="53" t="n"/>
      <c r="DB561" s="53" t="n"/>
      <c r="DC561" s="53" t="n"/>
      <c r="DD561" s="53" t="n"/>
      <c r="DE561" s="53" t="n"/>
      <c r="DF561" s="53" t="n"/>
      <c r="DG561" s="53" t="n"/>
      <c r="DH561" s="53" t="n"/>
      <c r="DI561" s="53" t="n"/>
      <c r="DJ561" s="53" t="n"/>
      <c r="DK561" s="53" t="n"/>
      <c r="DL561" s="53" t="n"/>
      <c r="DM561" s="53" t="n"/>
      <c r="DN561" s="53" t="n"/>
      <c r="DO561" s="53" t="n"/>
      <c r="DP561" s="53" t="n"/>
      <c r="DQ561" s="53" t="n"/>
      <c r="DR561" s="53" t="n"/>
      <c r="DS561" s="53" t="n"/>
      <c r="DT561" s="53" t="n"/>
      <c r="DU561" s="53" t="n"/>
      <c r="DV561" s="53" t="n"/>
      <c r="DW561" s="53" t="n"/>
      <c r="DX561" s="53" t="n"/>
      <c r="DY561" s="53" t="n"/>
      <c r="DZ561" s="53" t="n"/>
      <c r="EA561" s="53" t="n"/>
      <c r="EB561" s="53" t="n"/>
      <c r="EC561" s="53" t="n"/>
      <c r="ED561" s="53" t="n"/>
      <c r="EE561" s="53" t="n"/>
      <c r="EF561" s="53" t="n"/>
      <c r="EG561" s="53" t="n"/>
      <c r="EH561" s="53" t="n"/>
      <c r="EI561" s="53" t="n"/>
      <c r="EJ561" s="53" t="n"/>
      <c r="EK561" s="53" t="n"/>
      <c r="EL561" s="53" t="n"/>
      <c r="EM561" s="53" t="n"/>
      <c r="EN561" s="53" t="n"/>
      <c r="EO561" s="53" t="n"/>
      <c r="EP561" s="53" t="n"/>
      <c r="EQ561" s="53" t="n"/>
      <c r="ER561" s="53" t="n"/>
      <c r="ES561" s="53" t="n"/>
      <c r="ET561" s="53" t="n"/>
      <c r="EU561" s="53" t="n"/>
      <c r="EV561" s="53" t="n"/>
      <c r="EW561" s="52" t="n"/>
      <c r="EX561" s="53" t="n"/>
      <c r="EY561" s="53" t="n"/>
      <c r="EZ561" s="53" t="n"/>
      <c r="FA561" s="53" t="n"/>
      <c r="FB561" s="53" t="n"/>
      <c r="FC561" s="53" t="n"/>
      <c r="FD561" s="53" t="n"/>
      <c r="FE561" s="55" t="inlineStr">
        <is>
          <t>KRAs not received · manager to supply</t>
        </is>
      </c>
      <c r="FF561" s="56" t="n"/>
      <c r="FG561" s="56" t="n"/>
      <c r="FH561" s="56" t="n"/>
      <c r="FI561" s="56" t="n"/>
      <c r="FJ561" s="32" t="inlineStr">
        <is>
          <t>KRAs not received · manager to supply</t>
        </is>
      </c>
      <c r="FK561" s="56" t="n"/>
      <c r="FL561" s="56" t="n">
        <v>20</v>
      </c>
      <c r="FM561" s="32" t="inlineStr">
        <is>
          <t>Full survey answers not in the files received · How We Grow export needed · HR</t>
        </is>
      </c>
      <c r="FN561" s="56" t="inlineStr">
        <is>
          <t>—</t>
        </is>
      </c>
      <c r="FO561" s="56" t="inlineStr">
        <is>
          <t>—</t>
        </is>
      </c>
      <c r="FP561" s="56" t="inlineStr">
        <is>
          <t>—</t>
        </is>
      </c>
      <c r="FQ561" s="56" t="inlineStr">
        <is>
          <t>—</t>
        </is>
      </c>
      <c r="FR561" s="56"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reads like A3: Sophos alert handling, exit ID deactivation, licence renewals and asset register accuracy; audited → moved down 0.5
Leadership: Evidence reads like A2: One direct report in HR data; no guiding or leading described → moved down 0.5
Business Impact: No survey or manager-mapping signal on criticality: kept at the start point.</t>
        </is>
      </c>
      <c r="FS561"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1" s="56" t="inlineStr">
        <is>
          <t>Self-identified: Technical depth &amp; architecture
For the next role: Technical depth &amp; architecture</t>
        </is>
      </c>
      <c r="FU561" s="32" t="inlineStr">
        <is>
          <t>Full survey answers not in the files received · How We Grow export needed · HR</t>
        </is>
      </c>
    </row>
    <row r="562" ht="90" customHeight="1">
      <c r="A562" s="51" t="inlineStr">
        <is>
          <t>◂ Back</t>
        </is>
      </c>
      <c r="B562" s="29" t="inlineStr">
        <is>
          <t>Mapped</t>
        </is>
      </c>
      <c r="C562" s="28" t="inlineStr">
        <is>
          <t>Corporate</t>
        </is>
      </c>
      <c r="D562" s="29" t="inlineStr">
        <is>
          <t>IRIS2098</t>
        </is>
      </c>
      <c r="E562" s="29" t="inlineStr">
        <is>
          <t>Sagar Jamadar</t>
        </is>
      </c>
      <c r="F562" s="29" t="inlineStr">
        <is>
          <t>IT &amp; Infrastructure</t>
        </is>
      </c>
      <c r="G562" s="29" t="inlineStr">
        <is>
          <t>Desktop Support Engineer</t>
        </is>
      </c>
      <c r="H562" s="29" t="inlineStr">
        <is>
          <t>Senior Desktop Support Engineer</t>
        </is>
      </c>
      <c r="I562" s="29" t="inlineStr">
        <is>
          <t>Not in current mapping files</t>
        </is>
      </c>
      <c r="J562" s="29" t="inlineStr">
        <is>
          <t>A3</t>
        </is>
      </c>
      <c r="K562" s="29" t="inlineStr">
        <is>
          <t>● Newly mapped</t>
        </is>
      </c>
      <c r="L562" s="29" t="inlineStr">
        <is>
          <t>IT &amp; Infrastructure</t>
        </is>
      </c>
      <c r="M562" s="29" t="inlineStr">
        <is>
          <t>End-User Support</t>
        </is>
      </c>
      <c r="N562" s="29" t="n"/>
      <c r="O562" s="29" t="n">
        <v>20</v>
      </c>
      <c r="P562" s="28" t="inlineStr">
        <is>
          <t>P2</t>
        </is>
      </c>
      <c r="Q562" s="29" t="inlineStr">
        <is>
          <t>Developing</t>
        </is>
      </c>
      <c r="R562" s="29" t="inlineStr">
        <is>
          <t>3 Apply</t>
        </is>
      </c>
      <c r="S562" s="29" t="inlineStr">
        <is>
          <t>2–4 yrs</t>
        </is>
      </c>
      <c r="T562" s="29" t="inlineStr">
        <is>
          <t>3–5 · 2–5</t>
        </is>
      </c>
      <c r="U562" s="29" t="inlineStr">
        <is>
          <t>System Administrator</t>
        </is>
      </c>
      <c r="V562" s="29" t="inlineStr">
        <is>
          <t>Atlassian company-wide P-levels: P40 · IRIS Vs Competitor Benchmark — infrastructure ladder: System Administrator</t>
        </is>
      </c>
      <c r="W562" s="29" t="inlineStr">
        <is>
          <t>ITIL 4; ISO/IEC 27001:2022; SFIA infrastructure</t>
        </is>
      </c>
      <c r="X562" s="29" t="inlineStr">
        <is>
          <t>Core 2 · Future 2 · Functional 3 · Leadership not scored</t>
        </is>
      </c>
      <c r="Y562" s="52" t="n">
        <v>261</v>
      </c>
      <c r="Z562" s="53" t="inlineStr">
        <is>
          <t>IRIS2098</t>
        </is>
      </c>
      <c r="AA562" s="53" t="inlineStr">
        <is>
          <t>Employee</t>
        </is>
      </c>
      <c r="AB562" s="53" t="inlineStr">
        <is>
          <t>Active</t>
        </is>
      </c>
      <c r="AC562" s="53" t="inlineStr">
        <is>
          <t>Sagar Jamadar</t>
        </is>
      </c>
      <c r="AD562" s="54" t="n">
        <v>44970</v>
      </c>
      <c r="AE562" s="53" t="inlineStr">
        <is>
          <t>Desktop Support Engineer</t>
        </is>
      </c>
      <c r="AF562" s="53" t="inlineStr">
        <is>
          <t>Undergraduate</t>
        </is>
      </c>
      <c r="AG562" s="53" t="inlineStr">
        <is>
          <t>Ramesh Kone</t>
        </is>
      </c>
      <c r="AH562" s="53" t="inlineStr">
        <is>
          <t>N-3</t>
        </is>
      </c>
      <c r="AI562" s="53" t="inlineStr">
        <is>
          <t>Individual Contributor</t>
        </is>
      </c>
      <c r="AJ562" s="53" t="inlineStr">
        <is>
          <t>5 years, 0 months, 0 days</t>
        </is>
      </c>
      <c r="AK562" s="53" t="inlineStr">
        <is>
          <t>3 years, 6 months, 12 days</t>
        </is>
      </c>
      <c r="AL562" s="53" t="inlineStr">
        <is>
          <t>Corporate</t>
        </is>
      </c>
      <c r="AM562" s="53" t="inlineStr">
        <is>
          <t>Corporate</t>
        </is>
      </c>
      <c r="AN562" s="53" t="inlineStr">
        <is>
          <t>IT &amp; Infrastructure</t>
        </is>
      </c>
      <c r="AO562" s="53" t="inlineStr">
        <is>
          <t>Infra</t>
        </is>
      </c>
      <c r="AP562" s="53" t="inlineStr">
        <is>
          <t>No</t>
        </is>
      </c>
      <c r="AQ562" s="53" t="inlineStr">
        <is>
          <t>General &amp; Admin</t>
        </is>
      </c>
      <c r="AR562" s="53" t="inlineStr">
        <is>
          <t>Infra</t>
        </is>
      </c>
      <c r="AS562" s="53" t="inlineStr">
        <is>
          <t>Non-technical</t>
        </is>
      </c>
      <c r="AT562" s="53" t="n">
        <v>20</v>
      </c>
      <c r="AU562" s="53" t="inlineStr">
        <is>
          <t>Covered</t>
        </is>
      </c>
      <c r="AV562" s="53" t="n"/>
      <c r="AW562" s="53" t="n"/>
      <c r="AX562" s="53" t="n"/>
      <c r="AY562" s="53" t="n"/>
      <c r="AZ562" s="53" t="n"/>
      <c r="BA562" s="53" t="n"/>
      <c r="BB562" s="53" t="n"/>
      <c r="BC562" s="53" t="n"/>
      <c r="BD562" s="53" t="n"/>
      <c r="BE562" s="53" t="n"/>
      <c r="BF562" s="53" t="n"/>
      <c r="BG562" s="53" t="n"/>
      <c r="BH562" s="53" t="n"/>
      <c r="BI562" s="53" t="n"/>
      <c r="BJ562" s="53" t="n"/>
      <c r="BK562" s="53" t="n"/>
      <c r="BL562" s="53" t="n"/>
      <c r="BM562" s="53" t="n"/>
      <c r="BN562" s="53" t="n"/>
      <c r="BO562" s="53" t="n"/>
      <c r="BP562" s="53" t="n"/>
      <c r="BQ562" s="53" t="n"/>
      <c r="BR562" s="53" t="n"/>
      <c r="BS562" s="53" t="n"/>
      <c r="BT562" s="53" t="n"/>
      <c r="BU562" s="53" t="n"/>
      <c r="BV562" s="53" t="n"/>
      <c r="BW562" s="53" t="n"/>
      <c r="BX562" s="53" t="n"/>
      <c r="BY562" s="53" t="n"/>
      <c r="BZ562" s="53" t="n"/>
      <c r="CA562" s="53" t="n"/>
      <c r="CB562" s="53" t="n"/>
      <c r="CC562" s="53" t="n"/>
      <c r="CD562" s="53" t="n"/>
      <c r="CE562" s="53" t="n"/>
      <c r="CF562" s="53" t="n"/>
      <c r="CG562" s="53" t="n"/>
      <c r="CH562" s="53" t="n"/>
      <c r="CI562" s="53" t="n"/>
      <c r="CJ562" s="53" t="n"/>
      <c r="CK562" s="53" t="n"/>
      <c r="CL562" s="53" t="n"/>
      <c r="CM562" s="53" t="n"/>
      <c r="CN562" s="53" t="n"/>
      <c r="CO562" s="53" t="n"/>
      <c r="CP562" s="53" t="n"/>
      <c r="CQ562" s="53" t="n"/>
      <c r="CR562" s="53" t="n"/>
      <c r="CS562" s="53" t="n"/>
      <c r="CT562" s="53" t="n"/>
      <c r="CU562" s="53" t="n"/>
      <c r="CV562" s="53" t="n"/>
      <c r="CW562" s="53" t="n"/>
      <c r="CX562" s="53" t="n"/>
      <c r="CY562" s="53" t="n"/>
      <c r="CZ562" s="53" t="n"/>
      <c r="DA562" s="53" t="n"/>
      <c r="DB562" s="53" t="n"/>
      <c r="DC562" s="53" t="n"/>
      <c r="DD562" s="53" t="n"/>
      <c r="DE562" s="53" t="n"/>
      <c r="DF562" s="53" t="n"/>
      <c r="DG562" s="53" t="n"/>
      <c r="DH562" s="53" t="n"/>
      <c r="DI562" s="53" t="n"/>
      <c r="DJ562" s="53" t="n"/>
      <c r="DK562" s="53" t="n"/>
      <c r="DL562" s="53" t="n"/>
      <c r="DM562" s="53" t="n"/>
      <c r="DN562" s="53" t="n"/>
      <c r="DO562" s="53" t="n"/>
      <c r="DP562" s="53" t="n"/>
      <c r="DQ562" s="53" t="n"/>
      <c r="DR562" s="53" t="n"/>
      <c r="DS562" s="53" t="n"/>
      <c r="DT562" s="53" t="n"/>
      <c r="DU562" s="53" t="n"/>
      <c r="DV562" s="53" t="n"/>
      <c r="DW562" s="53" t="n"/>
      <c r="DX562" s="53" t="n"/>
      <c r="DY562" s="53" t="n"/>
      <c r="DZ562" s="53" t="n"/>
      <c r="EA562" s="53" t="n"/>
      <c r="EB562" s="53" t="n"/>
      <c r="EC562" s="53" t="n"/>
      <c r="ED562" s="53" t="n"/>
      <c r="EE562" s="53" t="n"/>
      <c r="EF562" s="53" t="n"/>
      <c r="EG562" s="53" t="n"/>
      <c r="EH562" s="53" t="n"/>
      <c r="EI562" s="53" t="n"/>
      <c r="EJ562" s="53" t="n"/>
      <c r="EK562" s="53" t="n"/>
      <c r="EL562" s="53" t="n"/>
      <c r="EM562" s="53" t="n"/>
      <c r="EN562" s="53" t="n"/>
      <c r="EO562" s="53" t="n"/>
      <c r="EP562" s="53" t="n"/>
      <c r="EQ562" s="53" t="n"/>
      <c r="ER562" s="53" t="n"/>
      <c r="ES562" s="53" t="n"/>
      <c r="ET562" s="53" t="n"/>
      <c r="EU562" s="53" t="n"/>
      <c r="EV562" s="53" t="n"/>
      <c r="EW562" s="52" t="n"/>
      <c r="EX562" s="53" t="n"/>
      <c r="EY562" s="53" t="n"/>
      <c r="EZ562" s="53" t="n"/>
      <c r="FA562" s="53" t="n"/>
      <c r="FB562" s="53" t="n"/>
      <c r="FC562" s="53" t="n"/>
      <c r="FD562" s="53" t="n"/>
      <c r="FE562" s="55" t="inlineStr">
        <is>
          <t>KRAs not received · manager to supply</t>
        </is>
      </c>
      <c r="FF562" s="56" t="n"/>
      <c r="FG562" s="56" t="n"/>
      <c r="FH562" s="56" t="n"/>
      <c r="FI562" s="56" t="n"/>
      <c r="FJ562" s="32" t="inlineStr">
        <is>
          <t>KRAs not received · manager to supply</t>
        </is>
      </c>
      <c r="FK562" s="56" t="n"/>
      <c r="FL562" s="56" t="n">
        <v>20</v>
      </c>
      <c r="FM562" s="32" t="inlineStr">
        <is>
          <t>Full survey answers not in the files received · How We Grow export needed · HR</t>
        </is>
      </c>
      <c r="FN562" s="56" t="inlineStr">
        <is>
          <t>—</t>
        </is>
      </c>
      <c r="FO562" s="56" t="inlineStr">
        <is>
          <t>—</t>
        </is>
      </c>
      <c r="FP562" s="56" t="inlineStr">
        <is>
          <t>—</t>
        </is>
      </c>
      <c r="FQ562" s="56" t="inlineStr">
        <is>
          <t>—</t>
        </is>
      </c>
      <c r="FR562" s="56"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tickets: resolution within SLA, accurate ticket documentation, timely escalation → matches the start
Leadership: Evidence reads like A1: No guiding or leading of others described → matches the start
Business Impact: No survey or manager-mapping signal on criticality: kept at the start point.</t>
        </is>
      </c>
      <c r="FS562" s="56" t="n"/>
      <c r="FT562" s="56" t="inlineStr">
        <is>
          <t>Self-identified: AI / automation · Technical depth &amp; architecture · Broader exposure &amp; ownership
For the next role: AI / automation · Technical depth &amp; architecture · Product &amp; tool knowledge · Broader exposure &amp; ownership</t>
        </is>
      </c>
      <c r="FU562" s="32" t="inlineStr">
        <is>
          <t>Full survey answers not in the files received · How We Grow export needed · HR</t>
        </is>
      </c>
    </row>
    <row r="563" ht="90" customHeight="1">
      <c r="A563" s="51" t="inlineStr">
        <is>
          <t>◂ Back</t>
        </is>
      </c>
      <c r="B563" s="29" t="inlineStr">
        <is>
          <t>Mapped</t>
        </is>
      </c>
      <c r="C563" s="28" t="inlineStr">
        <is>
          <t>Corporate</t>
        </is>
      </c>
      <c r="D563" s="29" t="inlineStr">
        <is>
          <t>IRIS0038</t>
        </is>
      </c>
      <c r="E563" s="29" t="inlineStr">
        <is>
          <t>Vikas Mithbawkar</t>
        </is>
      </c>
      <c r="F563" s="29" t="inlineStr">
        <is>
          <t>IT &amp; Infrastructure</t>
        </is>
      </c>
      <c r="G563" s="29" t="inlineStr">
        <is>
          <t>Senior System Administrator</t>
        </is>
      </c>
      <c r="H563" s="29" t="inlineStr">
        <is>
          <t>IT Infrastructure Manager</t>
        </is>
      </c>
      <c r="I563" s="29" t="inlineStr">
        <is>
          <t>Not in current mapping files</t>
        </is>
      </c>
      <c r="J563" s="29" t="inlineStr">
        <is>
          <t>B1</t>
        </is>
      </c>
      <c r="K563" s="29" t="inlineStr">
        <is>
          <t>● Newly mapped</t>
        </is>
      </c>
      <c r="L563" s="29" t="inlineStr">
        <is>
          <t>IT &amp; Infrastructure</t>
        </is>
      </c>
      <c r="M563" s="29" t="inlineStr">
        <is>
          <t>Infrastructure &amp; Cloud Operations</t>
        </is>
      </c>
      <c r="N563" s="29" t="n"/>
      <c r="O563" s="29" t="n">
        <v>20</v>
      </c>
      <c r="P563" s="28" t="inlineStr">
        <is>
          <t>P3 / M2</t>
        </is>
      </c>
      <c r="Q563" s="29" t="inlineStr">
        <is>
          <t>Career / · Team Lead</t>
        </is>
      </c>
      <c r="R563" s="29" t="inlineStr">
        <is>
          <t>4 Enable</t>
        </is>
      </c>
      <c r="S563" s="29" t="inlineStr">
        <is>
          <t>4–7 yrs</t>
        </is>
      </c>
      <c r="T563" s="29" t="inlineStr">
        <is>
          <t>5–8 · 4–8</t>
        </is>
      </c>
      <c r="U563" s="29" t="inlineStr">
        <is>
          <t>Manager</t>
        </is>
      </c>
      <c r="V563" s="29" t="inlineStr">
        <is>
          <t>Atlassian company-wide P-levels: P40 · IRIS Vs Competitor Benchmark — infrastructure ladder: Senior SysAdmin</t>
        </is>
      </c>
      <c r="W563" s="29" t="inlineStr">
        <is>
          <t>ITIL 4; ISO/IEC 27001:2022; SFIA infrastructure</t>
        </is>
      </c>
      <c r="X563" s="29" t="inlineStr">
        <is>
          <t>Core 3 · Future 3 · Functional 3 · Leadership 2</t>
        </is>
      </c>
      <c r="Y563" s="52" t="n">
        <v>16</v>
      </c>
      <c r="Z563" s="53" t="inlineStr">
        <is>
          <t>IRIS0038</t>
        </is>
      </c>
      <c r="AA563" s="53" t="inlineStr">
        <is>
          <t>Employee</t>
        </is>
      </c>
      <c r="AB563" s="53" t="inlineStr">
        <is>
          <t>Active</t>
        </is>
      </c>
      <c r="AC563" s="53" t="inlineStr">
        <is>
          <t>Vikas Mithbawkar</t>
        </is>
      </c>
      <c r="AD563" s="54" t="n">
        <v>38859</v>
      </c>
      <c r="AE563" s="53" t="inlineStr">
        <is>
          <t>Senior System Administrator</t>
        </is>
      </c>
      <c r="AF563" s="53" t="inlineStr">
        <is>
          <t>B.SC</t>
        </is>
      </c>
      <c r="AG563" s="53" t="inlineStr">
        <is>
          <t>Mahesh Tilave</t>
        </is>
      </c>
      <c r="AH563" s="53" t="inlineStr">
        <is>
          <t>N-2</t>
        </is>
      </c>
      <c r="AI563" s="53" t="inlineStr">
        <is>
          <t>Manager</t>
        </is>
      </c>
      <c r="AJ563" s="53" t="inlineStr">
        <is>
          <t>2 years, 0 months, 0 days</t>
        </is>
      </c>
      <c r="AK563" s="53" t="inlineStr">
        <is>
          <t>20 years, 3 months, 3 days</t>
        </is>
      </c>
      <c r="AL563" s="53" t="inlineStr">
        <is>
          <t>Corporate</t>
        </is>
      </c>
      <c r="AM563" s="53" t="inlineStr">
        <is>
          <t>Corporate</t>
        </is>
      </c>
      <c r="AN563" s="53" t="inlineStr">
        <is>
          <t>IT &amp; Infrastructure</t>
        </is>
      </c>
      <c r="AO563" s="53" t="inlineStr">
        <is>
          <t>Infra</t>
        </is>
      </c>
      <c r="AP563" s="53" t="inlineStr">
        <is>
          <t>No</t>
        </is>
      </c>
      <c r="AQ563" s="53" t="inlineStr">
        <is>
          <t>General &amp; Admin</t>
        </is>
      </c>
      <c r="AR563" s="53" t="inlineStr">
        <is>
          <t>Infra</t>
        </is>
      </c>
      <c r="AS563" s="53" t="inlineStr">
        <is>
          <t>Non-technical</t>
        </is>
      </c>
      <c r="AT563" s="53" t="n">
        <v>20</v>
      </c>
      <c r="AU563" s="53" t="inlineStr">
        <is>
          <t>Covered</t>
        </is>
      </c>
      <c r="AV563" s="53" t="n"/>
      <c r="AW563" s="53" t="n"/>
      <c r="AX563" s="53" t="n"/>
      <c r="AY563" s="53" t="n"/>
      <c r="AZ563" s="53" t="n"/>
      <c r="BA563" s="53" t="n"/>
      <c r="BB563" s="53" t="n"/>
      <c r="BC563" s="53" t="n"/>
      <c r="BD563" s="53" t="n"/>
      <c r="BE563" s="53" t="n"/>
      <c r="BF563" s="53" t="n"/>
      <c r="BG563" s="53" t="n"/>
      <c r="BH563" s="53" t="n"/>
      <c r="BI563" s="53" t="n"/>
      <c r="BJ563" s="53" t="n"/>
      <c r="BK563" s="53" t="n"/>
      <c r="BL563" s="53" t="n"/>
      <c r="BM563" s="53" t="n"/>
      <c r="BN563" s="53" t="n"/>
      <c r="BO563" s="53" t="n"/>
      <c r="BP563" s="53" t="n"/>
      <c r="BQ563" s="53" t="n"/>
      <c r="BR563" s="53" t="n"/>
      <c r="BS563" s="53" t="n"/>
      <c r="BT563" s="53" t="n"/>
      <c r="BU563" s="53" t="n"/>
      <c r="BV563" s="53" t="n"/>
      <c r="BW563" s="53" t="n"/>
      <c r="BX563" s="53" t="n"/>
      <c r="BY563" s="53" t="n"/>
      <c r="BZ563" s="53" t="n"/>
      <c r="CA563" s="53" t="n"/>
      <c r="CB563" s="53" t="n"/>
      <c r="CC563" s="53" t="n"/>
      <c r="CD563" s="53" t="n"/>
      <c r="CE563" s="53" t="n"/>
      <c r="CF563" s="53" t="n"/>
      <c r="CG563" s="53" t="n"/>
      <c r="CH563" s="53" t="n"/>
      <c r="CI563" s="53" t="n"/>
      <c r="CJ563" s="53" t="n"/>
      <c r="CK563" s="53" t="n"/>
      <c r="CL563" s="53" t="n"/>
      <c r="CM563" s="53" t="n"/>
      <c r="CN563" s="53" t="n"/>
      <c r="CO563" s="53" t="n"/>
      <c r="CP563" s="53" t="n"/>
      <c r="CQ563" s="53" t="n"/>
      <c r="CR563" s="53" t="n"/>
      <c r="CS563" s="53" t="n"/>
      <c r="CT563" s="53" t="n"/>
      <c r="CU563" s="53" t="n"/>
      <c r="CV563" s="53" t="n"/>
      <c r="CW563" s="53" t="n"/>
      <c r="CX563" s="53" t="n"/>
      <c r="CY563" s="53" t="n"/>
      <c r="CZ563" s="53" t="n"/>
      <c r="DA563" s="53" t="n"/>
      <c r="DB563" s="53" t="n"/>
      <c r="DC563" s="53" t="n"/>
      <c r="DD563" s="53" t="n"/>
      <c r="DE563" s="53" t="n"/>
      <c r="DF563" s="53" t="n"/>
      <c r="DG563" s="53" t="n"/>
      <c r="DH563" s="53" t="n"/>
      <c r="DI563" s="53" t="n"/>
      <c r="DJ563" s="53" t="n"/>
      <c r="DK563" s="53" t="n"/>
      <c r="DL563" s="53" t="n"/>
      <c r="DM563" s="53" t="n"/>
      <c r="DN563" s="53" t="n"/>
      <c r="DO563" s="53" t="n"/>
      <c r="DP563" s="53" t="n"/>
      <c r="DQ563" s="53" t="n"/>
      <c r="DR563" s="53" t="n"/>
      <c r="DS563" s="53" t="n"/>
      <c r="DT563" s="53" t="n"/>
      <c r="DU563" s="53" t="n"/>
      <c r="DV563" s="53" t="n"/>
      <c r="DW563" s="53" t="n"/>
      <c r="DX563" s="53" t="n"/>
      <c r="DY563" s="53" t="n"/>
      <c r="DZ563" s="53" t="n"/>
      <c r="EA563" s="53" t="n"/>
      <c r="EB563" s="53" t="n"/>
      <c r="EC563" s="53" t="n"/>
      <c r="ED563" s="53" t="n"/>
      <c r="EE563" s="53" t="n"/>
      <c r="EF563" s="53" t="n"/>
      <c r="EG563" s="53" t="n"/>
      <c r="EH563" s="53" t="n"/>
      <c r="EI563" s="53" t="n"/>
      <c r="EJ563" s="53" t="n"/>
      <c r="EK563" s="53" t="n"/>
      <c r="EL563" s="53" t="n"/>
      <c r="EM563" s="53" t="n"/>
      <c r="EN563" s="53" t="n"/>
      <c r="EO563" s="53" t="n"/>
      <c r="EP563" s="53" t="n"/>
      <c r="EQ563" s="53" t="n"/>
      <c r="ER563" s="53" t="n"/>
      <c r="ES563" s="53" t="n"/>
      <c r="ET563" s="53" t="n"/>
      <c r="EU563" s="53" t="n"/>
      <c r="EV563" s="53" t="n"/>
      <c r="EW563" s="52" t="n"/>
      <c r="EX563" s="53" t="n"/>
      <c r="EY563" s="53" t="n"/>
      <c r="EZ563" s="53" t="n"/>
      <c r="FA563" s="53" t="n"/>
      <c r="FB563" s="53" t="n"/>
      <c r="FC563" s="53" t="n"/>
      <c r="FD563" s="53" t="n"/>
      <c r="FE563" s="55" t="inlineStr">
        <is>
          <t>KRAs not received · manager to supply</t>
        </is>
      </c>
      <c r="FF563" s="56" t="n"/>
      <c r="FG563" s="56" t="n"/>
      <c r="FH563" s="56" t="n"/>
      <c r="FI563" s="56" t="n"/>
      <c r="FJ563" s="32" t="inlineStr">
        <is>
          <t>KRAs not received · manager to supply</t>
        </is>
      </c>
      <c r="FK563" s="56" t="n"/>
      <c r="FL563" s="56" t="n">
        <v>20</v>
      </c>
      <c r="FM563" s="32" t="inlineStr">
        <is>
          <t>Full survey answers not in the files received · How We Grow export needed · HR</t>
        </is>
      </c>
      <c r="FN563" s="56" t="inlineStr">
        <is>
          <t>—</t>
        </is>
      </c>
      <c r="FO563" s="56" t="inlineStr">
        <is>
          <t>—</t>
        </is>
      </c>
      <c r="FP563" s="56" t="inlineStr">
        <is>
          <t>—</t>
        </is>
      </c>
      <c r="FQ563" s="56" t="inlineStr">
        <is>
          <t>—</t>
        </is>
      </c>
      <c r="FR563" s="56"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five-person team → matches the start
Leadership: Evidence reads like B1: Leads the client-side website infrastructure team; 5 direct reports → matches the start
Business Impact: No survey or manager-mapping signal on criticality: kept at the start point.</t>
        </is>
      </c>
      <c r="FS563"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3" s="56" t="inlineStr">
        <is>
          <t>Self-identified: AI / automation · Leadership &amp; people management · Technical depth &amp; architecture
For the next role: AI / automation · Leadership &amp; people management · Technical depth &amp; architecture</t>
        </is>
      </c>
      <c r="FU563" s="32" t="inlineStr">
        <is>
          <t>Full survey answers not in the files received · How We Grow export needed · HR</t>
        </is>
      </c>
    </row>
    <row r="564" ht="90" customHeight="1">
      <c r="A564" s="51" t="inlineStr">
        <is>
          <t>◂ Back</t>
        </is>
      </c>
      <c r="B564" s="29" t="inlineStr">
        <is>
          <t>Mapped</t>
        </is>
      </c>
      <c r="C564" s="28" t="inlineStr">
        <is>
          <t>Corporate</t>
        </is>
      </c>
      <c r="D564" s="29" t="inlineStr">
        <is>
          <t>IRIS2468</t>
        </is>
      </c>
      <c r="E564" s="29" t="inlineStr">
        <is>
          <t>Amit Gangaram Kamble</t>
        </is>
      </c>
      <c r="F564" s="29" t="inlineStr">
        <is>
          <t>IT &amp; Infrastructure</t>
        </is>
      </c>
      <c r="G564" s="29" t="inlineStr">
        <is>
          <t>Windows Server Administrator L1</t>
        </is>
      </c>
      <c r="H564" s="29" t="inlineStr">
        <is>
          <t>Senior System Administrator</t>
        </is>
      </c>
      <c r="I564" s="29" t="inlineStr">
        <is>
          <t>Not in current mapping files</t>
        </is>
      </c>
      <c r="J564" s="29" t="inlineStr">
        <is>
          <t>A3</t>
        </is>
      </c>
      <c r="K564" s="29" t="inlineStr">
        <is>
          <t>● Newly mapped</t>
        </is>
      </c>
      <c r="L564" s="29" t="inlineStr">
        <is>
          <t>IT &amp; Infrastructure</t>
        </is>
      </c>
      <c r="M564" s="29" t="inlineStr">
        <is>
          <t>Infrastructure &amp; Cloud Operations</t>
        </is>
      </c>
      <c r="N564" s="29" t="inlineStr">
        <is>
          <t>• Survey response or KRAs describing the work · nothing on file — Employee + manager</t>
        </is>
      </c>
      <c r="O564" s="29" t="n">
        <v>0</v>
      </c>
      <c r="P564" s="28" t="inlineStr">
        <is>
          <t>P2</t>
        </is>
      </c>
      <c r="Q564" s="29" t="inlineStr">
        <is>
          <t>Developing</t>
        </is>
      </c>
      <c r="R564" s="29" t="inlineStr">
        <is>
          <t>3 Apply</t>
        </is>
      </c>
      <c r="S564" s="29" t="inlineStr">
        <is>
          <t>2–4 yrs</t>
        </is>
      </c>
      <c r="T564" s="29" t="inlineStr">
        <is>
          <t>3–5 · 2–5</t>
        </is>
      </c>
      <c r="U564" s="29" t="inlineStr">
        <is>
          <t>System Administrator</t>
        </is>
      </c>
      <c r="V564" s="29" t="inlineStr">
        <is>
          <t>Atlassian company-wide P-levels: P40 · IRIS Vs Competitor Benchmark — infrastructure ladder: System Administrator</t>
        </is>
      </c>
      <c r="W564" s="29" t="inlineStr">
        <is>
          <t>ITIL 4; ISO/IEC 27001:2022; SFIA infrastructure</t>
        </is>
      </c>
      <c r="X564" s="29" t="inlineStr">
        <is>
          <t>Core 2 · Future 2 · Functional 3 · Leadership not scored</t>
        </is>
      </c>
      <c r="Y564" s="52" t="n">
        <v>442</v>
      </c>
      <c r="Z564" s="53" t="inlineStr">
        <is>
          <t>IRIS2468</t>
        </is>
      </c>
      <c r="AA564" s="53" t="inlineStr">
        <is>
          <t>Employee</t>
        </is>
      </c>
      <c r="AB564" s="53" t="inlineStr">
        <is>
          <t>Active</t>
        </is>
      </c>
      <c r="AC564" s="53" t="inlineStr">
        <is>
          <t>Amit Gangaram Kamble</t>
        </is>
      </c>
      <c r="AD564" s="54" t="n">
        <v>46055</v>
      </c>
      <c r="AE564" s="53" t="inlineStr">
        <is>
          <t>Windows Server Administrator L1</t>
        </is>
      </c>
      <c r="AF564" s="53" t="inlineStr">
        <is>
          <t>B.Sc</t>
        </is>
      </c>
      <c r="AG564" s="53" t="inlineStr">
        <is>
          <t>Vikas Mithbawkar</t>
        </is>
      </c>
      <c r="AH564" s="53" t="inlineStr">
        <is>
          <t>N-3</t>
        </is>
      </c>
      <c r="AI564" s="53" t="inlineStr">
        <is>
          <t>Individual Contributor</t>
        </is>
      </c>
      <c r="AJ564" s="53" t="inlineStr">
        <is>
          <t>3 years, 0 months, 0 days</t>
        </is>
      </c>
      <c r="AK564" s="53" t="inlineStr">
        <is>
          <t>0 years, 6 months, 23 days</t>
        </is>
      </c>
      <c r="AL564" s="53" t="inlineStr">
        <is>
          <t>Corporate</t>
        </is>
      </c>
      <c r="AM564" s="53" t="inlineStr">
        <is>
          <t>Corporate</t>
        </is>
      </c>
      <c r="AN564" s="53" t="inlineStr">
        <is>
          <t>IT &amp; Infrastructure</t>
        </is>
      </c>
      <c r="AO564" s="53" t="inlineStr">
        <is>
          <t>Infra</t>
        </is>
      </c>
      <c r="AP564" s="53" t="inlineStr">
        <is>
          <t>No</t>
        </is>
      </c>
      <c r="AQ564" s="53" t="inlineStr">
        <is>
          <t>General &amp; Admin</t>
        </is>
      </c>
      <c r="AR564" s="53" t="inlineStr">
        <is>
          <t>Infra</t>
        </is>
      </c>
      <c r="AS564" s="53" t="inlineStr">
        <is>
          <t>Non-technical</t>
        </is>
      </c>
      <c r="AT564" s="53" t="n">
        <v>0</v>
      </c>
      <c r="AU564" s="53" t="inlineStr">
        <is>
          <t>E-Client Side</t>
        </is>
      </c>
      <c r="AV564" s="53" t="n"/>
      <c r="AW564" s="53" t="n"/>
      <c r="AX564" s="53" t="n"/>
      <c r="AY564" s="53" t="n"/>
      <c r="AZ564" s="53" t="n"/>
      <c r="BA564" s="53" t="n"/>
      <c r="BB564" s="53" t="n"/>
      <c r="BC564" s="53" t="n"/>
      <c r="BD564" s="53" t="n"/>
      <c r="BE564" s="53" t="n"/>
      <c r="BF564" s="53" t="n"/>
      <c r="BG564" s="53" t="n"/>
      <c r="BH564" s="53" t="n"/>
      <c r="BI564" s="53" t="n"/>
      <c r="BJ564" s="53" t="n"/>
      <c r="BK564" s="53" t="n"/>
      <c r="BL564" s="53" t="n"/>
      <c r="BM564" s="53" t="n"/>
      <c r="BN564" s="53" t="n"/>
      <c r="BO564" s="53" t="n"/>
      <c r="BP564" s="53" t="n"/>
      <c r="BQ564" s="53" t="n"/>
      <c r="BR564" s="53" t="n"/>
      <c r="BS564" s="53" t="n"/>
      <c r="BT564" s="53" t="n"/>
      <c r="BU564" s="53" t="n"/>
      <c r="BV564" s="53" t="n"/>
      <c r="BW564" s="53" t="n"/>
      <c r="BX564" s="53" t="n"/>
      <c r="BY564" s="53" t="n"/>
      <c r="BZ564" s="53" t="n"/>
      <c r="CA564" s="53" t="n"/>
      <c r="CB564" s="53" t="n"/>
      <c r="CC564" s="53" t="n"/>
      <c r="CD564" s="53" t="n"/>
      <c r="CE564" s="53" t="n"/>
      <c r="CF564" s="53" t="n"/>
      <c r="CG564" s="53" t="n"/>
      <c r="CH564" s="53" t="n"/>
      <c r="CI564" s="53" t="n"/>
      <c r="CJ564" s="53" t="n"/>
      <c r="CK564" s="53" t="n"/>
      <c r="CL564" s="53" t="n"/>
      <c r="CM564" s="53" t="n"/>
      <c r="CN564" s="53" t="n"/>
      <c r="CO564" s="53" t="n"/>
      <c r="CP564" s="53" t="n"/>
      <c r="CQ564" s="53" t="n"/>
      <c r="CR564" s="53" t="n"/>
      <c r="CS564" s="53" t="n"/>
      <c r="CT564" s="53" t="n"/>
      <c r="CU564" s="53" t="n"/>
      <c r="CV564" s="53" t="n"/>
      <c r="CW564" s="53" t="n"/>
      <c r="CX564" s="53" t="n"/>
      <c r="CY564" s="53" t="n"/>
      <c r="CZ564" s="53" t="n"/>
      <c r="DA564" s="53" t="n"/>
      <c r="DB564" s="53" t="n"/>
      <c r="DC564" s="53" t="n"/>
      <c r="DD564" s="53" t="n"/>
      <c r="DE564" s="53" t="n"/>
      <c r="DF564" s="53" t="n"/>
      <c r="DG564" s="53" t="n"/>
      <c r="DH564" s="53" t="n"/>
      <c r="DI564" s="53" t="n"/>
      <c r="DJ564" s="53" t="n"/>
      <c r="DK564" s="53" t="n"/>
      <c r="DL564" s="53" t="n"/>
      <c r="DM564" s="53" t="n"/>
      <c r="DN564" s="53" t="n"/>
      <c r="DO564" s="53" t="n"/>
      <c r="DP564" s="53" t="n"/>
      <c r="DQ564" s="53" t="n"/>
      <c r="DR564" s="53" t="n"/>
      <c r="DS564" s="53" t="n"/>
      <c r="DT564" s="53" t="n"/>
      <c r="DU564" s="53" t="n"/>
      <c r="DV564" s="53" t="n"/>
      <c r="DW564" s="53" t="n"/>
      <c r="DX564" s="53" t="n"/>
      <c r="DY564" s="53" t="n"/>
      <c r="DZ564" s="53" t="n"/>
      <c r="EA564" s="53" t="n"/>
      <c r="EB564" s="53" t="n"/>
      <c r="EC564" s="53" t="n"/>
      <c r="ED564" s="53" t="n"/>
      <c r="EE564" s="53" t="n"/>
      <c r="EF564" s="53" t="n"/>
      <c r="EG564" s="53" t="n"/>
      <c r="EH564" s="53" t="n"/>
      <c r="EI564" s="53" t="n"/>
      <c r="EJ564" s="53" t="n"/>
      <c r="EK564" s="53" t="n"/>
      <c r="EL564" s="53" t="n"/>
      <c r="EM564" s="53" t="n"/>
      <c r="EN564" s="53" t="n"/>
      <c r="EO564" s="53" t="n"/>
      <c r="EP564" s="53" t="n"/>
      <c r="EQ564" s="53" t="n"/>
      <c r="ER564" s="53" t="n"/>
      <c r="ES564" s="53" t="n"/>
      <c r="ET564" s="53" t="n"/>
      <c r="EU564" s="53" t="n"/>
      <c r="EV564" s="53" t="n"/>
      <c r="EW564" s="52" t="n"/>
      <c r="EX564" s="53" t="n"/>
      <c r="EY564" s="53" t="n"/>
      <c r="EZ564" s="53" t="n"/>
      <c r="FA564" s="53" t="n"/>
      <c r="FB564" s="53" t="n"/>
      <c r="FC564" s="53" t="n"/>
      <c r="FD564" s="53" t="n"/>
      <c r="FE564" s="55" t="inlineStr">
        <is>
          <t>KRAs not received · manager to supply</t>
        </is>
      </c>
      <c r="FF564" s="56" t="n"/>
      <c r="FG564" s="56" t="n"/>
      <c r="FH564" s="56" t="n"/>
      <c r="FI564" s="56" t="n"/>
      <c r="FJ564" s="32" t="inlineStr">
        <is>
          <t>KRAs not received · manager to supply</t>
        </is>
      </c>
      <c r="FK564" s="56" t="n"/>
      <c r="FL564" s="56" t="n">
        <v>0</v>
      </c>
      <c r="FM564" s="32" t="inlineStr">
        <is>
          <t>No survey response on file</t>
        </is>
      </c>
      <c r="FN564" s="56" t="inlineStr">
        <is>
          <t>—</t>
        </is>
      </c>
      <c r="FO564" s="56" t="inlineStr">
        <is>
          <t>—</t>
        </is>
      </c>
      <c r="FP564" s="56" t="inlineStr">
        <is>
          <t>—</t>
        </is>
      </c>
      <c r="FQ564" s="56" t="inlineStr">
        <is>
          <t>—</t>
        </is>
      </c>
      <c r="FR56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64"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4" s="56" t="n"/>
      <c r="FU564" s="32" t="inlineStr">
        <is>
          <t>No survey response on file</t>
        </is>
      </c>
    </row>
    <row r="565" ht="90" customHeight="1">
      <c r="A565" s="51" t="inlineStr">
        <is>
          <t>◂ Back</t>
        </is>
      </c>
      <c r="B565" s="29" t="inlineStr">
        <is>
          <t>Mapped</t>
        </is>
      </c>
      <c r="C565" s="28" t="inlineStr">
        <is>
          <t>Corporate</t>
        </is>
      </c>
      <c r="D565" s="29" t="inlineStr">
        <is>
          <t>IRIS2315</t>
        </is>
      </c>
      <c r="E565" s="29" t="inlineStr">
        <is>
          <t>Gouri Kohale</t>
        </is>
      </c>
      <c r="F565" s="29" t="inlineStr">
        <is>
          <t>IT &amp; Infrastructure</t>
        </is>
      </c>
      <c r="G565" s="29" t="inlineStr">
        <is>
          <t>System Administrator</t>
        </is>
      </c>
      <c r="H565" s="29" t="inlineStr">
        <is>
          <t>Senior System Administrator</t>
        </is>
      </c>
      <c r="I565" s="29" t="inlineStr">
        <is>
          <t>Not in current mapping files</t>
        </is>
      </c>
      <c r="J565" s="29" t="inlineStr">
        <is>
          <t>A3</t>
        </is>
      </c>
      <c r="K565" s="29" t="inlineStr">
        <is>
          <t>● Newly mapped</t>
        </is>
      </c>
      <c r="L565" s="29" t="inlineStr">
        <is>
          <t>IT &amp; Infrastructure</t>
        </is>
      </c>
      <c r="M565" s="29" t="inlineStr">
        <is>
          <t>Infrastructure &amp; Cloud Operations</t>
        </is>
      </c>
      <c r="N565" s="29" t="n"/>
      <c r="O565" s="29" t="n">
        <v>20</v>
      </c>
      <c r="P565" s="28" t="inlineStr">
        <is>
          <t>P2</t>
        </is>
      </c>
      <c r="Q565" s="29" t="inlineStr">
        <is>
          <t>Developing</t>
        </is>
      </c>
      <c r="R565" s="29" t="inlineStr">
        <is>
          <t>3 Apply</t>
        </is>
      </c>
      <c r="S565" s="29" t="inlineStr">
        <is>
          <t>2–4 yrs</t>
        </is>
      </c>
      <c r="T565" s="29" t="inlineStr">
        <is>
          <t>3–5 · 2–5</t>
        </is>
      </c>
      <c r="U565" s="29" t="inlineStr">
        <is>
          <t>System Administrator</t>
        </is>
      </c>
      <c r="V565" s="29" t="inlineStr">
        <is>
          <t>Atlassian company-wide P-levels: P40 · IRIS Vs Competitor Benchmark — infrastructure ladder: System Administrator</t>
        </is>
      </c>
      <c r="W565" s="29" t="inlineStr">
        <is>
          <t>ITIL 4; ISO/IEC 27001:2022; SFIA infrastructure</t>
        </is>
      </c>
      <c r="X565" s="29" t="inlineStr">
        <is>
          <t>Core 2 · Future 2 · Functional 3 · Leadership not scored</t>
        </is>
      </c>
      <c r="Y565" s="52" t="n">
        <v>346</v>
      </c>
      <c r="Z565" s="53" t="inlineStr">
        <is>
          <t>IRIS2315</t>
        </is>
      </c>
      <c r="AA565" s="53" t="inlineStr">
        <is>
          <t>Employee</t>
        </is>
      </c>
      <c r="AB565" s="53" t="inlineStr">
        <is>
          <t>Active</t>
        </is>
      </c>
      <c r="AC565" s="53" t="inlineStr">
        <is>
          <t>Gouri Kohale</t>
        </is>
      </c>
      <c r="AD565" s="54" t="n">
        <v>45568</v>
      </c>
      <c r="AE565" s="53" t="inlineStr">
        <is>
          <t>System Administrator</t>
        </is>
      </c>
      <c r="AF565" s="53" t="inlineStr">
        <is>
          <t>B.E</t>
        </is>
      </c>
      <c r="AG565" s="53" t="inlineStr">
        <is>
          <t>Vikas Mithbawkar</t>
        </is>
      </c>
      <c r="AH565" s="53" t="inlineStr">
        <is>
          <t>N-3</t>
        </is>
      </c>
      <c r="AI565" s="53" t="inlineStr">
        <is>
          <t>Individual Contributor</t>
        </is>
      </c>
      <c r="AJ565" s="53" t="inlineStr">
        <is>
          <t>3 years, 6 months, 0 days</t>
        </is>
      </c>
      <c r="AK565" s="53" t="inlineStr">
        <is>
          <t>1 years, 10 months, 22 days</t>
        </is>
      </c>
      <c r="AL565" s="53" t="inlineStr">
        <is>
          <t>Corporate</t>
        </is>
      </c>
      <c r="AM565" s="53" t="inlineStr">
        <is>
          <t>Corporate</t>
        </is>
      </c>
      <c r="AN565" s="53" t="inlineStr">
        <is>
          <t>IT &amp; Infrastructure</t>
        </is>
      </c>
      <c r="AO565" s="53" t="inlineStr">
        <is>
          <t>Infra</t>
        </is>
      </c>
      <c r="AP565" s="53" t="inlineStr">
        <is>
          <t>No</t>
        </is>
      </c>
      <c r="AQ565" s="53" t="inlineStr">
        <is>
          <t>General &amp; Admin</t>
        </is>
      </c>
      <c r="AR565" s="53" t="inlineStr">
        <is>
          <t>Infra</t>
        </is>
      </c>
      <c r="AS565" s="53" t="inlineStr">
        <is>
          <t>Non-technical</t>
        </is>
      </c>
      <c r="AT565" s="53" t="n">
        <v>20</v>
      </c>
      <c r="AU565" s="53" t="inlineStr">
        <is>
          <t>Covered</t>
        </is>
      </c>
      <c r="AV565" s="53" t="n"/>
      <c r="AW565" s="53" t="n"/>
      <c r="AX565" s="53" t="n"/>
      <c r="AY565" s="53" t="n"/>
      <c r="AZ565" s="53" t="n"/>
      <c r="BA565" s="53" t="n"/>
      <c r="BB565" s="53" t="n"/>
      <c r="BC565" s="53" t="n"/>
      <c r="BD565" s="53" t="n"/>
      <c r="BE565" s="53" t="n"/>
      <c r="BF565" s="53" t="n"/>
      <c r="BG565" s="53" t="n"/>
      <c r="BH565" s="53" t="n"/>
      <c r="BI565" s="53" t="n"/>
      <c r="BJ565" s="53" t="n"/>
      <c r="BK565" s="53" t="n"/>
      <c r="BL565" s="53" t="n"/>
      <c r="BM565" s="53" t="n"/>
      <c r="BN565" s="53" t="n"/>
      <c r="BO565" s="53" t="n"/>
      <c r="BP565" s="53" t="n"/>
      <c r="BQ565" s="53" t="n"/>
      <c r="BR565" s="53" t="n"/>
      <c r="BS565" s="53" t="n"/>
      <c r="BT565" s="53" t="n"/>
      <c r="BU565" s="53" t="n"/>
      <c r="BV565" s="53" t="n"/>
      <c r="BW565" s="53" t="n"/>
      <c r="BX565" s="53" t="n"/>
      <c r="BY565" s="53" t="n"/>
      <c r="BZ565" s="53" t="n"/>
      <c r="CA565" s="53" t="n"/>
      <c r="CB565" s="53" t="n"/>
      <c r="CC565" s="53" t="n"/>
      <c r="CD565" s="53" t="n"/>
      <c r="CE565" s="53" t="n"/>
      <c r="CF565" s="53" t="n"/>
      <c r="CG565" s="53" t="n"/>
      <c r="CH565" s="53" t="n"/>
      <c r="CI565" s="53" t="n"/>
      <c r="CJ565" s="53" t="n"/>
      <c r="CK565" s="53" t="n"/>
      <c r="CL565" s="53" t="n"/>
      <c r="CM565" s="53" t="n"/>
      <c r="CN565" s="53" t="n"/>
      <c r="CO565" s="53" t="n"/>
      <c r="CP565" s="53" t="n"/>
      <c r="CQ565" s="53" t="n"/>
      <c r="CR565" s="53" t="n"/>
      <c r="CS565" s="53" t="n"/>
      <c r="CT565" s="53" t="n"/>
      <c r="CU565" s="53" t="n"/>
      <c r="CV565" s="53" t="n"/>
      <c r="CW565" s="53" t="n"/>
      <c r="CX565" s="53" t="n"/>
      <c r="CY565" s="53" t="n"/>
      <c r="CZ565" s="53" t="n"/>
      <c r="DA565" s="53" t="n"/>
      <c r="DB565" s="53" t="n"/>
      <c r="DC565" s="53" t="n"/>
      <c r="DD565" s="53" t="n"/>
      <c r="DE565" s="53" t="n"/>
      <c r="DF565" s="53" t="n"/>
      <c r="DG565" s="53" t="n"/>
      <c r="DH565" s="53" t="n"/>
      <c r="DI565" s="53" t="n"/>
      <c r="DJ565" s="53" t="n"/>
      <c r="DK565" s="53" t="n"/>
      <c r="DL565" s="53" t="n"/>
      <c r="DM565" s="53" t="n"/>
      <c r="DN565" s="53" t="n"/>
      <c r="DO565" s="53" t="n"/>
      <c r="DP565" s="53" t="n"/>
      <c r="DQ565" s="53" t="n"/>
      <c r="DR565" s="53" t="n"/>
      <c r="DS565" s="53" t="n"/>
      <c r="DT565" s="53" t="n"/>
      <c r="DU565" s="53" t="n"/>
      <c r="DV565" s="53" t="n"/>
      <c r="DW565" s="53" t="n"/>
      <c r="DX565" s="53" t="n"/>
      <c r="DY565" s="53" t="n"/>
      <c r="DZ565" s="53" t="n"/>
      <c r="EA565" s="53" t="n"/>
      <c r="EB565" s="53" t="n"/>
      <c r="EC565" s="53" t="n"/>
      <c r="ED565" s="53" t="n"/>
      <c r="EE565" s="53" t="n"/>
      <c r="EF565" s="53" t="n"/>
      <c r="EG565" s="53" t="n"/>
      <c r="EH565" s="53" t="n"/>
      <c r="EI565" s="53" t="n"/>
      <c r="EJ565" s="53" t="n"/>
      <c r="EK565" s="53" t="n"/>
      <c r="EL565" s="53" t="n"/>
      <c r="EM565" s="53" t="n"/>
      <c r="EN565" s="53" t="n"/>
      <c r="EO565" s="53" t="n"/>
      <c r="EP565" s="53" t="n"/>
      <c r="EQ565" s="53" t="n"/>
      <c r="ER565" s="53" t="n"/>
      <c r="ES565" s="53" t="n"/>
      <c r="ET565" s="53" t="n"/>
      <c r="EU565" s="53" t="n"/>
      <c r="EV565" s="53" t="n"/>
      <c r="EW565" s="52" t="n"/>
      <c r="EX565" s="53" t="n"/>
      <c r="EY565" s="53" t="n"/>
      <c r="EZ565" s="53" t="n"/>
      <c r="FA565" s="53" t="n"/>
      <c r="FB565" s="53" t="n"/>
      <c r="FC565" s="53" t="n"/>
      <c r="FD565" s="53" t="n"/>
      <c r="FE565" s="55" t="inlineStr">
        <is>
          <t>KRAs not received · manager to supply</t>
        </is>
      </c>
      <c r="FF565" s="56" t="n"/>
      <c r="FG565" s="56" t="n"/>
      <c r="FH565" s="56" t="n"/>
      <c r="FI565" s="56" t="n"/>
      <c r="FJ565" s="32" t="inlineStr">
        <is>
          <t>KRAs not received · manager to supply</t>
        </is>
      </c>
      <c r="FK565" s="56" t="n"/>
      <c r="FL565" s="56" t="n">
        <v>20</v>
      </c>
      <c r="FM565" s="32" t="inlineStr">
        <is>
          <t>Full survey answers not in the files received · How We Grow export needed · HR</t>
        </is>
      </c>
      <c r="FN565" s="56" t="inlineStr">
        <is>
          <t>—</t>
        </is>
      </c>
      <c r="FO565" s="56" t="inlineStr">
        <is>
          <t>—</t>
        </is>
      </c>
      <c r="FP565" s="56" t="inlineStr">
        <is>
          <t>—</t>
        </is>
      </c>
      <c r="FQ565" s="56" t="inlineStr">
        <is>
          <t>—</t>
        </is>
      </c>
      <c r="FR565" s="56"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 moved down 0.5
Leadership: Evidence reads like A1: No guiding or leading of others described → moved down 0.5
Business Impact: No survey or manager-mapping signal on criticality: kept at the start point.</t>
        </is>
      </c>
      <c r="FS565"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5" s="56" t="inlineStr">
        <is>
          <t>Self-identified: Answered · no common topic
For the next role: Answered · no common topic</t>
        </is>
      </c>
      <c r="FU565" s="32" t="inlineStr">
        <is>
          <t>Full survey answers not in the files received · How We Grow export needed · HR</t>
        </is>
      </c>
    </row>
    <row r="566" ht="90" customHeight="1">
      <c r="A566" s="51" t="inlineStr">
        <is>
          <t>◂ Back</t>
        </is>
      </c>
      <c r="B566" s="29" t="inlineStr">
        <is>
          <t>Mapped</t>
        </is>
      </c>
      <c r="C566" s="28" t="inlineStr">
        <is>
          <t>Corporate</t>
        </is>
      </c>
      <c r="D566" s="29" t="inlineStr">
        <is>
          <t>IRIS2206</t>
        </is>
      </c>
      <c r="E566" s="29" t="inlineStr">
        <is>
          <t>Hemant Chordekar</t>
        </is>
      </c>
      <c r="F566" s="29" t="inlineStr">
        <is>
          <t>IT &amp; Infrastructure</t>
        </is>
      </c>
      <c r="G566" s="29" t="inlineStr">
        <is>
          <t>System Administrator</t>
        </is>
      </c>
      <c r="H566" s="29" t="inlineStr">
        <is>
          <t>Infrastructure Specialist</t>
        </is>
      </c>
      <c r="I566" s="29" t="inlineStr">
        <is>
          <t>Not in current mapping files</t>
        </is>
      </c>
      <c r="J566" s="29" t="inlineStr">
        <is>
          <t>A3</t>
        </is>
      </c>
      <c r="K566" s="29" t="inlineStr">
        <is>
          <t>● Newly mapped</t>
        </is>
      </c>
      <c r="L566" s="29" t="inlineStr">
        <is>
          <t>IT &amp; Infrastructure</t>
        </is>
      </c>
      <c r="M566" s="29" t="inlineStr">
        <is>
          <t>Infrastructure &amp; Cloud Operations</t>
        </is>
      </c>
      <c r="N566" s="29" t="inlineStr">
        <is>
          <t>• Survey response or KRAs describing the work · nothing on file — Employee + manager</t>
        </is>
      </c>
      <c r="O566" s="29" t="n">
        <v>0</v>
      </c>
      <c r="P566" s="28" t="inlineStr">
        <is>
          <t>P2</t>
        </is>
      </c>
      <c r="Q566" s="29" t="inlineStr">
        <is>
          <t>Developing</t>
        </is>
      </c>
      <c r="R566" s="29" t="inlineStr">
        <is>
          <t>3 Apply</t>
        </is>
      </c>
      <c r="S566" s="29" t="inlineStr">
        <is>
          <t>2–4 yrs</t>
        </is>
      </c>
      <c r="T566" s="29" t="inlineStr">
        <is>
          <t>3–5 · 2–5</t>
        </is>
      </c>
      <c r="U566" s="29" t="inlineStr">
        <is>
          <t>Senior System Administrator</t>
        </is>
      </c>
      <c r="V566" s="29" t="inlineStr">
        <is>
          <t>Atlassian company-wide P-levels: P40 · IRIS Vs Competitor Benchmark — infrastructure ladder: System Administrator</t>
        </is>
      </c>
      <c r="W566" s="29" t="inlineStr">
        <is>
          <t>ITIL 4; ISO/IEC 27001:2022; SFIA infrastructure</t>
        </is>
      </c>
      <c r="X566" s="29" t="inlineStr">
        <is>
          <t>Core 2 · Future 2 · Functional 3 · Leadership not scored</t>
        </is>
      </c>
      <c r="Y566" s="52" t="n">
        <v>300</v>
      </c>
      <c r="Z566" s="53" t="inlineStr">
        <is>
          <t>IRIS2206</t>
        </is>
      </c>
      <c r="AA566" s="53" t="inlineStr">
        <is>
          <t>Employee</t>
        </is>
      </c>
      <c r="AB566" s="53" t="inlineStr">
        <is>
          <t>Active</t>
        </is>
      </c>
      <c r="AC566" s="53" t="inlineStr">
        <is>
          <t>Hemant Chordekar</t>
        </is>
      </c>
      <c r="AD566" s="54" t="n">
        <v>45232</v>
      </c>
      <c r="AE566" s="53" t="inlineStr">
        <is>
          <t>System Administrator</t>
        </is>
      </c>
      <c r="AF566" s="53" t="inlineStr">
        <is>
          <t>Undergraduate</t>
        </is>
      </c>
      <c r="AG566" s="53" t="inlineStr">
        <is>
          <t>Vikas Mithbawkar</t>
        </is>
      </c>
      <c r="AH566" s="53" t="inlineStr">
        <is>
          <t>N-3</t>
        </is>
      </c>
      <c r="AI566" s="53" t="inlineStr">
        <is>
          <t>Individual Contributor</t>
        </is>
      </c>
      <c r="AJ566" s="53" t="inlineStr">
        <is>
          <t>17 years, 9 months, 0 days</t>
        </is>
      </c>
      <c r="AK566" s="53" t="inlineStr">
        <is>
          <t>2 years, 9 months, 23 days</t>
        </is>
      </c>
      <c r="AL566" s="53" t="inlineStr">
        <is>
          <t>Corporate</t>
        </is>
      </c>
      <c r="AM566" s="53" t="inlineStr">
        <is>
          <t>Corporate</t>
        </is>
      </c>
      <c r="AN566" s="53" t="inlineStr">
        <is>
          <t>IT &amp; Infrastructure</t>
        </is>
      </c>
      <c r="AO566" s="53" t="inlineStr">
        <is>
          <t>Infra</t>
        </is>
      </c>
      <c r="AP566" s="53" t="inlineStr">
        <is>
          <t>No</t>
        </is>
      </c>
      <c r="AQ566" s="53" t="inlineStr">
        <is>
          <t>General &amp; Admin</t>
        </is>
      </c>
      <c r="AR566" s="53" t="inlineStr">
        <is>
          <t>Infra</t>
        </is>
      </c>
      <c r="AS566" s="53" t="inlineStr">
        <is>
          <t>Non-technical</t>
        </is>
      </c>
      <c r="AT566" s="53" t="n">
        <v>0</v>
      </c>
      <c r="AU566" s="53" t="inlineStr">
        <is>
          <t>E-Client Side</t>
        </is>
      </c>
      <c r="AV566" s="53" t="n"/>
      <c r="AW566" s="53" t="n"/>
      <c r="AX566" s="53" t="n"/>
      <c r="AY566" s="53" t="n"/>
      <c r="AZ566" s="53" t="n"/>
      <c r="BA566" s="53" t="n"/>
      <c r="BB566" s="53" t="n"/>
      <c r="BC566" s="53" t="n"/>
      <c r="BD566" s="53" t="n"/>
      <c r="BE566" s="53" t="n"/>
      <c r="BF566" s="53" t="n"/>
      <c r="BG566" s="53" t="n"/>
      <c r="BH566" s="53" t="n"/>
      <c r="BI566" s="53" t="n"/>
      <c r="BJ566" s="53" t="n"/>
      <c r="BK566" s="53" t="n"/>
      <c r="BL566" s="53" t="n"/>
      <c r="BM566" s="53" t="n"/>
      <c r="BN566" s="53" t="n"/>
      <c r="BO566" s="53" t="n"/>
      <c r="BP566" s="53" t="n"/>
      <c r="BQ566" s="53" t="n"/>
      <c r="BR566" s="53" t="n"/>
      <c r="BS566" s="53" t="n"/>
      <c r="BT566" s="53" t="n"/>
      <c r="BU566" s="53" t="n"/>
      <c r="BV566" s="53" t="n"/>
      <c r="BW566" s="53" t="n"/>
      <c r="BX566" s="53" t="n"/>
      <c r="BY566" s="53" t="n"/>
      <c r="BZ566" s="53" t="n"/>
      <c r="CA566" s="53" t="n"/>
      <c r="CB566" s="53" t="n"/>
      <c r="CC566" s="53" t="n"/>
      <c r="CD566" s="53" t="n"/>
      <c r="CE566" s="53" t="n"/>
      <c r="CF566" s="53" t="n"/>
      <c r="CG566" s="53" t="n"/>
      <c r="CH566" s="53" t="n"/>
      <c r="CI566" s="53" t="n"/>
      <c r="CJ566" s="53" t="n"/>
      <c r="CK566" s="53" t="n"/>
      <c r="CL566" s="53" t="n"/>
      <c r="CM566" s="53" t="n"/>
      <c r="CN566" s="53" t="n"/>
      <c r="CO566" s="53" t="n"/>
      <c r="CP566" s="53" t="n"/>
      <c r="CQ566" s="53" t="n"/>
      <c r="CR566" s="53" t="n"/>
      <c r="CS566" s="53" t="n"/>
      <c r="CT566" s="53" t="n"/>
      <c r="CU566" s="53" t="n"/>
      <c r="CV566" s="53" t="n"/>
      <c r="CW566" s="53" t="n"/>
      <c r="CX566" s="53" t="n"/>
      <c r="CY566" s="53" t="n"/>
      <c r="CZ566" s="53" t="n"/>
      <c r="DA566" s="53" t="n"/>
      <c r="DB566" s="53" t="n"/>
      <c r="DC566" s="53" t="n"/>
      <c r="DD566" s="53" t="n"/>
      <c r="DE566" s="53" t="n"/>
      <c r="DF566" s="53" t="n"/>
      <c r="DG566" s="53" t="n"/>
      <c r="DH566" s="53" t="n"/>
      <c r="DI566" s="53" t="n"/>
      <c r="DJ566" s="53" t="n"/>
      <c r="DK566" s="53" t="n"/>
      <c r="DL566" s="53" t="n"/>
      <c r="DM566" s="53" t="n"/>
      <c r="DN566" s="53" t="n"/>
      <c r="DO566" s="53" t="n"/>
      <c r="DP566" s="53" t="n"/>
      <c r="DQ566" s="53" t="n"/>
      <c r="DR566" s="53" t="n"/>
      <c r="DS566" s="53" t="n"/>
      <c r="DT566" s="53" t="n"/>
      <c r="DU566" s="53" t="n"/>
      <c r="DV566" s="53" t="n"/>
      <c r="DW566" s="53" t="n"/>
      <c r="DX566" s="53" t="n"/>
      <c r="DY566" s="53" t="n"/>
      <c r="DZ566" s="53" t="n"/>
      <c r="EA566" s="53" t="n"/>
      <c r="EB566" s="53" t="n"/>
      <c r="EC566" s="53" t="n"/>
      <c r="ED566" s="53" t="n"/>
      <c r="EE566" s="53" t="n"/>
      <c r="EF566" s="53" t="n"/>
      <c r="EG566" s="53" t="n"/>
      <c r="EH566" s="53" t="n"/>
      <c r="EI566" s="53" t="n"/>
      <c r="EJ566" s="53" t="n"/>
      <c r="EK566" s="53" t="n"/>
      <c r="EL566" s="53" t="n"/>
      <c r="EM566" s="53" t="n"/>
      <c r="EN566" s="53" t="n"/>
      <c r="EO566" s="53" t="n"/>
      <c r="EP566" s="53" t="n"/>
      <c r="EQ566" s="53" t="n"/>
      <c r="ER566" s="53" t="n"/>
      <c r="ES566" s="53" t="n"/>
      <c r="ET566" s="53" t="n"/>
      <c r="EU566" s="53" t="n"/>
      <c r="EV566" s="53" t="n"/>
      <c r="EW566" s="52" t="n"/>
      <c r="EX566" s="53" t="n"/>
      <c r="EY566" s="53" t="n"/>
      <c r="EZ566" s="53" t="n"/>
      <c r="FA566" s="53" t="n"/>
      <c r="FB566" s="53" t="n"/>
      <c r="FC566" s="53" t="n"/>
      <c r="FD566" s="53" t="n"/>
      <c r="FE566" s="55" t="inlineStr">
        <is>
          <t>KRAs not received · manager to supply</t>
        </is>
      </c>
      <c r="FF566" s="56" t="n"/>
      <c r="FG566" s="56" t="n"/>
      <c r="FH566" s="56" t="n"/>
      <c r="FI566" s="56" t="n"/>
      <c r="FJ566" s="32" t="inlineStr">
        <is>
          <t>KRAs not received · manager to supply</t>
        </is>
      </c>
      <c r="FK566" s="56" t="n"/>
      <c r="FL566" s="56" t="n">
        <v>0</v>
      </c>
      <c r="FM566" s="32" t="inlineStr">
        <is>
          <t>No survey response on file</t>
        </is>
      </c>
      <c r="FN566" s="56" t="inlineStr">
        <is>
          <t>—</t>
        </is>
      </c>
      <c r="FO566" s="56" t="inlineStr">
        <is>
          <t>—</t>
        </is>
      </c>
      <c r="FP566" s="56" t="inlineStr">
        <is>
          <t>—</t>
        </is>
      </c>
      <c r="FQ566" s="56" t="inlineStr">
        <is>
          <t>—</t>
        </is>
      </c>
      <c r="FR566" s="56" t="inlineStr">
        <is>
          <t>Business Impact: No survey or manager-mapping signal on criticality: kept at the start point.</t>
        </is>
      </c>
      <c r="FS566"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6" s="56" t="n"/>
      <c r="FU566" s="32" t="inlineStr">
        <is>
          <t>No survey response on file</t>
        </is>
      </c>
    </row>
    <row r="567" ht="90" customHeight="1">
      <c r="A567" s="51" t="inlineStr">
        <is>
          <t>◂ Back</t>
        </is>
      </c>
      <c r="B567" s="29" t="inlineStr">
        <is>
          <t>Mapped</t>
        </is>
      </c>
      <c r="C567" s="28" t="inlineStr">
        <is>
          <t>Corporate</t>
        </is>
      </c>
      <c r="D567" s="29" t="inlineStr">
        <is>
          <t>IRISC298</t>
        </is>
      </c>
      <c r="E567" s="29" t="inlineStr">
        <is>
          <t>Ketan Balbhadra Yadav</t>
        </is>
      </c>
      <c r="F567" s="29" t="inlineStr">
        <is>
          <t>IT &amp; Infrastructure</t>
        </is>
      </c>
      <c r="G567" s="29" t="inlineStr">
        <is>
          <t>Consultant</t>
        </is>
      </c>
      <c r="H567" s="29" t="inlineStr">
        <is>
          <t>Senior System Administrator</t>
        </is>
      </c>
      <c r="I567" s="29" t="inlineStr">
        <is>
          <t>Not in current mapping files</t>
        </is>
      </c>
      <c r="J567" s="29" t="inlineStr">
        <is>
          <t>A3</t>
        </is>
      </c>
      <c r="K567" s="29" t="inlineStr">
        <is>
          <t>● Newly mapped</t>
        </is>
      </c>
      <c r="L567" s="29" t="inlineStr">
        <is>
          <t>IT &amp; Infrastructure</t>
        </is>
      </c>
      <c r="M567" s="29" t="inlineStr">
        <is>
          <t>Infrastructure &amp; Cloud Operations</t>
        </is>
      </c>
      <c r="N567" s="29" t="n"/>
      <c r="O567" s="29" t="n">
        <v>20</v>
      </c>
      <c r="P567" s="28" t="inlineStr">
        <is>
          <t>P2</t>
        </is>
      </c>
      <c r="Q567" s="29" t="inlineStr">
        <is>
          <t>Developing</t>
        </is>
      </c>
      <c r="R567" s="29" t="inlineStr">
        <is>
          <t>3 Apply</t>
        </is>
      </c>
      <c r="S567" s="29" t="inlineStr">
        <is>
          <t>2–4 yrs</t>
        </is>
      </c>
      <c r="T567" s="29" t="inlineStr">
        <is>
          <t>3–5 · 2–5</t>
        </is>
      </c>
      <c r="U567" s="29" t="inlineStr">
        <is>
          <t>System Administrator</t>
        </is>
      </c>
      <c r="V567" s="29" t="inlineStr">
        <is>
          <t>Atlassian company-wide P-levels: P40 · IRIS Vs Competitor Benchmark — infrastructure ladder: System Administrator</t>
        </is>
      </c>
      <c r="W567" s="29" t="inlineStr">
        <is>
          <t>ITIL 4; ISO/IEC 27001:2022; SFIA infrastructure</t>
        </is>
      </c>
      <c r="X567" s="29" t="inlineStr">
        <is>
          <t>Core 2 · Future 2 · Functional 3 · Leadership not scored</t>
        </is>
      </c>
      <c r="Y567" s="52" t="n">
        <v>349</v>
      </c>
      <c r="Z567" s="53" t="inlineStr">
        <is>
          <t>IRISC298</t>
        </is>
      </c>
      <c r="AA567" s="53" t="inlineStr">
        <is>
          <t>On Contract</t>
        </is>
      </c>
      <c r="AB567" s="53" t="inlineStr">
        <is>
          <t>Active</t>
        </is>
      </c>
      <c r="AC567" s="53" t="inlineStr">
        <is>
          <t>Ketan Balbhadra Yadav</t>
        </is>
      </c>
      <c r="AD567" s="54" t="n">
        <v>45593</v>
      </c>
      <c r="AE567" s="53" t="inlineStr">
        <is>
          <t>Consultant</t>
        </is>
      </c>
      <c r="AF567" s="53" t="inlineStr">
        <is>
          <t>B.SC</t>
        </is>
      </c>
      <c r="AG567" s="53" t="inlineStr">
        <is>
          <t>Vikas Mithbawkar</t>
        </is>
      </c>
      <c r="AH567" s="53" t="inlineStr">
        <is>
          <t>N-3</t>
        </is>
      </c>
      <c r="AI567" s="53" t="inlineStr">
        <is>
          <t>Individual Contributor</t>
        </is>
      </c>
      <c r="AJ567" s="53" t="inlineStr">
        <is>
          <t>1 years, 6 months, 0 days</t>
        </is>
      </c>
      <c r="AK567" s="53" t="inlineStr">
        <is>
          <t>1 years, 9 months, 28 days</t>
        </is>
      </c>
      <c r="AL567" s="53" t="inlineStr">
        <is>
          <t>Corporate</t>
        </is>
      </c>
      <c r="AM567" s="53" t="inlineStr">
        <is>
          <t>Corporate</t>
        </is>
      </c>
      <c r="AN567" s="53" t="inlineStr">
        <is>
          <t>IT &amp; Infrastructure</t>
        </is>
      </c>
      <c r="AO567" s="53" t="inlineStr">
        <is>
          <t>Infra</t>
        </is>
      </c>
      <c r="AP567" s="53" t="inlineStr">
        <is>
          <t>No</t>
        </is>
      </c>
      <c r="AQ567" s="53" t="inlineStr">
        <is>
          <t>General &amp; Admin</t>
        </is>
      </c>
      <c r="AR567" s="53" t="inlineStr">
        <is>
          <t>Infra</t>
        </is>
      </c>
      <c r="AS567" s="53" t="inlineStr">
        <is>
          <t>Non-technical</t>
        </is>
      </c>
      <c r="AT567" s="53" t="n">
        <v>20</v>
      </c>
      <c r="AU567" s="53" t="inlineStr">
        <is>
          <t>Covered</t>
        </is>
      </c>
      <c r="AV567" s="53" t="n"/>
      <c r="AW567" s="53" t="n"/>
      <c r="AX567" s="53" t="n"/>
      <c r="AY567" s="53" t="n"/>
      <c r="AZ567" s="53" t="n"/>
      <c r="BA567" s="53" t="n"/>
      <c r="BB567" s="53" t="n"/>
      <c r="BC567" s="53" t="n"/>
      <c r="BD567" s="53" t="n"/>
      <c r="BE567" s="53" t="n"/>
      <c r="BF567" s="53" t="n"/>
      <c r="BG567" s="53" t="n"/>
      <c r="BH567" s="53" t="n"/>
      <c r="BI567" s="53" t="n"/>
      <c r="BJ567" s="53" t="n"/>
      <c r="BK567" s="53" t="n"/>
      <c r="BL567" s="53" t="n"/>
      <c r="BM567" s="53" t="n"/>
      <c r="BN567" s="53" t="n"/>
      <c r="BO567" s="53" t="n"/>
      <c r="BP567" s="53" t="n"/>
      <c r="BQ567" s="53" t="n"/>
      <c r="BR567" s="53" t="n"/>
      <c r="BS567" s="53" t="n"/>
      <c r="BT567" s="53" t="n"/>
      <c r="BU567" s="53" t="n"/>
      <c r="BV567" s="53" t="n"/>
      <c r="BW567" s="53" t="n"/>
      <c r="BX567" s="53" t="n"/>
      <c r="BY567" s="53" t="n"/>
      <c r="BZ567" s="53" t="n"/>
      <c r="CA567" s="53" t="n"/>
      <c r="CB567" s="53" t="n"/>
      <c r="CC567" s="53" t="n"/>
      <c r="CD567" s="53" t="n"/>
      <c r="CE567" s="53" t="n"/>
      <c r="CF567" s="53" t="n"/>
      <c r="CG567" s="53" t="n"/>
      <c r="CH567" s="53" t="n"/>
      <c r="CI567" s="53" t="n"/>
      <c r="CJ567" s="53" t="n"/>
      <c r="CK567" s="53" t="n"/>
      <c r="CL567" s="53" t="n"/>
      <c r="CM567" s="53" t="n"/>
      <c r="CN567" s="53" t="n"/>
      <c r="CO567" s="53" t="n"/>
      <c r="CP567" s="53" t="n"/>
      <c r="CQ567" s="53" t="n"/>
      <c r="CR567" s="53" t="n"/>
      <c r="CS567" s="53" t="n"/>
      <c r="CT567" s="53" t="n"/>
      <c r="CU567" s="53" t="n"/>
      <c r="CV567" s="53" t="n"/>
      <c r="CW567" s="53" t="n"/>
      <c r="CX567" s="53" t="n"/>
      <c r="CY567" s="53" t="n"/>
      <c r="CZ567" s="53" t="n"/>
      <c r="DA567" s="53" t="n"/>
      <c r="DB567" s="53" t="n"/>
      <c r="DC567" s="53" t="n"/>
      <c r="DD567" s="53" t="n"/>
      <c r="DE567" s="53" t="n"/>
      <c r="DF567" s="53" t="n"/>
      <c r="DG567" s="53" t="n"/>
      <c r="DH567" s="53" t="n"/>
      <c r="DI567" s="53" t="n"/>
      <c r="DJ567" s="53" t="n"/>
      <c r="DK567" s="53" t="n"/>
      <c r="DL567" s="53" t="n"/>
      <c r="DM567" s="53" t="n"/>
      <c r="DN567" s="53" t="n"/>
      <c r="DO567" s="53" t="n"/>
      <c r="DP567" s="53" t="n"/>
      <c r="DQ567" s="53" t="n"/>
      <c r="DR567" s="53" t="n"/>
      <c r="DS567" s="53" t="n"/>
      <c r="DT567" s="53" t="n"/>
      <c r="DU567" s="53" t="n"/>
      <c r="DV567" s="53" t="n"/>
      <c r="DW567" s="53" t="n"/>
      <c r="DX567" s="53" t="n"/>
      <c r="DY567" s="53" t="n"/>
      <c r="DZ567" s="53" t="n"/>
      <c r="EA567" s="53" t="n"/>
      <c r="EB567" s="53" t="n"/>
      <c r="EC567" s="53" t="n"/>
      <c r="ED567" s="53" t="n"/>
      <c r="EE567" s="53" t="n"/>
      <c r="EF567" s="53" t="n"/>
      <c r="EG567" s="53" t="n"/>
      <c r="EH567" s="53" t="n"/>
      <c r="EI567" s="53" t="n"/>
      <c r="EJ567" s="53" t="n"/>
      <c r="EK567" s="53" t="n"/>
      <c r="EL567" s="53" t="n"/>
      <c r="EM567" s="53" t="n"/>
      <c r="EN567" s="53" t="n"/>
      <c r="EO567" s="53" t="n"/>
      <c r="EP567" s="53" t="n"/>
      <c r="EQ567" s="53" t="n"/>
      <c r="ER567" s="53" t="n"/>
      <c r="ES567" s="53" t="n"/>
      <c r="ET567" s="53" t="n"/>
      <c r="EU567" s="53" t="n"/>
      <c r="EV567" s="53" t="n"/>
      <c r="EW567" s="52" t="n"/>
      <c r="EX567" s="53" t="n"/>
      <c r="EY567" s="53" t="n"/>
      <c r="EZ567" s="53" t="n"/>
      <c r="FA567" s="53" t="n"/>
      <c r="FB567" s="53" t="n"/>
      <c r="FC567" s="53" t="n"/>
      <c r="FD567" s="53" t="n"/>
      <c r="FE567" s="55" t="inlineStr">
        <is>
          <t>KRAs not received · manager to supply</t>
        </is>
      </c>
      <c r="FF567" s="56" t="n"/>
      <c r="FG567" s="56" t="n"/>
      <c r="FH567" s="56" t="n"/>
      <c r="FI567" s="56" t="n"/>
      <c r="FJ567" s="32" t="inlineStr">
        <is>
          <t>KRAs not received · manager to supply</t>
        </is>
      </c>
      <c r="FK567" s="56" t="n"/>
      <c r="FL567" s="56" t="n">
        <v>20</v>
      </c>
      <c r="FM567" s="32" t="inlineStr">
        <is>
          <t>Full survey answers not in the files received · How We Grow export needed · HR</t>
        </is>
      </c>
      <c r="FN567" s="56" t="inlineStr">
        <is>
          <t>—</t>
        </is>
      </c>
      <c r="FO567" s="56" t="inlineStr">
        <is>
          <t>—</t>
        </is>
      </c>
      <c r="FP567" s="56" t="inlineStr">
        <is>
          <t>—</t>
        </is>
      </c>
      <c r="FQ567" s="56" t="inlineStr">
        <is>
          <t>—</t>
        </is>
      </c>
      <c r="FR56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67"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7" s="56" t="inlineStr">
        <is>
          <t>Self-identified: Leadership &amp; people management · Project / programme management · Data, SQL &amp; analytics · Strategy &amp; business acumen · Broader exposure &amp; ownership
For the next role: Leadership &amp; people management · Project / programme management · Data, SQL &amp; analytics · Strategy &amp; business acumen · Broader exposure &amp; ownership</t>
        </is>
      </c>
      <c r="FU567" s="32" t="inlineStr">
        <is>
          <t>Full survey answers not in the files received · How We Grow export needed · HR</t>
        </is>
      </c>
    </row>
    <row r="568" ht="90" customHeight="1">
      <c r="A568" s="51" t="inlineStr">
        <is>
          <t>◂ Back</t>
        </is>
      </c>
      <c r="B568" s="29" t="inlineStr">
        <is>
          <t>Mapped</t>
        </is>
      </c>
      <c r="C568" s="28" t="inlineStr">
        <is>
          <t>Corporate</t>
        </is>
      </c>
      <c r="D568" s="29" t="inlineStr">
        <is>
          <t>IRIS1998</t>
        </is>
      </c>
      <c r="E568" s="29" t="inlineStr">
        <is>
          <t>Nimit Sadafal</t>
        </is>
      </c>
      <c r="F568" s="29" t="inlineStr">
        <is>
          <t>IT &amp; Infrastructure</t>
        </is>
      </c>
      <c r="G568" s="29" t="inlineStr">
        <is>
          <t>System Administrator</t>
        </is>
      </c>
      <c r="H568" s="29" t="inlineStr">
        <is>
          <t>Senior System Administrator</t>
        </is>
      </c>
      <c r="I568" s="29" t="inlineStr">
        <is>
          <t>Not in current mapping files</t>
        </is>
      </c>
      <c r="J568" s="29" t="inlineStr">
        <is>
          <t>A3</t>
        </is>
      </c>
      <c r="K568" s="29" t="inlineStr">
        <is>
          <t>● Newly mapped</t>
        </is>
      </c>
      <c r="L568" s="29" t="inlineStr">
        <is>
          <t>IT &amp; Infrastructure</t>
        </is>
      </c>
      <c r="M568" s="29" t="inlineStr">
        <is>
          <t>Infrastructure &amp; Cloud Operations</t>
        </is>
      </c>
      <c r="N568" s="29" t="n"/>
      <c r="O568" s="29" t="n">
        <v>20</v>
      </c>
      <c r="P568" s="28" t="inlineStr">
        <is>
          <t>P2</t>
        </is>
      </c>
      <c r="Q568" s="29" t="inlineStr">
        <is>
          <t>Developing</t>
        </is>
      </c>
      <c r="R568" s="29" t="inlineStr">
        <is>
          <t>3 Apply</t>
        </is>
      </c>
      <c r="S568" s="29" t="inlineStr">
        <is>
          <t>2–4 yrs</t>
        </is>
      </c>
      <c r="T568" s="29" t="inlineStr">
        <is>
          <t>3–5 · 2–5</t>
        </is>
      </c>
      <c r="U568" s="29" t="inlineStr">
        <is>
          <t>System Administrator</t>
        </is>
      </c>
      <c r="V568" s="29" t="inlineStr">
        <is>
          <t>Atlassian company-wide P-levels: P40 · IRIS Vs Competitor Benchmark — infrastructure ladder: System Administrator</t>
        </is>
      </c>
      <c r="W568" s="29" t="inlineStr">
        <is>
          <t>ITIL 4; ISO/IEC 27001:2022; SFIA infrastructure</t>
        </is>
      </c>
      <c r="X568" s="29" t="inlineStr">
        <is>
          <t>Core 2 · Future 2 · Functional 3 · Leadership not scored</t>
        </is>
      </c>
      <c r="Y568" s="52" t="n">
        <v>210</v>
      </c>
      <c r="Z568" s="53" t="inlineStr">
        <is>
          <t>IRIS1998</t>
        </is>
      </c>
      <c r="AA568" s="53" t="inlineStr">
        <is>
          <t>Employee</t>
        </is>
      </c>
      <c r="AB568" s="53" t="inlineStr">
        <is>
          <t>Active</t>
        </is>
      </c>
      <c r="AC568" s="53" t="inlineStr">
        <is>
          <t>Nimit Sadafal</t>
        </is>
      </c>
      <c r="AD568" s="54" t="n">
        <v>44622</v>
      </c>
      <c r="AE568" s="53" t="inlineStr">
        <is>
          <t>System Administrator</t>
        </is>
      </c>
      <c r="AF568" s="53" t="inlineStr">
        <is>
          <t>B.E</t>
        </is>
      </c>
      <c r="AG568" s="53" t="inlineStr">
        <is>
          <t>Vikas Mithbawkar</t>
        </is>
      </c>
      <c r="AH568" s="53" t="inlineStr">
        <is>
          <t>N-3</t>
        </is>
      </c>
      <c r="AI568" s="53" t="inlineStr">
        <is>
          <t>Individual Contributor</t>
        </is>
      </c>
      <c r="AJ568" s="53" t="inlineStr">
        <is>
          <t>9 years, 0 months, 0 days</t>
        </is>
      </c>
      <c r="AK568" s="53" t="inlineStr">
        <is>
          <t>4 years, 5 months, 23 days</t>
        </is>
      </c>
      <c r="AL568" s="53" t="inlineStr">
        <is>
          <t>Corporate</t>
        </is>
      </c>
      <c r="AM568" s="53" t="inlineStr">
        <is>
          <t>Corporate</t>
        </is>
      </c>
      <c r="AN568" s="53" t="inlineStr">
        <is>
          <t>IT &amp; Infrastructure</t>
        </is>
      </c>
      <c r="AO568" s="53" t="inlineStr">
        <is>
          <t>Infra</t>
        </is>
      </c>
      <c r="AP568" s="53" t="inlineStr">
        <is>
          <t>No</t>
        </is>
      </c>
      <c r="AQ568" s="53" t="inlineStr">
        <is>
          <t>General &amp; Admin</t>
        </is>
      </c>
      <c r="AR568" s="53" t="inlineStr">
        <is>
          <t>Infra</t>
        </is>
      </c>
      <c r="AS568" s="53" t="inlineStr">
        <is>
          <t>Non-technical</t>
        </is>
      </c>
      <c r="AT568" s="53" t="n">
        <v>20</v>
      </c>
      <c r="AU568" s="53" t="inlineStr">
        <is>
          <t>Covered</t>
        </is>
      </c>
      <c r="AV568" s="53" t="n"/>
      <c r="AW568" s="53" t="n"/>
      <c r="AX568" s="53" t="n"/>
      <c r="AY568" s="53" t="n"/>
      <c r="AZ568" s="53" t="n"/>
      <c r="BA568" s="53" t="n"/>
      <c r="BB568" s="53" t="n"/>
      <c r="BC568" s="53" t="n"/>
      <c r="BD568" s="53" t="n"/>
      <c r="BE568" s="53" t="n"/>
      <c r="BF568" s="53" t="n"/>
      <c r="BG568" s="53" t="n"/>
      <c r="BH568" s="53" t="n"/>
      <c r="BI568" s="53" t="n"/>
      <c r="BJ568" s="53" t="n"/>
      <c r="BK568" s="53" t="n"/>
      <c r="BL568" s="53" t="n"/>
      <c r="BM568" s="53" t="n"/>
      <c r="BN568" s="53" t="n"/>
      <c r="BO568" s="53" t="n"/>
      <c r="BP568" s="53" t="n"/>
      <c r="BQ568" s="53" t="n"/>
      <c r="BR568" s="53" t="n"/>
      <c r="BS568" s="53" t="n"/>
      <c r="BT568" s="53" t="n"/>
      <c r="BU568" s="53" t="n"/>
      <c r="BV568" s="53" t="n"/>
      <c r="BW568" s="53" t="n"/>
      <c r="BX568" s="53" t="n"/>
      <c r="BY568" s="53" t="n"/>
      <c r="BZ568" s="53" t="n"/>
      <c r="CA568" s="53" t="n"/>
      <c r="CB568" s="53" t="n"/>
      <c r="CC568" s="53" t="n"/>
      <c r="CD568" s="53" t="n"/>
      <c r="CE568" s="53" t="n"/>
      <c r="CF568" s="53" t="n"/>
      <c r="CG568" s="53" t="n"/>
      <c r="CH568" s="53" t="n"/>
      <c r="CI568" s="53" t="n"/>
      <c r="CJ568" s="53" t="n"/>
      <c r="CK568" s="53" t="n"/>
      <c r="CL568" s="53" t="n"/>
      <c r="CM568" s="53" t="n"/>
      <c r="CN568" s="53" t="n"/>
      <c r="CO568" s="53" t="n"/>
      <c r="CP568" s="53" t="n"/>
      <c r="CQ568" s="53" t="n"/>
      <c r="CR568" s="53" t="n"/>
      <c r="CS568" s="53" t="n"/>
      <c r="CT568" s="53" t="n"/>
      <c r="CU568" s="53" t="n"/>
      <c r="CV568" s="53" t="n"/>
      <c r="CW568" s="53" t="n"/>
      <c r="CX568" s="53" t="n"/>
      <c r="CY568" s="53" t="n"/>
      <c r="CZ568" s="53" t="n"/>
      <c r="DA568" s="53" t="n"/>
      <c r="DB568" s="53" t="n"/>
      <c r="DC568" s="53" t="n"/>
      <c r="DD568" s="53" t="n"/>
      <c r="DE568" s="53" t="n"/>
      <c r="DF568" s="53" t="n"/>
      <c r="DG568" s="53" t="n"/>
      <c r="DH568" s="53" t="n"/>
      <c r="DI568" s="53" t="n"/>
      <c r="DJ568" s="53" t="n"/>
      <c r="DK568" s="53" t="n"/>
      <c r="DL568" s="53" t="n"/>
      <c r="DM568" s="53" t="n"/>
      <c r="DN568" s="53" t="n"/>
      <c r="DO568" s="53" t="n"/>
      <c r="DP568" s="53" t="n"/>
      <c r="DQ568" s="53" t="n"/>
      <c r="DR568" s="53" t="n"/>
      <c r="DS568" s="53" t="n"/>
      <c r="DT568" s="53" t="n"/>
      <c r="DU568" s="53" t="n"/>
      <c r="DV568" s="53" t="n"/>
      <c r="DW568" s="53" t="n"/>
      <c r="DX568" s="53" t="n"/>
      <c r="DY568" s="53" t="n"/>
      <c r="DZ568" s="53" t="n"/>
      <c r="EA568" s="53" t="n"/>
      <c r="EB568" s="53" t="n"/>
      <c r="EC568" s="53" t="n"/>
      <c r="ED568" s="53" t="n"/>
      <c r="EE568" s="53" t="n"/>
      <c r="EF568" s="53" t="n"/>
      <c r="EG568" s="53" t="n"/>
      <c r="EH568" s="53" t="n"/>
      <c r="EI568" s="53" t="n"/>
      <c r="EJ568" s="53" t="n"/>
      <c r="EK568" s="53" t="n"/>
      <c r="EL568" s="53" t="n"/>
      <c r="EM568" s="53" t="n"/>
      <c r="EN568" s="53" t="n"/>
      <c r="EO568" s="53" t="n"/>
      <c r="EP568" s="53" t="n"/>
      <c r="EQ568" s="53" t="n"/>
      <c r="ER568" s="53" t="n"/>
      <c r="ES568" s="53" t="n"/>
      <c r="ET568" s="53" t="n"/>
      <c r="EU568" s="53" t="n"/>
      <c r="EV568" s="53" t="n"/>
      <c r="EW568" s="52" t="n"/>
      <c r="EX568" s="53" t="n"/>
      <c r="EY568" s="53" t="n"/>
      <c r="EZ568" s="53" t="n"/>
      <c r="FA568" s="53" t="n"/>
      <c r="FB568" s="53" t="n"/>
      <c r="FC568" s="53" t="n"/>
      <c r="FD568" s="53" t="n"/>
      <c r="FE568" s="55" t="inlineStr">
        <is>
          <t>KRAs not received · manager to supply</t>
        </is>
      </c>
      <c r="FF568" s="56" t="n"/>
      <c r="FG568" s="56" t="n"/>
      <c r="FH568" s="56" t="n"/>
      <c r="FI568" s="56" t="n"/>
      <c r="FJ568" s="32" t="inlineStr">
        <is>
          <t>KRAs not received · manager to supply</t>
        </is>
      </c>
      <c r="FK568" s="56" t="n"/>
      <c r="FL568" s="56" t="n">
        <v>20</v>
      </c>
      <c r="FM568" s="32" t="inlineStr">
        <is>
          <t>Full survey answers not in the files received · How We Grow export needed · HR</t>
        </is>
      </c>
      <c r="FN568" s="56" t="inlineStr">
        <is>
          <t>—</t>
        </is>
      </c>
      <c r="FO568" s="56" t="inlineStr">
        <is>
          <t>—</t>
        </is>
      </c>
      <c r="FP568" s="56" t="inlineStr">
        <is>
          <t>—</t>
        </is>
      </c>
      <c r="FQ568" s="56" t="inlineStr">
        <is>
          <t>—</t>
        </is>
      </c>
      <c r="FR568" s="56"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accessibility issues; prepares RCA and answers the client · DIT for incidents → matches the start
Leadership: Evidence reads like A1: No guiding or leading of others described → moved down 0.5
Business Impact: No survey or manager-mapping signal on criticality: kept at the start point.</t>
        </is>
      </c>
      <c r="FS568"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8" s="56" t="inlineStr">
        <is>
          <t>Self-identified: Technical depth &amp; architecture
For the next role: Technical depth &amp; architecture</t>
        </is>
      </c>
      <c r="FU568" s="32" t="inlineStr">
        <is>
          <t>Full survey answers not in the files received · How We Grow export needed · HR</t>
        </is>
      </c>
    </row>
    <row r="569" ht="90" customHeight="1">
      <c r="A569" s="51" t="inlineStr">
        <is>
          <t>◂ Back</t>
        </is>
      </c>
      <c r="B569" s="29" t="inlineStr">
        <is>
          <t>Mapped</t>
        </is>
      </c>
      <c r="C569" s="28" t="inlineStr">
        <is>
          <t>Corporate</t>
        </is>
      </c>
      <c r="D569" s="29" t="inlineStr">
        <is>
          <t>IRIS2099</t>
        </is>
      </c>
      <c r="E569" s="29" t="inlineStr">
        <is>
          <t>Parthiban Thangaraj</t>
        </is>
      </c>
      <c r="F569" s="29" t="inlineStr">
        <is>
          <t>IT &amp; Infrastructure</t>
        </is>
      </c>
      <c r="G569" s="29" t="inlineStr">
        <is>
          <t>Senior Software Engineer</t>
        </is>
      </c>
      <c r="H569" s="29" t="inlineStr">
        <is>
          <t>Senior DevOps Engineer</t>
        </is>
      </c>
      <c r="I569" s="29" t="inlineStr">
        <is>
          <t>Not in current mapping files</t>
        </is>
      </c>
      <c r="J569" s="29" t="inlineStr">
        <is>
          <t>A3</t>
        </is>
      </c>
      <c r="K569" s="29" t="inlineStr">
        <is>
          <t>● Newly mapped</t>
        </is>
      </c>
      <c r="L569" s="29" t="inlineStr">
        <is>
          <t>Engineering &amp; Development</t>
        </is>
      </c>
      <c r="M569" s="29" t="inlineStr">
        <is>
          <t>DevOps &amp; Release Engineering</t>
        </is>
      </c>
      <c r="N569" s="29" t="n"/>
      <c r="O569" s="29" t="n">
        <v>20</v>
      </c>
      <c r="P569" s="28" t="inlineStr">
        <is>
          <t>P2</t>
        </is>
      </c>
      <c r="Q569" s="29" t="inlineStr">
        <is>
          <t>Developing</t>
        </is>
      </c>
      <c r="R569" s="29" t="inlineStr">
        <is>
          <t>3 Apply</t>
        </is>
      </c>
      <c r="S569" s="29" t="inlineStr">
        <is>
          <t>2–4 yrs</t>
        </is>
      </c>
      <c r="T569" s="29" t="inlineStr">
        <is>
          <t>3–5 · 2–5</t>
        </is>
      </c>
      <c r="U569" s="29" t="inlineStr">
        <is>
          <t>Software Engineer</t>
        </is>
      </c>
      <c r="V569" s="29" t="inlineStr">
        <is>
          <t>Workiva: SE · Broadridge India: SE · Nasdaq / AxiomSL: SE · Salesforce: MTS · Atlassian: P40 · 3–7 yrs · Freshworks: Senior SE</t>
        </is>
      </c>
      <c r="W569" s="29" t="inlineStr">
        <is>
          <t>SFIA 9 · software development, programming; OWASP secure coding; cloud vendor certifications</t>
        </is>
      </c>
      <c r="X569" s="29" t="inlineStr">
        <is>
          <t>Core 2 · Future 2 · Functional 3 · Leadership not scored</t>
        </is>
      </c>
      <c r="Y569" s="52" t="n">
        <v>262</v>
      </c>
      <c r="Z569" s="53" t="inlineStr">
        <is>
          <t>IRIS2099</t>
        </is>
      </c>
      <c r="AA569" s="53" t="inlineStr">
        <is>
          <t>Employee</t>
        </is>
      </c>
      <c r="AB569" s="53" t="inlineStr">
        <is>
          <t>Active</t>
        </is>
      </c>
      <c r="AC569" s="53" t="inlineStr">
        <is>
          <t>Parthiban Thangaraj</t>
        </is>
      </c>
      <c r="AD569" s="54" t="n">
        <v>44971</v>
      </c>
      <c r="AE569" s="53" t="inlineStr">
        <is>
          <t>Senior Software Engineer</t>
        </is>
      </c>
      <c r="AF569" s="53" t="inlineStr">
        <is>
          <t>B.Tech</t>
        </is>
      </c>
      <c r="AG569" s="53" t="inlineStr">
        <is>
          <t>Mahesh Tilave</t>
        </is>
      </c>
      <c r="AH569" s="53" t="inlineStr">
        <is>
          <t>N-2</t>
        </is>
      </c>
      <c r="AI569" s="53" t="inlineStr">
        <is>
          <t>Individual Contributor</t>
        </is>
      </c>
      <c r="AJ569" s="53" t="inlineStr">
        <is>
          <t>6 years, 3 months, 0 days</t>
        </is>
      </c>
      <c r="AK569" s="53" t="inlineStr">
        <is>
          <t>3 years, 6 months, 11 days</t>
        </is>
      </c>
      <c r="AL569" s="53" t="inlineStr">
        <is>
          <t>Corporate</t>
        </is>
      </c>
      <c r="AM569" s="53" t="inlineStr">
        <is>
          <t>Corporate</t>
        </is>
      </c>
      <c r="AN569" s="53" t="inlineStr">
        <is>
          <t>IT &amp; Infrastructure</t>
        </is>
      </c>
      <c r="AO569" s="53" t="inlineStr">
        <is>
          <t>Infra</t>
        </is>
      </c>
      <c r="AP569" s="53" t="inlineStr">
        <is>
          <t>No</t>
        </is>
      </c>
      <c r="AQ569" s="53" t="inlineStr">
        <is>
          <t>General &amp; Admin</t>
        </is>
      </c>
      <c r="AR569" s="53" t="inlineStr">
        <is>
          <t>Devops</t>
        </is>
      </c>
      <c r="AS569" s="53" t="inlineStr">
        <is>
          <t>Non-technical</t>
        </is>
      </c>
      <c r="AT569" s="53" t="n">
        <v>20</v>
      </c>
      <c r="AU569" s="53" t="inlineStr">
        <is>
          <t>Covered</t>
        </is>
      </c>
      <c r="AV569" s="53" t="n"/>
      <c r="AW569" s="53" t="n"/>
      <c r="AX569" s="53" t="n"/>
      <c r="AY569" s="53" t="n"/>
      <c r="AZ569" s="53" t="n"/>
      <c r="BA569" s="53" t="n"/>
      <c r="BB569" s="53" t="n"/>
      <c r="BC569" s="53" t="n"/>
      <c r="BD569" s="53" t="n"/>
      <c r="BE569" s="53" t="n"/>
      <c r="BF569" s="53" t="n"/>
      <c r="BG569" s="53" t="n"/>
      <c r="BH569" s="53" t="n"/>
      <c r="BI569" s="53" t="n"/>
      <c r="BJ569" s="53" t="n"/>
      <c r="BK569" s="53" t="n"/>
      <c r="BL569" s="53" t="n"/>
      <c r="BM569" s="53" t="n"/>
      <c r="BN569" s="53" t="n"/>
      <c r="BO569" s="53" t="n"/>
      <c r="BP569" s="53" t="n"/>
      <c r="BQ569" s="53" t="n"/>
      <c r="BR569" s="53" t="n"/>
      <c r="BS569" s="53" t="n"/>
      <c r="BT569" s="53" t="n"/>
      <c r="BU569" s="53" t="n"/>
      <c r="BV569" s="53" t="n"/>
      <c r="BW569" s="53" t="n"/>
      <c r="BX569" s="53" t="n"/>
      <c r="BY569" s="53" t="n"/>
      <c r="BZ569" s="53" t="n"/>
      <c r="CA569" s="53" t="n"/>
      <c r="CB569" s="53" t="n"/>
      <c r="CC569" s="53" t="n"/>
      <c r="CD569" s="53" t="n"/>
      <c r="CE569" s="53" t="n"/>
      <c r="CF569" s="53" t="n"/>
      <c r="CG569" s="53" t="n"/>
      <c r="CH569" s="53" t="n"/>
      <c r="CI569" s="53" t="n"/>
      <c r="CJ569" s="53" t="n"/>
      <c r="CK569" s="53" t="n"/>
      <c r="CL569" s="53" t="n"/>
      <c r="CM569" s="53" t="n"/>
      <c r="CN569" s="53" t="n"/>
      <c r="CO569" s="53" t="n"/>
      <c r="CP569" s="53" t="n"/>
      <c r="CQ569" s="53" t="n"/>
      <c r="CR569" s="53" t="n"/>
      <c r="CS569" s="53" t="n"/>
      <c r="CT569" s="53" t="n"/>
      <c r="CU569" s="53" t="n"/>
      <c r="CV569" s="53" t="n"/>
      <c r="CW569" s="53" t="n"/>
      <c r="CX569" s="53" t="n"/>
      <c r="CY569" s="53" t="n"/>
      <c r="CZ569" s="53" t="n"/>
      <c r="DA569" s="53" t="n"/>
      <c r="DB569" s="53" t="n"/>
      <c r="DC569" s="53" t="n"/>
      <c r="DD569" s="53" t="n"/>
      <c r="DE569" s="53" t="n"/>
      <c r="DF569" s="53" t="n"/>
      <c r="DG569" s="53" t="n"/>
      <c r="DH569" s="53" t="n"/>
      <c r="DI569" s="53" t="n"/>
      <c r="DJ569" s="53" t="n"/>
      <c r="DK569" s="53" t="n"/>
      <c r="DL569" s="53" t="n"/>
      <c r="DM569" s="53" t="n"/>
      <c r="DN569" s="53" t="n"/>
      <c r="DO569" s="53" t="n"/>
      <c r="DP569" s="53" t="n"/>
      <c r="DQ569" s="53" t="n"/>
      <c r="DR569" s="53" t="n"/>
      <c r="DS569" s="53" t="n"/>
      <c r="DT569" s="53" t="n"/>
      <c r="DU569" s="53" t="n"/>
      <c r="DV569" s="53" t="n"/>
      <c r="DW569" s="53" t="n"/>
      <c r="DX569" s="53" t="n"/>
      <c r="DY569" s="53" t="n"/>
      <c r="DZ569" s="53" t="n"/>
      <c r="EA569" s="53" t="n"/>
      <c r="EB569" s="53" t="n"/>
      <c r="EC569" s="53" t="n"/>
      <c r="ED569" s="53" t="n"/>
      <c r="EE569" s="53" t="n"/>
      <c r="EF569" s="53" t="n"/>
      <c r="EG569" s="53" t="n"/>
      <c r="EH569" s="53" t="n"/>
      <c r="EI569" s="53" t="n"/>
      <c r="EJ569" s="53" t="n"/>
      <c r="EK569" s="53" t="n"/>
      <c r="EL569" s="53" t="n"/>
      <c r="EM569" s="53" t="n"/>
      <c r="EN569" s="53" t="n"/>
      <c r="EO569" s="53" t="n"/>
      <c r="EP569" s="53" t="n"/>
      <c r="EQ569" s="53" t="n"/>
      <c r="ER569" s="53" t="n"/>
      <c r="ES569" s="53" t="n"/>
      <c r="ET569" s="53" t="n"/>
      <c r="EU569" s="53" t="n"/>
      <c r="EV569" s="53" t="n"/>
      <c r="EW569" s="52" t="n"/>
      <c r="EX569" s="53" t="n"/>
      <c r="EY569" s="53" t="n"/>
      <c r="EZ569" s="53" t="n"/>
      <c r="FA569" s="53" t="n"/>
      <c r="FB569" s="53" t="n"/>
      <c r="FC569" s="53" t="n"/>
      <c r="FD569" s="53" t="n"/>
      <c r="FE569" s="55" t="inlineStr">
        <is>
          <t>KRAs not received · manager to supply</t>
        </is>
      </c>
      <c r="FF569" s="56" t="n"/>
      <c r="FG569" s="56" t="n"/>
      <c r="FH569" s="56" t="n"/>
      <c r="FI569" s="56" t="n"/>
      <c r="FJ569" s="32" t="inlineStr">
        <is>
          <t>KRAs not received · manager to supply</t>
        </is>
      </c>
      <c r="FK569" s="56" t="n"/>
      <c r="FL569" s="56" t="n">
        <v>20</v>
      </c>
      <c r="FM569" s="32" t="inlineStr">
        <is>
          <t>Full survey answers not in the files received · How We Grow export needed · HR</t>
        </is>
      </c>
      <c r="FN569" s="56" t="inlineStr">
        <is>
          <t>—</t>
        </is>
      </c>
      <c r="FO569" s="56" t="inlineStr">
        <is>
          <t>—</t>
        </is>
      </c>
      <c r="FP569" s="56" t="inlineStr">
        <is>
          <t>—</t>
        </is>
      </c>
      <c r="FQ569" s="56" t="inlineStr">
        <is>
          <t>—</t>
        </is>
      </c>
      <c r="FR569" s="56"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access and code migration; errors block developers' access → moved down 0.5
Leadership: Evidence reads like A1: No guiding or leading of others described → moved down 0.5
Business Impact: No survey or manager-mapping signal on criticality: kept at the start point.</t>
        </is>
      </c>
      <c r="FS569" s="56" t="inlineStr">
        <is>
          <t>Common themes in sub-family holders, all levels' answers: support · devops activities
Common themes in sub-family holders, all levels' answers: application
If the work is missed · role-holders' themes: level.</t>
        </is>
      </c>
      <c r="FT569" s="56" t="inlineStr">
        <is>
          <t>Self-identified: AI / automation · Technical depth &amp; architecture
For the next role: AI / automation · Technical depth &amp; architecture</t>
        </is>
      </c>
      <c r="FU569" s="32" t="inlineStr">
        <is>
          <t>Full survey answers not in the files received · How We Grow export needed · HR</t>
        </is>
      </c>
    </row>
    <row r="570" ht="90" customHeight="1">
      <c r="A570" s="51" t="inlineStr">
        <is>
          <t>◂ Back</t>
        </is>
      </c>
      <c r="B570" s="29" t="inlineStr">
        <is>
          <t>Mapped</t>
        </is>
      </c>
      <c r="C570" s="28" t="inlineStr">
        <is>
          <t>Corporate</t>
        </is>
      </c>
      <c r="D570" s="29" t="inlineStr">
        <is>
          <t>IRIS2003</t>
        </is>
      </c>
      <c r="E570" s="29" t="inlineStr">
        <is>
          <t>Rajyalakshmi Koyagura</t>
        </is>
      </c>
      <c r="F570" s="29" t="inlineStr">
        <is>
          <t>IT &amp; Infrastructure</t>
        </is>
      </c>
      <c r="G570" s="29" t="inlineStr">
        <is>
          <t>System Administrator</t>
        </is>
      </c>
      <c r="H570" s="29" t="inlineStr">
        <is>
          <t>Senior System Administrator</t>
        </is>
      </c>
      <c r="I570" s="29" t="inlineStr">
        <is>
          <t>Not in current mapping files</t>
        </is>
      </c>
      <c r="J570" s="29" t="inlineStr">
        <is>
          <t>A3</t>
        </is>
      </c>
      <c r="K570" s="29" t="inlineStr">
        <is>
          <t>● Newly mapped</t>
        </is>
      </c>
      <c r="L570" s="29" t="inlineStr">
        <is>
          <t>IT &amp; Infrastructure</t>
        </is>
      </c>
      <c r="M570" s="29" t="inlineStr">
        <is>
          <t>Infrastructure &amp; Cloud Operations</t>
        </is>
      </c>
      <c r="N570" s="29" t="n"/>
      <c r="O570" s="29" t="n">
        <v>19</v>
      </c>
      <c r="P570" s="28" t="inlineStr">
        <is>
          <t>P2</t>
        </is>
      </c>
      <c r="Q570" s="29" t="inlineStr">
        <is>
          <t>Developing</t>
        </is>
      </c>
      <c r="R570" s="29" t="inlineStr">
        <is>
          <t>3 Apply</t>
        </is>
      </c>
      <c r="S570" s="29" t="inlineStr">
        <is>
          <t>2–4 yrs</t>
        </is>
      </c>
      <c r="T570" s="29" t="inlineStr">
        <is>
          <t>3–5 · 2–5</t>
        </is>
      </c>
      <c r="U570" s="29" t="inlineStr">
        <is>
          <t>System Administrator</t>
        </is>
      </c>
      <c r="V570" s="29" t="inlineStr">
        <is>
          <t>Atlassian company-wide P-levels: P40 · IRIS Vs Competitor Benchmark — infrastructure ladder: System Administrator</t>
        </is>
      </c>
      <c r="W570" s="29" t="inlineStr">
        <is>
          <t>ITIL 4; ISO/IEC 27001:2022; SFIA infrastructure</t>
        </is>
      </c>
      <c r="X570" s="29" t="inlineStr">
        <is>
          <t>Core 2 · Future 2 · Functional 3 · Leadership not scored</t>
        </is>
      </c>
      <c r="Y570" s="52" t="n">
        <v>212</v>
      </c>
      <c r="Z570" s="53" t="inlineStr">
        <is>
          <t>IRIS2003</t>
        </is>
      </c>
      <c r="AA570" s="53" t="inlineStr">
        <is>
          <t>Employee</t>
        </is>
      </c>
      <c r="AB570" s="53" t="inlineStr">
        <is>
          <t>Active</t>
        </is>
      </c>
      <c r="AC570" s="53" t="inlineStr">
        <is>
          <t>Rajyalakshmi Koyagura</t>
        </is>
      </c>
      <c r="AD570" s="54" t="n">
        <v>44634</v>
      </c>
      <c r="AE570" s="53" t="inlineStr">
        <is>
          <t>System Administrator</t>
        </is>
      </c>
      <c r="AF570" s="53" t="inlineStr">
        <is>
          <t>B.Tech</t>
        </is>
      </c>
      <c r="AG570" s="53" t="inlineStr">
        <is>
          <t>Mahesh Tilave</t>
        </is>
      </c>
      <c r="AH570" s="53" t="inlineStr">
        <is>
          <t>N-2</t>
        </is>
      </c>
      <c r="AI570" s="53" t="inlineStr">
        <is>
          <t>Individual Contributor</t>
        </is>
      </c>
      <c r="AJ570" s="53" t="inlineStr">
        <is>
          <t>3 years, 6 months, 0 days</t>
        </is>
      </c>
      <c r="AK570" s="53" t="inlineStr">
        <is>
          <t>4 years, 5 months, 11 days</t>
        </is>
      </c>
      <c r="AL570" s="53" t="inlineStr">
        <is>
          <t>Corporate</t>
        </is>
      </c>
      <c r="AM570" s="53" t="inlineStr">
        <is>
          <t>Corporate</t>
        </is>
      </c>
      <c r="AN570" s="53" t="inlineStr">
        <is>
          <t>IT &amp; Infrastructure</t>
        </is>
      </c>
      <c r="AO570" s="53" t="inlineStr">
        <is>
          <t>Infra</t>
        </is>
      </c>
      <c r="AP570" s="53" t="inlineStr">
        <is>
          <t>No</t>
        </is>
      </c>
      <c r="AQ570" s="53" t="inlineStr">
        <is>
          <t>General &amp; Admin</t>
        </is>
      </c>
      <c r="AR570" s="53" t="inlineStr">
        <is>
          <t>Infra</t>
        </is>
      </c>
      <c r="AS570" s="53" t="inlineStr">
        <is>
          <t>Non-technical</t>
        </is>
      </c>
      <c r="AT570" s="53" t="n">
        <v>20</v>
      </c>
      <c r="AU570" s="53" t="inlineStr">
        <is>
          <t>Covered</t>
        </is>
      </c>
      <c r="AV570" s="53" t="n"/>
      <c r="AW570" s="53" t="n"/>
      <c r="AX570" s="53" t="n"/>
      <c r="AY570" s="53" t="n"/>
      <c r="AZ570" s="53" t="n"/>
      <c r="BA570" s="53" t="n"/>
      <c r="BB570" s="53" t="n"/>
      <c r="BC570" s="53" t="n"/>
      <c r="BD570" s="53" t="n"/>
      <c r="BE570" s="53" t="n"/>
      <c r="BF570" s="53" t="n"/>
      <c r="BG570" s="53" t="n"/>
      <c r="BH570" s="53" t="n"/>
      <c r="BI570" s="53" t="n"/>
      <c r="BJ570" s="53" t="n"/>
      <c r="BK570" s="53" t="n"/>
      <c r="BL570" s="53" t="n"/>
      <c r="BM570" s="53" t="n"/>
      <c r="BN570" s="53" t="n"/>
      <c r="BO570" s="53" t="n"/>
      <c r="BP570" s="53" t="n"/>
      <c r="BQ570" s="53" t="n"/>
      <c r="BR570" s="53" t="n"/>
      <c r="BS570" s="53" t="n"/>
      <c r="BT570" s="53" t="n"/>
      <c r="BU570" s="53" t="n"/>
      <c r="BV570" s="53" t="n"/>
      <c r="BW570" s="53" t="n"/>
      <c r="BX570" s="53" t="n"/>
      <c r="BY570" s="53" t="n"/>
      <c r="BZ570" s="53" t="n"/>
      <c r="CA570" s="53" t="n"/>
      <c r="CB570" s="53" t="n"/>
      <c r="CC570" s="53" t="n"/>
      <c r="CD570" s="53" t="n"/>
      <c r="CE570" s="53" t="n"/>
      <c r="CF570" s="53" t="n"/>
      <c r="CG570" s="53" t="n"/>
      <c r="CH570" s="53" t="n"/>
      <c r="CI570" s="53" t="n"/>
      <c r="CJ570" s="53" t="n"/>
      <c r="CK570" s="53" t="n"/>
      <c r="CL570" s="53" t="n"/>
      <c r="CM570" s="53" t="n"/>
      <c r="CN570" s="53" t="n"/>
      <c r="CO570" s="53" t="n"/>
      <c r="CP570" s="53" t="n"/>
      <c r="CQ570" s="53" t="n"/>
      <c r="CR570" s="53" t="n"/>
      <c r="CS570" s="53" t="n"/>
      <c r="CT570" s="53" t="n"/>
      <c r="CU570" s="53" t="n"/>
      <c r="CV570" s="53" t="n"/>
      <c r="CW570" s="53" t="n"/>
      <c r="CX570" s="53" t="n"/>
      <c r="CY570" s="53" t="n"/>
      <c r="CZ570" s="53" t="n"/>
      <c r="DA570" s="53" t="n"/>
      <c r="DB570" s="53" t="n"/>
      <c r="DC570" s="53" t="n"/>
      <c r="DD570" s="53" t="n"/>
      <c r="DE570" s="53" t="n"/>
      <c r="DF570" s="53" t="n"/>
      <c r="DG570" s="53" t="n"/>
      <c r="DH570" s="53" t="n"/>
      <c r="DI570" s="53" t="n"/>
      <c r="DJ570" s="53" t="n"/>
      <c r="DK570" s="53" t="n"/>
      <c r="DL570" s="53" t="n"/>
      <c r="DM570" s="53" t="n"/>
      <c r="DN570" s="53" t="n"/>
      <c r="DO570" s="53" t="n"/>
      <c r="DP570" s="53" t="n"/>
      <c r="DQ570" s="53" t="n"/>
      <c r="DR570" s="53" t="n"/>
      <c r="DS570" s="53" t="n"/>
      <c r="DT570" s="53" t="n"/>
      <c r="DU570" s="53" t="n"/>
      <c r="DV570" s="53" t="n"/>
      <c r="DW570" s="53" t="n"/>
      <c r="DX570" s="53" t="n"/>
      <c r="DY570" s="53" t="n"/>
      <c r="DZ570" s="53" t="n"/>
      <c r="EA570" s="53" t="n"/>
      <c r="EB570" s="53" t="n"/>
      <c r="EC570" s="53" t="n"/>
      <c r="ED570" s="53" t="n"/>
      <c r="EE570" s="53" t="n"/>
      <c r="EF570" s="53" t="n"/>
      <c r="EG570" s="53" t="n"/>
      <c r="EH570" s="53" t="n"/>
      <c r="EI570" s="53" t="n"/>
      <c r="EJ570" s="53" t="n"/>
      <c r="EK570" s="53" t="n"/>
      <c r="EL570" s="53" t="n"/>
      <c r="EM570" s="53" t="n"/>
      <c r="EN570" s="53" t="n"/>
      <c r="EO570" s="53" t="n"/>
      <c r="EP570" s="53" t="n"/>
      <c r="EQ570" s="53" t="n"/>
      <c r="ER570" s="53" t="n"/>
      <c r="ES570" s="53" t="n"/>
      <c r="ET570" s="53" t="n"/>
      <c r="EU570" s="53" t="n"/>
      <c r="EV570" s="53" t="n"/>
      <c r="EW570" s="52" t="n"/>
      <c r="EX570" s="53" t="n"/>
      <c r="EY570" s="53" t="n"/>
      <c r="EZ570" s="53" t="n"/>
      <c r="FA570" s="53" t="n"/>
      <c r="FB570" s="53" t="n"/>
      <c r="FC570" s="53" t="n"/>
      <c r="FD570" s="53" t="n"/>
      <c r="FE570" s="55" t="inlineStr">
        <is>
          <t>KRAs not received · manager to supply</t>
        </is>
      </c>
      <c r="FF570" s="56" t="n"/>
      <c r="FG570" s="56" t="n"/>
      <c r="FH570" s="56" t="n"/>
      <c r="FI570" s="56" t="n"/>
      <c r="FJ570" s="32" t="inlineStr">
        <is>
          <t>KRAs not received · manager to supply</t>
        </is>
      </c>
      <c r="FK570" s="56" t="n"/>
      <c r="FL570" s="56" t="n">
        <v>19</v>
      </c>
      <c r="FM570" s="32" t="inlineStr">
        <is>
          <t>Full survey answers not in the files received · How We Grow export needed · HR</t>
        </is>
      </c>
      <c r="FN570" s="56" t="inlineStr">
        <is>
          <t>—</t>
        </is>
      </c>
      <c r="FO570" s="56" t="inlineStr">
        <is>
          <t>—</t>
        </is>
      </c>
      <c r="FP570" s="56" t="inlineStr">
        <is>
          <t>—</t>
        </is>
      </c>
      <c r="FQ570" s="56" t="inlineStr">
        <is>
          <t>—</t>
        </is>
      </c>
      <c r="FR570" s="56"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availability, backup and recovery, capacity; misconfiguration affects application availability → matches the start
Leadership: Evidence reads like A1: No guiding or leading of others described → moved down 0.5
Business Impact: No survey or manager-mapping signal on criticality: kept at the start point.</t>
        </is>
      </c>
      <c r="FS570"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0" s="56" t="inlineStr">
        <is>
          <t>Self-identified: Technical depth &amp; architecture
For the next role: Technical depth &amp; architecture</t>
        </is>
      </c>
      <c r="FU570" s="32" t="inlineStr">
        <is>
          <t>Full survey answers not in the files received · How We Grow export needed · HR</t>
        </is>
      </c>
    </row>
    <row r="571" ht="90" customHeight="1">
      <c r="A571" s="51" t="inlineStr">
        <is>
          <t>◂ Back</t>
        </is>
      </c>
      <c r="B571" s="29" t="inlineStr">
        <is>
          <t>Mapped</t>
        </is>
      </c>
      <c r="C571" s="28" t="inlineStr">
        <is>
          <t>Corporate</t>
        </is>
      </c>
      <c r="D571" s="29" t="inlineStr">
        <is>
          <t>IRIS1958</t>
        </is>
      </c>
      <c r="E571" s="29" t="inlineStr">
        <is>
          <t>Sandip Mane</t>
        </is>
      </c>
      <c r="F571" s="29" t="inlineStr">
        <is>
          <t>IT &amp; Infrastructure</t>
        </is>
      </c>
      <c r="G571" s="29" t="inlineStr">
        <is>
          <t>System Administrator</t>
        </is>
      </c>
      <c r="H571" s="29" t="inlineStr">
        <is>
          <t>Senior System Administrator</t>
        </is>
      </c>
      <c r="I571" s="29" t="inlineStr">
        <is>
          <t>Not in current mapping files</t>
        </is>
      </c>
      <c r="J571" s="29" t="inlineStr">
        <is>
          <t>A3</t>
        </is>
      </c>
      <c r="K571" s="29" t="inlineStr">
        <is>
          <t>● Newly mapped</t>
        </is>
      </c>
      <c r="L571" s="29" t="inlineStr">
        <is>
          <t>IT &amp; Infrastructure</t>
        </is>
      </c>
      <c r="M571" s="29" t="inlineStr">
        <is>
          <t>Infrastructure &amp; Cloud Operations</t>
        </is>
      </c>
      <c r="N571" s="29" t="n"/>
      <c r="O571" s="29" t="n">
        <v>20</v>
      </c>
      <c r="P571" s="28" t="inlineStr">
        <is>
          <t>P2</t>
        </is>
      </c>
      <c r="Q571" s="29" t="inlineStr">
        <is>
          <t>Developing</t>
        </is>
      </c>
      <c r="R571" s="29" t="inlineStr">
        <is>
          <t>3 Apply</t>
        </is>
      </c>
      <c r="S571" s="29" t="inlineStr">
        <is>
          <t>2–4 yrs</t>
        </is>
      </c>
      <c r="T571" s="29" t="inlineStr">
        <is>
          <t>3–5 · 2–5</t>
        </is>
      </c>
      <c r="U571" s="29" t="inlineStr">
        <is>
          <t>System Administrator</t>
        </is>
      </c>
      <c r="V571" s="29" t="inlineStr">
        <is>
          <t>Atlassian company-wide P-levels: P40 · IRIS Vs Competitor Benchmark — infrastructure ladder: System Administrator</t>
        </is>
      </c>
      <c r="W571" s="29" t="inlineStr">
        <is>
          <t>ITIL 4; ISO/IEC 27001:2022; SFIA infrastructure</t>
        </is>
      </c>
      <c r="X571" s="29" t="inlineStr">
        <is>
          <t>Core 2 · Future 2 · Functional 3 · Leadership not scored</t>
        </is>
      </c>
      <c r="Y571" s="52" t="n">
        <v>200</v>
      </c>
      <c r="Z571" s="53" t="inlineStr">
        <is>
          <t>IRIS1958</t>
        </is>
      </c>
      <c r="AA571" s="53" t="inlineStr">
        <is>
          <t>Employee</t>
        </is>
      </c>
      <c r="AB571" s="53" t="inlineStr">
        <is>
          <t>Active</t>
        </is>
      </c>
      <c r="AC571" s="53" t="inlineStr">
        <is>
          <t>Sandip Mane</t>
        </is>
      </c>
      <c r="AD571" s="54" t="n">
        <v>44473</v>
      </c>
      <c r="AE571" s="53" t="inlineStr">
        <is>
          <t>System Administrator</t>
        </is>
      </c>
      <c r="AF571" s="53" t="inlineStr">
        <is>
          <t>B.SC</t>
        </is>
      </c>
      <c r="AG571" s="53" t="inlineStr">
        <is>
          <t>Mahesh Tilave</t>
        </is>
      </c>
      <c r="AH571" s="53" t="inlineStr">
        <is>
          <t>N-2</t>
        </is>
      </c>
      <c r="AI571" s="53" t="inlineStr">
        <is>
          <t>Individual Contributor</t>
        </is>
      </c>
      <c r="AJ571" s="53" t="inlineStr">
        <is>
          <t>5 years, 7 months, 0 days</t>
        </is>
      </c>
      <c r="AK571" s="53" t="inlineStr">
        <is>
          <t>4 years, 10 months, 21 days</t>
        </is>
      </c>
      <c r="AL571" s="53" t="inlineStr">
        <is>
          <t>Corporate</t>
        </is>
      </c>
      <c r="AM571" s="53" t="inlineStr">
        <is>
          <t>Corporate</t>
        </is>
      </c>
      <c r="AN571" s="53" t="inlineStr">
        <is>
          <t>IT &amp; Infrastructure</t>
        </is>
      </c>
      <c r="AO571" s="53" t="inlineStr">
        <is>
          <t>Infra</t>
        </is>
      </c>
      <c r="AP571" s="53" t="inlineStr">
        <is>
          <t>No</t>
        </is>
      </c>
      <c r="AQ571" s="53" t="inlineStr">
        <is>
          <t>General &amp; Admin</t>
        </is>
      </c>
      <c r="AR571" s="53" t="inlineStr">
        <is>
          <t>Infra</t>
        </is>
      </c>
      <c r="AS571" s="53" t="inlineStr">
        <is>
          <t>Non-technical</t>
        </is>
      </c>
      <c r="AT571" s="53" t="n">
        <v>20</v>
      </c>
      <c r="AU571" s="53" t="inlineStr">
        <is>
          <t>Covered</t>
        </is>
      </c>
      <c r="AV571" s="53" t="n"/>
      <c r="AW571" s="53" t="n"/>
      <c r="AX571" s="53" t="n"/>
      <c r="AY571" s="53" t="n"/>
      <c r="AZ571" s="53" t="n"/>
      <c r="BA571" s="53" t="n"/>
      <c r="BB571" s="53" t="n"/>
      <c r="BC571" s="53" t="n"/>
      <c r="BD571" s="53" t="n"/>
      <c r="BE571" s="53" t="n"/>
      <c r="BF571" s="53" t="n"/>
      <c r="BG571" s="53" t="n"/>
      <c r="BH571" s="53" t="n"/>
      <c r="BI571" s="53" t="n"/>
      <c r="BJ571" s="53" t="n"/>
      <c r="BK571" s="53" t="n"/>
      <c r="BL571" s="53" t="n"/>
      <c r="BM571" s="53" t="n"/>
      <c r="BN571" s="53" t="n"/>
      <c r="BO571" s="53" t="n"/>
      <c r="BP571" s="53" t="n"/>
      <c r="BQ571" s="53" t="n"/>
      <c r="BR571" s="53" t="n"/>
      <c r="BS571" s="53" t="n"/>
      <c r="BT571" s="53" t="n"/>
      <c r="BU571" s="53" t="n"/>
      <c r="BV571" s="53" t="n"/>
      <c r="BW571" s="53" t="n"/>
      <c r="BX571" s="53" t="n"/>
      <c r="BY571" s="53" t="n"/>
      <c r="BZ571" s="53" t="n"/>
      <c r="CA571" s="53" t="n"/>
      <c r="CB571" s="53" t="n"/>
      <c r="CC571" s="53" t="n"/>
      <c r="CD571" s="53" t="n"/>
      <c r="CE571" s="53" t="n"/>
      <c r="CF571" s="53" t="n"/>
      <c r="CG571" s="53" t="n"/>
      <c r="CH571" s="53" t="n"/>
      <c r="CI571" s="53" t="n"/>
      <c r="CJ571" s="53" t="n"/>
      <c r="CK571" s="53" t="n"/>
      <c r="CL571" s="53" t="n"/>
      <c r="CM571" s="53" t="n"/>
      <c r="CN571" s="53" t="n"/>
      <c r="CO571" s="53" t="n"/>
      <c r="CP571" s="53" t="n"/>
      <c r="CQ571" s="53" t="n"/>
      <c r="CR571" s="53" t="n"/>
      <c r="CS571" s="53" t="n"/>
      <c r="CT571" s="53" t="n"/>
      <c r="CU571" s="53" t="n"/>
      <c r="CV571" s="53" t="n"/>
      <c r="CW571" s="53" t="n"/>
      <c r="CX571" s="53" t="n"/>
      <c r="CY571" s="53" t="n"/>
      <c r="CZ571" s="53" t="n"/>
      <c r="DA571" s="53" t="n"/>
      <c r="DB571" s="53" t="n"/>
      <c r="DC571" s="53" t="n"/>
      <c r="DD571" s="53" t="n"/>
      <c r="DE571" s="53" t="n"/>
      <c r="DF571" s="53" t="n"/>
      <c r="DG571" s="53" t="n"/>
      <c r="DH571" s="53" t="n"/>
      <c r="DI571" s="53" t="n"/>
      <c r="DJ571" s="53" t="n"/>
      <c r="DK571" s="53" t="n"/>
      <c r="DL571" s="53" t="n"/>
      <c r="DM571" s="53" t="n"/>
      <c r="DN571" s="53" t="n"/>
      <c r="DO571" s="53" t="n"/>
      <c r="DP571" s="53" t="n"/>
      <c r="DQ571" s="53" t="n"/>
      <c r="DR571" s="53" t="n"/>
      <c r="DS571" s="53" t="n"/>
      <c r="DT571" s="53" t="n"/>
      <c r="DU571" s="53" t="n"/>
      <c r="DV571" s="53" t="n"/>
      <c r="DW571" s="53" t="n"/>
      <c r="DX571" s="53" t="n"/>
      <c r="DY571" s="53" t="n"/>
      <c r="DZ571" s="53" t="n"/>
      <c r="EA571" s="53" t="n"/>
      <c r="EB571" s="53" t="n"/>
      <c r="EC571" s="53" t="n"/>
      <c r="ED571" s="53" t="n"/>
      <c r="EE571" s="53" t="n"/>
      <c r="EF571" s="53" t="n"/>
      <c r="EG571" s="53" t="n"/>
      <c r="EH571" s="53" t="n"/>
      <c r="EI571" s="53" t="n"/>
      <c r="EJ571" s="53" t="n"/>
      <c r="EK571" s="53" t="n"/>
      <c r="EL571" s="53" t="n"/>
      <c r="EM571" s="53" t="n"/>
      <c r="EN571" s="53" t="n"/>
      <c r="EO571" s="53" t="n"/>
      <c r="EP571" s="53" t="n"/>
      <c r="EQ571" s="53" t="n"/>
      <c r="ER571" s="53" t="n"/>
      <c r="ES571" s="53" t="n"/>
      <c r="ET571" s="53" t="n"/>
      <c r="EU571" s="53" t="n"/>
      <c r="EV571" s="53" t="n"/>
      <c r="EW571" s="52" t="n"/>
      <c r="EX571" s="53" t="n"/>
      <c r="EY571" s="53" t="n"/>
      <c r="EZ571" s="53" t="n"/>
      <c r="FA571" s="53" t="n"/>
      <c r="FB571" s="53" t="n"/>
      <c r="FC571" s="53" t="n"/>
      <c r="FD571" s="53" t="n"/>
      <c r="FE571" s="55" t="inlineStr">
        <is>
          <t>KRAs not received · manager to supply</t>
        </is>
      </c>
      <c r="FF571" s="56" t="n"/>
      <c r="FG571" s="56" t="n"/>
      <c r="FH571" s="56" t="n"/>
      <c r="FI571" s="56" t="n"/>
      <c r="FJ571" s="32" t="inlineStr">
        <is>
          <t>KRAs not received · manager to supply</t>
        </is>
      </c>
      <c r="FK571" s="56" t="n"/>
      <c r="FL571" s="56" t="n">
        <v>20</v>
      </c>
      <c r="FM571" s="32" t="inlineStr">
        <is>
          <t>Full survey answers not in the files received · How We Grow export needed · HR</t>
        </is>
      </c>
      <c r="FN571" s="56" t="inlineStr">
        <is>
          <t>—</t>
        </is>
      </c>
      <c r="FO571" s="56" t="inlineStr">
        <is>
          <t>—</t>
        </is>
      </c>
      <c r="FP571" s="56" t="inlineStr">
        <is>
          <t>—</t>
        </is>
      </c>
      <c r="FQ571" s="56" t="inlineStr">
        <is>
          <t>—</t>
        </is>
      </c>
      <c r="FR571" s="56"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FS571"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1" s="56" t="inlineStr">
        <is>
          <t>Self-identified: Technical depth &amp; architecture
For the next role: Technical depth &amp; architecture</t>
        </is>
      </c>
      <c r="FU571" s="32" t="inlineStr">
        <is>
          <t>Full survey answers not in the files received · How We Grow export needed · HR</t>
        </is>
      </c>
    </row>
    <row r="572" ht="90" customHeight="1">
      <c r="A572" s="51" t="inlineStr">
        <is>
          <t>◂ Back</t>
        </is>
      </c>
      <c r="B572" s="29" t="inlineStr">
        <is>
          <t>Mapped</t>
        </is>
      </c>
      <c r="C572" s="28" t="inlineStr">
        <is>
          <t>Corporate</t>
        </is>
      </c>
      <c r="D572" s="29" t="inlineStr">
        <is>
          <t>IRIS1581</t>
        </is>
      </c>
      <c r="E572" s="29" t="inlineStr">
        <is>
          <t>Vishal Vare</t>
        </is>
      </c>
      <c r="F572" s="29" t="inlineStr">
        <is>
          <t>IT &amp; Infrastructure</t>
        </is>
      </c>
      <c r="G572" s="29" t="inlineStr">
        <is>
          <t>Senior System Administrator</t>
        </is>
      </c>
      <c r="H572" s="29" t="inlineStr">
        <is>
          <t>Senior System Administrator</t>
        </is>
      </c>
      <c r="I572" s="29" t="inlineStr">
        <is>
          <t>Not in current mapping files</t>
        </is>
      </c>
      <c r="J572" s="29" t="inlineStr">
        <is>
          <t>A3</t>
        </is>
      </c>
      <c r="K572" s="29" t="inlineStr">
        <is>
          <t>● Newly mapped</t>
        </is>
      </c>
      <c r="L572" s="29" t="inlineStr">
        <is>
          <t>IT &amp; Infrastructure</t>
        </is>
      </c>
      <c r="M572" s="29" t="inlineStr">
        <is>
          <t>Infrastructure &amp; Cloud Operations</t>
        </is>
      </c>
      <c r="N572" s="29" t="inlineStr">
        <is>
          <t>• Correct the experience record — HR</t>
        </is>
      </c>
      <c r="O572" s="29" t="n">
        <v>20</v>
      </c>
      <c r="P572" s="28" t="inlineStr">
        <is>
          <t>P2</t>
        </is>
      </c>
      <c r="Q572" s="29" t="inlineStr">
        <is>
          <t>Developing</t>
        </is>
      </c>
      <c r="R572" s="29" t="inlineStr">
        <is>
          <t>3 Apply</t>
        </is>
      </c>
      <c r="S572" s="29" t="inlineStr">
        <is>
          <t>2–4 yrs</t>
        </is>
      </c>
      <c r="T572" s="29" t="inlineStr">
        <is>
          <t>3–5 · 2–5</t>
        </is>
      </c>
      <c r="U572" s="29" t="inlineStr">
        <is>
          <t>System Administrator</t>
        </is>
      </c>
      <c r="V572" s="29" t="inlineStr">
        <is>
          <t>Atlassian company-wide P-levels: P40 · IRIS Vs Competitor Benchmark — infrastructure ladder: System Administrator</t>
        </is>
      </c>
      <c r="W572" s="29" t="inlineStr">
        <is>
          <t>ITIL 4; ISO/IEC 27001:2022; SFIA infrastructure</t>
        </is>
      </c>
      <c r="X572" s="29" t="inlineStr">
        <is>
          <t>Core 2 · Future 2 · Functional 3 · Leadership not scored</t>
        </is>
      </c>
      <c r="Y572" s="52" t="n">
        <v>128</v>
      </c>
      <c r="Z572" s="53" t="inlineStr">
        <is>
          <t>IRIS1581</t>
        </is>
      </c>
      <c r="AA572" s="53" t="inlineStr">
        <is>
          <t>Employee</t>
        </is>
      </c>
      <c r="AB572" s="53" t="inlineStr">
        <is>
          <t>Active</t>
        </is>
      </c>
      <c r="AC572" s="53" t="inlineStr">
        <is>
          <t>Vishal Vare</t>
        </is>
      </c>
      <c r="AD572" s="54" t="n">
        <v>42517</v>
      </c>
      <c r="AE572" s="53" t="inlineStr">
        <is>
          <t>Senior System Administrator</t>
        </is>
      </c>
      <c r="AF572" s="53" t="inlineStr">
        <is>
          <t>B.SC</t>
        </is>
      </c>
      <c r="AG572" s="53" t="inlineStr">
        <is>
          <t>Mahesh Tilave</t>
        </is>
      </c>
      <c r="AH572" s="53" t="inlineStr">
        <is>
          <t>N-2</t>
        </is>
      </c>
      <c r="AI572" s="53" t="inlineStr">
        <is>
          <t>Individual Contributor</t>
        </is>
      </c>
      <c r="AJ572" s="53" t="inlineStr">
        <is>
          <t>0 years, 0 months, 0 days</t>
        </is>
      </c>
      <c r="AK572" s="53" t="inlineStr">
        <is>
          <t>10 years, 2 months, 29 days</t>
        </is>
      </c>
      <c r="AL572" s="53" t="inlineStr">
        <is>
          <t>Corporate</t>
        </is>
      </c>
      <c r="AM572" s="53" t="inlineStr">
        <is>
          <t>Corporate</t>
        </is>
      </c>
      <c r="AN572" s="53" t="inlineStr">
        <is>
          <t>IT &amp; Infrastructure</t>
        </is>
      </c>
      <c r="AO572" s="53" t="inlineStr">
        <is>
          <t>Infra</t>
        </is>
      </c>
      <c r="AP572" s="53" t="inlineStr">
        <is>
          <t>No</t>
        </is>
      </c>
      <c r="AQ572" s="53" t="inlineStr">
        <is>
          <t>General &amp; Admin</t>
        </is>
      </c>
      <c r="AR572" s="53" t="inlineStr">
        <is>
          <t>Infra</t>
        </is>
      </c>
      <c r="AS572" s="53" t="inlineStr">
        <is>
          <t>Non-technical</t>
        </is>
      </c>
      <c r="AT572" s="53" t="n">
        <v>20</v>
      </c>
      <c r="AU572" s="53" t="inlineStr">
        <is>
          <t>Covered</t>
        </is>
      </c>
      <c r="AV572" s="53" t="n"/>
      <c r="AW572" s="53" t="n"/>
      <c r="AX572" s="53" t="n"/>
      <c r="AY572" s="53" t="n"/>
      <c r="AZ572" s="53" t="n"/>
      <c r="BA572" s="53" t="n"/>
      <c r="BB572" s="53" t="n"/>
      <c r="BC572" s="53" t="n"/>
      <c r="BD572" s="53" t="n"/>
      <c r="BE572" s="53" t="n"/>
      <c r="BF572" s="53" t="n"/>
      <c r="BG572" s="53" t="n"/>
      <c r="BH572" s="53" t="n"/>
      <c r="BI572" s="53" t="n"/>
      <c r="BJ572" s="53" t="n"/>
      <c r="BK572" s="53" t="n"/>
      <c r="BL572" s="53" t="n"/>
      <c r="BM572" s="53" t="n"/>
      <c r="BN572" s="53" t="n"/>
      <c r="BO572" s="53" t="n"/>
      <c r="BP572" s="53" t="n"/>
      <c r="BQ572" s="53" t="n"/>
      <c r="BR572" s="53" t="n"/>
      <c r="BS572" s="53" t="n"/>
      <c r="BT572" s="53" t="n"/>
      <c r="BU572" s="53" t="n"/>
      <c r="BV572" s="53" t="n"/>
      <c r="BW572" s="53" t="n"/>
      <c r="BX572" s="53" t="n"/>
      <c r="BY572" s="53" t="n"/>
      <c r="BZ572" s="53" t="n"/>
      <c r="CA572" s="53" t="n"/>
      <c r="CB572" s="53" t="n"/>
      <c r="CC572" s="53" t="n"/>
      <c r="CD572" s="53" t="n"/>
      <c r="CE572" s="53" t="n"/>
      <c r="CF572" s="53" t="n"/>
      <c r="CG572" s="53" t="n"/>
      <c r="CH572" s="53" t="n"/>
      <c r="CI572" s="53" t="n"/>
      <c r="CJ572" s="53" t="n"/>
      <c r="CK572" s="53" t="n"/>
      <c r="CL572" s="53" t="n"/>
      <c r="CM572" s="53" t="n"/>
      <c r="CN572" s="53" t="n"/>
      <c r="CO572" s="53" t="n"/>
      <c r="CP572" s="53" t="n"/>
      <c r="CQ572" s="53" t="n"/>
      <c r="CR572" s="53" t="n"/>
      <c r="CS572" s="53" t="n"/>
      <c r="CT572" s="53" t="n"/>
      <c r="CU572" s="53" t="n"/>
      <c r="CV572" s="53" t="n"/>
      <c r="CW572" s="53" t="n"/>
      <c r="CX572" s="53" t="n"/>
      <c r="CY572" s="53" t="n"/>
      <c r="CZ572" s="53" t="n"/>
      <c r="DA572" s="53" t="n"/>
      <c r="DB572" s="53" t="n"/>
      <c r="DC572" s="53" t="n"/>
      <c r="DD572" s="53" t="n"/>
      <c r="DE572" s="53" t="n"/>
      <c r="DF572" s="53" t="n"/>
      <c r="DG572" s="53" t="n"/>
      <c r="DH572" s="53" t="n"/>
      <c r="DI572" s="53" t="n"/>
      <c r="DJ572" s="53" t="n"/>
      <c r="DK572" s="53" t="n"/>
      <c r="DL572" s="53" t="n"/>
      <c r="DM572" s="53" t="n"/>
      <c r="DN572" s="53" t="n"/>
      <c r="DO572" s="53" t="n"/>
      <c r="DP572" s="53" t="n"/>
      <c r="DQ572" s="53" t="n"/>
      <c r="DR572" s="53" t="n"/>
      <c r="DS572" s="53" t="n"/>
      <c r="DT572" s="53" t="n"/>
      <c r="DU572" s="53" t="n"/>
      <c r="DV572" s="53" t="n"/>
      <c r="DW572" s="53" t="n"/>
      <c r="DX572" s="53" t="n"/>
      <c r="DY572" s="53" t="n"/>
      <c r="DZ572" s="53" t="n"/>
      <c r="EA572" s="53" t="n"/>
      <c r="EB572" s="53" t="n"/>
      <c r="EC572" s="53" t="n"/>
      <c r="ED572" s="53" t="n"/>
      <c r="EE572" s="53" t="n"/>
      <c r="EF572" s="53" t="n"/>
      <c r="EG572" s="53" t="n"/>
      <c r="EH572" s="53" t="n"/>
      <c r="EI572" s="53" t="n"/>
      <c r="EJ572" s="53" t="n"/>
      <c r="EK572" s="53" t="n"/>
      <c r="EL572" s="53" t="n"/>
      <c r="EM572" s="53" t="n"/>
      <c r="EN572" s="53" t="n"/>
      <c r="EO572" s="53" t="n"/>
      <c r="EP572" s="53" t="n"/>
      <c r="EQ572" s="53" t="n"/>
      <c r="ER572" s="53" t="n"/>
      <c r="ES572" s="53" t="n"/>
      <c r="ET572" s="53" t="n"/>
      <c r="EU572" s="53" t="n"/>
      <c r="EV572" s="53" t="n"/>
      <c r="EW572" s="52" t="n"/>
      <c r="EX572" s="53" t="n"/>
      <c r="EY572" s="53" t="n"/>
      <c r="EZ572" s="53" t="n"/>
      <c r="FA572" s="53" t="n"/>
      <c r="FB572" s="53" t="n"/>
      <c r="FC572" s="53" t="n"/>
      <c r="FD572" s="53" t="n"/>
      <c r="FE572" s="55" t="inlineStr">
        <is>
          <t>KRAs not received · manager to supply</t>
        </is>
      </c>
      <c r="FF572" s="56" t="n"/>
      <c r="FG572" s="56" t="n"/>
      <c r="FH572" s="56" t="n"/>
      <c r="FI572" s="56" t="n"/>
      <c r="FJ572" s="32" t="inlineStr">
        <is>
          <t>KRAs not received · manager to supply</t>
        </is>
      </c>
      <c r="FK572" s="56" t="n"/>
      <c r="FL572" s="56" t="n">
        <v>20</v>
      </c>
      <c r="FM572" s="32" t="inlineStr">
        <is>
          <t>Full survey answers not in the files received · How We Grow export needed · HR</t>
        </is>
      </c>
      <c r="FN572" s="56" t="inlineStr">
        <is>
          <t>—</t>
        </is>
      </c>
      <c r="FO572" s="56" t="inlineStr">
        <is>
          <t>—</t>
        </is>
      </c>
      <c r="FP572" s="56" t="inlineStr">
        <is>
          <t>—</t>
        </is>
      </c>
      <c r="FQ572" s="56" t="inlineStr">
        <is>
          <t>—</t>
        </is>
      </c>
      <c r="FR572" s="56"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FS572"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2" s="56" t="inlineStr">
        <is>
          <t>Self-identified: Technical depth &amp; architecture · Domain, regulatory &amp; XBRL
For the next role: Technical depth &amp; architecture · Domain, regulatory &amp; XBRL</t>
        </is>
      </c>
      <c r="FU572" s="32" t="inlineStr">
        <is>
          <t>Full survey answers not in the files received · How We Grow export needed · HR</t>
        </is>
      </c>
    </row>
    <row r="573" ht="90" customHeight="1">
      <c r="A573" s="51" t="inlineStr">
        <is>
          <t>◂ Back</t>
        </is>
      </c>
      <c r="B573" s="29" t="inlineStr">
        <is>
          <t>Mapped</t>
        </is>
      </c>
      <c r="C573" s="28" t="inlineStr">
        <is>
          <t>iFile</t>
        </is>
      </c>
      <c r="D573" s="29" t="inlineStr">
        <is>
          <t>No Emp ID · in-house consultant</t>
        </is>
      </c>
      <c r="E573" s="29" t="inlineStr">
        <is>
          <t>Aloke Chatterjee</t>
        </is>
      </c>
      <c r="F573" s="29" t="inlineStr">
        <is>
          <t>Technology</t>
        </is>
      </c>
      <c r="G573" s="29" t="inlineStr">
        <is>
          <t>Consultant</t>
        </is>
      </c>
      <c r="H573" s="29" t="inlineStr">
        <is>
          <t>Associate Consultant – Software Development</t>
        </is>
      </c>
      <c r="I573" s="29" t="inlineStr">
        <is>
          <t>—</t>
        </is>
      </c>
      <c r="J573" s="29" t="inlineStr">
        <is>
          <t>X1</t>
        </is>
      </c>
      <c r="K573" s="29" t="inlineStr">
        <is>
          <t>• Same level</t>
        </is>
      </c>
      <c r="L573" s="29" t="inlineStr">
        <is>
          <t>Engineering &amp; Development</t>
        </is>
      </c>
      <c r="M573" s="29" t="inlineStr">
        <is>
          <t>Backend Development</t>
        </is>
      </c>
      <c r="N573" s="29" t="n"/>
      <c r="O573" s="29" t="n">
        <v>0</v>
      </c>
      <c r="P573" s="28" t="inlineStr">
        <is>
          <t>Contractor</t>
        </is>
      </c>
      <c r="Q573" s="29" t="inlineStr">
        <is>
          <t>—</t>
        </is>
      </c>
      <c r="R573" s="29" t="inlineStr">
        <is>
          <t>—</t>
        </is>
      </c>
      <c r="S573" s="29" t="inlineStr">
        <is>
          <t>0–5 yrs</t>
        </is>
      </c>
      <c r="T573" s="29" t="inlineStr">
        <is>
          <t>—</t>
        </is>
      </c>
      <c r="U573" s="29" t="inlineStr">
        <is>
          <t>Contractor · rate card</t>
        </is>
      </c>
      <c r="V573" s="29" t="inlineStr">
        <is>
          <t>—</t>
        </is>
      </c>
      <c r="W573" s="29" t="inlineStr">
        <is>
          <t>SFIA 9 · software development, programming; OWASP secure coding; cloud vendor certifications</t>
        </is>
      </c>
      <c r="X573" s="29" t="inlineStr">
        <is>
          <t>Per statement of work</t>
        </is>
      </c>
      <c r="Y573" s="52" t="n">
        <v>574</v>
      </c>
      <c r="Z573" s="53" t="n"/>
      <c r="AA573" s="53" t="inlineStr">
        <is>
          <t>In-House Consultant</t>
        </is>
      </c>
      <c r="AB573" s="53" t="inlineStr">
        <is>
          <t>Active</t>
        </is>
      </c>
      <c r="AC573" s="53" t="inlineStr">
        <is>
          <t>Aloke Chatterjee</t>
        </is>
      </c>
      <c r="AD573" s="54" t="n">
        <v>46023</v>
      </c>
      <c r="AE573" s="53" t="inlineStr">
        <is>
          <t>Consultant</t>
        </is>
      </c>
      <c r="AF573" s="53" t="n"/>
      <c r="AG573" s="53" t="n"/>
      <c r="AH573" s="53" t="n"/>
      <c r="AI573" s="53" t="inlineStr">
        <is>
          <t>Individual Contributor</t>
        </is>
      </c>
      <c r="AJ573" s="53" t="n"/>
      <c r="AK573" s="53" t="n"/>
      <c r="AL573" s="53" t="n"/>
      <c r="AM573" s="53" t="inlineStr">
        <is>
          <t>iFile</t>
        </is>
      </c>
      <c r="AN573" s="53" t="inlineStr">
        <is>
          <t>Technology</t>
        </is>
      </c>
      <c r="AO573" s="53" t="inlineStr">
        <is>
          <t>Development</t>
        </is>
      </c>
      <c r="AP573" s="53" t="inlineStr">
        <is>
          <t>Yes</t>
        </is>
      </c>
      <c r="AQ573" s="53" t="inlineStr">
        <is>
          <t>Product/Project</t>
        </is>
      </c>
      <c r="AR573" s="53" t="n"/>
      <c r="AS573" s="53" t="inlineStr">
        <is>
          <t>Technical - Developer</t>
        </is>
      </c>
      <c r="AT573" s="53" t="n">
        <v>0</v>
      </c>
      <c r="AU573" s="53" t="inlineStr">
        <is>
          <t>E-External Consultant</t>
        </is>
      </c>
      <c r="AV573" s="53" t="n"/>
      <c r="AW573" s="53" t="n"/>
      <c r="AX573" s="53" t="n"/>
      <c r="AY573" s="53" t="n"/>
      <c r="AZ573" s="53" t="n"/>
      <c r="BA573" s="53" t="n"/>
      <c r="BB573" s="53" t="n"/>
      <c r="BC573" s="53" t="n"/>
      <c r="BD573" s="53" t="n"/>
      <c r="BE573" s="53" t="n"/>
      <c r="BF573" s="53" t="n"/>
      <c r="BG573" s="53" t="n"/>
      <c r="BH573" s="53" t="n"/>
      <c r="BI573" s="53" t="n"/>
      <c r="BJ573" s="53" t="n"/>
      <c r="BK573" s="53" t="n"/>
      <c r="BL573" s="53" t="n"/>
      <c r="BM573" s="53" t="n"/>
      <c r="BN573" s="53" t="n"/>
      <c r="BO573" s="53" t="n"/>
      <c r="BP573" s="53" t="n"/>
      <c r="BQ573" s="53" t="n"/>
      <c r="BR573" s="53" t="n"/>
      <c r="BS573" s="53" t="n"/>
      <c r="BT573" s="53" t="n"/>
      <c r="BU573" s="53" t="n"/>
      <c r="BV573" s="53" t="n"/>
      <c r="BW573" s="53" t="n"/>
      <c r="BX573" s="53" t="n"/>
      <c r="BY573" s="53" t="n"/>
      <c r="BZ573" s="53" t="n"/>
      <c r="CA573" s="53" t="n"/>
      <c r="CB573" s="53" t="n"/>
      <c r="CC573" s="53" t="n"/>
      <c r="CD573" s="53" t="n"/>
      <c r="CE573" s="53" t="n"/>
      <c r="CF573" s="53" t="n"/>
      <c r="CG573" s="53" t="n"/>
      <c r="CH573" s="53" t="n"/>
      <c r="CI573" s="53" t="n"/>
      <c r="CJ573" s="53" t="n"/>
      <c r="CK573" s="53" t="n"/>
      <c r="CL573" s="53" t="n"/>
      <c r="CM573" s="53" t="n"/>
      <c r="CN573" s="53" t="n"/>
      <c r="CO573" s="53" t="n"/>
      <c r="CP573" s="53" t="n"/>
      <c r="CQ573" s="53" t="n"/>
      <c r="CR573" s="53" t="n"/>
      <c r="CS573" s="53" t="n"/>
      <c r="CT573" s="53" t="n"/>
      <c r="CU573" s="53" t="n"/>
      <c r="CV573" s="53" t="n"/>
      <c r="CW573" s="53" t="n"/>
      <c r="CX573" s="53" t="n"/>
      <c r="CY573" s="53" t="n"/>
      <c r="CZ573" s="53" t="n"/>
      <c r="DA573" s="53" t="n"/>
      <c r="DB573" s="53" t="n"/>
      <c r="DC573" s="53" t="n"/>
      <c r="DD573" s="53" t="n"/>
      <c r="DE573" s="53" t="n"/>
      <c r="DF573" s="53" t="n"/>
      <c r="DG573" s="53" t="n"/>
      <c r="DH573" s="53" t="n"/>
      <c r="DI573" s="53" t="n"/>
      <c r="DJ573" s="53" t="n"/>
      <c r="DK573" s="53" t="n"/>
      <c r="DL573" s="53" t="n"/>
      <c r="DM573" s="53" t="n"/>
      <c r="DN573" s="53" t="n"/>
      <c r="DO573" s="53" t="n"/>
      <c r="DP573" s="53" t="n"/>
      <c r="DQ573" s="53" t="n"/>
      <c r="DR573" s="53" t="n"/>
      <c r="DS573" s="53" t="n"/>
      <c r="DT573" s="53" t="n"/>
      <c r="DU573" s="53" t="n"/>
      <c r="DV573" s="53" t="n"/>
      <c r="DW573" s="53" t="n"/>
      <c r="DX573" s="53" t="n"/>
      <c r="DY573" s="53" t="n"/>
      <c r="DZ573" s="53" t="n"/>
      <c r="EA573" s="53" t="n"/>
      <c r="EB573" s="53" t="n"/>
      <c r="EC573" s="53" t="n"/>
      <c r="ED573" s="53" t="n"/>
      <c r="EE573" s="53" t="n"/>
      <c r="EF573" s="53" t="n"/>
      <c r="EG573" s="53" t="n"/>
      <c r="EH573" s="53" t="n"/>
      <c r="EI573" s="53" t="n"/>
      <c r="EJ573" s="53" t="n"/>
      <c r="EK573" s="53" t="n"/>
      <c r="EL573" s="53" t="n"/>
      <c r="EM573" s="53" t="n"/>
      <c r="EN573" s="53" t="n"/>
      <c r="EO573" s="53" t="n"/>
      <c r="EP573" s="53" t="n"/>
      <c r="EQ573" s="53" t="n"/>
      <c r="ER573" s="53" t="n"/>
      <c r="ES573" s="53" t="n"/>
      <c r="ET573" s="53" t="n"/>
      <c r="EU573" s="53" t="n"/>
      <c r="EV573" s="53" t="n"/>
      <c r="EW573" s="52" t="n"/>
      <c r="EX573" s="53" t="n"/>
      <c r="EY573" s="53" t="n"/>
      <c r="EZ573" s="53" t="n"/>
      <c r="FA573" s="53" t="n"/>
      <c r="FB573" s="53" t="n"/>
      <c r="FC573" s="53" t="n"/>
      <c r="FD573" s="53" t="n"/>
      <c r="FE573" s="55" t="inlineStr">
        <is>
          <t>KRAs not received · manager to supply</t>
        </is>
      </c>
      <c r="FF573" s="56" t="n"/>
      <c r="FG573" s="56" t="n"/>
      <c r="FH573" s="56" t="n"/>
      <c r="FI573" s="56" t="n"/>
      <c r="FJ573" s="32" t="inlineStr">
        <is>
          <t>KRAs not received · manager to supply</t>
        </is>
      </c>
      <c r="FK573" s="56" t="n"/>
      <c r="FL573" s="56" t="n">
        <v>0</v>
      </c>
      <c r="FM573" s="32" t="inlineStr">
        <is>
          <t>No survey response on file</t>
        </is>
      </c>
      <c r="FN573" s="56" t="inlineStr">
        <is>
          <t>—</t>
        </is>
      </c>
      <c r="FO573" s="56" t="inlineStr">
        <is>
          <t>—</t>
        </is>
      </c>
      <c r="FP573" s="56" t="inlineStr">
        <is>
          <t>—</t>
        </is>
      </c>
      <c r="FQ573" s="56" t="inlineStr">
        <is>
          <t>—</t>
        </is>
      </c>
      <c r="FR573" s="56" t="n"/>
      <c r="FS573"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3" s="56" t="n"/>
      <c r="FU573" s="32" t="inlineStr">
        <is>
          <t>No survey response on file</t>
        </is>
      </c>
    </row>
    <row r="574" ht="90" customHeight="1">
      <c r="A574" s="51" t="inlineStr">
        <is>
          <t>◂ Back</t>
        </is>
      </c>
      <c r="B574" s="29" t="inlineStr">
        <is>
          <t>Mapped</t>
        </is>
      </c>
      <c r="C574" s="28" t="inlineStr">
        <is>
          <t>Datatech</t>
        </is>
      </c>
      <c r="D574" s="29" t="inlineStr">
        <is>
          <t>No Emp ID · external consultant</t>
        </is>
      </c>
      <c r="E574" s="29" t="inlineStr">
        <is>
          <t>Arindam Bose</t>
        </is>
      </c>
      <c r="F574" s="29" t="inlineStr">
        <is>
          <t>Not provided · HRIS</t>
        </is>
      </c>
      <c r="G574" s="29" t="inlineStr">
        <is>
          <t>Consultant</t>
        </is>
      </c>
      <c r="H574" s="29" t="inlineStr">
        <is>
          <t>Associate Consultant – Software Development</t>
        </is>
      </c>
      <c r="I574" s="29" t="inlineStr">
        <is>
          <t>—</t>
        </is>
      </c>
      <c r="J574" s="29" t="inlineStr">
        <is>
          <t>X1</t>
        </is>
      </c>
      <c r="K574" s="29" t="inlineStr">
        <is>
          <t>• Same level</t>
        </is>
      </c>
      <c r="L574" s="29" t="inlineStr">
        <is>
          <t>Unassigned</t>
        </is>
      </c>
      <c r="M574" s="29" t="inlineStr">
        <is>
          <t>Role not recorded · external consultant</t>
        </is>
      </c>
      <c r="N574" s="29" t="inlineStr">
        <is>
          <t>• Role and department on record — Business head</t>
        </is>
      </c>
      <c r="O574" s="29" t="n">
        <v>0</v>
      </c>
      <c r="P574" s="28" t="inlineStr">
        <is>
          <t>Contractor</t>
        </is>
      </c>
      <c r="Q574" s="29" t="inlineStr">
        <is>
          <t>—</t>
        </is>
      </c>
      <c r="R574" s="29" t="inlineStr">
        <is>
          <t>—</t>
        </is>
      </c>
      <c r="S574" s="29" t="inlineStr">
        <is>
          <t>0–5 yrs</t>
        </is>
      </c>
      <c r="T574" s="29" t="inlineStr">
        <is>
          <t>—</t>
        </is>
      </c>
      <c r="U574" s="29" t="inlineStr">
        <is>
          <t>Contractor · rate card</t>
        </is>
      </c>
      <c r="V574" s="29" t="inlineStr">
        <is>
          <t>—</t>
        </is>
      </c>
      <c r="W574" s="29" t="inlineStr">
        <is>
          <t>—</t>
        </is>
      </c>
      <c r="X574" s="29" t="inlineStr">
        <is>
          <t>Per statement of work</t>
        </is>
      </c>
      <c r="Y574" s="52" t="n">
        <v>585</v>
      </c>
      <c r="Z574" s="53" t="n"/>
      <c r="AA574" s="53" t="inlineStr">
        <is>
          <t>External Consultant</t>
        </is>
      </c>
      <c r="AB574" s="53" t="inlineStr">
        <is>
          <t>Active</t>
        </is>
      </c>
      <c r="AC574" s="53" t="inlineStr">
        <is>
          <t>Arindam Bose</t>
        </is>
      </c>
      <c r="AD574" s="54" t="n">
        <v>46266</v>
      </c>
      <c r="AE574" s="53" t="inlineStr">
        <is>
          <t>Consultant</t>
        </is>
      </c>
      <c r="AF574" s="53" t="n"/>
      <c r="AG574" s="53" t="n"/>
      <c r="AH574" s="53" t="n"/>
      <c r="AI574" s="53" t="inlineStr">
        <is>
          <t>Individual Contributor</t>
        </is>
      </c>
      <c r="AJ574" s="53" t="n"/>
      <c r="AK574" s="53" t="n"/>
      <c r="AL574" s="53" t="n"/>
      <c r="AM574" s="53" t="inlineStr">
        <is>
          <t>Datatech</t>
        </is>
      </c>
      <c r="AN574" s="53" t="n"/>
      <c r="AO574" s="53" t="n"/>
      <c r="AP574" s="53" t="n"/>
      <c r="AQ574" s="53" t="n"/>
      <c r="AR574" s="53" t="n"/>
      <c r="AS574" s="53" t="n"/>
      <c r="AT574" s="53" t="n">
        <v>0</v>
      </c>
      <c r="AU574" s="53" t="inlineStr">
        <is>
          <t>E-External Consultant</t>
        </is>
      </c>
      <c r="AV574" s="53" t="n"/>
      <c r="AW574" s="53" t="n"/>
      <c r="AX574" s="53" t="n"/>
      <c r="AY574" s="53" t="n"/>
      <c r="AZ574" s="53" t="n"/>
      <c r="BA574" s="53" t="n"/>
      <c r="BB574" s="53" t="n"/>
      <c r="BC574" s="53" t="n"/>
      <c r="BD574" s="53" t="n"/>
      <c r="BE574" s="53" t="n"/>
      <c r="BF574" s="53" t="n"/>
      <c r="BG574" s="53" t="n"/>
      <c r="BH574" s="53" t="n"/>
      <c r="BI574" s="53" t="n"/>
      <c r="BJ574" s="53" t="n"/>
      <c r="BK574" s="53" t="n"/>
      <c r="BL574" s="53" t="n"/>
      <c r="BM574" s="53" t="n"/>
      <c r="BN574" s="53" t="n"/>
      <c r="BO574" s="53" t="n"/>
      <c r="BP574" s="53" t="n"/>
      <c r="BQ574" s="53" t="n"/>
      <c r="BR574" s="53" t="n"/>
      <c r="BS574" s="53" t="n"/>
      <c r="BT574" s="53" t="n"/>
      <c r="BU574" s="53" t="n"/>
      <c r="BV574" s="53" t="n"/>
      <c r="BW574" s="53" t="n"/>
      <c r="BX574" s="53" t="n"/>
      <c r="BY574" s="53" t="n"/>
      <c r="BZ574" s="53" t="n"/>
      <c r="CA574" s="53" t="n"/>
      <c r="CB574" s="53" t="n"/>
      <c r="CC574" s="53" t="n"/>
      <c r="CD574" s="53" t="n"/>
      <c r="CE574" s="53" t="n"/>
      <c r="CF574" s="53" t="n"/>
      <c r="CG574" s="53" t="n"/>
      <c r="CH574" s="53" t="n"/>
      <c r="CI574" s="53" t="n"/>
      <c r="CJ574" s="53" t="n"/>
      <c r="CK574" s="53" t="n"/>
      <c r="CL574" s="53" t="n"/>
      <c r="CM574" s="53" t="n"/>
      <c r="CN574" s="53" t="n"/>
      <c r="CO574" s="53" t="n"/>
      <c r="CP574" s="53" t="n"/>
      <c r="CQ574" s="53" t="n"/>
      <c r="CR574" s="53" t="n"/>
      <c r="CS574" s="53" t="n"/>
      <c r="CT574" s="53" t="n"/>
      <c r="CU574" s="53" t="n"/>
      <c r="CV574" s="53" t="n"/>
      <c r="CW574" s="53" t="n"/>
      <c r="CX574" s="53" t="n"/>
      <c r="CY574" s="53" t="n"/>
      <c r="CZ574" s="53" t="n"/>
      <c r="DA574" s="53" t="n"/>
      <c r="DB574" s="53" t="n"/>
      <c r="DC574" s="53" t="n"/>
      <c r="DD574" s="53" t="n"/>
      <c r="DE574" s="53" t="n"/>
      <c r="DF574" s="53" t="n"/>
      <c r="DG574" s="53" t="n"/>
      <c r="DH574" s="53" t="n"/>
      <c r="DI574" s="53" t="n"/>
      <c r="DJ574" s="53" t="n"/>
      <c r="DK574" s="53" t="n"/>
      <c r="DL574" s="53" t="n"/>
      <c r="DM574" s="53" t="n"/>
      <c r="DN574" s="53" t="n"/>
      <c r="DO574" s="53" t="n"/>
      <c r="DP574" s="53" t="n"/>
      <c r="DQ574" s="53" t="n"/>
      <c r="DR574" s="53" t="n"/>
      <c r="DS574" s="53" t="n"/>
      <c r="DT574" s="53" t="n"/>
      <c r="DU574" s="53" t="n"/>
      <c r="DV574" s="53" t="n"/>
      <c r="DW574" s="53" t="n"/>
      <c r="DX574" s="53" t="n"/>
      <c r="DY574" s="53" t="n"/>
      <c r="DZ574" s="53" t="n"/>
      <c r="EA574" s="53" t="n"/>
      <c r="EB574" s="53" t="n"/>
      <c r="EC574" s="53" t="n"/>
      <c r="ED574" s="53" t="n"/>
      <c r="EE574" s="53" t="n"/>
      <c r="EF574" s="53" t="n"/>
      <c r="EG574" s="53" t="n"/>
      <c r="EH574" s="53" t="n"/>
      <c r="EI574" s="53" t="n"/>
      <c r="EJ574" s="53" t="n"/>
      <c r="EK574" s="53" t="n"/>
      <c r="EL574" s="53" t="n"/>
      <c r="EM574" s="53" t="n"/>
      <c r="EN574" s="53" t="n"/>
      <c r="EO574" s="53" t="n"/>
      <c r="EP574" s="53" t="n"/>
      <c r="EQ574" s="53" t="n"/>
      <c r="ER574" s="53" t="n"/>
      <c r="ES574" s="53" t="n"/>
      <c r="ET574" s="53" t="n"/>
      <c r="EU574" s="53" t="n"/>
      <c r="EV574" s="53" t="n"/>
      <c r="EW574" s="52" t="n"/>
      <c r="EX574" s="53" t="n"/>
      <c r="EY574" s="53" t="n"/>
      <c r="EZ574" s="53" t="n"/>
      <c r="FA574" s="53" t="n"/>
      <c r="FB574" s="53" t="n"/>
      <c r="FC574" s="53" t="n"/>
      <c r="FD574" s="53" t="n"/>
      <c r="FE574" s="55" t="inlineStr">
        <is>
          <t>KRAs not received · manager to supply</t>
        </is>
      </c>
      <c r="FF574" s="56" t="n"/>
      <c r="FG574" s="56" t="n"/>
      <c r="FH574" s="56" t="n"/>
      <c r="FI574" s="56" t="n"/>
      <c r="FJ574" s="32" t="inlineStr">
        <is>
          <t>KRAs not received · manager to supply</t>
        </is>
      </c>
      <c r="FK574" s="56" t="n"/>
      <c r="FL574" s="56" t="n">
        <v>0</v>
      </c>
      <c r="FM574" s="32" t="inlineStr">
        <is>
          <t>No survey response on file</t>
        </is>
      </c>
      <c r="FN574" s="56" t="inlineStr">
        <is>
          <t>—</t>
        </is>
      </c>
      <c r="FO574" s="56" t="inlineStr">
        <is>
          <t>—</t>
        </is>
      </c>
      <c r="FP574" s="56" t="inlineStr">
        <is>
          <t>—</t>
        </is>
      </c>
      <c r="FQ574" s="56" t="inlineStr">
        <is>
          <t>—</t>
        </is>
      </c>
      <c r="FR574" s="56" t="n"/>
      <c r="FS574" s="56" t="n"/>
      <c r="FT574" s="56" t="n"/>
      <c r="FU574" s="32" t="inlineStr">
        <is>
          <t>No survey response on file</t>
        </is>
      </c>
    </row>
    <row r="575" ht="90" customHeight="1">
      <c r="A575" s="51" t="inlineStr">
        <is>
          <t>◂ Back</t>
        </is>
      </c>
      <c r="B575" s="29" t="inlineStr">
        <is>
          <t>Mapped</t>
        </is>
      </c>
      <c r="C575" s="28" t="inlineStr">
        <is>
          <t>iFile</t>
        </is>
      </c>
      <c r="D575" s="29" t="inlineStr">
        <is>
          <t>No Emp ID · external consultant</t>
        </is>
      </c>
      <c r="E575" s="29" t="inlineStr">
        <is>
          <t>Bhumika Viroja</t>
        </is>
      </c>
      <c r="F575" s="29" t="inlineStr">
        <is>
          <t>Technology</t>
        </is>
      </c>
      <c r="G575" s="29" t="inlineStr">
        <is>
          <t>Consultant</t>
        </is>
      </c>
      <c r="H575" s="29" t="inlineStr">
        <is>
          <t>Associate Consultant – Software Development</t>
        </is>
      </c>
      <c r="I575" s="29" t="inlineStr">
        <is>
          <t>—</t>
        </is>
      </c>
      <c r="J575" s="29" t="inlineStr">
        <is>
          <t>X1</t>
        </is>
      </c>
      <c r="K575" s="29" t="inlineStr">
        <is>
          <t>• Same level</t>
        </is>
      </c>
      <c r="L575" s="29" t="inlineStr">
        <is>
          <t>Engineering &amp; Development</t>
        </is>
      </c>
      <c r="M575" s="29" t="inlineStr">
        <is>
          <t>Backend Development</t>
        </is>
      </c>
      <c r="N575" s="29" t="n"/>
      <c r="O575" s="29" t="n">
        <v>0</v>
      </c>
      <c r="P575" s="28" t="inlineStr">
        <is>
          <t>Contractor</t>
        </is>
      </c>
      <c r="Q575" s="29" t="inlineStr">
        <is>
          <t>—</t>
        </is>
      </c>
      <c r="R575" s="29" t="inlineStr">
        <is>
          <t>—</t>
        </is>
      </c>
      <c r="S575" s="29" t="inlineStr">
        <is>
          <t>0–5 yrs</t>
        </is>
      </c>
      <c r="T575" s="29" t="inlineStr">
        <is>
          <t>—</t>
        </is>
      </c>
      <c r="U575" s="29" t="inlineStr">
        <is>
          <t>Contractor · rate card</t>
        </is>
      </c>
      <c r="V575" s="29" t="inlineStr">
        <is>
          <t>—</t>
        </is>
      </c>
      <c r="W575" s="29" t="inlineStr">
        <is>
          <t>SFIA 9 · software development, programming; OWASP secure coding; cloud vendor certifications</t>
        </is>
      </c>
      <c r="X575" s="29" t="inlineStr">
        <is>
          <t>Per statement of work</t>
        </is>
      </c>
      <c r="Y575" s="52" t="n">
        <v>571</v>
      </c>
      <c r="Z575" s="53" t="n"/>
      <c r="AA575" s="53" t="inlineStr">
        <is>
          <t>External Consultant</t>
        </is>
      </c>
      <c r="AB575" s="53" t="inlineStr">
        <is>
          <t>Active</t>
        </is>
      </c>
      <c r="AC575" s="53" t="inlineStr">
        <is>
          <t>Bhumika Viroja</t>
        </is>
      </c>
      <c r="AD575" s="54" t="n">
        <v>45425</v>
      </c>
      <c r="AE575" s="53" t="inlineStr">
        <is>
          <t>Consultant</t>
        </is>
      </c>
      <c r="AF575" s="53" t="n"/>
      <c r="AG575" s="53" t="n"/>
      <c r="AH575" s="53" t="n"/>
      <c r="AI575" s="53" t="inlineStr">
        <is>
          <t>Individual Contributor</t>
        </is>
      </c>
      <c r="AJ575" s="53" t="n"/>
      <c r="AK575" s="53" t="n"/>
      <c r="AL575" s="53" t="n"/>
      <c r="AM575" s="53" t="inlineStr">
        <is>
          <t>iFile</t>
        </is>
      </c>
      <c r="AN575" s="53" t="inlineStr">
        <is>
          <t>Technology</t>
        </is>
      </c>
      <c r="AO575" s="53" t="inlineStr">
        <is>
          <t>Development</t>
        </is>
      </c>
      <c r="AP575" s="53" t="inlineStr">
        <is>
          <t>Yes</t>
        </is>
      </c>
      <c r="AQ575" s="53" t="inlineStr">
        <is>
          <t>Product/Project</t>
        </is>
      </c>
      <c r="AR575" s="53" t="n"/>
      <c r="AS575" s="53" t="inlineStr">
        <is>
          <t>Technical - Developer</t>
        </is>
      </c>
      <c r="AT575" s="53" t="n">
        <v>0</v>
      </c>
      <c r="AU575" s="53" t="inlineStr">
        <is>
          <t>E-External Consultant</t>
        </is>
      </c>
      <c r="AV575" s="53" t="n"/>
      <c r="AW575" s="53" t="n"/>
      <c r="AX575" s="53" t="n"/>
      <c r="AY575" s="53" t="n"/>
      <c r="AZ575" s="53" t="n"/>
      <c r="BA575" s="53" t="n"/>
      <c r="BB575" s="53" t="n"/>
      <c r="BC575" s="53" t="n"/>
      <c r="BD575" s="53" t="n"/>
      <c r="BE575" s="53" t="n"/>
      <c r="BF575" s="53" t="n"/>
      <c r="BG575" s="53" t="n"/>
      <c r="BH575" s="53" t="n"/>
      <c r="BI575" s="53" t="n"/>
      <c r="BJ575" s="53" t="n"/>
      <c r="BK575" s="53" t="n"/>
      <c r="BL575" s="53" t="n"/>
      <c r="BM575" s="53" t="n"/>
      <c r="BN575" s="53" t="n"/>
      <c r="BO575" s="53" t="n"/>
      <c r="BP575" s="53" t="n"/>
      <c r="BQ575" s="53" t="n"/>
      <c r="BR575" s="53" t="n"/>
      <c r="BS575" s="53" t="n"/>
      <c r="BT575" s="53" t="n"/>
      <c r="BU575" s="53" t="n"/>
      <c r="BV575" s="53" t="n"/>
      <c r="BW575" s="53" t="n"/>
      <c r="BX575" s="53" t="n"/>
      <c r="BY575" s="53" t="n"/>
      <c r="BZ575" s="53" t="n"/>
      <c r="CA575" s="53" t="n"/>
      <c r="CB575" s="53" t="n"/>
      <c r="CC575" s="53" t="n"/>
      <c r="CD575" s="53" t="n"/>
      <c r="CE575" s="53" t="n"/>
      <c r="CF575" s="53" t="n"/>
      <c r="CG575" s="53" t="n"/>
      <c r="CH575" s="53" t="n"/>
      <c r="CI575" s="53" t="n"/>
      <c r="CJ575" s="53" t="n"/>
      <c r="CK575" s="53" t="n"/>
      <c r="CL575" s="53" t="n"/>
      <c r="CM575" s="53" t="n"/>
      <c r="CN575" s="53" t="n"/>
      <c r="CO575" s="53" t="n"/>
      <c r="CP575" s="53" t="n"/>
      <c r="CQ575" s="53" t="n"/>
      <c r="CR575" s="53" t="n"/>
      <c r="CS575" s="53" t="n"/>
      <c r="CT575" s="53" t="n"/>
      <c r="CU575" s="53" t="n"/>
      <c r="CV575" s="53" t="n"/>
      <c r="CW575" s="53" t="n"/>
      <c r="CX575" s="53" t="n"/>
      <c r="CY575" s="53" t="n"/>
      <c r="CZ575" s="53" t="n"/>
      <c r="DA575" s="53" t="n"/>
      <c r="DB575" s="53" t="n"/>
      <c r="DC575" s="53" t="n"/>
      <c r="DD575" s="53" t="n"/>
      <c r="DE575" s="53" t="n"/>
      <c r="DF575" s="53" t="n"/>
      <c r="DG575" s="53" t="n"/>
      <c r="DH575" s="53" t="n"/>
      <c r="DI575" s="53" t="n"/>
      <c r="DJ575" s="53" t="n"/>
      <c r="DK575" s="53" t="n"/>
      <c r="DL575" s="53" t="n"/>
      <c r="DM575" s="53" t="n"/>
      <c r="DN575" s="53" t="n"/>
      <c r="DO575" s="53" t="n"/>
      <c r="DP575" s="53" t="n"/>
      <c r="DQ575" s="53" t="n"/>
      <c r="DR575" s="53" t="n"/>
      <c r="DS575" s="53" t="n"/>
      <c r="DT575" s="53" t="n"/>
      <c r="DU575" s="53" t="n"/>
      <c r="DV575" s="53" t="n"/>
      <c r="DW575" s="53" t="n"/>
      <c r="DX575" s="53" t="n"/>
      <c r="DY575" s="53" t="n"/>
      <c r="DZ575" s="53" t="n"/>
      <c r="EA575" s="53" t="n"/>
      <c r="EB575" s="53" t="n"/>
      <c r="EC575" s="53" t="n"/>
      <c r="ED575" s="53" t="n"/>
      <c r="EE575" s="53" t="n"/>
      <c r="EF575" s="53" t="n"/>
      <c r="EG575" s="53" t="n"/>
      <c r="EH575" s="53" t="n"/>
      <c r="EI575" s="53" t="n"/>
      <c r="EJ575" s="53" t="n"/>
      <c r="EK575" s="53" t="n"/>
      <c r="EL575" s="53" t="n"/>
      <c r="EM575" s="53" t="n"/>
      <c r="EN575" s="53" t="n"/>
      <c r="EO575" s="53" t="n"/>
      <c r="EP575" s="53" t="n"/>
      <c r="EQ575" s="53" t="n"/>
      <c r="ER575" s="53" t="n"/>
      <c r="ES575" s="53" t="n"/>
      <c r="ET575" s="53" t="n"/>
      <c r="EU575" s="53" t="n"/>
      <c r="EV575" s="53" t="n"/>
      <c r="EW575" s="52" t="n"/>
      <c r="EX575" s="53" t="n"/>
      <c r="EY575" s="53" t="n"/>
      <c r="EZ575" s="53" t="n"/>
      <c r="FA575" s="53" t="n"/>
      <c r="FB575" s="53" t="n"/>
      <c r="FC575" s="53" t="n"/>
      <c r="FD575" s="53" t="n"/>
      <c r="FE575" s="55" t="inlineStr">
        <is>
          <t>KRAs not received · manager to supply</t>
        </is>
      </c>
      <c r="FF575" s="56" t="n"/>
      <c r="FG575" s="56" t="n"/>
      <c r="FH575" s="56" t="n"/>
      <c r="FI575" s="56" t="n"/>
      <c r="FJ575" s="32" t="inlineStr">
        <is>
          <t>KRAs not received · manager to supply</t>
        </is>
      </c>
      <c r="FK575" s="56" t="n"/>
      <c r="FL575" s="56" t="n">
        <v>0</v>
      </c>
      <c r="FM575" s="32" t="inlineStr">
        <is>
          <t>No survey response on file</t>
        </is>
      </c>
      <c r="FN575" s="56" t="inlineStr">
        <is>
          <t>—</t>
        </is>
      </c>
      <c r="FO575" s="56" t="inlineStr">
        <is>
          <t>—</t>
        </is>
      </c>
      <c r="FP575" s="56" t="inlineStr">
        <is>
          <t>—</t>
        </is>
      </c>
      <c r="FQ575" s="56" t="inlineStr">
        <is>
          <t>—</t>
        </is>
      </c>
      <c r="FR575" s="56" t="n"/>
      <c r="FS575"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5" s="56" t="n"/>
      <c r="FU575" s="32" t="inlineStr">
        <is>
          <t>No survey response on file</t>
        </is>
      </c>
    </row>
    <row r="576" ht="90" customHeight="1">
      <c r="A576" s="51" t="inlineStr">
        <is>
          <t>◂ Back</t>
        </is>
      </c>
      <c r="B576" s="29" t="inlineStr">
        <is>
          <t>Mapped</t>
        </is>
      </c>
      <c r="C576" s="28" t="inlineStr">
        <is>
          <t>iFile</t>
        </is>
      </c>
      <c r="D576" s="29" t="inlineStr">
        <is>
          <t>No Emp ID · external consultant</t>
        </is>
      </c>
      <c r="E576" s="29" t="inlineStr">
        <is>
          <t>Dhruv Patel</t>
        </is>
      </c>
      <c r="F576" s="29" t="inlineStr">
        <is>
          <t>Technology</t>
        </is>
      </c>
      <c r="G576" s="29" t="inlineStr">
        <is>
          <t>Consultant</t>
        </is>
      </c>
      <c r="H576" s="29" t="inlineStr">
        <is>
          <t>Associate Consultant – Software Development</t>
        </is>
      </c>
      <c r="I576" s="29" t="inlineStr">
        <is>
          <t>—</t>
        </is>
      </c>
      <c r="J576" s="29" t="inlineStr">
        <is>
          <t>X1</t>
        </is>
      </c>
      <c r="K576" s="29" t="inlineStr">
        <is>
          <t>• Same level</t>
        </is>
      </c>
      <c r="L576" s="29" t="inlineStr">
        <is>
          <t>Engineering &amp; Development</t>
        </is>
      </c>
      <c r="M576" s="29" t="inlineStr">
        <is>
          <t>Backend Development</t>
        </is>
      </c>
      <c r="N576" s="29" t="n"/>
      <c r="O576" s="29" t="n">
        <v>0</v>
      </c>
      <c r="P576" s="28" t="inlineStr">
        <is>
          <t>Contractor</t>
        </is>
      </c>
      <c r="Q576" s="29" t="inlineStr">
        <is>
          <t>—</t>
        </is>
      </c>
      <c r="R576" s="29" t="inlineStr">
        <is>
          <t>—</t>
        </is>
      </c>
      <c r="S576" s="29" t="inlineStr">
        <is>
          <t>0–5 yrs</t>
        </is>
      </c>
      <c r="T576" s="29" t="inlineStr">
        <is>
          <t>—</t>
        </is>
      </c>
      <c r="U576" s="29" t="inlineStr">
        <is>
          <t>Contractor · rate card</t>
        </is>
      </c>
      <c r="V576" s="29" t="inlineStr">
        <is>
          <t>—</t>
        </is>
      </c>
      <c r="W576" s="29" t="inlineStr">
        <is>
          <t>SFIA 9 · software development, programming; OWASP secure coding; cloud vendor certifications</t>
        </is>
      </c>
      <c r="X576" s="29" t="inlineStr">
        <is>
          <t>Per statement of work</t>
        </is>
      </c>
      <c r="Y576" s="52" t="n">
        <v>572</v>
      </c>
      <c r="Z576" s="53" t="n"/>
      <c r="AA576" s="53" t="inlineStr">
        <is>
          <t>External Consultant</t>
        </is>
      </c>
      <c r="AB576" s="53" t="inlineStr">
        <is>
          <t>Active</t>
        </is>
      </c>
      <c r="AC576" s="53" t="inlineStr">
        <is>
          <t>Dhruv Patel</t>
        </is>
      </c>
      <c r="AD576" s="54" t="n">
        <v>45495</v>
      </c>
      <c r="AE576" s="53" t="inlineStr">
        <is>
          <t>Consultant</t>
        </is>
      </c>
      <c r="AF576" s="53" t="n"/>
      <c r="AG576" s="53" t="n"/>
      <c r="AH576" s="53" t="n"/>
      <c r="AI576" s="53" t="inlineStr">
        <is>
          <t>Individual Contributor</t>
        </is>
      </c>
      <c r="AJ576" s="53" t="n"/>
      <c r="AK576" s="53" t="n"/>
      <c r="AL576" s="53" t="n"/>
      <c r="AM576" s="53" t="inlineStr">
        <is>
          <t>iFile</t>
        </is>
      </c>
      <c r="AN576" s="53" t="inlineStr">
        <is>
          <t>Technology</t>
        </is>
      </c>
      <c r="AO576" s="53" t="inlineStr">
        <is>
          <t>Development</t>
        </is>
      </c>
      <c r="AP576" s="53" t="inlineStr">
        <is>
          <t>Yes</t>
        </is>
      </c>
      <c r="AQ576" s="53" t="inlineStr">
        <is>
          <t>Product/Project</t>
        </is>
      </c>
      <c r="AR576" s="53" t="n"/>
      <c r="AS576" s="53" t="inlineStr">
        <is>
          <t>Technical - Developer</t>
        </is>
      </c>
      <c r="AT576" s="53" t="n">
        <v>0</v>
      </c>
      <c r="AU576" s="53" t="inlineStr">
        <is>
          <t>E-External Consultant</t>
        </is>
      </c>
      <c r="AV576" s="53" t="n"/>
      <c r="AW576" s="53" t="n"/>
      <c r="AX576" s="53" t="n"/>
      <c r="AY576" s="53" t="n"/>
      <c r="AZ576" s="53" t="n"/>
      <c r="BA576" s="53" t="n"/>
      <c r="BB576" s="53" t="n"/>
      <c r="BC576" s="53" t="n"/>
      <c r="BD576" s="53" t="n"/>
      <c r="BE576" s="53" t="n"/>
      <c r="BF576" s="53" t="n"/>
      <c r="BG576" s="53" t="n"/>
      <c r="BH576" s="53" t="n"/>
      <c r="BI576" s="53" t="n"/>
      <c r="BJ576" s="53" t="n"/>
      <c r="BK576" s="53" t="n"/>
      <c r="BL576" s="53" t="n"/>
      <c r="BM576" s="53" t="n"/>
      <c r="BN576" s="53" t="n"/>
      <c r="BO576" s="53" t="n"/>
      <c r="BP576" s="53" t="n"/>
      <c r="BQ576" s="53" t="n"/>
      <c r="BR576" s="53" t="n"/>
      <c r="BS576" s="53" t="n"/>
      <c r="BT576" s="53" t="n"/>
      <c r="BU576" s="53" t="n"/>
      <c r="BV576" s="53" t="n"/>
      <c r="BW576" s="53" t="n"/>
      <c r="BX576" s="53" t="n"/>
      <c r="BY576" s="53" t="n"/>
      <c r="BZ576" s="53" t="n"/>
      <c r="CA576" s="53" t="n"/>
      <c r="CB576" s="53" t="n"/>
      <c r="CC576" s="53" t="n"/>
      <c r="CD576" s="53" t="n"/>
      <c r="CE576" s="53" t="n"/>
      <c r="CF576" s="53" t="n"/>
      <c r="CG576" s="53" t="n"/>
      <c r="CH576" s="53" t="n"/>
      <c r="CI576" s="53" t="n"/>
      <c r="CJ576" s="53" t="n"/>
      <c r="CK576" s="53" t="n"/>
      <c r="CL576" s="53" t="n"/>
      <c r="CM576" s="53" t="n"/>
      <c r="CN576" s="53" t="n"/>
      <c r="CO576" s="53" t="n"/>
      <c r="CP576" s="53" t="n"/>
      <c r="CQ576" s="53" t="n"/>
      <c r="CR576" s="53" t="n"/>
      <c r="CS576" s="53" t="n"/>
      <c r="CT576" s="53" t="n"/>
      <c r="CU576" s="53" t="n"/>
      <c r="CV576" s="53" t="n"/>
      <c r="CW576" s="53" t="n"/>
      <c r="CX576" s="53" t="n"/>
      <c r="CY576" s="53" t="n"/>
      <c r="CZ576" s="53" t="n"/>
      <c r="DA576" s="53" t="n"/>
      <c r="DB576" s="53" t="n"/>
      <c r="DC576" s="53" t="n"/>
      <c r="DD576" s="53" t="n"/>
      <c r="DE576" s="53" t="n"/>
      <c r="DF576" s="53" t="n"/>
      <c r="DG576" s="53" t="n"/>
      <c r="DH576" s="53" t="n"/>
      <c r="DI576" s="53" t="n"/>
      <c r="DJ576" s="53" t="n"/>
      <c r="DK576" s="53" t="n"/>
      <c r="DL576" s="53" t="n"/>
      <c r="DM576" s="53" t="n"/>
      <c r="DN576" s="53" t="n"/>
      <c r="DO576" s="53" t="n"/>
      <c r="DP576" s="53" t="n"/>
      <c r="DQ576" s="53" t="n"/>
      <c r="DR576" s="53" t="n"/>
      <c r="DS576" s="53" t="n"/>
      <c r="DT576" s="53" t="n"/>
      <c r="DU576" s="53" t="n"/>
      <c r="DV576" s="53" t="n"/>
      <c r="DW576" s="53" t="n"/>
      <c r="DX576" s="53" t="n"/>
      <c r="DY576" s="53" t="n"/>
      <c r="DZ576" s="53" t="n"/>
      <c r="EA576" s="53" t="n"/>
      <c r="EB576" s="53" t="n"/>
      <c r="EC576" s="53" t="n"/>
      <c r="ED576" s="53" t="n"/>
      <c r="EE576" s="53" t="n"/>
      <c r="EF576" s="53" t="n"/>
      <c r="EG576" s="53" t="n"/>
      <c r="EH576" s="53" t="n"/>
      <c r="EI576" s="53" t="n"/>
      <c r="EJ576" s="53" t="n"/>
      <c r="EK576" s="53" t="n"/>
      <c r="EL576" s="53" t="n"/>
      <c r="EM576" s="53" t="n"/>
      <c r="EN576" s="53" t="n"/>
      <c r="EO576" s="53" t="n"/>
      <c r="EP576" s="53" t="n"/>
      <c r="EQ576" s="53" t="n"/>
      <c r="ER576" s="53" t="n"/>
      <c r="ES576" s="53" t="n"/>
      <c r="ET576" s="53" t="n"/>
      <c r="EU576" s="53" t="n"/>
      <c r="EV576" s="53" t="n"/>
      <c r="EW576" s="52" t="n"/>
      <c r="EX576" s="53" t="n"/>
      <c r="EY576" s="53" t="n"/>
      <c r="EZ576" s="53" t="n"/>
      <c r="FA576" s="53" t="n"/>
      <c r="FB576" s="53" t="n"/>
      <c r="FC576" s="53" t="n"/>
      <c r="FD576" s="53" t="n"/>
      <c r="FE576" s="55" t="inlineStr">
        <is>
          <t>KRAs not received · manager to supply</t>
        </is>
      </c>
      <c r="FF576" s="56" t="n"/>
      <c r="FG576" s="56" t="n"/>
      <c r="FH576" s="56" t="n"/>
      <c r="FI576" s="56" t="n"/>
      <c r="FJ576" s="32" t="inlineStr">
        <is>
          <t>KRAs not received · manager to supply</t>
        </is>
      </c>
      <c r="FK576" s="56" t="n"/>
      <c r="FL576" s="56" t="n">
        <v>0</v>
      </c>
      <c r="FM576" s="32" t="inlineStr">
        <is>
          <t>No survey response on file</t>
        </is>
      </c>
      <c r="FN576" s="56" t="inlineStr">
        <is>
          <t>—</t>
        </is>
      </c>
      <c r="FO576" s="56" t="inlineStr">
        <is>
          <t>—</t>
        </is>
      </c>
      <c r="FP576" s="56" t="inlineStr">
        <is>
          <t>—</t>
        </is>
      </c>
      <c r="FQ576" s="56" t="inlineStr">
        <is>
          <t>—</t>
        </is>
      </c>
      <c r="FR576" s="56" t="n"/>
      <c r="FS576"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6" s="56" t="n"/>
      <c r="FU576" s="32" t="inlineStr">
        <is>
          <t>No survey response on file</t>
        </is>
      </c>
    </row>
    <row r="577" ht="90" customHeight="1">
      <c r="A577" s="51" t="inlineStr">
        <is>
          <t>◂ Back</t>
        </is>
      </c>
      <c r="B577" s="29" t="inlineStr">
        <is>
          <t>Mapped</t>
        </is>
      </c>
      <c r="C577" s="28" t="inlineStr">
        <is>
          <t>iFile</t>
        </is>
      </c>
      <c r="D577" s="29" t="inlineStr">
        <is>
          <t>No Emp ID · external consultant</t>
        </is>
      </c>
      <c r="E577" s="29" t="inlineStr">
        <is>
          <t>Dinesh Choudhary</t>
        </is>
      </c>
      <c r="F577" s="29" t="inlineStr">
        <is>
          <t>Technology</t>
        </is>
      </c>
      <c r="G577" s="29" t="inlineStr">
        <is>
          <t>Consultant</t>
        </is>
      </c>
      <c r="H577" s="29" t="inlineStr">
        <is>
          <t>Associate Consultant – Software Development</t>
        </is>
      </c>
      <c r="I577" s="29" t="inlineStr">
        <is>
          <t>L3 – Professional / Associate</t>
        </is>
      </c>
      <c r="J577" s="29" t="inlineStr">
        <is>
          <t>X1</t>
        </is>
      </c>
      <c r="K577" s="29" t="inlineStr">
        <is>
          <t>• Same level</t>
        </is>
      </c>
      <c r="L577" s="29" t="inlineStr">
        <is>
          <t>Engineering &amp; Development</t>
        </is>
      </c>
      <c r="M577" s="29" t="inlineStr">
        <is>
          <t>Backend Development</t>
        </is>
      </c>
      <c r="N577" s="29" t="n"/>
      <c r="O577" s="29" t="n">
        <v>0</v>
      </c>
      <c r="P577" s="28" t="inlineStr">
        <is>
          <t>Contractor</t>
        </is>
      </c>
      <c r="Q577" s="29" t="inlineStr">
        <is>
          <t>—</t>
        </is>
      </c>
      <c r="R577" s="29" t="inlineStr">
        <is>
          <t>—</t>
        </is>
      </c>
      <c r="S577" s="29" t="inlineStr">
        <is>
          <t>0–5 yrs</t>
        </is>
      </c>
      <c r="T577" s="29" t="inlineStr">
        <is>
          <t>—</t>
        </is>
      </c>
      <c r="U577" s="29" t="inlineStr">
        <is>
          <t>Contractor · rate card</t>
        </is>
      </c>
      <c r="V577" s="29" t="inlineStr">
        <is>
          <t>—</t>
        </is>
      </c>
      <c r="W577" s="29" t="inlineStr">
        <is>
          <t>SFIA 9 · software development, programming; OWASP secure coding; cloud vendor certifications</t>
        </is>
      </c>
      <c r="X577" s="29" t="inlineStr">
        <is>
          <t>Per statement of work</t>
        </is>
      </c>
      <c r="Y577" s="52" t="n">
        <v>573</v>
      </c>
      <c r="Z577" s="53" t="n"/>
      <c r="AA577" s="53" t="inlineStr">
        <is>
          <t>External Consultant</t>
        </is>
      </c>
      <c r="AB577" s="53" t="inlineStr">
        <is>
          <t>Active</t>
        </is>
      </c>
      <c r="AC577" s="53" t="inlineStr">
        <is>
          <t>Dinesh Choudhary</t>
        </is>
      </c>
      <c r="AD577" s="54" t="n">
        <v>45756</v>
      </c>
      <c r="AE577" s="53" t="inlineStr">
        <is>
          <t>Consultant</t>
        </is>
      </c>
      <c r="AF577" s="53" t="n"/>
      <c r="AG577" s="53" t="n"/>
      <c r="AH577" s="53" t="n"/>
      <c r="AI577" s="53" t="inlineStr">
        <is>
          <t>Individual Contributor</t>
        </is>
      </c>
      <c r="AJ577" s="53" t="n"/>
      <c r="AK577" s="53" t="n"/>
      <c r="AL577" s="53" t="n"/>
      <c r="AM577" s="53" t="inlineStr">
        <is>
          <t>iFile</t>
        </is>
      </c>
      <c r="AN577" s="53" t="inlineStr">
        <is>
          <t>Technology</t>
        </is>
      </c>
      <c r="AO577" s="53" t="inlineStr">
        <is>
          <t>Development</t>
        </is>
      </c>
      <c r="AP577" s="53" t="inlineStr">
        <is>
          <t>Yes</t>
        </is>
      </c>
      <c r="AQ577" s="53" t="inlineStr">
        <is>
          <t>Product/Project</t>
        </is>
      </c>
      <c r="AR577" s="53" t="n"/>
      <c r="AS577" s="53" t="inlineStr">
        <is>
          <t>Technical - Developer</t>
        </is>
      </c>
      <c r="AT577" s="53" t="n">
        <v>0</v>
      </c>
      <c r="AU577" s="53" t="inlineStr">
        <is>
          <t>E-External Consultant</t>
        </is>
      </c>
      <c r="AV577" s="53" t="n"/>
      <c r="AW577" s="53" t="n"/>
      <c r="AX577" s="53" t="n"/>
      <c r="AY577" s="53" t="n"/>
      <c r="AZ577" s="53" t="n"/>
      <c r="BA577" s="53" t="n"/>
      <c r="BB577" s="53" t="n"/>
      <c r="BC577" s="53" t="n"/>
      <c r="BD577" s="53" t="n"/>
      <c r="BE577" s="53" t="n"/>
      <c r="BF577" s="53" t="n"/>
      <c r="BG577" s="53" t="n"/>
      <c r="BH577" s="53" t="n"/>
      <c r="BI577" s="53" t="n"/>
      <c r="BJ577" s="53" t="n"/>
      <c r="BK577" s="53" t="n"/>
      <c r="BL577" s="53" t="n"/>
      <c r="BM577" s="53" t="n"/>
      <c r="BN577" s="53" t="n"/>
      <c r="BO577" s="53" t="n"/>
      <c r="BP577" s="53" t="n"/>
      <c r="BQ577" s="53" t="n"/>
      <c r="BR577" s="53" t="n"/>
      <c r="BS577" s="53" t="n"/>
      <c r="BT577" s="53" t="n"/>
      <c r="BU577" s="53" t="n"/>
      <c r="BV577" s="53" t="n"/>
      <c r="BW577" s="53" t="n"/>
      <c r="BX577" s="53" t="n"/>
      <c r="BY577" s="53" t="n"/>
      <c r="BZ577" s="53" t="n"/>
      <c r="CA577" s="53" t="n"/>
      <c r="CB577" s="53" t="n"/>
      <c r="CC577" s="53" t="n"/>
      <c r="CD577" s="53" t="n"/>
      <c r="CE577" s="53" t="n"/>
      <c r="CF577" s="53" t="n"/>
      <c r="CG577" s="53" t="n"/>
      <c r="CH577" s="53" t="n"/>
      <c r="CI577" s="53" t="n"/>
      <c r="CJ577" s="53" t="n"/>
      <c r="CK577" s="53" t="n"/>
      <c r="CL577" s="53" t="n"/>
      <c r="CM577" s="53" t="n"/>
      <c r="CN577" s="53" t="n"/>
      <c r="CO577" s="53" t="n"/>
      <c r="CP577" s="53" t="n"/>
      <c r="CQ577" s="53" t="n"/>
      <c r="CR577" s="53" t="n"/>
      <c r="CS577" s="53" t="n"/>
      <c r="CT577" s="53" t="n"/>
      <c r="CU577" s="53" t="n"/>
      <c r="CV577" s="53" t="n"/>
      <c r="CW577" s="53" t="n"/>
      <c r="CX577" s="53" t="n"/>
      <c r="CY577" s="53" t="n"/>
      <c r="CZ577" s="53" t="n"/>
      <c r="DA577" s="53" t="n"/>
      <c r="DB577" s="53" t="n"/>
      <c r="DC577" s="53" t="n"/>
      <c r="DD577" s="53" t="inlineStr">
        <is>
          <t>IRISC309</t>
        </is>
      </c>
      <c r="DE577" s="53" t="inlineStr">
        <is>
          <t>External Consultant</t>
        </is>
      </c>
      <c r="DF577" s="53" t="inlineStr">
        <is>
          <t>Active</t>
        </is>
      </c>
      <c r="DG577" s="53" t="inlineStr">
        <is>
          <t>Dinesh Choudhary</t>
        </is>
      </c>
      <c r="DH577" s="54" t="n">
        <v>45756</v>
      </c>
      <c r="DI577" s="53" t="inlineStr">
        <is>
          <t>Consultant</t>
        </is>
      </c>
      <c r="DJ577" s="53" t="inlineStr">
        <is>
          <t>Engineering &amp; Development</t>
        </is>
      </c>
      <c r="DK577" s="53" t="inlineStr">
        <is>
          <t>Backend Engineering · Java</t>
        </is>
      </c>
      <c r="DL577" s="53" t="inlineStr">
        <is>
          <t>Consultant</t>
        </is>
      </c>
      <c r="DM577" s="53" t="inlineStr">
        <is>
          <t>L3 – Professional / Associate</t>
        </is>
      </c>
      <c r="DN577" s="53" t="inlineStr">
        <is>
          <t>B.Tech</t>
        </is>
      </c>
      <c r="DO577" s="53" t="inlineStr">
        <is>
          <t>Suman Kumar</t>
        </is>
      </c>
      <c r="DP577" s="53" t="inlineStr">
        <is>
          <t>N-3</t>
        </is>
      </c>
      <c r="DQ577" s="53" t="inlineStr">
        <is>
          <t>Individual Contributor</t>
        </is>
      </c>
      <c r="DR577" s="53" t="inlineStr">
        <is>
          <t>4 years, 0 months, 0 days</t>
        </is>
      </c>
      <c r="DS577" s="53" t="inlineStr">
        <is>
          <t>1 years, 2 months, 11 days</t>
        </is>
      </c>
      <c r="DT577" s="53" t="inlineStr">
        <is>
          <t>5 years, 2 months, 11 days</t>
        </is>
      </c>
      <c r="DU577" s="53" t="n"/>
      <c r="DV577" s="53" t="inlineStr">
        <is>
          <t>Suptech</t>
        </is>
      </c>
      <c r="DW577" s="53" t="inlineStr">
        <is>
          <t>iFile</t>
        </is>
      </c>
      <c r="DX577" s="53" t="inlineStr">
        <is>
          <t>Technology</t>
        </is>
      </c>
      <c r="DY577" s="53" t="inlineStr">
        <is>
          <t>Development</t>
        </is>
      </c>
      <c r="DZ577" s="53" t="inlineStr">
        <is>
          <t>Yes</t>
        </is>
      </c>
      <c r="EA577" s="53" t="inlineStr">
        <is>
          <t>Product/Project</t>
        </is>
      </c>
      <c r="EB577" s="53" t="inlineStr">
        <is>
          <t>Java</t>
        </is>
      </c>
      <c r="EC577" s="53" t="inlineStr">
        <is>
          <t>Technical - Developer</t>
        </is>
      </c>
      <c r="ED577" s="53" t="inlineStr">
        <is>
          <t>Remote- Outside Mumbai</t>
        </is>
      </c>
      <c r="EE577" s="53"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EF57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7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77" s="53" t="n">
        <v>4</v>
      </c>
      <c r="EI577" s="54" t="n">
        <v>46113</v>
      </c>
      <c r="EJ577" s="53" t="inlineStr">
        <is>
          <t>Consultant</t>
        </is>
      </c>
      <c r="EK577" s="53" t="inlineStr">
        <is>
          <t>No</t>
        </is>
      </c>
      <c r="EL577" s="53" t="n">
        <v>4</v>
      </c>
      <c r="EM577" s="53" t="inlineStr">
        <is>
          <t>High</t>
        </is>
      </c>
      <c r="EN577" s="53" t="inlineStr">
        <is>
          <t>High Impact / Growth Talent</t>
        </is>
      </c>
      <c r="EO577" s="53" t="inlineStr">
        <is>
          <t>No</t>
        </is>
      </c>
      <c r="EP577" s="53" t="inlineStr">
        <is>
          <t>No</t>
        </is>
      </c>
      <c r="EQ577" s="53" t="inlineStr">
        <is>
          <t>Yes</t>
        </is>
      </c>
      <c r="ER577" s="53" t="n"/>
      <c r="ES577" s="53" t="inlineStr">
        <is>
          <t>Reactive Programming/Spring AI/System Design &amp; Pattern</t>
        </is>
      </c>
      <c r="ET577" s="53" t="n"/>
      <c r="EU577" s="53" t="n"/>
      <c r="EV577" s="53" t="n"/>
      <c r="EW577" s="52" t="n"/>
      <c r="EX577" s="53" t="n"/>
      <c r="EY577" s="53" t="n"/>
      <c r="EZ577" s="53" t="n"/>
      <c r="FA577" s="53" t="n"/>
      <c r="FB577" s="53" t="n"/>
      <c r="FC577" s="53" t="n"/>
      <c r="FD577" s="53" t="inlineStr">
        <is>
          <t>IRISC309</t>
        </is>
      </c>
      <c r="FE57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7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77" s="56"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FH577" s="56" t="inlineStr">
        <is>
          <t>4</t>
        </is>
      </c>
      <c r="FI577" s="56" t="n"/>
      <c r="FJ577" s="56" t="inlineStr">
        <is>
          <t>Received · manager annual, quarterly, self</t>
        </is>
      </c>
      <c r="FK577" s="56" t="inlineStr">
        <is>
          <t>Talent Mapping · iFile collated</t>
        </is>
      </c>
      <c r="FL577" s="56" t="n">
        <v>0</v>
      </c>
      <c r="FM577" s="32" t="inlineStr">
        <is>
          <t>No survey response on file</t>
        </is>
      </c>
      <c r="FN577" s="56" t="inlineStr">
        <is>
          <t>—</t>
        </is>
      </c>
      <c r="FO577" s="56" t="inlineStr">
        <is>
          <t>—</t>
        </is>
      </c>
      <c r="FP577" s="56" t="inlineStr">
        <is>
          <t>—</t>
        </is>
      </c>
      <c r="FQ577" s="56" t="inlineStr">
        <is>
          <t>—</t>
        </is>
      </c>
      <c r="FR577" s="56" t="n"/>
      <c r="FS577"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7" s="56" t="n"/>
      <c r="FU577" s="32" t="inlineStr">
        <is>
          <t>No survey response on file</t>
        </is>
      </c>
    </row>
    <row r="578" ht="90" customHeight="1">
      <c r="A578" s="51" t="inlineStr">
        <is>
          <t>◂ Back</t>
        </is>
      </c>
      <c r="B578" s="29" t="inlineStr">
        <is>
          <t>Mapped</t>
        </is>
      </c>
      <c r="C578" s="28" t="inlineStr">
        <is>
          <t>iFile</t>
        </is>
      </c>
      <c r="D578" s="29" t="inlineStr">
        <is>
          <t>No Emp ID · external consultant</t>
        </is>
      </c>
      <c r="E578" s="29" t="inlineStr">
        <is>
          <t>Falguni</t>
        </is>
      </c>
      <c r="F578" s="29" t="inlineStr">
        <is>
          <t>Technology</t>
        </is>
      </c>
      <c r="G578" s="29" t="inlineStr">
        <is>
          <t>Consultant</t>
        </is>
      </c>
      <c r="H578" s="29" t="inlineStr">
        <is>
          <t>Associate Consultant – Software Development</t>
        </is>
      </c>
      <c r="I578" s="29" t="inlineStr">
        <is>
          <t>—</t>
        </is>
      </c>
      <c r="J578" s="29" t="inlineStr">
        <is>
          <t>X1</t>
        </is>
      </c>
      <c r="K578" s="29" t="inlineStr">
        <is>
          <t>• Same level</t>
        </is>
      </c>
      <c r="L578" s="29" t="inlineStr">
        <is>
          <t>Engineering &amp; Development</t>
        </is>
      </c>
      <c r="M578" s="29" t="inlineStr">
        <is>
          <t>Backend Development</t>
        </is>
      </c>
      <c r="N578" s="29" t="n"/>
      <c r="O578" s="29" t="n">
        <v>0</v>
      </c>
      <c r="P578" s="28" t="inlineStr">
        <is>
          <t>Contractor</t>
        </is>
      </c>
      <c r="Q578" s="29" t="inlineStr">
        <is>
          <t>—</t>
        </is>
      </c>
      <c r="R578" s="29" t="inlineStr">
        <is>
          <t>—</t>
        </is>
      </c>
      <c r="S578" s="29" t="inlineStr">
        <is>
          <t>0–5 yrs</t>
        </is>
      </c>
      <c r="T578" s="29" t="inlineStr">
        <is>
          <t>—</t>
        </is>
      </c>
      <c r="U578" s="29" t="inlineStr">
        <is>
          <t>Contractor · rate card</t>
        </is>
      </c>
      <c r="V578" s="29" t="inlineStr">
        <is>
          <t>—</t>
        </is>
      </c>
      <c r="W578" s="29" t="inlineStr">
        <is>
          <t>SFIA 9 · software development, programming; OWASP secure coding; cloud vendor certifications</t>
        </is>
      </c>
      <c r="X578" s="29" t="inlineStr">
        <is>
          <t>Per statement of work</t>
        </is>
      </c>
      <c r="Y578" s="52" t="n">
        <v>575</v>
      </c>
      <c r="Z578" s="53" t="n"/>
      <c r="AA578" s="53" t="inlineStr">
        <is>
          <t>External Consultant</t>
        </is>
      </c>
      <c r="AB578" s="53" t="inlineStr">
        <is>
          <t>Active</t>
        </is>
      </c>
      <c r="AC578" s="53" t="inlineStr">
        <is>
          <t>Falguni</t>
        </is>
      </c>
      <c r="AD578" s="54" t="n">
        <v>46052</v>
      </c>
      <c r="AE578" s="53" t="inlineStr">
        <is>
          <t>Consultant</t>
        </is>
      </c>
      <c r="AF578" s="53" t="n"/>
      <c r="AG578" s="53" t="n"/>
      <c r="AH578" s="53" t="n"/>
      <c r="AI578" s="53" t="inlineStr">
        <is>
          <t>Individual Contributor</t>
        </is>
      </c>
      <c r="AJ578" s="53" t="n"/>
      <c r="AK578" s="53" t="n"/>
      <c r="AL578" s="53" t="n"/>
      <c r="AM578" s="53" t="inlineStr">
        <is>
          <t>iFile</t>
        </is>
      </c>
      <c r="AN578" s="53" t="inlineStr">
        <is>
          <t>Technology</t>
        </is>
      </c>
      <c r="AO578" s="53" t="inlineStr">
        <is>
          <t>Development</t>
        </is>
      </c>
      <c r="AP578" s="53" t="inlineStr">
        <is>
          <t>Yes</t>
        </is>
      </c>
      <c r="AQ578" s="53" t="inlineStr">
        <is>
          <t>Product/Project</t>
        </is>
      </c>
      <c r="AR578" s="53" t="n"/>
      <c r="AS578" s="53" t="inlineStr">
        <is>
          <t>Technical - Developer</t>
        </is>
      </c>
      <c r="AT578" s="53" t="n">
        <v>0</v>
      </c>
      <c r="AU578" s="53" t="inlineStr">
        <is>
          <t>E-External Consultant</t>
        </is>
      </c>
      <c r="AV578" s="53" t="n"/>
      <c r="AW578" s="53" t="n"/>
      <c r="AX578" s="53" t="n"/>
      <c r="AY578" s="53" t="n"/>
      <c r="AZ578" s="53" t="n"/>
      <c r="BA578" s="53" t="n"/>
      <c r="BB578" s="53" t="n"/>
      <c r="BC578" s="53" t="n"/>
      <c r="BD578" s="53" t="n"/>
      <c r="BE578" s="53" t="n"/>
      <c r="BF578" s="53" t="n"/>
      <c r="BG578" s="53" t="n"/>
      <c r="BH578" s="53" t="n"/>
      <c r="BI578" s="53" t="n"/>
      <c r="BJ578" s="53" t="n"/>
      <c r="BK578" s="53" t="n"/>
      <c r="BL578" s="53" t="n"/>
      <c r="BM578" s="53" t="n"/>
      <c r="BN578" s="53" t="n"/>
      <c r="BO578" s="53" t="n"/>
      <c r="BP578" s="53" t="n"/>
      <c r="BQ578" s="53" t="n"/>
      <c r="BR578" s="53" t="n"/>
      <c r="BS578" s="53" t="n"/>
      <c r="BT578" s="53" t="n"/>
      <c r="BU578" s="53" t="n"/>
      <c r="BV578" s="53" t="n"/>
      <c r="BW578" s="53" t="n"/>
      <c r="BX578" s="53" t="n"/>
      <c r="BY578" s="53" t="n"/>
      <c r="BZ578" s="53" t="n"/>
      <c r="CA578" s="53" t="n"/>
      <c r="CB578" s="53" t="n"/>
      <c r="CC578" s="53" t="n"/>
      <c r="CD578" s="53" t="n"/>
      <c r="CE578" s="53" t="n"/>
      <c r="CF578" s="53" t="n"/>
      <c r="CG578" s="53" t="n"/>
      <c r="CH578" s="53" t="n"/>
      <c r="CI578" s="53" t="n"/>
      <c r="CJ578" s="53" t="n"/>
      <c r="CK578" s="53" t="n"/>
      <c r="CL578" s="53" t="n"/>
      <c r="CM578" s="53" t="n"/>
      <c r="CN578" s="53" t="n"/>
      <c r="CO578" s="53" t="n"/>
      <c r="CP578" s="53" t="n"/>
      <c r="CQ578" s="53" t="n"/>
      <c r="CR578" s="53" t="n"/>
      <c r="CS578" s="53" t="n"/>
      <c r="CT578" s="53" t="n"/>
      <c r="CU578" s="53" t="n"/>
      <c r="CV578" s="53" t="n"/>
      <c r="CW578" s="53" t="n"/>
      <c r="CX578" s="53" t="n"/>
      <c r="CY578" s="53" t="n"/>
      <c r="CZ578" s="53" t="n"/>
      <c r="DA578" s="53" t="n"/>
      <c r="DB578" s="53" t="n"/>
      <c r="DC578" s="53" t="n"/>
      <c r="DD578" s="53" t="n"/>
      <c r="DE578" s="53" t="n"/>
      <c r="DF578" s="53" t="n"/>
      <c r="DG578" s="53" t="n"/>
      <c r="DH578" s="53" t="n"/>
      <c r="DI578" s="53" t="n"/>
      <c r="DJ578" s="53" t="n"/>
      <c r="DK578" s="53" t="n"/>
      <c r="DL578" s="53" t="n"/>
      <c r="DM578" s="53" t="n"/>
      <c r="DN578" s="53" t="n"/>
      <c r="DO578" s="53" t="n"/>
      <c r="DP578" s="53" t="n"/>
      <c r="DQ578" s="53" t="n"/>
      <c r="DR578" s="53" t="n"/>
      <c r="DS578" s="53" t="n"/>
      <c r="DT578" s="53" t="n"/>
      <c r="DU578" s="53" t="n"/>
      <c r="DV578" s="53" t="n"/>
      <c r="DW578" s="53" t="n"/>
      <c r="DX578" s="53" t="n"/>
      <c r="DY578" s="53" t="n"/>
      <c r="DZ578" s="53" t="n"/>
      <c r="EA578" s="53" t="n"/>
      <c r="EB578" s="53" t="n"/>
      <c r="EC578" s="53" t="n"/>
      <c r="ED578" s="53" t="n"/>
      <c r="EE578" s="53" t="n"/>
      <c r="EF578" s="53" t="n"/>
      <c r="EG578" s="53" t="n"/>
      <c r="EH578" s="53" t="n"/>
      <c r="EI578" s="53" t="n"/>
      <c r="EJ578" s="53" t="n"/>
      <c r="EK578" s="53" t="n"/>
      <c r="EL578" s="53" t="n"/>
      <c r="EM578" s="53" t="n"/>
      <c r="EN578" s="53" t="n"/>
      <c r="EO578" s="53" t="n"/>
      <c r="EP578" s="53" t="n"/>
      <c r="EQ578" s="53" t="n"/>
      <c r="ER578" s="53" t="n"/>
      <c r="ES578" s="53" t="n"/>
      <c r="ET578" s="53" t="n"/>
      <c r="EU578" s="53" t="n"/>
      <c r="EV578" s="53" t="n"/>
      <c r="EW578" s="52" t="n"/>
      <c r="EX578" s="53" t="n"/>
      <c r="EY578" s="53" t="n"/>
      <c r="EZ578" s="53" t="n"/>
      <c r="FA578" s="53" t="n"/>
      <c r="FB578" s="53" t="n"/>
      <c r="FC578" s="53" t="n"/>
      <c r="FD578" s="53" t="n"/>
      <c r="FE578" s="55" t="inlineStr">
        <is>
          <t>KRAs not received · manager to supply</t>
        </is>
      </c>
      <c r="FF578" s="56" t="n"/>
      <c r="FG578" s="56" t="n"/>
      <c r="FH578" s="56" t="n"/>
      <c r="FI578" s="56" t="n"/>
      <c r="FJ578" s="32" t="inlineStr">
        <is>
          <t>KRAs not received · manager to supply</t>
        </is>
      </c>
      <c r="FK578" s="56" t="n"/>
      <c r="FL578" s="56" t="n">
        <v>0</v>
      </c>
      <c r="FM578" s="32" t="inlineStr">
        <is>
          <t>No survey response on file</t>
        </is>
      </c>
      <c r="FN578" s="56" t="inlineStr">
        <is>
          <t>—</t>
        </is>
      </c>
      <c r="FO578" s="56" t="inlineStr">
        <is>
          <t>—</t>
        </is>
      </c>
      <c r="FP578" s="56" t="inlineStr">
        <is>
          <t>—</t>
        </is>
      </c>
      <c r="FQ578" s="56" t="inlineStr">
        <is>
          <t>—</t>
        </is>
      </c>
      <c r="FR578" s="56" t="n"/>
      <c r="FS578"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8" s="56" t="n"/>
      <c r="FU578" s="32" t="inlineStr">
        <is>
          <t>No survey response on file</t>
        </is>
      </c>
    </row>
    <row r="579" ht="90" customHeight="1">
      <c r="A579" s="51" t="inlineStr">
        <is>
          <t>◂ Back</t>
        </is>
      </c>
      <c r="B579" s="29" t="inlineStr">
        <is>
          <t>Mapped</t>
        </is>
      </c>
      <c r="C579" s="28" t="inlineStr">
        <is>
          <t>iFile</t>
        </is>
      </c>
      <c r="D579" s="29" t="inlineStr">
        <is>
          <t>No Emp ID · external consultant</t>
        </is>
      </c>
      <c r="E579" s="29" t="inlineStr">
        <is>
          <t>Hardikraja</t>
        </is>
      </c>
      <c r="F579" s="29" t="inlineStr">
        <is>
          <t>Technology</t>
        </is>
      </c>
      <c r="G579" s="29" t="inlineStr">
        <is>
          <t>Consultant</t>
        </is>
      </c>
      <c r="H579" s="29" t="inlineStr">
        <is>
          <t>Associate Consultant – Software Development</t>
        </is>
      </c>
      <c r="I579" s="29" t="inlineStr">
        <is>
          <t>—</t>
        </is>
      </c>
      <c r="J579" s="29" t="inlineStr">
        <is>
          <t>X1</t>
        </is>
      </c>
      <c r="K579" s="29" t="inlineStr">
        <is>
          <t>• Same level</t>
        </is>
      </c>
      <c r="L579" s="29" t="inlineStr">
        <is>
          <t>Engineering &amp; Development</t>
        </is>
      </c>
      <c r="M579" s="29" t="inlineStr">
        <is>
          <t>Backend Development</t>
        </is>
      </c>
      <c r="N579" s="29" t="n"/>
      <c r="O579" s="29" t="n">
        <v>0</v>
      </c>
      <c r="P579" s="28" t="inlineStr">
        <is>
          <t>Contractor</t>
        </is>
      </c>
      <c r="Q579" s="29" t="inlineStr">
        <is>
          <t>—</t>
        </is>
      </c>
      <c r="R579" s="29" t="inlineStr">
        <is>
          <t>—</t>
        </is>
      </c>
      <c r="S579" s="29" t="inlineStr">
        <is>
          <t>0–5 yrs</t>
        </is>
      </c>
      <c r="T579" s="29" t="inlineStr">
        <is>
          <t>—</t>
        </is>
      </c>
      <c r="U579" s="29" t="inlineStr">
        <is>
          <t>Contractor · rate card</t>
        </is>
      </c>
      <c r="V579" s="29" t="inlineStr">
        <is>
          <t>—</t>
        </is>
      </c>
      <c r="W579" s="29" t="inlineStr">
        <is>
          <t>SFIA 9 · software development, programming; OWASP secure coding; cloud vendor certifications</t>
        </is>
      </c>
      <c r="X579" s="29" t="inlineStr">
        <is>
          <t>Per statement of work</t>
        </is>
      </c>
      <c r="Y579" s="52" t="n">
        <v>576</v>
      </c>
      <c r="Z579" s="53" t="n"/>
      <c r="AA579" s="53" t="inlineStr">
        <is>
          <t>External Consultant</t>
        </is>
      </c>
      <c r="AB579" s="53" t="inlineStr">
        <is>
          <t>Active</t>
        </is>
      </c>
      <c r="AC579" s="53" t="inlineStr">
        <is>
          <t>Hardikraja</t>
        </is>
      </c>
      <c r="AD579" s="54" t="n">
        <v>46055</v>
      </c>
      <c r="AE579" s="53" t="inlineStr">
        <is>
          <t>Consultant</t>
        </is>
      </c>
      <c r="AF579" s="53" t="n"/>
      <c r="AG579" s="53" t="n"/>
      <c r="AH579" s="53" t="n"/>
      <c r="AI579" s="53" t="inlineStr">
        <is>
          <t>Individual Contributor</t>
        </is>
      </c>
      <c r="AJ579" s="53" t="n"/>
      <c r="AK579" s="53" t="n"/>
      <c r="AL579" s="53" t="n"/>
      <c r="AM579" s="53" t="inlineStr">
        <is>
          <t>iFile</t>
        </is>
      </c>
      <c r="AN579" s="53" t="inlineStr">
        <is>
          <t>Technology</t>
        </is>
      </c>
      <c r="AO579" s="53" t="inlineStr">
        <is>
          <t>Development</t>
        </is>
      </c>
      <c r="AP579" s="53" t="inlineStr">
        <is>
          <t>Yes</t>
        </is>
      </c>
      <c r="AQ579" s="53" t="inlineStr">
        <is>
          <t>Product/Project</t>
        </is>
      </c>
      <c r="AR579" s="53" t="n"/>
      <c r="AS579" s="53" t="inlineStr">
        <is>
          <t>Technical - Developer</t>
        </is>
      </c>
      <c r="AT579" s="53" t="n">
        <v>0</v>
      </c>
      <c r="AU579" s="53" t="inlineStr">
        <is>
          <t>E-External Consultant</t>
        </is>
      </c>
      <c r="AV579" s="53" t="n"/>
      <c r="AW579" s="53" t="n"/>
      <c r="AX579" s="53" t="n"/>
      <c r="AY579" s="53" t="n"/>
      <c r="AZ579" s="53" t="n"/>
      <c r="BA579" s="53" t="n"/>
      <c r="BB579" s="53" t="n"/>
      <c r="BC579" s="53" t="n"/>
      <c r="BD579" s="53" t="n"/>
      <c r="BE579" s="53" t="n"/>
      <c r="BF579" s="53" t="n"/>
      <c r="BG579" s="53" t="n"/>
      <c r="BH579" s="53" t="n"/>
      <c r="BI579" s="53" t="n"/>
      <c r="BJ579" s="53" t="n"/>
      <c r="BK579" s="53" t="n"/>
      <c r="BL579" s="53" t="n"/>
      <c r="BM579" s="53" t="n"/>
      <c r="BN579" s="53" t="n"/>
      <c r="BO579" s="53" t="n"/>
      <c r="BP579" s="53" t="n"/>
      <c r="BQ579" s="53" t="n"/>
      <c r="BR579" s="53" t="n"/>
      <c r="BS579" s="53" t="n"/>
      <c r="BT579" s="53" t="n"/>
      <c r="BU579" s="53" t="n"/>
      <c r="BV579" s="53" t="n"/>
      <c r="BW579" s="53" t="n"/>
      <c r="BX579" s="53" t="n"/>
      <c r="BY579" s="53" t="n"/>
      <c r="BZ579" s="53" t="n"/>
      <c r="CA579" s="53" t="n"/>
      <c r="CB579" s="53" t="n"/>
      <c r="CC579" s="53" t="n"/>
      <c r="CD579" s="53" t="n"/>
      <c r="CE579" s="53" t="n"/>
      <c r="CF579" s="53" t="n"/>
      <c r="CG579" s="53" t="n"/>
      <c r="CH579" s="53" t="n"/>
      <c r="CI579" s="53" t="n"/>
      <c r="CJ579" s="53" t="n"/>
      <c r="CK579" s="53" t="n"/>
      <c r="CL579" s="53" t="n"/>
      <c r="CM579" s="53" t="n"/>
      <c r="CN579" s="53" t="n"/>
      <c r="CO579" s="53" t="n"/>
      <c r="CP579" s="53" t="n"/>
      <c r="CQ579" s="53" t="n"/>
      <c r="CR579" s="53" t="n"/>
      <c r="CS579" s="53" t="n"/>
      <c r="CT579" s="53" t="n"/>
      <c r="CU579" s="53" t="n"/>
      <c r="CV579" s="53" t="n"/>
      <c r="CW579" s="53" t="n"/>
      <c r="CX579" s="53" t="n"/>
      <c r="CY579" s="53" t="n"/>
      <c r="CZ579" s="53" t="n"/>
      <c r="DA579" s="53" t="n"/>
      <c r="DB579" s="53" t="n"/>
      <c r="DC579" s="53" t="n"/>
      <c r="DD579" s="53" t="n"/>
      <c r="DE579" s="53" t="n"/>
      <c r="DF579" s="53" t="n"/>
      <c r="DG579" s="53" t="n"/>
      <c r="DH579" s="53" t="n"/>
      <c r="DI579" s="53" t="n"/>
      <c r="DJ579" s="53" t="n"/>
      <c r="DK579" s="53" t="n"/>
      <c r="DL579" s="53" t="n"/>
      <c r="DM579" s="53" t="n"/>
      <c r="DN579" s="53" t="n"/>
      <c r="DO579" s="53" t="n"/>
      <c r="DP579" s="53" t="n"/>
      <c r="DQ579" s="53" t="n"/>
      <c r="DR579" s="53" t="n"/>
      <c r="DS579" s="53" t="n"/>
      <c r="DT579" s="53" t="n"/>
      <c r="DU579" s="53" t="n"/>
      <c r="DV579" s="53" t="n"/>
      <c r="DW579" s="53" t="n"/>
      <c r="DX579" s="53" t="n"/>
      <c r="DY579" s="53" t="n"/>
      <c r="DZ579" s="53" t="n"/>
      <c r="EA579" s="53" t="n"/>
      <c r="EB579" s="53" t="n"/>
      <c r="EC579" s="53" t="n"/>
      <c r="ED579" s="53" t="n"/>
      <c r="EE579" s="53" t="n"/>
      <c r="EF579" s="53" t="n"/>
      <c r="EG579" s="53" t="n"/>
      <c r="EH579" s="53" t="n"/>
      <c r="EI579" s="53" t="n"/>
      <c r="EJ579" s="53" t="n"/>
      <c r="EK579" s="53" t="n"/>
      <c r="EL579" s="53" t="n"/>
      <c r="EM579" s="53" t="n"/>
      <c r="EN579" s="53" t="n"/>
      <c r="EO579" s="53" t="n"/>
      <c r="EP579" s="53" t="n"/>
      <c r="EQ579" s="53" t="n"/>
      <c r="ER579" s="53" t="n"/>
      <c r="ES579" s="53" t="n"/>
      <c r="ET579" s="53" t="n"/>
      <c r="EU579" s="53" t="n"/>
      <c r="EV579" s="53" t="n"/>
      <c r="EW579" s="52" t="n"/>
      <c r="EX579" s="53" t="n"/>
      <c r="EY579" s="53" t="n"/>
      <c r="EZ579" s="53" t="n"/>
      <c r="FA579" s="53" t="n"/>
      <c r="FB579" s="53" t="n"/>
      <c r="FC579" s="53" t="n"/>
      <c r="FD579" s="53" t="n"/>
      <c r="FE579" s="55" t="inlineStr">
        <is>
          <t>KRAs not received · manager to supply</t>
        </is>
      </c>
      <c r="FF579" s="56" t="n"/>
      <c r="FG579" s="56" t="n"/>
      <c r="FH579" s="56" t="n"/>
      <c r="FI579" s="56" t="n"/>
      <c r="FJ579" s="32" t="inlineStr">
        <is>
          <t>KRAs not received · manager to supply</t>
        </is>
      </c>
      <c r="FK579" s="56" t="n"/>
      <c r="FL579" s="56" t="n">
        <v>0</v>
      </c>
      <c r="FM579" s="32" t="inlineStr">
        <is>
          <t>No survey response on file</t>
        </is>
      </c>
      <c r="FN579" s="56" t="inlineStr">
        <is>
          <t>—</t>
        </is>
      </c>
      <c r="FO579" s="56" t="inlineStr">
        <is>
          <t>—</t>
        </is>
      </c>
      <c r="FP579" s="56" t="inlineStr">
        <is>
          <t>—</t>
        </is>
      </c>
      <c r="FQ579" s="56" t="inlineStr">
        <is>
          <t>—</t>
        </is>
      </c>
      <c r="FR579" s="56" t="n"/>
      <c r="FS57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9" s="56" t="n"/>
      <c r="FU579" s="32" t="inlineStr">
        <is>
          <t>No survey response on file</t>
        </is>
      </c>
    </row>
    <row r="580" ht="90" customHeight="1">
      <c r="A580" s="51" t="inlineStr">
        <is>
          <t>◂ Back</t>
        </is>
      </c>
      <c r="B580" s="29" t="inlineStr">
        <is>
          <t>Mapped</t>
        </is>
      </c>
      <c r="C580" s="28" t="inlineStr">
        <is>
          <t>iFile</t>
        </is>
      </c>
      <c r="D580" s="29" t="inlineStr">
        <is>
          <t>No Emp ID · external consultant</t>
        </is>
      </c>
      <c r="E580" s="29" t="inlineStr">
        <is>
          <t>Jay Kalariya</t>
        </is>
      </c>
      <c r="F580" s="29" t="inlineStr">
        <is>
          <t>Technology</t>
        </is>
      </c>
      <c r="G580" s="29" t="inlineStr">
        <is>
          <t>Consultant</t>
        </is>
      </c>
      <c r="H580" s="29" t="inlineStr">
        <is>
          <t>Associate Consultant – Software Development</t>
        </is>
      </c>
      <c r="I580" s="29" t="inlineStr">
        <is>
          <t>—</t>
        </is>
      </c>
      <c r="J580" s="29" t="inlineStr">
        <is>
          <t>X1</t>
        </is>
      </c>
      <c r="K580" s="29" t="inlineStr">
        <is>
          <t>• Same level</t>
        </is>
      </c>
      <c r="L580" s="29" t="inlineStr">
        <is>
          <t>Engineering &amp; Development</t>
        </is>
      </c>
      <c r="M580" s="29" t="inlineStr">
        <is>
          <t>Backend Development</t>
        </is>
      </c>
      <c r="N580" s="29" t="n"/>
      <c r="O580" s="29" t="n">
        <v>0</v>
      </c>
      <c r="P580" s="28" t="inlineStr">
        <is>
          <t>Contractor</t>
        </is>
      </c>
      <c r="Q580" s="29" t="inlineStr">
        <is>
          <t>—</t>
        </is>
      </c>
      <c r="R580" s="29" t="inlineStr">
        <is>
          <t>—</t>
        </is>
      </c>
      <c r="S580" s="29" t="inlineStr">
        <is>
          <t>0–5 yrs</t>
        </is>
      </c>
      <c r="T580" s="29" t="inlineStr">
        <is>
          <t>—</t>
        </is>
      </c>
      <c r="U580" s="29" t="inlineStr">
        <is>
          <t>Contractor · rate card</t>
        </is>
      </c>
      <c r="V580" s="29" t="inlineStr">
        <is>
          <t>—</t>
        </is>
      </c>
      <c r="W580" s="29" t="inlineStr">
        <is>
          <t>SFIA 9 · software development, programming; OWASP secure coding; cloud vendor certifications</t>
        </is>
      </c>
      <c r="X580" s="29" t="inlineStr">
        <is>
          <t>Per statement of work</t>
        </is>
      </c>
      <c r="Y580" s="52" t="n">
        <v>569</v>
      </c>
      <c r="Z580" s="53" t="n"/>
      <c r="AA580" s="53" t="inlineStr">
        <is>
          <t>External Consultant</t>
        </is>
      </c>
      <c r="AB580" s="53" t="inlineStr">
        <is>
          <t>Active</t>
        </is>
      </c>
      <c r="AC580" s="53" t="inlineStr">
        <is>
          <t>Jay Kalariya</t>
        </is>
      </c>
      <c r="AD580" s="54" t="n">
        <v>45425</v>
      </c>
      <c r="AE580" s="53" t="inlineStr">
        <is>
          <t>Consultant</t>
        </is>
      </c>
      <c r="AF580" s="53" t="n"/>
      <c r="AG580" s="53" t="n"/>
      <c r="AH580" s="53" t="n"/>
      <c r="AI580" s="53" t="inlineStr">
        <is>
          <t>Individual Contributor</t>
        </is>
      </c>
      <c r="AJ580" s="53" t="n"/>
      <c r="AK580" s="53" t="n"/>
      <c r="AL580" s="53" t="n"/>
      <c r="AM580" s="53" t="inlineStr">
        <is>
          <t>iFile</t>
        </is>
      </c>
      <c r="AN580" s="53" t="inlineStr">
        <is>
          <t>Technology</t>
        </is>
      </c>
      <c r="AO580" s="53" t="inlineStr">
        <is>
          <t>Development</t>
        </is>
      </c>
      <c r="AP580" s="53" t="inlineStr">
        <is>
          <t>Yes</t>
        </is>
      </c>
      <c r="AQ580" s="53" t="inlineStr">
        <is>
          <t>Product/Project</t>
        </is>
      </c>
      <c r="AR580" s="53" t="n"/>
      <c r="AS580" s="53" t="inlineStr">
        <is>
          <t>Technical - Developer</t>
        </is>
      </c>
      <c r="AT580" s="53" t="n">
        <v>0</v>
      </c>
      <c r="AU580" s="53" t="inlineStr">
        <is>
          <t>E-External Consultant</t>
        </is>
      </c>
      <c r="AV580" s="53" t="n"/>
      <c r="AW580" s="53" t="n"/>
      <c r="AX580" s="53" t="n"/>
      <c r="AY580" s="53" t="n"/>
      <c r="AZ580" s="53" t="n"/>
      <c r="BA580" s="53" t="n"/>
      <c r="BB580" s="53" t="n"/>
      <c r="BC580" s="53" t="n"/>
      <c r="BD580" s="53" t="n"/>
      <c r="BE580" s="53" t="n"/>
      <c r="BF580" s="53" t="n"/>
      <c r="BG580" s="53" t="n"/>
      <c r="BH580" s="53" t="n"/>
      <c r="BI580" s="53" t="n"/>
      <c r="BJ580" s="53" t="n"/>
      <c r="BK580" s="53" t="n"/>
      <c r="BL580" s="53" t="n"/>
      <c r="BM580" s="53" t="n"/>
      <c r="BN580" s="53" t="n"/>
      <c r="BO580" s="53" t="n"/>
      <c r="BP580" s="53" t="n"/>
      <c r="BQ580" s="53" t="n"/>
      <c r="BR580" s="53" t="n"/>
      <c r="BS580" s="53" t="n"/>
      <c r="BT580" s="53" t="n"/>
      <c r="BU580" s="53" t="n"/>
      <c r="BV580" s="53" t="n"/>
      <c r="BW580" s="53" t="n"/>
      <c r="BX580" s="53" t="n"/>
      <c r="BY580" s="53" t="n"/>
      <c r="BZ580" s="53" t="n"/>
      <c r="CA580" s="53" t="n"/>
      <c r="CB580" s="53" t="n"/>
      <c r="CC580" s="53" t="n"/>
      <c r="CD580" s="53" t="n"/>
      <c r="CE580" s="53" t="n"/>
      <c r="CF580" s="53" t="n"/>
      <c r="CG580" s="53" t="n"/>
      <c r="CH580" s="53" t="n"/>
      <c r="CI580" s="53" t="n"/>
      <c r="CJ580" s="53" t="n"/>
      <c r="CK580" s="53" t="n"/>
      <c r="CL580" s="53" t="n"/>
      <c r="CM580" s="53" t="n"/>
      <c r="CN580" s="53" t="n"/>
      <c r="CO580" s="53" t="n"/>
      <c r="CP580" s="53" t="n"/>
      <c r="CQ580" s="53" t="n"/>
      <c r="CR580" s="53" t="n"/>
      <c r="CS580" s="53" t="n"/>
      <c r="CT580" s="53" t="n"/>
      <c r="CU580" s="53" t="n"/>
      <c r="CV580" s="53" t="n"/>
      <c r="CW580" s="53" t="n"/>
      <c r="CX580" s="53" t="n"/>
      <c r="CY580" s="53" t="n"/>
      <c r="CZ580" s="53" t="n"/>
      <c r="DA580" s="53" t="n"/>
      <c r="DB580" s="53" t="n"/>
      <c r="DC580" s="53" t="n"/>
      <c r="DD580" s="53" t="n"/>
      <c r="DE580" s="53" t="n"/>
      <c r="DF580" s="53" t="n"/>
      <c r="DG580" s="53" t="n"/>
      <c r="DH580" s="53" t="n"/>
      <c r="DI580" s="53" t="n"/>
      <c r="DJ580" s="53" t="n"/>
      <c r="DK580" s="53" t="n"/>
      <c r="DL580" s="53" t="n"/>
      <c r="DM580" s="53" t="n"/>
      <c r="DN580" s="53" t="n"/>
      <c r="DO580" s="53" t="n"/>
      <c r="DP580" s="53" t="n"/>
      <c r="DQ580" s="53" t="n"/>
      <c r="DR580" s="53" t="n"/>
      <c r="DS580" s="53" t="n"/>
      <c r="DT580" s="53" t="n"/>
      <c r="DU580" s="53" t="n"/>
      <c r="DV580" s="53" t="n"/>
      <c r="DW580" s="53" t="n"/>
      <c r="DX580" s="53" t="n"/>
      <c r="DY580" s="53" t="n"/>
      <c r="DZ580" s="53" t="n"/>
      <c r="EA580" s="53" t="n"/>
      <c r="EB580" s="53" t="n"/>
      <c r="EC580" s="53" t="n"/>
      <c r="ED580" s="53" t="n"/>
      <c r="EE580" s="53" t="n"/>
      <c r="EF580" s="53" t="n"/>
      <c r="EG580" s="53" t="n"/>
      <c r="EH580" s="53" t="n"/>
      <c r="EI580" s="53" t="n"/>
      <c r="EJ580" s="53" t="n"/>
      <c r="EK580" s="53" t="n"/>
      <c r="EL580" s="53" t="n"/>
      <c r="EM580" s="53" t="n"/>
      <c r="EN580" s="53" t="n"/>
      <c r="EO580" s="53" t="n"/>
      <c r="EP580" s="53" t="n"/>
      <c r="EQ580" s="53" t="n"/>
      <c r="ER580" s="53" t="n"/>
      <c r="ES580" s="53" t="n"/>
      <c r="ET580" s="53" t="n"/>
      <c r="EU580" s="53" t="n"/>
      <c r="EV580" s="53" t="n"/>
      <c r="EW580" s="52" t="n"/>
      <c r="EX580" s="53" t="n"/>
      <c r="EY580" s="53" t="n"/>
      <c r="EZ580" s="53" t="n"/>
      <c r="FA580" s="53" t="n"/>
      <c r="FB580" s="53" t="n"/>
      <c r="FC580" s="53" t="n"/>
      <c r="FD580" s="53" t="n"/>
      <c r="FE580" s="55" t="inlineStr">
        <is>
          <t>KRAs not received · manager to supply</t>
        </is>
      </c>
      <c r="FF580" s="56" t="n"/>
      <c r="FG580" s="56" t="n"/>
      <c r="FH580" s="56" t="n"/>
      <c r="FI580" s="56" t="n"/>
      <c r="FJ580" s="32" t="inlineStr">
        <is>
          <t>KRAs not received · manager to supply</t>
        </is>
      </c>
      <c r="FK580" s="56" t="n"/>
      <c r="FL580" s="56" t="n">
        <v>0</v>
      </c>
      <c r="FM580" s="32" t="inlineStr">
        <is>
          <t>No survey response on file</t>
        </is>
      </c>
      <c r="FN580" s="56" t="inlineStr">
        <is>
          <t>—</t>
        </is>
      </c>
      <c r="FO580" s="56" t="inlineStr">
        <is>
          <t>—</t>
        </is>
      </c>
      <c r="FP580" s="56" t="inlineStr">
        <is>
          <t>—</t>
        </is>
      </c>
      <c r="FQ580" s="56" t="inlineStr">
        <is>
          <t>—</t>
        </is>
      </c>
      <c r="FR580" s="56" t="n"/>
      <c r="FS580"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0" s="56" t="n"/>
      <c r="FU580" s="32" t="inlineStr">
        <is>
          <t>No survey response on file</t>
        </is>
      </c>
    </row>
    <row r="581" ht="90" customHeight="1">
      <c r="A581" s="51" t="inlineStr">
        <is>
          <t>◂ Back</t>
        </is>
      </c>
      <c r="B581" s="29" t="inlineStr">
        <is>
          <t>Mapped</t>
        </is>
      </c>
      <c r="C581" s="28" t="inlineStr">
        <is>
          <t>CARBON</t>
        </is>
      </c>
      <c r="D581" s="29" t="inlineStr">
        <is>
          <t>No Emp ID · in-house consultant</t>
        </is>
      </c>
      <c r="E581" s="29" t="inlineStr">
        <is>
          <t>Kanika Jain</t>
        </is>
      </c>
      <c r="F581" s="29" t="inlineStr">
        <is>
          <t>Support</t>
        </is>
      </c>
      <c r="G581" s="29" t="inlineStr">
        <is>
          <t>Consultant</t>
        </is>
      </c>
      <c r="H581" s="29" t="inlineStr">
        <is>
          <t>Associate Consultant – Customer Success &amp; Account Management</t>
        </is>
      </c>
      <c r="I581" s="29" t="inlineStr">
        <is>
          <t>L3 – Professional / Associate</t>
        </is>
      </c>
      <c r="J581" s="29" t="inlineStr">
        <is>
          <t>X1</t>
        </is>
      </c>
      <c r="K581" s="29" t="inlineStr">
        <is>
          <t>• Same level</t>
        </is>
      </c>
      <c r="L581" s="29" t="inlineStr">
        <is>
          <t>Customer Success &amp; Support</t>
        </is>
      </c>
      <c r="M581" s="29" t="inlineStr">
        <is>
          <t>Customer Success &amp; Account Management</t>
        </is>
      </c>
      <c r="N581" s="29" t="n"/>
      <c r="O581" s="29" t="n">
        <v>0</v>
      </c>
      <c r="P581" s="28" t="inlineStr">
        <is>
          <t>Contractor</t>
        </is>
      </c>
      <c r="Q581" s="29" t="inlineStr">
        <is>
          <t>—</t>
        </is>
      </c>
      <c r="R581" s="29" t="inlineStr">
        <is>
          <t>—</t>
        </is>
      </c>
      <c r="S581" s="29" t="inlineStr">
        <is>
          <t>0–5 yrs</t>
        </is>
      </c>
      <c r="T581" s="29" t="inlineStr">
        <is>
          <t>—</t>
        </is>
      </c>
      <c r="U581" s="29" t="inlineStr">
        <is>
          <t>Contractor · rate card</t>
        </is>
      </c>
      <c r="V581" s="29" t="inlineStr">
        <is>
          <t>—</t>
        </is>
      </c>
      <c r="W581" s="29" t="inlineStr">
        <is>
          <t>TSIA frameworks and benchmarks; ITIL 4 service desk; Gainsight customer-success practice</t>
        </is>
      </c>
      <c r="X581" s="29" t="inlineStr">
        <is>
          <t>Per statement of work</t>
        </is>
      </c>
      <c r="Y581" s="52" t="n">
        <v>580</v>
      </c>
      <c r="Z581" s="53" t="n"/>
      <c r="AA581" s="53" t="inlineStr">
        <is>
          <t>In-House Consultant</t>
        </is>
      </c>
      <c r="AB581" s="53" t="inlineStr">
        <is>
          <t>Active</t>
        </is>
      </c>
      <c r="AC581" s="53" t="inlineStr">
        <is>
          <t>Kanika Jain</t>
        </is>
      </c>
      <c r="AD581" s="54" t="n">
        <v>45461</v>
      </c>
      <c r="AE581" s="53" t="inlineStr">
        <is>
          <t>Consultant</t>
        </is>
      </c>
      <c r="AF581" s="53" t="n"/>
      <c r="AG581" s="53" t="n"/>
      <c r="AH581" s="53" t="n"/>
      <c r="AI581" s="53" t="inlineStr">
        <is>
          <t>Individual Contributor</t>
        </is>
      </c>
      <c r="AJ581" s="53" t="n"/>
      <c r="AK581" s="53" t="n"/>
      <c r="AL581" s="53" t="n"/>
      <c r="AM581" s="53" t="inlineStr">
        <is>
          <t>CARBON</t>
        </is>
      </c>
      <c r="AN581" s="53" t="inlineStr">
        <is>
          <t>Support</t>
        </is>
      </c>
      <c r="AO581" s="53" t="inlineStr">
        <is>
          <t>Client Engagement</t>
        </is>
      </c>
      <c r="AP581" s="53" t="inlineStr">
        <is>
          <t>No</t>
        </is>
      </c>
      <c r="AQ581" s="53" t="inlineStr">
        <is>
          <t>Client Engagement</t>
        </is>
      </c>
      <c r="AR581" s="53" t="n"/>
      <c r="AS581" s="53" t="inlineStr">
        <is>
          <t>Non-technical</t>
        </is>
      </c>
      <c r="AT581" s="53" t="n">
        <v>0</v>
      </c>
      <c r="AU581" s="53" t="inlineStr">
        <is>
          <t>E-External Consultant</t>
        </is>
      </c>
      <c r="AV581" s="53" t="inlineStr">
        <is>
          <t>IRISC295</t>
        </is>
      </c>
      <c r="AW581" s="53" t="inlineStr">
        <is>
          <t>Kanika Jain</t>
        </is>
      </c>
      <c r="AX581" s="53" t="inlineStr">
        <is>
          <t>Support</t>
        </is>
      </c>
      <c r="AY581" s="53" t="inlineStr">
        <is>
          <t>Customer Success &amp; Support</t>
        </is>
      </c>
      <c r="AZ581" s="53" t="inlineStr">
        <is>
          <t>Customer Success</t>
        </is>
      </c>
      <c r="BA581" s="53" t="n"/>
      <c r="BB581" s="53" t="n"/>
      <c r="BC581" s="53" t="inlineStr">
        <is>
          <t>Full Time Consultant</t>
        </is>
      </c>
      <c r="BD581" s="53" t="inlineStr">
        <is>
          <t>Anushree Aparajit</t>
        </is>
      </c>
      <c r="BE581" s="53" t="inlineStr">
        <is>
          <t>Anushree Aparajit</t>
        </is>
      </c>
      <c r="BF581" s="53" t="inlineStr">
        <is>
          <t>No</t>
        </is>
      </c>
      <c r="BG581" s="53" t="inlineStr">
        <is>
          <t>Consultant</t>
        </is>
      </c>
      <c r="BH581" s="53" t="inlineStr">
        <is>
          <t>Senior Consultant</t>
        </is>
      </c>
      <c r="BI581" s="53" t="inlineStr">
        <is>
          <t>Yes</t>
        </is>
      </c>
      <c r="BJ581" s="53" t="inlineStr">
        <is>
          <t>—</t>
        </is>
      </c>
      <c r="BK581" s="53" t="inlineStr">
        <is>
          <t>—</t>
        </is>
      </c>
      <c r="BL581" s="53" t="inlineStr">
        <is>
          <t>—</t>
        </is>
      </c>
      <c r="BM581" s="53" t="inlineStr">
        <is>
          <t>Not a manager</t>
        </is>
      </c>
      <c r="BN581" s="53" t="inlineStr">
        <is>
          <t>—</t>
        </is>
      </c>
      <c r="BO581" s="53" t="inlineStr">
        <is>
          <t>—</t>
        </is>
      </c>
      <c r="BP581" s="53" t="inlineStr">
        <is>
          <t>—</t>
        </is>
      </c>
      <c r="BQ581" s="53" t="inlineStr">
        <is>
          <t>Not a manager</t>
        </is>
      </c>
      <c r="BR581" s="53" t="inlineStr">
        <is>
          <t>—</t>
        </is>
      </c>
      <c r="BS581" s="53" t="inlineStr">
        <is>
          <t>L3 – Professional / Associate</t>
        </is>
      </c>
      <c r="BT581" s="53" t="inlineStr">
        <is>
          <t>L3 – Professional / Associate</t>
        </is>
      </c>
      <c r="BU581" s="53" t="inlineStr">
        <is>
          <t>Designation refined from Raw tab Comments column · this update</t>
        </is>
      </c>
      <c r="BV581" s="53" t="n"/>
      <c r="BW581" s="53" t="n"/>
      <c r="BX581" s="53" t="n"/>
      <c r="BY581" s="53" t="n"/>
      <c r="BZ581" s="53" t="inlineStr">
        <is>
          <t>IRISC295</t>
        </is>
      </c>
      <c r="CA581" s="53" t="inlineStr">
        <is>
          <t>Full Time Consultant</t>
        </is>
      </c>
      <c r="CB581" s="53" t="inlineStr">
        <is>
          <t>Active</t>
        </is>
      </c>
      <c r="CC581" s="53" t="inlineStr">
        <is>
          <t>Kanika Jain</t>
        </is>
      </c>
      <c r="CD581" s="54" t="n">
        <v>45461</v>
      </c>
      <c r="CE581" s="53" t="inlineStr">
        <is>
          <t>Consultant</t>
        </is>
      </c>
      <c r="CF581" s="53" t="inlineStr">
        <is>
          <t>Helps Anushree in agreement review etc</t>
        </is>
      </c>
      <c r="CG581" s="53" t="inlineStr">
        <is>
          <t>Customer Success &amp; Support</t>
        </is>
      </c>
      <c r="CH581" s="53" t="inlineStr">
        <is>
          <t>Customer Support</t>
        </is>
      </c>
      <c r="CI581" s="53" t="inlineStr">
        <is>
          <t>Senior Consultant</t>
        </is>
      </c>
      <c r="CJ581" s="53" t="inlineStr">
        <is>
          <t>L3 – Professional / Associate</t>
        </is>
      </c>
      <c r="CK581" s="53" t="inlineStr">
        <is>
          <t>Anushree Aparajit</t>
        </is>
      </c>
      <c r="CL581" s="53" t="inlineStr">
        <is>
          <t>N-5</t>
        </is>
      </c>
      <c r="CM581" s="53" t="inlineStr">
        <is>
          <t>Individual Contributor</t>
        </is>
      </c>
      <c r="CN581" s="53" t="inlineStr">
        <is>
          <t>Regtech</t>
        </is>
      </c>
      <c r="CO581" s="53" t="inlineStr">
        <is>
          <t>Support</t>
        </is>
      </c>
      <c r="CP581" s="53" t="inlineStr">
        <is>
          <t>8 years, 5 months, 2 days</t>
        </is>
      </c>
      <c r="CQ581" s="53" t="inlineStr">
        <is>
          <t>Senior Consultant · review – experience supports senior band</t>
        </is>
      </c>
      <c r="CR581" s="53" t="n"/>
      <c r="CS581" s="53" t="n"/>
      <c r="CT581" s="53" t="n"/>
      <c r="CU581" s="53" t="n"/>
      <c r="CV581" s="53" t="n"/>
      <c r="CW581" s="53" t="n"/>
      <c r="CX581" s="53" t="n"/>
      <c r="CY581" s="53" t="n"/>
      <c r="CZ581" s="53" t="inlineStr">
        <is>
          <t>XBRL taxonomy &amp; regulatory updates; domain/accounting refreshers; quality &amp; accuracy practices; tooling proficiency</t>
        </is>
      </c>
      <c r="DA581" s="53" t="inlineStr">
        <is>
          <t>Transition to leadership: people management &amp; delegation, mentoring/coaching, project ownership &amp; stakeholder management, prioritisation under ambiguity, presentation &amp; influence skills</t>
        </is>
      </c>
      <c r="DB581" s="53" t="inlineStr">
        <is>
          <t>NA - Contractor. Title to be standardized to : Senior Consultant</t>
        </is>
      </c>
      <c r="DC581" s="53" t="n"/>
      <c r="DD581" s="53" t="n"/>
      <c r="DE581" s="53" t="n"/>
      <c r="DF581" s="53" t="n"/>
      <c r="DG581" s="53" t="n"/>
      <c r="DH581" s="53" t="n"/>
      <c r="DI581" s="53" t="n"/>
      <c r="DJ581" s="53" t="n"/>
      <c r="DK581" s="53" t="n"/>
      <c r="DL581" s="53" t="n"/>
      <c r="DM581" s="53" t="n"/>
      <c r="DN581" s="53" t="n"/>
      <c r="DO581" s="53" t="n"/>
      <c r="DP581" s="53" t="n"/>
      <c r="DQ581" s="53" t="n"/>
      <c r="DR581" s="53" t="n"/>
      <c r="DS581" s="53" t="n"/>
      <c r="DT581" s="53" t="n"/>
      <c r="DU581" s="53" t="n"/>
      <c r="DV581" s="53" t="n"/>
      <c r="DW581" s="53" t="n"/>
      <c r="DX581" s="53" t="n"/>
      <c r="DY581" s="53" t="n"/>
      <c r="DZ581" s="53" t="n"/>
      <c r="EA581" s="53" t="n"/>
      <c r="EB581" s="53" t="n"/>
      <c r="EC581" s="53" t="n"/>
      <c r="ED581" s="53" t="n"/>
      <c r="EE581" s="53" t="n"/>
      <c r="EF581" s="53" t="n"/>
      <c r="EG581" s="53" t="n"/>
      <c r="EH581" s="53" t="n"/>
      <c r="EI581" s="53" t="n"/>
      <c r="EJ581" s="53" t="n"/>
      <c r="EK581" s="53" t="n"/>
      <c r="EL581" s="53" t="n"/>
      <c r="EM581" s="53" t="n"/>
      <c r="EN581" s="53" t="n"/>
      <c r="EO581" s="53" t="n"/>
      <c r="EP581" s="53" t="n"/>
      <c r="EQ581" s="53" t="n"/>
      <c r="ER581" s="53" t="n"/>
      <c r="ES581" s="53" t="n"/>
      <c r="ET581" s="53" t="n"/>
      <c r="EU581" s="53" t="n"/>
      <c r="EV581" s="53" t="n"/>
      <c r="EW581" s="52" t="n"/>
      <c r="EX581" s="53" t="n"/>
      <c r="EY581" s="53" t="n"/>
      <c r="EZ581" s="53" t="n"/>
      <c r="FA581" s="53" t="n"/>
      <c r="FB581" s="53" t="n"/>
      <c r="FC581" s="53" t="n"/>
      <c r="FD581" s="53" t="inlineStr">
        <is>
          <t>IRISC295</t>
        </is>
      </c>
      <c r="FE581" s="55" t="inlineStr">
        <is>
          <t>KRAs not received · manager to supply</t>
        </is>
      </c>
      <c r="FF581" s="56" t="n"/>
      <c r="FG581" s="56" t="n"/>
      <c r="FH581" s="56" t="n"/>
      <c r="FI581" s="56" t="inlineStr">
        <is>
          <t>Helps Anushree in agreement review etc</t>
        </is>
      </c>
      <c r="FJ581" s="32" t="inlineStr">
        <is>
          <t>KRAs not received · manager to supply</t>
        </is>
      </c>
      <c r="FK581" s="56" t="inlineStr">
        <is>
          <t>CARBON Talent Mapping · Raw</t>
        </is>
      </c>
      <c r="FL581" s="56" t="n">
        <v>0</v>
      </c>
      <c r="FM581" s="32" t="inlineStr">
        <is>
          <t>No survey response on file</t>
        </is>
      </c>
      <c r="FN581" s="56" t="inlineStr">
        <is>
          <t>—</t>
        </is>
      </c>
      <c r="FO581" s="56" t="inlineStr">
        <is>
          <t>—</t>
        </is>
      </c>
      <c r="FP581" s="56" t="inlineStr">
        <is>
          <t>—</t>
        </is>
      </c>
      <c r="FQ581" s="56" t="inlineStr">
        <is>
          <t>—</t>
        </is>
      </c>
      <c r="FR581" s="56" t="n"/>
      <c r="FS581"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581" s="56" t="n"/>
      <c r="FU581" s="32" t="inlineStr">
        <is>
          <t>No survey response on file</t>
        </is>
      </c>
    </row>
    <row r="582" ht="90" customHeight="1">
      <c r="A582" s="51" t="inlineStr">
        <is>
          <t>◂ Back</t>
        </is>
      </c>
      <c r="B582" s="29" t="inlineStr">
        <is>
          <t>Mapped</t>
        </is>
      </c>
      <c r="C582" s="28" t="inlineStr">
        <is>
          <t>iFile</t>
        </is>
      </c>
      <c r="D582" s="29" t="inlineStr">
        <is>
          <t>No Emp ID · in-house consultant</t>
        </is>
      </c>
      <c r="E582" s="29" t="inlineStr">
        <is>
          <t>Nilimesh Baruah</t>
        </is>
      </c>
      <c r="F582" s="29" t="inlineStr">
        <is>
          <t>Technology</t>
        </is>
      </c>
      <c r="G582" s="29" t="inlineStr">
        <is>
          <t>Consultant</t>
        </is>
      </c>
      <c r="H582" s="29" t="inlineStr">
        <is>
          <t>Associate Consultant – Software Development</t>
        </is>
      </c>
      <c r="I582" s="29" t="inlineStr">
        <is>
          <t>—</t>
        </is>
      </c>
      <c r="J582" s="29" t="inlineStr">
        <is>
          <t>X1</t>
        </is>
      </c>
      <c r="K582" s="29" t="inlineStr">
        <is>
          <t>• Same level</t>
        </is>
      </c>
      <c r="L582" s="29" t="inlineStr">
        <is>
          <t>Engineering &amp; Development</t>
        </is>
      </c>
      <c r="M582" s="29" t="inlineStr">
        <is>
          <t>Backend Development</t>
        </is>
      </c>
      <c r="N582" s="29" t="n"/>
      <c r="O582" s="29" t="n">
        <v>0</v>
      </c>
      <c r="P582" s="28" t="inlineStr">
        <is>
          <t>Contractor</t>
        </is>
      </c>
      <c r="Q582" s="29" t="inlineStr">
        <is>
          <t>—</t>
        </is>
      </c>
      <c r="R582" s="29" t="inlineStr">
        <is>
          <t>—</t>
        </is>
      </c>
      <c r="S582" s="29" t="inlineStr">
        <is>
          <t>0–5 yrs</t>
        </is>
      </c>
      <c r="T582" s="29" t="inlineStr">
        <is>
          <t>—</t>
        </is>
      </c>
      <c r="U582" s="29" t="inlineStr">
        <is>
          <t>Contractor · rate card</t>
        </is>
      </c>
      <c r="V582" s="29" t="inlineStr">
        <is>
          <t>—</t>
        </is>
      </c>
      <c r="W582" s="29" t="inlineStr">
        <is>
          <t>SFIA 9 · software development, programming; OWASP secure coding; cloud vendor certifications</t>
        </is>
      </c>
      <c r="X582" s="29" t="inlineStr">
        <is>
          <t>Per statement of work</t>
        </is>
      </c>
      <c r="Y582" s="52" t="n">
        <v>579</v>
      </c>
      <c r="Z582" s="53" t="n"/>
      <c r="AA582" s="53" t="inlineStr">
        <is>
          <t>In-House Consultant</t>
        </is>
      </c>
      <c r="AB582" s="53" t="inlineStr">
        <is>
          <t>Active</t>
        </is>
      </c>
      <c r="AC582" s="53" t="inlineStr">
        <is>
          <t>Nilimesh Baruah</t>
        </is>
      </c>
      <c r="AD582" s="54" t="n">
        <v>46113</v>
      </c>
      <c r="AE582" s="53" t="inlineStr">
        <is>
          <t>Consultant</t>
        </is>
      </c>
      <c r="AF582" s="53" t="n"/>
      <c r="AG582" s="53" t="n"/>
      <c r="AH582" s="53" t="n"/>
      <c r="AI582" s="53" t="inlineStr">
        <is>
          <t>Individual Contributor</t>
        </is>
      </c>
      <c r="AJ582" s="53" t="n"/>
      <c r="AK582" s="53" t="n"/>
      <c r="AL582" s="53" t="n"/>
      <c r="AM582" s="53" t="inlineStr">
        <is>
          <t>iFile</t>
        </is>
      </c>
      <c r="AN582" s="53" t="inlineStr">
        <is>
          <t>Technology</t>
        </is>
      </c>
      <c r="AO582" s="53" t="inlineStr">
        <is>
          <t>Development</t>
        </is>
      </c>
      <c r="AP582" s="53" t="inlineStr">
        <is>
          <t>Yes</t>
        </is>
      </c>
      <c r="AQ582" s="53" t="inlineStr">
        <is>
          <t>Product/Project</t>
        </is>
      </c>
      <c r="AR582" s="53" t="n"/>
      <c r="AS582" s="53" t="inlineStr">
        <is>
          <t>Technical - Developer</t>
        </is>
      </c>
      <c r="AT582" s="53" t="n">
        <v>0</v>
      </c>
      <c r="AU582" s="53" t="inlineStr">
        <is>
          <t>E-External Consultant</t>
        </is>
      </c>
      <c r="AV582" s="53" t="n"/>
      <c r="AW582" s="53" t="n"/>
      <c r="AX582" s="53" t="n"/>
      <c r="AY582" s="53" t="n"/>
      <c r="AZ582" s="53" t="n"/>
      <c r="BA582" s="53" t="n"/>
      <c r="BB582" s="53" t="n"/>
      <c r="BC582" s="53" t="n"/>
      <c r="BD582" s="53" t="n"/>
      <c r="BE582" s="53" t="n"/>
      <c r="BF582" s="53" t="n"/>
      <c r="BG582" s="53" t="n"/>
      <c r="BH582" s="53" t="n"/>
      <c r="BI582" s="53" t="n"/>
      <c r="BJ582" s="53" t="n"/>
      <c r="BK582" s="53" t="n"/>
      <c r="BL582" s="53" t="n"/>
      <c r="BM582" s="53" t="n"/>
      <c r="BN582" s="53" t="n"/>
      <c r="BO582" s="53" t="n"/>
      <c r="BP582" s="53" t="n"/>
      <c r="BQ582" s="53" t="n"/>
      <c r="BR582" s="53" t="n"/>
      <c r="BS582" s="53" t="n"/>
      <c r="BT582" s="53" t="n"/>
      <c r="BU582" s="53" t="n"/>
      <c r="BV582" s="53" t="n"/>
      <c r="BW582" s="53" t="n"/>
      <c r="BX582" s="53" t="n"/>
      <c r="BY582" s="53" t="n"/>
      <c r="BZ582" s="53" t="n"/>
      <c r="CA582" s="53" t="n"/>
      <c r="CB582" s="53" t="n"/>
      <c r="CC582" s="53" t="n"/>
      <c r="CD582" s="53" t="n"/>
      <c r="CE582" s="53" t="n"/>
      <c r="CF582" s="53" t="n"/>
      <c r="CG582" s="53" t="n"/>
      <c r="CH582" s="53" t="n"/>
      <c r="CI582" s="53" t="n"/>
      <c r="CJ582" s="53" t="n"/>
      <c r="CK582" s="53" t="n"/>
      <c r="CL582" s="53" t="n"/>
      <c r="CM582" s="53" t="n"/>
      <c r="CN582" s="53" t="n"/>
      <c r="CO582" s="53" t="n"/>
      <c r="CP582" s="53" t="n"/>
      <c r="CQ582" s="53" t="n"/>
      <c r="CR582" s="53" t="n"/>
      <c r="CS582" s="53" t="n"/>
      <c r="CT582" s="53" t="n"/>
      <c r="CU582" s="53" t="n"/>
      <c r="CV582" s="53" t="n"/>
      <c r="CW582" s="53" t="n"/>
      <c r="CX582" s="53" t="n"/>
      <c r="CY582" s="53" t="n"/>
      <c r="CZ582" s="53" t="n"/>
      <c r="DA582" s="53" t="n"/>
      <c r="DB582" s="53" t="n"/>
      <c r="DC582" s="53" t="n"/>
      <c r="DD582" s="53" t="n"/>
      <c r="DE582" s="53" t="n"/>
      <c r="DF582" s="53" t="n"/>
      <c r="DG582" s="53" t="n"/>
      <c r="DH582" s="53" t="n"/>
      <c r="DI582" s="53" t="n"/>
      <c r="DJ582" s="53" t="n"/>
      <c r="DK582" s="53" t="n"/>
      <c r="DL582" s="53" t="n"/>
      <c r="DM582" s="53" t="n"/>
      <c r="DN582" s="53" t="n"/>
      <c r="DO582" s="53" t="n"/>
      <c r="DP582" s="53" t="n"/>
      <c r="DQ582" s="53" t="n"/>
      <c r="DR582" s="53" t="n"/>
      <c r="DS582" s="53" t="n"/>
      <c r="DT582" s="53" t="n"/>
      <c r="DU582" s="53" t="n"/>
      <c r="DV582" s="53" t="n"/>
      <c r="DW582" s="53" t="n"/>
      <c r="DX582" s="53" t="n"/>
      <c r="DY582" s="53" t="n"/>
      <c r="DZ582" s="53" t="n"/>
      <c r="EA582" s="53" t="n"/>
      <c r="EB582" s="53" t="n"/>
      <c r="EC582" s="53" t="n"/>
      <c r="ED582" s="53" t="n"/>
      <c r="EE582" s="53" t="n"/>
      <c r="EF582" s="53" t="n"/>
      <c r="EG582" s="53" t="n"/>
      <c r="EH582" s="53" t="n"/>
      <c r="EI582" s="53" t="n"/>
      <c r="EJ582" s="53" t="n"/>
      <c r="EK582" s="53" t="n"/>
      <c r="EL582" s="53" t="n"/>
      <c r="EM582" s="53" t="n"/>
      <c r="EN582" s="53" t="n"/>
      <c r="EO582" s="53" t="n"/>
      <c r="EP582" s="53" t="n"/>
      <c r="EQ582" s="53" t="n"/>
      <c r="ER582" s="53" t="n"/>
      <c r="ES582" s="53" t="n"/>
      <c r="ET582" s="53" t="n"/>
      <c r="EU582" s="53" t="n"/>
      <c r="EV582" s="53" t="n"/>
      <c r="EW582" s="52" t="n"/>
      <c r="EX582" s="53" t="n"/>
      <c r="EY582" s="53" t="n"/>
      <c r="EZ582" s="53" t="n"/>
      <c r="FA582" s="53" t="n"/>
      <c r="FB582" s="53" t="n"/>
      <c r="FC582" s="53" t="n"/>
      <c r="FD582" s="53" t="n"/>
      <c r="FE582" s="55" t="inlineStr">
        <is>
          <t>KRAs not received · manager to supply</t>
        </is>
      </c>
      <c r="FF582" s="56" t="n"/>
      <c r="FG582" s="56" t="n"/>
      <c r="FH582" s="56" t="n"/>
      <c r="FI582" s="56" t="n"/>
      <c r="FJ582" s="32" t="inlineStr">
        <is>
          <t>KRAs not received · manager to supply</t>
        </is>
      </c>
      <c r="FK582" s="56" t="n"/>
      <c r="FL582" s="56" t="n">
        <v>0</v>
      </c>
      <c r="FM582" s="32" t="inlineStr">
        <is>
          <t>No survey response on file</t>
        </is>
      </c>
      <c r="FN582" s="56" t="inlineStr">
        <is>
          <t>—</t>
        </is>
      </c>
      <c r="FO582" s="56" t="inlineStr">
        <is>
          <t>—</t>
        </is>
      </c>
      <c r="FP582" s="56" t="inlineStr">
        <is>
          <t>—</t>
        </is>
      </c>
      <c r="FQ582" s="56" t="inlineStr">
        <is>
          <t>—</t>
        </is>
      </c>
      <c r="FR582" s="56" t="n"/>
      <c r="FS582"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2" s="56" t="n"/>
      <c r="FU582" s="32" t="inlineStr">
        <is>
          <t>No survey response on file</t>
        </is>
      </c>
    </row>
    <row r="583" ht="90" customHeight="1">
      <c r="A583" s="51" t="inlineStr">
        <is>
          <t>◂ Back</t>
        </is>
      </c>
      <c r="B583" s="29" t="inlineStr">
        <is>
          <t>Mapped</t>
        </is>
      </c>
      <c r="C583" s="28" t="inlineStr">
        <is>
          <t>iFile</t>
        </is>
      </c>
      <c r="D583" s="29" t="inlineStr">
        <is>
          <t>No Emp ID · external consultant</t>
        </is>
      </c>
      <c r="E583" s="29" t="inlineStr">
        <is>
          <t>Peshal Jha</t>
        </is>
      </c>
      <c r="F583" s="29" t="inlineStr">
        <is>
          <t>Technology</t>
        </is>
      </c>
      <c r="G583" s="29" t="inlineStr">
        <is>
          <t>Consultant</t>
        </is>
      </c>
      <c r="H583" s="29" t="inlineStr">
        <is>
          <t>Associate Consultant – Software Development</t>
        </is>
      </c>
      <c r="I583" s="29" t="inlineStr">
        <is>
          <t>—</t>
        </is>
      </c>
      <c r="J583" s="29" t="inlineStr">
        <is>
          <t>X1</t>
        </is>
      </c>
      <c r="K583" s="29" t="inlineStr">
        <is>
          <t>• Same level</t>
        </is>
      </c>
      <c r="L583" s="29" t="inlineStr">
        <is>
          <t>Engineering &amp; Development</t>
        </is>
      </c>
      <c r="M583" s="29" t="inlineStr">
        <is>
          <t>Backend Development</t>
        </is>
      </c>
      <c r="N583" s="29" t="n"/>
      <c r="O583" s="29" t="n">
        <v>0</v>
      </c>
      <c r="P583" s="28" t="inlineStr">
        <is>
          <t>Contractor</t>
        </is>
      </c>
      <c r="Q583" s="29" t="inlineStr">
        <is>
          <t>—</t>
        </is>
      </c>
      <c r="R583" s="29" t="inlineStr">
        <is>
          <t>—</t>
        </is>
      </c>
      <c r="S583" s="29" t="inlineStr">
        <is>
          <t>0–5 yrs</t>
        </is>
      </c>
      <c r="T583" s="29" t="inlineStr">
        <is>
          <t>—</t>
        </is>
      </c>
      <c r="U583" s="29" t="inlineStr">
        <is>
          <t>Contractor · rate card</t>
        </is>
      </c>
      <c r="V583" s="29" t="inlineStr">
        <is>
          <t>—</t>
        </is>
      </c>
      <c r="W583" s="29" t="inlineStr">
        <is>
          <t>SFIA 9 · software development, programming; OWASP secure coding; cloud vendor certifications</t>
        </is>
      </c>
      <c r="X583" s="29" t="inlineStr">
        <is>
          <t>Per statement of work</t>
        </is>
      </c>
      <c r="Y583" s="52" t="n">
        <v>567</v>
      </c>
      <c r="Z583" s="53" t="n"/>
      <c r="AA583" s="53" t="inlineStr">
        <is>
          <t>External Consultant</t>
        </is>
      </c>
      <c r="AB583" s="53" t="inlineStr">
        <is>
          <t>Active</t>
        </is>
      </c>
      <c r="AC583" s="53" t="inlineStr">
        <is>
          <t>Peshal Jha</t>
        </is>
      </c>
      <c r="AD583" s="54" t="n">
        <v>45425</v>
      </c>
      <c r="AE583" s="53" t="inlineStr">
        <is>
          <t>Consultant</t>
        </is>
      </c>
      <c r="AF583" s="53" t="n"/>
      <c r="AG583" s="53" t="n"/>
      <c r="AH583" s="53" t="n"/>
      <c r="AI583" s="53" t="inlineStr">
        <is>
          <t>Individual Contributor</t>
        </is>
      </c>
      <c r="AJ583" s="53" t="n"/>
      <c r="AK583" s="53" t="n"/>
      <c r="AL583" s="53" t="n"/>
      <c r="AM583" s="53" t="inlineStr">
        <is>
          <t>iFile</t>
        </is>
      </c>
      <c r="AN583" s="53" t="inlineStr">
        <is>
          <t>Technology</t>
        </is>
      </c>
      <c r="AO583" s="53" t="inlineStr">
        <is>
          <t>Development</t>
        </is>
      </c>
      <c r="AP583" s="53" t="inlineStr">
        <is>
          <t>Yes</t>
        </is>
      </c>
      <c r="AQ583" s="53" t="inlineStr">
        <is>
          <t>Product/Project</t>
        </is>
      </c>
      <c r="AR583" s="53" t="n"/>
      <c r="AS583" s="53" t="inlineStr">
        <is>
          <t>Technical - Developer</t>
        </is>
      </c>
      <c r="AT583" s="53" t="n">
        <v>0</v>
      </c>
      <c r="AU583" s="53" t="inlineStr">
        <is>
          <t>E-External Consultant</t>
        </is>
      </c>
      <c r="AV583" s="53" t="n"/>
      <c r="AW583" s="53" t="n"/>
      <c r="AX583" s="53" t="n"/>
      <c r="AY583" s="53" t="n"/>
      <c r="AZ583" s="53" t="n"/>
      <c r="BA583" s="53" t="n"/>
      <c r="BB583" s="53" t="n"/>
      <c r="BC583" s="53" t="n"/>
      <c r="BD583" s="53" t="n"/>
      <c r="BE583" s="53" t="n"/>
      <c r="BF583" s="53" t="n"/>
      <c r="BG583" s="53" t="n"/>
      <c r="BH583" s="53" t="n"/>
      <c r="BI583" s="53" t="n"/>
      <c r="BJ583" s="53" t="n"/>
      <c r="BK583" s="53" t="n"/>
      <c r="BL583" s="53" t="n"/>
      <c r="BM583" s="53" t="n"/>
      <c r="BN583" s="53" t="n"/>
      <c r="BO583" s="53" t="n"/>
      <c r="BP583" s="53" t="n"/>
      <c r="BQ583" s="53" t="n"/>
      <c r="BR583" s="53" t="n"/>
      <c r="BS583" s="53" t="n"/>
      <c r="BT583" s="53" t="n"/>
      <c r="BU583" s="53" t="n"/>
      <c r="BV583" s="53" t="n"/>
      <c r="BW583" s="53" t="n"/>
      <c r="BX583" s="53" t="n"/>
      <c r="BY583" s="53" t="n"/>
      <c r="BZ583" s="53" t="n"/>
      <c r="CA583" s="53" t="n"/>
      <c r="CB583" s="53" t="n"/>
      <c r="CC583" s="53" t="n"/>
      <c r="CD583" s="53" t="n"/>
      <c r="CE583" s="53" t="n"/>
      <c r="CF583" s="53" t="n"/>
      <c r="CG583" s="53" t="n"/>
      <c r="CH583" s="53" t="n"/>
      <c r="CI583" s="53" t="n"/>
      <c r="CJ583" s="53" t="n"/>
      <c r="CK583" s="53" t="n"/>
      <c r="CL583" s="53" t="n"/>
      <c r="CM583" s="53" t="n"/>
      <c r="CN583" s="53" t="n"/>
      <c r="CO583" s="53" t="n"/>
      <c r="CP583" s="53" t="n"/>
      <c r="CQ583" s="53" t="n"/>
      <c r="CR583" s="53" t="n"/>
      <c r="CS583" s="53" t="n"/>
      <c r="CT583" s="53" t="n"/>
      <c r="CU583" s="53" t="n"/>
      <c r="CV583" s="53" t="n"/>
      <c r="CW583" s="53" t="n"/>
      <c r="CX583" s="53" t="n"/>
      <c r="CY583" s="53" t="n"/>
      <c r="CZ583" s="53" t="n"/>
      <c r="DA583" s="53" t="n"/>
      <c r="DB583" s="53" t="n"/>
      <c r="DC583" s="53" t="n"/>
      <c r="DD583" s="53" t="n"/>
      <c r="DE583" s="53" t="n"/>
      <c r="DF583" s="53" t="n"/>
      <c r="DG583" s="53" t="n"/>
      <c r="DH583" s="53" t="n"/>
      <c r="DI583" s="53" t="n"/>
      <c r="DJ583" s="53" t="n"/>
      <c r="DK583" s="53" t="n"/>
      <c r="DL583" s="53" t="n"/>
      <c r="DM583" s="53" t="n"/>
      <c r="DN583" s="53" t="n"/>
      <c r="DO583" s="53" t="n"/>
      <c r="DP583" s="53" t="n"/>
      <c r="DQ583" s="53" t="n"/>
      <c r="DR583" s="53" t="n"/>
      <c r="DS583" s="53" t="n"/>
      <c r="DT583" s="53" t="n"/>
      <c r="DU583" s="53" t="n"/>
      <c r="DV583" s="53" t="n"/>
      <c r="DW583" s="53" t="n"/>
      <c r="DX583" s="53" t="n"/>
      <c r="DY583" s="53" t="n"/>
      <c r="DZ583" s="53" t="n"/>
      <c r="EA583" s="53" t="n"/>
      <c r="EB583" s="53" t="n"/>
      <c r="EC583" s="53" t="n"/>
      <c r="ED583" s="53" t="n"/>
      <c r="EE583" s="53" t="n"/>
      <c r="EF583" s="53" t="n"/>
      <c r="EG583" s="53" t="n"/>
      <c r="EH583" s="53" t="n"/>
      <c r="EI583" s="53" t="n"/>
      <c r="EJ583" s="53" t="n"/>
      <c r="EK583" s="53" t="n"/>
      <c r="EL583" s="53" t="n"/>
      <c r="EM583" s="53" t="n"/>
      <c r="EN583" s="53" t="n"/>
      <c r="EO583" s="53" t="n"/>
      <c r="EP583" s="53" t="n"/>
      <c r="EQ583" s="53" t="n"/>
      <c r="ER583" s="53" t="n"/>
      <c r="ES583" s="53" t="n"/>
      <c r="ET583" s="53" t="n"/>
      <c r="EU583" s="53" t="n"/>
      <c r="EV583" s="53" t="n"/>
      <c r="EW583" s="52" t="n"/>
      <c r="EX583" s="53" t="n"/>
      <c r="EY583" s="53" t="n"/>
      <c r="EZ583" s="53" t="n"/>
      <c r="FA583" s="53" t="n"/>
      <c r="FB583" s="53" t="n"/>
      <c r="FC583" s="53" t="n"/>
      <c r="FD583" s="53" t="n"/>
      <c r="FE583" s="55" t="inlineStr">
        <is>
          <t>KRAs not received · manager to supply</t>
        </is>
      </c>
      <c r="FF583" s="56" t="n"/>
      <c r="FG583" s="56" t="n"/>
      <c r="FH583" s="56" t="n"/>
      <c r="FI583" s="56" t="n"/>
      <c r="FJ583" s="32" t="inlineStr">
        <is>
          <t>KRAs not received · manager to supply</t>
        </is>
      </c>
      <c r="FK583" s="56" t="n"/>
      <c r="FL583" s="56" t="n">
        <v>0</v>
      </c>
      <c r="FM583" s="32" t="inlineStr">
        <is>
          <t>No survey response on file</t>
        </is>
      </c>
      <c r="FN583" s="56" t="inlineStr">
        <is>
          <t>—</t>
        </is>
      </c>
      <c r="FO583" s="56" t="inlineStr">
        <is>
          <t>—</t>
        </is>
      </c>
      <c r="FP583" s="56" t="inlineStr">
        <is>
          <t>—</t>
        </is>
      </c>
      <c r="FQ583" s="56" t="inlineStr">
        <is>
          <t>—</t>
        </is>
      </c>
      <c r="FR583" s="56" t="n"/>
      <c r="FS583"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3" s="56" t="n"/>
      <c r="FU583" s="32" t="inlineStr">
        <is>
          <t>No survey response on file</t>
        </is>
      </c>
    </row>
    <row r="584" ht="90" customHeight="1">
      <c r="A584" s="51" t="inlineStr">
        <is>
          <t>◂ Back</t>
        </is>
      </c>
      <c r="B584" s="29" t="inlineStr">
        <is>
          <t>Mapped</t>
        </is>
      </c>
      <c r="C584" s="28" t="inlineStr">
        <is>
          <t>iFile</t>
        </is>
      </c>
      <c r="D584" s="29" t="inlineStr">
        <is>
          <t>No Emp ID · external consultant</t>
        </is>
      </c>
      <c r="E584" s="29" t="inlineStr">
        <is>
          <t>Poonam Rajput</t>
        </is>
      </c>
      <c r="F584" s="29" t="inlineStr">
        <is>
          <t>Technology</t>
        </is>
      </c>
      <c r="G584" s="29" t="inlineStr">
        <is>
          <t>Consultant</t>
        </is>
      </c>
      <c r="H584" s="29" t="inlineStr">
        <is>
          <t>Associate Consultant – Software Development</t>
        </is>
      </c>
      <c r="I584" s="29" t="inlineStr">
        <is>
          <t>—</t>
        </is>
      </c>
      <c r="J584" s="29" t="inlineStr">
        <is>
          <t>X1</t>
        </is>
      </c>
      <c r="K584" s="29" t="inlineStr">
        <is>
          <t>• Same level</t>
        </is>
      </c>
      <c r="L584" s="29" t="inlineStr">
        <is>
          <t>Engineering &amp; Development</t>
        </is>
      </c>
      <c r="M584" s="29" t="inlineStr">
        <is>
          <t>Backend Development</t>
        </is>
      </c>
      <c r="N584" s="29" t="n"/>
      <c r="O584" s="29" t="n">
        <v>0</v>
      </c>
      <c r="P584" s="28" t="inlineStr">
        <is>
          <t>Contractor</t>
        </is>
      </c>
      <c r="Q584" s="29" t="inlineStr">
        <is>
          <t>—</t>
        </is>
      </c>
      <c r="R584" s="29" t="inlineStr">
        <is>
          <t>—</t>
        </is>
      </c>
      <c r="S584" s="29" t="inlineStr">
        <is>
          <t>0–5 yrs</t>
        </is>
      </c>
      <c r="T584" s="29" t="inlineStr">
        <is>
          <t>—</t>
        </is>
      </c>
      <c r="U584" s="29" t="inlineStr">
        <is>
          <t>Contractor · rate card</t>
        </is>
      </c>
      <c r="V584" s="29" t="inlineStr">
        <is>
          <t>—</t>
        </is>
      </c>
      <c r="W584" s="29" t="inlineStr">
        <is>
          <t>SFIA 9 · software development, programming; OWASP secure coding; cloud vendor certifications</t>
        </is>
      </c>
      <c r="X584" s="29" t="inlineStr">
        <is>
          <t>Per statement of work</t>
        </is>
      </c>
      <c r="Y584" s="52" t="n">
        <v>570</v>
      </c>
      <c r="Z584" s="53" t="n"/>
      <c r="AA584" s="53" t="inlineStr">
        <is>
          <t>External Consultant</t>
        </is>
      </c>
      <c r="AB584" s="53" t="inlineStr">
        <is>
          <t>Active</t>
        </is>
      </c>
      <c r="AC584" s="53" t="inlineStr">
        <is>
          <t>Poonam Rajput</t>
        </is>
      </c>
      <c r="AD584" s="54" t="n">
        <v>45425</v>
      </c>
      <c r="AE584" s="53" t="inlineStr">
        <is>
          <t>Consultant</t>
        </is>
      </c>
      <c r="AF584" s="53" t="n"/>
      <c r="AG584" s="53" t="n"/>
      <c r="AH584" s="53" t="n"/>
      <c r="AI584" s="53" t="inlineStr">
        <is>
          <t>Individual Contributor</t>
        </is>
      </c>
      <c r="AJ584" s="53" t="n"/>
      <c r="AK584" s="53" t="n"/>
      <c r="AL584" s="53" t="n"/>
      <c r="AM584" s="53" t="inlineStr">
        <is>
          <t>iFile</t>
        </is>
      </c>
      <c r="AN584" s="53" t="inlineStr">
        <is>
          <t>Technology</t>
        </is>
      </c>
      <c r="AO584" s="53" t="inlineStr">
        <is>
          <t>Development</t>
        </is>
      </c>
      <c r="AP584" s="53" t="inlineStr">
        <is>
          <t>Yes</t>
        </is>
      </c>
      <c r="AQ584" s="53" t="inlineStr">
        <is>
          <t>Product/Project</t>
        </is>
      </c>
      <c r="AR584" s="53" t="n"/>
      <c r="AS584" s="53" t="inlineStr">
        <is>
          <t>Technical - Developer</t>
        </is>
      </c>
      <c r="AT584" s="53" t="n">
        <v>0</v>
      </c>
      <c r="AU584" s="53" t="inlineStr">
        <is>
          <t>E-External Consultant</t>
        </is>
      </c>
      <c r="AV584" s="53" t="n"/>
      <c r="AW584" s="53" t="n"/>
      <c r="AX584" s="53" t="n"/>
      <c r="AY584" s="53" t="n"/>
      <c r="AZ584" s="53" t="n"/>
      <c r="BA584" s="53" t="n"/>
      <c r="BB584" s="53" t="n"/>
      <c r="BC584" s="53" t="n"/>
      <c r="BD584" s="53" t="n"/>
      <c r="BE584" s="53" t="n"/>
      <c r="BF584" s="53" t="n"/>
      <c r="BG584" s="53" t="n"/>
      <c r="BH584" s="53" t="n"/>
      <c r="BI584" s="53" t="n"/>
      <c r="BJ584" s="53" t="n"/>
      <c r="BK584" s="53" t="n"/>
      <c r="BL584" s="53" t="n"/>
      <c r="BM584" s="53" t="n"/>
      <c r="BN584" s="53" t="n"/>
      <c r="BO584" s="53" t="n"/>
      <c r="BP584" s="53" t="n"/>
      <c r="BQ584" s="53" t="n"/>
      <c r="BR584" s="53" t="n"/>
      <c r="BS584" s="53" t="n"/>
      <c r="BT584" s="53" t="n"/>
      <c r="BU584" s="53" t="n"/>
      <c r="BV584" s="53" t="n"/>
      <c r="BW584" s="53" t="n"/>
      <c r="BX584" s="53" t="n"/>
      <c r="BY584" s="53" t="n"/>
      <c r="BZ584" s="53" t="n"/>
      <c r="CA584" s="53" t="n"/>
      <c r="CB584" s="53" t="n"/>
      <c r="CC584" s="53" t="n"/>
      <c r="CD584" s="53" t="n"/>
      <c r="CE584" s="53" t="n"/>
      <c r="CF584" s="53" t="n"/>
      <c r="CG584" s="53" t="n"/>
      <c r="CH584" s="53" t="n"/>
      <c r="CI584" s="53" t="n"/>
      <c r="CJ584" s="53" t="n"/>
      <c r="CK584" s="53" t="n"/>
      <c r="CL584" s="53" t="n"/>
      <c r="CM584" s="53" t="n"/>
      <c r="CN584" s="53" t="n"/>
      <c r="CO584" s="53" t="n"/>
      <c r="CP584" s="53" t="n"/>
      <c r="CQ584" s="53" t="n"/>
      <c r="CR584" s="53" t="n"/>
      <c r="CS584" s="53" t="n"/>
      <c r="CT584" s="53" t="n"/>
      <c r="CU584" s="53" t="n"/>
      <c r="CV584" s="53" t="n"/>
      <c r="CW584" s="53" t="n"/>
      <c r="CX584" s="53" t="n"/>
      <c r="CY584" s="53" t="n"/>
      <c r="CZ584" s="53" t="n"/>
      <c r="DA584" s="53" t="n"/>
      <c r="DB584" s="53" t="n"/>
      <c r="DC584" s="53" t="n"/>
      <c r="DD584" s="53" t="n"/>
      <c r="DE584" s="53" t="n"/>
      <c r="DF584" s="53" t="n"/>
      <c r="DG584" s="53" t="n"/>
      <c r="DH584" s="53" t="n"/>
      <c r="DI584" s="53" t="n"/>
      <c r="DJ584" s="53" t="n"/>
      <c r="DK584" s="53" t="n"/>
      <c r="DL584" s="53" t="n"/>
      <c r="DM584" s="53" t="n"/>
      <c r="DN584" s="53" t="n"/>
      <c r="DO584" s="53" t="n"/>
      <c r="DP584" s="53" t="n"/>
      <c r="DQ584" s="53" t="n"/>
      <c r="DR584" s="53" t="n"/>
      <c r="DS584" s="53" t="n"/>
      <c r="DT584" s="53" t="n"/>
      <c r="DU584" s="53" t="n"/>
      <c r="DV584" s="53" t="n"/>
      <c r="DW584" s="53" t="n"/>
      <c r="DX584" s="53" t="n"/>
      <c r="DY584" s="53" t="n"/>
      <c r="DZ584" s="53" t="n"/>
      <c r="EA584" s="53" t="n"/>
      <c r="EB584" s="53" t="n"/>
      <c r="EC584" s="53" t="n"/>
      <c r="ED584" s="53" t="n"/>
      <c r="EE584" s="53" t="n"/>
      <c r="EF584" s="53" t="n"/>
      <c r="EG584" s="53" t="n"/>
      <c r="EH584" s="53" t="n"/>
      <c r="EI584" s="53" t="n"/>
      <c r="EJ584" s="53" t="n"/>
      <c r="EK584" s="53" t="n"/>
      <c r="EL584" s="53" t="n"/>
      <c r="EM584" s="53" t="n"/>
      <c r="EN584" s="53" t="n"/>
      <c r="EO584" s="53" t="n"/>
      <c r="EP584" s="53" t="n"/>
      <c r="EQ584" s="53" t="n"/>
      <c r="ER584" s="53" t="n"/>
      <c r="ES584" s="53" t="n"/>
      <c r="ET584" s="53" t="n"/>
      <c r="EU584" s="53" t="n"/>
      <c r="EV584" s="53" t="n"/>
      <c r="EW584" s="52" t="n"/>
      <c r="EX584" s="53" t="n"/>
      <c r="EY584" s="53" t="n"/>
      <c r="EZ584" s="53" t="n"/>
      <c r="FA584" s="53" t="n"/>
      <c r="FB584" s="53" t="n"/>
      <c r="FC584" s="53" t="n"/>
      <c r="FD584" s="53" t="n"/>
      <c r="FE584" s="55" t="inlineStr">
        <is>
          <t>KRAs not received · manager to supply</t>
        </is>
      </c>
      <c r="FF584" s="56" t="n"/>
      <c r="FG584" s="56" t="n"/>
      <c r="FH584" s="56" t="n"/>
      <c r="FI584" s="56" t="n"/>
      <c r="FJ584" s="32" t="inlineStr">
        <is>
          <t>KRAs not received · manager to supply</t>
        </is>
      </c>
      <c r="FK584" s="56" t="n"/>
      <c r="FL584" s="56" t="n">
        <v>0</v>
      </c>
      <c r="FM584" s="32" t="inlineStr">
        <is>
          <t>No survey response on file</t>
        </is>
      </c>
      <c r="FN584" s="56" t="inlineStr">
        <is>
          <t>—</t>
        </is>
      </c>
      <c r="FO584" s="56" t="inlineStr">
        <is>
          <t>—</t>
        </is>
      </c>
      <c r="FP584" s="56" t="inlineStr">
        <is>
          <t>—</t>
        </is>
      </c>
      <c r="FQ584" s="56" t="inlineStr">
        <is>
          <t>—</t>
        </is>
      </c>
      <c r="FR584" s="56" t="n"/>
      <c r="FS584"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4" s="56" t="n"/>
      <c r="FU584" s="32" t="inlineStr">
        <is>
          <t>No survey response on file</t>
        </is>
      </c>
    </row>
    <row r="585" ht="90" customHeight="1">
      <c r="A585" s="51" t="inlineStr">
        <is>
          <t>◂ Back</t>
        </is>
      </c>
      <c r="B585" s="29" t="inlineStr">
        <is>
          <t>Mapped</t>
        </is>
      </c>
      <c r="C585" s="28" t="inlineStr">
        <is>
          <t>Datatech</t>
        </is>
      </c>
      <c r="D585" s="29" t="inlineStr">
        <is>
          <t>No Emp ID · in-house consultant</t>
        </is>
      </c>
      <c r="E585" s="29" t="inlineStr">
        <is>
          <t>R Indumathi</t>
        </is>
      </c>
      <c r="F585" s="29" t="inlineStr">
        <is>
          <t>Marketing</t>
        </is>
      </c>
      <c r="G585" s="29" t="inlineStr">
        <is>
          <t>Consultant</t>
        </is>
      </c>
      <c r="H585" s="29" t="inlineStr">
        <is>
          <t>Associate Consultant – Demand Generation, Brand &amp; Events</t>
        </is>
      </c>
      <c r="I585" s="29" t="inlineStr">
        <is>
          <t>—</t>
        </is>
      </c>
      <c r="J585" s="29" t="inlineStr">
        <is>
          <t>X1</t>
        </is>
      </c>
      <c r="K585" s="29" t="inlineStr">
        <is>
          <t>• Same level</t>
        </is>
      </c>
      <c r="L585" s="29" t="inlineStr">
        <is>
          <t>Marketing &amp; Communications</t>
        </is>
      </c>
      <c r="M585" s="29" t="inlineStr">
        <is>
          <t>Marketing · role not recorded</t>
        </is>
      </c>
      <c r="N585" s="29" t="n"/>
      <c r="O585" s="29" t="n">
        <v>0</v>
      </c>
      <c r="P585" s="28" t="inlineStr">
        <is>
          <t>Contractor</t>
        </is>
      </c>
      <c r="Q585" s="29" t="inlineStr">
        <is>
          <t>—</t>
        </is>
      </c>
      <c r="R585" s="29" t="inlineStr">
        <is>
          <t>—</t>
        </is>
      </c>
      <c r="S585" s="29" t="inlineStr">
        <is>
          <t>0–5 yrs</t>
        </is>
      </c>
      <c r="T585" s="29" t="inlineStr">
        <is>
          <t>—</t>
        </is>
      </c>
      <c r="U585" s="29" t="inlineStr">
        <is>
          <t>Contractor · rate card</t>
        </is>
      </c>
      <c r="V585" s="29" t="inlineStr">
        <is>
          <t>—</t>
        </is>
      </c>
      <c r="W585" s="29" t="inlineStr">
        <is>
          <t>CIM Global Professional Marketing Framework — proficiency Aware → Active learner → Able → Accomplished → Authoritative</t>
        </is>
      </c>
      <c r="X585" s="29" t="inlineStr">
        <is>
          <t>Per statement of work</t>
        </is>
      </c>
      <c r="Y585" s="52" t="n">
        <v>583</v>
      </c>
      <c r="Z585" s="53" t="n"/>
      <c r="AA585" s="53" t="inlineStr">
        <is>
          <t>In-House Consultant</t>
        </is>
      </c>
      <c r="AB585" s="53" t="inlineStr">
        <is>
          <t>Active</t>
        </is>
      </c>
      <c r="AC585" s="53" t="inlineStr">
        <is>
          <t>R Indumathi</t>
        </is>
      </c>
      <c r="AD585" s="54" t="n">
        <v>46174</v>
      </c>
      <c r="AE585" s="53" t="inlineStr">
        <is>
          <t>Consultant</t>
        </is>
      </c>
      <c r="AF585" s="53" t="n"/>
      <c r="AG585" s="53" t="n"/>
      <c r="AH585" s="53" t="n"/>
      <c r="AI585" s="53" t="inlineStr">
        <is>
          <t>Individual Contributor</t>
        </is>
      </c>
      <c r="AJ585" s="53" t="n"/>
      <c r="AK585" s="53" t="n"/>
      <c r="AL585" s="53" t="n"/>
      <c r="AM585" s="53" t="inlineStr">
        <is>
          <t>Datatech</t>
        </is>
      </c>
      <c r="AN585" s="53" t="inlineStr">
        <is>
          <t>Marketing</t>
        </is>
      </c>
      <c r="AO585" s="53" t="inlineStr">
        <is>
          <t>Marketing</t>
        </is>
      </c>
      <c r="AP585" s="53" t="inlineStr">
        <is>
          <t>No</t>
        </is>
      </c>
      <c r="AQ585" s="53" t="inlineStr">
        <is>
          <t>Sales, Marketing &amp; Support</t>
        </is>
      </c>
      <c r="AR585" s="53" t="n"/>
      <c r="AS585" s="53" t="inlineStr">
        <is>
          <t>Non-technical</t>
        </is>
      </c>
      <c r="AT585" s="53" t="n">
        <v>0</v>
      </c>
      <c r="AU585" s="53" t="inlineStr">
        <is>
          <t>E-External Consultant</t>
        </is>
      </c>
      <c r="AV585" s="53" t="n"/>
      <c r="AW585" s="53" t="n"/>
      <c r="AX585" s="53" t="n"/>
      <c r="AY585" s="53" t="n"/>
      <c r="AZ585" s="53" t="n"/>
      <c r="BA585" s="53" t="n"/>
      <c r="BB585" s="53" t="n"/>
      <c r="BC585" s="53" t="n"/>
      <c r="BD585" s="53" t="n"/>
      <c r="BE585" s="53" t="n"/>
      <c r="BF585" s="53" t="n"/>
      <c r="BG585" s="53" t="n"/>
      <c r="BH585" s="53" t="n"/>
      <c r="BI585" s="53" t="n"/>
      <c r="BJ585" s="53" t="n"/>
      <c r="BK585" s="53" t="n"/>
      <c r="BL585" s="53" t="n"/>
      <c r="BM585" s="53" t="n"/>
      <c r="BN585" s="53" t="n"/>
      <c r="BO585" s="53" t="n"/>
      <c r="BP585" s="53" t="n"/>
      <c r="BQ585" s="53" t="n"/>
      <c r="BR585" s="53" t="n"/>
      <c r="BS585" s="53" t="n"/>
      <c r="BT585" s="53" t="n"/>
      <c r="BU585" s="53" t="n"/>
      <c r="BV585" s="53" t="n"/>
      <c r="BW585" s="53" t="n"/>
      <c r="BX585" s="53" t="n"/>
      <c r="BY585" s="53" t="n"/>
      <c r="BZ585" s="53" t="n"/>
      <c r="CA585" s="53" t="n"/>
      <c r="CB585" s="53" t="n"/>
      <c r="CC585" s="53" t="n"/>
      <c r="CD585" s="53" t="n"/>
      <c r="CE585" s="53" t="n"/>
      <c r="CF585" s="53" t="n"/>
      <c r="CG585" s="53" t="n"/>
      <c r="CH585" s="53" t="n"/>
      <c r="CI585" s="53" t="n"/>
      <c r="CJ585" s="53" t="n"/>
      <c r="CK585" s="53" t="n"/>
      <c r="CL585" s="53" t="n"/>
      <c r="CM585" s="53" t="n"/>
      <c r="CN585" s="53" t="n"/>
      <c r="CO585" s="53" t="n"/>
      <c r="CP585" s="53" t="n"/>
      <c r="CQ585" s="53" t="n"/>
      <c r="CR585" s="53" t="n"/>
      <c r="CS585" s="53" t="n"/>
      <c r="CT585" s="53" t="n"/>
      <c r="CU585" s="53" t="n"/>
      <c r="CV585" s="53" t="n"/>
      <c r="CW585" s="53" t="n"/>
      <c r="CX585" s="53" t="n"/>
      <c r="CY585" s="53" t="n"/>
      <c r="CZ585" s="53" t="n"/>
      <c r="DA585" s="53" t="n"/>
      <c r="DB585" s="53" t="n"/>
      <c r="DC585" s="53" t="n"/>
      <c r="DD585" s="53" t="n"/>
      <c r="DE585" s="53" t="n"/>
      <c r="DF585" s="53" t="n"/>
      <c r="DG585" s="53" t="n"/>
      <c r="DH585" s="53" t="n"/>
      <c r="DI585" s="53" t="n"/>
      <c r="DJ585" s="53" t="n"/>
      <c r="DK585" s="53" t="n"/>
      <c r="DL585" s="53" t="n"/>
      <c r="DM585" s="53" t="n"/>
      <c r="DN585" s="53" t="n"/>
      <c r="DO585" s="53" t="n"/>
      <c r="DP585" s="53" t="n"/>
      <c r="DQ585" s="53" t="n"/>
      <c r="DR585" s="53" t="n"/>
      <c r="DS585" s="53" t="n"/>
      <c r="DT585" s="53" t="n"/>
      <c r="DU585" s="53" t="n"/>
      <c r="DV585" s="53" t="n"/>
      <c r="DW585" s="53" t="n"/>
      <c r="DX585" s="53" t="n"/>
      <c r="DY585" s="53" t="n"/>
      <c r="DZ585" s="53" t="n"/>
      <c r="EA585" s="53" t="n"/>
      <c r="EB585" s="53" t="n"/>
      <c r="EC585" s="53" t="n"/>
      <c r="ED585" s="53" t="n"/>
      <c r="EE585" s="53" t="n"/>
      <c r="EF585" s="53" t="n"/>
      <c r="EG585" s="53" t="n"/>
      <c r="EH585" s="53" t="n"/>
      <c r="EI585" s="53" t="n"/>
      <c r="EJ585" s="53" t="n"/>
      <c r="EK585" s="53" t="n"/>
      <c r="EL585" s="53" t="n"/>
      <c r="EM585" s="53" t="n"/>
      <c r="EN585" s="53" t="n"/>
      <c r="EO585" s="53" t="n"/>
      <c r="EP585" s="53" t="n"/>
      <c r="EQ585" s="53" t="n"/>
      <c r="ER585" s="53" t="n"/>
      <c r="ES585" s="53" t="n"/>
      <c r="ET585" s="53" t="n"/>
      <c r="EU585" s="53" t="n"/>
      <c r="EV585" s="53" t="n"/>
      <c r="EW585" s="52" t="n"/>
      <c r="EX585" s="53" t="n"/>
      <c r="EY585" s="53" t="n"/>
      <c r="EZ585" s="53" t="n"/>
      <c r="FA585" s="53" t="n"/>
      <c r="FB585" s="53" t="n"/>
      <c r="FC585" s="53" t="n"/>
      <c r="FD585" s="53" t="n"/>
      <c r="FE585" s="55" t="inlineStr">
        <is>
          <t>KRAs not received · manager to supply</t>
        </is>
      </c>
      <c r="FF585" s="56" t="n"/>
      <c r="FG585" s="56" t="n"/>
      <c r="FH585" s="56" t="n"/>
      <c r="FI585" s="56" t="n"/>
      <c r="FJ585" s="32" t="inlineStr">
        <is>
          <t>KRAs not received · manager to supply</t>
        </is>
      </c>
      <c r="FK585" s="56" t="n"/>
      <c r="FL585" s="56" t="n">
        <v>0</v>
      </c>
      <c r="FM585" s="32" t="inlineStr">
        <is>
          <t>No survey response on file</t>
        </is>
      </c>
      <c r="FN585" s="56" t="inlineStr">
        <is>
          <t>—</t>
        </is>
      </c>
      <c r="FO585" s="56" t="inlineStr">
        <is>
          <t>—</t>
        </is>
      </c>
      <c r="FP585" s="56" t="inlineStr">
        <is>
          <t>—</t>
        </is>
      </c>
      <c r="FQ585" s="56" t="inlineStr">
        <is>
          <t>—</t>
        </is>
      </c>
      <c r="FR585" s="56" t="n"/>
      <c r="FS585" s="56" t="n"/>
      <c r="FT585" s="56" t="n"/>
      <c r="FU585" s="32" t="inlineStr">
        <is>
          <t>No survey response on file</t>
        </is>
      </c>
    </row>
    <row r="586" ht="90" customHeight="1">
      <c r="A586" s="51" t="inlineStr">
        <is>
          <t>◂ Back</t>
        </is>
      </c>
      <c r="B586" s="29" t="inlineStr">
        <is>
          <t>Mapped</t>
        </is>
      </c>
      <c r="C586" s="28" t="inlineStr">
        <is>
          <t>Datatech</t>
        </is>
      </c>
      <c r="D586" s="29" t="inlineStr">
        <is>
          <t>No Emp ID · external consultant</t>
        </is>
      </c>
      <c r="E586" s="29" t="inlineStr">
        <is>
          <t>Sadhan Kumar</t>
        </is>
      </c>
      <c r="F586" s="29" t="inlineStr">
        <is>
          <t>Technology</t>
        </is>
      </c>
      <c r="G586" s="29" t="inlineStr">
        <is>
          <t>Consultant</t>
        </is>
      </c>
      <c r="H586" s="29" t="inlineStr">
        <is>
          <t>Associate Consultant – Software Development</t>
        </is>
      </c>
      <c r="I586" s="29" t="inlineStr">
        <is>
          <t>—</t>
        </is>
      </c>
      <c r="J586" s="29" t="inlineStr">
        <is>
          <t>X1</t>
        </is>
      </c>
      <c r="K586" s="29" t="inlineStr">
        <is>
          <t>• Same level</t>
        </is>
      </c>
      <c r="L586" s="29" t="inlineStr">
        <is>
          <t>Engineering &amp; Development</t>
        </is>
      </c>
      <c r="M586" s="29" t="inlineStr">
        <is>
          <t>Backend Development</t>
        </is>
      </c>
      <c r="N586" s="29" t="n"/>
      <c r="O586" s="29" t="n">
        <v>0</v>
      </c>
      <c r="P586" s="28" t="inlineStr">
        <is>
          <t>Contractor</t>
        </is>
      </c>
      <c r="Q586" s="29" t="inlineStr">
        <is>
          <t>—</t>
        </is>
      </c>
      <c r="R586" s="29" t="inlineStr">
        <is>
          <t>—</t>
        </is>
      </c>
      <c r="S586" s="29" t="inlineStr">
        <is>
          <t>0–5 yrs</t>
        </is>
      </c>
      <c r="T586" s="29" t="inlineStr">
        <is>
          <t>—</t>
        </is>
      </c>
      <c r="U586" s="29" t="inlineStr">
        <is>
          <t>Contractor · rate card</t>
        </is>
      </c>
      <c r="V586" s="29" t="inlineStr">
        <is>
          <t>—</t>
        </is>
      </c>
      <c r="W586" s="29" t="inlineStr">
        <is>
          <t>SFIA 9 · software development, programming; OWASP secure coding; cloud vendor certifications</t>
        </is>
      </c>
      <c r="X586" s="29" t="inlineStr">
        <is>
          <t>Per statement of work</t>
        </is>
      </c>
      <c r="Y586" s="52" t="n">
        <v>584</v>
      </c>
      <c r="Z586" s="53" t="n"/>
      <c r="AA586" s="53" t="inlineStr">
        <is>
          <t>External Consultant</t>
        </is>
      </c>
      <c r="AB586" s="53" t="inlineStr">
        <is>
          <t>Active</t>
        </is>
      </c>
      <c r="AC586" s="53" t="inlineStr">
        <is>
          <t>Sadhan Kumar</t>
        </is>
      </c>
      <c r="AD586" s="54" t="n">
        <v>46235</v>
      </c>
      <c r="AE586" s="53" t="inlineStr">
        <is>
          <t>Consultant</t>
        </is>
      </c>
      <c r="AF586" s="53" t="n"/>
      <c r="AG586" s="53" t="n"/>
      <c r="AH586" s="53" t="n"/>
      <c r="AI586" s="53" t="inlineStr">
        <is>
          <t>Individual Contributor</t>
        </is>
      </c>
      <c r="AJ586" s="53" t="n"/>
      <c r="AK586" s="53" t="n"/>
      <c r="AL586" s="53" t="n"/>
      <c r="AM586" s="53" t="inlineStr">
        <is>
          <t>Datatech</t>
        </is>
      </c>
      <c r="AN586" s="53" t="inlineStr">
        <is>
          <t>Technology</t>
        </is>
      </c>
      <c r="AO586" s="53" t="inlineStr">
        <is>
          <t>Development</t>
        </is>
      </c>
      <c r="AP586" s="53" t="inlineStr">
        <is>
          <t>Yes</t>
        </is>
      </c>
      <c r="AQ586" s="53" t="inlineStr">
        <is>
          <t>Product/Project</t>
        </is>
      </c>
      <c r="AR586" s="53" t="n"/>
      <c r="AS586" s="53" t="inlineStr">
        <is>
          <t>Technical - Developer</t>
        </is>
      </c>
      <c r="AT586" s="53" t="n">
        <v>0</v>
      </c>
      <c r="AU586" s="53" t="inlineStr">
        <is>
          <t>E-External Consultant</t>
        </is>
      </c>
      <c r="AV586" s="53" t="n"/>
      <c r="AW586" s="53" t="n"/>
      <c r="AX586" s="53" t="n"/>
      <c r="AY586" s="53" t="n"/>
      <c r="AZ586" s="53" t="n"/>
      <c r="BA586" s="53" t="n"/>
      <c r="BB586" s="53" t="n"/>
      <c r="BC586" s="53" t="n"/>
      <c r="BD586" s="53" t="n"/>
      <c r="BE586" s="53" t="n"/>
      <c r="BF586" s="53" t="n"/>
      <c r="BG586" s="53" t="n"/>
      <c r="BH586" s="53" t="n"/>
      <c r="BI586" s="53" t="n"/>
      <c r="BJ586" s="53" t="n"/>
      <c r="BK586" s="53" t="n"/>
      <c r="BL586" s="53" t="n"/>
      <c r="BM586" s="53" t="n"/>
      <c r="BN586" s="53" t="n"/>
      <c r="BO586" s="53" t="n"/>
      <c r="BP586" s="53" t="n"/>
      <c r="BQ586" s="53" t="n"/>
      <c r="BR586" s="53" t="n"/>
      <c r="BS586" s="53" t="n"/>
      <c r="BT586" s="53" t="n"/>
      <c r="BU586" s="53" t="n"/>
      <c r="BV586" s="53" t="n"/>
      <c r="BW586" s="53" t="n"/>
      <c r="BX586" s="53" t="n"/>
      <c r="BY586" s="53" t="n"/>
      <c r="BZ586" s="53" t="n"/>
      <c r="CA586" s="53" t="n"/>
      <c r="CB586" s="53" t="n"/>
      <c r="CC586" s="53" t="n"/>
      <c r="CD586" s="53" t="n"/>
      <c r="CE586" s="53" t="n"/>
      <c r="CF586" s="53" t="n"/>
      <c r="CG586" s="53" t="n"/>
      <c r="CH586" s="53" t="n"/>
      <c r="CI586" s="53" t="n"/>
      <c r="CJ586" s="53" t="n"/>
      <c r="CK586" s="53" t="n"/>
      <c r="CL586" s="53" t="n"/>
      <c r="CM586" s="53" t="n"/>
      <c r="CN586" s="53" t="n"/>
      <c r="CO586" s="53" t="n"/>
      <c r="CP586" s="53" t="n"/>
      <c r="CQ586" s="53" t="n"/>
      <c r="CR586" s="53" t="n"/>
      <c r="CS586" s="53" t="n"/>
      <c r="CT586" s="53" t="n"/>
      <c r="CU586" s="53" t="n"/>
      <c r="CV586" s="53" t="n"/>
      <c r="CW586" s="53" t="n"/>
      <c r="CX586" s="53" t="n"/>
      <c r="CY586" s="53" t="n"/>
      <c r="CZ586" s="53" t="n"/>
      <c r="DA586" s="53" t="n"/>
      <c r="DB586" s="53" t="n"/>
      <c r="DC586" s="53" t="n"/>
      <c r="DD586" s="53" t="n"/>
      <c r="DE586" s="53" t="n"/>
      <c r="DF586" s="53" t="n"/>
      <c r="DG586" s="53" t="n"/>
      <c r="DH586" s="53" t="n"/>
      <c r="DI586" s="53" t="n"/>
      <c r="DJ586" s="53" t="n"/>
      <c r="DK586" s="53" t="n"/>
      <c r="DL586" s="53" t="n"/>
      <c r="DM586" s="53" t="n"/>
      <c r="DN586" s="53" t="n"/>
      <c r="DO586" s="53" t="n"/>
      <c r="DP586" s="53" t="n"/>
      <c r="DQ586" s="53" t="n"/>
      <c r="DR586" s="53" t="n"/>
      <c r="DS586" s="53" t="n"/>
      <c r="DT586" s="53" t="n"/>
      <c r="DU586" s="53" t="n"/>
      <c r="DV586" s="53" t="n"/>
      <c r="DW586" s="53" t="n"/>
      <c r="DX586" s="53" t="n"/>
      <c r="DY586" s="53" t="n"/>
      <c r="DZ586" s="53" t="n"/>
      <c r="EA586" s="53" t="n"/>
      <c r="EB586" s="53" t="n"/>
      <c r="EC586" s="53" t="n"/>
      <c r="ED586" s="53" t="n"/>
      <c r="EE586" s="53" t="n"/>
      <c r="EF586" s="53" t="n"/>
      <c r="EG586" s="53" t="n"/>
      <c r="EH586" s="53" t="n"/>
      <c r="EI586" s="53" t="n"/>
      <c r="EJ586" s="53" t="n"/>
      <c r="EK586" s="53" t="n"/>
      <c r="EL586" s="53" t="n"/>
      <c r="EM586" s="53" t="n"/>
      <c r="EN586" s="53" t="n"/>
      <c r="EO586" s="53" t="n"/>
      <c r="EP586" s="53" t="n"/>
      <c r="EQ586" s="53" t="n"/>
      <c r="ER586" s="53" t="n"/>
      <c r="ES586" s="53" t="n"/>
      <c r="ET586" s="53" t="n"/>
      <c r="EU586" s="53" t="n"/>
      <c r="EV586" s="53" t="n"/>
      <c r="EW586" s="52" t="n"/>
      <c r="EX586" s="53" t="n"/>
      <c r="EY586" s="53" t="n"/>
      <c r="EZ586" s="53" t="n"/>
      <c r="FA586" s="53" t="n"/>
      <c r="FB586" s="53" t="n"/>
      <c r="FC586" s="53" t="n"/>
      <c r="FD586" s="53" t="n"/>
      <c r="FE586" s="55" t="inlineStr">
        <is>
          <t>KRAs not received · manager to supply</t>
        </is>
      </c>
      <c r="FF586" s="56" t="n"/>
      <c r="FG586" s="56" t="n"/>
      <c r="FH586" s="56" t="n"/>
      <c r="FI586" s="56" t="n"/>
      <c r="FJ586" s="32" t="inlineStr">
        <is>
          <t>KRAs not received · manager to supply</t>
        </is>
      </c>
      <c r="FK586" s="56" t="n"/>
      <c r="FL586" s="56" t="n">
        <v>0</v>
      </c>
      <c r="FM586" s="32" t="inlineStr">
        <is>
          <t>No survey response on file</t>
        </is>
      </c>
      <c r="FN586" s="56" t="inlineStr">
        <is>
          <t>—</t>
        </is>
      </c>
      <c r="FO586" s="56" t="inlineStr">
        <is>
          <t>—</t>
        </is>
      </c>
      <c r="FP586" s="56" t="inlineStr">
        <is>
          <t>—</t>
        </is>
      </c>
      <c r="FQ586" s="56" t="inlineStr">
        <is>
          <t>—</t>
        </is>
      </c>
      <c r="FR586" s="56" t="n"/>
      <c r="FS586"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6" s="56" t="n"/>
      <c r="FU586" s="32" t="inlineStr">
        <is>
          <t>No survey response on file</t>
        </is>
      </c>
    </row>
    <row r="587" ht="90" customHeight="1">
      <c r="A587" s="51" t="inlineStr">
        <is>
          <t>◂ Back</t>
        </is>
      </c>
      <c r="B587" s="29" t="inlineStr">
        <is>
          <t>Mapped</t>
        </is>
      </c>
      <c r="C587" s="28" t="inlineStr">
        <is>
          <t>iFile</t>
        </is>
      </c>
      <c r="D587" s="29" t="inlineStr">
        <is>
          <t>No Emp ID · external consultant</t>
        </is>
      </c>
      <c r="E587" s="29" t="inlineStr">
        <is>
          <t>Shifa Salheen</t>
        </is>
      </c>
      <c r="F587" s="29" t="inlineStr">
        <is>
          <t>Technology</t>
        </is>
      </c>
      <c r="G587" s="29" t="inlineStr">
        <is>
          <t>Consultant</t>
        </is>
      </c>
      <c r="H587" s="29" t="inlineStr">
        <is>
          <t>Associate Consultant – Software Development</t>
        </is>
      </c>
      <c r="I587" s="29" t="inlineStr">
        <is>
          <t>—</t>
        </is>
      </c>
      <c r="J587" s="29" t="inlineStr">
        <is>
          <t>X1</t>
        </is>
      </c>
      <c r="K587" s="29" t="inlineStr">
        <is>
          <t>• Same level</t>
        </is>
      </c>
      <c r="L587" s="29" t="inlineStr">
        <is>
          <t>Engineering &amp; Development</t>
        </is>
      </c>
      <c r="M587" s="29" t="inlineStr">
        <is>
          <t>Backend Development</t>
        </is>
      </c>
      <c r="N587" s="29" t="n"/>
      <c r="O587" s="29" t="n">
        <v>0</v>
      </c>
      <c r="P587" s="28" t="inlineStr">
        <is>
          <t>Contractor</t>
        </is>
      </c>
      <c r="Q587" s="29" t="inlineStr">
        <is>
          <t>—</t>
        </is>
      </c>
      <c r="R587" s="29" t="inlineStr">
        <is>
          <t>—</t>
        </is>
      </c>
      <c r="S587" s="29" t="inlineStr">
        <is>
          <t>0–5 yrs</t>
        </is>
      </c>
      <c r="T587" s="29" t="inlineStr">
        <is>
          <t>—</t>
        </is>
      </c>
      <c r="U587" s="29" t="inlineStr">
        <is>
          <t>Contractor · rate card</t>
        </is>
      </c>
      <c r="V587" s="29" t="inlineStr">
        <is>
          <t>—</t>
        </is>
      </c>
      <c r="W587" s="29" t="inlineStr">
        <is>
          <t>SFIA 9 · software development, programming; OWASP secure coding; cloud vendor certifications</t>
        </is>
      </c>
      <c r="X587" s="29" t="inlineStr">
        <is>
          <t>Per statement of work</t>
        </is>
      </c>
      <c r="Y587" s="52" t="n">
        <v>568</v>
      </c>
      <c r="Z587" s="53" t="n"/>
      <c r="AA587" s="53" t="inlineStr">
        <is>
          <t>External Consultant</t>
        </is>
      </c>
      <c r="AB587" s="53" t="inlineStr">
        <is>
          <t>Active</t>
        </is>
      </c>
      <c r="AC587" s="53" t="inlineStr">
        <is>
          <t>Shifa Salheen</t>
        </is>
      </c>
      <c r="AD587" s="54" t="n">
        <v>45425</v>
      </c>
      <c r="AE587" s="53" t="inlineStr">
        <is>
          <t>Consultant</t>
        </is>
      </c>
      <c r="AF587" s="53" t="n"/>
      <c r="AG587" s="53" t="n"/>
      <c r="AH587" s="53" t="n"/>
      <c r="AI587" s="53" t="inlineStr">
        <is>
          <t>Individual Contributor</t>
        </is>
      </c>
      <c r="AJ587" s="53" t="n"/>
      <c r="AK587" s="53" t="n"/>
      <c r="AL587" s="53" t="n"/>
      <c r="AM587" s="53" t="inlineStr">
        <is>
          <t>iFile</t>
        </is>
      </c>
      <c r="AN587" s="53" t="inlineStr">
        <is>
          <t>Technology</t>
        </is>
      </c>
      <c r="AO587" s="53" t="inlineStr">
        <is>
          <t>Development</t>
        </is>
      </c>
      <c r="AP587" s="53" t="inlineStr">
        <is>
          <t>Yes</t>
        </is>
      </c>
      <c r="AQ587" s="53" t="inlineStr">
        <is>
          <t>Product/Project</t>
        </is>
      </c>
      <c r="AR587" s="53" t="n"/>
      <c r="AS587" s="53" t="inlineStr">
        <is>
          <t>Technical - Developer</t>
        </is>
      </c>
      <c r="AT587" s="53" t="n">
        <v>0</v>
      </c>
      <c r="AU587" s="53" t="inlineStr">
        <is>
          <t>E-External Consultant</t>
        </is>
      </c>
      <c r="AV587" s="53" t="n"/>
      <c r="AW587" s="53" t="n"/>
      <c r="AX587" s="53" t="n"/>
      <c r="AY587" s="53" t="n"/>
      <c r="AZ587" s="53" t="n"/>
      <c r="BA587" s="53" t="n"/>
      <c r="BB587" s="53" t="n"/>
      <c r="BC587" s="53" t="n"/>
      <c r="BD587" s="53" t="n"/>
      <c r="BE587" s="53" t="n"/>
      <c r="BF587" s="53" t="n"/>
      <c r="BG587" s="53" t="n"/>
      <c r="BH587" s="53" t="n"/>
      <c r="BI587" s="53" t="n"/>
      <c r="BJ587" s="53" t="n"/>
      <c r="BK587" s="53" t="n"/>
      <c r="BL587" s="53" t="n"/>
      <c r="BM587" s="53" t="n"/>
      <c r="BN587" s="53" t="n"/>
      <c r="BO587" s="53" t="n"/>
      <c r="BP587" s="53" t="n"/>
      <c r="BQ587" s="53" t="n"/>
      <c r="BR587" s="53" t="n"/>
      <c r="BS587" s="53" t="n"/>
      <c r="BT587" s="53" t="n"/>
      <c r="BU587" s="53" t="n"/>
      <c r="BV587" s="53" t="n"/>
      <c r="BW587" s="53" t="n"/>
      <c r="BX587" s="53" t="n"/>
      <c r="BY587" s="53" t="n"/>
      <c r="BZ587" s="53" t="n"/>
      <c r="CA587" s="53" t="n"/>
      <c r="CB587" s="53" t="n"/>
      <c r="CC587" s="53" t="n"/>
      <c r="CD587" s="53" t="n"/>
      <c r="CE587" s="53" t="n"/>
      <c r="CF587" s="53" t="n"/>
      <c r="CG587" s="53" t="n"/>
      <c r="CH587" s="53" t="n"/>
      <c r="CI587" s="53" t="n"/>
      <c r="CJ587" s="53" t="n"/>
      <c r="CK587" s="53" t="n"/>
      <c r="CL587" s="53" t="n"/>
      <c r="CM587" s="53" t="n"/>
      <c r="CN587" s="53" t="n"/>
      <c r="CO587" s="53" t="n"/>
      <c r="CP587" s="53" t="n"/>
      <c r="CQ587" s="53" t="n"/>
      <c r="CR587" s="53" t="n"/>
      <c r="CS587" s="53" t="n"/>
      <c r="CT587" s="53" t="n"/>
      <c r="CU587" s="53" t="n"/>
      <c r="CV587" s="53" t="n"/>
      <c r="CW587" s="53" t="n"/>
      <c r="CX587" s="53" t="n"/>
      <c r="CY587" s="53" t="n"/>
      <c r="CZ587" s="53" t="n"/>
      <c r="DA587" s="53" t="n"/>
      <c r="DB587" s="53" t="n"/>
      <c r="DC587" s="53" t="n"/>
      <c r="DD587" s="53" t="n"/>
      <c r="DE587" s="53" t="n"/>
      <c r="DF587" s="53" t="n"/>
      <c r="DG587" s="53" t="n"/>
      <c r="DH587" s="53" t="n"/>
      <c r="DI587" s="53" t="n"/>
      <c r="DJ587" s="53" t="n"/>
      <c r="DK587" s="53" t="n"/>
      <c r="DL587" s="53" t="n"/>
      <c r="DM587" s="53" t="n"/>
      <c r="DN587" s="53" t="n"/>
      <c r="DO587" s="53" t="n"/>
      <c r="DP587" s="53" t="n"/>
      <c r="DQ587" s="53" t="n"/>
      <c r="DR587" s="53" t="n"/>
      <c r="DS587" s="53" t="n"/>
      <c r="DT587" s="53" t="n"/>
      <c r="DU587" s="53" t="n"/>
      <c r="DV587" s="53" t="n"/>
      <c r="DW587" s="53" t="n"/>
      <c r="DX587" s="53" t="n"/>
      <c r="DY587" s="53" t="n"/>
      <c r="DZ587" s="53" t="n"/>
      <c r="EA587" s="53" t="n"/>
      <c r="EB587" s="53" t="n"/>
      <c r="EC587" s="53" t="n"/>
      <c r="ED587" s="53" t="n"/>
      <c r="EE587" s="53" t="n"/>
      <c r="EF587" s="53" t="n"/>
      <c r="EG587" s="53" t="n"/>
      <c r="EH587" s="53" t="n"/>
      <c r="EI587" s="53" t="n"/>
      <c r="EJ587" s="53" t="n"/>
      <c r="EK587" s="53" t="n"/>
      <c r="EL587" s="53" t="n"/>
      <c r="EM587" s="53" t="n"/>
      <c r="EN587" s="53" t="n"/>
      <c r="EO587" s="53" t="n"/>
      <c r="EP587" s="53" t="n"/>
      <c r="EQ587" s="53" t="n"/>
      <c r="ER587" s="53" t="n"/>
      <c r="ES587" s="53" t="n"/>
      <c r="ET587" s="53" t="n"/>
      <c r="EU587" s="53" t="n"/>
      <c r="EV587" s="53" t="n"/>
      <c r="EW587" s="52" t="n"/>
      <c r="EX587" s="53" t="n"/>
      <c r="EY587" s="53" t="n"/>
      <c r="EZ587" s="53" t="n"/>
      <c r="FA587" s="53" t="n"/>
      <c r="FB587" s="53" t="n"/>
      <c r="FC587" s="53" t="n"/>
      <c r="FD587" s="53" t="n"/>
      <c r="FE587" s="55" t="inlineStr">
        <is>
          <t>KRAs not received · manager to supply</t>
        </is>
      </c>
      <c r="FF587" s="56" t="n"/>
      <c r="FG587" s="56" t="n"/>
      <c r="FH587" s="56" t="n"/>
      <c r="FI587" s="56" t="n"/>
      <c r="FJ587" s="32" t="inlineStr">
        <is>
          <t>KRAs not received · manager to supply</t>
        </is>
      </c>
      <c r="FK587" s="56" t="n"/>
      <c r="FL587" s="56" t="n">
        <v>0</v>
      </c>
      <c r="FM587" s="32" t="inlineStr">
        <is>
          <t>No survey response on file</t>
        </is>
      </c>
      <c r="FN587" s="56" t="inlineStr">
        <is>
          <t>—</t>
        </is>
      </c>
      <c r="FO587" s="56" t="inlineStr">
        <is>
          <t>—</t>
        </is>
      </c>
      <c r="FP587" s="56" t="inlineStr">
        <is>
          <t>—</t>
        </is>
      </c>
      <c r="FQ587" s="56" t="inlineStr">
        <is>
          <t>—</t>
        </is>
      </c>
      <c r="FR587" s="56" t="n"/>
      <c r="FS587"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7" s="56" t="n"/>
      <c r="FU587" s="32" t="inlineStr">
        <is>
          <t>No survey response on file</t>
        </is>
      </c>
    </row>
    <row r="588" ht="90" customHeight="1">
      <c r="A588" s="51" t="inlineStr">
        <is>
          <t>◂ Back</t>
        </is>
      </c>
      <c r="B588" s="29" t="inlineStr">
        <is>
          <t>Mapped</t>
        </is>
      </c>
      <c r="C588" s="28" t="inlineStr">
        <is>
          <t>Datatech</t>
        </is>
      </c>
      <c r="D588" s="29" t="inlineStr">
        <is>
          <t>No Emp ID · external consultant</t>
        </is>
      </c>
      <c r="E588" s="29" t="inlineStr">
        <is>
          <t>Shweta Vijay</t>
        </is>
      </c>
      <c r="F588" s="29" t="inlineStr">
        <is>
          <t>Not provided · HRIS</t>
        </is>
      </c>
      <c r="G588" s="29" t="inlineStr">
        <is>
          <t>Consultant</t>
        </is>
      </c>
      <c r="H588" s="29" t="inlineStr">
        <is>
          <t>Associate Consultant – Software Development</t>
        </is>
      </c>
      <c r="I588" s="29" t="inlineStr">
        <is>
          <t>—</t>
        </is>
      </c>
      <c r="J588" s="29" t="inlineStr">
        <is>
          <t>X1</t>
        </is>
      </c>
      <c r="K588" s="29" t="inlineStr">
        <is>
          <t>• Same level</t>
        </is>
      </c>
      <c r="L588" s="29" t="inlineStr">
        <is>
          <t>Unassigned</t>
        </is>
      </c>
      <c r="M588" s="29" t="inlineStr">
        <is>
          <t>Role not recorded · external consultant</t>
        </is>
      </c>
      <c r="N588" s="29" t="inlineStr">
        <is>
          <t>• Role and department on record — Business head</t>
        </is>
      </c>
      <c r="O588" s="29" t="n">
        <v>0</v>
      </c>
      <c r="P588" s="28" t="inlineStr">
        <is>
          <t>Contractor</t>
        </is>
      </c>
      <c r="Q588" s="29" t="inlineStr">
        <is>
          <t>—</t>
        </is>
      </c>
      <c r="R588" s="29" t="inlineStr">
        <is>
          <t>—</t>
        </is>
      </c>
      <c r="S588" s="29" t="inlineStr">
        <is>
          <t>0–5 yrs</t>
        </is>
      </c>
      <c r="T588" s="29" t="inlineStr">
        <is>
          <t>—</t>
        </is>
      </c>
      <c r="U588" s="29" t="inlineStr">
        <is>
          <t>Contractor · rate card</t>
        </is>
      </c>
      <c r="V588" s="29" t="inlineStr">
        <is>
          <t>—</t>
        </is>
      </c>
      <c r="W588" s="29" t="inlineStr">
        <is>
          <t>—</t>
        </is>
      </c>
      <c r="X588" s="29" t="inlineStr">
        <is>
          <t>Per statement of work</t>
        </is>
      </c>
      <c r="Y588" s="52" t="n">
        <v>586</v>
      </c>
      <c r="Z588" s="53" t="n"/>
      <c r="AA588" s="53" t="inlineStr">
        <is>
          <t>External Consultant</t>
        </is>
      </c>
      <c r="AB588" s="53" t="inlineStr">
        <is>
          <t>Active</t>
        </is>
      </c>
      <c r="AC588" s="53" t="inlineStr">
        <is>
          <t>Shweta Vijay</t>
        </is>
      </c>
      <c r="AD588" s="54" t="n">
        <v>46266</v>
      </c>
      <c r="AE588" s="53" t="inlineStr">
        <is>
          <t>Consultant</t>
        </is>
      </c>
      <c r="AF588" s="53" t="n"/>
      <c r="AG588" s="53" t="n"/>
      <c r="AH588" s="53" t="n"/>
      <c r="AI588" s="53" t="inlineStr">
        <is>
          <t>Individual Contributor</t>
        </is>
      </c>
      <c r="AJ588" s="53" t="n"/>
      <c r="AK588" s="53" t="n"/>
      <c r="AL588" s="53" t="n"/>
      <c r="AM588" s="53" t="inlineStr">
        <is>
          <t>Datatech</t>
        </is>
      </c>
      <c r="AN588" s="53" t="n"/>
      <c r="AO588" s="53" t="n"/>
      <c r="AP588" s="53" t="n"/>
      <c r="AQ588" s="53" t="n"/>
      <c r="AR588" s="53" t="n"/>
      <c r="AS588" s="53" t="n"/>
      <c r="AT588" s="53" t="n">
        <v>0</v>
      </c>
      <c r="AU588" s="53" t="inlineStr">
        <is>
          <t>E-External Consultant</t>
        </is>
      </c>
      <c r="AV588" s="53" t="n"/>
      <c r="AW588" s="53" t="n"/>
      <c r="AX588" s="53" t="n"/>
      <c r="AY588" s="53" t="n"/>
      <c r="AZ588" s="53" t="n"/>
      <c r="BA588" s="53" t="n"/>
      <c r="BB588" s="53" t="n"/>
      <c r="BC588" s="53" t="n"/>
      <c r="BD588" s="53" t="n"/>
      <c r="BE588" s="53" t="n"/>
      <c r="BF588" s="53" t="n"/>
      <c r="BG588" s="53" t="n"/>
      <c r="BH588" s="53" t="n"/>
      <c r="BI588" s="53" t="n"/>
      <c r="BJ588" s="53" t="n"/>
      <c r="BK588" s="53" t="n"/>
      <c r="BL588" s="53" t="n"/>
      <c r="BM588" s="53" t="n"/>
      <c r="BN588" s="53" t="n"/>
      <c r="BO588" s="53" t="n"/>
      <c r="BP588" s="53" t="n"/>
      <c r="BQ588" s="53" t="n"/>
      <c r="BR588" s="53" t="n"/>
      <c r="BS588" s="53" t="n"/>
      <c r="BT588" s="53" t="n"/>
      <c r="BU588" s="53" t="n"/>
      <c r="BV588" s="53" t="n"/>
      <c r="BW588" s="53" t="n"/>
      <c r="BX588" s="53" t="n"/>
      <c r="BY588" s="53" t="n"/>
      <c r="BZ588" s="53" t="n"/>
      <c r="CA588" s="53" t="n"/>
      <c r="CB588" s="53" t="n"/>
      <c r="CC588" s="53" t="n"/>
      <c r="CD588" s="53" t="n"/>
      <c r="CE588" s="53" t="n"/>
      <c r="CF588" s="53" t="n"/>
      <c r="CG588" s="53" t="n"/>
      <c r="CH588" s="53" t="n"/>
      <c r="CI588" s="53" t="n"/>
      <c r="CJ588" s="53" t="n"/>
      <c r="CK588" s="53" t="n"/>
      <c r="CL588" s="53" t="n"/>
      <c r="CM588" s="53" t="n"/>
      <c r="CN588" s="53" t="n"/>
      <c r="CO588" s="53" t="n"/>
      <c r="CP588" s="53" t="n"/>
      <c r="CQ588" s="53" t="n"/>
      <c r="CR588" s="53" t="n"/>
      <c r="CS588" s="53" t="n"/>
      <c r="CT588" s="53" t="n"/>
      <c r="CU588" s="53" t="n"/>
      <c r="CV588" s="53" t="n"/>
      <c r="CW588" s="53" t="n"/>
      <c r="CX588" s="53" t="n"/>
      <c r="CY588" s="53" t="n"/>
      <c r="CZ588" s="53" t="n"/>
      <c r="DA588" s="53" t="n"/>
      <c r="DB588" s="53" t="n"/>
      <c r="DC588" s="53" t="n"/>
      <c r="DD588" s="53" t="n"/>
      <c r="DE588" s="53" t="n"/>
      <c r="DF588" s="53" t="n"/>
      <c r="DG588" s="53" t="n"/>
      <c r="DH588" s="53" t="n"/>
      <c r="DI588" s="53" t="n"/>
      <c r="DJ588" s="53" t="n"/>
      <c r="DK588" s="53" t="n"/>
      <c r="DL588" s="53" t="n"/>
      <c r="DM588" s="53" t="n"/>
      <c r="DN588" s="53" t="n"/>
      <c r="DO588" s="53" t="n"/>
      <c r="DP588" s="53" t="n"/>
      <c r="DQ588" s="53" t="n"/>
      <c r="DR588" s="53" t="n"/>
      <c r="DS588" s="53" t="n"/>
      <c r="DT588" s="53" t="n"/>
      <c r="DU588" s="53" t="n"/>
      <c r="DV588" s="53" t="n"/>
      <c r="DW588" s="53" t="n"/>
      <c r="DX588" s="53" t="n"/>
      <c r="DY588" s="53" t="n"/>
      <c r="DZ588" s="53" t="n"/>
      <c r="EA588" s="53" t="n"/>
      <c r="EB588" s="53" t="n"/>
      <c r="EC588" s="53" t="n"/>
      <c r="ED588" s="53" t="n"/>
      <c r="EE588" s="53" t="n"/>
      <c r="EF588" s="53" t="n"/>
      <c r="EG588" s="53" t="n"/>
      <c r="EH588" s="53" t="n"/>
      <c r="EI588" s="53" t="n"/>
      <c r="EJ588" s="53" t="n"/>
      <c r="EK588" s="53" t="n"/>
      <c r="EL588" s="53" t="n"/>
      <c r="EM588" s="53" t="n"/>
      <c r="EN588" s="53" t="n"/>
      <c r="EO588" s="53" t="n"/>
      <c r="EP588" s="53" t="n"/>
      <c r="EQ588" s="53" t="n"/>
      <c r="ER588" s="53" t="n"/>
      <c r="ES588" s="53" t="n"/>
      <c r="ET588" s="53" t="n"/>
      <c r="EU588" s="53" t="n"/>
      <c r="EV588" s="53" t="n"/>
      <c r="EW588" s="52" t="n"/>
      <c r="EX588" s="53" t="n"/>
      <c r="EY588" s="53" t="n"/>
      <c r="EZ588" s="53" t="n"/>
      <c r="FA588" s="53" t="n"/>
      <c r="FB588" s="53" t="n"/>
      <c r="FC588" s="53" t="n"/>
      <c r="FD588" s="53" t="n"/>
      <c r="FE588" s="55" t="inlineStr">
        <is>
          <t>KRAs not received · manager to supply</t>
        </is>
      </c>
      <c r="FF588" s="56" t="n"/>
      <c r="FG588" s="56" t="n"/>
      <c r="FH588" s="56" t="n"/>
      <c r="FI588" s="56" t="n"/>
      <c r="FJ588" s="32" t="inlineStr">
        <is>
          <t>KRAs not received · manager to supply</t>
        </is>
      </c>
      <c r="FK588" s="56" t="n"/>
      <c r="FL588" s="56" t="n">
        <v>0</v>
      </c>
      <c r="FM588" s="32" t="inlineStr">
        <is>
          <t>No survey response on file</t>
        </is>
      </c>
      <c r="FN588" s="56" t="inlineStr">
        <is>
          <t>—</t>
        </is>
      </c>
      <c r="FO588" s="56" t="inlineStr">
        <is>
          <t>—</t>
        </is>
      </c>
      <c r="FP588" s="56" t="inlineStr">
        <is>
          <t>—</t>
        </is>
      </c>
      <c r="FQ588" s="56" t="inlineStr">
        <is>
          <t>—</t>
        </is>
      </c>
      <c r="FR588" s="56" t="n"/>
      <c r="FS588" s="56" t="n"/>
      <c r="FT588" s="56" t="n"/>
      <c r="FU588" s="32" t="inlineStr">
        <is>
          <t>No survey response on file</t>
        </is>
      </c>
    </row>
    <row r="589" ht="90" customHeight="1">
      <c r="A589" s="51" t="inlineStr">
        <is>
          <t>◂ Back</t>
        </is>
      </c>
      <c r="B589" s="29" t="inlineStr">
        <is>
          <t>Mapped</t>
        </is>
      </c>
      <c r="C589" s="28" t="inlineStr">
        <is>
          <t>iFile</t>
        </is>
      </c>
      <c r="D589" s="29" t="inlineStr">
        <is>
          <t>No Emp ID · external consultant</t>
        </is>
      </c>
      <c r="E589" s="29" t="inlineStr">
        <is>
          <t>Snnehasis Debyans</t>
        </is>
      </c>
      <c r="F589" s="29" t="inlineStr">
        <is>
          <t>Technology</t>
        </is>
      </c>
      <c r="G589" s="29" t="inlineStr">
        <is>
          <t>Consultant</t>
        </is>
      </c>
      <c r="H589" s="29" t="inlineStr">
        <is>
          <t>Associate Consultant – Software Development</t>
        </is>
      </c>
      <c r="I589" s="29" t="inlineStr">
        <is>
          <t>—</t>
        </is>
      </c>
      <c r="J589" s="29" t="inlineStr">
        <is>
          <t>X1</t>
        </is>
      </c>
      <c r="K589" s="29" t="inlineStr">
        <is>
          <t>• Same level</t>
        </is>
      </c>
      <c r="L589" s="29" t="inlineStr">
        <is>
          <t>Engineering &amp; Development</t>
        </is>
      </c>
      <c r="M589" s="29" t="inlineStr">
        <is>
          <t>Backend Development</t>
        </is>
      </c>
      <c r="N589" s="29" t="n"/>
      <c r="O589" s="29" t="n">
        <v>0</v>
      </c>
      <c r="P589" s="28" t="inlineStr">
        <is>
          <t>Contractor</t>
        </is>
      </c>
      <c r="Q589" s="29" t="inlineStr">
        <is>
          <t>—</t>
        </is>
      </c>
      <c r="R589" s="29" t="inlineStr">
        <is>
          <t>—</t>
        </is>
      </c>
      <c r="S589" s="29" t="inlineStr">
        <is>
          <t>0–5 yrs</t>
        </is>
      </c>
      <c r="T589" s="29" t="inlineStr">
        <is>
          <t>—</t>
        </is>
      </c>
      <c r="U589" s="29" t="inlineStr">
        <is>
          <t>Contractor · rate card</t>
        </is>
      </c>
      <c r="V589" s="29" t="inlineStr">
        <is>
          <t>—</t>
        </is>
      </c>
      <c r="W589" s="29" t="inlineStr">
        <is>
          <t>SFIA 9 · software development, programming; OWASP secure coding; cloud vendor certifications</t>
        </is>
      </c>
      <c r="X589" s="29" t="inlineStr">
        <is>
          <t>Per statement of work</t>
        </is>
      </c>
      <c r="Y589" s="52" t="n">
        <v>578</v>
      </c>
      <c r="Z589" s="53" t="n"/>
      <c r="AA589" s="53" t="inlineStr">
        <is>
          <t>External Consultant</t>
        </is>
      </c>
      <c r="AB589" s="53" t="inlineStr">
        <is>
          <t>Active</t>
        </is>
      </c>
      <c r="AC589" s="53" t="inlineStr">
        <is>
          <t>Snnehasis Debyans</t>
        </is>
      </c>
      <c r="AD589" s="54" t="n">
        <v>46094</v>
      </c>
      <c r="AE589" s="53" t="inlineStr">
        <is>
          <t>Consultant</t>
        </is>
      </c>
      <c r="AF589" s="53" t="n"/>
      <c r="AG589" s="53" t="n"/>
      <c r="AH589" s="53" t="n"/>
      <c r="AI589" s="53" t="inlineStr">
        <is>
          <t>Individual Contributor</t>
        </is>
      </c>
      <c r="AJ589" s="53" t="n"/>
      <c r="AK589" s="53" t="n"/>
      <c r="AL589" s="53" t="n"/>
      <c r="AM589" s="53" t="inlineStr">
        <is>
          <t>iFile</t>
        </is>
      </c>
      <c r="AN589" s="53" t="inlineStr">
        <is>
          <t>Technology</t>
        </is>
      </c>
      <c r="AO589" s="53" t="inlineStr">
        <is>
          <t>Development</t>
        </is>
      </c>
      <c r="AP589" s="53" t="inlineStr">
        <is>
          <t>Yes</t>
        </is>
      </c>
      <c r="AQ589" s="53" t="inlineStr">
        <is>
          <t>Product/Project</t>
        </is>
      </c>
      <c r="AR589" s="53" t="n"/>
      <c r="AS589" s="53" t="inlineStr">
        <is>
          <t>Technical - Developer</t>
        </is>
      </c>
      <c r="AT589" s="53" t="n">
        <v>0</v>
      </c>
      <c r="AU589" s="53" t="inlineStr">
        <is>
          <t>E-External Consultant</t>
        </is>
      </c>
      <c r="AV589" s="53" t="n"/>
      <c r="AW589" s="53" t="n"/>
      <c r="AX589" s="53" t="n"/>
      <c r="AY589" s="53" t="n"/>
      <c r="AZ589" s="53" t="n"/>
      <c r="BA589" s="53" t="n"/>
      <c r="BB589" s="53" t="n"/>
      <c r="BC589" s="53" t="n"/>
      <c r="BD589" s="53" t="n"/>
      <c r="BE589" s="53" t="n"/>
      <c r="BF589" s="53" t="n"/>
      <c r="BG589" s="53" t="n"/>
      <c r="BH589" s="53" t="n"/>
      <c r="BI589" s="53" t="n"/>
      <c r="BJ589" s="53" t="n"/>
      <c r="BK589" s="53" t="n"/>
      <c r="BL589" s="53" t="n"/>
      <c r="BM589" s="53" t="n"/>
      <c r="BN589" s="53" t="n"/>
      <c r="BO589" s="53" t="n"/>
      <c r="BP589" s="53" t="n"/>
      <c r="BQ589" s="53" t="n"/>
      <c r="BR589" s="53" t="n"/>
      <c r="BS589" s="53" t="n"/>
      <c r="BT589" s="53" t="n"/>
      <c r="BU589" s="53" t="n"/>
      <c r="BV589" s="53" t="n"/>
      <c r="BW589" s="53" t="n"/>
      <c r="BX589" s="53" t="n"/>
      <c r="BY589" s="53" t="n"/>
      <c r="BZ589" s="53" t="n"/>
      <c r="CA589" s="53" t="n"/>
      <c r="CB589" s="53" t="n"/>
      <c r="CC589" s="53" t="n"/>
      <c r="CD589" s="53" t="n"/>
      <c r="CE589" s="53" t="n"/>
      <c r="CF589" s="53" t="n"/>
      <c r="CG589" s="53" t="n"/>
      <c r="CH589" s="53" t="n"/>
      <c r="CI589" s="53" t="n"/>
      <c r="CJ589" s="53" t="n"/>
      <c r="CK589" s="53" t="n"/>
      <c r="CL589" s="53" t="n"/>
      <c r="CM589" s="53" t="n"/>
      <c r="CN589" s="53" t="n"/>
      <c r="CO589" s="53" t="n"/>
      <c r="CP589" s="53" t="n"/>
      <c r="CQ589" s="53" t="n"/>
      <c r="CR589" s="53" t="n"/>
      <c r="CS589" s="53" t="n"/>
      <c r="CT589" s="53" t="n"/>
      <c r="CU589" s="53" t="n"/>
      <c r="CV589" s="53" t="n"/>
      <c r="CW589" s="53" t="n"/>
      <c r="CX589" s="53" t="n"/>
      <c r="CY589" s="53" t="n"/>
      <c r="CZ589" s="53" t="n"/>
      <c r="DA589" s="53" t="n"/>
      <c r="DB589" s="53" t="n"/>
      <c r="DC589" s="53" t="n"/>
      <c r="DD589" s="53" t="n"/>
      <c r="DE589" s="53" t="n"/>
      <c r="DF589" s="53" t="n"/>
      <c r="DG589" s="53" t="n"/>
      <c r="DH589" s="53" t="n"/>
      <c r="DI589" s="53" t="n"/>
      <c r="DJ589" s="53" t="n"/>
      <c r="DK589" s="53" t="n"/>
      <c r="DL589" s="53" t="n"/>
      <c r="DM589" s="53" t="n"/>
      <c r="DN589" s="53" t="n"/>
      <c r="DO589" s="53" t="n"/>
      <c r="DP589" s="53" t="n"/>
      <c r="DQ589" s="53" t="n"/>
      <c r="DR589" s="53" t="n"/>
      <c r="DS589" s="53" t="n"/>
      <c r="DT589" s="53" t="n"/>
      <c r="DU589" s="53" t="n"/>
      <c r="DV589" s="53" t="n"/>
      <c r="DW589" s="53" t="n"/>
      <c r="DX589" s="53" t="n"/>
      <c r="DY589" s="53" t="n"/>
      <c r="DZ589" s="53" t="n"/>
      <c r="EA589" s="53" t="n"/>
      <c r="EB589" s="53" t="n"/>
      <c r="EC589" s="53" t="n"/>
      <c r="ED589" s="53" t="n"/>
      <c r="EE589" s="53" t="n"/>
      <c r="EF589" s="53" t="n"/>
      <c r="EG589" s="53" t="n"/>
      <c r="EH589" s="53" t="n"/>
      <c r="EI589" s="53" t="n"/>
      <c r="EJ589" s="53" t="n"/>
      <c r="EK589" s="53" t="n"/>
      <c r="EL589" s="53" t="n"/>
      <c r="EM589" s="53" t="n"/>
      <c r="EN589" s="53" t="n"/>
      <c r="EO589" s="53" t="n"/>
      <c r="EP589" s="53" t="n"/>
      <c r="EQ589" s="53" t="n"/>
      <c r="ER589" s="53" t="n"/>
      <c r="ES589" s="53" t="n"/>
      <c r="ET589" s="53" t="n"/>
      <c r="EU589" s="53" t="n"/>
      <c r="EV589" s="53" t="n"/>
      <c r="EW589" s="52" t="n"/>
      <c r="EX589" s="53" t="n"/>
      <c r="EY589" s="53" t="n"/>
      <c r="EZ589" s="53" t="n"/>
      <c r="FA589" s="53" t="n"/>
      <c r="FB589" s="53" t="n"/>
      <c r="FC589" s="53" t="n"/>
      <c r="FD589" s="53" t="n"/>
      <c r="FE589" s="55" t="inlineStr">
        <is>
          <t>KRAs not received · manager to supply</t>
        </is>
      </c>
      <c r="FF589" s="56" t="n"/>
      <c r="FG589" s="56" t="n"/>
      <c r="FH589" s="56" t="n"/>
      <c r="FI589" s="56" t="n"/>
      <c r="FJ589" s="32" t="inlineStr">
        <is>
          <t>KRAs not received · manager to supply</t>
        </is>
      </c>
      <c r="FK589" s="56" t="n"/>
      <c r="FL589" s="56" t="n">
        <v>0</v>
      </c>
      <c r="FM589" s="32" t="inlineStr">
        <is>
          <t>No survey response on file</t>
        </is>
      </c>
      <c r="FN589" s="56" t="inlineStr">
        <is>
          <t>—</t>
        </is>
      </c>
      <c r="FO589" s="56" t="inlineStr">
        <is>
          <t>—</t>
        </is>
      </c>
      <c r="FP589" s="56" t="inlineStr">
        <is>
          <t>—</t>
        </is>
      </c>
      <c r="FQ589" s="56" t="inlineStr">
        <is>
          <t>—</t>
        </is>
      </c>
      <c r="FR589" s="56" t="n"/>
      <c r="FS58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9" s="56" t="n"/>
      <c r="FU589" s="32" t="inlineStr">
        <is>
          <t>No survey response on file</t>
        </is>
      </c>
    </row>
    <row r="590" ht="90" customHeight="1">
      <c r="A590" s="51" t="inlineStr">
        <is>
          <t>◂ Back</t>
        </is>
      </c>
      <c r="B590" s="29" t="inlineStr">
        <is>
          <t>Mapped</t>
        </is>
      </c>
      <c r="C590" s="28" t="inlineStr">
        <is>
          <t>Datatech</t>
        </is>
      </c>
      <c r="D590" s="29" t="inlineStr">
        <is>
          <t>No Emp ID · external consultant</t>
        </is>
      </c>
      <c r="E590" s="29" t="inlineStr">
        <is>
          <t>Sohel Yadav</t>
        </is>
      </c>
      <c r="F590" s="29" t="inlineStr">
        <is>
          <t>Technology</t>
        </is>
      </c>
      <c r="G590" s="29" t="inlineStr">
        <is>
          <t>Consultant</t>
        </is>
      </c>
      <c r="H590" s="29" t="inlineStr">
        <is>
          <t>Associate Consultant – Software Development</t>
        </is>
      </c>
      <c r="I590" s="29" t="inlineStr">
        <is>
          <t>—</t>
        </is>
      </c>
      <c r="J590" s="29" t="inlineStr">
        <is>
          <t>X1</t>
        </is>
      </c>
      <c r="K590" s="29" t="inlineStr">
        <is>
          <t>• Same level</t>
        </is>
      </c>
      <c r="L590" s="29" t="inlineStr">
        <is>
          <t>Engineering &amp; Development</t>
        </is>
      </c>
      <c r="M590" s="29" t="inlineStr">
        <is>
          <t>Backend Development</t>
        </is>
      </c>
      <c r="N590" s="29" t="n"/>
      <c r="O590" s="29" t="n">
        <v>0</v>
      </c>
      <c r="P590" s="28" t="inlineStr">
        <is>
          <t>Contractor</t>
        </is>
      </c>
      <c r="Q590" s="29" t="inlineStr">
        <is>
          <t>—</t>
        </is>
      </c>
      <c r="R590" s="29" t="inlineStr">
        <is>
          <t>—</t>
        </is>
      </c>
      <c r="S590" s="29" t="inlineStr">
        <is>
          <t>0–5 yrs</t>
        </is>
      </c>
      <c r="T590" s="29" t="inlineStr">
        <is>
          <t>—</t>
        </is>
      </c>
      <c r="U590" s="29" t="inlineStr">
        <is>
          <t>Contractor · rate card</t>
        </is>
      </c>
      <c r="V590" s="29" t="inlineStr">
        <is>
          <t>—</t>
        </is>
      </c>
      <c r="W590" s="29" t="inlineStr">
        <is>
          <t>SFIA 9 · software development, programming; OWASP secure coding; cloud vendor certifications</t>
        </is>
      </c>
      <c r="X590" s="29" t="inlineStr">
        <is>
          <t>Per statement of work</t>
        </is>
      </c>
      <c r="Y590" s="52" t="n">
        <v>581</v>
      </c>
      <c r="Z590" s="53" t="n"/>
      <c r="AA590" s="53" t="inlineStr">
        <is>
          <t>External Consultant</t>
        </is>
      </c>
      <c r="AB590" s="53" t="inlineStr">
        <is>
          <t>Active</t>
        </is>
      </c>
      <c r="AC590" s="53" t="inlineStr">
        <is>
          <t>Sohel Yadav</t>
        </is>
      </c>
      <c r="AD590" s="54" t="n">
        <v>46174</v>
      </c>
      <c r="AE590" s="53" t="inlineStr">
        <is>
          <t>Consultant</t>
        </is>
      </c>
      <c r="AF590" s="53" t="n"/>
      <c r="AG590" s="53" t="n"/>
      <c r="AH590" s="53" t="n"/>
      <c r="AI590" s="53" t="inlineStr">
        <is>
          <t>Individual Contributor</t>
        </is>
      </c>
      <c r="AJ590" s="53" t="n"/>
      <c r="AK590" s="53" t="n"/>
      <c r="AL590" s="53" t="n"/>
      <c r="AM590" s="53" t="inlineStr">
        <is>
          <t>Datatech</t>
        </is>
      </c>
      <c r="AN590" s="53" t="inlineStr">
        <is>
          <t>Technology</t>
        </is>
      </c>
      <c r="AO590" s="53" t="inlineStr">
        <is>
          <t>Development</t>
        </is>
      </c>
      <c r="AP590" s="53" t="inlineStr">
        <is>
          <t>Yes</t>
        </is>
      </c>
      <c r="AQ590" s="53" t="inlineStr">
        <is>
          <t>Product/Project</t>
        </is>
      </c>
      <c r="AR590" s="53" t="n"/>
      <c r="AS590" s="53" t="inlineStr">
        <is>
          <t>Technical - Developer</t>
        </is>
      </c>
      <c r="AT590" s="53" t="n">
        <v>0</v>
      </c>
      <c r="AU590" s="53" t="inlineStr">
        <is>
          <t>E-External Consultant</t>
        </is>
      </c>
      <c r="AV590" s="53" t="n"/>
      <c r="AW590" s="53" t="n"/>
      <c r="AX590" s="53" t="n"/>
      <c r="AY590" s="53" t="n"/>
      <c r="AZ590" s="53" t="n"/>
      <c r="BA590" s="53" t="n"/>
      <c r="BB590" s="53" t="n"/>
      <c r="BC590" s="53" t="n"/>
      <c r="BD590" s="53" t="n"/>
      <c r="BE590" s="53" t="n"/>
      <c r="BF590" s="53" t="n"/>
      <c r="BG590" s="53" t="n"/>
      <c r="BH590" s="53" t="n"/>
      <c r="BI590" s="53" t="n"/>
      <c r="BJ590" s="53" t="n"/>
      <c r="BK590" s="53" t="n"/>
      <c r="BL590" s="53" t="n"/>
      <c r="BM590" s="53" t="n"/>
      <c r="BN590" s="53" t="n"/>
      <c r="BO590" s="53" t="n"/>
      <c r="BP590" s="53" t="n"/>
      <c r="BQ590" s="53" t="n"/>
      <c r="BR590" s="53" t="n"/>
      <c r="BS590" s="53" t="n"/>
      <c r="BT590" s="53" t="n"/>
      <c r="BU590" s="53" t="n"/>
      <c r="BV590" s="53" t="n"/>
      <c r="BW590" s="53" t="n"/>
      <c r="BX590" s="53" t="n"/>
      <c r="BY590" s="53" t="n"/>
      <c r="BZ590" s="53" t="n"/>
      <c r="CA590" s="53" t="n"/>
      <c r="CB590" s="53" t="n"/>
      <c r="CC590" s="53" t="n"/>
      <c r="CD590" s="53" t="n"/>
      <c r="CE590" s="53" t="n"/>
      <c r="CF590" s="53" t="n"/>
      <c r="CG590" s="53" t="n"/>
      <c r="CH590" s="53" t="n"/>
      <c r="CI590" s="53" t="n"/>
      <c r="CJ590" s="53" t="n"/>
      <c r="CK590" s="53" t="n"/>
      <c r="CL590" s="53" t="n"/>
      <c r="CM590" s="53" t="n"/>
      <c r="CN590" s="53" t="n"/>
      <c r="CO590" s="53" t="n"/>
      <c r="CP590" s="53" t="n"/>
      <c r="CQ590" s="53" t="n"/>
      <c r="CR590" s="53" t="n"/>
      <c r="CS590" s="53" t="n"/>
      <c r="CT590" s="53" t="n"/>
      <c r="CU590" s="53" t="n"/>
      <c r="CV590" s="53" t="n"/>
      <c r="CW590" s="53" t="n"/>
      <c r="CX590" s="53" t="n"/>
      <c r="CY590" s="53" t="n"/>
      <c r="CZ590" s="53" t="n"/>
      <c r="DA590" s="53" t="n"/>
      <c r="DB590" s="53" t="n"/>
      <c r="DC590" s="53" t="n"/>
      <c r="DD590" s="53" t="n"/>
      <c r="DE590" s="53" t="n"/>
      <c r="DF590" s="53" t="n"/>
      <c r="DG590" s="53" t="n"/>
      <c r="DH590" s="53" t="n"/>
      <c r="DI590" s="53" t="n"/>
      <c r="DJ590" s="53" t="n"/>
      <c r="DK590" s="53" t="n"/>
      <c r="DL590" s="53" t="n"/>
      <c r="DM590" s="53" t="n"/>
      <c r="DN590" s="53" t="n"/>
      <c r="DO590" s="53" t="n"/>
      <c r="DP590" s="53" t="n"/>
      <c r="DQ590" s="53" t="n"/>
      <c r="DR590" s="53" t="n"/>
      <c r="DS590" s="53" t="n"/>
      <c r="DT590" s="53" t="n"/>
      <c r="DU590" s="53" t="n"/>
      <c r="DV590" s="53" t="n"/>
      <c r="DW590" s="53" t="n"/>
      <c r="DX590" s="53" t="n"/>
      <c r="DY590" s="53" t="n"/>
      <c r="DZ590" s="53" t="n"/>
      <c r="EA590" s="53" t="n"/>
      <c r="EB590" s="53" t="n"/>
      <c r="EC590" s="53" t="n"/>
      <c r="ED590" s="53" t="n"/>
      <c r="EE590" s="53" t="n"/>
      <c r="EF590" s="53" t="n"/>
      <c r="EG590" s="53" t="n"/>
      <c r="EH590" s="53" t="n"/>
      <c r="EI590" s="53" t="n"/>
      <c r="EJ590" s="53" t="n"/>
      <c r="EK590" s="53" t="n"/>
      <c r="EL590" s="53" t="n"/>
      <c r="EM590" s="53" t="n"/>
      <c r="EN590" s="53" t="n"/>
      <c r="EO590" s="53" t="n"/>
      <c r="EP590" s="53" t="n"/>
      <c r="EQ590" s="53" t="n"/>
      <c r="ER590" s="53" t="n"/>
      <c r="ES590" s="53" t="n"/>
      <c r="ET590" s="53" t="n"/>
      <c r="EU590" s="53" t="n"/>
      <c r="EV590" s="53" t="n"/>
      <c r="EW590" s="52" t="n"/>
      <c r="EX590" s="53" t="n"/>
      <c r="EY590" s="53" t="n"/>
      <c r="EZ590" s="53" t="n"/>
      <c r="FA590" s="53" t="n"/>
      <c r="FB590" s="53" t="n"/>
      <c r="FC590" s="53" t="n"/>
      <c r="FD590" s="53" t="n"/>
      <c r="FE590" s="55" t="inlineStr">
        <is>
          <t>KRAs not received · manager to supply</t>
        </is>
      </c>
      <c r="FF590" s="56" t="n"/>
      <c r="FG590" s="56" t="n"/>
      <c r="FH590" s="56" t="n"/>
      <c r="FI590" s="56" t="n"/>
      <c r="FJ590" s="32" t="inlineStr">
        <is>
          <t>KRAs not received · manager to supply</t>
        </is>
      </c>
      <c r="FK590" s="56" t="n"/>
      <c r="FL590" s="56" t="n">
        <v>0</v>
      </c>
      <c r="FM590" s="32" t="inlineStr">
        <is>
          <t>No survey response on file</t>
        </is>
      </c>
      <c r="FN590" s="56" t="inlineStr">
        <is>
          <t>—</t>
        </is>
      </c>
      <c r="FO590" s="56" t="inlineStr">
        <is>
          <t>—</t>
        </is>
      </c>
      <c r="FP590" s="56" t="inlineStr">
        <is>
          <t>—</t>
        </is>
      </c>
      <c r="FQ590" s="56" t="inlineStr">
        <is>
          <t>—</t>
        </is>
      </c>
      <c r="FR590" s="56" t="n"/>
      <c r="FS590"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0" s="56" t="n"/>
      <c r="FU590" s="32" t="inlineStr">
        <is>
          <t>No survey response on file</t>
        </is>
      </c>
    </row>
    <row r="591" ht="90" customHeight="1">
      <c r="A591" s="51" t="inlineStr">
        <is>
          <t>◂ Back</t>
        </is>
      </c>
      <c r="B591" s="29" t="inlineStr">
        <is>
          <t>Mapped</t>
        </is>
      </c>
      <c r="C591" s="28" t="inlineStr">
        <is>
          <t>Datatech</t>
        </is>
      </c>
      <c r="D591" s="29" t="inlineStr">
        <is>
          <t>No Emp ID · in-house consultant</t>
        </is>
      </c>
      <c r="E591" s="29" t="inlineStr">
        <is>
          <t>Vivek Kumar</t>
        </is>
      </c>
      <c r="F591" s="29" t="inlineStr">
        <is>
          <t>Technology</t>
        </is>
      </c>
      <c r="G591" s="29" t="inlineStr">
        <is>
          <t>Consultant</t>
        </is>
      </c>
      <c r="H591" s="29" t="inlineStr">
        <is>
          <t>Associate Consultant – Software Development</t>
        </is>
      </c>
      <c r="I591" s="29" t="inlineStr">
        <is>
          <t>Not in current mapping files</t>
        </is>
      </c>
      <c r="J591" s="29" t="inlineStr">
        <is>
          <t>X1</t>
        </is>
      </c>
      <c r="K591" s="29" t="inlineStr">
        <is>
          <t>• Same level</t>
        </is>
      </c>
      <c r="L591" s="29" t="inlineStr">
        <is>
          <t>Engineering &amp; Development</t>
        </is>
      </c>
      <c r="M591" s="29" t="inlineStr">
        <is>
          <t>Backend Development</t>
        </is>
      </c>
      <c r="N591" s="29" t="n"/>
      <c r="O591" s="29" t="n">
        <v>0</v>
      </c>
      <c r="P591" s="28" t="inlineStr">
        <is>
          <t>Contractor</t>
        </is>
      </c>
      <c r="Q591" s="29" t="inlineStr">
        <is>
          <t>—</t>
        </is>
      </c>
      <c r="R591" s="29" t="inlineStr">
        <is>
          <t>—</t>
        </is>
      </c>
      <c r="S591" s="29" t="inlineStr">
        <is>
          <t>0–5 yrs</t>
        </is>
      </c>
      <c r="T591" s="29" t="inlineStr">
        <is>
          <t>—</t>
        </is>
      </c>
      <c r="U591" s="29" t="inlineStr">
        <is>
          <t>Contractor · rate card</t>
        </is>
      </c>
      <c r="V591" s="29" t="inlineStr">
        <is>
          <t>—</t>
        </is>
      </c>
      <c r="W591" s="29" t="inlineStr">
        <is>
          <t>SFIA 9 · software development, programming; OWASP secure coding; cloud vendor certifications</t>
        </is>
      </c>
      <c r="X591" s="29" t="inlineStr">
        <is>
          <t>Per statement of work</t>
        </is>
      </c>
      <c r="Y591" s="52" t="n">
        <v>582</v>
      </c>
      <c r="Z591" s="53" t="n"/>
      <c r="AA591" s="53" t="inlineStr">
        <is>
          <t>In-House Consultant</t>
        </is>
      </c>
      <c r="AB591" s="53" t="inlineStr">
        <is>
          <t>Active</t>
        </is>
      </c>
      <c r="AC591" s="53" t="inlineStr">
        <is>
          <t>Vivek Kumar</t>
        </is>
      </c>
      <c r="AD591" s="54" t="n">
        <v>46174</v>
      </c>
      <c r="AE591" s="53" t="inlineStr">
        <is>
          <t>Consultant</t>
        </is>
      </c>
      <c r="AF591" s="53" t="n"/>
      <c r="AG591" s="53" t="n"/>
      <c r="AH591" s="53" t="n"/>
      <c r="AI591" s="53" t="inlineStr">
        <is>
          <t>Individual Contributor</t>
        </is>
      </c>
      <c r="AJ591" s="53" t="n"/>
      <c r="AK591" s="53" t="n"/>
      <c r="AL591" s="53" t="n"/>
      <c r="AM591" s="53" t="inlineStr">
        <is>
          <t>Datatech</t>
        </is>
      </c>
      <c r="AN591" s="53" t="inlineStr">
        <is>
          <t>Technology</t>
        </is>
      </c>
      <c r="AO591" s="53" t="inlineStr">
        <is>
          <t>Development</t>
        </is>
      </c>
      <c r="AP591" s="53" t="inlineStr">
        <is>
          <t>Yes</t>
        </is>
      </c>
      <c r="AQ591" s="53" t="inlineStr">
        <is>
          <t>Product/Project</t>
        </is>
      </c>
      <c r="AR591" s="53" t="n"/>
      <c r="AS591" s="53" t="inlineStr">
        <is>
          <t>Technical - Developer</t>
        </is>
      </c>
      <c r="AT591" s="53" t="n">
        <v>0</v>
      </c>
      <c r="AU591" s="53" t="inlineStr">
        <is>
          <t>E-External Consultant</t>
        </is>
      </c>
      <c r="AV591" s="53" t="n"/>
      <c r="AW591" s="53" t="n"/>
      <c r="AX591" s="53" t="n"/>
      <c r="AY591" s="53" t="n"/>
      <c r="AZ591" s="53" t="n"/>
      <c r="BA591" s="53" t="n"/>
      <c r="BB591" s="53" t="n"/>
      <c r="BC591" s="53" t="n"/>
      <c r="BD591" s="53" t="n"/>
      <c r="BE591" s="53" t="n"/>
      <c r="BF591" s="53" t="n"/>
      <c r="BG591" s="53" t="n"/>
      <c r="BH591" s="53" t="n"/>
      <c r="BI591" s="53" t="n"/>
      <c r="BJ591" s="53" t="n"/>
      <c r="BK591" s="53" t="n"/>
      <c r="BL591" s="53" t="n"/>
      <c r="BM591" s="53" t="n"/>
      <c r="BN591" s="53" t="n"/>
      <c r="BO591" s="53" t="n"/>
      <c r="BP591" s="53" t="n"/>
      <c r="BQ591" s="53" t="n"/>
      <c r="BR591" s="53" t="n"/>
      <c r="BS591" s="53" t="n"/>
      <c r="BT591" s="53" t="n"/>
      <c r="BU591" s="53" t="n"/>
      <c r="BV591" s="53" t="n"/>
      <c r="BW591" s="53" t="n"/>
      <c r="BX591" s="53" t="n"/>
      <c r="BY591" s="53" t="n"/>
      <c r="BZ591" s="53" t="n"/>
      <c r="CA591" s="53" t="n"/>
      <c r="CB591" s="53" t="n"/>
      <c r="CC591" s="53" t="n"/>
      <c r="CD591" s="53" t="n"/>
      <c r="CE591" s="53" t="n"/>
      <c r="CF591" s="53" t="n"/>
      <c r="CG591" s="53" t="n"/>
      <c r="CH591" s="53" t="n"/>
      <c r="CI591" s="53" t="n"/>
      <c r="CJ591" s="53" t="n"/>
      <c r="CK591" s="53" t="n"/>
      <c r="CL591" s="53" t="n"/>
      <c r="CM591" s="53" t="n"/>
      <c r="CN591" s="53" t="n"/>
      <c r="CO591" s="53" t="n"/>
      <c r="CP591" s="53" t="n"/>
      <c r="CQ591" s="53" t="n"/>
      <c r="CR591" s="53" t="n"/>
      <c r="CS591" s="53" t="n"/>
      <c r="CT591" s="53" t="n"/>
      <c r="CU591" s="53" t="n"/>
      <c r="CV591" s="53" t="n"/>
      <c r="CW591" s="53" t="n"/>
      <c r="CX591" s="53" t="n"/>
      <c r="CY591" s="53" t="n"/>
      <c r="CZ591" s="53" t="n"/>
      <c r="DA591" s="53" t="n"/>
      <c r="DB591" s="53" t="n"/>
      <c r="DC591" s="53" t="n"/>
      <c r="DD591" s="53" t="n"/>
      <c r="DE591" s="53" t="n"/>
      <c r="DF591" s="53" t="n"/>
      <c r="DG591" s="53" t="n"/>
      <c r="DH591" s="53" t="n"/>
      <c r="DI591" s="53" t="n"/>
      <c r="DJ591" s="53" t="n"/>
      <c r="DK591" s="53" t="n"/>
      <c r="DL591" s="53" t="n"/>
      <c r="DM591" s="53" t="n"/>
      <c r="DN591" s="53" t="n"/>
      <c r="DO591" s="53" t="n"/>
      <c r="DP591" s="53" t="n"/>
      <c r="DQ591" s="53" t="n"/>
      <c r="DR591" s="53" t="n"/>
      <c r="DS591" s="53" t="n"/>
      <c r="DT591" s="53" t="n"/>
      <c r="DU591" s="53" t="n"/>
      <c r="DV591" s="53" t="n"/>
      <c r="DW591" s="53" t="n"/>
      <c r="DX591" s="53" t="n"/>
      <c r="DY591" s="53" t="n"/>
      <c r="DZ591" s="53" t="n"/>
      <c r="EA591" s="53" t="n"/>
      <c r="EB591" s="53" t="n"/>
      <c r="EC591" s="53" t="n"/>
      <c r="ED591" s="53" t="n"/>
      <c r="EE591" s="53" t="n"/>
      <c r="EF591" s="53" t="n"/>
      <c r="EG591" s="53" t="n"/>
      <c r="EH591" s="53" t="n"/>
      <c r="EI591" s="53" t="n"/>
      <c r="EJ591" s="53" t="n"/>
      <c r="EK591" s="53" t="n"/>
      <c r="EL591" s="53" t="n"/>
      <c r="EM591" s="53" t="n"/>
      <c r="EN591" s="53" t="n"/>
      <c r="EO591" s="53" t="n"/>
      <c r="EP591" s="53" t="n"/>
      <c r="EQ591" s="53" t="n"/>
      <c r="ER591" s="53" t="n"/>
      <c r="ES591" s="53" t="n"/>
      <c r="ET591" s="53" t="n"/>
      <c r="EU591" s="53" t="n"/>
      <c r="EV591" s="53" t="n"/>
      <c r="EW591" s="52" t="n"/>
      <c r="EX591" s="53" t="n"/>
      <c r="EY591" s="53" t="n"/>
      <c r="EZ591" s="53" t="n"/>
      <c r="FA591" s="53" t="n"/>
      <c r="FB591" s="53" t="n"/>
      <c r="FC591" s="53" t="n"/>
      <c r="FD591" s="53" t="n"/>
      <c r="FE591" s="55" t="inlineStr">
        <is>
          <t>KRAs not received · manager to supply</t>
        </is>
      </c>
      <c r="FF591" s="56" t="n"/>
      <c r="FG591" s="56" t="n"/>
      <c r="FH591" s="56" t="n"/>
      <c r="FI591" s="56" t="n"/>
      <c r="FJ591" s="32" t="inlineStr">
        <is>
          <t>KRAs not received · manager to supply</t>
        </is>
      </c>
      <c r="FK591" s="56" t="n"/>
      <c r="FL591" s="56" t="n">
        <v>0</v>
      </c>
      <c r="FM591" s="32" t="inlineStr">
        <is>
          <t>No survey response on file</t>
        </is>
      </c>
      <c r="FN591" s="56" t="inlineStr">
        <is>
          <t>—</t>
        </is>
      </c>
      <c r="FO591" s="56" t="inlineStr">
        <is>
          <t>—</t>
        </is>
      </c>
      <c r="FP591" s="56" t="inlineStr">
        <is>
          <t>—</t>
        </is>
      </c>
      <c r="FQ591" s="56" t="inlineStr">
        <is>
          <t>—</t>
        </is>
      </c>
      <c r="FR591" s="56" t="n"/>
      <c r="FS591"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1" s="56" t="n"/>
      <c r="FU591" s="32" t="inlineStr">
        <is>
          <t>No survey response on file</t>
        </is>
      </c>
    </row>
    <row r="592" ht="90" customHeight="1">
      <c r="A592" s="51" t="inlineStr">
        <is>
          <t>◂ Back</t>
        </is>
      </c>
      <c r="B592" s="29" t="inlineStr">
        <is>
          <t>Mapped</t>
        </is>
      </c>
      <c r="C592" s="28" t="inlineStr">
        <is>
          <t>iFile</t>
        </is>
      </c>
      <c r="D592" s="29" t="inlineStr">
        <is>
          <t>No Emp ID · external consultant</t>
        </is>
      </c>
      <c r="E592" s="29" t="inlineStr">
        <is>
          <t>Vivek Kumar Singh</t>
        </is>
      </c>
      <c r="F592" s="29" t="inlineStr">
        <is>
          <t>Technology</t>
        </is>
      </c>
      <c r="G592" s="29" t="inlineStr">
        <is>
          <t>Consultant</t>
        </is>
      </c>
      <c r="H592" s="29" t="inlineStr">
        <is>
          <t>Associate Consultant – Software Development</t>
        </is>
      </c>
      <c r="I592" s="29" t="inlineStr">
        <is>
          <t>—</t>
        </is>
      </c>
      <c r="J592" s="29" t="inlineStr">
        <is>
          <t>X1</t>
        </is>
      </c>
      <c r="K592" s="29" t="inlineStr">
        <is>
          <t>• Same level</t>
        </is>
      </c>
      <c r="L592" s="29" t="inlineStr">
        <is>
          <t>Engineering &amp; Development</t>
        </is>
      </c>
      <c r="M592" s="29" t="inlineStr">
        <is>
          <t>Backend Development</t>
        </is>
      </c>
      <c r="N592" s="29" t="n"/>
      <c r="O592" s="29" t="n">
        <v>0</v>
      </c>
      <c r="P592" s="28" t="inlineStr">
        <is>
          <t>Contractor</t>
        </is>
      </c>
      <c r="Q592" s="29" t="inlineStr">
        <is>
          <t>—</t>
        </is>
      </c>
      <c r="R592" s="29" t="inlineStr">
        <is>
          <t>—</t>
        </is>
      </c>
      <c r="S592" s="29" t="inlineStr">
        <is>
          <t>0–5 yrs</t>
        </is>
      </c>
      <c r="T592" s="29" t="inlineStr">
        <is>
          <t>—</t>
        </is>
      </c>
      <c r="U592" s="29" t="inlineStr">
        <is>
          <t>Contractor · rate card</t>
        </is>
      </c>
      <c r="V592" s="29" t="inlineStr">
        <is>
          <t>—</t>
        </is>
      </c>
      <c r="W592" s="29" t="inlineStr">
        <is>
          <t>SFIA 9 · software development, programming; OWASP secure coding; cloud vendor certifications</t>
        </is>
      </c>
      <c r="X592" s="29" t="inlineStr">
        <is>
          <t>Per statement of work</t>
        </is>
      </c>
      <c r="Y592" s="52" t="n">
        <v>577</v>
      </c>
      <c r="Z592" s="53" t="n"/>
      <c r="AA592" s="53" t="inlineStr">
        <is>
          <t>External Consultant</t>
        </is>
      </c>
      <c r="AB592" s="53" t="inlineStr">
        <is>
          <t>Active</t>
        </is>
      </c>
      <c r="AC592" s="53" t="inlineStr">
        <is>
          <t>Vivek Kumar Singh</t>
        </is>
      </c>
      <c r="AD592" s="54" t="n">
        <v>46084</v>
      </c>
      <c r="AE592" s="53" t="inlineStr">
        <is>
          <t>Consultant</t>
        </is>
      </c>
      <c r="AF592" s="53" t="n"/>
      <c r="AG592" s="53" t="n"/>
      <c r="AH592" s="53" t="n"/>
      <c r="AI592" s="53" t="inlineStr">
        <is>
          <t>Individual Contributor</t>
        </is>
      </c>
      <c r="AJ592" s="53" t="n"/>
      <c r="AK592" s="53" t="n"/>
      <c r="AL592" s="53" t="n"/>
      <c r="AM592" s="53" t="inlineStr">
        <is>
          <t>iFile</t>
        </is>
      </c>
      <c r="AN592" s="53" t="inlineStr">
        <is>
          <t>Technology</t>
        </is>
      </c>
      <c r="AO592" s="53" t="inlineStr">
        <is>
          <t>Development</t>
        </is>
      </c>
      <c r="AP592" s="53" t="inlineStr">
        <is>
          <t>Yes</t>
        </is>
      </c>
      <c r="AQ592" s="53" t="inlineStr">
        <is>
          <t>Product/Project</t>
        </is>
      </c>
      <c r="AR592" s="53" t="n"/>
      <c r="AS592" s="53" t="inlineStr">
        <is>
          <t>Technical - Developer</t>
        </is>
      </c>
      <c r="AT592" s="53" t="n">
        <v>0</v>
      </c>
      <c r="AU592" s="53" t="inlineStr">
        <is>
          <t>E-External Consultant</t>
        </is>
      </c>
      <c r="AV592" s="53" t="n"/>
      <c r="AW592" s="53" t="n"/>
      <c r="AX592" s="53" t="n"/>
      <c r="AY592" s="53" t="n"/>
      <c r="AZ592" s="53" t="n"/>
      <c r="BA592" s="53" t="n"/>
      <c r="BB592" s="53" t="n"/>
      <c r="BC592" s="53" t="n"/>
      <c r="BD592" s="53" t="n"/>
      <c r="BE592" s="53" t="n"/>
      <c r="BF592" s="53" t="n"/>
      <c r="BG592" s="53" t="n"/>
      <c r="BH592" s="53" t="n"/>
      <c r="BI592" s="53" t="n"/>
      <c r="BJ592" s="53" t="n"/>
      <c r="BK592" s="53" t="n"/>
      <c r="BL592" s="53" t="n"/>
      <c r="BM592" s="53" t="n"/>
      <c r="BN592" s="53" t="n"/>
      <c r="BO592" s="53" t="n"/>
      <c r="BP592" s="53" t="n"/>
      <c r="BQ592" s="53" t="n"/>
      <c r="BR592" s="53" t="n"/>
      <c r="BS592" s="53" t="n"/>
      <c r="BT592" s="53" t="n"/>
      <c r="BU592" s="53" t="n"/>
      <c r="BV592" s="53" t="n"/>
      <c r="BW592" s="53" t="n"/>
      <c r="BX592" s="53" t="n"/>
      <c r="BY592" s="53" t="n"/>
      <c r="BZ592" s="53" t="n"/>
      <c r="CA592" s="53" t="n"/>
      <c r="CB592" s="53" t="n"/>
      <c r="CC592" s="53" t="n"/>
      <c r="CD592" s="53" t="n"/>
      <c r="CE592" s="53" t="n"/>
      <c r="CF592" s="53" t="n"/>
      <c r="CG592" s="53" t="n"/>
      <c r="CH592" s="53" t="n"/>
      <c r="CI592" s="53" t="n"/>
      <c r="CJ592" s="53" t="n"/>
      <c r="CK592" s="53" t="n"/>
      <c r="CL592" s="53" t="n"/>
      <c r="CM592" s="53" t="n"/>
      <c r="CN592" s="53" t="n"/>
      <c r="CO592" s="53" t="n"/>
      <c r="CP592" s="53" t="n"/>
      <c r="CQ592" s="53" t="n"/>
      <c r="CR592" s="53" t="n"/>
      <c r="CS592" s="53" t="n"/>
      <c r="CT592" s="53" t="n"/>
      <c r="CU592" s="53" t="n"/>
      <c r="CV592" s="53" t="n"/>
      <c r="CW592" s="53" t="n"/>
      <c r="CX592" s="53" t="n"/>
      <c r="CY592" s="53" t="n"/>
      <c r="CZ592" s="53" t="n"/>
      <c r="DA592" s="53" t="n"/>
      <c r="DB592" s="53" t="n"/>
      <c r="DC592" s="53" t="n"/>
      <c r="DD592" s="53" t="n"/>
      <c r="DE592" s="53" t="n"/>
      <c r="DF592" s="53" t="n"/>
      <c r="DG592" s="53" t="n"/>
      <c r="DH592" s="53" t="n"/>
      <c r="DI592" s="53" t="n"/>
      <c r="DJ592" s="53" t="n"/>
      <c r="DK592" s="53" t="n"/>
      <c r="DL592" s="53" t="n"/>
      <c r="DM592" s="53" t="n"/>
      <c r="DN592" s="53" t="n"/>
      <c r="DO592" s="53" t="n"/>
      <c r="DP592" s="53" t="n"/>
      <c r="DQ592" s="53" t="n"/>
      <c r="DR592" s="53" t="n"/>
      <c r="DS592" s="53" t="n"/>
      <c r="DT592" s="53" t="n"/>
      <c r="DU592" s="53" t="n"/>
      <c r="DV592" s="53" t="n"/>
      <c r="DW592" s="53" t="n"/>
      <c r="DX592" s="53" t="n"/>
      <c r="DY592" s="53" t="n"/>
      <c r="DZ592" s="53" t="n"/>
      <c r="EA592" s="53" t="n"/>
      <c r="EB592" s="53" t="n"/>
      <c r="EC592" s="53" t="n"/>
      <c r="ED592" s="53" t="n"/>
      <c r="EE592" s="53" t="n"/>
      <c r="EF592" s="53" t="n"/>
      <c r="EG592" s="53" t="n"/>
      <c r="EH592" s="53" t="n"/>
      <c r="EI592" s="53" t="n"/>
      <c r="EJ592" s="53" t="n"/>
      <c r="EK592" s="53" t="n"/>
      <c r="EL592" s="53" t="n"/>
      <c r="EM592" s="53" t="n"/>
      <c r="EN592" s="53" t="n"/>
      <c r="EO592" s="53" t="n"/>
      <c r="EP592" s="53" t="n"/>
      <c r="EQ592" s="53" t="n"/>
      <c r="ER592" s="53" t="n"/>
      <c r="ES592" s="53" t="n"/>
      <c r="ET592" s="53" t="n"/>
      <c r="EU592" s="53" t="n"/>
      <c r="EV592" s="53" t="n"/>
      <c r="EW592" s="52" t="n"/>
      <c r="EX592" s="53" t="n"/>
      <c r="EY592" s="53" t="n"/>
      <c r="EZ592" s="53" t="n"/>
      <c r="FA592" s="53" t="n"/>
      <c r="FB592" s="53" t="n"/>
      <c r="FC592" s="53" t="n"/>
      <c r="FD592" s="53" t="n"/>
      <c r="FE592" s="55" t="inlineStr">
        <is>
          <t>KRAs not received · manager to supply</t>
        </is>
      </c>
      <c r="FF592" s="56" t="n"/>
      <c r="FG592" s="56" t="n"/>
      <c r="FH592" s="56" t="n"/>
      <c r="FI592" s="56" t="n"/>
      <c r="FJ592" s="32" t="inlineStr">
        <is>
          <t>KRAs not received · manager to supply</t>
        </is>
      </c>
      <c r="FK592" s="56" t="n"/>
      <c r="FL592" s="56" t="n">
        <v>0</v>
      </c>
      <c r="FM592" s="32" t="inlineStr">
        <is>
          <t>No survey response on file</t>
        </is>
      </c>
      <c r="FN592" s="56" t="inlineStr">
        <is>
          <t>—</t>
        </is>
      </c>
      <c r="FO592" s="56" t="inlineStr">
        <is>
          <t>—</t>
        </is>
      </c>
      <c r="FP592" s="56" t="inlineStr">
        <is>
          <t>—</t>
        </is>
      </c>
      <c r="FQ592" s="56" t="inlineStr">
        <is>
          <t>—</t>
        </is>
      </c>
      <c r="FR592" s="56" t="n"/>
      <c r="FS592"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2" s="56" t="n"/>
      <c r="FU592" s="32" t="inlineStr">
        <is>
          <t>No survey response on file</t>
        </is>
      </c>
    </row>
    <row r="593" ht="60" customHeight="1">
      <c r="A593" s="58" t="n"/>
      <c r="B593" s="59" t="inlineStr">
        <is>
          <t>NOT YET MAPPED</t>
        </is>
      </c>
      <c r="C593" s="40" t="inlineStr">
        <is>
          <t>CARBON</t>
        </is>
      </c>
      <c r="D593" s="40" t="inlineStr">
        <is>
          <t>INTN0290</t>
        </is>
      </c>
      <c r="E593" s="40" t="inlineStr">
        <is>
          <t>Nilesh Shriram Jagtap</t>
        </is>
      </c>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c r="AD593" s="40" t="n"/>
      <c r="AE593" s="40" t="n"/>
      <c r="AF593" s="40" t="n"/>
      <c r="AG593" s="40" t="n"/>
      <c r="AH593" s="40" t="n"/>
      <c r="AI593" s="40" t="n"/>
      <c r="AJ593" s="40" t="n"/>
      <c r="AK593" s="40" t="n"/>
      <c r="AL593" s="40" t="n"/>
      <c r="AM593" s="40" t="n"/>
      <c r="AN593" s="40" t="n"/>
      <c r="AO593" s="40" t="n"/>
      <c r="AP593" s="40" t="n"/>
      <c r="AQ593" s="40" t="n"/>
      <c r="AR593" s="40" t="n"/>
      <c r="AS593" s="40" t="n"/>
      <c r="AT593" s="40" t="n"/>
      <c r="AU593" s="40" t="n"/>
      <c r="AV593" s="40" t="inlineStr">
        <is>
          <t>INTN0290</t>
        </is>
      </c>
      <c r="AW593" s="40" t="inlineStr">
        <is>
          <t>Nilesh Shriram Jagtap</t>
        </is>
      </c>
      <c r="AX593" s="40" t="inlineStr">
        <is>
          <t>Functional</t>
        </is>
      </c>
      <c r="AY593" s="40" t="inlineStr">
        <is>
          <t>Customer Success &amp; Support</t>
        </is>
      </c>
      <c r="AZ593" s="40" t="inlineStr">
        <is>
          <t>Customer Success</t>
        </is>
      </c>
      <c r="BA593" s="40" t="n"/>
      <c r="BB593" s="40" t="n"/>
      <c r="BC593" s="40" t="inlineStr">
        <is>
          <t>Intern</t>
        </is>
      </c>
      <c r="BD593" s="40" t="inlineStr">
        <is>
          <t>Biswajit Biswal</t>
        </is>
      </c>
      <c r="BE593" s="40" t="inlineStr">
        <is>
          <t>Biswajit Biswal</t>
        </is>
      </c>
      <c r="BF593" s="40" t="inlineStr">
        <is>
          <t>No</t>
        </is>
      </c>
      <c r="BG593" s="40" t="inlineStr">
        <is>
          <t>Intern</t>
        </is>
      </c>
      <c r="BH593" s="40" t="inlineStr">
        <is>
          <t>Intern</t>
        </is>
      </c>
      <c r="BI593" s="40" t="inlineStr">
        <is>
          <t>No</t>
        </is>
      </c>
      <c r="BJ593" s="40" t="n"/>
      <c r="BK593" s="40" t="n"/>
      <c r="BL593" s="40" t="n"/>
      <c r="BM593" s="40" t="inlineStr">
        <is>
          <t>Not a manager</t>
        </is>
      </c>
      <c r="BN593" s="40" t="n"/>
      <c r="BO593" s="40" t="n"/>
      <c r="BP593" s="40" t="n"/>
      <c r="BQ593" s="40" t="inlineStr">
        <is>
          <t>Not a manager</t>
        </is>
      </c>
      <c r="BR593" s="40" t="n"/>
      <c r="BS593" s="40" t="inlineStr">
        <is>
          <t>L1 – Intern</t>
        </is>
      </c>
      <c r="BT593" s="40" t="inlineStr">
        <is>
          <t>L1 – Intern</t>
        </is>
      </c>
      <c r="BU593" s="40" t="inlineStr">
        <is>
          <t>No designation change — current record value carried forward</t>
        </is>
      </c>
      <c r="BV593"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3" s="40" t="n"/>
      <c r="BX593" s="40" t="n"/>
      <c r="BY593" s="40" t="n"/>
      <c r="BZ593" s="40" t="inlineStr">
        <is>
          <t>INTN0290</t>
        </is>
      </c>
      <c r="CA593" s="40" t="inlineStr">
        <is>
          <t>Intern</t>
        </is>
      </c>
      <c r="CB593" s="40" t="inlineStr">
        <is>
          <t>Active</t>
        </is>
      </c>
      <c r="CC593" s="40" t="inlineStr">
        <is>
          <t>Nilesh Shriram Jagtap</t>
        </is>
      </c>
      <c r="CD593" s="40" t="inlineStr">
        <is>
          <t>19 Jan 2026</t>
        </is>
      </c>
      <c r="CE593" s="40" t="inlineStr">
        <is>
          <t>Intern</t>
        </is>
      </c>
      <c r="CF593" s="40" t="inlineStr">
        <is>
          <t>Exited</t>
        </is>
      </c>
      <c r="CG593" s="40" t="inlineStr">
        <is>
          <t>Customer Success &amp; Support</t>
        </is>
      </c>
      <c r="CH593" s="40" t="inlineStr">
        <is>
          <t>Customer Support</t>
        </is>
      </c>
      <c r="CI593" s="40" t="inlineStr">
        <is>
          <t>Intern</t>
        </is>
      </c>
      <c r="CJ593" s="40" t="inlineStr">
        <is>
          <t>L1 – Intern</t>
        </is>
      </c>
      <c r="CK593" s="40" t="inlineStr">
        <is>
          <t>Biswajit Biswal</t>
        </is>
      </c>
      <c r="CL593" s="40" t="inlineStr">
        <is>
          <t>N-5</t>
        </is>
      </c>
      <c r="CM593" s="40" t="inlineStr">
        <is>
          <t>Individual Contributor</t>
        </is>
      </c>
      <c r="CN593" s="40" t="inlineStr">
        <is>
          <t>Regtech</t>
        </is>
      </c>
      <c r="CO593" s="40" t="inlineStr">
        <is>
          <t>Functional</t>
        </is>
      </c>
      <c r="CP593" s="40" t="inlineStr">
        <is>
          <t>1 years, 2 months, 1 days</t>
        </is>
      </c>
      <c r="CQ593" s="40" t="n"/>
      <c r="CR593" s="40" t="n"/>
      <c r="CS593" s="40" t="n"/>
      <c r="CT593" s="40" t="n"/>
      <c r="CU593" s="40" t="n"/>
      <c r="CV593" s="40" t="n"/>
      <c r="CW593" s="40" t="n"/>
      <c r="CX593" s="40" t="n"/>
      <c r="CY593" s="40" t="n"/>
      <c r="CZ593" s="40" t="n"/>
      <c r="DA593" s="40" t="n"/>
      <c r="DB593" s="40" t="n"/>
      <c r="DC593" s="40" t="n"/>
      <c r="DD593" s="40" t="n"/>
      <c r="DE593" s="40" t="n"/>
      <c r="DF593" s="40" t="n"/>
      <c r="DG593" s="40" t="n"/>
      <c r="DH593" s="40" t="n"/>
      <c r="DI593" s="40" t="n"/>
      <c r="DJ593" s="40" t="n"/>
      <c r="DK593" s="40" t="n"/>
      <c r="DL593" s="40" t="n"/>
      <c r="DM593" s="40" t="n"/>
      <c r="DN593" s="40" t="n"/>
      <c r="DO593" s="40" t="n"/>
      <c r="DP593" s="40" t="n"/>
      <c r="DQ593" s="40" t="n"/>
      <c r="DR593" s="40" t="n"/>
      <c r="DS593" s="40" t="n"/>
      <c r="DT593" s="40" t="n"/>
      <c r="DU593" s="40" t="n"/>
      <c r="DV593" s="40" t="n"/>
      <c r="DW593" s="40" t="n"/>
      <c r="DX593" s="40" t="n"/>
      <c r="DY593" s="40" t="n"/>
      <c r="DZ593" s="40" t="n"/>
      <c r="EA593" s="40" t="n"/>
      <c r="EB593" s="40" t="n"/>
      <c r="EC593" s="40" t="n"/>
      <c r="ED593" s="40" t="n"/>
      <c r="EE593" s="40" t="n"/>
      <c r="EF593" s="40" t="n"/>
      <c r="EG593" s="40" t="n"/>
      <c r="EH593" s="40" t="n"/>
      <c r="EI593" s="40" t="n"/>
      <c r="EJ593" s="40" t="n"/>
      <c r="EK593" s="40" t="n"/>
      <c r="EL593" s="40" t="n"/>
      <c r="EM593" s="40" t="n"/>
      <c r="EN593" s="40" t="n"/>
      <c r="EO593" s="40" t="n"/>
      <c r="EP593" s="40" t="n"/>
      <c r="EQ593" s="40" t="n"/>
      <c r="ER593" s="40" t="n"/>
      <c r="ES593" s="40" t="n"/>
      <c r="ET593" s="40" t="n"/>
      <c r="EU593" s="40" t="n"/>
      <c r="EV593" s="40" t="n"/>
      <c r="EW593" s="40" t="n"/>
      <c r="EX593" s="40" t="n"/>
      <c r="EY593" s="40" t="n"/>
      <c r="EZ593" s="40" t="n"/>
      <c r="FA593" s="40" t="n"/>
      <c r="FB593" s="40" t="n"/>
      <c r="FC593" s="40" t="n"/>
      <c r="FD593" s="40" t="n"/>
    </row>
    <row r="594" ht="60" customHeight="1">
      <c r="A594" s="58" t="n"/>
      <c r="B594" s="59" t="inlineStr">
        <is>
          <t>NOT YET MAPPED</t>
        </is>
      </c>
      <c r="C594" s="40" t="inlineStr">
        <is>
          <t>CARBON</t>
        </is>
      </c>
      <c r="D594" s="40" t="inlineStr">
        <is>
          <t>INTN0292</t>
        </is>
      </c>
      <c r="E594" s="40" t="inlineStr">
        <is>
          <t>Madhvi Sharma</t>
        </is>
      </c>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c r="AE594" s="40" t="n"/>
      <c r="AF594" s="40" t="n"/>
      <c r="AG594" s="40" t="n"/>
      <c r="AH594" s="40" t="n"/>
      <c r="AI594" s="40" t="n"/>
      <c r="AJ594" s="40" t="n"/>
      <c r="AK594" s="40" t="n"/>
      <c r="AL594" s="40" t="n"/>
      <c r="AM594" s="40" t="n"/>
      <c r="AN594" s="40" t="n"/>
      <c r="AO594" s="40" t="n"/>
      <c r="AP594" s="40" t="n"/>
      <c r="AQ594" s="40" t="n"/>
      <c r="AR594" s="40" t="n"/>
      <c r="AS594" s="40" t="n"/>
      <c r="AT594" s="40" t="n"/>
      <c r="AU594" s="40" t="n"/>
      <c r="AV594" s="40" t="inlineStr">
        <is>
          <t>INTN0292</t>
        </is>
      </c>
      <c r="AW594" s="40" t="inlineStr">
        <is>
          <t>Madhvi Sharma</t>
        </is>
      </c>
      <c r="AX594" s="40" t="inlineStr">
        <is>
          <t>Functional</t>
        </is>
      </c>
      <c r="AY594" s="40" t="inlineStr">
        <is>
          <t>Customer Success &amp; Support</t>
        </is>
      </c>
      <c r="AZ594" s="40" t="inlineStr">
        <is>
          <t>Customer Success</t>
        </is>
      </c>
      <c r="BA594" s="40" t="n"/>
      <c r="BB594" s="40" t="n"/>
      <c r="BC594" s="40" t="inlineStr">
        <is>
          <t>Intern</t>
        </is>
      </c>
      <c r="BD594" s="40" t="inlineStr">
        <is>
          <t>Shambo Mitra</t>
        </is>
      </c>
      <c r="BE594" s="40" t="inlineStr">
        <is>
          <t>Shambo Mitra</t>
        </is>
      </c>
      <c r="BF594" s="40" t="inlineStr">
        <is>
          <t>No</t>
        </is>
      </c>
      <c r="BG594" s="40" t="inlineStr">
        <is>
          <t>Intern</t>
        </is>
      </c>
      <c r="BH594" s="40" t="inlineStr">
        <is>
          <t>Intern</t>
        </is>
      </c>
      <c r="BI594" s="40" t="inlineStr">
        <is>
          <t>No</t>
        </is>
      </c>
      <c r="BJ594" s="40" t="n"/>
      <c r="BK594" s="40" t="n"/>
      <c r="BL594" s="40" t="n"/>
      <c r="BM594" s="40" t="inlineStr">
        <is>
          <t>Not a manager</t>
        </is>
      </c>
      <c r="BN594" s="40" t="n"/>
      <c r="BO594" s="40" t="n"/>
      <c r="BP594" s="40" t="n"/>
      <c r="BQ594" s="40" t="inlineStr">
        <is>
          <t>Not a manager</t>
        </is>
      </c>
      <c r="BR594" s="40" t="n"/>
      <c r="BS594" s="40" t="inlineStr">
        <is>
          <t>L1 – Intern</t>
        </is>
      </c>
      <c r="BT594" s="40" t="inlineStr">
        <is>
          <t>L1 – Intern</t>
        </is>
      </c>
      <c r="BU594" s="40" t="inlineStr">
        <is>
          <t>No designation change — current record value carried forward</t>
        </is>
      </c>
      <c r="BV594"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4" s="40" t="n"/>
      <c r="BX594" s="40" t="n"/>
      <c r="BY594" s="40" t="n"/>
      <c r="BZ594" s="40" t="inlineStr">
        <is>
          <t>INTN0292</t>
        </is>
      </c>
      <c r="CA594" s="40" t="inlineStr">
        <is>
          <t>Intern</t>
        </is>
      </c>
      <c r="CB594" s="40" t="inlineStr">
        <is>
          <t>Active</t>
        </is>
      </c>
      <c r="CC594" s="40" t="inlineStr">
        <is>
          <t>Madhvi Sharma</t>
        </is>
      </c>
      <c r="CD594" s="40" t="inlineStr">
        <is>
          <t>02 Feb 2026</t>
        </is>
      </c>
      <c r="CE594" s="40" t="inlineStr">
        <is>
          <t>Intern</t>
        </is>
      </c>
      <c r="CF594" s="40" t="inlineStr">
        <is>
          <t>Intern</t>
        </is>
      </c>
      <c r="CG594" s="40" t="inlineStr">
        <is>
          <t>Customer Success &amp; Support</t>
        </is>
      </c>
      <c r="CH594" s="40" t="inlineStr">
        <is>
          <t>Customer Support</t>
        </is>
      </c>
      <c r="CI594" s="40" t="inlineStr">
        <is>
          <t>Intern</t>
        </is>
      </c>
      <c r="CJ594" s="40" t="inlineStr">
        <is>
          <t>L1 – Intern</t>
        </is>
      </c>
      <c r="CK594" s="40" t="inlineStr">
        <is>
          <t>Shambo Mitra</t>
        </is>
      </c>
      <c r="CL594" s="40" t="inlineStr">
        <is>
          <t>N-5</t>
        </is>
      </c>
      <c r="CM594" s="40" t="inlineStr">
        <is>
          <t>Individual Contributor</t>
        </is>
      </c>
      <c r="CN594" s="40" t="inlineStr">
        <is>
          <t>Regtech</t>
        </is>
      </c>
      <c r="CO594" s="40" t="inlineStr">
        <is>
          <t>Functional</t>
        </is>
      </c>
      <c r="CP594" s="40" t="inlineStr">
        <is>
          <t>0 years, 7 months, 18 days</t>
        </is>
      </c>
      <c r="CQ594" s="40" t="n"/>
      <c r="CR594" s="40" t="n"/>
      <c r="CS594" s="40" t="n"/>
      <c r="CT594" s="40" t="n"/>
      <c r="CU594" s="40" t="n"/>
      <c r="CV594" s="40" t="n"/>
      <c r="CW594" s="40" t="n"/>
      <c r="CX594" s="40" t="n"/>
      <c r="CY594" s="40" t="n"/>
      <c r="CZ594" s="40" t="n"/>
      <c r="DA594" s="40" t="n"/>
      <c r="DB594" s="40" t="n"/>
      <c r="DC594" s="40" t="n"/>
      <c r="DD594" s="40" t="n"/>
      <c r="DE594" s="40" t="n"/>
      <c r="DF594" s="40" t="n"/>
      <c r="DG594" s="40" t="n"/>
      <c r="DH594" s="40" t="n"/>
      <c r="DI594" s="40" t="n"/>
      <c r="DJ594" s="40" t="n"/>
      <c r="DK594" s="40" t="n"/>
      <c r="DL594" s="40" t="n"/>
      <c r="DM594" s="40" t="n"/>
      <c r="DN594" s="40" t="n"/>
      <c r="DO594" s="40" t="n"/>
      <c r="DP594" s="40" t="n"/>
      <c r="DQ594" s="40" t="n"/>
      <c r="DR594" s="40" t="n"/>
      <c r="DS594" s="40" t="n"/>
      <c r="DT594" s="40" t="n"/>
      <c r="DU594" s="40" t="n"/>
      <c r="DV594" s="40" t="n"/>
      <c r="DW594" s="40" t="n"/>
      <c r="DX594" s="40" t="n"/>
      <c r="DY594" s="40" t="n"/>
      <c r="DZ594" s="40" t="n"/>
      <c r="EA594" s="40" t="n"/>
      <c r="EB594" s="40" t="n"/>
      <c r="EC594" s="40" t="n"/>
      <c r="ED594" s="40" t="n"/>
      <c r="EE594" s="40" t="n"/>
      <c r="EF594" s="40" t="n"/>
      <c r="EG594" s="40" t="n"/>
      <c r="EH594" s="40" t="n"/>
      <c r="EI594" s="40" t="n"/>
      <c r="EJ594" s="40" t="n"/>
      <c r="EK594" s="40" t="n"/>
      <c r="EL594" s="40" t="n"/>
      <c r="EM594" s="40" t="n"/>
      <c r="EN594" s="40" t="n"/>
      <c r="EO594" s="40" t="n"/>
      <c r="EP594" s="40" t="n"/>
      <c r="EQ594" s="40" t="n"/>
      <c r="ER594" s="40" t="n"/>
      <c r="ES594" s="40" t="n"/>
      <c r="ET594" s="40" t="n"/>
      <c r="EU594" s="40" t="n"/>
      <c r="EV594" s="40" t="n"/>
      <c r="EW594" s="40" t="n"/>
      <c r="EX594" s="40" t="n"/>
      <c r="EY594" s="40" t="n"/>
      <c r="EZ594" s="40" t="n"/>
      <c r="FA594" s="40" t="n"/>
      <c r="FB594" s="40" t="n"/>
      <c r="FC594" s="40" t="n"/>
      <c r="FD594" s="40" t="n"/>
    </row>
    <row r="595" ht="60" customHeight="1">
      <c r="A595" s="58" t="n"/>
      <c r="B595" s="59" t="inlineStr">
        <is>
          <t>NOT YET MAPPED</t>
        </is>
      </c>
      <c r="C595" s="40" t="inlineStr">
        <is>
          <t>CARBON</t>
        </is>
      </c>
      <c r="D595" s="40" t="inlineStr">
        <is>
          <t>INTN0291</t>
        </is>
      </c>
      <c r="E595" s="40" t="inlineStr">
        <is>
          <t>Aryesh Singh Yadav</t>
        </is>
      </c>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c r="AD595" s="40" t="n"/>
      <c r="AE595" s="40" t="n"/>
      <c r="AF595" s="40" t="n"/>
      <c r="AG595" s="40" t="n"/>
      <c r="AH595" s="40" t="n"/>
      <c r="AI595" s="40" t="n"/>
      <c r="AJ595" s="40" t="n"/>
      <c r="AK595" s="40" t="n"/>
      <c r="AL595" s="40" t="n"/>
      <c r="AM595" s="40" t="n"/>
      <c r="AN595" s="40" t="n"/>
      <c r="AO595" s="40" t="n"/>
      <c r="AP595" s="40" t="n"/>
      <c r="AQ595" s="40" t="n"/>
      <c r="AR595" s="40" t="n"/>
      <c r="AS595" s="40" t="n"/>
      <c r="AT595" s="40" t="n"/>
      <c r="AU595" s="40" t="n"/>
      <c r="AV595" s="40" t="inlineStr">
        <is>
          <t>INTN0291</t>
        </is>
      </c>
      <c r="AW595" s="40" t="inlineStr">
        <is>
          <t>Aryesh Singh Yadav</t>
        </is>
      </c>
      <c r="AX595" s="40" t="inlineStr">
        <is>
          <t>Functional</t>
        </is>
      </c>
      <c r="AY595" s="40" t="inlineStr">
        <is>
          <t>Customer Success &amp; Support</t>
        </is>
      </c>
      <c r="AZ595" s="40" t="inlineStr">
        <is>
          <t>Customer Success</t>
        </is>
      </c>
      <c r="BA595" s="40" t="n"/>
      <c r="BB595" s="40" t="n"/>
      <c r="BC595" s="40" t="inlineStr">
        <is>
          <t>Intern</t>
        </is>
      </c>
      <c r="BD595" s="40" t="inlineStr">
        <is>
          <t>Biswajit Biswal</t>
        </is>
      </c>
      <c r="BE595" s="40" t="inlineStr">
        <is>
          <t>Biswajit Biswal</t>
        </is>
      </c>
      <c r="BF595" s="40" t="inlineStr">
        <is>
          <t>No</t>
        </is>
      </c>
      <c r="BG595" s="40" t="inlineStr">
        <is>
          <t>Intern</t>
        </is>
      </c>
      <c r="BH595" s="40" t="inlineStr">
        <is>
          <t>Intern</t>
        </is>
      </c>
      <c r="BI595" s="40" t="inlineStr">
        <is>
          <t>No</t>
        </is>
      </c>
      <c r="BJ595" s="40" t="n"/>
      <c r="BK595" s="40" t="n"/>
      <c r="BL595" s="40" t="n"/>
      <c r="BM595" s="40" t="inlineStr">
        <is>
          <t>Not a manager</t>
        </is>
      </c>
      <c r="BN595" s="40" t="n"/>
      <c r="BO595" s="40" t="n"/>
      <c r="BP595" s="40" t="n"/>
      <c r="BQ595" s="40" t="inlineStr">
        <is>
          <t>Not a manager</t>
        </is>
      </c>
      <c r="BR595" s="40" t="n"/>
      <c r="BS595" s="40" t="inlineStr">
        <is>
          <t>L1 – Intern</t>
        </is>
      </c>
      <c r="BT595" s="40" t="inlineStr">
        <is>
          <t>L1 – Intern</t>
        </is>
      </c>
      <c r="BU595" s="40" t="inlineStr">
        <is>
          <t>No designation change — current record value carried forward</t>
        </is>
      </c>
      <c r="BV595"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5" s="40" t="n"/>
      <c r="BX595" s="40" t="n"/>
      <c r="BY595" s="40" t="n"/>
      <c r="BZ595" s="40" t="inlineStr">
        <is>
          <t>INTN0291</t>
        </is>
      </c>
      <c r="CA595" s="40" t="inlineStr">
        <is>
          <t>Intern</t>
        </is>
      </c>
      <c r="CB595" s="40" t="inlineStr">
        <is>
          <t>Active</t>
        </is>
      </c>
      <c r="CC595" s="40" t="inlineStr">
        <is>
          <t>Aryesh Singh Yadav</t>
        </is>
      </c>
      <c r="CD595" s="40" t="inlineStr">
        <is>
          <t>19 Jan 2026</t>
        </is>
      </c>
      <c r="CE595" s="40" t="inlineStr">
        <is>
          <t>Intern</t>
        </is>
      </c>
      <c r="CF595" s="40" t="inlineStr">
        <is>
          <t>Exited</t>
        </is>
      </c>
      <c r="CG595" s="40" t="inlineStr">
        <is>
          <t>Customer Success &amp; Support</t>
        </is>
      </c>
      <c r="CH595" s="40" t="inlineStr">
        <is>
          <t>Customer Support</t>
        </is>
      </c>
      <c r="CI595" s="40" t="inlineStr">
        <is>
          <t>Intern</t>
        </is>
      </c>
      <c r="CJ595" s="40" t="inlineStr">
        <is>
          <t>L1 – Intern</t>
        </is>
      </c>
      <c r="CK595" s="40" t="inlineStr">
        <is>
          <t>Biswajit Biswal</t>
        </is>
      </c>
      <c r="CL595" s="40" t="inlineStr">
        <is>
          <t>N-5</t>
        </is>
      </c>
      <c r="CM595" s="40" t="inlineStr">
        <is>
          <t>Individual Contributor</t>
        </is>
      </c>
      <c r="CN595" s="40" t="inlineStr">
        <is>
          <t>Regtech</t>
        </is>
      </c>
      <c r="CO595" s="40" t="inlineStr">
        <is>
          <t>Functional</t>
        </is>
      </c>
      <c r="CP595" s="40" t="inlineStr">
        <is>
          <t>0 years, 8 months, 1 days</t>
        </is>
      </c>
      <c r="CQ595" s="40" t="n"/>
      <c r="CR595" s="40" t="n"/>
      <c r="CS595" s="40" t="n"/>
      <c r="CT595" s="40" t="n"/>
      <c r="CU595" s="40" t="n"/>
      <c r="CV595" s="40" t="n"/>
      <c r="CW595" s="40" t="n"/>
      <c r="CX595" s="40" t="n"/>
      <c r="CY595" s="40" t="n"/>
      <c r="CZ595" s="40" t="n"/>
      <c r="DA595" s="40" t="n"/>
      <c r="DB595" s="40" t="n"/>
      <c r="DC595" s="40" t="n"/>
      <c r="DD595" s="40" t="n"/>
      <c r="DE595" s="40" t="n"/>
      <c r="DF595" s="40" t="n"/>
      <c r="DG595" s="40" t="n"/>
      <c r="DH595" s="40" t="n"/>
      <c r="DI595" s="40" t="n"/>
      <c r="DJ595" s="40" t="n"/>
      <c r="DK595" s="40" t="n"/>
      <c r="DL595" s="40" t="n"/>
      <c r="DM595" s="40" t="n"/>
      <c r="DN595" s="40" t="n"/>
      <c r="DO595" s="40" t="n"/>
      <c r="DP595" s="40" t="n"/>
      <c r="DQ595" s="40" t="n"/>
      <c r="DR595" s="40" t="n"/>
      <c r="DS595" s="40" t="n"/>
      <c r="DT595" s="40" t="n"/>
      <c r="DU595" s="40" t="n"/>
      <c r="DV595" s="40" t="n"/>
      <c r="DW595" s="40" t="n"/>
      <c r="DX595" s="40" t="n"/>
      <c r="DY595" s="40" t="n"/>
      <c r="DZ595" s="40" t="n"/>
      <c r="EA595" s="40" t="n"/>
      <c r="EB595" s="40" t="n"/>
      <c r="EC595" s="40" t="n"/>
      <c r="ED595" s="40" t="n"/>
      <c r="EE595" s="40" t="n"/>
      <c r="EF595" s="40" t="n"/>
      <c r="EG595" s="40" t="n"/>
      <c r="EH595" s="40" t="n"/>
      <c r="EI595" s="40" t="n"/>
      <c r="EJ595" s="40" t="n"/>
      <c r="EK595" s="40" t="n"/>
      <c r="EL595" s="40" t="n"/>
      <c r="EM595" s="40" t="n"/>
      <c r="EN595" s="40" t="n"/>
      <c r="EO595" s="40" t="n"/>
      <c r="EP595" s="40" t="n"/>
      <c r="EQ595" s="40" t="n"/>
      <c r="ER595" s="40" t="n"/>
      <c r="ES595" s="40" t="n"/>
      <c r="ET595" s="40" t="n"/>
      <c r="EU595" s="40" t="n"/>
      <c r="EV595" s="40" t="n"/>
      <c r="EW595" s="40" t="n"/>
      <c r="EX595" s="40" t="n"/>
      <c r="EY595" s="40" t="n"/>
      <c r="EZ595" s="40" t="n"/>
      <c r="FA595" s="40" t="n"/>
      <c r="FB595" s="40" t="n"/>
      <c r="FC595" s="40" t="n"/>
      <c r="FD595" s="40" t="n"/>
    </row>
    <row r="596" ht="60" customHeight="1">
      <c r="A596" s="58" t="n"/>
      <c r="B596" s="59" t="inlineStr">
        <is>
          <t>NOT YET MAPPED</t>
        </is>
      </c>
      <c r="C596" s="40" t="inlineStr">
        <is>
          <t>CARBON</t>
        </is>
      </c>
      <c r="D596" s="40" t="inlineStr">
        <is>
          <t>—</t>
        </is>
      </c>
      <c r="E596" s="40" t="inlineStr">
        <is>
          <t>Aditya Nair</t>
        </is>
      </c>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c r="AE596" s="40" t="n"/>
      <c r="AF596" s="40" t="n"/>
      <c r="AG596" s="40" t="n"/>
      <c r="AH596" s="40" t="n"/>
      <c r="AI596" s="40" t="n"/>
      <c r="AJ596" s="40" t="n"/>
      <c r="AK596" s="40" t="n"/>
      <c r="AL596" s="40" t="n"/>
      <c r="AM596" s="40" t="n"/>
      <c r="AN596" s="40" t="n"/>
      <c r="AO596" s="40" t="n"/>
      <c r="AP596" s="40" t="n"/>
      <c r="AQ596" s="40" t="n"/>
      <c r="AR596" s="40" t="n"/>
      <c r="AS596" s="40" t="n"/>
      <c r="AT596" s="40" t="n"/>
      <c r="AU596" s="40" t="n"/>
      <c r="AV596" s="40" t="n"/>
      <c r="AW596" s="40" t="inlineStr">
        <is>
          <t>Aditya Nair</t>
        </is>
      </c>
      <c r="AX596" s="40" t="inlineStr">
        <is>
          <t>Marketing</t>
        </is>
      </c>
      <c r="AY596" s="40" t="inlineStr">
        <is>
          <t>Sales &amp; Business Development</t>
        </is>
      </c>
      <c r="AZ596" s="40" t="inlineStr">
        <is>
          <t>Sales Development · SDR</t>
        </is>
      </c>
      <c r="BA596" s="40" t="n"/>
      <c r="BB596" s="40" t="n"/>
      <c r="BC596" s="40" t="inlineStr">
        <is>
          <t>Employee</t>
        </is>
      </c>
      <c r="BD596" s="40" t="inlineStr">
        <is>
          <t>Anuradha RK</t>
        </is>
      </c>
      <c r="BE596" s="40" t="inlineStr">
        <is>
          <t>Anuradha RK</t>
        </is>
      </c>
      <c r="BF596" s="40" t="inlineStr">
        <is>
          <t>No</t>
        </is>
      </c>
      <c r="BG596" s="40" t="inlineStr">
        <is>
          <t>Team Lead SDR</t>
        </is>
      </c>
      <c r="BH596" s="40" t="inlineStr">
        <is>
          <t>Sr.Sales Development Rep.</t>
        </is>
      </c>
      <c r="BI596" s="40" t="inlineStr">
        <is>
          <t>Yes</t>
        </is>
      </c>
      <c r="BJ596" s="40" t="n"/>
      <c r="BK596" s="40" t="n"/>
      <c r="BL596" s="40" t="n"/>
      <c r="BM596" s="40" t="inlineStr">
        <is>
          <t>Not a manager</t>
        </is>
      </c>
      <c r="BN596" s="40" t="n"/>
      <c r="BO596" s="40" t="n"/>
      <c r="BP596" s="40" t="n"/>
      <c r="BQ596" s="40" t="inlineStr">
        <is>
          <t>Not a manager</t>
        </is>
      </c>
      <c r="BR596" s="40" t="n"/>
      <c r="BS596" s="40" t="inlineStr">
        <is>
          <t>L5 – Lead · IC</t>
        </is>
      </c>
      <c r="BT596" s="40" t="inlineStr">
        <is>
          <t>L5 – Lead · IC</t>
        </is>
      </c>
      <c r="BU596" s="40" t="inlineStr">
        <is>
          <t>No exact Title Hierarchy match — retained current record value</t>
        </is>
      </c>
      <c r="BV596" s="40" t="n"/>
      <c r="BW596" s="40" t="n"/>
      <c r="BX596" s="40" t="n"/>
      <c r="BY596" s="40" t="n"/>
      <c r="BZ596" s="40" t="n"/>
      <c r="CA596" s="40" t="n"/>
      <c r="CB596" s="40" t="n"/>
      <c r="CC596" s="40" t="n"/>
      <c r="CD596" s="40" t="n"/>
      <c r="CE596" s="40" t="n"/>
      <c r="CF596" s="40" t="n"/>
      <c r="CG596" s="40" t="n"/>
      <c r="CH596" s="40" t="n"/>
      <c r="CI596" s="40" t="n"/>
      <c r="CJ596" s="40" t="n"/>
      <c r="CK596" s="40" t="n"/>
      <c r="CL596" s="40" t="n"/>
      <c r="CM596" s="40" t="n"/>
      <c r="CN596" s="40" t="n"/>
      <c r="CO596" s="40" t="n"/>
      <c r="CP596" s="40" t="n"/>
      <c r="CQ596" s="40" t="n"/>
      <c r="CR596" s="40" t="n"/>
      <c r="CS596" s="40" t="n"/>
      <c r="CT596" s="40" t="n"/>
      <c r="CU596" s="40" t="n"/>
      <c r="CV596" s="40" t="n"/>
      <c r="CW596" s="40" t="n"/>
      <c r="CX596" s="40" t="n"/>
      <c r="CY596" s="40" t="n"/>
      <c r="CZ596" s="40" t="n"/>
      <c r="DA596" s="40" t="n"/>
      <c r="DB596" s="40" t="n"/>
      <c r="DC596" s="40" t="n"/>
      <c r="DD596" s="40" t="n"/>
      <c r="DE596" s="40" t="n"/>
      <c r="DF596" s="40" t="n"/>
      <c r="DG596" s="40" t="n"/>
      <c r="DH596" s="40" t="n"/>
      <c r="DI596" s="40" t="n"/>
      <c r="DJ596" s="40" t="n"/>
      <c r="DK596" s="40" t="n"/>
      <c r="DL596" s="40" t="n"/>
      <c r="DM596" s="40" t="n"/>
      <c r="DN596" s="40" t="n"/>
      <c r="DO596" s="40" t="n"/>
      <c r="DP596" s="40" t="n"/>
      <c r="DQ596" s="40" t="n"/>
      <c r="DR596" s="40" t="n"/>
      <c r="DS596" s="40" t="n"/>
      <c r="DT596" s="40" t="n"/>
      <c r="DU596" s="40" t="n"/>
      <c r="DV596" s="40" t="n"/>
      <c r="DW596" s="40" t="n"/>
      <c r="DX596" s="40" t="n"/>
      <c r="DY596" s="40" t="n"/>
      <c r="DZ596" s="40" t="n"/>
      <c r="EA596" s="40" t="n"/>
      <c r="EB596" s="40" t="n"/>
      <c r="EC596" s="40" t="n"/>
      <c r="ED596" s="40" t="n"/>
      <c r="EE596" s="40" t="n"/>
      <c r="EF596" s="40" t="n"/>
      <c r="EG596" s="40" t="n"/>
      <c r="EH596" s="40" t="n"/>
      <c r="EI596" s="40" t="n"/>
      <c r="EJ596" s="40" t="n"/>
      <c r="EK596" s="40" t="n"/>
      <c r="EL596" s="40" t="n"/>
      <c r="EM596" s="40" t="n"/>
      <c r="EN596" s="40" t="n"/>
      <c r="EO596" s="40" t="n"/>
      <c r="EP596" s="40" t="n"/>
      <c r="EQ596" s="40" t="n"/>
      <c r="ER596" s="40" t="n"/>
      <c r="ES596" s="40" t="n"/>
      <c r="ET596" s="40" t="n"/>
      <c r="EU596" s="40" t="n"/>
      <c r="EV596" s="40" t="n"/>
      <c r="EW596" s="40" t="n"/>
      <c r="EX596" s="40" t="n"/>
      <c r="EY596" s="40" t="n"/>
      <c r="EZ596" s="40" t="n"/>
      <c r="FA596" s="40" t="n"/>
      <c r="FB596" s="40" t="n"/>
      <c r="FC596" s="40" t="n"/>
      <c r="FD596" s="40" t="n"/>
    </row>
    <row r="597" ht="60" customHeight="1">
      <c r="A597" s="58" t="n"/>
      <c r="B597" s="59" t="inlineStr">
        <is>
          <t>NOT YET MAPPED</t>
        </is>
      </c>
      <c r="C597" s="40" t="inlineStr">
        <is>
          <t>CARBON</t>
        </is>
      </c>
      <c r="D597" s="40" t="inlineStr">
        <is>
          <t>IRIS2499</t>
        </is>
      </c>
      <c r="E597" s="40" t="inlineStr">
        <is>
          <t>Aniket Rajaram Hinukale</t>
        </is>
      </c>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c r="AD597" s="40" t="n"/>
      <c r="AE597" s="40" t="n"/>
      <c r="AF597" s="40" t="n"/>
      <c r="AG597" s="40" t="n"/>
      <c r="AH597" s="40" t="n"/>
      <c r="AI597" s="40" t="n"/>
      <c r="AJ597" s="40" t="n"/>
      <c r="AK597" s="40" t="n"/>
      <c r="AL597" s="40" t="n"/>
      <c r="AM597" s="40" t="n"/>
      <c r="AN597" s="40" t="n"/>
      <c r="AO597" s="40" t="n"/>
      <c r="AP597" s="40" t="n"/>
      <c r="AQ597" s="40" t="n"/>
      <c r="AR597" s="40" t="n"/>
      <c r="AS597" s="40" t="n"/>
      <c r="AT597" s="40" t="n"/>
      <c r="AU597" s="40" t="n"/>
      <c r="AV597" s="40" t="inlineStr">
        <is>
          <t>IRIS2499</t>
        </is>
      </c>
      <c r="AW597" s="40" t="inlineStr">
        <is>
          <t>Aniket Rajaram Hinukale</t>
        </is>
      </c>
      <c r="AX597" s="40" t="inlineStr">
        <is>
          <t>Technology</t>
        </is>
      </c>
      <c r="AY597" s="40" t="inlineStr">
        <is>
          <t>Engineering &amp; Development</t>
        </is>
      </c>
      <c r="AZ597" s="40" t="inlineStr">
        <is>
          <t>Backend Engineering · .NET</t>
        </is>
      </c>
      <c r="BA597" s="40" t="n"/>
      <c r="BB597" s="40" t="n"/>
      <c r="BC597" s="40" t="inlineStr">
        <is>
          <t>Employee</t>
        </is>
      </c>
      <c r="BD597" s="40" t="inlineStr">
        <is>
          <t>Sarfaraz Badi</t>
        </is>
      </c>
      <c r="BE597" s="40" t="inlineStr">
        <is>
          <t>Sarfaraz Badi</t>
        </is>
      </c>
      <c r="BF597" s="40" t="inlineStr">
        <is>
          <t>No</t>
        </is>
      </c>
      <c r="BG597" s="40" t="inlineStr">
        <is>
          <t>Senior Software Engineer</t>
        </is>
      </c>
      <c r="BH597" s="40" t="inlineStr">
        <is>
          <t>Senior Software Engineer</t>
        </is>
      </c>
      <c r="BI597" s="40" t="inlineStr">
        <is>
          <t>No</t>
        </is>
      </c>
      <c r="BJ597" s="40" t="n"/>
      <c r="BK597" s="40" t="n"/>
      <c r="BL597" s="40" t="n"/>
      <c r="BM597" s="40" t="inlineStr">
        <is>
          <t>Not a manager</t>
        </is>
      </c>
      <c r="BN597" s="40" t="n"/>
      <c r="BO597" s="40" t="n"/>
      <c r="BP597" s="40" t="n"/>
      <c r="BQ597" s="40" t="inlineStr">
        <is>
          <t>Not a manager</t>
        </is>
      </c>
      <c r="BR597" s="40" t="n"/>
      <c r="BS597" s="40" t="inlineStr">
        <is>
          <t>L4 – Senior</t>
        </is>
      </c>
      <c r="BT597" s="40" t="inlineStr">
        <is>
          <t>L4 – Senior</t>
        </is>
      </c>
      <c r="BU597" s="40" t="inlineStr">
        <is>
          <t>No designation change — current record value carried forward</t>
        </is>
      </c>
      <c r="BV597" s="40"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BW597" s="40" t="n"/>
      <c r="BX597" s="40" t="n"/>
      <c r="BY597" s="40" t="n"/>
      <c r="BZ597" s="40" t="n"/>
      <c r="CA597" s="40" t="n"/>
      <c r="CB597" s="40" t="n"/>
      <c r="CC597" s="40" t="n"/>
      <c r="CD597" s="40" t="n"/>
      <c r="CE597" s="40" t="n"/>
      <c r="CF597" s="40" t="n"/>
      <c r="CG597" s="40" t="n"/>
      <c r="CH597" s="40" t="n"/>
      <c r="CI597" s="40" t="n"/>
      <c r="CJ597" s="40" t="n"/>
      <c r="CK597" s="40" t="n"/>
      <c r="CL597" s="40" t="n"/>
      <c r="CM597" s="40" t="n"/>
      <c r="CN597" s="40" t="n"/>
      <c r="CO597" s="40" t="n"/>
      <c r="CP597" s="40" t="n"/>
      <c r="CQ597" s="40" t="n"/>
      <c r="CR597" s="40" t="n"/>
      <c r="CS597" s="40" t="n"/>
      <c r="CT597" s="40" t="n"/>
      <c r="CU597" s="40" t="n"/>
      <c r="CV597" s="40" t="n"/>
      <c r="CW597" s="40" t="n"/>
      <c r="CX597" s="40" t="n"/>
      <c r="CY597" s="40" t="n"/>
      <c r="CZ597" s="40" t="n"/>
      <c r="DA597" s="40" t="n"/>
      <c r="DB597" s="40" t="n"/>
      <c r="DC597" s="40" t="n"/>
      <c r="DD597" s="40" t="n"/>
      <c r="DE597" s="40" t="n"/>
      <c r="DF597" s="40" t="n"/>
      <c r="DG597" s="40" t="n"/>
      <c r="DH597" s="40" t="n"/>
      <c r="DI597" s="40" t="n"/>
      <c r="DJ597" s="40" t="n"/>
      <c r="DK597" s="40" t="n"/>
      <c r="DL597" s="40" t="n"/>
      <c r="DM597" s="40" t="n"/>
      <c r="DN597" s="40" t="n"/>
      <c r="DO597" s="40" t="n"/>
      <c r="DP597" s="40" t="n"/>
      <c r="DQ597" s="40" t="n"/>
      <c r="DR597" s="40" t="n"/>
      <c r="DS597" s="40" t="n"/>
      <c r="DT597" s="40" t="n"/>
      <c r="DU597" s="40" t="n"/>
      <c r="DV597" s="40" t="n"/>
      <c r="DW597" s="40" t="n"/>
      <c r="DX597" s="40" t="n"/>
      <c r="DY597" s="40" t="n"/>
      <c r="DZ597" s="40" t="n"/>
      <c r="EA597" s="40" t="n"/>
      <c r="EB597" s="40" t="n"/>
      <c r="EC597" s="40" t="n"/>
      <c r="ED597" s="40" t="n"/>
      <c r="EE597" s="40" t="n"/>
      <c r="EF597" s="40" t="n"/>
      <c r="EG597" s="40" t="n"/>
      <c r="EH597" s="40" t="n"/>
      <c r="EI597" s="40" t="n"/>
      <c r="EJ597" s="40" t="n"/>
      <c r="EK597" s="40" t="n"/>
      <c r="EL597" s="40" t="n"/>
      <c r="EM597" s="40" t="n"/>
      <c r="EN597" s="40" t="n"/>
      <c r="EO597" s="40" t="n"/>
      <c r="EP597" s="40" t="n"/>
      <c r="EQ597" s="40" t="n"/>
      <c r="ER597" s="40" t="n"/>
      <c r="ES597" s="40" t="n"/>
      <c r="ET597" s="40" t="n"/>
      <c r="EU597" s="40" t="n"/>
      <c r="EV597" s="40" t="n"/>
      <c r="EW597" s="40" t="n"/>
      <c r="EX597" s="40" t="n"/>
      <c r="EY597" s="40" t="n"/>
      <c r="EZ597" s="40" t="n"/>
      <c r="FA597" s="40" t="n"/>
      <c r="FB597" s="40" t="n"/>
      <c r="FC597" s="40" t="n"/>
      <c r="FD597" s="40" t="n"/>
    </row>
    <row r="598" ht="60" customHeight="1">
      <c r="A598" s="58" t="n"/>
      <c r="B598" s="59" t="inlineStr">
        <is>
          <t>NOT YET MAPPED</t>
        </is>
      </c>
      <c r="C598" s="40" t="inlineStr">
        <is>
          <t>CARBON</t>
        </is>
      </c>
      <c r="D598" s="40" t="inlineStr">
        <is>
          <t>IRISC329</t>
        </is>
      </c>
      <c r="E598" s="40" t="inlineStr">
        <is>
          <t>Devika Vivek Savaratkar</t>
        </is>
      </c>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c r="AE598" s="40" t="n"/>
      <c r="AF598" s="40" t="n"/>
      <c r="AG598" s="40" t="n"/>
      <c r="AH598" s="40" t="n"/>
      <c r="AI598" s="40" t="n"/>
      <c r="AJ598" s="40" t="n"/>
      <c r="AK598" s="40" t="n"/>
      <c r="AL598" s="40" t="n"/>
      <c r="AM598" s="40" t="n"/>
      <c r="AN598" s="40" t="n"/>
      <c r="AO598" s="40" t="n"/>
      <c r="AP598" s="40" t="n"/>
      <c r="AQ598" s="40" t="n"/>
      <c r="AR598" s="40" t="n"/>
      <c r="AS598" s="40" t="n"/>
      <c r="AT598" s="40" t="n"/>
      <c r="AU598" s="40" t="n"/>
      <c r="AV598" s="40" t="n"/>
      <c r="AW598" s="40" t="n"/>
      <c r="AX598" s="40" t="n"/>
      <c r="AY598" s="40" t="n"/>
      <c r="AZ598" s="40" t="n"/>
      <c r="BA598" s="40" t="n"/>
      <c r="BB598" s="40" t="n"/>
      <c r="BC598" s="40" t="n"/>
      <c r="BD598" s="40" t="n"/>
      <c r="BE598" s="40" t="n"/>
      <c r="BF598" s="40" t="n"/>
      <c r="BG598" s="40" t="n"/>
      <c r="BH598" s="40" t="n"/>
      <c r="BI598" s="40" t="n"/>
      <c r="BJ598" s="40" t="n"/>
      <c r="BK598" s="40" t="n"/>
      <c r="BL598" s="40" t="n"/>
      <c r="BM598" s="40" t="n"/>
      <c r="BN598" s="40" t="n"/>
      <c r="BO598" s="40" t="n"/>
      <c r="BP598" s="40" t="n"/>
      <c r="BQ598" s="40" t="n"/>
      <c r="BR598" s="40" t="n"/>
      <c r="BS598" s="40" t="n"/>
      <c r="BT598" s="40" t="n"/>
      <c r="BU598" s="40" t="n"/>
      <c r="BV598" s="40" t="n"/>
      <c r="BW598" s="40" t="n"/>
      <c r="BX598" s="40" t="n"/>
      <c r="BY598" s="40" t="n"/>
      <c r="BZ598" s="40" t="inlineStr">
        <is>
          <t>IRISC329</t>
        </is>
      </c>
      <c r="CA598" s="40" t="inlineStr">
        <is>
          <t>On Contract</t>
        </is>
      </c>
      <c r="CB598" s="40" t="inlineStr">
        <is>
          <t>Active</t>
        </is>
      </c>
      <c r="CC598" s="40" t="inlineStr">
        <is>
          <t>Devika Vivek Savaratkar</t>
        </is>
      </c>
      <c r="CD598" s="40" t="inlineStr">
        <is>
          <t>05 Jan 2026</t>
        </is>
      </c>
      <c r="CE598" s="40" t="inlineStr">
        <is>
          <t>Consultant</t>
        </is>
      </c>
      <c r="CF598" s="40" t="inlineStr">
        <is>
          <t>Exited</t>
        </is>
      </c>
      <c r="CG598" s="40" t="inlineStr">
        <is>
          <t>Customer Success &amp; Support</t>
        </is>
      </c>
      <c r="CH598" s="40" t="inlineStr">
        <is>
          <t>Customer Support</t>
        </is>
      </c>
      <c r="CI598" s="40" t="inlineStr">
        <is>
          <t>Consultant</t>
        </is>
      </c>
      <c r="CJ598" s="40" t="inlineStr">
        <is>
          <t>L3 – Professional / Associate</t>
        </is>
      </c>
      <c r="CK598" s="40" t="inlineStr">
        <is>
          <t>Anushree Aparajit</t>
        </is>
      </c>
      <c r="CL598" s="40" t="inlineStr">
        <is>
          <t>N-5</t>
        </is>
      </c>
      <c r="CM598" s="40" t="inlineStr">
        <is>
          <t>Individual Contributor</t>
        </is>
      </c>
      <c r="CN598" s="40" t="inlineStr">
        <is>
          <t>Regtech</t>
        </is>
      </c>
      <c r="CO598" s="40" t="inlineStr">
        <is>
          <t>Services</t>
        </is>
      </c>
      <c r="CP598" s="40" t="inlineStr">
        <is>
          <t>3 years, 1 months, 15 days</t>
        </is>
      </c>
      <c r="CQ598" s="40" t="n"/>
      <c r="CR598" s="40" t="n"/>
      <c r="CS598" s="40" t="n"/>
      <c r="CT598" s="40" t="n"/>
      <c r="CU598" s="40" t="n"/>
      <c r="CV598" s="40" t="n"/>
      <c r="CW598" s="40" t="n"/>
      <c r="CX598" s="40" t="n"/>
      <c r="CY598" s="40" t="n"/>
      <c r="CZ598" s="40" t="n"/>
      <c r="DA598" s="40" t="n"/>
      <c r="DB598" s="40" t="inlineStr">
        <is>
          <t>She is not part of Assisted services team and currently working with CEM · Anushree team.</t>
        </is>
      </c>
      <c r="DC598" s="40" t="n"/>
      <c r="DD598" s="40" t="n"/>
      <c r="DE598" s="40" t="n"/>
      <c r="DF598" s="40" t="n"/>
      <c r="DG598" s="40" t="n"/>
      <c r="DH598" s="40" t="n"/>
      <c r="DI598" s="40" t="n"/>
      <c r="DJ598" s="40" t="n"/>
      <c r="DK598" s="40" t="n"/>
      <c r="DL598" s="40" t="n"/>
      <c r="DM598" s="40" t="n"/>
      <c r="DN598" s="40" t="n"/>
      <c r="DO598" s="40" t="n"/>
      <c r="DP598" s="40" t="n"/>
      <c r="DQ598" s="40" t="n"/>
      <c r="DR598" s="40" t="n"/>
      <c r="DS598" s="40" t="n"/>
      <c r="DT598" s="40" t="n"/>
      <c r="DU598" s="40" t="n"/>
      <c r="DV598" s="40" t="n"/>
      <c r="DW598" s="40" t="n"/>
      <c r="DX598" s="40" t="n"/>
      <c r="DY598" s="40" t="n"/>
      <c r="DZ598" s="40" t="n"/>
      <c r="EA598" s="40" t="n"/>
      <c r="EB598" s="40" t="n"/>
      <c r="EC598" s="40" t="n"/>
      <c r="ED598" s="40" t="n"/>
      <c r="EE598" s="40" t="n"/>
      <c r="EF598" s="40" t="n"/>
      <c r="EG598" s="40" t="n"/>
      <c r="EH598" s="40" t="n"/>
      <c r="EI598" s="40" t="n"/>
      <c r="EJ598" s="40" t="n"/>
      <c r="EK598" s="40" t="n"/>
      <c r="EL598" s="40" t="n"/>
      <c r="EM598" s="40" t="n"/>
      <c r="EN598" s="40" t="n"/>
      <c r="EO598" s="40" t="n"/>
      <c r="EP598" s="40" t="n"/>
      <c r="EQ598" s="40" t="n"/>
      <c r="ER598" s="40" t="n"/>
      <c r="ES598" s="40" t="n"/>
      <c r="ET598" s="40" t="n"/>
      <c r="EU598" s="40" t="n"/>
      <c r="EV598" s="40" t="n"/>
      <c r="EW598" s="40" t="n"/>
      <c r="EX598" s="40" t="n"/>
      <c r="EY598" s="40" t="n"/>
      <c r="EZ598" s="40" t="n"/>
      <c r="FA598" s="40" t="n"/>
      <c r="FB598" s="40" t="n"/>
      <c r="FC598" s="40" t="n"/>
      <c r="FD598" s="40" t="n"/>
    </row>
    <row r="599" ht="60" customHeight="1">
      <c r="A599" s="58" t="n"/>
      <c r="B599" s="59" t="inlineStr">
        <is>
          <t>NOT YET MAPPED</t>
        </is>
      </c>
      <c r="C599" s="40" t="inlineStr">
        <is>
          <t>CARBON</t>
        </is>
      </c>
      <c r="D599" s="40" t="inlineStr">
        <is>
          <t>IRISC336</t>
        </is>
      </c>
      <c r="E599" s="40" t="inlineStr">
        <is>
          <t>Shweta Sanjay Vardhamane</t>
        </is>
      </c>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c r="AD599" s="40" t="n"/>
      <c r="AE599" s="40" t="n"/>
      <c r="AF599" s="40" t="n"/>
      <c r="AG599" s="40" t="n"/>
      <c r="AH599" s="40" t="n"/>
      <c r="AI599" s="40" t="n"/>
      <c r="AJ599" s="40" t="n"/>
      <c r="AK599" s="40" t="n"/>
      <c r="AL599" s="40" t="n"/>
      <c r="AM599" s="40" t="n"/>
      <c r="AN599" s="40" t="n"/>
      <c r="AO599" s="40" t="n"/>
      <c r="AP599" s="40" t="n"/>
      <c r="AQ599" s="40" t="n"/>
      <c r="AR599" s="40" t="n"/>
      <c r="AS599" s="40" t="n"/>
      <c r="AT599" s="40" t="n"/>
      <c r="AU599" s="40" t="n"/>
      <c r="AV599" s="40" t="n"/>
      <c r="AW599" s="40" t="n"/>
      <c r="AX599" s="40" t="n"/>
      <c r="AY599" s="40" t="n"/>
      <c r="AZ599" s="40" t="n"/>
      <c r="BA599" s="40" t="n"/>
      <c r="BB599" s="40" t="n"/>
      <c r="BC599" s="40" t="n"/>
      <c r="BD599" s="40" t="n"/>
      <c r="BE599" s="40" t="n"/>
      <c r="BF599" s="40" t="n"/>
      <c r="BG599" s="40" t="n"/>
      <c r="BH599" s="40" t="n"/>
      <c r="BI599" s="40" t="n"/>
      <c r="BJ599" s="40" t="n"/>
      <c r="BK599" s="40" t="n"/>
      <c r="BL599" s="40" t="n"/>
      <c r="BM599" s="40" t="n"/>
      <c r="BN599" s="40" t="n"/>
      <c r="BO599" s="40" t="n"/>
      <c r="BP599" s="40" t="n"/>
      <c r="BQ599" s="40" t="n"/>
      <c r="BR599" s="40" t="n"/>
      <c r="BS599" s="40" t="n"/>
      <c r="BT599" s="40" t="n"/>
      <c r="BU599" s="40" t="n"/>
      <c r="BV599" s="40" t="n"/>
      <c r="BW599" s="40" t="n"/>
      <c r="BX599" s="40" t="n"/>
      <c r="BY599" s="40" t="n"/>
      <c r="BZ599" s="40" t="inlineStr">
        <is>
          <t>IRISC336</t>
        </is>
      </c>
      <c r="CA599" s="40" t="inlineStr">
        <is>
          <t>On Contract</t>
        </is>
      </c>
      <c r="CB599" s="40" t="inlineStr">
        <is>
          <t>Active</t>
        </is>
      </c>
      <c r="CC599" s="40" t="inlineStr">
        <is>
          <t>Shweta Sanjay Vardhamane</t>
        </is>
      </c>
      <c r="CD599" s="40" t="inlineStr">
        <is>
          <t>22 Jan 2026</t>
        </is>
      </c>
      <c r="CE599" s="40" t="inlineStr">
        <is>
          <t>Consultant</t>
        </is>
      </c>
      <c r="CF599" s="40" t="n"/>
      <c r="CG599" s="40" t="inlineStr">
        <is>
          <t>Professional Services</t>
        </is>
      </c>
      <c r="CH599" s="40" t="inlineStr">
        <is>
          <t>Digitization &amp; Image Processing</t>
        </is>
      </c>
      <c r="CI599" s="40" t="inlineStr">
        <is>
          <t>Consultant</t>
        </is>
      </c>
      <c r="CJ599" s="40" t="inlineStr">
        <is>
          <t>L3 – Professional / Associate</t>
        </is>
      </c>
      <c r="CK599" s="40" t="inlineStr">
        <is>
          <t>Shraddha Patil</t>
        </is>
      </c>
      <c r="CL599" s="40" t="inlineStr">
        <is>
          <t>N-7</t>
        </is>
      </c>
      <c r="CM599" s="40" t="inlineStr">
        <is>
          <t>Individual Contributor</t>
        </is>
      </c>
      <c r="CN599" s="40" t="inlineStr">
        <is>
          <t>Consume</t>
        </is>
      </c>
      <c r="CO599" s="40" t="inlineStr">
        <is>
          <t>Digitizing</t>
        </is>
      </c>
      <c r="CP599" s="40" t="inlineStr">
        <is>
          <t>0 years, 10 months, 29 days</t>
        </is>
      </c>
      <c r="CQ599" s="40" t="inlineStr">
        <is>
          <t>Consultant</t>
        </is>
      </c>
      <c r="CR599" s="40" t="n"/>
      <c r="CS599" s="40" t="inlineStr">
        <is>
          <t>3</t>
        </is>
      </c>
      <c r="CT599" s="40" t="inlineStr">
        <is>
          <t>Medium</t>
        </is>
      </c>
      <c r="CU599" s="40" t="inlineStr">
        <is>
          <t>Core Contributor</t>
        </is>
      </c>
      <c r="CV599" s="40" t="inlineStr">
        <is>
          <t>No</t>
        </is>
      </c>
      <c r="CW599" s="40" t="inlineStr">
        <is>
          <t>No</t>
        </is>
      </c>
      <c r="CX599" s="40" t="inlineStr">
        <is>
          <t>No</t>
        </is>
      </c>
      <c r="CY599" s="40" t="n"/>
      <c r="CZ599" s="40" t="n"/>
      <c r="DA599" s="40" t="n"/>
      <c r="DB599" s="40" t="inlineStr">
        <is>
          <t>Will release on 31st July 2026</t>
        </is>
      </c>
      <c r="DC599" s="40" t="n"/>
      <c r="DD599" s="40" t="n"/>
      <c r="DE599" s="40" t="n"/>
      <c r="DF599" s="40" t="n"/>
      <c r="DG599" s="40" t="n"/>
      <c r="DH599" s="40" t="n"/>
      <c r="DI599" s="40" t="n"/>
      <c r="DJ599" s="40" t="n"/>
      <c r="DK599" s="40" t="n"/>
      <c r="DL599" s="40" t="n"/>
      <c r="DM599" s="40" t="n"/>
      <c r="DN599" s="40" t="n"/>
      <c r="DO599" s="40" t="n"/>
      <c r="DP599" s="40" t="n"/>
      <c r="DQ599" s="40" t="n"/>
      <c r="DR599" s="40" t="n"/>
      <c r="DS599" s="40" t="n"/>
      <c r="DT599" s="40" t="n"/>
      <c r="DU599" s="40" t="n"/>
      <c r="DV599" s="40" t="n"/>
      <c r="DW599" s="40" t="n"/>
      <c r="DX599" s="40" t="n"/>
      <c r="DY599" s="40" t="n"/>
      <c r="DZ599" s="40" t="n"/>
      <c r="EA599" s="40" t="n"/>
      <c r="EB599" s="40" t="n"/>
      <c r="EC599" s="40" t="n"/>
      <c r="ED599" s="40" t="n"/>
      <c r="EE599" s="40" t="n"/>
      <c r="EF599" s="40" t="n"/>
      <c r="EG599" s="40" t="n"/>
      <c r="EH599" s="40" t="n"/>
      <c r="EI599" s="40" t="n"/>
      <c r="EJ599" s="40" t="n"/>
      <c r="EK599" s="40" t="n"/>
      <c r="EL599" s="40" t="n"/>
      <c r="EM599" s="40" t="n"/>
      <c r="EN599" s="40" t="n"/>
      <c r="EO599" s="40" t="n"/>
      <c r="EP599" s="40" t="n"/>
      <c r="EQ599" s="40" t="n"/>
      <c r="ER599" s="40" t="n"/>
      <c r="ES599" s="40" t="n"/>
      <c r="ET599" s="40" t="n"/>
      <c r="EU599" s="40" t="n"/>
      <c r="EV599" s="40" t="n"/>
      <c r="EW599" s="40" t="n"/>
      <c r="EX599" s="40" t="n"/>
      <c r="EY599" s="40" t="n"/>
      <c r="EZ599" s="40" t="n"/>
      <c r="FA599" s="40" t="n"/>
      <c r="FB599" s="40" t="n"/>
      <c r="FC599" s="40" t="n"/>
      <c r="FD599" s="40" t="n"/>
    </row>
    <row r="600" ht="60" customHeight="1">
      <c r="A600" s="58" t="n"/>
      <c r="B600" s="59" t="inlineStr">
        <is>
          <t>NOT YET MAPPED</t>
        </is>
      </c>
      <c r="C600" s="40" t="inlineStr">
        <is>
          <t>CARBON</t>
        </is>
      </c>
      <c r="D600" s="40" t="inlineStr">
        <is>
          <t>IRISC340</t>
        </is>
      </c>
      <c r="E600" s="40" t="inlineStr">
        <is>
          <t>Sahil Sham Girkar</t>
        </is>
      </c>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c r="AE600" s="40" t="n"/>
      <c r="AF600" s="40" t="n"/>
      <c r="AG600" s="40" t="n"/>
      <c r="AH600" s="40" t="n"/>
      <c r="AI600" s="40" t="n"/>
      <c r="AJ600" s="40" t="n"/>
      <c r="AK600" s="40" t="n"/>
      <c r="AL600" s="40" t="n"/>
      <c r="AM600" s="40" t="n"/>
      <c r="AN600" s="40" t="n"/>
      <c r="AO600" s="40" t="n"/>
      <c r="AP600" s="40" t="n"/>
      <c r="AQ600" s="40" t="n"/>
      <c r="AR600" s="40" t="n"/>
      <c r="AS600" s="40" t="n"/>
      <c r="AT600" s="40" t="n"/>
      <c r="AU600" s="40" t="n"/>
      <c r="AV600" s="40" t="n"/>
      <c r="AW600" s="40" t="n"/>
      <c r="AX600" s="40" t="n"/>
      <c r="AY600" s="40" t="n"/>
      <c r="AZ600" s="40" t="n"/>
      <c r="BA600" s="40" t="n"/>
      <c r="BB600" s="40" t="n"/>
      <c r="BC600" s="40" t="n"/>
      <c r="BD600" s="40" t="n"/>
      <c r="BE600" s="40" t="n"/>
      <c r="BF600" s="40" t="n"/>
      <c r="BG600" s="40" t="n"/>
      <c r="BH600" s="40" t="n"/>
      <c r="BI600" s="40" t="n"/>
      <c r="BJ600" s="40" t="n"/>
      <c r="BK600" s="40" t="n"/>
      <c r="BL600" s="40" t="n"/>
      <c r="BM600" s="40" t="n"/>
      <c r="BN600" s="40" t="n"/>
      <c r="BO600" s="40" t="n"/>
      <c r="BP600" s="40" t="n"/>
      <c r="BQ600" s="40" t="n"/>
      <c r="BR600" s="40" t="n"/>
      <c r="BS600" s="40" t="n"/>
      <c r="BT600" s="40" t="n"/>
      <c r="BU600" s="40" t="n"/>
      <c r="BV600" s="40" t="n"/>
      <c r="BW600" s="40" t="n"/>
      <c r="BX600" s="40" t="n"/>
      <c r="BY600" s="40" t="n"/>
      <c r="BZ600" s="40" t="inlineStr">
        <is>
          <t>IRISC340</t>
        </is>
      </c>
      <c r="CA600" s="40" t="inlineStr">
        <is>
          <t>On Contract</t>
        </is>
      </c>
      <c r="CB600" s="40" t="inlineStr">
        <is>
          <t>Active</t>
        </is>
      </c>
      <c r="CC600" s="40" t="inlineStr">
        <is>
          <t>Sahil Sham Girkar</t>
        </is>
      </c>
      <c r="CD600" s="40" t="inlineStr">
        <is>
          <t>02 Feb 2026</t>
        </is>
      </c>
      <c r="CE600" s="40" t="inlineStr">
        <is>
          <t>Consultant</t>
        </is>
      </c>
      <c r="CF600" s="40" t="n"/>
      <c r="CG600" s="40" t="inlineStr">
        <is>
          <t>Professional Services</t>
        </is>
      </c>
      <c r="CH600" s="40" t="inlineStr">
        <is>
          <t>Digitization &amp; Image Processing</t>
        </is>
      </c>
      <c r="CI600" s="40" t="inlineStr">
        <is>
          <t>Consultant</t>
        </is>
      </c>
      <c r="CJ600" s="40" t="inlineStr">
        <is>
          <t>L3 – Professional / Associate</t>
        </is>
      </c>
      <c r="CK600" s="40" t="inlineStr">
        <is>
          <t>Shraddha Patil</t>
        </is>
      </c>
      <c r="CL600" s="40" t="inlineStr">
        <is>
          <t>N-7</t>
        </is>
      </c>
      <c r="CM600" s="40" t="inlineStr">
        <is>
          <t>Individual Contributor</t>
        </is>
      </c>
      <c r="CN600" s="40" t="inlineStr">
        <is>
          <t>Consume</t>
        </is>
      </c>
      <c r="CO600" s="40" t="inlineStr">
        <is>
          <t>Digitizing</t>
        </is>
      </c>
      <c r="CP600" s="40" t="inlineStr">
        <is>
          <t>0 years, 4 months, 18 days</t>
        </is>
      </c>
      <c r="CQ600" s="40" t="inlineStr">
        <is>
          <t>Consultant</t>
        </is>
      </c>
      <c r="CR600" s="40" t="n"/>
      <c r="CS600" s="40" t="inlineStr">
        <is>
          <t>3</t>
        </is>
      </c>
      <c r="CT600" s="40" t="inlineStr">
        <is>
          <t>Medium</t>
        </is>
      </c>
      <c r="CU600" s="40" t="inlineStr">
        <is>
          <t>Core Contributor</t>
        </is>
      </c>
      <c r="CV600" s="40" t="inlineStr">
        <is>
          <t>No</t>
        </is>
      </c>
      <c r="CW600" s="40" t="inlineStr">
        <is>
          <t>No</t>
        </is>
      </c>
      <c r="CX600" s="40" t="inlineStr">
        <is>
          <t>No</t>
        </is>
      </c>
      <c r="CY600" s="40" t="n"/>
      <c r="CZ600" s="40" t="n"/>
      <c r="DA600" s="40" t="n"/>
      <c r="DB600" s="40" t="inlineStr">
        <is>
          <t>Will release on 31st July 2026</t>
        </is>
      </c>
      <c r="DC600" s="40" t="n"/>
      <c r="DD600" s="40" t="n"/>
      <c r="DE600" s="40" t="n"/>
      <c r="DF600" s="40" t="n"/>
      <c r="DG600" s="40" t="n"/>
      <c r="DH600" s="40" t="n"/>
      <c r="DI600" s="40" t="n"/>
      <c r="DJ600" s="40" t="n"/>
      <c r="DK600" s="40" t="n"/>
      <c r="DL600" s="40" t="n"/>
      <c r="DM600" s="40" t="n"/>
      <c r="DN600" s="40" t="n"/>
      <c r="DO600" s="40" t="n"/>
      <c r="DP600" s="40" t="n"/>
      <c r="DQ600" s="40" t="n"/>
      <c r="DR600" s="40" t="n"/>
      <c r="DS600" s="40" t="n"/>
      <c r="DT600" s="40" t="n"/>
      <c r="DU600" s="40" t="n"/>
      <c r="DV600" s="40" t="n"/>
      <c r="DW600" s="40" t="n"/>
      <c r="DX600" s="40" t="n"/>
      <c r="DY600" s="40" t="n"/>
      <c r="DZ600" s="40" t="n"/>
      <c r="EA600" s="40" t="n"/>
      <c r="EB600" s="40" t="n"/>
      <c r="EC600" s="40" t="n"/>
      <c r="ED600" s="40" t="n"/>
      <c r="EE600" s="40" t="n"/>
      <c r="EF600" s="40" t="n"/>
      <c r="EG600" s="40" t="n"/>
      <c r="EH600" s="40" t="n"/>
      <c r="EI600" s="40" t="n"/>
      <c r="EJ600" s="40" t="n"/>
      <c r="EK600" s="40" t="n"/>
      <c r="EL600" s="40" t="n"/>
      <c r="EM600" s="40" t="n"/>
      <c r="EN600" s="40" t="n"/>
      <c r="EO600" s="40" t="n"/>
      <c r="EP600" s="40" t="n"/>
      <c r="EQ600" s="40" t="n"/>
      <c r="ER600" s="40" t="n"/>
      <c r="ES600" s="40" t="n"/>
      <c r="ET600" s="40" t="n"/>
      <c r="EU600" s="40" t="n"/>
      <c r="EV600" s="40" t="n"/>
      <c r="EW600" s="40" t="n"/>
      <c r="EX600" s="40" t="n"/>
      <c r="EY600" s="40" t="n"/>
      <c r="EZ600" s="40" t="n"/>
      <c r="FA600" s="40" t="n"/>
      <c r="FB600" s="40" t="n"/>
      <c r="FC600" s="40" t="n"/>
      <c r="FD600" s="40" t="n"/>
    </row>
    <row r="601" ht="60" customHeight="1">
      <c r="A601" s="58" t="n"/>
      <c r="B601" s="59" t="inlineStr">
        <is>
          <t>NOT YET MAPPED</t>
        </is>
      </c>
      <c r="C601" s="40" t="inlineStr">
        <is>
          <t>CARBON</t>
        </is>
      </c>
      <c r="D601" s="40" t="inlineStr">
        <is>
          <t>IRISC333</t>
        </is>
      </c>
      <c r="E601" s="40" t="inlineStr">
        <is>
          <t>Ayush Sanas</t>
        </is>
      </c>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c r="AD601" s="40" t="n"/>
      <c r="AE601" s="40" t="n"/>
      <c r="AF601" s="40" t="n"/>
      <c r="AG601" s="40" t="n"/>
      <c r="AH601" s="40" t="n"/>
      <c r="AI601" s="40" t="n"/>
      <c r="AJ601" s="40" t="n"/>
      <c r="AK601" s="40" t="n"/>
      <c r="AL601" s="40" t="n"/>
      <c r="AM601" s="40" t="n"/>
      <c r="AN601" s="40" t="n"/>
      <c r="AO601" s="40" t="n"/>
      <c r="AP601" s="40" t="n"/>
      <c r="AQ601" s="40" t="n"/>
      <c r="AR601" s="40" t="n"/>
      <c r="AS601" s="40" t="n"/>
      <c r="AT601" s="40" t="n"/>
      <c r="AU601" s="40" t="n"/>
      <c r="AV601" s="40" t="n"/>
      <c r="AW601" s="40" t="n"/>
      <c r="AX601" s="40" t="n"/>
      <c r="AY601" s="40" t="n"/>
      <c r="AZ601" s="40" t="n"/>
      <c r="BA601" s="40" t="n"/>
      <c r="BB601" s="40" t="n"/>
      <c r="BC601" s="40" t="n"/>
      <c r="BD601" s="40" t="n"/>
      <c r="BE601" s="40" t="n"/>
      <c r="BF601" s="40" t="n"/>
      <c r="BG601" s="40" t="n"/>
      <c r="BH601" s="40" t="n"/>
      <c r="BI601" s="40" t="n"/>
      <c r="BJ601" s="40" t="n"/>
      <c r="BK601" s="40" t="n"/>
      <c r="BL601" s="40" t="n"/>
      <c r="BM601" s="40" t="n"/>
      <c r="BN601" s="40" t="n"/>
      <c r="BO601" s="40" t="n"/>
      <c r="BP601" s="40" t="n"/>
      <c r="BQ601" s="40" t="n"/>
      <c r="BR601" s="40" t="n"/>
      <c r="BS601" s="40" t="n"/>
      <c r="BT601" s="40" t="n"/>
      <c r="BU601" s="40" t="n"/>
      <c r="BV601" s="40" t="n"/>
      <c r="BW601" s="40" t="n"/>
      <c r="BX601" s="40" t="n"/>
      <c r="BY601" s="40" t="n"/>
      <c r="BZ601" s="40" t="inlineStr">
        <is>
          <t>IRISC333</t>
        </is>
      </c>
      <c r="CA601" s="40" t="inlineStr">
        <is>
          <t>On Contract</t>
        </is>
      </c>
      <c r="CB601" s="40" t="inlineStr">
        <is>
          <t>Active</t>
        </is>
      </c>
      <c r="CC601" s="40" t="inlineStr">
        <is>
          <t>Ayush Sanas</t>
        </is>
      </c>
      <c r="CD601" s="40" t="inlineStr">
        <is>
          <t>12 Jan 2026</t>
        </is>
      </c>
      <c r="CE601" s="40" t="inlineStr">
        <is>
          <t>Consultant</t>
        </is>
      </c>
      <c r="CF601" s="40" t="n"/>
      <c r="CG601" s="40" t="inlineStr">
        <is>
          <t>Professional Services</t>
        </is>
      </c>
      <c r="CH601" s="40" t="inlineStr">
        <is>
          <t>Digitization &amp; Image Processing</t>
        </is>
      </c>
      <c r="CI601" s="40" t="inlineStr">
        <is>
          <t>Consultant</t>
        </is>
      </c>
      <c r="CJ601" s="40" t="inlineStr">
        <is>
          <t>L3 – Professional / Associate</t>
        </is>
      </c>
      <c r="CK601" s="40" t="inlineStr">
        <is>
          <t>Dinesh Sharma</t>
        </is>
      </c>
      <c r="CL601" s="40" t="inlineStr">
        <is>
          <t>N-7</t>
        </is>
      </c>
      <c r="CM601" s="40" t="inlineStr">
        <is>
          <t>Individual Contributor</t>
        </is>
      </c>
      <c r="CN601" s="40" t="inlineStr">
        <is>
          <t>Regtech</t>
        </is>
      </c>
      <c r="CO601" s="40" t="inlineStr">
        <is>
          <t>Digitizing</t>
        </is>
      </c>
      <c r="CP601" s="40" t="inlineStr">
        <is>
          <t>0 years, 5 months, 8 days</t>
        </is>
      </c>
      <c r="CQ601" s="40" t="inlineStr">
        <is>
          <t>Consultant</t>
        </is>
      </c>
      <c r="CR601" s="40" t="n"/>
      <c r="CS601" s="40" t="inlineStr">
        <is>
          <t>1</t>
        </is>
      </c>
      <c r="CT601" s="40" t="inlineStr">
        <is>
          <t>Low</t>
        </is>
      </c>
      <c r="CU601" s="40" t="inlineStr">
        <is>
          <t>Core Contributor</t>
        </is>
      </c>
      <c r="CV601" s="40" t="inlineStr">
        <is>
          <t>No</t>
        </is>
      </c>
      <c r="CW601" s="40" t="inlineStr">
        <is>
          <t>No</t>
        </is>
      </c>
      <c r="CX601" s="40" t="inlineStr">
        <is>
          <t>No</t>
        </is>
      </c>
      <c r="CY601" s="40" t="n"/>
      <c r="CZ601" s="40" t="n"/>
      <c r="DA601" s="40" t="n"/>
      <c r="DB601" s="40" t="n"/>
      <c r="DC601" s="40" t="n"/>
      <c r="DD601" s="40" t="n"/>
      <c r="DE601" s="40" t="n"/>
      <c r="DF601" s="40" t="n"/>
      <c r="DG601" s="40" t="n"/>
      <c r="DH601" s="40" t="n"/>
      <c r="DI601" s="40" t="n"/>
      <c r="DJ601" s="40" t="n"/>
      <c r="DK601" s="40" t="n"/>
      <c r="DL601" s="40" t="n"/>
      <c r="DM601" s="40" t="n"/>
      <c r="DN601" s="40" t="n"/>
      <c r="DO601" s="40" t="n"/>
      <c r="DP601" s="40" t="n"/>
      <c r="DQ601" s="40" t="n"/>
      <c r="DR601" s="40" t="n"/>
      <c r="DS601" s="40" t="n"/>
      <c r="DT601" s="40" t="n"/>
      <c r="DU601" s="40" t="n"/>
      <c r="DV601" s="40" t="n"/>
      <c r="DW601" s="40" t="n"/>
      <c r="DX601" s="40" t="n"/>
      <c r="DY601" s="40" t="n"/>
      <c r="DZ601" s="40" t="n"/>
      <c r="EA601" s="40" t="n"/>
      <c r="EB601" s="40" t="n"/>
      <c r="EC601" s="40" t="n"/>
      <c r="ED601" s="40" t="n"/>
      <c r="EE601" s="40" t="n"/>
      <c r="EF601" s="40" t="n"/>
      <c r="EG601" s="40" t="n"/>
      <c r="EH601" s="40" t="n"/>
      <c r="EI601" s="40" t="n"/>
      <c r="EJ601" s="40" t="n"/>
      <c r="EK601" s="40" t="n"/>
      <c r="EL601" s="40" t="n"/>
      <c r="EM601" s="40" t="n"/>
      <c r="EN601" s="40" t="n"/>
      <c r="EO601" s="40" t="n"/>
      <c r="EP601" s="40" t="n"/>
      <c r="EQ601" s="40" t="n"/>
      <c r="ER601" s="40" t="n"/>
      <c r="ES601" s="40" t="n"/>
      <c r="ET601" s="40" t="n"/>
      <c r="EU601" s="40" t="n"/>
      <c r="EV601" s="40" t="n"/>
      <c r="EW601" s="40" t="n"/>
      <c r="EX601" s="40" t="n"/>
      <c r="EY601" s="40" t="n"/>
      <c r="EZ601" s="40" t="n"/>
      <c r="FA601" s="40" t="n"/>
      <c r="FB601" s="40" t="n"/>
      <c r="FC601" s="40" t="n"/>
      <c r="FD601" s="40" t="n"/>
    </row>
    <row r="602" ht="60" customHeight="1">
      <c r="A602" s="58" t="n"/>
      <c r="B602" s="59" t="inlineStr">
        <is>
          <t>NOT YET MAPPED</t>
        </is>
      </c>
      <c r="C602" s="40" t="inlineStr">
        <is>
          <t>CARBON</t>
        </is>
      </c>
      <c r="D602" s="40" t="inlineStr">
        <is>
          <t>IRIS2360</t>
        </is>
      </c>
      <c r="E602" s="40" t="inlineStr">
        <is>
          <t>Yash Bohra</t>
        </is>
      </c>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c r="AE602" s="40" t="n"/>
      <c r="AF602" s="40" t="n"/>
      <c r="AG602" s="40" t="n"/>
      <c r="AH602" s="40" t="n"/>
      <c r="AI602" s="40" t="n"/>
      <c r="AJ602" s="40" t="n"/>
      <c r="AK602" s="40" t="n"/>
      <c r="AL602" s="40" t="n"/>
      <c r="AM602" s="40" t="n"/>
      <c r="AN602" s="40" t="n"/>
      <c r="AO602" s="40" t="n"/>
      <c r="AP602" s="40" t="n"/>
      <c r="AQ602" s="40" t="n"/>
      <c r="AR602" s="40" t="n"/>
      <c r="AS602" s="40" t="n"/>
      <c r="AT602" s="40" t="n"/>
      <c r="AU602" s="40" t="n"/>
      <c r="AV602" s="40" t="n"/>
      <c r="AW602" s="40" t="n"/>
      <c r="AX602" s="40" t="n"/>
      <c r="AY602" s="40" t="n"/>
      <c r="AZ602" s="40" t="n"/>
      <c r="BA602" s="40" t="n"/>
      <c r="BB602" s="40" t="n"/>
      <c r="BC602" s="40" t="n"/>
      <c r="BD602" s="40" t="n"/>
      <c r="BE602" s="40" t="n"/>
      <c r="BF602" s="40" t="n"/>
      <c r="BG602" s="40" t="n"/>
      <c r="BH602" s="40" t="n"/>
      <c r="BI602" s="40" t="n"/>
      <c r="BJ602" s="40" t="n"/>
      <c r="BK602" s="40" t="n"/>
      <c r="BL602" s="40" t="n"/>
      <c r="BM602" s="40" t="n"/>
      <c r="BN602" s="40" t="n"/>
      <c r="BO602" s="40" t="n"/>
      <c r="BP602" s="40" t="n"/>
      <c r="BQ602" s="40" t="n"/>
      <c r="BR602" s="40" t="n"/>
      <c r="BS602" s="40" t="n"/>
      <c r="BT602" s="40" t="n"/>
      <c r="BU602" s="40" t="n"/>
      <c r="BV602" s="40" t="n"/>
      <c r="BW602" s="40" t="n"/>
      <c r="BX602" s="40" t="n"/>
      <c r="BY602" s="40" t="inlineStr">
        <is>
          <t>Suman Adhikary</t>
        </is>
      </c>
      <c r="BZ602" s="40" t="inlineStr">
        <is>
          <t>IRIS2360</t>
        </is>
      </c>
      <c r="CA602" s="40" t="inlineStr">
        <is>
          <t>Employee</t>
        </is>
      </c>
      <c r="CB602" s="40" t="inlineStr">
        <is>
          <t>Serving Notice</t>
        </is>
      </c>
      <c r="CC602" s="40" t="inlineStr">
        <is>
          <t>Yash Bohra</t>
        </is>
      </c>
      <c r="CD602" s="40" t="inlineStr">
        <is>
          <t>01 Apr 2025</t>
        </is>
      </c>
      <c r="CE602" s="40" t="inlineStr">
        <is>
          <t>Functional Specialist</t>
        </is>
      </c>
      <c r="CF602" s="40" t="inlineStr">
        <is>
          <t>7th Aug LWD :</t>
        </is>
      </c>
      <c r="CG602" s="40" t="inlineStr">
        <is>
          <t>Consulting  Services</t>
        </is>
      </c>
      <c r="CH602" s="40" t="inlineStr">
        <is>
          <t>Financial Reporting Advisory</t>
        </is>
      </c>
      <c r="CI602" s="40" t="inlineStr">
        <is>
          <t>Functional Specialist</t>
        </is>
      </c>
      <c r="CJ602" s="40" t="inlineStr">
        <is>
          <t>L3 – Professional / Associate</t>
        </is>
      </c>
      <c r="CK602" s="40" t="inlineStr">
        <is>
          <t>Priyadarsini Kairali</t>
        </is>
      </c>
      <c r="CL602" s="40" t="inlineStr">
        <is>
          <t>N-5</t>
        </is>
      </c>
      <c r="CM602" s="40" t="inlineStr">
        <is>
          <t>Individual Contributor</t>
        </is>
      </c>
      <c r="CN602" s="40" t="inlineStr">
        <is>
          <t>Regtech</t>
        </is>
      </c>
      <c r="CO602" s="40" t="inlineStr">
        <is>
          <t>Functional</t>
        </is>
      </c>
      <c r="CP602" s="40" t="inlineStr">
        <is>
          <t>4 years, 3 months, 19 days</t>
        </is>
      </c>
      <c r="CQ602" s="40" t="n"/>
      <c r="CR602" s="40" t="n"/>
      <c r="CS602" s="40" t="n"/>
      <c r="CT602" s="40" t="n"/>
      <c r="CU602" s="40" t="n"/>
      <c r="CV602" s="40" t="n"/>
      <c r="CW602" s="40" t="n"/>
      <c r="CX602" s="40" t="n"/>
      <c r="CY602" s="40" t="n"/>
      <c r="CZ602" s="40" t="inlineStr">
        <is>
          <t>Customer success methods; communication &amp; de-escalation; product/domain depth; ticketing &amp; SLA tools</t>
        </is>
      </c>
      <c r="DA602" s="40" t="inlineStr">
        <is>
          <t>Transition to leadership: people management &amp; delegation, mentoring/coaching, project ownership &amp; stakeholder management, prioritisation under ambiguity, presentation &amp; influence skills</t>
        </is>
      </c>
      <c r="DB602" s="40" t="n"/>
      <c r="DC602" s="40" t="n"/>
      <c r="DD602" s="40" t="n"/>
      <c r="DE602" s="40" t="n"/>
      <c r="DF602" s="40" t="n"/>
      <c r="DG602" s="40" t="n"/>
      <c r="DH602" s="40" t="n"/>
      <c r="DI602" s="40" t="n"/>
      <c r="DJ602" s="40" t="n"/>
      <c r="DK602" s="40" t="n"/>
      <c r="DL602" s="40" t="n"/>
      <c r="DM602" s="40" t="n"/>
      <c r="DN602" s="40" t="n"/>
      <c r="DO602" s="40" t="n"/>
      <c r="DP602" s="40" t="n"/>
      <c r="DQ602" s="40" t="n"/>
      <c r="DR602" s="40" t="n"/>
      <c r="DS602" s="40" t="n"/>
      <c r="DT602" s="40" t="n"/>
      <c r="DU602" s="40" t="n"/>
      <c r="DV602" s="40" t="n"/>
      <c r="DW602" s="40" t="n"/>
      <c r="DX602" s="40" t="n"/>
      <c r="DY602" s="40" t="n"/>
      <c r="DZ602" s="40" t="n"/>
      <c r="EA602" s="40" t="n"/>
      <c r="EB602" s="40" t="n"/>
      <c r="EC602" s="40" t="n"/>
      <c r="ED602" s="40" t="n"/>
      <c r="EE602" s="40" t="n"/>
      <c r="EF602" s="40" t="n"/>
      <c r="EG602" s="40" t="n"/>
      <c r="EH602" s="40" t="n"/>
      <c r="EI602" s="40" t="n"/>
      <c r="EJ602" s="40" t="n"/>
      <c r="EK602" s="40" t="n"/>
      <c r="EL602" s="40" t="n"/>
      <c r="EM602" s="40" t="n"/>
      <c r="EN602" s="40" t="n"/>
      <c r="EO602" s="40" t="n"/>
      <c r="EP602" s="40" t="n"/>
      <c r="EQ602" s="40" t="n"/>
      <c r="ER602" s="40" t="n"/>
      <c r="ES602" s="40" t="n"/>
      <c r="ET602" s="40" t="n"/>
      <c r="EU602" s="40" t="n"/>
      <c r="EV602" s="40" t="n"/>
      <c r="EW602" s="40" t="n"/>
      <c r="EX602" s="40" t="n"/>
      <c r="EY602" s="40" t="n"/>
      <c r="EZ602" s="40" t="n"/>
      <c r="FA602" s="40" t="n"/>
      <c r="FB602" s="40" t="n"/>
      <c r="FC602" s="40" t="n"/>
      <c r="FD602" s="40" t="n"/>
    </row>
    <row r="603" ht="60" customHeight="1">
      <c r="A603" s="58" t="n"/>
      <c r="B603" s="59" t="inlineStr">
        <is>
          <t>NOT YET MAPPED</t>
        </is>
      </c>
      <c r="C603" s="40" t="inlineStr">
        <is>
          <t>CARBON</t>
        </is>
      </c>
      <c r="D603" s="40" t="inlineStr">
        <is>
          <t>IRIS2520</t>
        </is>
      </c>
      <c r="E603" s="40" t="inlineStr">
        <is>
          <t>Brahmajith M S</t>
        </is>
      </c>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c r="AD603" s="40" t="n"/>
      <c r="AE603" s="40" t="n"/>
      <c r="AF603" s="40" t="n"/>
      <c r="AG603" s="40" t="n"/>
      <c r="AH603" s="40" t="n"/>
      <c r="AI603" s="40" t="n"/>
      <c r="AJ603" s="40" t="n"/>
      <c r="AK603" s="40" t="n"/>
      <c r="AL603" s="40" t="n"/>
      <c r="AM603" s="40" t="n"/>
      <c r="AN603" s="40" t="n"/>
      <c r="AO603" s="40" t="n"/>
      <c r="AP603" s="40" t="n"/>
      <c r="AQ603" s="40" t="n"/>
      <c r="AR603" s="40" t="n"/>
      <c r="AS603" s="40" t="n"/>
      <c r="AT603" s="40" t="n"/>
      <c r="AU603" s="40" t="n"/>
      <c r="AV603" s="40" t="n"/>
      <c r="AW603" s="40" t="n"/>
      <c r="AX603" s="40" t="n"/>
      <c r="AY603" s="40" t="n"/>
      <c r="AZ603" s="40" t="n"/>
      <c r="BA603" s="40" t="n"/>
      <c r="BB603" s="40" t="n"/>
      <c r="BC603" s="40" t="n"/>
      <c r="BD603" s="40" t="n"/>
      <c r="BE603" s="40" t="n"/>
      <c r="BF603" s="40" t="n"/>
      <c r="BG603" s="40" t="n"/>
      <c r="BH603" s="40" t="n"/>
      <c r="BI603" s="40" t="n"/>
      <c r="BJ603" s="40" t="n"/>
      <c r="BK603" s="40" t="n"/>
      <c r="BL603" s="40" t="n"/>
      <c r="BM603" s="40" t="n"/>
      <c r="BN603" s="40" t="n"/>
      <c r="BO603" s="40" t="n"/>
      <c r="BP603" s="40" t="n"/>
      <c r="BQ603" s="40" t="n"/>
      <c r="BR603" s="40" t="n"/>
      <c r="BS603" s="40" t="n"/>
      <c r="BT603" s="40" t="n"/>
      <c r="BU603" s="40" t="n"/>
      <c r="BV603" s="40" t="n"/>
      <c r="BW603" s="40" t="n"/>
      <c r="BX603" s="40" t="n"/>
      <c r="BY603" s="40" t="n"/>
      <c r="BZ603" s="40" t="inlineStr">
        <is>
          <t>IRIS2520</t>
        </is>
      </c>
      <c r="CA603" s="40" t="inlineStr">
        <is>
          <t>Employee</t>
        </is>
      </c>
      <c r="CB603" s="40" t="inlineStr">
        <is>
          <t>Active</t>
        </is>
      </c>
      <c r="CC603" s="40" t="inlineStr">
        <is>
          <t>Brahmajith M S</t>
        </is>
      </c>
      <c r="CD603" s="40" t="inlineStr">
        <is>
          <t>16 Apr 2026</t>
        </is>
      </c>
      <c r="CE603" s="40" t="inlineStr">
        <is>
          <t>ESG Sales and Partner Manager</t>
        </is>
      </c>
      <c r="CF603" s="40" t="inlineStr">
        <is>
          <t>Exited</t>
        </is>
      </c>
      <c r="CG603" s="40" t="inlineStr">
        <is>
          <t>Sales &amp; Business Development</t>
        </is>
      </c>
      <c r="CH603" s="40" t="inlineStr">
        <is>
          <t>ESG Advisory</t>
        </is>
      </c>
      <c r="CI603" s="40" t="inlineStr">
        <is>
          <t>ESG Sales and Partner Manager</t>
        </is>
      </c>
      <c r="CJ603" s="40" t="inlineStr">
        <is>
          <t>L5 – Manager</t>
        </is>
      </c>
      <c r="CK603" s="40" t="inlineStr">
        <is>
          <t>Farzad Wadia</t>
        </is>
      </c>
      <c r="CL603" s="40" t="inlineStr">
        <is>
          <t>N-4</t>
        </is>
      </c>
      <c r="CM603" s="40" t="inlineStr">
        <is>
          <t>Individual Contributor</t>
        </is>
      </c>
      <c r="CN603" s="40" t="inlineStr">
        <is>
          <t>Regtech</t>
        </is>
      </c>
      <c r="CO603" s="40" t="inlineStr">
        <is>
          <t>Sales</t>
        </is>
      </c>
      <c r="CP603" s="40" t="inlineStr">
        <is>
          <t>5 years, 9 months, 4 days</t>
        </is>
      </c>
      <c r="CQ603" s="40" t="inlineStr">
        <is>
          <t>ESG Sales and Partner Manager</t>
        </is>
      </c>
      <c r="CR603" s="40" t="inlineStr">
        <is>
          <t>No</t>
        </is>
      </c>
      <c r="CS603" s="40" t="inlineStr">
        <is>
          <t>2</t>
        </is>
      </c>
      <c r="CT603" s="40" t="inlineStr">
        <is>
          <t>Low</t>
        </is>
      </c>
      <c r="CU603" s="40" t="inlineStr">
        <is>
          <t>Underperformer / Exit Risk</t>
        </is>
      </c>
      <c r="CV603" s="40" t="inlineStr">
        <is>
          <t>No</t>
        </is>
      </c>
      <c r="CW603" s="40" t="inlineStr">
        <is>
          <t>No</t>
        </is>
      </c>
      <c r="CX603" s="40" t="inlineStr">
        <is>
          <t>Yes</t>
        </is>
      </c>
      <c r="CY603" s="40" t="n"/>
      <c r="CZ603" s="40" t="inlineStr">
        <is>
          <t>-None at this time</t>
        </is>
      </c>
      <c r="DA603" s="40" t="n"/>
      <c r="DB603" s="40" t="inlineStr">
        <is>
          <t>Left</t>
        </is>
      </c>
      <c r="DC603" s="40" t="n"/>
      <c r="DD603" s="40" t="n"/>
      <c r="DE603" s="40" t="n"/>
      <c r="DF603" s="40" t="n"/>
      <c r="DG603" s="40" t="n"/>
      <c r="DH603" s="40" t="n"/>
      <c r="DI603" s="40" t="n"/>
      <c r="DJ603" s="40" t="n"/>
      <c r="DK603" s="40" t="n"/>
      <c r="DL603" s="40" t="n"/>
      <c r="DM603" s="40" t="n"/>
      <c r="DN603" s="40" t="n"/>
      <c r="DO603" s="40" t="n"/>
      <c r="DP603" s="40" t="n"/>
      <c r="DQ603" s="40" t="n"/>
      <c r="DR603" s="40" t="n"/>
      <c r="DS603" s="40" t="n"/>
      <c r="DT603" s="40" t="n"/>
      <c r="DU603" s="40" t="n"/>
      <c r="DV603" s="40" t="n"/>
      <c r="DW603" s="40" t="n"/>
      <c r="DX603" s="40" t="n"/>
      <c r="DY603" s="40" t="n"/>
      <c r="DZ603" s="40" t="n"/>
      <c r="EA603" s="40" t="n"/>
      <c r="EB603" s="40" t="n"/>
      <c r="EC603" s="40" t="n"/>
      <c r="ED603" s="40" t="n"/>
      <c r="EE603" s="40" t="n"/>
      <c r="EF603" s="40" t="n"/>
      <c r="EG603" s="40" t="n"/>
      <c r="EH603" s="40" t="n"/>
      <c r="EI603" s="40" t="n"/>
      <c r="EJ603" s="40" t="n"/>
      <c r="EK603" s="40" t="n"/>
      <c r="EL603" s="40" t="n"/>
      <c r="EM603" s="40" t="n"/>
      <c r="EN603" s="40" t="n"/>
      <c r="EO603" s="40" t="n"/>
      <c r="EP603" s="40" t="n"/>
      <c r="EQ603" s="40" t="n"/>
      <c r="ER603" s="40" t="n"/>
      <c r="ES603" s="40" t="n"/>
      <c r="ET603" s="40" t="n"/>
      <c r="EU603" s="40" t="n"/>
      <c r="EV603" s="40" t="n"/>
      <c r="EW603" s="40" t="n"/>
      <c r="EX603" s="40" t="n"/>
      <c r="EY603" s="40" t="n"/>
      <c r="EZ603" s="40" t="n"/>
      <c r="FA603" s="40" t="n"/>
      <c r="FB603" s="40" t="n"/>
      <c r="FC603" s="40" t="n"/>
      <c r="FD603" s="40" t="n"/>
    </row>
    <row r="604" ht="60" customHeight="1">
      <c r="A604" s="58" t="n"/>
      <c r="B604" s="59" t="inlineStr">
        <is>
          <t>NOT YET MAPPED</t>
        </is>
      </c>
      <c r="C604" s="40" t="inlineStr">
        <is>
          <t>CARBON</t>
        </is>
      </c>
      <c r="D604" s="40" t="inlineStr">
        <is>
          <t>IRIS2432</t>
        </is>
      </c>
      <c r="E604" s="40" t="inlineStr">
        <is>
          <t>Aditya Kumar</t>
        </is>
      </c>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c r="AE604" s="40" t="n"/>
      <c r="AF604" s="40" t="n"/>
      <c r="AG604" s="40" t="n"/>
      <c r="AH604" s="40" t="n"/>
      <c r="AI604" s="40" t="n"/>
      <c r="AJ604" s="40" t="n"/>
      <c r="AK604" s="40" t="n"/>
      <c r="AL604" s="40" t="n"/>
      <c r="AM604" s="40" t="n"/>
      <c r="AN604" s="40" t="n"/>
      <c r="AO604" s="40" t="n"/>
      <c r="AP604" s="40" t="n"/>
      <c r="AQ604" s="40" t="n"/>
      <c r="AR604" s="40" t="n"/>
      <c r="AS604" s="40" t="n"/>
      <c r="AT604" s="40" t="n"/>
      <c r="AU604" s="40" t="n"/>
      <c r="AV604" s="40" t="n"/>
      <c r="AW604" s="40" t="n"/>
      <c r="AX604" s="40" t="n"/>
      <c r="AY604" s="40" t="n"/>
      <c r="AZ604" s="40" t="n"/>
      <c r="BA604" s="40" t="n"/>
      <c r="BB604" s="40" t="n"/>
      <c r="BC604" s="40" t="n"/>
      <c r="BD604" s="40" t="n"/>
      <c r="BE604" s="40" t="n"/>
      <c r="BF604" s="40" t="n"/>
      <c r="BG604" s="40" t="n"/>
      <c r="BH604" s="40" t="n"/>
      <c r="BI604" s="40" t="n"/>
      <c r="BJ604" s="40" t="n"/>
      <c r="BK604" s="40" t="n"/>
      <c r="BL604" s="40" t="n"/>
      <c r="BM604" s="40" t="n"/>
      <c r="BN604" s="40" t="n"/>
      <c r="BO604" s="40" t="n"/>
      <c r="BP604" s="40" t="n"/>
      <c r="BQ604" s="40" t="n"/>
      <c r="BR604" s="40" t="n"/>
      <c r="BS604" s="40" t="n"/>
      <c r="BT604" s="40" t="n"/>
      <c r="BU604" s="40" t="n"/>
      <c r="BV604" s="40" t="n"/>
      <c r="BW604" s="40" t="n"/>
      <c r="BX604" s="40" t="n"/>
      <c r="BY604" s="40" t="n"/>
      <c r="BZ604" s="40" t="inlineStr">
        <is>
          <t>IRIS2432</t>
        </is>
      </c>
      <c r="CA604" s="40" t="inlineStr">
        <is>
          <t>Employee</t>
        </is>
      </c>
      <c r="CB604" s="40" t="inlineStr">
        <is>
          <t>Active</t>
        </is>
      </c>
      <c r="CC604" s="40" t="inlineStr">
        <is>
          <t>Aditya Kumar</t>
        </is>
      </c>
      <c r="CD604" s="40" t="inlineStr">
        <is>
          <t>22 Sep 2025</t>
        </is>
      </c>
      <c r="CE604" s="40" t="inlineStr">
        <is>
          <t>Team Lead SDR</t>
        </is>
      </c>
      <c r="CF604" s="40" t="inlineStr">
        <is>
          <t>"Reports to Saahit : Cold calling, Scheduling Demo, Tools used - Linkedin Sales navigator · To fetch number of customers shared by Database Team:</t>
        </is>
      </c>
      <c r="CG604" s="40" t="inlineStr">
        <is>
          <t>Sales &amp; Business Development</t>
        </is>
      </c>
      <c r="CH604" s="40" t="inlineStr">
        <is>
          <t>Sales Development · SDR</t>
        </is>
      </c>
      <c r="CI604" s="40" t="inlineStr">
        <is>
          <t>Team Lead SDR</t>
        </is>
      </c>
      <c r="CJ604" s="40" t="inlineStr">
        <is>
          <t>L5 – Lead · IC</t>
        </is>
      </c>
      <c r="CK604" s="40" t="inlineStr">
        <is>
          <t>Saahit Togaru</t>
        </is>
      </c>
      <c r="CL604" s="40" t="inlineStr">
        <is>
          <t>N-4</t>
        </is>
      </c>
      <c r="CM604" s="40" t="inlineStr">
        <is>
          <t>Individual Contributor</t>
        </is>
      </c>
      <c r="CN604" s="40" t="inlineStr">
        <is>
          <t>Regtech</t>
        </is>
      </c>
      <c r="CO604" s="40" t="inlineStr">
        <is>
          <t>Marketing</t>
        </is>
      </c>
      <c r="CP604" s="40" t="inlineStr">
        <is>
          <t>10 years, 8 months, 29 days</t>
        </is>
      </c>
      <c r="CQ604" s="40" t="inlineStr">
        <is>
          <t>Sr.Sales Development Rep.</t>
        </is>
      </c>
      <c r="CR604" s="40" t="n"/>
      <c r="CS604" s="40" t="n"/>
      <c r="CT604" s="40" t="n"/>
      <c r="CU604" s="40" t="n"/>
      <c r="CV604" s="40" t="n"/>
      <c r="CW604" s="40" t="inlineStr">
        <is>
          <t>No</t>
        </is>
      </c>
      <c r="CX604" s="40" t="inlineStr">
        <is>
          <t>No</t>
        </is>
      </c>
      <c r="CY604" s="40" t="n"/>
      <c r="CZ604" s="40" t="n"/>
      <c r="DA604" s="40" t="n"/>
      <c r="DB604" s="40" t="inlineStr">
        <is>
          <t>To be mapped to SDR Mgr US - TBH</t>
        </is>
      </c>
      <c r="DC604" s="40" t="n"/>
      <c r="DD604" s="40" t="n"/>
      <c r="DE604" s="40" t="n"/>
      <c r="DF604" s="40" t="n"/>
      <c r="DG604" s="40" t="n"/>
      <c r="DH604" s="40" t="n"/>
      <c r="DI604" s="40" t="n"/>
      <c r="DJ604" s="40" t="n"/>
      <c r="DK604" s="40" t="n"/>
      <c r="DL604" s="40" t="n"/>
      <c r="DM604" s="40" t="n"/>
      <c r="DN604" s="40" t="n"/>
      <c r="DO604" s="40" t="n"/>
      <c r="DP604" s="40" t="n"/>
      <c r="DQ604" s="40" t="n"/>
      <c r="DR604" s="40" t="n"/>
      <c r="DS604" s="40" t="n"/>
      <c r="DT604" s="40" t="n"/>
      <c r="DU604" s="40" t="n"/>
      <c r="DV604" s="40" t="n"/>
      <c r="DW604" s="40" t="n"/>
      <c r="DX604" s="40" t="n"/>
      <c r="DY604" s="40" t="n"/>
      <c r="DZ604" s="40" t="n"/>
      <c r="EA604" s="40" t="n"/>
      <c r="EB604" s="40" t="n"/>
      <c r="EC604" s="40" t="n"/>
      <c r="ED604" s="40" t="n"/>
      <c r="EE604" s="40" t="n"/>
      <c r="EF604" s="40" t="n"/>
      <c r="EG604" s="40" t="n"/>
      <c r="EH604" s="40" t="n"/>
      <c r="EI604" s="40" t="n"/>
      <c r="EJ604" s="40" t="n"/>
      <c r="EK604" s="40" t="n"/>
      <c r="EL604" s="40" t="n"/>
      <c r="EM604" s="40" t="n"/>
      <c r="EN604" s="40" t="n"/>
      <c r="EO604" s="40" t="n"/>
      <c r="EP604" s="40" t="n"/>
      <c r="EQ604" s="40" t="n"/>
      <c r="ER604" s="40" t="n"/>
      <c r="ES604" s="40" t="n"/>
      <c r="ET604" s="40" t="n"/>
      <c r="EU604" s="40" t="n"/>
      <c r="EV604" s="40" t="n"/>
      <c r="EW604" s="40" t="n"/>
      <c r="EX604" s="40" t="n"/>
      <c r="EY604" s="40" t="n"/>
      <c r="EZ604" s="40" t="n"/>
      <c r="FA604" s="40" t="n"/>
      <c r="FB604" s="40" t="n"/>
      <c r="FC604" s="40" t="n"/>
      <c r="FD604" s="40" t="n"/>
    </row>
    <row r="605" ht="60" customHeight="1">
      <c r="A605" s="58" t="n"/>
      <c r="B605" s="59" t="inlineStr">
        <is>
          <t>NOT YET MAPPED</t>
        </is>
      </c>
      <c r="C605" s="40" t="inlineStr">
        <is>
          <t>CARBON</t>
        </is>
      </c>
      <c r="D605" s="40" t="inlineStr">
        <is>
          <t>—</t>
        </is>
      </c>
      <c r="E605" s="40" t="inlineStr">
        <is>
          <t>Aakanksha Gupta</t>
        </is>
      </c>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c r="AD605" s="40" t="n"/>
      <c r="AE605" s="40" t="n"/>
      <c r="AF605" s="40" t="n"/>
      <c r="AG605" s="40" t="n"/>
      <c r="AH605" s="40" t="n"/>
      <c r="AI605" s="40" t="n"/>
      <c r="AJ605" s="40" t="n"/>
      <c r="AK605" s="40" t="n"/>
      <c r="AL605" s="40" t="n"/>
      <c r="AM605" s="40" t="n"/>
      <c r="AN605" s="40" t="n"/>
      <c r="AO605" s="40" t="n"/>
      <c r="AP605" s="40" t="n"/>
      <c r="AQ605" s="40" t="n"/>
      <c r="AR605" s="40" t="n"/>
      <c r="AS605" s="40" t="n"/>
      <c r="AT605" s="40" t="n"/>
      <c r="AU605" s="40" t="n"/>
      <c r="AV605" s="40" t="n"/>
      <c r="AW605" s="40" t="n"/>
      <c r="AX605" s="40" t="n"/>
      <c r="AY605" s="40" t="n"/>
      <c r="AZ605" s="40" t="n"/>
      <c r="BA605" s="40" t="n"/>
      <c r="BB605" s="40" t="n"/>
      <c r="BC605" s="40" t="n"/>
      <c r="BD605" s="40" t="n"/>
      <c r="BE605" s="40" t="n"/>
      <c r="BF605" s="40" t="n"/>
      <c r="BG605" s="40" t="n"/>
      <c r="BH605" s="40" t="n"/>
      <c r="BI605" s="40" t="n"/>
      <c r="BJ605" s="40" t="n"/>
      <c r="BK605" s="40" t="n"/>
      <c r="BL605" s="40" t="n"/>
      <c r="BM605" s="40" t="n"/>
      <c r="BN605" s="40" t="n"/>
      <c r="BO605" s="40" t="n"/>
      <c r="BP605" s="40" t="n"/>
      <c r="BQ605" s="40" t="n"/>
      <c r="BR605" s="40" t="n"/>
      <c r="BS605" s="40" t="n"/>
      <c r="BT605" s="40" t="n"/>
      <c r="BU605" s="40" t="n"/>
      <c r="BV605" s="40" t="n"/>
      <c r="BW605" s="40" t="n"/>
      <c r="BX605" s="40" t="n"/>
      <c r="BY605" s="40" t="n"/>
      <c r="BZ605" s="40" t="n"/>
      <c r="CA605" s="40" t="n"/>
      <c r="CB605" s="40" t="n"/>
      <c r="CC605" s="40" t="inlineStr">
        <is>
          <t>Aakanksha Gupta</t>
        </is>
      </c>
      <c r="CD605" s="40" t="n"/>
      <c r="CE605" s="40" t="inlineStr">
        <is>
          <t>Marketing Associate</t>
        </is>
      </c>
      <c r="CF605" s="40" t="inlineStr">
        <is>
          <t>Reports to Shobhan: Responsible for content creation</t>
        </is>
      </c>
      <c r="CG605" s="40" t="n"/>
      <c r="CH605" s="40" t="n"/>
      <c r="CI605" s="40" t="n"/>
      <c r="CJ605" s="40" t="n"/>
      <c r="CK605" s="40" t="n"/>
      <c r="CL605" s="40" t="n"/>
      <c r="CM605" s="40" t="n"/>
      <c r="CN605" s="40" t="n"/>
      <c r="CO605" s="40" t="n"/>
      <c r="CP605" s="40" t="n"/>
      <c r="CQ605" s="40" t="n"/>
      <c r="CR605" s="40" t="n"/>
      <c r="CS605" s="40" t="n"/>
      <c r="CT605" s="40" t="n"/>
      <c r="CU605" s="40" t="n"/>
      <c r="CV605" s="40" t="n"/>
      <c r="CW605" s="40" t="n"/>
      <c r="CX605" s="40" t="n"/>
      <c r="CY605" s="40" t="n"/>
      <c r="CZ605" s="40" t="n"/>
      <c r="DA605" s="40" t="n"/>
      <c r="DB605" s="40" t="n"/>
      <c r="DC605" s="40" t="n"/>
      <c r="DD605" s="40" t="n"/>
      <c r="DE605" s="40" t="n"/>
      <c r="DF605" s="40" t="n"/>
      <c r="DG605" s="40" t="n"/>
      <c r="DH605" s="40" t="n"/>
      <c r="DI605" s="40" t="n"/>
      <c r="DJ605" s="40" t="n"/>
      <c r="DK605" s="40" t="n"/>
      <c r="DL605" s="40" t="n"/>
      <c r="DM605" s="40" t="n"/>
      <c r="DN605" s="40" t="n"/>
      <c r="DO605" s="40" t="n"/>
      <c r="DP605" s="40" t="n"/>
      <c r="DQ605" s="40" t="n"/>
      <c r="DR605" s="40" t="n"/>
      <c r="DS605" s="40" t="n"/>
      <c r="DT605" s="40" t="n"/>
      <c r="DU605" s="40" t="n"/>
      <c r="DV605" s="40" t="n"/>
      <c r="DW605" s="40" t="n"/>
      <c r="DX605" s="40" t="n"/>
      <c r="DY605" s="40" t="n"/>
      <c r="DZ605" s="40" t="n"/>
      <c r="EA605" s="40" t="n"/>
      <c r="EB605" s="40" t="n"/>
      <c r="EC605" s="40" t="n"/>
      <c r="ED605" s="40" t="n"/>
      <c r="EE605" s="40" t="n"/>
      <c r="EF605" s="40" t="n"/>
      <c r="EG605" s="40" t="n"/>
      <c r="EH605" s="40" t="n"/>
      <c r="EI605" s="40" t="n"/>
      <c r="EJ605" s="40" t="n"/>
      <c r="EK605" s="40" t="n"/>
      <c r="EL605" s="40" t="n"/>
      <c r="EM605" s="40" t="n"/>
      <c r="EN605" s="40" t="n"/>
      <c r="EO605" s="40" t="n"/>
      <c r="EP605" s="40" t="n"/>
      <c r="EQ605" s="40" t="n"/>
      <c r="ER605" s="40" t="n"/>
      <c r="ES605" s="40" t="n"/>
      <c r="ET605" s="40" t="n"/>
      <c r="EU605" s="40" t="n"/>
      <c r="EV605" s="40" t="n"/>
      <c r="EW605" s="40" t="n"/>
      <c r="EX605" s="40" t="n"/>
      <c r="EY605" s="40" t="n"/>
      <c r="EZ605" s="40" t="n"/>
      <c r="FA605" s="40" t="n"/>
      <c r="FB605" s="40" t="n"/>
      <c r="FC605" s="40" t="n"/>
      <c r="FD605" s="40" t="n"/>
    </row>
    <row r="606" ht="60" customHeight="1">
      <c r="A606" s="58" t="n"/>
      <c r="B606" s="59" t="inlineStr">
        <is>
          <t>NOT YET MAPPED</t>
        </is>
      </c>
      <c r="C606" s="40" t="inlineStr">
        <is>
          <t>CARBON</t>
        </is>
      </c>
      <c r="D606" s="40" t="inlineStr">
        <is>
          <t>IRIS2373</t>
        </is>
      </c>
      <c r="E606" s="40" t="inlineStr">
        <is>
          <t>Rajlaxmi Bakshy</t>
        </is>
      </c>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c r="AE606" s="40" t="n"/>
      <c r="AF606" s="40" t="n"/>
      <c r="AG606" s="40" t="n"/>
      <c r="AH606" s="40" t="n"/>
      <c r="AI606" s="40" t="n"/>
      <c r="AJ606" s="40" t="n"/>
      <c r="AK606" s="40" t="n"/>
      <c r="AL606" s="40" t="n"/>
      <c r="AM606" s="40" t="n"/>
      <c r="AN606" s="40" t="n"/>
      <c r="AO606" s="40" t="n"/>
      <c r="AP606" s="40" t="n"/>
      <c r="AQ606" s="40" t="n"/>
      <c r="AR606" s="40" t="n"/>
      <c r="AS606" s="40" t="n"/>
      <c r="AT606" s="40" t="n"/>
      <c r="AU606" s="40" t="n"/>
      <c r="AV606" s="40" t="n"/>
      <c r="AW606" s="40" t="n"/>
      <c r="AX606" s="40" t="n"/>
      <c r="AY606" s="40" t="n"/>
      <c r="AZ606" s="40" t="n"/>
      <c r="BA606" s="40" t="n"/>
      <c r="BB606" s="40" t="n"/>
      <c r="BC606" s="40" t="n"/>
      <c r="BD606" s="40" t="n"/>
      <c r="BE606" s="40" t="n"/>
      <c r="BF606" s="40" t="n"/>
      <c r="BG606" s="40" t="n"/>
      <c r="BH606" s="40" t="n"/>
      <c r="BI606" s="40" t="n"/>
      <c r="BJ606" s="40" t="n"/>
      <c r="BK606" s="40" t="n"/>
      <c r="BL606" s="40" t="n"/>
      <c r="BM606" s="40" t="n"/>
      <c r="BN606" s="40" t="n"/>
      <c r="BO606" s="40" t="n"/>
      <c r="BP606" s="40" t="n"/>
      <c r="BQ606" s="40" t="n"/>
      <c r="BR606" s="40" t="n"/>
      <c r="BS606" s="40" t="n"/>
      <c r="BT606" s="40" t="n"/>
      <c r="BU606" s="40" t="n"/>
      <c r="BV606" s="40" t="n"/>
      <c r="BW606" s="40" t="n"/>
      <c r="BX606" s="40" t="n"/>
      <c r="BY606" s="40" t="n"/>
      <c r="BZ606" s="40" t="inlineStr">
        <is>
          <t>IRIS2373</t>
        </is>
      </c>
      <c r="CA606" s="40" t="inlineStr">
        <is>
          <t>Employee</t>
        </is>
      </c>
      <c r="CB606" s="40" t="inlineStr">
        <is>
          <t>Active</t>
        </is>
      </c>
      <c r="CC606" s="40" t="inlineStr">
        <is>
          <t>Rajlaxmi Bakshy</t>
        </is>
      </c>
      <c r="CD606" s="40" t="inlineStr">
        <is>
          <t>26 Sep 1999</t>
        </is>
      </c>
      <c r="CE606" s="40" t="inlineStr">
        <is>
          <t>Partner Program Specialist</t>
        </is>
      </c>
      <c r="CF606" s="40" t="inlineStr">
        <is>
          <t>Exited</t>
        </is>
      </c>
      <c r="CG606" s="40" t="inlineStr">
        <is>
          <t>Sales &amp; Business Development</t>
        </is>
      </c>
      <c r="CH606" s="40" t="inlineStr">
        <is>
          <t>Partnerships / Alliances</t>
        </is>
      </c>
      <c r="CI606" s="40" t="inlineStr">
        <is>
          <t>Partner Program Specialist</t>
        </is>
      </c>
      <c r="CJ606" s="40" t="inlineStr">
        <is>
          <t>L3 – Professional / Associate</t>
        </is>
      </c>
      <c r="CK606" s="40" t="inlineStr">
        <is>
          <t>Argha Biswas</t>
        </is>
      </c>
      <c r="CL606" s="40" t="inlineStr">
        <is>
          <t>N-4</t>
        </is>
      </c>
      <c r="CM606" s="40" t="n"/>
      <c r="CN606" s="40" t="inlineStr">
        <is>
          <t>Individual Contributor</t>
        </is>
      </c>
      <c r="CO606" s="40" t="inlineStr">
        <is>
          <t>Sales</t>
        </is>
      </c>
      <c r="CP606" s="40" t="inlineStr">
        <is>
          <t>2 years, 7 months, 0 days</t>
        </is>
      </c>
      <c r="CQ606" s="40" t="n"/>
      <c r="CR606" s="40" t="inlineStr">
        <is>
          <t>1 years, 1 months, 15 days</t>
        </is>
      </c>
      <c r="CS606" s="40" t="inlineStr">
        <is>
          <t>3 years, 8 months, 15 days</t>
        </is>
      </c>
      <c r="CT606" s="40" t="n"/>
      <c r="CU606" s="40" t="n"/>
      <c r="CV606" s="40" t="n"/>
      <c r="CW606" s="40" t="inlineStr">
        <is>
          <t>Regtech</t>
        </is>
      </c>
      <c r="CX606" s="40" t="inlineStr">
        <is>
          <t>CARBON</t>
        </is>
      </c>
      <c r="CY606" s="40" t="inlineStr">
        <is>
          <t>Sales</t>
        </is>
      </c>
      <c r="CZ606" s="40" t="inlineStr">
        <is>
          <t>Sales</t>
        </is>
      </c>
      <c r="DA606" s="40" t="inlineStr">
        <is>
          <t>No</t>
        </is>
      </c>
      <c r="DB606" s="40" t="inlineStr">
        <is>
          <t>Sales, Marketing &amp; Support</t>
        </is>
      </c>
      <c r="DC606" s="40" t="n"/>
      <c r="DD606" s="40" t="n"/>
      <c r="DE606" s="40" t="n"/>
      <c r="DF606" s="40" t="n"/>
      <c r="DG606" s="40" t="n"/>
      <c r="DH606" s="40" t="n"/>
      <c r="DI606" s="40" t="n"/>
      <c r="DJ606" s="40" t="n"/>
      <c r="DK606" s="40" t="n"/>
      <c r="DL606" s="40" t="n"/>
      <c r="DM606" s="40" t="n"/>
      <c r="DN606" s="40" t="n"/>
      <c r="DO606" s="40" t="n"/>
      <c r="DP606" s="40" t="n"/>
      <c r="DQ606" s="40" t="n"/>
      <c r="DR606" s="40" t="n"/>
      <c r="DS606" s="40" t="n"/>
      <c r="DT606" s="40" t="n"/>
      <c r="DU606" s="40" t="n"/>
      <c r="DV606" s="40" t="n"/>
      <c r="DW606" s="40" t="n"/>
      <c r="DX606" s="40" t="n"/>
      <c r="DY606" s="40" t="n"/>
      <c r="DZ606" s="40" t="n"/>
      <c r="EA606" s="40" t="n"/>
      <c r="EB606" s="40" t="n"/>
      <c r="EC606" s="40" t="n"/>
      <c r="ED606" s="40" t="n"/>
      <c r="EE606" s="40" t="n"/>
      <c r="EF606" s="40" t="n"/>
      <c r="EG606" s="40" t="n"/>
      <c r="EH606" s="40" t="n"/>
      <c r="EI606" s="40" t="n"/>
      <c r="EJ606" s="40" t="n"/>
      <c r="EK606" s="40" t="n"/>
      <c r="EL606" s="40" t="n"/>
      <c r="EM606" s="40" t="n"/>
      <c r="EN606" s="40" t="n"/>
      <c r="EO606" s="40" t="n"/>
      <c r="EP606" s="40" t="n"/>
      <c r="EQ606" s="40" t="n"/>
      <c r="ER606" s="40" t="n"/>
      <c r="ES606" s="40" t="n"/>
      <c r="ET606" s="40" t="n"/>
      <c r="EU606" s="40" t="n"/>
      <c r="EV606" s="40" t="n"/>
      <c r="EW606" s="40" t="n"/>
      <c r="EX606" s="40" t="n"/>
      <c r="EY606" s="40" t="n"/>
      <c r="EZ606" s="40" t="n"/>
      <c r="FA606" s="40" t="n"/>
      <c r="FB606" s="40" t="n"/>
      <c r="FC606" s="40" t="n"/>
      <c r="FD606" s="40" t="n"/>
    </row>
    <row r="607" ht="60" customHeight="1">
      <c r="A607" s="58" t="n"/>
      <c r="B607" s="59" t="inlineStr">
        <is>
          <t>NOT YET MAPPED</t>
        </is>
      </c>
      <c r="C607" s="40" t="inlineStr">
        <is>
          <t>CARBON</t>
        </is>
      </c>
      <c r="D607" s="40" t="inlineStr">
        <is>
          <t>IRIS2250</t>
        </is>
      </c>
      <c r="E607" s="40" t="inlineStr">
        <is>
          <t>Argha Biswas</t>
        </is>
      </c>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c r="AD607" s="40" t="n"/>
      <c r="AE607" s="40" t="n"/>
      <c r="AF607" s="40" t="n"/>
      <c r="AG607" s="40" t="n"/>
      <c r="AH607" s="40" t="n"/>
      <c r="AI607" s="40" t="n"/>
      <c r="AJ607" s="40" t="n"/>
      <c r="AK607" s="40" t="n"/>
      <c r="AL607" s="40" t="n"/>
      <c r="AM607" s="40" t="n"/>
      <c r="AN607" s="40" t="n"/>
      <c r="AO607" s="40" t="n"/>
      <c r="AP607" s="40" t="n"/>
      <c r="AQ607" s="40" t="n"/>
      <c r="AR607" s="40" t="n"/>
      <c r="AS607" s="40" t="n"/>
      <c r="AT607" s="40" t="n"/>
      <c r="AU607" s="40" t="n"/>
      <c r="AV607" s="40" t="n"/>
      <c r="AW607" s="40" t="n"/>
      <c r="AX607" s="40" t="n"/>
      <c r="AY607" s="40" t="n"/>
      <c r="AZ607" s="40" t="n"/>
      <c r="BA607" s="40" t="n"/>
      <c r="BB607" s="40" t="n"/>
      <c r="BC607" s="40" t="n"/>
      <c r="BD607" s="40" t="n"/>
      <c r="BE607" s="40" t="n"/>
      <c r="BF607" s="40" t="n"/>
      <c r="BG607" s="40" t="n"/>
      <c r="BH607" s="40" t="n"/>
      <c r="BI607" s="40" t="n"/>
      <c r="BJ607" s="40" t="n"/>
      <c r="BK607" s="40" t="n"/>
      <c r="BL607" s="40" t="n"/>
      <c r="BM607" s="40" t="n"/>
      <c r="BN607" s="40" t="n"/>
      <c r="BO607" s="40" t="n"/>
      <c r="BP607" s="40" t="n"/>
      <c r="BQ607" s="40" t="n"/>
      <c r="BR607" s="40" t="n"/>
      <c r="BS607" s="40" t="n"/>
      <c r="BT607" s="40" t="n"/>
      <c r="BU607" s="40" t="n"/>
      <c r="BV607" s="40" t="n"/>
      <c r="BW607" s="40" t="n"/>
      <c r="BX607" s="40" t="n"/>
      <c r="BY607" s="40" t="n"/>
      <c r="BZ607" s="40" t="inlineStr">
        <is>
          <t>IRIS2250</t>
        </is>
      </c>
      <c r="CA607" s="40" t="inlineStr">
        <is>
          <t>Employee</t>
        </is>
      </c>
      <c r="CB607" s="40" t="inlineStr">
        <is>
          <t>Active</t>
        </is>
      </c>
      <c r="CC607" s="40" t="inlineStr">
        <is>
          <t>Argha Biswas</t>
        </is>
      </c>
      <c r="CD607" s="40" t="inlineStr">
        <is>
          <t>28 Jul 1998</t>
        </is>
      </c>
      <c r="CE607" s="40" t="inlineStr">
        <is>
          <t>Partner Relationship Manager</t>
        </is>
      </c>
      <c r="CF607" s="40" t="inlineStr">
        <is>
          <t>Notice - 7th Aug is lwd</t>
        </is>
      </c>
      <c r="CG607" s="40" t="inlineStr">
        <is>
          <t>Sales &amp; Business Development</t>
        </is>
      </c>
      <c r="CH607" s="40" t="inlineStr">
        <is>
          <t>Partnerships / Alliances</t>
        </is>
      </c>
      <c r="CI607" s="40" t="inlineStr">
        <is>
          <t>Partner Relationship Manager</t>
        </is>
      </c>
      <c r="CJ607" s="40" t="inlineStr">
        <is>
          <t>L5 – Manager</t>
        </is>
      </c>
      <c r="CK607" s="40" t="inlineStr">
        <is>
          <t>Anuradha Rk</t>
        </is>
      </c>
      <c r="CL607" s="40" t="inlineStr">
        <is>
          <t>N-3</t>
        </is>
      </c>
      <c r="CM607" s="40" t="n"/>
      <c r="CN607" s="40" t="inlineStr">
        <is>
          <t>Manager</t>
        </is>
      </c>
      <c r="CO607" s="40" t="inlineStr">
        <is>
          <t>Sales</t>
        </is>
      </c>
      <c r="CP607" s="40" t="inlineStr">
        <is>
          <t>4 years, 8 months, 0 days</t>
        </is>
      </c>
      <c r="CQ607" s="40" t="n"/>
      <c r="CR607" s="40" t="inlineStr">
        <is>
          <t>2 years, 1 months, 4 days</t>
        </is>
      </c>
      <c r="CS607" s="40" t="inlineStr">
        <is>
          <t>6 years, 9 months, 4 days</t>
        </is>
      </c>
      <c r="CT607" s="40" t="inlineStr">
        <is>
          <t>2.094292237</t>
        </is>
      </c>
      <c r="CU607" s="40" t="n"/>
      <c r="CV607" s="40" t="n"/>
      <c r="CW607" s="40" t="inlineStr">
        <is>
          <t>Regtech</t>
        </is>
      </c>
      <c r="CX607" s="40" t="inlineStr">
        <is>
          <t>CARBON</t>
        </is>
      </c>
      <c r="CY607" s="40" t="inlineStr">
        <is>
          <t>Sales</t>
        </is>
      </c>
      <c r="CZ607" s="40" t="inlineStr">
        <is>
          <t>Sales</t>
        </is>
      </c>
      <c r="DA607" s="40" t="inlineStr">
        <is>
          <t>No</t>
        </is>
      </c>
      <c r="DB607" s="40" t="inlineStr">
        <is>
          <t>Sales, Marketing &amp; Support</t>
        </is>
      </c>
      <c r="DC607" s="40" t="n"/>
      <c r="DD607" s="40" t="n"/>
      <c r="DE607" s="40" t="n"/>
      <c r="DF607" s="40" t="n"/>
      <c r="DG607" s="40" t="n"/>
      <c r="DH607" s="40" t="n"/>
      <c r="DI607" s="40" t="n"/>
      <c r="DJ607" s="40" t="n"/>
      <c r="DK607" s="40" t="n"/>
      <c r="DL607" s="40" t="n"/>
      <c r="DM607" s="40" t="n"/>
      <c r="DN607" s="40" t="n"/>
      <c r="DO607" s="40" t="n"/>
      <c r="DP607" s="40" t="n"/>
      <c r="DQ607" s="40" t="n"/>
      <c r="DR607" s="40" t="n"/>
      <c r="DS607" s="40" t="n"/>
      <c r="DT607" s="40" t="n"/>
      <c r="DU607" s="40" t="n"/>
      <c r="DV607" s="40" t="n"/>
      <c r="DW607" s="40" t="n"/>
      <c r="DX607" s="40" t="n"/>
      <c r="DY607" s="40" t="n"/>
      <c r="DZ607" s="40" t="n"/>
      <c r="EA607" s="40" t="n"/>
      <c r="EB607" s="40" t="n"/>
      <c r="EC607" s="40" t="n"/>
      <c r="ED607" s="40" t="n"/>
      <c r="EE607" s="40" t="n"/>
      <c r="EF607" s="40" t="n"/>
      <c r="EG607" s="40" t="n"/>
      <c r="EH607" s="40" t="n"/>
      <c r="EI607" s="40" t="n"/>
      <c r="EJ607" s="40" t="n"/>
      <c r="EK607" s="40" t="n"/>
      <c r="EL607" s="40" t="n"/>
      <c r="EM607" s="40" t="n"/>
      <c r="EN607" s="40" t="n"/>
      <c r="EO607" s="40" t="n"/>
      <c r="EP607" s="40" t="n"/>
      <c r="EQ607" s="40" t="n"/>
      <c r="ER607" s="40" t="n"/>
      <c r="ES607" s="40" t="n"/>
      <c r="ET607" s="40" t="n"/>
      <c r="EU607" s="40" t="n"/>
      <c r="EV607" s="40" t="n"/>
      <c r="EW607" s="40" t="n"/>
      <c r="EX607" s="40" t="n"/>
      <c r="EY607" s="40" t="n"/>
      <c r="EZ607" s="40" t="n"/>
      <c r="FA607" s="40" t="n"/>
      <c r="FB607" s="40" t="n"/>
      <c r="FC607" s="40" t="n"/>
      <c r="FD607" s="40" t="n"/>
    </row>
    <row r="608" ht="60" customHeight="1">
      <c r="A608" s="58" t="n"/>
      <c r="B608" s="59" t="inlineStr">
        <is>
          <t>Removed by HR · 9 Oct 2026</t>
        </is>
      </c>
      <c r="C608" s="40" t="inlineStr">
        <is>
          <t>iFile collated</t>
        </is>
      </c>
      <c r="D608" s="40" t="inlineStr">
        <is>
          <t>IRIS2384</t>
        </is>
      </c>
      <c r="E608" s="40" t="inlineStr">
        <is>
          <t>Shreyash Pawar</t>
        </is>
      </c>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c r="AE608" s="40" t="n"/>
      <c r="AF608" s="40" t="n"/>
      <c r="AG608" s="40" t="n"/>
      <c r="AH608" s="40" t="n"/>
      <c r="AI608" s="40" t="n"/>
      <c r="AJ608" s="40" t="n"/>
      <c r="AK608" s="40" t="n"/>
      <c r="AL608" s="40" t="n"/>
      <c r="AM608" s="40" t="n"/>
      <c r="AN608" s="40" t="n"/>
      <c r="AO608" s="40" t="n"/>
      <c r="AP608" s="40" t="n"/>
      <c r="AQ608" s="40" t="n"/>
      <c r="AR608" s="40" t="n"/>
      <c r="AS608" s="40" t="n"/>
      <c r="AT608" s="40" t="n"/>
      <c r="AU608" s="40" t="n"/>
      <c r="AV608" s="40" t="n"/>
      <c r="AW608" s="40" t="n"/>
      <c r="AX608" s="40" t="n"/>
      <c r="AY608" s="40" t="n"/>
      <c r="AZ608" s="40" t="n"/>
      <c r="BA608" s="40" t="n"/>
      <c r="BB608" s="40" t="n"/>
      <c r="BC608" s="40" t="n"/>
      <c r="BD608" s="40" t="n"/>
      <c r="BE608" s="40" t="n"/>
      <c r="BF608" s="40" t="n"/>
      <c r="BG608" s="40" t="n"/>
      <c r="BH608" s="40" t="n"/>
      <c r="BI608" s="40" t="n"/>
      <c r="BJ608" s="40" t="n"/>
      <c r="BK608" s="40" t="n"/>
      <c r="BL608" s="40" t="n"/>
      <c r="BM608" s="40" t="n"/>
      <c r="BN608" s="40" t="n"/>
      <c r="BO608" s="40" t="n"/>
      <c r="BP608" s="40" t="n"/>
      <c r="BQ608" s="40" t="n"/>
      <c r="BR608" s="40" t="n"/>
      <c r="BS608" s="40" t="n"/>
      <c r="BT608" s="40" t="n"/>
      <c r="BU608" s="40" t="n"/>
      <c r="BV608" s="40" t="n"/>
      <c r="BW608" s="40" t="n"/>
      <c r="BX608" s="40" t="n"/>
      <c r="BY608" s="40" t="n"/>
      <c r="BZ608" s="40" t="n"/>
      <c r="CA608" s="40" t="n"/>
      <c r="CB608" s="40" t="n"/>
      <c r="CC608" s="40" t="n"/>
      <c r="CD608" s="40" t="n"/>
      <c r="CE608" s="40" t="n"/>
      <c r="CF608" s="40" t="n"/>
      <c r="CG608" s="40" t="n"/>
      <c r="CH608" s="40" t="n"/>
      <c r="CI608" s="40" t="n"/>
      <c r="CJ608" s="40" t="n"/>
      <c r="CK608" s="40" t="n"/>
      <c r="CL608" s="40" t="n"/>
      <c r="CM608" s="40" t="n"/>
      <c r="CN608" s="40" t="n"/>
      <c r="CO608" s="40" t="n"/>
      <c r="CP608" s="40" t="n"/>
      <c r="CQ608" s="40" t="n"/>
      <c r="CR608" s="40" t="n"/>
      <c r="CS608" s="40" t="n"/>
      <c r="CT608" s="40" t="n"/>
      <c r="CU608" s="40" t="n"/>
      <c r="CV608" s="40" t="n"/>
      <c r="CW608" s="40" t="n"/>
      <c r="CX608" s="40" t="n"/>
      <c r="CY608" s="40" t="n"/>
      <c r="CZ608" s="40" t="n"/>
      <c r="DA608" s="40" t="n"/>
      <c r="DB608" s="40" t="n"/>
      <c r="DC608" s="40" t="n"/>
      <c r="DD608" s="40" t="inlineStr">
        <is>
          <t>IRIS2384</t>
        </is>
      </c>
      <c r="DE608" s="40" t="inlineStr">
        <is>
          <t>Employee</t>
        </is>
      </c>
      <c r="DF608" s="40" t="inlineStr">
        <is>
          <t>Active</t>
        </is>
      </c>
      <c r="DG608" s="40" t="inlineStr">
        <is>
          <t>Shreyash Pawar</t>
        </is>
      </c>
      <c r="DH608" s="40" t="inlineStr">
        <is>
          <t>09 Jun 2025</t>
        </is>
      </c>
      <c r="DI608" s="40" t="inlineStr">
        <is>
          <t>Trainee Software Engineer</t>
        </is>
      </c>
      <c r="DJ608" s="40" t="inlineStr">
        <is>
          <t>Engineering &amp; Development</t>
        </is>
      </c>
      <c r="DK608" s="40" t="inlineStr">
        <is>
          <t>Backend Engineering · Java</t>
        </is>
      </c>
      <c r="DL608" s="40" t="inlineStr">
        <is>
          <t>Trainee Software Engineer</t>
        </is>
      </c>
      <c r="DM608" s="40" t="inlineStr">
        <is>
          <t>L2 – Trainee</t>
        </is>
      </c>
      <c r="DN608" s="40" t="inlineStr">
        <is>
          <t>B.E</t>
        </is>
      </c>
      <c r="DO608" s="40" t="inlineStr">
        <is>
          <t>Bhavana Thakare</t>
        </is>
      </c>
      <c r="DP608" s="40" t="inlineStr">
        <is>
          <t>N-5</t>
        </is>
      </c>
      <c r="DQ608" s="40" t="inlineStr">
        <is>
          <t>Individual Contributor</t>
        </is>
      </c>
      <c r="DR608" s="40" t="inlineStr">
        <is>
          <t>0 years, 0 months, 00 days</t>
        </is>
      </c>
      <c r="DS608" s="40" t="inlineStr">
        <is>
          <t>1 years, 0 months, 11 days</t>
        </is>
      </c>
      <c r="DT608" s="40" t="inlineStr">
        <is>
          <t>1 years, 0 months, 11 days</t>
        </is>
      </c>
      <c r="DU608" s="40" t="n"/>
      <c r="DV608" s="40" t="inlineStr">
        <is>
          <t>Suptech</t>
        </is>
      </c>
      <c r="DW608" s="40" t="inlineStr">
        <is>
          <t>iFile</t>
        </is>
      </c>
      <c r="DX608" s="40" t="inlineStr">
        <is>
          <t>Technology</t>
        </is>
      </c>
      <c r="DY608" s="40" t="inlineStr">
        <is>
          <t>Development</t>
        </is>
      </c>
      <c r="DZ608" s="40" t="inlineStr">
        <is>
          <t>Yes</t>
        </is>
      </c>
      <c r="EA608" s="40" t="inlineStr">
        <is>
          <t>Product/Project</t>
        </is>
      </c>
      <c r="EB608" s="40" t="inlineStr">
        <is>
          <t>Java</t>
        </is>
      </c>
      <c r="EC608" s="40" t="inlineStr">
        <is>
          <t>Technical - Developer</t>
        </is>
      </c>
      <c r="ED608" s="40" t="inlineStr">
        <is>
          <t>Client Side</t>
        </is>
      </c>
      <c r="EE608" s="40" t="n"/>
      <c r="EF608" s="40"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608" s="40"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EH608" s="40" t="inlineStr">
        <is>
          <t>4</t>
        </is>
      </c>
      <c r="EI608" s="40" t="n"/>
      <c r="EJ608" s="40" t="inlineStr">
        <is>
          <t>Trainee Software Engineer</t>
        </is>
      </c>
      <c r="EK608" s="40" t="n"/>
      <c r="EL608" s="40" t="inlineStr">
        <is>
          <t>4</t>
        </is>
      </c>
      <c r="EM608" s="40" t="inlineStr">
        <is>
          <t>Medium</t>
        </is>
      </c>
      <c r="EN608" s="40" t="inlineStr">
        <is>
          <t>Emerging Talent</t>
        </is>
      </c>
      <c r="EO608" s="40" t="inlineStr">
        <is>
          <t>No</t>
        </is>
      </c>
      <c r="EP608" s="40" t="inlineStr">
        <is>
          <t>No</t>
        </is>
      </c>
      <c r="EQ608" s="40" t="inlineStr">
        <is>
          <t>No</t>
        </is>
      </c>
      <c r="ER608" s="40" t="n"/>
      <c r="ES608" s="40" t="inlineStr">
        <is>
          <t>Advanced Java; secure coding &amp; code-quality practices; unit/automated testing; system design fundamentals</t>
        </is>
      </c>
      <c r="ET608" s="40" t="inlineStr">
        <is>
          <t>Transition to leadership: people management &amp; delegation, mentoring/coaching, project ownership &amp; stakeholder management, prioritisation under ambiguity, presentation &amp; influence skills</t>
        </is>
      </c>
      <c r="EU608" s="40" t="n"/>
      <c r="EV608" s="40" t="n"/>
      <c r="EW608" s="40" t="n"/>
      <c r="EX608" s="40" t="n"/>
      <c r="EY608" s="40" t="n"/>
      <c r="EZ608" s="40" t="n"/>
      <c r="FA608" s="40" t="n"/>
      <c r="FB608" s="40" t="n"/>
      <c r="FC608" s="40" t="n"/>
      <c r="FD608" s="40" t="n"/>
    </row>
    <row r="609" ht="60" customHeight="1">
      <c r="A609" s="58" t="n"/>
      <c r="B609" s="59" t="inlineStr">
        <is>
          <t>NOT YET MAPPED</t>
        </is>
      </c>
      <c r="C609" s="40" t="inlineStr">
        <is>
          <t>iDEAL</t>
        </is>
      </c>
      <c r="D609" s="40" t="inlineStr">
        <is>
          <t>IRIS2175</t>
        </is>
      </c>
      <c r="E609" s="40" t="inlineStr">
        <is>
          <t>Khushboo Singh</t>
        </is>
      </c>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c r="AD609" s="40" t="n"/>
      <c r="AE609" s="40" t="n"/>
      <c r="AF609" s="40" t="n"/>
      <c r="AG609" s="40" t="n"/>
      <c r="AH609" s="40" t="n"/>
      <c r="AI609" s="40" t="n"/>
      <c r="AJ609" s="40" t="n"/>
      <c r="AK609" s="40" t="n"/>
      <c r="AL609" s="40" t="n"/>
      <c r="AM609" s="40" t="n"/>
      <c r="AN609" s="40" t="n"/>
      <c r="AO609" s="40" t="n"/>
      <c r="AP609" s="40" t="n"/>
      <c r="AQ609" s="40" t="n"/>
      <c r="AR609" s="40" t="n"/>
      <c r="AS609" s="40" t="n"/>
      <c r="AT609" s="40" t="n"/>
      <c r="AU609" s="40" t="n"/>
      <c r="AV609" s="40" t="n"/>
      <c r="AW609" s="40" t="n"/>
      <c r="AX609" s="40" t="n"/>
      <c r="AY609" s="40" t="n"/>
      <c r="AZ609" s="40" t="n"/>
      <c r="BA609" s="40" t="n"/>
      <c r="BB609" s="40" t="n"/>
      <c r="BC609" s="40" t="n"/>
      <c r="BD609" s="40" t="n"/>
      <c r="BE609" s="40" t="n"/>
      <c r="BF609" s="40" t="n"/>
      <c r="BG609" s="40" t="n"/>
      <c r="BH609" s="40" t="n"/>
      <c r="BI609" s="40" t="n"/>
      <c r="BJ609" s="40" t="n"/>
      <c r="BK609" s="40" t="n"/>
      <c r="BL609" s="40" t="n"/>
      <c r="BM609" s="40" t="n"/>
      <c r="BN609" s="40" t="n"/>
      <c r="BO609" s="40" t="n"/>
      <c r="BP609" s="40" t="n"/>
      <c r="BQ609" s="40" t="n"/>
      <c r="BR609" s="40" t="n"/>
      <c r="BS609" s="40" t="n"/>
      <c r="BT609" s="40" t="n"/>
      <c r="BU609" s="40" t="n"/>
      <c r="BV609" s="40" t="n"/>
      <c r="BW609" s="40" t="n"/>
      <c r="BX609" s="40" t="n"/>
      <c r="BY609" s="40" t="n"/>
      <c r="BZ609" s="40" t="n"/>
      <c r="CA609" s="40" t="n"/>
      <c r="CB609" s="40" t="n"/>
      <c r="CC609" s="40" t="n"/>
      <c r="CD609" s="40" t="n"/>
      <c r="CE609" s="40" t="n"/>
      <c r="CF609" s="40" t="n"/>
      <c r="CG609" s="40" t="n"/>
      <c r="CH609" s="40" t="n"/>
      <c r="CI609" s="40" t="n"/>
      <c r="CJ609" s="40" t="n"/>
      <c r="CK609" s="40" t="n"/>
      <c r="CL609" s="40" t="n"/>
      <c r="CM609" s="40" t="n"/>
      <c r="CN609" s="40" t="n"/>
      <c r="CO609" s="40" t="n"/>
      <c r="CP609" s="40" t="n"/>
      <c r="CQ609" s="40" t="n"/>
      <c r="CR609" s="40" t="n"/>
      <c r="CS609" s="40" t="n"/>
      <c r="CT609" s="40" t="n"/>
      <c r="CU609" s="40" t="n"/>
      <c r="CV609" s="40" t="n"/>
      <c r="CW609" s="40" t="n"/>
      <c r="CX609" s="40" t="n"/>
      <c r="CY609" s="40" t="n"/>
      <c r="CZ609" s="40" t="n"/>
      <c r="DA609" s="40" t="n"/>
      <c r="DB609" s="40" t="n"/>
      <c r="DC609" s="40" t="n"/>
      <c r="DD609" s="40" t="inlineStr">
        <is>
          <t>IRIS2175</t>
        </is>
      </c>
      <c r="DE609" s="40" t="inlineStr">
        <is>
          <t>Employee</t>
        </is>
      </c>
      <c r="DF609" s="40" t="inlineStr">
        <is>
          <t>Active</t>
        </is>
      </c>
      <c r="DG609" s="40" t="inlineStr">
        <is>
          <t>Khushboo Singh</t>
        </is>
      </c>
      <c r="DH609" s="40" t="inlineStr">
        <is>
          <t>24 Aug 2023</t>
        </is>
      </c>
      <c r="DI609" s="40" t="inlineStr">
        <is>
          <t>Business Analyst</t>
        </is>
      </c>
      <c r="DJ609" s="40" t="inlineStr">
        <is>
          <t>Business Analysis</t>
        </is>
      </c>
      <c r="DK609" s="40" t="inlineStr">
        <is>
          <t>Business / Functional Analysis</t>
        </is>
      </c>
      <c r="DL609" s="40" t="inlineStr">
        <is>
          <t>Business Analyst</t>
        </is>
      </c>
      <c r="DM609" s="40" t="inlineStr">
        <is>
          <t>L3 – Professional / Associate</t>
        </is>
      </c>
      <c r="DN609" s="40" t="inlineStr">
        <is>
          <t>MCA</t>
        </is>
      </c>
      <c r="DO609" s="40" t="inlineStr">
        <is>
          <t>Dnyaneshwar Daund</t>
        </is>
      </c>
      <c r="DP609" s="40" t="inlineStr">
        <is>
          <t>N-4</t>
        </is>
      </c>
      <c r="DQ609" s="40" t="inlineStr">
        <is>
          <t>Individual Contributor</t>
        </is>
      </c>
      <c r="DR609" s="40" t="inlineStr">
        <is>
          <t>6 years, 0 months, 0 days</t>
        </is>
      </c>
      <c r="DS609" s="40" t="inlineStr">
        <is>
          <t>2 years, 9 months, 27 days</t>
        </is>
      </c>
      <c r="DT609" s="40" t="inlineStr">
        <is>
          <t>8 years, 9 months, 27 days</t>
        </is>
      </c>
      <c r="DU609" s="40" t="n"/>
      <c r="DV609" s="40" t="inlineStr">
        <is>
          <t>Regtech</t>
        </is>
      </c>
      <c r="DW609" s="40" t="inlineStr">
        <is>
          <t>iDEAL</t>
        </is>
      </c>
      <c r="DX609" s="40" t="inlineStr">
        <is>
          <t>Technology</t>
        </is>
      </c>
      <c r="DY609" s="40" t="inlineStr">
        <is>
          <t>Business Analysis</t>
        </is>
      </c>
      <c r="DZ609" s="40" t="inlineStr">
        <is>
          <t>No</t>
        </is>
      </c>
      <c r="EA609" s="40" t="inlineStr">
        <is>
          <t>Product/Project</t>
        </is>
      </c>
      <c r="EB609" s="40" t="inlineStr">
        <is>
          <t>Business Analysis</t>
        </is>
      </c>
      <c r="EC609" s="40" t="inlineStr">
        <is>
          <t>Technical · BA, PM and QA</t>
        </is>
      </c>
      <c r="ED609" s="40" t="inlineStr">
        <is>
          <t>Hybrid</t>
        </is>
      </c>
      <c r="EE609" s="40"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EF609" s="40"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609" s="40"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609" s="40" t="inlineStr">
        <is>
          <t>2</t>
        </is>
      </c>
      <c r="EI609" s="40" t="inlineStr">
        <is>
          <t>01 Oct 2025</t>
        </is>
      </c>
      <c r="EJ609" s="40" t="inlineStr">
        <is>
          <t>Same as current designation</t>
        </is>
      </c>
      <c r="EK609" s="40" t="inlineStr">
        <is>
          <t>No</t>
        </is>
      </c>
      <c r="EL609" s="40" t="inlineStr">
        <is>
          <t>2</t>
        </is>
      </c>
      <c r="EM609" s="40" t="inlineStr">
        <is>
          <t>Low</t>
        </is>
      </c>
      <c r="EN609" s="40" t="inlineStr">
        <is>
          <t>Performance Risk</t>
        </is>
      </c>
      <c r="EO609" s="40" t="inlineStr">
        <is>
          <t>Not Ready</t>
        </is>
      </c>
      <c r="EP609" s="40" t="inlineStr">
        <is>
          <t>No</t>
        </is>
      </c>
      <c r="EQ609" s="40" t="inlineStr">
        <is>
          <t>No</t>
        </is>
      </c>
      <c r="ER609" s="40" t="n"/>
      <c r="ES609" s="40" t="inlineStr">
        <is>
          <t>XBRL Training, Training on the effective utilization of AI tools.</t>
        </is>
      </c>
      <c r="ET609" s="40" t="n"/>
      <c r="EU609" s="40" t="n"/>
      <c r="EV609" s="40" t="n"/>
      <c r="EW609" s="40" t="n"/>
      <c r="EX609" s="40" t="n"/>
      <c r="EY609" s="40" t="n"/>
      <c r="EZ609" s="40" t="n"/>
      <c r="FA609" s="40" t="n"/>
      <c r="FB609" s="40" t="n"/>
      <c r="FC609" s="40" t="n"/>
      <c r="FD609" s="40" t="n"/>
    </row>
    <row r="610" ht="60" customHeight="1">
      <c r="A610" s="58" t="n"/>
      <c r="B610" s="59" t="inlineStr">
        <is>
          <t>NOT YET MAPPED</t>
        </is>
      </c>
      <c r="C610" s="40" t="inlineStr">
        <is>
          <t>iDEAL</t>
        </is>
      </c>
      <c r="D610" s="40" t="inlineStr">
        <is>
          <t>IRIS2462</t>
        </is>
      </c>
      <c r="E610" s="40" t="inlineStr">
        <is>
          <t>Ashwath Singh B Thakur</t>
        </is>
      </c>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c r="AE610" s="40" t="n"/>
      <c r="AF610" s="40" t="n"/>
      <c r="AG610" s="40" t="n"/>
      <c r="AH610" s="40" t="n"/>
      <c r="AI610" s="40" t="n"/>
      <c r="AJ610" s="40" t="n"/>
      <c r="AK610" s="40" t="n"/>
      <c r="AL610" s="40" t="n"/>
      <c r="AM610" s="40" t="n"/>
      <c r="AN610" s="40" t="n"/>
      <c r="AO610" s="40" t="n"/>
      <c r="AP610" s="40" t="n"/>
      <c r="AQ610" s="40" t="n"/>
      <c r="AR610" s="40" t="n"/>
      <c r="AS610" s="40" t="n"/>
      <c r="AT610" s="40" t="n"/>
      <c r="AU610" s="40" t="n"/>
      <c r="AV610" s="40" t="n"/>
      <c r="AW610" s="40" t="n"/>
      <c r="AX610" s="40" t="n"/>
      <c r="AY610" s="40" t="n"/>
      <c r="AZ610" s="40" t="n"/>
      <c r="BA610" s="40" t="n"/>
      <c r="BB610" s="40" t="n"/>
      <c r="BC610" s="40" t="n"/>
      <c r="BD610" s="40" t="n"/>
      <c r="BE610" s="40" t="n"/>
      <c r="BF610" s="40" t="n"/>
      <c r="BG610" s="40" t="n"/>
      <c r="BH610" s="40" t="n"/>
      <c r="BI610" s="40" t="n"/>
      <c r="BJ610" s="40" t="n"/>
      <c r="BK610" s="40" t="n"/>
      <c r="BL610" s="40" t="n"/>
      <c r="BM610" s="40" t="n"/>
      <c r="BN610" s="40" t="n"/>
      <c r="BO610" s="40" t="n"/>
      <c r="BP610" s="40" t="n"/>
      <c r="BQ610" s="40" t="n"/>
      <c r="BR610" s="40" t="n"/>
      <c r="BS610" s="40" t="n"/>
      <c r="BT610" s="40" t="n"/>
      <c r="BU610" s="40" t="n"/>
      <c r="BV610" s="40" t="n"/>
      <c r="BW610" s="40" t="n"/>
      <c r="BX610" s="40" t="n"/>
      <c r="BY610" s="40" t="n"/>
      <c r="BZ610" s="40" t="n"/>
      <c r="CA610" s="40" t="n"/>
      <c r="CB610" s="40" t="n"/>
      <c r="CC610" s="40" t="n"/>
      <c r="CD610" s="40" t="n"/>
      <c r="CE610" s="40" t="n"/>
      <c r="CF610" s="40" t="n"/>
      <c r="CG610" s="40" t="n"/>
      <c r="CH610" s="40" t="n"/>
      <c r="CI610" s="40" t="n"/>
      <c r="CJ610" s="40" t="n"/>
      <c r="CK610" s="40" t="n"/>
      <c r="CL610" s="40" t="n"/>
      <c r="CM610" s="40" t="n"/>
      <c r="CN610" s="40" t="n"/>
      <c r="CO610" s="40" t="n"/>
      <c r="CP610" s="40" t="n"/>
      <c r="CQ610" s="40" t="n"/>
      <c r="CR610" s="40" t="n"/>
      <c r="CS610" s="40" t="n"/>
      <c r="CT610" s="40" t="n"/>
      <c r="CU610" s="40" t="n"/>
      <c r="CV610" s="40" t="n"/>
      <c r="CW610" s="40" t="n"/>
      <c r="CX610" s="40" t="n"/>
      <c r="CY610" s="40" t="n"/>
      <c r="CZ610" s="40" t="n"/>
      <c r="DA610" s="40" t="n"/>
      <c r="DB610" s="40" t="n"/>
      <c r="DC610" s="40" t="n"/>
      <c r="DD610" s="40" t="inlineStr">
        <is>
          <t>IRIS2462</t>
        </is>
      </c>
      <c r="DE610" s="40" t="inlineStr">
        <is>
          <t>Employee</t>
        </is>
      </c>
      <c r="DF610" s="40" t="inlineStr">
        <is>
          <t>Active</t>
        </is>
      </c>
      <c r="DG610" s="40" t="inlineStr">
        <is>
          <t>Ashwath Singh B Thakur</t>
        </is>
      </c>
      <c r="DH610" s="40" t="inlineStr">
        <is>
          <t>05 Jan 2026</t>
        </is>
      </c>
      <c r="DI610" s="40" t="inlineStr">
        <is>
          <t>Manager Sales</t>
        </is>
      </c>
      <c r="DJ610" s="40" t="inlineStr">
        <is>
          <t>Sales &amp; Business Development</t>
        </is>
      </c>
      <c r="DK610" s="40" t="inlineStr">
        <is>
          <t>Sales / Account Management</t>
        </is>
      </c>
      <c r="DL610" s="40" t="inlineStr">
        <is>
          <t>Manager Sales</t>
        </is>
      </c>
      <c r="DM610" s="40" t="inlineStr">
        <is>
          <t>L5 – Manager</t>
        </is>
      </c>
      <c r="DN610" s="40" t="inlineStr">
        <is>
          <t>B.Com</t>
        </is>
      </c>
      <c r="DO610" s="40" t="inlineStr">
        <is>
          <t>Hemant Karale</t>
        </is>
      </c>
      <c r="DP610" s="40" t="inlineStr">
        <is>
          <t>N-3</t>
        </is>
      </c>
      <c r="DQ610" s="40" t="inlineStr">
        <is>
          <t>Individual Contributor</t>
        </is>
      </c>
      <c r="DR610" s="40" t="inlineStr">
        <is>
          <t>9 years, 8 months, 0 days</t>
        </is>
      </c>
      <c r="DS610" s="40" t="inlineStr">
        <is>
          <t>0 years, 5 months, 15 days</t>
        </is>
      </c>
      <c r="DT610" s="40" t="inlineStr">
        <is>
          <t>10 years, 1 months, 15 days</t>
        </is>
      </c>
      <c r="DU610" s="40" t="n"/>
      <c r="DV610" s="40" t="inlineStr">
        <is>
          <t>Regtech</t>
        </is>
      </c>
      <c r="DW610" s="40" t="inlineStr">
        <is>
          <t>iDEAL</t>
        </is>
      </c>
      <c r="DX610" s="40" t="inlineStr">
        <is>
          <t>Sales</t>
        </is>
      </c>
      <c r="DY610" s="40" t="inlineStr">
        <is>
          <t>Sales</t>
        </is>
      </c>
      <c r="DZ610" s="40" t="inlineStr">
        <is>
          <t>No</t>
        </is>
      </c>
      <c r="EA610" s="40" t="inlineStr">
        <is>
          <t>Sales, Marketing &amp; Support</t>
        </is>
      </c>
      <c r="EB610" s="40" t="inlineStr">
        <is>
          <t>Sales</t>
        </is>
      </c>
      <c r="EC610" s="40" t="inlineStr">
        <is>
          <t>Non-technical</t>
        </is>
      </c>
      <c r="ED610" s="40" t="inlineStr">
        <is>
          <t>Work From Office - Turbhe</t>
        </is>
      </c>
      <c r="EE610" s="40" t="n"/>
      <c r="EF610" s="40"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G610" s="40" t="inlineStr">
        <is>
          <t>1. Close &gt; 2 NBFCS &amp; 1 Banking  clients
2. Generate 6 NBFC &amp; 4 Banking qualified leads</t>
        </is>
      </c>
      <c r="EH610" s="40" t="inlineStr">
        <is>
          <t>1</t>
        </is>
      </c>
      <c r="EI610" s="40" t="n"/>
      <c r="EJ610" s="40" t="inlineStr">
        <is>
          <t>Same as per records</t>
        </is>
      </c>
      <c r="EK610" s="40" t="n"/>
      <c r="EL610" s="40" t="n"/>
      <c r="EM610" s="40" t="n"/>
      <c r="EN610" s="40" t="n"/>
      <c r="EO610" s="40" t="n"/>
      <c r="EP610" s="40" t="n"/>
      <c r="EQ610" s="40" t="n"/>
      <c r="ER610" s="40" t="n"/>
      <c r="ES610" s="40" t="inlineStr">
        <is>
          <t>Training on the effective utilization of AI tools.</t>
        </is>
      </c>
      <c r="ET610" s="40" t="n"/>
      <c r="EU610" s="40" t="n"/>
      <c r="EV610" s="40" t="n"/>
      <c r="EW610" s="40" t="n"/>
      <c r="EX610" s="40" t="n"/>
      <c r="EY610" s="40" t="n"/>
      <c r="EZ610" s="40" t="n"/>
      <c r="FA610" s="40" t="n"/>
      <c r="FB610" s="40" t="n"/>
      <c r="FC610" s="40" t="n"/>
      <c r="FD610" s="40" t="n"/>
    </row>
    <row r="611" ht="60" customHeight="1">
      <c r="A611" s="58" t="n"/>
      <c r="B611" s="59" t="inlineStr">
        <is>
          <t>NOT YET MAPPED</t>
        </is>
      </c>
      <c r="C611" s="40" t="inlineStr">
        <is>
          <t>Datatech</t>
        </is>
      </c>
      <c r="D611" s="40" t="inlineStr">
        <is>
          <t>IRIS2487</t>
        </is>
      </c>
      <c r="E611" s="40" t="inlineStr">
        <is>
          <t>Sayali Deshpande</t>
        </is>
      </c>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c r="AD611" s="40" t="n"/>
      <c r="AE611" s="40" t="n"/>
      <c r="AF611" s="40" t="n"/>
      <c r="AG611" s="40" t="n"/>
      <c r="AH611" s="40" t="n"/>
      <c r="AI611" s="40" t="n"/>
      <c r="AJ611" s="40" t="n"/>
      <c r="AK611" s="40" t="n"/>
      <c r="AL611" s="40" t="n"/>
      <c r="AM611" s="40" t="n"/>
      <c r="AN611" s="40" t="n"/>
      <c r="AO611" s="40" t="n"/>
      <c r="AP611" s="40" t="n"/>
      <c r="AQ611" s="40" t="n"/>
      <c r="AR611" s="40" t="n"/>
      <c r="AS611" s="40" t="n"/>
      <c r="AT611" s="40" t="n"/>
      <c r="AU611" s="40" t="n"/>
      <c r="AV611" s="40" t="n"/>
      <c r="AW611" s="40" t="n"/>
      <c r="AX611" s="40" t="n"/>
      <c r="AY611" s="40" t="n"/>
      <c r="AZ611" s="40" t="n"/>
      <c r="BA611" s="40" t="n"/>
      <c r="BB611" s="40" t="n"/>
      <c r="BC611" s="40" t="n"/>
      <c r="BD611" s="40" t="n"/>
      <c r="BE611" s="40" t="n"/>
      <c r="BF611" s="40" t="n"/>
      <c r="BG611" s="40" t="n"/>
      <c r="BH611" s="40" t="n"/>
      <c r="BI611" s="40" t="n"/>
      <c r="BJ611" s="40" t="n"/>
      <c r="BK611" s="40" t="n"/>
      <c r="BL611" s="40" t="n"/>
      <c r="BM611" s="40" t="n"/>
      <c r="BN611" s="40" t="n"/>
      <c r="BO611" s="40" t="n"/>
      <c r="BP611" s="40" t="n"/>
      <c r="BQ611" s="40" t="n"/>
      <c r="BR611" s="40" t="n"/>
      <c r="BS611" s="40" t="n"/>
      <c r="BT611" s="40" t="n"/>
      <c r="BU611" s="40" t="n"/>
      <c r="BV611" s="40" t="n"/>
      <c r="BW611" s="40" t="n"/>
      <c r="BX611" s="40" t="n"/>
      <c r="BY611" s="40" t="n"/>
      <c r="BZ611" s="40" t="n"/>
      <c r="CA611" s="40" t="n"/>
      <c r="CB611" s="40" t="n"/>
      <c r="CC611" s="40" t="n"/>
      <c r="CD611" s="40" t="n"/>
      <c r="CE611" s="40" t="n"/>
      <c r="CF611" s="40" t="n"/>
      <c r="CG611" s="40" t="n"/>
      <c r="CH611" s="40" t="n"/>
      <c r="CI611" s="40" t="n"/>
      <c r="CJ611" s="40" t="n"/>
      <c r="CK611" s="40" t="n"/>
      <c r="CL611" s="40" t="n"/>
      <c r="CM611" s="40" t="n"/>
      <c r="CN611" s="40" t="n"/>
      <c r="CO611" s="40" t="n"/>
      <c r="CP611" s="40" t="n"/>
      <c r="CQ611" s="40" t="n"/>
      <c r="CR611" s="40" t="n"/>
      <c r="CS611" s="40" t="n"/>
      <c r="CT611" s="40" t="n"/>
      <c r="CU611" s="40" t="n"/>
      <c r="CV611" s="40" t="n"/>
      <c r="CW611" s="40" t="n"/>
      <c r="CX611" s="40" t="n"/>
      <c r="CY611" s="40" t="n"/>
      <c r="CZ611" s="40" t="n"/>
      <c r="DA611" s="40" t="n"/>
      <c r="DB611" s="40" t="n"/>
      <c r="DC611" s="40" t="n"/>
      <c r="DD611" s="40" t="inlineStr">
        <is>
          <t>IRIS2487</t>
        </is>
      </c>
      <c r="DE611" s="40" t="inlineStr">
        <is>
          <t>Employee</t>
        </is>
      </c>
      <c r="DF611" s="40" t="inlineStr">
        <is>
          <t>Active</t>
        </is>
      </c>
      <c r="DG611" s="40" t="inlineStr">
        <is>
          <t>Sayali Deshpande</t>
        </is>
      </c>
      <c r="DH611" s="40" t="inlineStr">
        <is>
          <t>05 Mar 2026</t>
        </is>
      </c>
      <c r="DI611" s="40" t="inlineStr">
        <is>
          <t>UI / UX Designer</t>
        </is>
      </c>
      <c r="DJ611" s="40" t="inlineStr">
        <is>
          <t>Engineering &amp; Development</t>
        </is>
      </c>
      <c r="DK611" s="40" t="inlineStr">
        <is>
          <t>Frontend / UI Engineering</t>
        </is>
      </c>
      <c r="DL611" s="40" t="inlineStr">
        <is>
          <t>UI / UX Designer</t>
        </is>
      </c>
      <c r="DM611" s="40" t="inlineStr">
        <is>
          <t>L3 – Professional / Associate</t>
        </is>
      </c>
      <c r="DN611" s="40" t="inlineStr">
        <is>
          <t>Bachelor of Design</t>
        </is>
      </c>
      <c r="DO611" s="40" t="inlineStr">
        <is>
          <t>Nilesh Majumdar</t>
        </is>
      </c>
      <c r="DP611" s="40" t="inlineStr">
        <is>
          <t>N-3</t>
        </is>
      </c>
      <c r="DQ611" s="40" t="inlineStr">
        <is>
          <t>Individual Contributor</t>
        </is>
      </c>
      <c r="DR611" s="40" t="inlineStr">
        <is>
          <t>4 years, 2 months, 0 days</t>
        </is>
      </c>
      <c r="DS611" s="40" t="inlineStr">
        <is>
          <t>0 years, 3 months, 15 days</t>
        </is>
      </c>
      <c r="DT611" s="40" t="inlineStr">
        <is>
          <t>4 years, 5 months, 15 days</t>
        </is>
      </c>
      <c r="DU611" s="40" t="n"/>
      <c r="DV611" s="40" t="inlineStr">
        <is>
          <t>Datatech</t>
        </is>
      </c>
      <c r="DW611" s="40" t="inlineStr">
        <is>
          <t>Datatech</t>
        </is>
      </c>
      <c r="DX611" s="40" t="inlineStr">
        <is>
          <t>Technology</t>
        </is>
      </c>
      <c r="DY611" s="40" t="inlineStr">
        <is>
          <t>Development</t>
        </is>
      </c>
      <c r="DZ611" s="40" t="inlineStr">
        <is>
          <t>Yes</t>
        </is>
      </c>
      <c r="EA611" s="40" t="inlineStr">
        <is>
          <t>Product/Project</t>
        </is>
      </c>
      <c r="EB611" s="40" t="inlineStr">
        <is>
          <t>UI/UX Designer</t>
        </is>
      </c>
      <c r="EC611" s="40" t="inlineStr">
        <is>
          <t>Technical - Developer</t>
        </is>
      </c>
      <c r="ED611" s="40" t="n"/>
      <c r="EE611" s="40" t="n"/>
      <c r="EF611" s="40" t="n"/>
      <c r="EG611" s="40" t="n"/>
      <c r="EH611" s="40" t="n"/>
      <c r="EI611" s="40" t="n"/>
      <c r="EJ611" s="40" t="inlineStr">
        <is>
          <t>UI / UX Designer</t>
        </is>
      </c>
      <c r="EK611" s="40" t="n"/>
      <c r="EL611" s="40" t="n"/>
      <c r="EM611" s="40" t="n"/>
      <c r="EN611" s="40" t="n"/>
      <c r="EO611" s="40" t="n"/>
      <c r="EP611" s="40" t="inlineStr">
        <is>
          <t>No</t>
        </is>
      </c>
      <c r="EQ611" s="40" t="inlineStr">
        <is>
          <t>Yes</t>
        </is>
      </c>
      <c r="ER611" s="40" t="n"/>
      <c r="ES611" s="40" t="n"/>
      <c r="ET611" s="40" t="n"/>
      <c r="EU611" s="40" t="n"/>
      <c r="EV611" s="40" t="n"/>
      <c r="EW611" s="40" t="n"/>
      <c r="EX611" s="40" t="n"/>
      <c r="EY611" s="40" t="n"/>
      <c r="EZ611" s="40" t="n"/>
      <c r="FA611" s="40" t="n"/>
      <c r="FB611" s="40" t="n"/>
      <c r="FC611" s="40" t="n"/>
      <c r="FD611" s="40" t="n"/>
    </row>
    <row r="612" ht="60" customHeight="1">
      <c r="A612" s="58" t="n"/>
      <c r="B612" s="59" t="inlineStr">
        <is>
          <t>NOT YET MAPPED</t>
        </is>
      </c>
      <c r="C612" s="40" t="inlineStr">
        <is>
          <t>Datatech</t>
        </is>
      </c>
      <c r="D612" s="40" t="inlineStr">
        <is>
          <t>IRIS2371</t>
        </is>
      </c>
      <c r="E612" s="40" t="inlineStr">
        <is>
          <t>Andekar Vignesh</t>
        </is>
      </c>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c r="AE612" s="40" t="n"/>
      <c r="AF612" s="40" t="n"/>
      <c r="AG612" s="40" t="n"/>
      <c r="AH612" s="40" t="n"/>
      <c r="AI612" s="40" t="n"/>
      <c r="AJ612" s="40" t="n"/>
      <c r="AK612" s="40" t="n"/>
      <c r="AL612" s="40" t="n"/>
      <c r="AM612" s="40" t="n"/>
      <c r="AN612" s="40" t="n"/>
      <c r="AO612" s="40" t="n"/>
      <c r="AP612" s="40" t="n"/>
      <c r="AQ612" s="40" t="n"/>
      <c r="AR612" s="40" t="n"/>
      <c r="AS612" s="40" t="n"/>
      <c r="AT612" s="40" t="n"/>
      <c r="AU612" s="40" t="n"/>
      <c r="AV612" s="40" t="n"/>
      <c r="AW612" s="40" t="n"/>
      <c r="AX612" s="40" t="n"/>
      <c r="AY612" s="40" t="n"/>
      <c r="AZ612" s="40" t="n"/>
      <c r="BA612" s="40" t="n"/>
      <c r="BB612" s="40" t="n"/>
      <c r="BC612" s="40" t="n"/>
      <c r="BD612" s="40" t="n"/>
      <c r="BE612" s="40" t="n"/>
      <c r="BF612" s="40" t="n"/>
      <c r="BG612" s="40" t="n"/>
      <c r="BH612" s="40" t="n"/>
      <c r="BI612" s="40" t="n"/>
      <c r="BJ612" s="40" t="n"/>
      <c r="BK612" s="40" t="n"/>
      <c r="BL612" s="40" t="n"/>
      <c r="BM612" s="40" t="n"/>
      <c r="BN612" s="40" t="n"/>
      <c r="BO612" s="40" t="n"/>
      <c r="BP612" s="40" t="n"/>
      <c r="BQ612" s="40" t="n"/>
      <c r="BR612" s="40" t="n"/>
      <c r="BS612" s="40" t="n"/>
      <c r="BT612" s="40" t="n"/>
      <c r="BU612" s="40" t="n"/>
      <c r="BV612" s="40" t="n"/>
      <c r="BW612" s="40" t="n"/>
      <c r="BX612" s="40" t="n"/>
      <c r="BY612" s="40" t="n"/>
      <c r="BZ612" s="40" t="n"/>
      <c r="CA612" s="40" t="n"/>
      <c r="CB612" s="40" t="n"/>
      <c r="CC612" s="40" t="n"/>
      <c r="CD612" s="40" t="n"/>
      <c r="CE612" s="40" t="n"/>
      <c r="CF612" s="40" t="n"/>
      <c r="CG612" s="40" t="n"/>
      <c r="CH612" s="40" t="n"/>
      <c r="CI612" s="40" t="n"/>
      <c r="CJ612" s="40" t="n"/>
      <c r="CK612" s="40" t="n"/>
      <c r="CL612" s="40" t="n"/>
      <c r="CM612" s="40" t="n"/>
      <c r="CN612" s="40" t="n"/>
      <c r="CO612" s="40" t="n"/>
      <c r="CP612" s="40" t="n"/>
      <c r="CQ612" s="40" t="n"/>
      <c r="CR612" s="40" t="n"/>
      <c r="CS612" s="40" t="n"/>
      <c r="CT612" s="40" t="n"/>
      <c r="CU612" s="40" t="n"/>
      <c r="CV612" s="40" t="n"/>
      <c r="CW612" s="40" t="n"/>
      <c r="CX612" s="40" t="n"/>
      <c r="CY612" s="40" t="n"/>
      <c r="CZ612" s="40" t="n"/>
      <c r="DA612" s="40" t="n"/>
      <c r="DB612" s="40" t="n"/>
      <c r="DC612" s="40" t="n"/>
      <c r="DD612" s="40" t="inlineStr">
        <is>
          <t>IRIS2371</t>
        </is>
      </c>
      <c r="DE612" s="40" t="inlineStr">
        <is>
          <t>Employee</t>
        </is>
      </c>
      <c r="DF612" s="40" t="inlineStr">
        <is>
          <t>Active</t>
        </is>
      </c>
      <c r="DG612" s="40" t="inlineStr">
        <is>
          <t>Andekar Vignesh</t>
        </is>
      </c>
      <c r="DH612" s="40" t="inlineStr">
        <is>
          <t>02 May 2025</t>
        </is>
      </c>
      <c r="DI612" s="40" t="inlineStr">
        <is>
          <t>Program Executive - MSME</t>
        </is>
      </c>
      <c r="DJ612" s="40" t="inlineStr">
        <is>
          <t>Project &amp; Program Management</t>
        </is>
      </c>
      <c r="DK612" s="40" t="inlineStr">
        <is>
          <t>Program Management</t>
        </is>
      </c>
      <c r="DL612" s="40" t="inlineStr">
        <is>
          <t>Program Executive - MSME</t>
        </is>
      </c>
      <c r="DM612" s="40" t="inlineStr">
        <is>
          <t>L3 – Professional / Associate</t>
        </is>
      </c>
      <c r="DN612" s="40" t="inlineStr">
        <is>
          <t>B.Com</t>
        </is>
      </c>
      <c r="DO612" s="40" t="inlineStr">
        <is>
          <t>Nalini Niranjan Damisetti</t>
        </is>
      </c>
      <c r="DP612" s="40" t="inlineStr">
        <is>
          <t>N-4</t>
        </is>
      </c>
      <c r="DQ612" s="40" t="inlineStr">
        <is>
          <t>Individual Contributor</t>
        </is>
      </c>
      <c r="DR612" s="40" t="inlineStr">
        <is>
          <t>0 years, 6 months, 0 days</t>
        </is>
      </c>
      <c r="DS612" s="40" t="inlineStr">
        <is>
          <t>1 years, 1 months, 18 days</t>
        </is>
      </c>
      <c r="DT612" s="40" t="inlineStr">
        <is>
          <t>1 years, 7 months, 18 days</t>
        </is>
      </c>
      <c r="DU612" s="40" t="n"/>
      <c r="DV612" s="40" t="inlineStr">
        <is>
          <t>Datatech</t>
        </is>
      </c>
      <c r="DW612" s="40" t="inlineStr">
        <is>
          <t>Datatech</t>
        </is>
      </c>
      <c r="DX612" s="40" t="inlineStr">
        <is>
          <t>Datatech - Outreach</t>
        </is>
      </c>
      <c r="DY612" s="40" t="inlineStr">
        <is>
          <t>Sales</t>
        </is>
      </c>
      <c r="DZ612" s="40" t="inlineStr">
        <is>
          <t>No</t>
        </is>
      </c>
      <c r="EA612" s="40" t="inlineStr">
        <is>
          <t>Sales, Marketing &amp; Support</t>
        </is>
      </c>
      <c r="EB612" s="40" t="inlineStr">
        <is>
          <t>Sales</t>
        </is>
      </c>
      <c r="EC612" s="40" t="inlineStr">
        <is>
          <t>Non-technical</t>
        </is>
      </c>
      <c r="ED612" s="40" t="n"/>
      <c r="EE612" s="40" t="n"/>
      <c r="EF612" s="40" t="n"/>
      <c r="EG612" s="40" t="n"/>
      <c r="EH612" s="40" t="n"/>
      <c r="EI612" s="40" t="n"/>
      <c r="EJ612" s="40" t="inlineStr">
        <is>
          <t>Program Executive - MSME</t>
        </is>
      </c>
      <c r="EK612" s="40" t="n"/>
      <c r="EL612" s="40" t="n"/>
      <c r="EM612" s="40" t="n"/>
      <c r="EN612" s="40" t="n"/>
      <c r="EO612" s="40" t="n"/>
      <c r="EP612" s="40" t="inlineStr">
        <is>
          <t>No</t>
        </is>
      </c>
      <c r="EQ612" s="40" t="inlineStr">
        <is>
          <t>No</t>
        </is>
      </c>
      <c r="ER612" s="40" t="n"/>
      <c r="ES612" s="40" t="n"/>
      <c r="ET612" s="40" t="n"/>
      <c r="EU612" s="40" t="n"/>
      <c r="EV612" s="40" t="n"/>
      <c r="EW612" s="40" t="n"/>
      <c r="EX612" s="40" t="n"/>
      <c r="EY612" s="40" t="n"/>
      <c r="EZ612" s="40" t="n"/>
      <c r="FA612" s="40" t="n"/>
      <c r="FB612" s="40" t="n"/>
      <c r="FC612" s="40" t="n"/>
      <c r="FD612" s="40" t="n"/>
    </row>
  </sheetData>
  <autoFilter ref="A6:FU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4" r:id="rId109"/>
    <hyperlink xmlns:r="http://schemas.openxmlformats.org/officeDocument/2006/relationships" ref="A115" r:id="rId110"/>
    <hyperlink xmlns:r="http://schemas.openxmlformats.org/officeDocument/2006/relationships" ref="A116" r:id="rId111"/>
    <hyperlink xmlns:r="http://schemas.openxmlformats.org/officeDocument/2006/relationships" ref="A117" r:id="rId112"/>
    <hyperlink xmlns:r="http://schemas.openxmlformats.org/officeDocument/2006/relationships" ref="A118" r:id="rId113"/>
    <hyperlink xmlns:r="http://schemas.openxmlformats.org/officeDocument/2006/relationships" ref="A119" r:id="rId114"/>
    <hyperlink xmlns:r="http://schemas.openxmlformats.org/officeDocument/2006/relationships" ref="A120" r:id="rId115"/>
    <hyperlink xmlns:r="http://schemas.openxmlformats.org/officeDocument/2006/relationships" ref="A121" r:id="rId116"/>
    <hyperlink xmlns:r="http://schemas.openxmlformats.org/officeDocument/2006/relationships" ref="A122" r:id="rId117"/>
    <hyperlink xmlns:r="http://schemas.openxmlformats.org/officeDocument/2006/relationships" ref="A123" r:id="rId118"/>
    <hyperlink xmlns:r="http://schemas.openxmlformats.org/officeDocument/2006/relationships" ref="A124" r:id="rId119"/>
    <hyperlink xmlns:r="http://schemas.openxmlformats.org/officeDocument/2006/relationships" ref="A125" r:id="rId120"/>
    <hyperlink xmlns:r="http://schemas.openxmlformats.org/officeDocument/2006/relationships" ref="A126" r:id="rId121"/>
    <hyperlink xmlns:r="http://schemas.openxmlformats.org/officeDocument/2006/relationships" ref="A127" r:id="rId122"/>
    <hyperlink xmlns:r="http://schemas.openxmlformats.org/officeDocument/2006/relationships" ref="A128" r:id="rId123"/>
    <hyperlink xmlns:r="http://schemas.openxmlformats.org/officeDocument/2006/relationships" ref="A129" r:id="rId124"/>
    <hyperlink xmlns:r="http://schemas.openxmlformats.org/officeDocument/2006/relationships" ref="A130" r:id="rId125"/>
    <hyperlink xmlns:r="http://schemas.openxmlformats.org/officeDocument/2006/relationships" ref="A131" r:id="rId126"/>
    <hyperlink xmlns:r="http://schemas.openxmlformats.org/officeDocument/2006/relationships" ref="A132" r:id="rId127"/>
    <hyperlink xmlns:r="http://schemas.openxmlformats.org/officeDocument/2006/relationships" ref="A133" r:id="rId128"/>
    <hyperlink xmlns:r="http://schemas.openxmlformats.org/officeDocument/2006/relationships" ref="A134" r:id="rId129"/>
    <hyperlink xmlns:r="http://schemas.openxmlformats.org/officeDocument/2006/relationships" ref="A135" r:id="rId130"/>
    <hyperlink xmlns:r="http://schemas.openxmlformats.org/officeDocument/2006/relationships" ref="A136" r:id="rId131"/>
    <hyperlink xmlns:r="http://schemas.openxmlformats.org/officeDocument/2006/relationships" ref="A137" r:id="rId132"/>
    <hyperlink xmlns:r="http://schemas.openxmlformats.org/officeDocument/2006/relationships" ref="A138" r:id="rId133"/>
    <hyperlink xmlns:r="http://schemas.openxmlformats.org/officeDocument/2006/relationships" ref="A139" r:id="rId134"/>
    <hyperlink xmlns:r="http://schemas.openxmlformats.org/officeDocument/2006/relationships" ref="A140" r:id="rId135"/>
    <hyperlink xmlns:r="http://schemas.openxmlformats.org/officeDocument/2006/relationships" ref="A141" r:id="rId136"/>
    <hyperlink xmlns:r="http://schemas.openxmlformats.org/officeDocument/2006/relationships" ref="A142" r:id="rId137"/>
    <hyperlink xmlns:r="http://schemas.openxmlformats.org/officeDocument/2006/relationships" ref="A143" r:id="rId138"/>
    <hyperlink xmlns:r="http://schemas.openxmlformats.org/officeDocument/2006/relationships" ref="A144" r:id="rId139"/>
    <hyperlink xmlns:r="http://schemas.openxmlformats.org/officeDocument/2006/relationships" ref="A145" r:id="rId140"/>
    <hyperlink xmlns:r="http://schemas.openxmlformats.org/officeDocument/2006/relationships" ref="A146" r:id="rId141"/>
    <hyperlink xmlns:r="http://schemas.openxmlformats.org/officeDocument/2006/relationships" ref="A147" r:id="rId142"/>
    <hyperlink xmlns:r="http://schemas.openxmlformats.org/officeDocument/2006/relationships" ref="A148" r:id="rId143"/>
    <hyperlink xmlns:r="http://schemas.openxmlformats.org/officeDocument/2006/relationships" ref="A149" r:id="rId144"/>
    <hyperlink xmlns:r="http://schemas.openxmlformats.org/officeDocument/2006/relationships" ref="A150" r:id="rId145"/>
    <hyperlink xmlns:r="http://schemas.openxmlformats.org/officeDocument/2006/relationships" ref="A151" r:id="rId146"/>
    <hyperlink xmlns:r="http://schemas.openxmlformats.org/officeDocument/2006/relationships" ref="A152" r:id="rId147"/>
    <hyperlink xmlns:r="http://schemas.openxmlformats.org/officeDocument/2006/relationships" ref="A153" r:id="rId148"/>
    <hyperlink xmlns:r="http://schemas.openxmlformats.org/officeDocument/2006/relationships" ref="A154" r:id="rId149"/>
    <hyperlink xmlns:r="http://schemas.openxmlformats.org/officeDocument/2006/relationships" ref="A155" r:id="rId150"/>
    <hyperlink xmlns:r="http://schemas.openxmlformats.org/officeDocument/2006/relationships" ref="A156" r:id="rId151"/>
    <hyperlink xmlns:r="http://schemas.openxmlformats.org/officeDocument/2006/relationships" ref="A157" r:id="rId152"/>
    <hyperlink xmlns:r="http://schemas.openxmlformats.org/officeDocument/2006/relationships" ref="A158" r:id="rId153"/>
    <hyperlink xmlns:r="http://schemas.openxmlformats.org/officeDocument/2006/relationships" ref="A159" r:id="rId154"/>
    <hyperlink xmlns:r="http://schemas.openxmlformats.org/officeDocument/2006/relationships" ref="A160" r:id="rId155"/>
    <hyperlink xmlns:r="http://schemas.openxmlformats.org/officeDocument/2006/relationships" ref="A161" r:id="rId156"/>
    <hyperlink xmlns:r="http://schemas.openxmlformats.org/officeDocument/2006/relationships" ref="A162" r:id="rId157"/>
    <hyperlink xmlns:r="http://schemas.openxmlformats.org/officeDocument/2006/relationships" ref="A163" r:id="rId158"/>
    <hyperlink xmlns:r="http://schemas.openxmlformats.org/officeDocument/2006/relationships" ref="A164" r:id="rId159"/>
    <hyperlink xmlns:r="http://schemas.openxmlformats.org/officeDocument/2006/relationships" ref="A165" r:id="rId160"/>
    <hyperlink xmlns:r="http://schemas.openxmlformats.org/officeDocument/2006/relationships" ref="A166" r:id="rId161"/>
    <hyperlink xmlns:r="http://schemas.openxmlformats.org/officeDocument/2006/relationships" ref="A167" r:id="rId162"/>
    <hyperlink xmlns:r="http://schemas.openxmlformats.org/officeDocument/2006/relationships" ref="A168" r:id="rId163"/>
    <hyperlink xmlns:r="http://schemas.openxmlformats.org/officeDocument/2006/relationships" ref="A169" r:id="rId164"/>
    <hyperlink xmlns:r="http://schemas.openxmlformats.org/officeDocument/2006/relationships" ref="A170" r:id="rId165"/>
    <hyperlink xmlns:r="http://schemas.openxmlformats.org/officeDocument/2006/relationships" ref="A171" r:id="rId166"/>
    <hyperlink xmlns:r="http://schemas.openxmlformats.org/officeDocument/2006/relationships" ref="A172" r:id="rId167"/>
    <hyperlink xmlns:r="http://schemas.openxmlformats.org/officeDocument/2006/relationships" ref="A173" r:id="rId168"/>
    <hyperlink xmlns:r="http://schemas.openxmlformats.org/officeDocument/2006/relationships" ref="A174" r:id="rId169"/>
    <hyperlink xmlns:r="http://schemas.openxmlformats.org/officeDocument/2006/relationships" ref="A175" r:id="rId170"/>
    <hyperlink xmlns:r="http://schemas.openxmlformats.org/officeDocument/2006/relationships" ref="A176" r:id="rId171"/>
    <hyperlink xmlns:r="http://schemas.openxmlformats.org/officeDocument/2006/relationships" ref="A177" r:id="rId172"/>
    <hyperlink xmlns:r="http://schemas.openxmlformats.org/officeDocument/2006/relationships" ref="A178" r:id="rId173"/>
    <hyperlink xmlns:r="http://schemas.openxmlformats.org/officeDocument/2006/relationships" ref="A179" r:id="rId174"/>
    <hyperlink xmlns:r="http://schemas.openxmlformats.org/officeDocument/2006/relationships" ref="A180" r:id="rId175"/>
    <hyperlink xmlns:r="http://schemas.openxmlformats.org/officeDocument/2006/relationships" ref="A181" r:id="rId176"/>
    <hyperlink xmlns:r="http://schemas.openxmlformats.org/officeDocument/2006/relationships" ref="A182" r:id="rId177"/>
    <hyperlink xmlns:r="http://schemas.openxmlformats.org/officeDocument/2006/relationships" ref="A183" r:id="rId178"/>
    <hyperlink xmlns:r="http://schemas.openxmlformats.org/officeDocument/2006/relationships" ref="A184" r:id="rId179"/>
    <hyperlink xmlns:r="http://schemas.openxmlformats.org/officeDocument/2006/relationships" ref="A185" r:id="rId180"/>
    <hyperlink xmlns:r="http://schemas.openxmlformats.org/officeDocument/2006/relationships" ref="A186" r:id="rId181"/>
    <hyperlink xmlns:r="http://schemas.openxmlformats.org/officeDocument/2006/relationships" ref="A187" r:id="rId182"/>
    <hyperlink xmlns:r="http://schemas.openxmlformats.org/officeDocument/2006/relationships" ref="A188" r:id="rId183"/>
    <hyperlink xmlns:r="http://schemas.openxmlformats.org/officeDocument/2006/relationships" ref="A189" r:id="rId184"/>
    <hyperlink xmlns:r="http://schemas.openxmlformats.org/officeDocument/2006/relationships" ref="A190" r:id="rId185"/>
    <hyperlink xmlns:r="http://schemas.openxmlformats.org/officeDocument/2006/relationships" ref="A191" r:id="rId186"/>
    <hyperlink xmlns:r="http://schemas.openxmlformats.org/officeDocument/2006/relationships" ref="A192" r:id="rId187"/>
    <hyperlink xmlns:r="http://schemas.openxmlformats.org/officeDocument/2006/relationships" ref="A193" r:id="rId188"/>
    <hyperlink xmlns:r="http://schemas.openxmlformats.org/officeDocument/2006/relationships" ref="A194" r:id="rId189"/>
    <hyperlink xmlns:r="http://schemas.openxmlformats.org/officeDocument/2006/relationships" ref="A195" r:id="rId190"/>
    <hyperlink xmlns:r="http://schemas.openxmlformats.org/officeDocument/2006/relationships" ref="A196" r:id="rId191"/>
    <hyperlink xmlns:r="http://schemas.openxmlformats.org/officeDocument/2006/relationships" ref="A197" r:id="rId192"/>
    <hyperlink xmlns:r="http://schemas.openxmlformats.org/officeDocument/2006/relationships" ref="A198" r:id="rId193"/>
    <hyperlink xmlns:r="http://schemas.openxmlformats.org/officeDocument/2006/relationships" ref="A199" r:id="rId194"/>
    <hyperlink xmlns:r="http://schemas.openxmlformats.org/officeDocument/2006/relationships" ref="A200" r:id="rId195"/>
    <hyperlink xmlns:r="http://schemas.openxmlformats.org/officeDocument/2006/relationships" ref="A201" r:id="rId196"/>
    <hyperlink xmlns:r="http://schemas.openxmlformats.org/officeDocument/2006/relationships" ref="A202" r:id="rId197"/>
    <hyperlink xmlns:r="http://schemas.openxmlformats.org/officeDocument/2006/relationships" ref="A203" r:id="rId198"/>
    <hyperlink xmlns:r="http://schemas.openxmlformats.org/officeDocument/2006/relationships" ref="A204" r:id="rId199"/>
    <hyperlink xmlns:r="http://schemas.openxmlformats.org/officeDocument/2006/relationships" ref="A205" r:id="rId200"/>
    <hyperlink xmlns:r="http://schemas.openxmlformats.org/officeDocument/2006/relationships" ref="A206" r:id="rId201"/>
    <hyperlink xmlns:r="http://schemas.openxmlformats.org/officeDocument/2006/relationships" ref="A207" r:id="rId202"/>
    <hyperlink xmlns:r="http://schemas.openxmlformats.org/officeDocument/2006/relationships" ref="A208" r:id="rId203"/>
    <hyperlink xmlns:r="http://schemas.openxmlformats.org/officeDocument/2006/relationships" ref="A209" r:id="rId204"/>
    <hyperlink xmlns:r="http://schemas.openxmlformats.org/officeDocument/2006/relationships" ref="A210" r:id="rId205"/>
    <hyperlink xmlns:r="http://schemas.openxmlformats.org/officeDocument/2006/relationships" ref="A211" r:id="rId206"/>
    <hyperlink xmlns:r="http://schemas.openxmlformats.org/officeDocument/2006/relationships" ref="A212" r:id="rId207"/>
    <hyperlink xmlns:r="http://schemas.openxmlformats.org/officeDocument/2006/relationships" ref="A213" r:id="rId208"/>
    <hyperlink xmlns:r="http://schemas.openxmlformats.org/officeDocument/2006/relationships" ref="A214" r:id="rId209"/>
    <hyperlink xmlns:r="http://schemas.openxmlformats.org/officeDocument/2006/relationships" ref="A215" r:id="rId210"/>
    <hyperlink xmlns:r="http://schemas.openxmlformats.org/officeDocument/2006/relationships" ref="A216" r:id="rId211"/>
    <hyperlink xmlns:r="http://schemas.openxmlformats.org/officeDocument/2006/relationships" ref="A217" r:id="rId212"/>
    <hyperlink xmlns:r="http://schemas.openxmlformats.org/officeDocument/2006/relationships" ref="A218" r:id="rId213"/>
    <hyperlink xmlns:r="http://schemas.openxmlformats.org/officeDocument/2006/relationships" ref="A219" r:id="rId214"/>
    <hyperlink xmlns:r="http://schemas.openxmlformats.org/officeDocument/2006/relationships" ref="A220" r:id="rId215"/>
    <hyperlink xmlns:r="http://schemas.openxmlformats.org/officeDocument/2006/relationships" ref="A221" r:id="rId216"/>
    <hyperlink xmlns:r="http://schemas.openxmlformats.org/officeDocument/2006/relationships" ref="A222" r:id="rId217"/>
    <hyperlink xmlns:r="http://schemas.openxmlformats.org/officeDocument/2006/relationships" ref="A223" r:id="rId218"/>
    <hyperlink xmlns:r="http://schemas.openxmlformats.org/officeDocument/2006/relationships" ref="A224" r:id="rId219"/>
    <hyperlink xmlns:r="http://schemas.openxmlformats.org/officeDocument/2006/relationships" ref="A225" r:id="rId220"/>
    <hyperlink xmlns:r="http://schemas.openxmlformats.org/officeDocument/2006/relationships" ref="A226" r:id="rId221"/>
    <hyperlink xmlns:r="http://schemas.openxmlformats.org/officeDocument/2006/relationships" ref="A227" r:id="rId222"/>
    <hyperlink xmlns:r="http://schemas.openxmlformats.org/officeDocument/2006/relationships" ref="A228" r:id="rId223"/>
    <hyperlink xmlns:r="http://schemas.openxmlformats.org/officeDocument/2006/relationships" ref="A229" r:id="rId224"/>
    <hyperlink xmlns:r="http://schemas.openxmlformats.org/officeDocument/2006/relationships" ref="A230" r:id="rId225"/>
    <hyperlink xmlns:r="http://schemas.openxmlformats.org/officeDocument/2006/relationships" ref="A231" r:id="rId226"/>
    <hyperlink xmlns:r="http://schemas.openxmlformats.org/officeDocument/2006/relationships" ref="A232" r:id="rId227"/>
    <hyperlink xmlns:r="http://schemas.openxmlformats.org/officeDocument/2006/relationships" ref="A233" r:id="rId228"/>
    <hyperlink xmlns:r="http://schemas.openxmlformats.org/officeDocument/2006/relationships" ref="A234" r:id="rId229"/>
    <hyperlink xmlns:r="http://schemas.openxmlformats.org/officeDocument/2006/relationships" ref="A235" r:id="rId230"/>
    <hyperlink xmlns:r="http://schemas.openxmlformats.org/officeDocument/2006/relationships" ref="A236" r:id="rId231"/>
    <hyperlink xmlns:r="http://schemas.openxmlformats.org/officeDocument/2006/relationships" ref="A237" r:id="rId232"/>
    <hyperlink xmlns:r="http://schemas.openxmlformats.org/officeDocument/2006/relationships" ref="A238" r:id="rId233"/>
    <hyperlink xmlns:r="http://schemas.openxmlformats.org/officeDocument/2006/relationships" ref="A239" r:id="rId234"/>
    <hyperlink xmlns:r="http://schemas.openxmlformats.org/officeDocument/2006/relationships" ref="A240" r:id="rId235"/>
    <hyperlink xmlns:r="http://schemas.openxmlformats.org/officeDocument/2006/relationships" ref="A241" r:id="rId236"/>
    <hyperlink xmlns:r="http://schemas.openxmlformats.org/officeDocument/2006/relationships" ref="A242" r:id="rId237"/>
    <hyperlink xmlns:r="http://schemas.openxmlformats.org/officeDocument/2006/relationships" ref="A243" r:id="rId238"/>
    <hyperlink xmlns:r="http://schemas.openxmlformats.org/officeDocument/2006/relationships" ref="A244" r:id="rId239"/>
    <hyperlink xmlns:r="http://schemas.openxmlformats.org/officeDocument/2006/relationships" ref="A245" r:id="rId240"/>
    <hyperlink xmlns:r="http://schemas.openxmlformats.org/officeDocument/2006/relationships" ref="A246" r:id="rId241"/>
    <hyperlink xmlns:r="http://schemas.openxmlformats.org/officeDocument/2006/relationships" ref="A247" r:id="rId242"/>
    <hyperlink xmlns:r="http://schemas.openxmlformats.org/officeDocument/2006/relationships" ref="A248" r:id="rId243"/>
    <hyperlink xmlns:r="http://schemas.openxmlformats.org/officeDocument/2006/relationships" ref="A249" r:id="rId244"/>
    <hyperlink xmlns:r="http://schemas.openxmlformats.org/officeDocument/2006/relationships" ref="A250" r:id="rId245"/>
    <hyperlink xmlns:r="http://schemas.openxmlformats.org/officeDocument/2006/relationships" ref="A251" r:id="rId246"/>
    <hyperlink xmlns:r="http://schemas.openxmlformats.org/officeDocument/2006/relationships" ref="A252" r:id="rId247"/>
    <hyperlink xmlns:r="http://schemas.openxmlformats.org/officeDocument/2006/relationships" ref="A253" r:id="rId248"/>
    <hyperlink xmlns:r="http://schemas.openxmlformats.org/officeDocument/2006/relationships" ref="A254" r:id="rId249"/>
    <hyperlink xmlns:r="http://schemas.openxmlformats.org/officeDocument/2006/relationships" ref="A255" r:id="rId250"/>
    <hyperlink xmlns:r="http://schemas.openxmlformats.org/officeDocument/2006/relationships" ref="A256" r:id="rId251"/>
    <hyperlink xmlns:r="http://schemas.openxmlformats.org/officeDocument/2006/relationships" ref="A257" r:id="rId252"/>
    <hyperlink xmlns:r="http://schemas.openxmlformats.org/officeDocument/2006/relationships" ref="A258" r:id="rId253"/>
    <hyperlink xmlns:r="http://schemas.openxmlformats.org/officeDocument/2006/relationships" ref="A259" r:id="rId254"/>
    <hyperlink xmlns:r="http://schemas.openxmlformats.org/officeDocument/2006/relationships" ref="A260" r:id="rId255"/>
    <hyperlink xmlns:r="http://schemas.openxmlformats.org/officeDocument/2006/relationships" ref="A261" r:id="rId256"/>
    <hyperlink xmlns:r="http://schemas.openxmlformats.org/officeDocument/2006/relationships" ref="A262" r:id="rId257"/>
    <hyperlink xmlns:r="http://schemas.openxmlformats.org/officeDocument/2006/relationships" ref="A263" r:id="rId258"/>
    <hyperlink xmlns:r="http://schemas.openxmlformats.org/officeDocument/2006/relationships" ref="A264" r:id="rId259"/>
    <hyperlink xmlns:r="http://schemas.openxmlformats.org/officeDocument/2006/relationships" ref="A265" r:id="rId260"/>
    <hyperlink xmlns:r="http://schemas.openxmlformats.org/officeDocument/2006/relationships" ref="A266" r:id="rId261"/>
    <hyperlink xmlns:r="http://schemas.openxmlformats.org/officeDocument/2006/relationships" ref="A267" r:id="rId262"/>
    <hyperlink xmlns:r="http://schemas.openxmlformats.org/officeDocument/2006/relationships" ref="A268" r:id="rId263"/>
    <hyperlink xmlns:r="http://schemas.openxmlformats.org/officeDocument/2006/relationships" ref="A269" r:id="rId264"/>
    <hyperlink xmlns:r="http://schemas.openxmlformats.org/officeDocument/2006/relationships" ref="A270" r:id="rId265"/>
    <hyperlink xmlns:r="http://schemas.openxmlformats.org/officeDocument/2006/relationships" ref="A271" r:id="rId266"/>
    <hyperlink xmlns:r="http://schemas.openxmlformats.org/officeDocument/2006/relationships" ref="A272" r:id="rId267"/>
    <hyperlink xmlns:r="http://schemas.openxmlformats.org/officeDocument/2006/relationships" ref="A273" r:id="rId268"/>
    <hyperlink xmlns:r="http://schemas.openxmlformats.org/officeDocument/2006/relationships" ref="A274" r:id="rId269"/>
    <hyperlink xmlns:r="http://schemas.openxmlformats.org/officeDocument/2006/relationships" ref="A275" r:id="rId270"/>
    <hyperlink xmlns:r="http://schemas.openxmlformats.org/officeDocument/2006/relationships" ref="A276" r:id="rId271"/>
    <hyperlink xmlns:r="http://schemas.openxmlformats.org/officeDocument/2006/relationships" ref="A277" r:id="rId272"/>
    <hyperlink xmlns:r="http://schemas.openxmlformats.org/officeDocument/2006/relationships" ref="A278" r:id="rId273"/>
    <hyperlink xmlns:r="http://schemas.openxmlformats.org/officeDocument/2006/relationships" ref="A279" r:id="rId274"/>
    <hyperlink xmlns:r="http://schemas.openxmlformats.org/officeDocument/2006/relationships" ref="A280" r:id="rId275"/>
    <hyperlink xmlns:r="http://schemas.openxmlformats.org/officeDocument/2006/relationships" ref="A281" r:id="rId276"/>
    <hyperlink xmlns:r="http://schemas.openxmlformats.org/officeDocument/2006/relationships" ref="A282" r:id="rId277"/>
    <hyperlink xmlns:r="http://schemas.openxmlformats.org/officeDocument/2006/relationships" ref="A283" r:id="rId278"/>
    <hyperlink xmlns:r="http://schemas.openxmlformats.org/officeDocument/2006/relationships" ref="A284" r:id="rId279"/>
    <hyperlink xmlns:r="http://schemas.openxmlformats.org/officeDocument/2006/relationships" ref="A285" r:id="rId280"/>
    <hyperlink xmlns:r="http://schemas.openxmlformats.org/officeDocument/2006/relationships" ref="A286" r:id="rId281"/>
    <hyperlink xmlns:r="http://schemas.openxmlformats.org/officeDocument/2006/relationships" ref="A287" r:id="rId282"/>
    <hyperlink xmlns:r="http://schemas.openxmlformats.org/officeDocument/2006/relationships" ref="A288" r:id="rId283"/>
    <hyperlink xmlns:r="http://schemas.openxmlformats.org/officeDocument/2006/relationships" ref="A289" r:id="rId284"/>
    <hyperlink xmlns:r="http://schemas.openxmlformats.org/officeDocument/2006/relationships" ref="A290" r:id="rId285"/>
    <hyperlink xmlns:r="http://schemas.openxmlformats.org/officeDocument/2006/relationships" ref="A291" r:id="rId286"/>
    <hyperlink xmlns:r="http://schemas.openxmlformats.org/officeDocument/2006/relationships" ref="A292" r:id="rId287"/>
    <hyperlink xmlns:r="http://schemas.openxmlformats.org/officeDocument/2006/relationships" ref="A293" r:id="rId288"/>
    <hyperlink xmlns:r="http://schemas.openxmlformats.org/officeDocument/2006/relationships" ref="A294" r:id="rId289"/>
    <hyperlink xmlns:r="http://schemas.openxmlformats.org/officeDocument/2006/relationships" ref="A295" r:id="rId290"/>
    <hyperlink xmlns:r="http://schemas.openxmlformats.org/officeDocument/2006/relationships" ref="A296" r:id="rId291"/>
    <hyperlink xmlns:r="http://schemas.openxmlformats.org/officeDocument/2006/relationships" ref="A297" r:id="rId292"/>
    <hyperlink xmlns:r="http://schemas.openxmlformats.org/officeDocument/2006/relationships" ref="A298" r:id="rId293"/>
    <hyperlink xmlns:r="http://schemas.openxmlformats.org/officeDocument/2006/relationships" ref="A299" r:id="rId294"/>
    <hyperlink xmlns:r="http://schemas.openxmlformats.org/officeDocument/2006/relationships" ref="A300" r:id="rId295"/>
    <hyperlink xmlns:r="http://schemas.openxmlformats.org/officeDocument/2006/relationships" ref="A301" r:id="rId296"/>
    <hyperlink xmlns:r="http://schemas.openxmlformats.org/officeDocument/2006/relationships" ref="A302" r:id="rId297"/>
    <hyperlink xmlns:r="http://schemas.openxmlformats.org/officeDocument/2006/relationships" ref="A303" r:id="rId298"/>
    <hyperlink xmlns:r="http://schemas.openxmlformats.org/officeDocument/2006/relationships" ref="A304" r:id="rId299"/>
    <hyperlink xmlns:r="http://schemas.openxmlformats.org/officeDocument/2006/relationships" ref="A305" r:id="rId300"/>
    <hyperlink xmlns:r="http://schemas.openxmlformats.org/officeDocument/2006/relationships" ref="A306" r:id="rId301"/>
    <hyperlink xmlns:r="http://schemas.openxmlformats.org/officeDocument/2006/relationships" ref="A307" r:id="rId302"/>
    <hyperlink xmlns:r="http://schemas.openxmlformats.org/officeDocument/2006/relationships" ref="A308" r:id="rId303"/>
    <hyperlink xmlns:r="http://schemas.openxmlformats.org/officeDocument/2006/relationships" ref="A309" r:id="rId304"/>
    <hyperlink xmlns:r="http://schemas.openxmlformats.org/officeDocument/2006/relationships" ref="A310" r:id="rId305"/>
    <hyperlink xmlns:r="http://schemas.openxmlformats.org/officeDocument/2006/relationships" ref="A311" r:id="rId306"/>
    <hyperlink xmlns:r="http://schemas.openxmlformats.org/officeDocument/2006/relationships" ref="A312" r:id="rId307"/>
    <hyperlink xmlns:r="http://schemas.openxmlformats.org/officeDocument/2006/relationships" ref="A313" r:id="rId308"/>
    <hyperlink xmlns:r="http://schemas.openxmlformats.org/officeDocument/2006/relationships" ref="A314" r:id="rId309"/>
    <hyperlink xmlns:r="http://schemas.openxmlformats.org/officeDocument/2006/relationships" ref="A315" r:id="rId310"/>
    <hyperlink xmlns:r="http://schemas.openxmlformats.org/officeDocument/2006/relationships" ref="A316" r:id="rId311"/>
    <hyperlink xmlns:r="http://schemas.openxmlformats.org/officeDocument/2006/relationships" ref="A317" r:id="rId312"/>
    <hyperlink xmlns:r="http://schemas.openxmlformats.org/officeDocument/2006/relationships" ref="A318" r:id="rId313"/>
    <hyperlink xmlns:r="http://schemas.openxmlformats.org/officeDocument/2006/relationships" ref="A319" r:id="rId314"/>
    <hyperlink xmlns:r="http://schemas.openxmlformats.org/officeDocument/2006/relationships" ref="A320" r:id="rId315"/>
    <hyperlink xmlns:r="http://schemas.openxmlformats.org/officeDocument/2006/relationships" ref="A321" r:id="rId316"/>
    <hyperlink xmlns:r="http://schemas.openxmlformats.org/officeDocument/2006/relationships" ref="A322" r:id="rId317"/>
    <hyperlink xmlns:r="http://schemas.openxmlformats.org/officeDocument/2006/relationships" ref="A323" r:id="rId318"/>
    <hyperlink xmlns:r="http://schemas.openxmlformats.org/officeDocument/2006/relationships" ref="A324" r:id="rId319"/>
    <hyperlink xmlns:r="http://schemas.openxmlformats.org/officeDocument/2006/relationships" ref="A325" r:id="rId320"/>
    <hyperlink xmlns:r="http://schemas.openxmlformats.org/officeDocument/2006/relationships" ref="A326" r:id="rId321"/>
    <hyperlink xmlns:r="http://schemas.openxmlformats.org/officeDocument/2006/relationships" ref="A327" r:id="rId322"/>
    <hyperlink xmlns:r="http://schemas.openxmlformats.org/officeDocument/2006/relationships" ref="A328" r:id="rId323"/>
    <hyperlink xmlns:r="http://schemas.openxmlformats.org/officeDocument/2006/relationships" ref="A329" r:id="rId324"/>
    <hyperlink xmlns:r="http://schemas.openxmlformats.org/officeDocument/2006/relationships" ref="A330" r:id="rId325"/>
    <hyperlink xmlns:r="http://schemas.openxmlformats.org/officeDocument/2006/relationships" ref="A331" r:id="rId326"/>
    <hyperlink xmlns:r="http://schemas.openxmlformats.org/officeDocument/2006/relationships" ref="A332" r:id="rId327"/>
    <hyperlink xmlns:r="http://schemas.openxmlformats.org/officeDocument/2006/relationships" ref="A333" r:id="rId328"/>
    <hyperlink xmlns:r="http://schemas.openxmlformats.org/officeDocument/2006/relationships" ref="A334" r:id="rId329"/>
    <hyperlink xmlns:r="http://schemas.openxmlformats.org/officeDocument/2006/relationships" ref="A335" r:id="rId330"/>
    <hyperlink xmlns:r="http://schemas.openxmlformats.org/officeDocument/2006/relationships" ref="A336" r:id="rId331"/>
    <hyperlink xmlns:r="http://schemas.openxmlformats.org/officeDocument/2006/relationships" ref="A337" r:id="rId332"/>
    <hyperlink xmlns:r="http://schemas.openxmlformats.org/officeDocument/2006/relationships" ref="A338" r:id="rId333"/>
    <hyperlink xmlns:r="http://schemas.openxmlformats.org/officeDocument/2006/relationships" ref="A339" r:id="rId334"/>
    <hyperlink xmlns:r="http://schemas.openxmlformats.org/officeDocument/2006/relationships" ref="A340" r:id="rId335"/>
    <hyperlink xmlns:r="http://schemas.openxmlformats.org/officeDocument/2006/relationships" ref="A341" r:id="rId336"/>
    <hyperlink xmlns:r="http://schemas.openxmlformats.org/officeDocument/2006/relationships" ref="A342" r:id="rId337"/>
    <hyperlink xmlns:r="http://schemas.openxmlformats.org/officeDocument/2006/relationships" ref="A343" r:id="rId338"/>
    <hyperlink xmlns:r="http://schemas.openxmlformats.org/officeDocument/2006/relationships" ref="A344" r:id="rId339"/>
    <hyperlink xmlns:r="http://schemas.openxmlformats.org/officeDocument/2006/relationships" ref="A345" r:id="rId340"/>
    <hyperlink xmlns:r="http://schemas.openxmlformats.org/officeDocument/2006/relationships" ref="A346" r:id="rId341"/>
    <hyperlink xmlns:r="http://schemas.openxmlformats.org/officeDocument/2006/relationships" ref="A347" r:id="rId342"/>
    <hyperlink xmlns:r="http://schemas.openxmlformats.org/officeDocument/2006/relationships" ref="A348" r:id="rId343"/>
    <hyperlink xmlns:r="http://schemas.openxmlformats.org/officeDocument/2006/relationships" ref="A349" r:id="rId344"/>
    <hyperlink xmlns:r="http://schemas.openxmlformats.org/officeDocument/2006/relationships" ref="A350" r:id="rId345"/>
    <hyperlink xmlns:r="http://schemas.openxmlformats.org/officeDocument/2006/relationships" ref="A351" r:id="rId346"/>
    <hyperlink xmlns:r="http://schemas.openxmlformats.org/officeDocument/2006/relationships" ref="A352" r:id="rId347"/>
    <hyperlink xmlns:r="http://schemas.openxmlformats.org/officeDocument/2006/relationships" ref="A353" r:id="rId348"/>
    <hyperlink xmlns:r="http://schemas.openxmlformats.org/officeDocument/2006/relationships" ref="A354" r:id="rId349"/>
    <hyperlink xmlns:r="http://schemas.openxmlformats.org/officeDocument/2006/relationships" ref="A355" r:id="rId350"/>
    <hyperlink xmlns:r="http://schemas.openxmlformats.org/officeDocument/2006/relationships" ref="A356" r:id="rId351"/>
    <hyperlink xmlns:r="http://schemas.openxmlformats.org/officeDocument/2006/relationships" ref="A357" r:id="rId352"/>
    <hyperlink xmlns:r="http://schemas.openxmlformats.org/officeDocument/2006/relationships" ref="A358" r:id="rId353"/>
    <hyperlink xmlns:r="http://schemas.openxmlformats.org/officeDocument/2006/relationships" ref="A359" r:id="rId354"/>
    <hyperlink xmlns:r="http://schemas.openxmlformats.org/officeDocument/2006/relationships" ref="A360" r:id="rId355"/>
    <hyperlink xmlns:r="http://schemas.openxmlformats.org/officeDocument/2006/relationships" ref="A361" r:id="rId356"/>
    <hyperlink xmlns:r="http://schemas.openxmlformats.org/officeDocument/2006/relationships" ref="A362" r:id="rId357"/>
    <hyperlink xmlns:r="http://schemas.openxmlformats.org/officeDocument/2006/relationships" ref="A363" r:id="rId358"/>
    <hyperlink xmlns:r="http://schemas.openxmlformats.org/officeDocument/2006/relationships" ref="A364" r:id="rId359"/>
    <hyperlink xmlns:r="http://schemas.openxmlformats.org/officeDocument/2006/relationships" ref="A365" r:id="rId360"/>
    <hyperlink xmlns:r="http://schemas.openxmlformats.org/officeDocument/2006/relationships" ref="A366" r:id="rId361"/>
    <hyperlink xmlns:r="http://schemas.openxmlformats.org/officeDocument/2006/relationships" ref="A367" r:id="rId362"/>
    <hyperlink xmlns:r="http://schemas.openxmlformats.org/officeDocument/2006/relationships" ref="A368" r:id="rId363"/>
    <hyperlink xmlns:r="http://schemas.openxmlformats.org/officeDocument/2006/relationships" ref="A369" r:id="rId364"/>
    <hyperlink xmlns:r="http://schemas.openxmlformats.org/officeDocument/2006/relationships" ref="A370" r:id="rId365"/>
    <hyperlink xmlns:r="http://schemas.openxmlformats.org/officeDocument/2006/relationships" ref="A371" r:id="rId366"/>
    <hyperlink xmlns:r="http://schemas.openxmlformats.org/officeDocument/2006/relationships" ref="A372" r:id="rId367"/>
    <hyperlink xmlns:r="http://schemas.openxmlformats.org/officeDocument/2006/relationships" ref="A373" r:id="rId368"/>
    <hyperlink xmlns:r="http://schemas.openxmlformats.org/officeDocument/2006/relationships" ref="A374" r:id="rId369"/>
    <hyperlink xmlns:r="http://schemas.openxmlformats.org/officeDocument/2006/relationships" ref="A375" r:id="rId370"/>
    <hyperlink xmlns:r="http://schemas.openxmlformats.org/officeDocument/2006/relationships" ref="A376" r:id="rId371"/>
    <hyperlink xmlns:r="http://schemas.openxmlformats.org/officeDocument/2006/relationships" ref="A377" r:id="rId372"/>
    <hyperlink xmlns:r="http://schemas.openxmlformats.org/officeDocument/2006/relationships" ref="A378" r:id="rId373"/>
    <hyperlink xmlns:r="http://schemas.openxmlformats.org/officeDocument/2006/relationships" ref="A379" r:id="rId374"/>
    <hyperlink xmlns:r="http://schemas.openxmlformats.org/officeDocument/2006/relationships" ref="A380" r:id="rId375"/>
    <hyperlink xmlns:r="http://schemas.openxmlformats.org/officeDocument/2006/relationships" ref="A381" r:id="rId376"/>
    <hyperlink xmlns:r="http://schemas.openxmlformats.org/officeDocument/2006/relationships" ref="A382" r:id="rId377"/>
    <hyperlink xmlns:r="http://schemas.openxmlformats.org/officeDocument/2006/relationships" ref="A383" r:id="rId378"/>
    <hyperlink xmlns:r="http://schemas.openxmlformats.org/officeDocument/2006/relationships" ref="A384" r:id="rId379"/>
    <hyperlink xmlns:r="http://schemas.openxmlformats.org/officeDocument/2006/relationships" ref="A385" r:id="rId380"/>
    <hyperlink xmlns:r="http://schemas.openxmlformats.org/officeDocument/2006/relationships" ref="A386" r:id="rId381"/>
    <hyperlink xmlns:r="http://schemas.openxmlformats.org/officeDocument/2006/relationships" ref="A387" r:id="rId382"/>
    <hyperlink xmlns:r="http://schemas.openxmlformats.org/officeDocument/2006/relationships" ref="A388" r:id="rId383"/>
    <hyperlink xmlns:r="http://schemas.openxmlformats.org/officeDocument/2006/relationships" ref="A389" r:id="rId384"/>
    <hyperlink xmlns:r="http://schemas.openxmlformats.org/officeDocument/2006/relationships" ref="A390" r:id="rId385"/>
    <hyperlink xmlns:r="http://schemas.openxmlformats.org/officeDocument/2006/relationships" ref="A391" r:id="rId386"/>
    <hyperlink xmlns:r="http://schemas.openxmlformats.org/officeDocument/2006/relationships" ref="A392" r:id="rId387"/>
    <hyperlink xmlns:r="http://schemas.openxmlformats.org/officeDocument/2006/relationships" ref="A393" r:id="rId388"/>
    <hyperlink xmlns:r="http://schemas.openxmlformats.org/officeDocument/2006/relationships" ref="A394" r:id="rId389"/>
    <hyperlink xmlns:r="http://schemas.openxmlformats.org/officeDocument/2006/relationships" ref="A395" r:id="rId390"/>
    <hyperlink xmlns:r="http://schemas.openxmlformats.org/officeDocument/2006/relationships" ref="A396" r:id="rId391"/>
    <hyperlink xmlns:r="http://schemas.openxmlformats.org/officeDocument/2006/relationships" ref="A397" r:id="rId392"/>
    <hyperlink xmlns:r="http://schemas.openxmlformats.org/officeDocument/2006/relationships" ref="A398" r:id="rId393"/>
    <hyperlink xmlns:r="http://schemas.openxmlformats.org/officeDocument/2006/relationships" ref="A399" r:id="rId394"/>
    <hyperlink xmlns:r="http://schemas.openxmlformats.org/officeDocument/2006/relationships" ref="A400" r:id="rId395"/>
    <hyperlink xmlns:r="http://schemas.openxmlformats.org/officeDocument/2006/relationships" ref="A401" r:id="rId396"/>
    <hyperlink xmlns:r="http://schemas.openxmlformats.org/officeDocument/2006/relationships" ref="A402" r:id="rId397"/>
    <hyperlink xmlns:r="http://schemas.openxmlformats.org/officeDocument/2006/relationships" ref="A403" r:id="rId398"/>
    <hyperlink xmlns:r="http://schemas.openxmlformats.org/officeDocument/2006/relationships" ref="A404" r:id="rId399"/>
    <hyperlink xmlns:r="http://schemas.openxmlformats.org/officeDocument/2006/relationships" ref="A405" r:id="rId400"/>
    <hyperlink xmlns:r="http://schemas.openxmlformats.org/officeDocument/2006/relationships" ref="A406" r:id="rId401"/>
    <hyperlink xmlns:r="http://schemas.openxmlformats.org/officeDocument/2006/relationships" ref="A407" r:id="rId402"/>
    <hyperlink xmlns:r="http://schemas.openxmlformats.org/officeDocument/2006/relationships" ref="A408" r:id="rId403"/>
    <hyperlink xmlns:r="http://schemas.openxmlformats.org/officeDocument/2006/relationships" ref="A409" r:id="rId404"/>
    <hyperlink xmlns:r="http://schemas.openxmlformats.org/officeDocument/2006/relationships" ref="A410" r:id="rId405"/>
    <hyperlink xmlns:r="http://schemas.openxmlformats.org/officeDocument/2006/relationships" ref="A411" r:id="rId406"/>
    <hyperlink xmlns:r="http://schemas.openxmlformats.org/officeDocument/2006/relationships" ref="A412" r:id="rId407"/>
    <hyperlink xmlns:r="http://schemas.openxmlformats.org/officeDocument/2006/relationships" ref="A413" r:id="rId408"/>
    <hyperlink xmlns:r="http://schemas.openxmlformats.org/officeDocument/2006/relationships" ref="A414" r:id="rId409"/>
    <hyperlink xmlns:r="http://schemas.openxmlformats.org/officeDocument/2006/relationships" ref="A415" r:id="rId410"/>
    <hyperlink xmlns:r="http://schemas.openxmlformats.org/officeDocument/2006/relationships" ref="A416" r:id="rId411"/>
    <hyperlink xmlns:r="http://schemas.openxmlformats.org/officeDocument/2006/relationships" ref="A417" r:id="rId412"/>
    <hyperlink xmlns:r="http://schemas.openxmlformats.org/officeDocument/2006/relationships" ref="A418" r:id="rId413"/>
    <hyperlink xmlns:r="http://schemas.openxmlformats.org/officeDocument/2006/relationships" ref="A419" r:id="rId414"/>
    <hyperlink xmlns:r="http://schemas.openxmlformats.org/officeDocument/2006/relationships" ref="A420" r:id="rId415"/>
    <hyperlink xmlns:r="http://schemas.openxmlformats.org/officeDocument/2006/relationships" ref="A421" r:id="rId416"/>
    <hyperlink xmlns:r="http://schemas.openxmlformats.org/officeDocument/2006/relationships" ref="A422" r:id="rId417"/>
    <hyperlink xmlns:r="http://schemas.openxmlformats.org/officeDocument/2006/relationships" ref="A423" r:id="rId418"/>
    <hyperlink xmlns:r="http://schemas.openxmlformats.org/officeDocument/2006/relationships" ref="A424" r:id="rId419"/>
    <hyperlink xmlns:r="http://schemas.openxmlformats.org/officeDocument/2006/relationships" ref="A425" r:id="rId420"/>
    <hyperlink xmlns:r="http://schemas.openxmlformats.org/officeDocument/2006/relationships" ref="A426" r:id="rId421"/>
    <hyperlink xmlns:r="http://schemas.openxmlformats.org/officeDocument/2006/relationships" ref="A427" r:id="rId422"/>
    <hyperlink xmlns:r="http://schemas.openxmlformats.org/officeDocument/2006/relationships" ref="A428" r:id="rId423"/>
    <hyperlink xmlns:r="http://schemas.openxmlformats.org/officeDocument/2006/relationships" ref="A429" r:id="rId424"/>
    <hyperlink xmlns:r="http://schemas.openxmlformats.org/officeDocument/2006/relationships" ref="A430" r:id="rId425"/>
    <hyperlink xmlns:r="http://schemas.openxmlformats.org/officeDocument/2006/relationships" ref="A431" r:id="rId426"/>
    <hyperlink xmlns:r="http://schemas.openxmlformats.org/officeDocument/2006/relationships" ref="A432" r:id="rId427"/>
    <hyperlink xmlns:r="http://schemas.openxmlformats.org/officeDocument/2006/relationships" ref="A433" r:id="rId428"/>
    <hyperlink xmlns:r="http://schemas.openxmlformats.org/officeDocument/2006/relationships" ref="A434" r:id="rId429"/>
    <hyperlink xmlns:r="http://schemas.openxmlformats.org/officeDocument/2006/relationships" ref="A435" r:id="rId430"/>
    <hyperlink xmlns:r="http://schemas.openxmlformats.org/officeDocument/2006/relationships" ref="A436" r:id="rId431"/>
    <hyperlink xmlns:r="http://schemas.openxmlformats.org/officeDocument/2006/relationships" ref="A437" r:id="rId432"/>
    <hyperlink xmlns:r="http://schemas.openxmlformats.org/officeDocument/2006/relationships" ref="A438" r:id="rId433"/>
    <hyperlink xmlns:r="http://schemas.openxmlformats.org/officeDocument/2006/relationships" ref="A439" r:id="rId434"/>
    <hyperlink xmlns:r="http://schemas.openxmlformats.org/officeDocument/2006/relationships" ref="A440" r:id="rId435"/>
    <hyperlink xmlns:r="http://schemas.openxmlformats.org/officeDocument/2006/relationships" ref="A441" r:id="rId436"/>
    <hyperlink xmlns:r="http://schemas.openxmlformats.org/officeDocument/2006/relationships" ref="A442" r:id="rId437"/>
    <hyperlink xmlns:r="http://schemas.openxmlformats.org/officeDocument/2006/relationships" ref="A443" r:id="rId438"/>
    <hyperlink xmlns:r="http://schemas.openxmlformats.org/officeDocument/2006/relationships" ref="A444" r:id="rId439"/>
    <hyperlink xmlns:r="http://schemas.openxmlformats.org/officeDocument/2006/relationships" ref="A445" r:id="rId440"/>
    <hyperlink xmlns:r="http://schemas.openxmlformats.org/officeDocument/2006/relationships" ref="A446" r:id="rId441"/>
    <hyperlink xmlns:r="http://schemas.openxmlformats.org/officeDocument/2006/relationships" ref="A447" r:id="rId442"/>
    <hyperlink xmlns:r="http://schemas.openxmlformats.org/officeDocument/2006/relationships" ref="A448" r:id="rId443"/>
    <hyperlink xmlns:r="http://schemas.openxmlformats.org/officeDocument/2006/relationships" ref="A449" r:id="rId444"/>
    <hyperlink xmlns:r="http://schemas.openxmlformats.org/officeDocument/2006/relationships" ref="A450" r:id="rId445"/>
    <hyperlink xmlns:r="http://schemas.openxmlformats.org/officeDocument/2006/relationships" ref="A451" r:id="rId446"/>
    <hyperlink xmlns:r="http://schemas.openxmlformats.org/officeDocument/2006/relationships" ref="A452" r:id="rId447"/>
    <hyperlink xmlns:r="http://schemas.openxmlformats.org/officeDocument/2006/relationships" ref="A453" r:id="rId448"/>
    <hyperlink xmlns:r="http://schemas.openxmlformats.org/officeDocument/2006/relationships" ref="A454" r:id="rId449"/>
    <hyperlink xmlns:r="http://schemas.openxmlformats.org/officeDocument/2006/relationships" ref="A455" r:id="rId450"/>
    <hyperlink xmlns:r="http://schemas.openxmlformats.org/officeDocument/2006/relationships" ref="A456" r:id="rId451"/>
    <hyperlink xmlns:r="http://schemas.openxmlformats.org/officeDocument/2006/relationships" ref="A457" r:id="rId452"/>
    <hyperlink xmlns:r="http://schemas.openxmlformats.org/officeDocument/2006/relationships" ref="A458" r:id="rId453"/>
    <hyperlink xmlns:r="http://schemas.openxmlformats.org/officeDocument/2006/relationships" ref="A459" r:id="rId454"/>
    <hyperlink xmlns:r="http://schemas.openxmlformats.org/officeDocument/2006/relationships" ref="A460" r:id="rId455"/>
    <hyperlink xmlns:r="http://schemas.openxmlformats.org/officeDocument/2006/relationships" ref="A461" r:id="rId456"/>
    <hyperlink xmlns:r="http://schemas.openxmlformats.org/officeDocument/2006/relationships" ref="A462" r:id="rId457"/>
    <hyperlink xmlns:r="http://schemas.openxmlformats.org/officeDocument/2006/relationships" ref="A463" r:id="rId458"/>
    <hyperlink xmlns:r="http://schemas.openxmlformats.org/officeDocument/2006/relationships" ref="A464" r:id="rId459"/>
    <hyperlink xmlns:r="http://schemas.openxmlformats.org/officeDocument/2006/relationships" ref="A465" r:id="rId460"/>
    <hyperlink xmlns:r="http://schemas.openxmlformats.org/officeDocument/2006/relationships" ref="A466" r:id="rId461"/>
    <hyperlink xmlns:r="http://schemas.openxmlformats.org/officeDocument/2006/relationships" ref="A467" r:id="rId462"/>
    <hyperlink xmlns:r="http://schemas.openxmlformats.org/officeDocument/2006/relationships" ref="A468" r:id="rId463"/>
    <hyperlink xmlns:r="http://schemas.openxmlformats.org/officeDocument/2006/relationships" ref="A469" r:id="rId464"/>
    <hyperlink xmlns:r="http://schemas.openxmlformats.org/officeDocument/2006/relationships" ref="A470" r:id="rId465"/>
    <hyperlink xmlns:r="http://schemas.openxmlformats.org/officeDocument/2006/relationships" ref="A471" r:id="rId466"/>
    <hyperlink xmlns:r="http://schemas.openxmlformats.org/officeDocument/2006/relationships" ref="A472" r:id="rId467"/>
    <hyperlink xmlns:r="http://schemas.openxmlformats.org/officeDocument/2006/relationships" ref="A473" r:id="rId468"/>
    <hyperlink xmlns:r="http://schemas.openxmlformats.org/officeDocument/2006/relationships" ref="A474" r:id="rId469"/>
    <hyperlink xmlns:r="http://schemas.openxmlformats.org/officeDocument/2006/relationships" ref="A475" r:id="rId470"/>
    <hyperlink xmlns:r="http://schemas.openxmlformats.org/officeDocument/2006/relationships" ref="A476" r:id="rId471"/>
    <hyperlink xmlns:r="http://schemas.openxmlformats.org/officeDocument/2006/relationships" ref="A477" r:id="rId472"/>
    <hyperlink xmlns:r="http://schemas.openxmlformats.org/officeDocument/2006/relationships" ref="A478" r:id="rId473"/>
    <hyperlink xmlns:r="http://schemas.openxmlformats.org/officeDocument/2006/relationships" ref="A479" r:id="rId474"/>
    <hyperlink xmlns:r="http://schemas.openxmlformats.org/officeDocument/2006/relationships" ref="A480" r:id="rId475"/>
    <hyperlink xmlns:r="http://schemas.openxmlformats.org/officeDocument/2006/relationships" ref="A481" r:id="rId476"/>
    <hyperlink xmlns:r="http://schemas.openxmlformats.org/officeDocument/2006/relationships" ref="A482" r:id="rId477"/>
    <hyperlink xmlns:r="http://schemas.openxmlformats.org/officeDocument/2006/relationships" ref="A483" r:id="rId478"/>
    <hyperlink xmlns:r="http://schemas.openxmlformats.org/officeDocument/2006/relationships" ref="A484" r:id="rId479"/>
    <hyperlink xmlns:r="http://schemas.openxmlformats.org/officeDocument/2006/relationships" ref="A485" r:id="rId480"/>
    <hyperlink xmlns:r="http://schemas.openxmlformats.org/officeDocument/2006/relationships" ref="A486" r:id="rId481"/>
    <hyperlink xmlns:r="http://schemas.openxmlformats.org/officeDocument/2006/relationships" ref="A487" r:id="rId482"/>
    <hyperlink xmlns:r="http://schemas.openxmlformats.org/officeDocument/2006/relationships" ref="A488" r:id="rId483"/>
    <hyperlink xmlns:r="http://schemas.openxmlformats.org/officeDocument/2006/relationships" ref="A489" r:id="rId484"/>
    <hyperlink xmlns:r="http://schemas.openxmlformats.org/officeDocument/2006/relationships" ref="A490" r:id="rId485"/>
    <hyperlink xmlns:r="http://schemas.openxmlformats.org/officeDocument/2006/relationships" ref="A491" r:id="rId486"/>
    <hyperlink xmlns:r="http://schemas.openxmlformats.org/officeDocument/2006/relationships" ref="A492" r:id="rId487"/>
    <hyperlink xmlns:r="http://schemas.openxmlformats.org/officeDocument/2006/relationships" ref="A493" r:id="rId488"/>
    <hyperlink xmlns:r="http://schemas.openxmlformats.org/officeDocument/2006/relationships" ref="A494" r:id="rId489"/>
    <hyperlink xmlns:r="http://schemas.openxmlformats.org/officeDocument/2006/relationships" ref="A495" r:id="rId490"/>
    <hyperlink xmlns:r="http://schemas.openxmlformats.org/officeDocument/2006/relationships" ref="A496" r:id="rId491"/>
    <hyperlink xmlns:r="http://schemas.openxmlformats.org/officeDocument/2006/relationships" ref="A497" r:id="rId492"/>
    <hyperlink xmlns:r="http://schemas.openxmlformats.org/officeDocument/2006/relationships" ref="A498" r:id="rId493"/>
    <hyperlink xmlns:r="http://schemas.openxmlformats.org/officeDocument/2006/relationships" ref="A499" r:id="rId494"/>
    <hyperlink xmlns:r="http://schemas.openxmlformats.org/officeDocument/2006/relationships" ref="A500" r:id="rId495"/>
    <hyperlink xmlns:r="http://schemas.openxmlformats.org/officeDocument/2006/relationships" ref="A501" r:id="rId496"/>
    <hyperlink xmlns:r="http://schemas.openxmlformats.org/officeDocument/2006/relationships" ref="A502" r:id="rId497"/>
    <hyperlink xmlns:r="http://schemas.openxmlformats.org/officeDocument/2006/relationships" ref="A503" r:id="rId498"/>
    <hyperlink xmlns:r="http://schemas.openxmlformats.org/officeDocument/2006/relationships" ref="A504" r:id="rId499"/>
    <hyperlink xmlns:r="http://schemas.openxmlformats.org/officeDocument/2006/relationships" ref="A505" r:id="rId500"/>
    <hyperlink xmlns:r="http://schemas.openxmlformats.org/officeDocument/2006/relationships" ref="A506" r:id="rId501"/>
    <hyperlink xmlns:r="http://schemas.openxmlformats.org/officeDocument/2006/relationships" ref="A507" r:id="rId502"/>
    <hyperlink xmlns:r="http://schemas.openxmlformats.org/officeDocument/2006/relationships" ref="A508" r:id="rId503"/>
    <hyperlink xmlns:r="http://schemas.openxmlformats.org/officeDocument/2006/relationships" ref="A509" r:id="rId504"/>
    <hyperlink xmlns:r="http://schemas.openxmlformats.org/officeDocument/2006/relationships" ref="A510" r:id="rId505"/>
    <hyperlink xmlns:r="http://schemas.openxmlformats.org/officeDocument/2006/relationships" ref="A511" r:id="rId506"/>
    <hyperlink xmlns:r="http://schemas.openxmlformats.org/officeDocument/2006/relationships" ref="A512" r:id="rId507"/>
    <hyperlink xmlns:r="http://schemas.openxmlformats.org/officeDocument/2006/relationships" ref="A513" r:id="rId508"/>
    <hyperlink xmlns:r="http://schemas.openxmlformats.org/officeDocument/2006/relationships" ref="A514" r:id="rId509"/>
    <hyperlink xmlns:r="http://schemas.openxmlformats.org/officeDocument/2006/relationships" ref="A515" r:id="rId510"/>
    <hyperlink xmlns:r="http://schemas.openxmlformats.org/officeDocument/2006/relationships" ref="A516" r:id="rId511"/>
    <hyperlink xmlns:r="http://schemas.openxmlformats.org/officeDocument/2006/relationships" ref="A517" r:id="rId512"/>
    <hyperlink xmlns:r="http://schemas.openxmlformats.org/officeDocument/2006/relationships" ref="A518" r:id="rId513"/>
    <hyperlink xmlns:r="http://schemas.openxmlformats.org/officeDocument/2006/relationships" ref="A519" r:id="rId514"/>
    <hyperlink xmlns:r="http://schemas.openxmlformats.org/officeDocument/2006/relationships" ref="A520" r:id="rId515"/>
    <hyperlink xmlns:r="http://schemas.openxmlformats.org/officeDocument/2006/relationships" ref="A521" r:id="rId516"/>
    <hyperlink xmlns:r="http://schemas.openxmlformats.org/officeDocument/2006/relationships" ref="A522" r:id="rId517"/>
    <hyperlink xmlns:r="http://schemas.openxmlformats.org/officeDocument/2006/relationships" ref="A523" r:id="rId518"/>
    <hyperlink xmlns:r="http://schemas.openxmlformats.org/officeDocument/2006/relationships" ref="A524" r:id="rId519"/>
    <hyperlink xmlns:r="http://schemas.openxmlformats.org/officeDocument/2006/relationships" ref="A525" r:id="rId520"/>
    <hyperlink xmlns:r="http://schemas.openxmlformats.org/officeDocument/2006/relationships" ref="A526" r:id="rId521"/>
    <hyperlink xmlns:r="http://schemas.openxmlformats.org/officeDocument/2006/relationships" ref="A527" r:id="rId522"/>
    <hyperlink xmlns:r="http://schemas.openxmlformats.org/officeDocument/2006/relationships" ref="A528" r:id="rId523"/>
    <hyperlink xmlns:r="http://schemas.openxmlformats.org/officeDocument/2006/relationships" ref="A529" r:id="rId524"/>
    <hyperlink xmlns:r="http://schemas.openxmlformats.org/officeDocument/2006/relationships" ref="A530" r:id="rId525"/>
    <hyperlink xmlns:r="http://schemas.openxmlformats.org/officeDocument/2006/relationships" ref="A531" r:id="rId526"/>
    <hyperlink xmlns:r="http://schemas.openxmlformats.org/officeDocument/2006/relationships" ref="A532" r:id="rId527"/>
    <hyperlink xmlns:r="http://schemas.openxmlformats.org/officeDocument/2006/relationships" ref="A533" r:id="rId528"/>
    <hyperlink xmlns:r="http://schemas.openxmlformats.org/officeDocument/2006/relationships" ref="A534" r:id="rId529"/>
    <hyperlink xmlns:r="http://schemas.openxmlformats.org/officeDocument/2006/relationships" ref="A535" r:id="rId530"/>
    <hyperlink xmlns:r="http://schemas.openxmlformats.org/officeDocument/2006/relationships" ref="A536" r:id="rId531"/>
    <hyperlink xmlns:r="http://schemas.openxmlformats.org/officeDocument/2006/relationships" ref="A537" r:id="rId532"/>
    <hyperlink xmlns:r="http://schemas.openxmlformats.org/officeDocument/2006/relationships" ref="A538" r:id="rId533"/>
    <hyperlink xmlns:r="http://schemas.openxmlformats.org/officeDocument/2006/relationships" ref="A539" r:id="rId534"/>
    <hyperlink xmlns:r="http://schemas.openxmlformats.org/officeDocument/2006/relationships" ref="A540" r:id="rId535"/>
    <hyperlink xmlns:r="http://schemas.openxmlformats.org/officeDocument/2006/relationships" ref="A541" r:id="rId536"/>
    <hyperlink xmlns:r="http://schemas.openxmlformats.org/officeDocument/2006/relationships" ref="A542" r:id="rId537"/>
    <hyperlink xmlns:r="http://schemas.openxmlformats.org/officeDocument/2006/relationships" ref="A543" r:id="rId538"/>
    <hyperlink xmlns:r="http://schemas.openxmlformats.org/officeDocument/2006/relationships" ref="A544" r:id="rId539"/>
    <hyperlink xmlns:r="http://schemas.openxmlformats.org/officeDocument/2006/relationships" ref="A545" r:id="rId540"/>
    <hyperlink xmlns:r="http://schemas.openxmlformats.org/officeDocument/2006/relationships" ref="A546" r:id="rId541"/>
    <hyperlink xmlns:r="http://schemas.openxmlformats.org/officeDocument/2006/relationships" ref="A547" r:id="rId542"/>
    <hyperlink xmlns:r="http://schemas.openxmlformats.org/officeDocument/2006/relationships" ref="A548" r:id="rId543"/>
    <hyperlink xmlns:r="http://schemas.openxmlformats.org/officeDocument/2006/relationships" ref="A549" r:id="rId544"/>
    <hyperlink xmlns:r="http://schemas.openxmlformats.org/officeDocument/2006/relationships" ref="A550" r:id="rId545"/>
    <hyperlink xmlns:r="http://schemas.openxmlformats.org/officeDocument/2006/relationships" ref="A551" r:id="rId546"/>
    <hyperlink xmlns:r="http://schemas.openxmlformats.org/officeDocument/2006/relationships" ref="A552" r:id="rId547"/>
    <hyperlink xmlns:r="http://schemas.openxmlformats.org/officeDocument/2006/relationships" ref="A553" r:id="rId548"/>
    <hyperlink xmlns:r="http://schemas.openxmlformats.org/officeDocument/2006/relationships" ref="A554" r:id="rId549"/>
    <hyperlink xmlns:r="http://schemas.openxmlformats.org/officeDocument/2006/relationships" ref="A555" r:id="rId550"/>
    <hyperlink xmlns:r="http://schemas.openxmlformats.org/officeDocument/2006/relationships" ref="A556" r:id="rId551"/>
    <hyperlink xmlns:r="http://schemas.openxmlformats.org/officeDocument/2006/relationships" ref="A557" r:id="rId552"/>
    <hyperlink xmlns:r="http://schemas.openxmlformats.org/officeDocument/2006/relationships" ref="A558" r:id="rId553"/>
    <hyperlink xmlns:r="http://schemas.openxmlformats.org/officeDocument/2006/relationships" ref="A559" r:id="rId554"/>
    <hyperlink xmlns:r="http://schemas.openxmlformats.org/officeDocument/2006/relationships" ref="A560" r:id="rId555"/>
    <hyperlink xmlns:r="http://schemas.openxmlformats.org/officeDocument/2006/relationships" ref="A561" r:id="rId556"/>
    <hyperlink xmlns:r="http://schemas.openxmlformats.org/officeDocument/2006/relationships" ref="A562" r:id="rId557"/>
    <hyperlink xmlns:r="http://schemas.openxmlformats.org/officeDocument/2006/relationships" ref="A563" r:id="rId558"/>
    <hyperlink xmlns:r="http://schemas.openxmlformats.org/officeDocument/2006/relationships" ref="A564" r:id="rId559"/>
    <hyperlink xmlns:r="http://schemas.openxmlformats.org/officeDocument/2006/relationships" ref="A565" r:id="rId560"/>
    <hyperlink xmlns:r="http://schemas.openxmlformats.org/officeDocument/2006/relationships" ref="A566" r:id="rId561"/>
    <hyperlink xmlns:r="http://schemas.openxmlformats.org/officeDocument/2006/relationships" ref="A567" r:id="rId562"/>
    <hyperlink xmlns:r="http://schemas.openxmlformats.org/officeDocument/2006/relationships" ref="A568" r:id="rId563"/>
    <hyperlink xmlns:r="http://schemas.openxmlformats.org/officeDocument/2006/relationships" ref="A569" r:id="rId564"/>
    <hyperlink xmlns:r="http://schemas.openxmlformats.org/officeDocument/2006/relationships" ref="A570" r:id="rId565"/>
    <hyperlink xmlns:r="http://schemas.openxmlformats.org/officeDocument/2006/relationships" ref="A571" r:id="rId566"/>
    <hyperlink xmlns:r="http://schemas.openxmlformats.org/officeDocument/2006/relationships" ref="A572" r:id="rId567"/>
    <hyperlink xmlns:r="http://schemas.openxmlformats.org/officeDocument/2006/relationships" ref="A573" r:id="rId568"/>
    <hyperlink xmlns:r="http://schemas.openxmlformats.org/officeDocument/2006/relationships" ref="A574" r:id="rId569"/>
    <hyperlink xmlns:r="http://schemas.openxmlformats.org/officeDocument/2006/relationships" ref="A575" r:id="rId570"/>
    <hyperlink xmlns:r="http://schemas.openxmlformats.org/officeDocument/2006/relationships" ref="A576" r:id="rId571"/>
    <hyperlink xmlns:r="http://schemas.openxmlformats.org/officeDocument/2006/relationships" ref="A577" r:id="rId572"/>
    <hyperlink xmlns:r="http://schemas.openxmlformats.org/officeDocument/2006/relationships" ref="A578" r:id="rId573"/>
    <hyperlink xmlns:r="http://schemas.openxmlformats.org/officeDocument/2006/relationships" ref="A579" r:id="rId574"/>
    <hyperlink xmlns:r="http://schemas.openxmlformats.org/officeDocument/2006/relationships" ref="A580" r:id="rId575"/>
    <hyperlink xmlns:r="http://schemas.openxmlformats.org/officeDocument/2006/relationships" ref="A581" r:id="rId576"/>
    <hyperlink xmlns:r="http://schemas.openxmlformats.org/officeDocument/2006/relationships" ref="A582" r:id="rId577"/>
    <hyperlink xmlns:r="http://schemas.openxmlformats.org/officeDocument/2006/relationships" ref="A583" r:id="rId578"/>
    <hyperlink xmlns:r="http://schemas.openxmlformats.org/officeDocument/2006/relationships" ref="A584" r:id="rId579"/>
    <hyperlink xmlns:r="http://schemas.openxmlformats.org/officeDocument/2006/relationships" ref="A585" r:id="rId580"/>
    <hyperlink xmlns:r="http://schemas.openxmlformats.org/officeDocument/2006/relationships" ref="A586" r:id="rId581"/>
    <hyperlink xmlns:r="http://schemas.openxmlformats.org/officeDocument/2006/relationships" ref="A587" r:id="rId582"/>
    <hyperlink xmlns:r="http://schemas.openxmlformats.org/officeDocument/2006/relationships" ref="A588" r:id="rId583"/>
    <hyperlink xmlns:r="http://schemas.openxmlformats.org/officeDocument/2006/relationships" ref="A589" r:id="rId584"/>
    <hyperlink xmlns:r="http://schemas.openxmlformats.org/officeDocument/2006/relationships" ref="A590" r:id="rId585"/>
    <hyperlink xmlns:r="http://schemas.openxmlformats.org/officeDocument/2006/relationships" ref="A591" r:id="rId586"/>
    <hyperlink xmlns:r="http://schemas.openxmlformats.org/officeDocument/2006/relationships" ref="A592" r:id="rId5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cols>
    <col width="26" customWidth="1" min="1" max="1"/>
    <col width="2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28" customWidth="1" min="11" max="11"/>
    <col width="26" customWidth="1" min="12" max="12"/>
  </cols>
  <sheetData>
    <row r="1" ht="24" customHeight="1">
      <c r="A1" s="1" t="inlineStr">
        <is>
          <t>Market Benchmark — the numbers behind the weightage and the bands</t>
        </is>
      </c>
      <c r="O1" s="7" t="inlineStr">
        <is>
          <t>◂ Start</t>
        </is>
      </c>
    </row>
    <row r="2" ht="30" customHeight="1">
      <c r="A2" s="2" t="inlineStr">
        <is>
          <t>Sheet 4 · Published job-evaluation weights by role group (Korn Ferry Hay, Mercer IPE and five public point-factor plans), the Experience / Education split, how Low / Medium / High reproduce the market weights, and the level crosswalk with experience, education and span norms. Every number carries its source.</t>
        </is>
      </c>
    </row>
    <row r="3">
      <c r="A3" s="3" t="inlineStr">
        <is>
          <t>IRIS · Job Architecture &amp; Job Design · Final v1.14 · October 2026 · Internal — Confidential · HR only</t>
        </is>
      </c>
    </row>
    <row r="5">
      <c r="A5" s="60" t="inlineStr">
        <is>
          <t>1 · Market weights by role group — % of the score each parameter carries</t>
        </is>
      </c>
      <c r="B5" s="61" t="n"/>
      <c r="C5" s="61" t="n"/>
      <c r="D5" s="61" t="n"/>
      <c r="E5" s="61" t="n"/>
      <c r="F5" s="61" t="n"/>
      <c r="G5" s="61" t="n"/>
      <c r="H5" s="61" t="n"/>
      <c r="I5" s="61" t="n"/>
      <c r="J5" s="61" t="n"/>
      <c r="K5" s="61" t="n"/>
      <c r="L5" s="62" t="n"/>
    </row>
    <row r="6">
      <c r="A6" s="63" t="inlineStr">
        <is>
          <t>References: S46–S51 Korn Ferry Hay evaluations · S04, S52 Mercer IPE · S53–S57 NHS, UK NJC/PSC, GLPC, SJC, US OPM point-factor plans · S58 McKinsey skills-based hiring · S60 WEF skills-first · S61 EY India 2026 · the Experience / Education split is an IRIS rule</t>
        </is>
      </c>
    </row>
    <row r="7">
      <c r="A7" s="27" t="inlineStr">
        <is>
          <t>Role group</t>
        </is>
      </c>
      <c r="B7" s="27" t="inlineStr">
        <is>
          <t>Source</t>
        </is>
      </c>
      <c r="C7" s="27" t="inlineStr">
        <is>
          <t>Complexity &amp; Expertise</t>
        </is>
      </c>
      <c r="D7" s="27" t="inlineStr">
        <is>
          <t>Autonomy &amp; Decision</t>
        </is>
      </c>
      <c r="E7" s="27" t="inlineStr">
        <is>
          <t>Accountability &amp; Impact</t>
        </is>
      </c>
      <c r="F7" s="27" t="inlineStr">
        <is>
          <t>Leadership &amp; Strategy</t>
        </is>
      </c>
      <c r="G7" s="27" t="inlineStr">
        <is>
          <t>Business Impact</t>
        </is>
      </c>
      <c r="H7" s="27" t="inlineStr">
        <is>
          <t>Experience</t>
        </is>
      </c>
      <c r="I7" s="27" t="inlineStr">
        <is>
          <t>Education</t>
        </is>
      </c>
      <c r="J7" s="27" t="inlineStr">
        <is>
          <t>L/M/H at IRIS default</t>
        </is>
      </c>
    </row>
    <row r="8">
      <c r="A8" s="64" t="inlineStr">
        <is>
          <t>Band A · all tracks</t>
        </is>
      </c>
      <c r="B8" s="53" t="inlineStr">
        <is>
          <t>Korn Ferry Hay</t>
        </is>
      </c>
      <c r="C8" s="65" t="n">
        <v>0.71</v>
      </c>
      <c r="D8" s="65" t="n">
        <v>0.11</v>
      </c>
      <c r="E8" s="65" t="n">
        <v>0.04</v>
      </c>
      <c r="F8" s="65" t="n">
        <v>0</v>
      </c>
      <c r="G8" s="65" t="n">
        <v>0.04</v>
      </c>
      <c r="H8" s="65" t="n">
        <v>0.06</v>
      </c>
      <c r="I8" s="65" t="n">
        <v>0.04</v>
      </c>
      <c r="J8" s="53" t="n"/>
    </row>
    <row r="9">
      <c r="A9" s="64" t="inlineStr">
        <is>
          <t>Band A · all tracks</t>
        </is>
      </c>
      <c r="B9" s="53" t="inlineStr">
        <is>
          <t>Mercer IPE</t>
        </is>
      </c>
      <c r="C9" s="65" t="n">
        <v>0.51</v>
      </c>
      <c r="D9" s="65" t="n">
        <v>0.22</v>
      </c>
      <c r="E9" s="65" t="n">
        <v>0.08</v>
      </c>
      <c r="F9" s="65" t="n">
        <v>0</v>
      </c>
      <c r="G9" s="65" t="n">
        <v>0.08</v>
      </c>
      <c r="H9" s="65" t="n">
        <v>0.06</v>
      </c>
      <c r="I9" s="65" t="n">
        <v>0.04</v>
      </c>
      <c r="J9" s="53" t="n"/>
    </row>
    <row r="10">
      <c r="A10" s="64" t="inlineStr">
        <is>
          <t>Band A · all tracks</t>
        </is>
      </c>
      <c r="B10" s="53" t="inlineStr">
        <is>
          <t>Public plans</t>
        </is>
      </c>
      <c r="C10" s="65" t="n">
        <v>0.53</v>
      </c>
      <c r="D10" s="65" t="n">
        <v>0.15</v>
      </c>
      <c r="E10" s="65" t="n">
        <v>0.15</v>
      </c>
      <c r="F10" s="65" t="n">
        <v>0</v>
      </c>
      <c r="G10" s="65" t="n">
        <v>0.07000000000000001</v>
      </c>
      <c r="H10" s="65" t="n">
        <v>0.06</v>
      </c>
      <c r="I10" s="65" t="n">
        <v>0.04</v>
      </c>
      <c r="J10" s="53" t="n"/>
    </row>
    <row r="11">
      <c r="A11" s="66" t="inlineStr">
        <is>
          <t>Band A · all tracks</t>
        </is>
      </c>
      <c r="B11" s="43" t="inlineStr">
        <is>
          <t>Market average</t>
        </is>
      </c>
      <c r="C11" s="67" t="n">
        <v>0.583</v>
      </c>
      <c r="D11" s="67" t="n">
        <v>0.16</v>
      </c>
      <c r="E11" s="67" t="n">
        <v>0.09</v>
      </c>
      <c r="F11" s="67" t="n">
        <v>0</v>
      </c>
      <c r="G11" s="67" t="n">
        <v>0.063</v>
      </c>
      <c r="H11" s="67" t="n">
        <v>0.06</v>
      </c>
      <c r="I11" s="67" t="n">
        <v>0.04</v>
      </c>
      <c r="J11" s="43" t="inlineStr">
        <is>
          <t>C H · Au M · Ac M · L L · BI L · Exp L · Edu L</t>
        </is>
      </c>
    </row>
    <row r="12">
      <c r="A12" s="68" t="inlineStr">
        <is>
          <t>Band A · all tracks</t>
        </is>
      </c>
      <c r="B12" s="56" t="inlineStr">
        <is>
          <t>What L/M/H gives · L1 M3 H9</t>
        </is>
      </c>
      <c r="C12" s="69" t="n">
        <v>0.4736842105263158</v>
      </c>
      <c r="D12" s="69" t="n">
        <v>0.1578947368421053</v>
      </c>
      <c r="E12" s="69" t="n">
        <v>0.1578947368421053</v>
      </c>
      <c r="F12" s="69" t="n">
        <v>0.05263157894736842</v>
      </c>
      <c r="G12" s="69" t="n">
        <v>0.05263157894736842</v>
      </c>
      <c r="H12" s="69" t="n">
        <v>0.05263157894736842</v>
      </c>
      <c r="I12" s="69" t="n">
        <v>0.05263157894736842</v>
      </c>
      <c r="J12" s="56" t="n"/>
    </row>
    <row r="13">
      <c r="A13" s="64" t="inlineStr">
        <is>
          <t>Band B · Specialist / POD Lead</t>
        </is>
      </c>
      <c r="B13" s="53" t="inlineStr">
        <is>
          <t>Korn Ferry Hay</t>
        </is>
      </c>
      <c r="C13" s="65" t="n">
        <v>0.54</v>
      </c>
      <c r="D13" s="65" t="n">
        <v>0.19</v>
      </c>
      <c r="E13" s="65" t="n">
        <v>0.06</v>
      </c>
      <c r="F13" s="65" t="n">
        <v>0.05</v>
      </c>
      <c r="G13" s="65" t="n">
        <v>0.06</v>
      </c>
      <c r="H13" s="65" t="n">
        <v>0.06</v>
      </c>
      <c r="I13" s="65" t="n">
        <v>0.04</v>
      </c>
      <c r="J13" s="53" t="n"/>
    </row>
    <row r="14">
      <c r="A14" s="64" t="inlineStr">
        <is>
          <t>Band B · Specialist / POD Lead</t>
        </is>
      </c>
      <c r="B14" s="53" t="inlineStr">
        <is>
          <t>Mercer IPE</t>
        </is>
      </c>
      <c r="C14" s="65" t="n">
        <v>0.52</v>
      </c>
      <c r="D14" s="65" t="n">
        <v>0.18</v>
      </c>
      <c r="E14" s="65" t="n">
        <v>0.08</v>
      </c>
      <c r="F14" s="65" t="n">
        <v>0.05</v>
      </c>
      <c r="G14" s="65" t="n">
        <v>0.08</v>
      </c>
      <c r="H14" s="65" t="n">
        <v>0.06</v>
      </c>
      <c r="I14" s="65" t="n">
        <v>0.04</v>
      </c>
      <c r="J14" s="53" t="n"/>
    </row>
    <row r="15">
      <c r="A15" s="64" t="inlineStr">
        <is>
          <t>Band B · Specialist / POD Lead</t>
        </is>
      </c>
      <c r="B15" s="53" t="inlineStr">
        <is>
          <t>Public plans</t>
        </is>
      </c>
      <c r="C15" s="65" t="n">
        <v>0.48</v>
      </c>
      <c r="D15" s="65" t="n">
        <v>0.15</v>
      </c>
      <c r="E15" s="65" t="n">
        <v>0.15</v>
      </c>
      <c r="F15" s="65" t="n">
        <v>0.05</v>
      </c>
      <c r="G15" s="65" t="n">
        <v>0.07000000000000001</v>
      </c>
      <c r="H15" s="65" t="n">
        <v>0.06</v>
      </c>
      <c r="I15" s="65" t="n">
        <v>0.04</v>
      </c>
      <c r="J15" s="53" t="n"/>
    </row>
    <row r="16">
      <c r="A16" s="66" t="inlineStr">
        <is>
          <t>Band B · Specialist / POD Lead</t>
        </is>
      </c>
      <c r="B16" s="43" t="inlineStr">
        <is>
          <t>Market average</t>
        </is>
      </c>
      <c r="C16" s="67" t="n">
        <v>0.513</v>
      </c>
      <c r="D16" s="67" t="n">
        <v>0.173</v>
      </c>
      <c r="E16" s="67" t="n">
        <v>0.09699999999999999</v>
      </c>
      <c r="F16" s="67" t="n">
        <v>0.05</v>
      </c>
      <c r="G16" s="67" t="n">
        <v>0.07000000000000001</v>
      </c>
      <c r="H16" s="67" t="n">
        <v>0.06</v>
      </c>
      <c r="I16" s="67" t="n">
        <v>0.04</v>
      </c>
      <c r="J16" s="43" t="inlineStr">
        <is>
          <t>C H · Au M · Ac M · L L · BI L · Exp L · Edu L</t>
        </is>
      </c>
    </row>
    <row r="17">
      <c r="A17" s="68" t="inlineStr">
        <is>
          <t>Band B · Specialist / POD Lead</t>
        </is>
      </c>
      <c r="B17" s="56" t="inlineStr">
        <is>
          <t>What L/M/H gives · L1 M3 H9</t>
        </is>
      </c>
      <c r="C17" s="69" t="n">
        <v>0.4736842105263158</v>
      </c>
      <c r="D17" s="69" t="n">
        <v>0.1578947368421053</v>
      </c>
      <c r="E17" s="69" t="n">
        <v>0.1578947368421053</v>
      </c>
      <c r="F17" s="69" t="n">
        <v>0.05263157894736842</v>
      </c>
      <c r="G17" s="69" t="n">
        <v>0.05263157894736842</v>
      </c>
      <c r="H17" s="69" t="n">
        <v>0.05263157894736842</v>
      </c>
      <c r="I17" s="69" t="n">
        <v>0.05263157894736842</v>
      </c>
      <c r="J17" s="56" t="n"/>
    </row>
    <row r="18">
      <c r="A18" s="64" t="inlineStr">
        <is>
          <t>Band B · People Manager</t>
        </is>
      </c>
      <c r="B18" s="53" t="inlineStr">
        <is>
          <t>Korn Ferry Hay</t>
        </is>
      </c>
      <c r="C18" s="65" t="n">
        <v>0.35</v>
      </c>
      <c r="D18" s="65" t="n">
        <v>0.21</v>
      </c>
      <c r="E18" s="65" t="n">
        <v>0.1</v>
      </c>
      <c r="F18" s="65" t="n">
        <v>0.15</v>
      </c>
      <c r="G18" s="65" t="n">
        <v>0.1</v>
      </c>
      <c r="H18" s="65" t="n">
        <v>0.06</v>
      </c>
      <c r="I18" s="65" t="n">
        <v>0.04</v>
      </c>
      <c r="J18" s="53" t="n"/>
    </row>
    <row r="19">
      <c r="A19" s="64" t="inlineStr">
        <is>
          <t>Band B · People Manager</t>
        </is>
      </c>
      <c r="B19" s="53" t="inlineStr">
        <is>
          <t>Mercer IPE</t>
        </is>
      </c>
      <c r="C19" s="65" t="n">
        <v>0.38</v>
      </c>
      <c r="D19" s="65" t="n">
        <v>0.19</v>
      </c>
      <c r="E19" s="65" t="n">
        <v>0.09</v>
      </c>
      <c r="F19" s="65" t="n">
        <v>0.15</v>
      </c>
      <c r="G19" s="65" t="n">
        <v>0.09</v>
      </c>
      <c r="H19" s="65" t="n">
        <v>0.06</v>
      </c>
      <c r="I19" s="65" t="n">
        <v>0.04</v>
      </c>
      <c r="J19" s="53" t="n"/>
    </row>
    <row r="20">
      <c r="A20" s="64" t="inlineStr">
        <is>
          <t>Band B · People Manager</t>
        </is>
      </c>
      <c r="B20" s="53" t="inlineStr">
        <is>
          <t>Public plans</t>
        </is>
      </c>
      <c r="C20" s="65" t="n">
        <v>0.38</v>
      </c>
      <c r="D20" s="65" t="n">
        <v>0.15</v>
      </c>
      <c r="E20" s="65" t="n">
        <v>0.15</v>
      </c>
      <c r="F20" s="65" t="n">
        <v>0.15</v>
      </c>
      <c r="G20" s="65" t="n">
        <v>0.07000000000000001</v>
      </c>
      <c r="H20" s="65" t="n">
        <v>0.06</v>
      </c>
      <c r="I20" s="65" t="n">
        <v>0.04</v>
      </c>
      <c r="J20" s="53" t="n"/>
    </row>
    <row r="21">
      <c r="A21" s="66" t="inlineStr">
        <is>
          <t>Band B · People Manager</t>
        </is>
      </c>
      <c r="B21" s="43" t="inlineStr">
        <is>
          <t>Market average</t>
        </is>
      </c>
      <c r="C21" s="67" t="n">
        <v>0.37</v>
      </c>
      <c r="D21" s="67" t="n">
        <v>0.183</v>
      </c>
      <c r="E21" s="67" t="n">
        <v>0.113</v>
      </c>
      <c r="F21" s="67" t="n">
        <v>0.15</v>
      </c>
      <c r="G21" s="67" t="n">
        <v>0.08699999999999999</v>
      </c>
      <c r="H21" s="67" t="n">
        <v>0.06</v>
      </c>
      <c r="I21" s="67" t="n">
        <v>0.04</v>
      </c>
      <c r="J21" s="43" t="inlineStr">
        <is>
          <t>C H · Au M · Ac M · L M · BI L · Exp L · Edu L</t>
        </is>
      </c>
    </row>
    <row r="22">
      <c r="A22" s="68" t="inlineStr">
        <is>
          <t>Band B · People Manager</t>
        </is>
      </c>
      <c r="B22" s="56" t="inlineStr">
        <is>
          <t>What L/M/H gives · L1 M3 H9</t>
        </is>
      </c>
      <c r="C22" s="69" t="n">
        <v>0.4285714285714285</v>
      </c>
      <c r="D22" s="69" t="n">
        <v>0.1428571428571428</v>
      </c>
      <c r="E22" s="69" t="n">
        <v>0.1428571428571428</v>
      </c>
      <c r="F22" s="69" t="n">
        <v>0.1428571428571428</v>
      </c>
      <c r="G22" s="69" t="n">
        <v>0.04761904761904762</v>
      </c>
      <c r="H22" s="69" t="n">
        <v>0.04761904761904762</v>
      </c>
      <c r="I22" s="69" t="n">
        <v>0.04761904761904762</v>
      </c>
      <c r="J22" s="56" t="n"/>
    </row>
    <row r="23">
      <c r="A23" s="64" t="inlineStr">
        <is>
          <t>B+ · Player-Coach</t>
        </is>
      </c>
      <c r="B23" s="53" t="inlineStr">
        <is>
          <t>Korn Ferry Hay</t>
        </is>
      </c>
      <c r="C23" s="65" t="n">
        <v>0.44</v>
      </c>
      <c r="D23" s="65" t="n">
        <v>0.2</v>
      </c>
      <c r="E23" s="65" t="n">
        <v>0.08</v>
      </c>
      <c r="F23" s="65" t="n">
        <v>0.1</v>
      </c>
      <c r="G23" s="65" t="n">
        <v>0.08</v>
      </c>
      <c r="H23" s="65" t="n">
        <v>0.06</v>
      </c>
      <c r="I23" s="65" t="n">
        <v>0.04</v>
      </c>
      <c r="J23" s="53" t="n"/>
    </row>
    <row r="24">
      <c r="A24" s="64" t="inlineStr">
        <is>
          <t>B+ · Player-Coach</t>
        </is>
      </c>
      <c r="B24" s="53" t="inlineStr">
        <is>
          <t>Mercer IPE</t>
        </is>
      </c>
      <c r="C24" s="65" t="n">
        <v>0.45</v>
      </c>
      <c r="D24" s="65" t="n">
        <v>0.18</v>
      </c>
      <c r="E24" s="65" t="n">
        <v>0.08</v>
      </c>
      <c r="F24" s="65" t="n">
        <v>0.1</v>
      </c>
      <c r="G24" s="65" t="n">
        <v>0.08</v>
      </c>
      <c r="H24" s="65" t="n">
        <v>0.06</v>
      </c>
      <c r="I24" s="65" t="n">
        <v>0.04</v>
      </c>
      <c r="J24" s="53" t="n"/>
    </row>
    <row r="25">
      <c r="A25" s="64" t="inlineStr">
        <is>
          <t>B+ · Player-Coach</t>
        </is>
      </c>
      <c r="B25" s="53" t="inlineStr">
        <is>
          <t>Public plans</t>
        </is>
      </c>
      <c r="C25" s="65" t="n">
        <v>0.43</v>
      </c>
      <c r="D25" s="65" t="n">
        <v>0.15</v>
      </c>
      <c r="E25" s="65" t="n">
        <v>0.15</v>
      </c>
      <c r="F25" s="65" t="n">
        <v>0.1</v>
      </c>
      <c r="G25" s="65" t="n">
        <v>0.07000000000000001</v>
      </c>
      <c r="H25" s="65" t="n">
        <v>0.06</v>
      </c>
      <c r="I25" s="65" t="n">
        <v>0.04</v>
      </c>
      <c r="J25" s="53" t="n"/>
    </row>
    <row r="26">
      <c r="A26" s="66" t="inlineStr">
        <is>
          <t>B+ · Player-Coach</t>
        </is>
      </c>
      <c r="B26" s="43" t="inlineStr">
        <is>
          <t>Market average</t>
        </is>
      </c>
      <c r="C26" s="67" t="n">
        <v>0.44</v>
      </c>
      <c r="D26" s="67" t="n">
        <v>0.177</v>
      </c>
      <c r="E26" s="67" t="n">
        <v>0.103</v>
      </c>
      <c r="F26" s="67" t="n">
        <v>0.1</v>
      </c>
      <c r="G26" s="67" t="n">
        <v>0.077</v>
      </c>
      <c r="H26" s="67" t="n">
        <v>0.06</v>
      </c>
      <c r="I26" s="67" t="n">
        <v>0.04</v>
      </c>
      <c r="J26" s="43" t="inlineStr">
        <is>
          <t>C H · Au M · Ac M · L M · BI L · Exp L · Edu L</t>
        </is>
      </c>
    </row>
    <row r="27">
      <c r="A27" s="68" t="inlineStr">
        <is>
          <t>B+ · Player-Coach</t>
        </is>
      </c>
      <c r="B27" s="56" t="inlineStr">
        <is>
          <t>What L/M/H gives · L1 M3 H9</t>
        </is>
      </c>
      <c r="C27" s="69" t="n">
        <v>0.4285714285714285</v>
      </c>
      <c r="D27" s="69" t="n">
        <v>0.1428571428571428</v>
      </c>
      <c r="E27" s="69" t="n">
        <v>0.1428571428571428</v>
      </c>
      <c r="F27" s="69" t="n">
        <v>0.1428571428571428</v>
      </c>
      <c r="G27" s="69" t="n">
        <v>0.04761904761904762</v>
      </c>
      <c r="H27" s="69" t="n">
        <v>0.04761904761904762</v>
      </c>
      <c r="I27" s="69" t="n">
        <v>0.04761904761904762</v>
      </c>
      <c r="J27" s="56" t="n"/>
    </row>
    <row r="28">
      <c r="A28" s="64" t="inlineStr">
        <is>
          <t>Band C · Principal specialist</t>
        </is>
      </c>
      <c r="B28" s="53" t="inlineStr">
        <is>
          <t>Korn Ferry Hay</t>
        </is>
      </c>
      <c r="C28" s="65" t="n">
        <v>0.55</v>
      </c>
      <c r="D28" s="65" t="n">
        <v>0.2</v>
      </c>
      <c r="E28" s="65" t="n">
        <v>0.08</v>
      </c>
      <c r="F28" s="65" t="n">
        <v>0.05</v>
      </c>
      <c r="G28" s="65" t="n">
        <v>0.08</v>
      </c>
      <c r="H28" s="65" t="n">
        <v>0.04</v>
      </c>
      <c r="I28" s="65" t="n">
        <v>0.01</v>
      </c>
      <c r="J28" s="53" t="n"/>
    </row>
    <row r="29">
      <c r="A29" s="64" t="inlineStr">
        <is>
          <t>Band C · Principal specialist</t>
        </is>
      </c>
      <c r="B29" s="53" t="inlineStr">
        <is>
          <t>Mercer IPE</t>
        </is>
      </c>
      <c r="C29" s="65" t="n">
        <v>0.55</v>
      </c>
      <c r="D29" s="65" t="n">
        <v>0.18</v>
      </c>
      <c r="E29" s="65" t="n">
        <v>0.08</v>
      </c>
      <c r="F29" s="65" t="n">
        <v>0.05</v>
      </c>
      <c r="G29" s="65" t="n">
        <v>0.08</v>
      </c>
      <c r="H29" s="65" t="n">
        <v>0.04</v>
      </c>
      <c r="I29" s="65" t="n">
        <v>0.01</v>
      </c>
      <c r="J29" s="53" t="n"/>
    </row>
    <row r="30">
      <c r="A30" s="64" t="inlineStr">
        <is>
          <t>Band C · Principal specialist</t>
        </is>
      </c>
      <c r="B30" s="53" t="inlineStr">
        <is>
          <t>Public plans</t>
        </is>
      </c>
      <c r="C30" s="65" t="n">
        <v>0.53</v>
      </c>
      <c r="D30" s="65" t="n">
        <v>0.15</v>
      </c>
      <c r="E30" s="65" t="n">
        <v>0.15</v>
      </c>
      <c r="F30" s="65" t="n">
        <v>0.05</v>
      </c>
      <c r="G30" s="65" t="n">
        <v>0.07000000000000001</v>
      </c>
      <c r="H30" s="65" t="n">
        <v>0.04</v>
      </c>
      <c r="I30" s="65" t="n">
        <v>0.01</v>
      </c>
      <c r="J30" s="53" t="n"/>
    </row>
    <row r="31">
      <c r="A31" s="66" t="inlineStr">
        <is>
          <t>Band C · Principal specialist</t>
        </is>
      </c>
      <c r="B31" s="43" t="inlineStr">
        <is>
          <t>Market average</t>
        </is>
      </c>
      <c r="C31" s="67" t="n">
        <v>0.5429999999999999</v>
      </c>
      <c r="D31" s="67" t="n">
        <v>0.177</v>
      </c>
      <c r="E31" s="67" t="n">
        <v>0.103</v>
      </c>
      <c r="F31" s="67" t="n">
        <v>0.05</v>
      </c>
      <c r="G31" s="67" t="n">
        <v>0.077</v>
      </c>
      <c r="H31" s="67" t="n">
        <v>0.04</v>
      </c>
      <c r="I31" s="67" t="n">
        <v>0.01</v>
      </c>
      <c r="J31" s="43" t="inlineStr">
        <is>
          <t>C H · Au M · Ac M · L L · BI L · Exp L · Edu L</t>
        </is>
      </c>
    </row>
    <row r="32">
      <c r="A32" s="68" t="inlineStr">
        <is>
          <t>Band C · Principal specialist</t>
        </is>
      </c>
      <c r="B32" s="56" t="inlineStr">
        <is>
          <t>What L/M/H gives · L1 M3 H9</t>
        </is>
      </c>
      <c r="C32" s="69" t="n">
        <v>0.4736842105263158</v>
      </c>
      <c r="D32" s="69" t="n">
        <v>0.1578947368421053</v>
      </c>
      <c r="E32" s="69" t="n">
        <v>0.1578947368421053</v>
      </c>
      <c r="F32" s="69" t="n">
        <v>0.05263157894736842</v>
      </c>
      <c r="G32" s="69" t="n">
        <v>0.05263157894736842</v>
      </c>
      <c r="H32" s="69" t="n">
        <v>0.05263157894736842</v>
      </c>
      <c r="I32" s="69" t="n">
        <v>0.05263157894736842</v>
      </c>
      <c r="J32" s="56" t="n"/>
    </row>
    <row r="33">
      <c r="A33" s="64" t="inlineStr">
        <is>
          <t>Band C · Head / manager</t>
        </is>
      </c>
      <c r="B33" s="53" t="inlineStr">
        <is>
          <t>Korn Ferry Hay</t>
        </is>
      </c>
      <c r="C33" s="65" t="n">
        <v>0.44</v>
      </c>
      <c r="D33" s="65" t="n">
        <v>0.2</v>
      </c>
      <c r="E33" s="65" t="n">
        <v>0.08</v>
      </c>
      <c r="F33" s="65" t="n">
        <v>0.15</v>
      </c>
      <c r="G33" s="65" t="n">
        <v>0.08</v>
      </c>
      <c r="H33" s="65" t="n">
        <v>0.04</v>
      </c>
      <c r="I33" s="65" t="n">
        <v>0.01</v>
      </c>
      <c r="J33" s="53" t="n"/>
    </row>
    <row r="34">
      <c r="A34" s="64" t="inlineStr">
        <is>
          <t>Band C · Head / manager</t>
        </is>
      </c>
      <c r="B34" s="53" t="inlineStr">
        <is>
          <t>Mercer IPE</t>
        </is>
      </c>
      <c r="C34" s="65" t="n">
        <v>0.43</v>
      </c>
      <c r="D34" s="65" t="n">
        <v>0.19</v>
      </c>
      <c r="E34" s="65" t="n">
        <v>0.09</v>
      </c>
      <c r="F34" s="65" t="n">
        <v>0.15</v>
      </c>
      <c r="G34" s="65" t="n">
        <v>0.09</v>
      </c>
      <c r="H34" s="65" t="n">
        <v>0.04</v>
      </c>
      <c r="I34" s="65" t="n">
        <v>0.01</v>
      </c>
      <c r="J34" s="53" t="n"/>
    </row>
    <row r="35">
      <c r="A35" s="64" t="inlineStr">
        <is>
          <t>Band C · Head / manager</t>
        </is>
      </c>
      <c r="B35" s="53" t="inlineStr">
        <is>
          <t>Public plans</t>
        </is>
      </c>
      <c r="C35" s="65" t="n">
        <v>0.43</v>
      </c>
      <c r="D35" s="65" t="n">
        <v>0.15</v>
      </c>
      <c r="E35" s="65" t="n">
        <v>0.15</v>
      </c>
      <c r="F35" s="65" t="n">
        <v>0.15</v>
      </c>
      <c r="G35" s="65" t="n">
        <v>0.07000000000000001</v>
      </c>
      <c r="H35" s="65" t="n">
        <v>0.04</v>
      </c>
      <c r="I35" s="65" t="n">
        <v>0.01</v>
      </c>
      <c r="J35" s="53" t="n"/>
    </row>
    <row r="36">
      <c r="A36" s="66" t="inlineStr">
        <is>
          <t>Band C · Head / manager</t>
        </is>
      </c>
      <c r="B36" s="43" t="inlineStr">
        <is>
          <t>Market average</t>
        </is>
      </c>
      <c r="C36" s="67" t="n">
        <v>0.433</v>
      </c>
      <c r="D36" s="67" t="n">
        <v>0.18</v>
      </c>
      <c r="E36" s="67" t="n">
        <v>0.107</v>
      </c>
      <c r="F36" s="67" t="n">
        <v>0.15</v>
      </c>
      <c r="G36" s="67" t="n">
        <v>0.08</v>
      </c>
      <c r="H36" s="67" t="n">
        <v>0.04</v>
      </c>
      <c r="I36" s="67" t="n">
        <v>0.01</v>
      </c>
      <c r="J36" s="43" t="inlineStr">
        <is>
          <t>C H · Au M · Ac M · L M · BI L · Exp L · Edu L</t>
        </is>
      </c>
    </row>
    <row r="37">
      <c r="A37" s="68" t="inlineStr">
        <is>
          <t>Band C · Head / manager</t>
        </is>
      </c>
      <c r="B37" s="56" t="inlineStr">
        <is>
          <t>What L/M/H gives · L1 M3 H9</t>
        </is>
      </c>
      <c r="C37" s="69" t="n">
        <v>0.4285714285714285</v>
      </c>
      <c r="D37" s="69" t="n">
        <v>0.1428571428571428</v>
      </c>
      <c r="E37" s="69" t="n">
        <v>0.1428571428571428</v>
      </c>
      <c r="F37" s="69" t="n">
        <v>0.1428571428571428</v>
      </c>
      <c r="G37" s="69" t="n">
        <v>0.04761904761904762</v>
      </c>
      <c r="H37" s="69" t="n">
        <v>0.04761904761904762</v>
      </c>
      <c r="I37" s="69" t="n">
        <v>0.04761904761904762</v>
      </c>
      <c r="J37" s="56" t="n"/>
    </row>
    <row r="38">
      <c r="A38" s="64" t="inlineStr">
        <is>
          <t>C+ · Player-Coach</t>
        </is>
      </c>
      <c r="B38" s="53" t="inlineStr">
        <is>
          <t>Korn Ferry Hay</t>
        </is>
      </c>
      <c r="C38" s="65" t="n">
        <v>0.38</v>
      </c>
      <c r="D38" s="65" t="n">
        <v>0.21</v>
      </c>
      <c r="E38" s="65" t="n">
        <v>0.08</v>
      </c>
      <c r="F38" s="65" t="n">
        <v>0.2</v>
      </c>
      <c r="G38" s="65" t="n">
        <v>0.08</v>
      </c>
      <c r="H38" s="65" t="n">
        <v>0.04</v>
      </c>
      <c r="I38" s="65" t="n">
        <v>0.01</v>
      </c>
      <c r="J38" s="53" t="n"/>
    </row>
    <row r="39">
      <c r="A39" s="64" t="inlineStr">
        <is>
          <t>C+ · Player-Coach</t>
        </is>
      </c>
      <c r="B39" s="53" t="inlineStr">
        <is>
          <t>Mercer IPE</t>
        </is>
      </c>
      <c r="C39" s="65" t="n">
        <v>0.37</v>
      </c>
      <c r="D39" s="65" t="n">
        <v>0.19</v>
      </c>
      <c r="E39" s="65" t="n">
        <v>0.09</v>
      </c>
      <c r="F39" s="65" t="n">
        <v>0.2</v>
      </c>
      <c r="G39" s="65" t="n">
        <v>0.09</v>
      </c>
      <c r="H39" s="65" t="n">
        <v>0.04</v>
      </c>
      <c r="I39" s="65" t="n">
        <v>0.01</v>
      </c>
      <c r="J39" s="53" t="n"/>
    </row>
    <row r="40">
      <c r="A40" s="64" t="inlineStr">
        <is>
          <t>C+ · Player-Coach</t>
        </is>
      </c>
      <c r="B40" s="53" t="inlineStr">
        <is>
          <t>Public plans</t>
        </is>
      </c>
      <c r="C40" s="65" t="n">
        <v>0.38</v>
      </c>
      <c r="D40" s="65" t="n">
        <v>0.15</v>
      </c>
      <c r="E40" s="65" t="n">
        <v>0.15</v>
      </c>
      <c r="F40" s="65" t="n">
        <v>0.2</v>
      </c>
      <c r="G40" s="65" t="n">
        <v>0.07000000000000001</v>
      </c>
      <c r="H40" s="65" t="n">
        <v>0.04</v>
      </c>
      <c r="I40" s="65" t="n">
        <v>0.01</v>
      </c>
      <c r="J40" s="53" t="n"/>
    </row>
    <row r="41">
      <c r="A41" s="66" t="inlineStr">
        <is>
          <t>C+ · Player-Coach</t>
        </is>
      </c>
      <c r="B41" s="43" t="inlineStr">
        <is>
          <t>Market average</t>
        </is>
      </c>
      <c r="C41" s="67" t="n">
        <v>0.377</v>
      </c>
      <c r="D41" s="67" t="n">
        <v>0.183</v>
      </c>
      <c r="E41" s="67" t="n">
        <v>0.107</v>
      </c>
      <c r="F41" s="67" t="n">
        <v>0.2</v>
      </c>
      <c r="G41" s="67" t="n">
        <v>0.08</v>
      </c>
      <c r="H41" s="67" t="n">
        <v>0.04</v>
      </c>
      <c r="I41" s="67" t="n">
        <v>0.01</v>
      </c>
      <c r="J41" s="43" t="inlineStr">
        <is>
          <t>C H · Au M · Ac M · L M · BI L · Exp L · Edu L</t>
        </is>
      </c>
    </row>
    <row r="42">
      <c r="A42" s="68" t="inlineStr">
        <is>
          <t>C+ · Player-Coach</t>
        </is>
      </c>
      <c r="B42" s="56" t="inlineStr">
        <is>
          <t>What L/M/H gives · L1 M3 H9</t>
        </is>
      </c>
      <c r="C42" s="69" t="n">
        <v>0.4285714285714285</v>
      </c>
      <c r="D42" s="69" t="n">
        <v>0.1428571428571428</v>
      </c>
      <c r="E42" s="69" t="n">
        <v>0.1428571428571428</v>
      </c>
      <c r="F42" s="69" t="n">
        <v>0.1428571428571428</v>
      </c>
      <c r="G42" s="69" t="n">
        <v>0.04761904761904762</v>
      </c>
      <c r="H42" s="69" t="n">
        <v>0.04761904761904762</v>
      </c>
      <c r="I42" s="69" t="n">
        <v>0.04761904761904762</v>
      </c>
      <c r="J42" s="56" t="n"/>
    </row>
    <row r="43">
      <c r="A43" s="64" t="inlineStr">
        <is>
          <t>Bands D–E · Leadership</t>
        </is>
      </c>
      <c r="B43" s="53" t="inlineStr">
        <is>
          <t>Korn Ferry Hay</t>
        </is>
      </c>
      <c r="C43" s="65" t="n">
        <v>0.36</v>
      </c>
      <c r="D43" s="65" t="n">
        <v>0.22</v>
      </c>
      <c r="E43" s="65" t="n">
        <v>0.09</v>
      </c>
      <c r="F43" s="65" t="n">
        <v>0.2</v>
      </c>
      <c r="G43" s="65" t="n">
        <v>0.09</v>
      </c>
      <c r="H43" s="65" t="n">
        <v>0.04</v>
      </c>
      <c r="I43" s="65" t="n">
        <v>0.01</v>
      </c>
      <c r="J43" s="53" t="n"/>
    </row>
    <row r="44">
      <c r="A44" s="64" t="inlineStr">
        <is>
          <t>Bands D–E · Leadership</t>
        </is>
      </c>
      <c r="B44" s="53" t="inlineStr">
        <is>
          <t>Mercer IPE</t>
        </is>
      </c>
      <c r="C44" s="65" t="n">
        <v>0.35</v>
      </c>
      <c r="D44" s="65" t="n">
        <v>0.2</v>
      </c>
      <c r="E44" s="65" t="n">
        <v>0.1</v>
      </c>
      <c r="F44" s="65" t="n">
        <v>0.2</v>
      </c>
      <c r="G44" s="65" t="n">
        <v>0.1</v>
      </c>
      <c r="H44" s="65" t="n">
        <v>0.04</v>
      </c>
      <c r="I44" s="65" t="n">
        <v>0.01</v>
      </c>
      <c r="J44" s="53" t="n"/>
    </row>
    <row r="45">
      <c r="A45" s="64" t="inlineStr">
        <is>
          <t>Bands D–E · Leadership</t>
        </is>
      </c>
      <c r="B45" s="53" t="inlineStr">
        <is>
          <t>Public plans</t>
        </is>
      </c>
      <c r="C45" s="65" t="n">
        <v>0.38</v>
      </c>
      <c r="D45" s="65" t="n">
        <v>0.15</v>
      </c>
      <c r="E45" s="65" t="n">
        <v>0.15</v>
      </c>
      <c r="F45" s="65" t="n">
        <v>0.2</v>
      </c>
      <c r="G45" s="65" t="n">
        <v>0.07000000000000001</v>
      </c>
      <c r="H45" s="65" t="n">
        <v>0.04</v>
      </c>
      <c r="I45" s="65" t="n">
        <v>0.01</v>
      </c>
      <c r="J45" s="53" t="n"/>
    </row>
    <row r="46">
      <c r="A46" s="66" t="inlineStr">
        <is>
          <t>Bands D–E · Leadership</t>
        </is>
      </c>
      <c r="B46" s="43" t="inlineStr">
        <is>
          <t>Market average</t>
        </is>
      </c>
      <c r="C46" s="67" t="n">
        <v>0.363</v>
      </c>
      <c r="D46" s="67" t="n">
        <v>0.19</v>
      </c>
      <c r="E46" s="67" t="n">
        <v>0.113</v>
      </c>
      <c r="F46" s="67" t="n">
        <v>0.2</v>
      </c>
      <c r="G46" s="67" t="n">
        <v>0.08699999999999999</v>
      </c>
      <c r="H46" s="67" t="n">
        <v>0.04</v>
      </c>
      <c r="I46" s="67" t="n">
        <v>0.01</v>
      </c>
      <c r="J46" s="43" t="inlineStr">
        <is>
          <t>C H · Au M · Ac M · L M · BI L · Exp L · Edu L</t>
        </is>
      </c>
    </row>
    <row r="47">
      <c r="A47" s="68" t="inlineStr">
        <is>
          <t>Bands D–E · Leadership</t>
        </is>
      </c>
      <c r="B47" s="56" t="inlineStr">
        <is>
          <t>What L/M/H gives · L1 M3 H9</t>
        </is>
      </c>
      <c r="C47" s="69" t="n">
        <v>0.4285714285714285</v>
      </c>
      <c r="D47" s="69" t="n">
        <v>0.1428571428571428</v>
      </c>
      <c r="E47" s="69" t="n">
        <v>0.1428571428571428</v>
      </c>
      <c r="F47" s="69" t="n">
        <v>0.1428571428571428</v>
      </c>
      <c r="G47" s="69" t="n">
        <v>0.04761904761904762</v>
      </c>
      <c r="H47" s="69" t="n">
        <v>0.04761904761904762</v>
      </c>
      <c r="I47" s="69" t="n">
        <v>0.04761904761904762</v>
      </c>
      <c r="J47" s="56" t="n"/>
    </row>
    <row r="49">
      <c r="A49" s="60" t="inlineStr">
        <is>
          <t>2 · How Low / Medium / High were set</t>
        </is>
      </c>
      <c r="B49" s="61" t="n"/>
      <c r="C49" s="61" t="n"/>
      <c r="D49" s="61" t="n"/>
      <c r="E49" s="61" t="n"/>
      <c r="F49" s="61" t="n"/>
      <c r="G49" s="61" t="n"/>
      <c r="H49" s="61" t="n"/>
      <c r="I49" s="61" t="n"/>
      <c r="J49" s="61" t="n"/>
      <c r="K49" s="61" t="n"/>
      <c r="L49" s="62" t="n"/>
    </row>
    <row r="50">
      <c r="A50" s="63" t="inlineStr">
        <is>
          <t>References: S46–S51 Korn Ferry Hay evaluations · S04, S52 Mercer IPE · S53–S57 NHS, UK NJC/PSC, GLPC, SJC, US OPM point-factor plans</t>
        </is>
      </c>
    </row>
    <row r="51" ht="28" customHeight="1">
      <c r="A51" s="70" t="inlineStr">
        <is>
          <t>Weightage: a market weight of 30% or more is High, 9% to under 30% is Medium, under 9% is Low. Points L 1 · M 3 · H 9 turn the choices back into shares of the score.</t>
        </is>
      </c>
    </row>
    <row r="52" ht="40.5" customHeight="1">
      <c r="A52" s="70" t="inlineStr">
        <is>
          <t>Average gap between the L/M/H shares and the market average, per role group: Band A · all tracks 3.7 pts · Band B · Specialist / POD Lead 2.2 pts · Band B · People Manager 2.8 pts · B+ · Player-Coach 2.5 pts · Band C · Principal specialist 3.2 pts · Band C · Head / manager 2.3 pts · C+ · Player-Coach 3.7 pts · Bands D–E · Leadership 4.1 pts</t>
        </is>
      </c>
    </row>
    <row r="53" ht="40.5" customHeight="1">
      <c r="A53" s="70" t="inlineStr">
        <is>
          <t>Assessment: Low = −1, Medium = 0, High = +1 level against what the role &amp; band matrix describes. The weighted net of the seven moves the person one level from the HR proposed level when it reaches ±0.5, so a business head can move a person by one level through the parameters, or set any band with the override.</t>
        </is>
      </c>
    </row>
    <row r="54" ht="28" customHeight="1">
      <c r="A54" s="70" t="inlineStr">
        <is>
          <t>Experience and Education are split from the single Experience &amp; Qualification weight: Bands A–B and B+ 60 / 40, Bands C–E 80 / 20 — education counts less as proven work grows. This split is an IRIS rule, supported by the skills-first evidence in S58, S60 and S61.</t>
        </is>
      </c>
    </row>
    <row r="55" ht="40.5" customHeight="1">
      <c r="A55" s="70" t="inlineStr">
        <is>
          <t>Type of work shifts ±5 points in Bands A–C and B+, as in the HR Super Master: technology +Complexity −Accountability; product +Autonomy −Complexity; delivery +Accountability −Complexity; support +Business Impact −Complexity; sales +Business Impact +Autonomy −Complexity −Accountability; corporate +Education −Complexity.</t>
        </is>
      </c>
    </row>
    <row r="57">
      <c r="A57" s="60" t="inlineStr">
        <is>
          <t>3 · Level crosswalk — market codes, experience, education and span by level</t>
        </is>
      </c>
      <c r="B57" s="61" t="n"/>
      <c r="C57" s="61" t="n"/>
      <c r="D57" s="61" t="n"/>
      <c r="E57" s="61" t="n"/>
      <c r="F57" s="61" t="n"/>
      <c r="G57" s="61" t="n"/>
      <c r="H57" s="61" t="n"/>
      <c r="I57" s="61" t="n"/>
      <c r="J57" s="61" t="n"/>
      <c r="K57" s="61" t="n"/>
      <c r="L57" s="62" t="n"/>
    </row>
    <row r="58">
      <c r="A58" s="63" t="inlineStr">
        <is>
          <t>References: S01 Aon Radford · S02 Pave · S08 SFIA 9 · S03 Mercer career levels · S32 Google, Microsoft, Amazon · S33 Infosys · S35 Accenture India · IRIS experience guide · S09 McKinsey spans of control · S37 GitLab layers · S44 Google Tech Lead Manager</t>
        </is>
      </c>
    </row>
    <row r="59">
      <c r="A59" s="27" t="inlineStr">
        <is>
          <t>Level</t>
        </is>
      </c>
      <c r="B59" s="27" t="inlineStr">
        <is>
          <t>Radford / Mercer</t>
        </is>
      </c>
      <c r="C59" s="27" t="inlineStr">
        <is>
          <t>Pave</t>
        </is>
      </c>
      <c r="D59" s="27" t="inlineStr">
        <is>
          <t>SFIA 9</t>
        </is>
      </c>
      <c r="E59" s="27" t="inlineStr">
        <is>
          <t>Google</t>
        </is>
      </c>
      <c r="F59" s="27" t="inlineStr">
        <is>
          <t>Infosys</t>
        </is>
      </c>
      <c r="G59" s="27" t="inlineStr">
        <is>
          <t>Accenture India</t>
        </is>
      </c>
      <c r="H59" s="27" t="inlineStr">
        <is>
          <t>Big Four</t>
        </is>
      </c>
      <c r="I59" s="27" t="inlineStr">
        <is>
          <t>IRIS experience</t>
        </is>
      </c>
      <c r="J59" s="27" t="inlineStr">
        <is>
          <t>Market experience</t>
        </is>
      </c>
      <c r="K59" s="27" t="inlineStr">
        <is>
          <t>Education norm</t>
        </is>
      </c>
      <c r="L59" s="27" t="inlineStr">
        <is>
          <t>Span norm</t>
        </is>
      </c>
    </row>
    <row r="60">
      <c r="A60" s="64" t="inlineStr">
        <is>
          <t>E2</t>
        </is>
      </c>
      <c r="B60" s="53" t="inlineStr">
        <is>
          <t>E6</t>
        </is>
      </c>
      <c r="C60" s="53" t="inlineStr">
        <is>
          <t>C-Level · CEO</t>
        </is>
      </c>
      <c r="D60" s="53" t="inlineStr">
        <is>
          <t>7</t>
        </is>
      </c>
      <c r="E60" s="53" t="inlineStr">
        <is>
          <t>—</t>
        </is>
      </c>
      <c r="F60" s="53" t="inlineStr">
        <is>
          <t>—</t>
        </is>
      </c>
      <c r="G60" s="53" t="inlineStr">
        <is>
          <t>—</t>
        </is>
      </c>
      <c r="H60" s="53" t="inlineStr">
        <is>
          <t>—</t>
        </is>
      </c>
      <c r="I60" s="53" t="inlineStr">
        <is>
          <t>20+ yrs</t>
        </is>
      </c>
      <c r="J60" s="53" t="inlineStr">
        <is>
          <t>—</t>
        </is>
      </c>
      <c r="K60" s="53" t="inlineStr">
        <is>
          <t>Postgraduate / professional qualification; proven business leadership</t>
        </is>
      </c>
      <c r="L60" s="53" t="inlineStr">
        <is>
          <t>Executive team</t>
        </is>
      </c>
    </row>
    <row r="61">
      <c r="A61" s="64" t="inlineStr">
        <is>
          <t>E1</t>
        </is>
      </c>
      <c r="B61" s="53" t="inlineStr">
        <is>
          <t>E5</t>
        </is>
      </c>
      <c r="C61" s="53" t="inlineStr">
        <is>
          <t>C-Level</t>
        </is>
      </c>
      <c r="D61" s="53" t="inlineStr">
        <is>
          <t>7</t>
        </is>
      </c>
      <c r="E61" s="53" t="inlineStr">
        <is>
          <t>—</t>
        </is>
      </c>
      <c r="F61" s="53" t="inlineStr">
        <is>
          <t>—</t>
        </is>
      </c>
      <c r="G61" s="53" t="inlineStr">
        <is>
          <t>—</t>
        </is>
      </c>
      <c r="H61" s="53" t="inlineStr">
        <is>
          <t>—</t>
        </is>
      </c>
      <c r="I61" s="53" t="inlineStr">
        <is>
          <t>20+ yrs</t>
        </is>
      </c>
      <c r="J61" s="53" t="inlineStr">
        <is>
          <t>—</t>
        </is>
      </c>
      <c r="K61" s="53" t="inlineStr">
        <is>
          <t>Postgraduate / professional qualification; business leadership record</t>
        </is>
      </c>
      <c r="L61" s="53" t="inlineStr">
        <is>
          <t>5–8 function heads</t>
        </is>
      </c>
    </row>
    <row r="62">
      <c r="A62" s="64" t="inlineStr">
        <is>
          <t>D2</t>
        </is>
      </c>
      <c r="B62" s="53" t="inlineStr">
        <is>
          <t>E3–E4</t>
        </is>
      </c>
      <c r="C62" s="53" t="inlineStr">
        <is>
          <t>SVP</t>
        </is>
      </c>
      <c r="D62" s="53" t="inlineStr">
        <is>
          <t>7 Set strategy</t>
        </is>
      </c>
      <c r="E62" s="53" t="inlineStr">
        <is>
          <t>L8 · Director</t>
        </is>
      </c>
      <c r="F62" s="53" t="inlineStr">
        <is>
          <t>—</t>
        </is>
      </c>
      <c r="G62" s="53" t="inlineStr">
        <is>
          <t>—</t>
        </is>
      </c>
      <c r="H62" s="53" t="inlineStr">
        <is>
          <t>Partner</t>
        </is>
      </c>
      <c r="I62" s="53" t="inlineStr">
        <is>
          <t>18–24 yrs</t>
        </is>
      </c>
      <c r="J62" s="53" t="inlineStr">
        <is>
          <t>—</t>
        </is>
      </c>
      <c r="K62" s="53" t="inlineStr">
        <is>
          <t>Postgraduate / professional qualification preferred</t>
        </is>
      </c>
      <c r="L62" s="53" t="inlineStr">
        <is>
          <t>5–8 AVPs / heads</t>
        </is>
      </c>
    </row>
    <row r="63">
      <c r="A63" s="64" t="inlineStr">
        <is>
          <t>D1</t>
        </is>
      </c>
      <c r="B63" s="53" t="inlineStr">
        <is>
          <t>E1–E2</t>
        </is>
      </c>
      <c r="C63" s="53" t="inlineStr">
        <is>
          <t>VP</t>
        </is>
      </c>
      <c r="D63" s="53" t="inlineStr">
        <is>
          <t>6–7</t>
        </is>
      </c>
      <c r="E63" s="53" t="inlineStr">
        <is>
          <t>L7</t>
        </is>
      </c>
      <c r="F63" s="53" t="inlineStr">
        <is>
          <t>JL7</t>
        </is>
      </c>
      <c r="G63" s="53" t="inlineStr">
        <is>
          <t>L5 Associate Director</t>
        </is>
      </c>
      <c r="H63" s="53" t="inlineStr">
        <is>
          <t>Director</t>
        </is>
      </c>
      <c r="I63" s="53" t="inlineStr">
        <is>
          <t>15–20 yrs</t>
        </is>
      </c>
      <c r="J63" s="53" t="inlineStr">
        <is>
          <t>—</t>
        </is>
      </c>
      <c r="K63" s="53" t="inlineStr">
        <is>
          <t>Postgraduate / professional qualification preferred</t>
        </is>
      </c>
      <c r="L63" s="53" t="inlineStr">
        <is>
          <t>5–8 heads</t>
        </is>
      </c>
    </row>
    <row r="64">
      <c r="A64" s="64" t="inlineStr">
        <is>
          <t>C+</t>
        </is>
      </c>
      <c r="B64" s="53" t="inlineStr">
        <is>
          <t>M6 / E1</t>
        </is>
      </c>
      <c r="C64" s="53" t="inlineStr">
        <is>
          <t>Senior Director · player-coach</t>
        </is>
      </c>
      <c r="D64" s="53" t="inlineStr">
        <is>
          <t>6 Initiate, influence</t>
        </is>
      </c>
      <c r="E64" s="53" t="inlineStr">
        <is>
          <t>L7 · Senior Staff / Senior Manager</t>
        </is>
      </c>
      <c r="F64" s="53" t="inlineStr">
        <is>
          <t>JL6A</t>
        </is>
      </c>
      <c r="G64" s="53" t="inlineStr">
        <is>
          <t>L6 Senior Manager</t>
        </is>
      </c>
      <c r="H64" s="53" t="inlineStr">
        <is>
          <t>Director · billable</t>
        </is>
      </c>
      <c r="I64" s="53" t="inlineStr">
        <is>
          <t>13–18 yrs</t>
        </is>
      </c>
      <c r="J64" s="53" t="inlineStr">
        <is>
          <t>15–18</t>
        </is>
      </c>
      <c r="K64" s="53" t="inlineStr">
        <is>
          <t>Postgraduate / professional qualification preferred</t>
        </is>
      </c>
      <c r="L64" s="53" t="inlineStr">
        <is>
          <t>4–8 managers / leads with ≥ 25% of time on own principal delivery</t>
        </is>
      </c>
    </row>
    <row r="65">
      <c r="A65" s="64" t="inlineStr">
        <is>
          <t>C2</t>
        </is>
      </c>
      <c r="B65" s="53" t="inlineStr">
        <is>
          <t>P7 / M6</t>
        </is>
      </c>
      <c r="C65" s="53" t="inlineStr">
        <is>
          <t>— / Senior Director</t>
        </is>
      </c>
      <c r="D65" s="53" t="inlineStr">
        <is>
          <t>6 Initiate, influence</t>
        </is>
      </c>
      <c r="E65" s="53" t="inlineStr">
        <is>
          <t>L6–L7</t>
        </is>
      </c>
      <c r="F65" s="53" t="inlineStr">
        <is>
          <t>JL6A Senior Technology Architect</t>
        </is>
      </c>
      <c r="G65" s="53" t="inlineStr">
        <is>
          <t>L6 Senior Manager</t>
        </is>
      </c>
      <c r="H65" s="53" t="inlineStr">
        <is>
          <t>Associate Director – Director</t>
        </is>
      </c>
      <c r="I65" s="53" t="inlineStr">
        <is>
          <t>12–17 yrs</t>
        </is>
      </c>
      <c r="J65" s="53" t="inlineStr">
        <is>
          <t>—</t>
        </is>
      </c>
      <c r="K65" s="53" t="inlineStr">
        <is>
          <t>Postgraduate / professional qualification preferred</t>
        </is>
      </c>
      <c r="L65" s="53" t="inlineStr">
        <is>
          <t>5–8 managers / associate heads</t>
        </is>
      </c>
    </row>
    <row r="66">
      <c r="A66" s="64" t="inlineStr">
        <is>
          <t>C1</t>
        </is>
      </c>
      <c r="B66" s="53" t="inlineStr">
        <is>
          <t>P6 / M5</t>
        </is>
      </c>
      <c r="C66" s="53" t="inlineStr">
        <is>
          <t>Principal / Director</t>
        </is>
      </c>
      <c r="D66" s="53" t="inlineStr">
        <is>
          <t>5–6</t>
        </is>
      </c>
      <c r="E66" s="53" t="inlineStr">
        <is>
          <t>L6 · Staff</t>
        </is>
      </c>
      <c r="F66" s="53" t="inlineStr">
        <is>
          <t>JL6B</t>
        </is>
      </c>
      <c r="G66" s="53" t="inlineStr">
        <is>
          <t>L7 Manager</t>
        </is>
      </c>
      <c r="H66" s="53" t="inlineStr">
        <is>
          <t>Associate Director</t>
        </is>
      </c>
      <c r="I66" s="53" t="inlineStr">
        <is>
          <t>10–14 yrs</t>
        </is>
      </c>
      <c r="J66" s="53" t="inlineStr">
        <is>
          <t>12–17</t>
        </is>
      </c>
      <c r="K66" s="53" t="inlineStr">
        <is>
          <t>Postgraduate / professional qualification preferred</t>
        </is>
      </c>
      <c r="L66" s="53" t="inlineStr">
        <is>
          <t>5–8, mostly managers</t>
        </is>
      </c>
    </row>
    <row r="67">
      <c r="A67" s="64" t="inlineStr">
        <is>
          <t>B+</t>
        </is>
      </c>
      <c r="B67" s="53" t="inlineStr">
        <is>
          <t>P5–P6 / M4–M5</t>
        </is>
      </c>
      <c r="C67" s="53" t="inlineStr">
        <is>
          <t>Expert / Senior Manager · player-coach</t>
        </is>
      </c>
      <c r="D67" s="53" t="inlineStr">
        <is>
          <t>5 Ensure, advise</t>
        </is>
      </c>
      <c r="E67" s="53" t="inlineStr">
        <is>
          <t>L5–L6 · Tech Lead Manager</t>
        </is>
      </c>
      <c r="F67" s="53" t="inlineStr">
        <is>
          <t>JL6B Technology Architect / PM</t>
        </is>
      </c>
      <c r="G67" s="53" t="inlineStr">
        <is>
          <t>L7 Manager</t>
        </is>
      </c>
      <c r="H67" s="53" t="inlineStr">
        <is>
          <t>Senior Manager · billable</t>
        </is>
      </c>
      <c r="I67" s="53" t="inlineStr">
        <is>
          <t>9–14 yrs</t>
        </is>
      </c>
      <c r="J67" s="53" t="inlineStr">
        <is>
          <t>9–14</t>
        </is>
      </c>
      <c r="K67" s="53" t="inlineStr">
        <is>
          <t>Postgraduate or professional qualification preferred</t>
        </is>
      </c>
      <c r="L67" s="53" t="inlineStr">
        <is>
          <t>3–6 direct reports with ≥ 40% of time on own delivery · McKinsey player/coach 3–5; Google Tech Lead Manager</t>
        </is>
      </c>
    </row>
    <row r="68">
      <c r="A68" s="64" t="inlineStr">
        <is>
          <t>B3</t>
        </is>
      </c>
      <c r="B68" s="53" t="inlineStr">
        <is>
          <t>P5 / M4</t>
        </is>
      </c>
      <c r="C68" s="53" t="inlineStr">
        <is>
          <t>Expert / Senior Manager</t>
        </is>
      </c>
      <c r="D68" s="53" t="inlineStr">
        <is>
          <t>5 Ensure, advise</t>
        </is>
      </c>
      <c r="E68" s="53" t="inlineStr">
        <is>
          <t>L5 · Senior</t>
        </is>
      </c>
      <c r="F68" s="53" t="inlineStr">
        <is>
          <t>JL5–JL6B</t>
        </is>
      </c>
      <c r="G68" s="53" t="inlineStr">
        <is>
          <t>L7 Manager</t>
        </is>
      </c>
      <c r="H68" s="53" t="inlineStr">
        <is>
          <t>Senior Manager</t>
        </is>
      </c>
      <c r="I68" s="53" t="inlineStr">
        <is>
          <t>8–12 yrs</t>
        </is>
      </c>
      <c r="J68" s="53" t="inlineStr">
        <is>
          <t>8–13</t>
        </is>
      </c>
      <c r="K68" s="53" t="inlineStr">
        <is>
          <t>Postgraduate or professional qualification preferred</t>
        </is>
      </c>
      <c r="L68" s="53" t="inlineStr">
        <is>
          <t>IC: none · People: 5–8 incl. team leads</t>
        </is>
      </c>
    </row>
    <row r="69">
      <c r="A69" s="64" t="inlineStr">
        <is>
          <t>B2</t>
        </is>
      </c>
      <c r="B69" s="53" t="inlineStr">
        <is>
          <t>P4 / M3</t>
        </is>
      </c>
      <c r="C69" s="53" t="inlineStr">
        <is>
          <t>Senior / Manager</t>
        </is>
      </c>
      <c r="D69" s="53" t="inlineStr">
        <is>
          <t>4–5</t>
        </is>
      </c>
      <c r="E69" s="53" t="inlineStr">
        <is>
          <t>L5 · Senior</t>
        </is>
      </c>
      <c r="F69" s="53" t="inlineStr">
        <is>
          <t>JL5 Technology Lead</t>
        </is>
      </c>
      <c r="G69" s="53" t="inlineStr">
        <is>
          <t>L8 Associate Manager</t>
        </is>
      </c>
      <c r="H69" s="53" t="inlineStr">
        <is>
          <t>Manager</t>
        </is>
      </c>
      <c r="I69" s="53" t="inlineStr">
        <is>
          <t>6–9 yrs</t>
        </is>
      </c>
      <c r="J69" s="53" t="inlineStr">
        <is>
          <t>6–10</t>
        </is>
      </c>
      <c r="K69" s="53" t="inlineStr">
        <is>
          <t>Graduate or postgraduate; professional qualification preferred</t>
        </is>
      </c>
      <c r="L69" s="53" t="inlineStr">
        <is>
          <t>IC: none · People: 6–8 knowledge work, 8–12 standardised delivery</t>
        </is>
      </c>
    </row>
    <row r="70">
      <c r="A70" s="64" t="inlineStr">
        <is>
          <t>B1</t>
        </is>
      </c>
      <c r="B70" s="53" t="inlineStr">
        <is>
          <t>P3 / M2</t>
        </is>
      </c>
      <c r="C70" s="53" t="inlineStr">
        <is>
          <t>Career / · Team Lead</t>
        </is>
      </c>
      <c r="D70" s="53" t="inlineStr">
        <is>
          <t>4 Enable</t>
        </is>
      </c>
      <c r="E70" s="53" t="inlineStr">
        <is>
          <t>L4</t>
        </is>
      </c>
      <c r="F70" s="53" t="inlineStr">
        <is>
          <t>JL4 Technology Analyst</t>
        </is>
      </c>
      <c r="G70" s="53" t="inlineStr">
        <is>
          <t>L9 Team Lead / Consultant</t>
        </is>
      </c>
      <c r="H70" s="53" t="inlineStr">
        <is>
          <t>Senior Consultant / Assistant Manager</t>
        </is>
      </c>
      <c r="I70" s="53" t="inlineStr">
        <is>
          <t>4–7 yrs</t>
        </is>
      </c>
      <c r="J70" s="53" t="inlineStr">
        <is>
          <t>4–8</t>
        </is>
      </c>
      <c r="K70" s="53" t="inlineStr">
        <is>
          <t>Graduate + relevant qualification or certification preferred</t>
        </is>
      </c>
      <c r="L70" s="53" t="inlineStr">
        <is>
          <t>IC: none · Team Lead: 3–5</t>
        </is>
      </c>
    </row>
    <row r="71">
      <c r="A71" s="64" t="inlineStr">
        <is>
          <t>A3</t>
        </is>
      </c>
      <c r="B71" s="53" t="inlineStr">
        <is>
          <t>P2</t>
        </is>
      </c>
      <c r="C71" s="53" t="inlineStr">
        <is>
          <t>Developing</t>
        </is>
      </c>
      <c r="D71" s="53" t="inlineStr">
        <is>
          <t>3 Apply</t>
        </is>
      </c>
      <c r="E71" s="53" t="inlineStr">
        <is>
          <t>L3–L4</t>
        </is>
      </c>
      <c r="F71" s="53" t="inlineStr">
        <is>
          <t>JL3A Senior Systems Engineer</t>
        </is>
      </c>
      <c r="G71" s="53" t="inlineStr">
        <is>
          <t>L11–L10 · Senior Analyst</t>
        </is>
      </c>
      <c r="H71" s="53" t="inlineStr">
        <is>
          <t>Consultant</t>
        </is>
      </c>
      <c r="I71" s="53" t="inlineStr">
        <is>
          <t>2–4 yrs</t>
        </is>
      </c>
      <c r="J71" s="53" t="inlineStr">
        <is>
          <t>2–5</t>
        </is>
      </c>
      <c r="K71" s="53" t="inlineStr">
        <is>
          <t>Graduate; relevant certification preferred</t>
        </is>
      </c>
      <c r="L71" s="53" t="inlineStr">
        <is>
          <t>None · guides 1–3 juniors informally</t>
        </is>
      </c>
    </row>
    <row r="72">
      <c r="A72" s="64" t="inlineStr">
        <is>
          <t>A2</t>
        </is>
      </c>
      <c r="B72" s="53" t="inlineStr">
        <is>
          <t>P1–P2</t>
        </is>
      </c>
      <c r="C72" s="53" t="inlineStr">
        <is>
          <t>Entry / Developing</t>
        </is>
      </c>
      <c r="D72" s="53" t="inlineStr">
        <is>
          <t>2 Assist</t>
        </is>
      </c>
      <c r="E72" s="53" t="inlineStr">
        <is>
          <t>L3</t>
        </is>
      </c>
      <c r="F72" s="53" t="inlineStr">
        <is>
          <t>JL3B Systems Engineer</t>
        </is>
      </c>
      <c r="G72" s="53" t="inlineStr">
        <is>
          <t>L11 Analyst</t>
        </is>
      </c>
      <c r="H72" s="53" t="inlineStr">
        <is>
          <t>Analyst</t>
        </is>
      </c>
      <c r="I72" s="53" t="inlineStr">
        <is>
          <t>0–2 yrs</t>
        </is>
      </c>
      <c r="J72" s="53" t="inlineStr">
        <is>
          <t>0–3</t>
        </is>
      </c>
      <c r="K72" s="53" t="inlineStr">
        <is>
          <t>Graduate · or diploma with experience</t>
        </is>
      </c>
      <c r="L72" s="53" t="inlineStr">
        <is>
          <t>No direct reports</t>
        </is>
      </c>
    </row>
    <row r="73">
      <c r="A73" s="64" t="inlineStr">
        <is>
          <t>A1</t>
        </is>
      </c>
      <c r="B73" s="53" t="inlineStr">
        <is>
          <t>Entry / P1 · intern</t>
        </is>
      </c>
      <c r="C73" s="53" t="inlineStr">
        <is>
          <t>Entry</t>
        </is>
      </c>
      <c r="D73" s="53" t="inlineStr">
        <is>
          <t>1 Follow</t>
        </is>
      </c>
      <c r="E73" s="53" t="inlineStr">
        <is>
          <t>Intern</t>
        </is>
      </c>
      <c r="F73" s="53" t="inlineStr">
        <is>
          <t>Trainee</t>
        </is>
      </c>
      <c r="G73" s="53" t="inlineStr">
        <is>
          <t>L12 Associate</t>
        </is>
      </c>
      <c r="H73" s="53" t="inlineStr">
        <is>
          <t>Intern / Trainee</t>
        </is>
      </c>
      <c r="I73" s="53" t="inlineStr">
        <is>
          <t>0 yrs · fresher / intern</t>
        </is>
      </c>
      <c r="J73" s="53" t="inlineStr">
        <is>
          <t>—</t>
        </is>
      </c>
      <c r="K73" s="53" t="inlineStr">
        <is>
          <t>Pursuing or completed graduation / diploma</t>
        </is>
      </c>
      <c r="L73" s="53" t="inlineStr">
        <is>
          <t>No direct reports</t>
        </is>
      </c>
    </row>
    <row r="75">
      <c r="A75" s="60" t="inlineStr">
        <is>
          <t>4 · Spans of control</t>
        </is>
      </c>
      <c r="B75" s="61" t="n"/>
      <c r="C75" s="61" t="n"/>
      <c r="D75" s="61" t="n"/>
      <c r="E75" s="61" t="n"/>
      <c r="F75" s="61" t="n"/>
      <c r="G75" s="61" t="n"/>
      <c r="H75" s="61" t="n"/>
      <c r="I75" s="61" t="n"/>
      <c r="J75" s="61" t="n"/>
      <c r="K75" s="61" t="n"/>
      <c r="L75" s="62" t="n"/>
    </row>
    <row r="76">
      <c r="A76" s="63" t="inlineStr">
        <is>
          <t>References: S09 McKinsey spans of control · S37 GitLab layers · S44 Google Tech Lead Manager</t>
        </is>
      </c>
    </row>
    <row r="77">
      <c r="A77" s="27" t="inlineStr">
        <is>
          <t>Role</t>
        </is>
      </c>
      <c r="B77" s="27" t="inlineStr">
        <is>
          <t>McKinsey archetype</t>
        </is>
      </c>
      <c r="C77" s="27" t="inlineStr">
        <is>
          <t>Span norm</t>
        </is>
      </c>
      <c r="D77" s="27" t="inlineStr">
        <is>
          <t>When it applies</t>
        </is>
      </c>
      <c r="E77" s="27" t="inlineStr">
        <is>
          <t>Sources</t>
        </is>
      </c>
    </row>
    <row r="78">
      <c r="A78" s="64" t="inlineStr">
        <is>
          <t>B1 Team Lead / POD Lead</t>
        </is>
      </c>
      <c r="B78" s="53" t="inlineStr">
        <is>
          <t>Player / coach</t>
        </is>
      </c>
      <c r="C78" s="53" t="inlineStr">
        <is>
          <t>3–5 · POD Lead 1–3</t>
        </is>
      </c>
      <c r="D78" s="53" t="inlineStr">
        <is>
          <t>Does own work and leads a small team</t>
        </is>
      </c>
      <c r="E78" s="53" t="inlineStr">
        <is>
          <t>S09, S03</t>
        </is>
      </c>
    </row>
    <row r="79">
      <c r="A79" s="64" t="inlineStr">
        <is>
          <t>B2 Manager — knowledge work</t>
        </is>
      </c>
      <c r="B79" s="53" t="inlineStr">
        <is>
          <t>Coach</t>
        </is>
      </c>
      <c r="C79" s="53" t="inlineStr">
        <is>
          <t>6–7 · up to 8</t>
        </is>
      </c>
      <c r="D79" s="53" t="inlineStr">
        <is>
          <t>Non-standard work, varied team</t>
        </is>
      </c>
      <c r="E79" s="53" t="inlineStr">
        <is>
          <t>S09</t>
        </is>
      </c>
    </row>
    <row r="80">
      <c r="A80" s="64" t="inlineStr">
        <is>
          <t>B2 Manager — standardised delivery</t>
        </is>
      </c>
      <c r="B80" s="53" t="inlineStr">
        <is>
          <t>Supervisor</t>
        </is>
      </c>
      <c r="C80" s="53" t="inlineStr">
        <is>
          <t>8–10 · up to 12</t>
        </is>
      </c>
      <c r="D80" s="53" t="inlineStr">
        <is>
          <t>Standard, repeatable work · Services, Digitizing</t>
        </is>
      </c>
      <c r="E80" s="53" t="inlineStr">
        <is>
          <t>S09</t>
        </is>
      </c>
    </row>
    <row r="81">
      <c r="A81" s="64" t="inlineStr">
        <is>
          <t>B3 Senior Manager</t>
        </is>
      </c>
      <c r="B81" s="53" t="inlineStr">
        <is>
          <t>Coach / facilitator</t>
        </is>
      </c>
      <c r="C81" s="53" t="inlineStr">
        <is>
          <t>5–8 including team leads</t>
        </is>
      </c>
      <c r="D81" s="53" t="inlineStr">
        <is>
          <t>Manages through team leads</t>
        </is>
      </c>
      <c r="E81" s="53" t="inlineStr">
        <is>
          <t>S09</t>
        </is>
      </c>
    </row>
    <row r="82">
      <c r="A82" s="64" t="inlineStr">
        <is>
          <t>B+ Practice Lead · Player-Coach</t>
        </is>
      </c>
      <c r="B82" s="53" t="inlineStr">
        <is>
          <t>Player / coach</t>
        </is>
      </c>
      <c r="C82" s="53" t="inlineStr">
        <is>
          <t>3–6, with ≥ 40% own delivery</t>
        </is>
      </c>
      <c r="D82" s="53" t="inlineStr">
        <is>
          <t>Leads a practice or pod and still does the hardest work · Google Tech Lead Manager</t>
        </is>
      </c>
      <c r="E82" s="53" t="inlineStr">
        <is>
          <t>S09, S44</t>
        </is>
      </c>
    </row>
    <row r="83">
      <c r="A83" s="64" t="inlineStr">
        <is>
          <t>C+ Group Head · Player-Coach</t>
        </is>
      </c>
      <c r="B83" s="53" t="inlineStr">
        <is>
          <t>Player / coach at function level</t>
        </is>
      </c>
      <c r="C83" s="53" t="inlineStr">
        <is>
          <t>4–8 managers / leads, ≥ 25% own delivery</t>
        </is>
      </c>
      <c r="D83" s="53" t="inlineStr">
        <is>
          <t>Heads a function and personally carries critical clients or principal work</t>
        </is>
      </c>
      <c r="E83" s="53" t="inlineStr">
        <is>
          <t>S09, S45</t>
        </is>
      </c>
    </row>
    <row r="84">
      <c r="A84" s="64" t="inlineStr">
        <is>
          <t>High-volume operations heads</t>
        </is>
      </c>
      <c r="B84" s="53" t="inlineStr">
        <is>
          <t>Facilitator</t>
        </is>
      </c>
      <c r="C84" s="53" t="inlineStr">
        <is>
          <t>11–15</t>
        </is>
      </c>
      <c r="D84" s="53" t="inlineStr">
        <is>
          <t>Highly standard work with strong team leads</t>
        </is>
      </c>
      <c r="E84" s="53" t="inlineStr">
        <is>
          <t>S09</t>
        </is>
      </c>
    </row>
    <row r="85">
      <c r="A85" s="64" t="inlineStr">
        <is>
          <t>C1–E2 Heads and executives</t>
        </is>
      </c>
      <c r="B85" s="53" t="inlineStr">
        <is>
          <t>Coach</t>
        </is>
      </c>
      <c r="C85" s="53" t="inlineStr">
        <is>
          <t>5–8 heads / managers</t>
        </is>
      </c>
      <c r="D85" s="53" t="inlineStr">
        <is>
          <t>Strategic, varied direct reports</t>
        </is>
      </c>
      <c r="E85" s="53" t="inlineStr">
        <is>
          <t>S09, S37</t>
        </is>
      </c>
    </row>
    <row r="86">
      <c r="A86" s="64" t="inlineStr">
        <is>
          <t>Layers</t>
        </is>
      </c>
      <c r="B86" s="53" t="inlineStr">
        <is>
          <t>—</t>
        </is>
      </c>
      <c r="C86" s="53" t="inlineStr">
        <is>
          <t>≤ 8 layers CEO → A1</t>
        </is>
      </c>
      <c r="D86" s="53" t="inlineStr">
        <is>
          <t>GitLab runs at most eight layers; more layers slow decisions</t>
        </is>
      </c>
      <c r="E86" s="53" t="inlineStr">
        <is>
          <t>S37</t>
        </is>
      </c>
    </row>
    <row r="88">
      <c r="A88" s="60" t="inlineStr">
        <is>
          <t>5 · The public point-factor plans</t>
        </is>
      </c>
      <c r="B88" s="61" t="n"/>
      <c r="C88" s="61" t="n"/>
      <c r="D88" s="61" t="n"/>
      <c r="E88" s="61" t="n"/>
      <c r="F88" s="61" t="n"/>
      <c r="G88" s="61" t="n"/>
      <c r="H88" s="61" t="n"/>
      <c r="I88" s="61" t="n"/>
      <c r="J88" s="61" t="n"/>
      <c r="K88" s="61" t="n"/>
      <c r="L88" s="62" t="n"/>
    </row>
    <row r="89">
      <c r="A89" s="63" t="inlineStr">
        <is>
          <t>References: S46–S51 Korn Ferry Hay evaluations · S04, S52 Mercer IPE · S53–S57 NHS, UK NJC/PSC, GLPC, SJC, US OPM point-factor plans</t>
        </is>
      </c>
    </row>
    <row r="90">
      <c r="A90" s="27" t="inlineStr">
        <is>
          <t>Plan</t>
        </is>
      </c>
      <c r="B90" s="27" t="inlineStr">
        <is>
          <t>Complexity &amp; Expertise</t>
        </is>
      </c>
      <c r="C90" s="27" t="inlineStr">
        <is>
          <t>Autonomy &amp; Decision</t>
        </is>
      </c>
      <c r="D90" s="27" t="inlineStr">
        <is>
          <t>Accountability &amp; Impact</t>
        </is>
      </c>
      <c r="E90" s="27" t="inlineStr">
        <is>
          <t>Leadership &amp; Strategy</t>
        </is>
      </c>
      <c r="F90" s="27" t="inlineStr">
        <is>
          <t>Business Impact</t>
        </is>
      </c>
      <c r="G90" s="27" t="inlineStr">
        <is>
          <t>Effort and conditions removed</t>
        </is>
      </c>
      <c r="H90" s="27" t="inlineStr">
        <is>
          <t>Source</t>
        </is>
      </c>
    </row>
    <row r="91">
      <c r="A91" s="64" t="inlineStr">
        <is>
          <t>NHS Agenda for Change Job Evaluation Scheme · 16 factors, 1,000 points</t>
        </is>
      </c>
      <c r="B91" s="53" t="inlineStr">
        <is>
          <t>40.0%</t>
        </is>
      </c>
      <c r="C91" s="53" t="inlineStr">
        <is>
          <t>6.7%</t>
        </is>
      </c>
      <c r="D91" s="53" t="inlineStr">
        <is>
          <t>20.0%</t>
        </is>
      </c>
      <c r="E91" s="53" t="inlineStr">
        <is>
          <t>26.7%</t>
        </is>
      </c>
      <c r="F91" s="53" t="inlineStr">
        <is>
          <t>6.7%</t>
        </is>
      </c>
      <c r="G91" s="53" t="inlineStr">
        <is>
          <t>10.0%</t>
        </is>
      </c>
      <c r="H91" s="53" t="inlineStr">
        <is>
          <t>NHS Job Evaluation Handbook, ch. 6 para 1.5 — nhsemployers.org/sites/default/files/pdf/22/165.pdf</t>
        </is>
      </c>
    </row>
    <row r="92">
      <c r="A92" s="64" t="inlineStr">
        <is>
          <t>UK local government 13-factor scheme · Police Staff Council version of the NJC scheme, 1,000 points</t>
        </is>
      </c>
      <c r="B92" s="53" t="inlineStr">
        <is>
          <t>38.3%</t>
        </is>
      </c>
      <c r="C92" s="53" t="inlineStr">
        <is>
          <t>13.0%</t>
        </is>
      </c>
      <c r="D92" s="53" t="inlineStr">
        <is>
          <t>19.5%</t>
        </is>
      </c>
      <c r="E92" s="53" t="inlineStr">
        <is>
          <t>19.5%</t>
        </is>
      </c>
      <c r="F92" s="53" t="inlineStr">
        <is>
          <t>9.8%</t>
        </is>
      </c>
      <c r="G92" s="53" t="inlineStr">
        <is>
          <t>20.0%</t>
        </is>
      </c>
      <c r="H92" s="53" t="inlineStr">
        <is>
          <t>PSC Handbook pp. 47–48 — lb2.local.gov.uk/sites/default/files/documents/police-staff-council-13-f-342.pdf · NJC's own table sits behind the LGA log-in · Exact for PSC; NJC assumed equal</t>
        </is>
      </c>
    </row>
    <row r="93">
      <c r="A93" s="64" t="inlineStr">
        <is>
          <t>Greater London Provincial Council scheme · 11 factors, 948 points</t>
        </is>
      </c>
      <c r="B93" s="53" t="inlineStr">
        <is>
          <t>45.0%</t>
        </is>
      </c>
      <c r="C93" s="53" t="inlineStr">
        <is>
          <t>12.1%</t>
        </is>
      </c>
      <c r="D93" s="53" t="inlineStr">
        <is>
          <t>6.0%</t>
        </is>
      </c>
      <c r="E93" s="53" t="inlineStr">
        <is>
          <t>29.7%</t>
        </is>
      </c>
      <c r="F93" s="53" t="inlineStr">
        <is>
          <t>7.2%</t>
        </is>
      </c>
      <c r="G93" s="53" t="inlineStr">
        <is>
          <t>12.7%</t>
        </is>
      </c>
      <c r="H93" s="53" t="inlineStr">
        <is>
          <t>GLPC points weighting — sirddinbych.gov.uk/en/documents/jobs-and-employees/my-employment/reorganisation-and-change/glpc-points-weighting.pdf</t>
        </is>
      </c>
    </row>
    <row r="94">
      <c r="A94" s="64" t="inlineStr">
        <is>
          <t>Scottish Joint Council scheme · 13 factors, 1,000 points</t>
        </is>
      </c>
      <c r="B94" s="53" t="inlineStr">
        <is>
          <t>38.3%</t>
        </is>
      </c>
      <c r="C94" s="53" t="inlineStr">
        <is>
          <t>13.0%</t>
        </is>
      </c>
      <c r="D94" s="53" t="inlineStr">
        <is>
          <t>19.5%</t>
        </is>
      </c>
      <c r="E94" s="53" t="inlineStr">
        <is>
          <t>19.5%</t>
        </is>
      </c>
      <c r="F94" s="53" t="inlineStr">
        <is>
          <t>9.8%</t>
        </is>
      </c>
      <c r="G94" s="53" t="inlineStr">
        <is>
          <t>20.0%</t>
        </is>
      </c>
      <c r="H94" s="53" t="inlineStr">
        <is>
          <t>Highland Council SJC scoring matrix — highland.gov.uk/download/downloads/id/3889/scoring_matrix.pdf</t>
        </is>
      </c>
    </row>
    <row r="95">
      <c r="A95" s="64" t="inlineStr">
        <is>
          <t>US OPM Factor Evaluation System · 9 factors, 4,480 points</t>
        </is>
      </c>
      <c r="B95" s="53" t="inlineStr">
        <is>
          <t>52.5%</t>
        </is>
      </c>
      <c r="C95" s="53" t="inlineStr">
        <is>
          <t>29.7%</t>
        </is>
      </c>
      <c r="D95" s="53" t="inlineStr">
        <is>
          <t>10.3%</t>
        </is>
      </c>
      <c r="E95" s="53" t="inlineStr">
        <is>
          <t>7.5%</t>
        </is>
      </c>
      <c r="F95" s="53" t="inlineStr">
        <is>
          <t>0.0%</t>
        </is>
      </c>
      <c r="G95" s="53" t="inlineStr">
        <is>
          <t>2.2%</t>
        </is>
      </c>
      <c r="H95" s="53" t="inlineStr">
        <is>
          <t>OPM Introduction to the Position Classification Standards, Appendix 3 — opm.gov/…/positionclassificationintro.pdf</t>
        </is>
      </c>
    </row>
    <row r="96">
      <c r="A96" s="64" t="inlineStr">
        <is>
          <t>Average of the five plans</t>
        </is>
      </c>
      <c r="B96" s="53" t="inlineStr">
        <is>
          <t>42.8%</t>
        </is>
      </c>
      <c r="C96" s="53" t="inlineStr">
        <is>
          <t>14.9%</t>
        </is>
      </c>
      <c r="D96" s="53" t="inlineStr">
        <is>
          <t>15.1%</t>
        </is>
      </c>
      <c r="E96" s="53" t="inlineStr">
        <is>
          <t>20.6%</t>
        </is>
      </c>
      <c r="F96" s="53" t="inlineStr">
        <is>
          <t>6.7%</t>
        </is>
      </c>
      <c r="G96" s="53" t="inlineStr">
        <is>
          <t>Experience as a separate factor: none of the five</t>
        </is>
      </c>
    </row>
    <row r="97">
      <c r="A97" s="64" t="inlineStr">
        <is>
          <t>Range</t>
        </is>
      </c>
      <c r="B97" s="53" t="inlineStr">
        <is>
          <t>38–52%</t>
        </is>
      </c>
      <c r="C97" s="53" t="inlineStr">
        <is>
          <t>7–30%</t>
        </is>
      </c>
      <c r="D97" s="53" t="inlineStr">
        <is>
          <t>6–20%</t>
        </is>
      </c>
      <c r="E97" s="53" t="inlineStr">
        <is>
          <t>8–30%</t>
        </is>
      </c>
      <c r="F97" s="53" t="inlineStr">
        <is>
          <t>0–10%</t>
        </is>
      </c>
    </row>
    <row r="99">
      <c r="A99" s="64" t="inlineStr">
        <is>
          <t>Plan</t>
        </is>
      </c>
      <c r="B99" s="53" t="inlineStr">
        <is>
          <t>How its factors were mapped to the IRIS factors</t>
        </is>
      </c>
    </row>
  </sheetData>
  <mergeCells count="16">
    <mergeCell ref="A57:L57"/>
    <mergeCell ref="A54:L54"/>
    <mergeCell ref="A52:L52"/>
    <mergeCell ref="A76:L76"/>
    <mergeCell ref="A49:L49"/>
    <mergeCell ref="A51:L51"/>
    <mergeCell ref="A2:N2"/>
    <mergeCell ref="A5:L5"/>
    <mergeCell ref="A75:L75"/>
    <mergeCell ref="A89:L89"/>
    <mergeCell ref="A6:L6"/>
    <mergeCell ref="A58:L58"/>
    <mergeCell ref="A88:L88"/>
    <mergeCell ref="A53:L53"/>
    <mergeCell ref="A55:L55"/>
    <mergeCell ref="A50:L50"/>
  </mergeCells>
  <hyperlinks>
    <hyperlink xmlns:r="http://schemas.openxmlformats.org/officeDocument/2006/relationships" ref="O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97"/>
  <sheetViews>
    <sheetView zoomScale="90" workbookViewId="0">
      <pane xSplit="5" ySplit="6" topLeftCell="F7"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9" customWidth="1" min="3" max="3"/>
    <col width="16" customWidth="1" min="4" max="4"/>
    <col width="30" customWidth="1" min="5" max="5"/>
    <col width="18" customWidth="1" min="6" max="6"/>
    <col width="22" customWidth="1" min="7" max="7"/>
    <col width="8" customWidth="1" min="8" max="8"/>
    <col width="3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30" customWidth="1" min="24" max="24"/>
    <col width="30" customWidth="1" min="25" max="25"/>
  </cols>
  <sheetData>
    <row r="1" ht="24" customHeight="1">
      <c r="A1" s="1" t="inlineStr">
        <is>
          <t>Department Ladder — every role in every department, top down, with its weightage</t>
        </is>
      </c>
      <c r="O1" s="7" t="inlineStr">
        <is>
          <t>◂ Start</t>
        </is>
      </c>
    </row>
    <row r="2" ht="30" customHeight="1">
      <c r="A2" s="2" t="inlineStr">
        <is>
          <t>Sheet 5 · One row per role: business → department → designation at its HR proposed level, highest first. The seven weightage cells start from the family's role &amp; band matrix · RB sheets; overwrite any of them with L, M or H to set this role's own weightage. Talent Mapping reads it at once, so every holder's band recalculates.</t>
        </is>
      </c>
    </row>
    <row r="3">
      <c r="A3" s="3" t="inlineStr">
        <is>
          <t>IRIS · Job Architecture &amp; Job Design · Final v1.14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ROLE</t>
        </is>
      </c>
      <c r="B5" s="6" t="n"/>
      <c r="C5" s="6" t="n"/>
      <c r="D5" s="6" t="n"/>
      <c r="E5" s="6" t="n"/>
      <c r="F5" s="6" t="n"/>
      <c r="G5" s="6" t="n"/>
      <c r="H5" s="6" t="n"/>
      <c r="I5" s="6" t="n"/>
      <c r="J5" s="18" t="inlineStr">
        <is>
          <t>WEIGHTAGE · L / M / H — edit to set this role's weightage</t>
        </is>
      </c>
      <c r="K5" s="18" t="n"/>
      <c r="L5" s="18" t="n"/>
      <c r="M5" s="18" t="n"/>
      <c r="N5" s="18" t="n"/>
      <c r="O5" s="18" t="n"/>
      <c r="P5" s="18" t="n"/>
      <c r="Q5" s="45" t="inlineStr">
        <is>
          <t>SHARE OF THE SCORE · %, live</t>
        </is>
      </c>
      <c r="R5" s="45" t="n"/>
      <c r="S5" s="45" t="n"/>
      <c r="T5" s="45" t="n"/>
      <c r="U5" s="45" t="n"/>
      <c r="V5" s="45" t="n"/>
      <c r="W5" s="45" t="n"/>
      <c r="X5" s="21" t="inlineStr">
        <is>
          <t>NOTES</t>
        </is>
      </c>
      <c r="Y5" s="21" t="n"/>
    </row>
    <row r="6" ht="60" customHeight="1">
      <c r="A6" s="22" t="inlineStr">
        <is>
          <t>Business</t>
        </is>
      </c>
      <c r="B6" s="22" t="inlineStr">
        <is>
          <t>Department</t>
        </is>
      </c>
      <c r="C6" s="22" t="inlineStr">
        <is>
          <t>Level · HR proposed</t>
        </is>
      </c>
      <c r="D6" s="22" t="inlineStr">
        <is>
          <t>Band</t>
        </is>
      </c>
      <c r="E6" s="22" t="inlineStr">
        <is>
          <t>Designation</t>
        </is>
      </c>
      <c r="F6" s="22" t="inlineStr">
        <is>
          <t>Role group</t>
        </is>
      </c>
      <c r="G6" s="22" t="inlineStr">
        <is>
          <t>Job family</t>
        </is>
      </c>
      <c r="H6" s="22" t="inlineStr">
        <is>
          <t>Holders</t>
        </is>
      </c>
      <c r="I6" s="22" t="inlineStr">
        <is>
          <t>Who</t>
        </is>
      </c>
      <c r="J6" s="24" t="inlineStr">
        <is>
          <t>Complexity &amp; Expertise</t>
        </is>
      </c>
      <c r="K6" s="24" t="inlineStr">
        <is>
          <t>Autonomy &amp; Decision</t>
        </is>
      </c>
      <c r="L6" s="24" t="inlineStr">
        <is>
          <t>Accountability &amp; Impact</t>
        </is>
      </c>
      <c r="M6" s="24" t="inlineStr">
        <is>
          <t>Leadership &amp; Strategy</t>
        </is>
      </c>
      <c r="N6" s="24" t="inlineStr">
        <is>
          <t>Business Impact</t>
        </is>
      </c>
      <c r="O6" s="24" t="inlineStr">
        <is>
          <t>Experience</t>
        </is>
      </c>
      <c r="P6" s="24" t="inlineStr">
        <is>
          <t>Education</t>
        </is>
      </c>
      <c r="Q6" s="48" t="inlineStr">
        <is>
          <t>Complexity &amp; Expertise %</t>
        </is>
      </c>
      <c r="R6" s="48" t="inlineStr">
        <is>
          <t>Autonomy &amp; Decision %</t>
        </is>
      </c>
      <c r="S6" s="48" t="inlineStr">
        <is>
          <t>Accountability &amp; Impact %</t>
        </is>
      </c>
      <c r="T6" s="48" t="inlineStr">
        <is>
          <t>Leadership &amp; Strategy %</t>
        </is>
      </c>
      <c r="U6" s="48" t="inlineStr">
        <is>
          <t>Business Impact %</t>
        </is>
      </c>
      <c r="V6" s="48" t="inlineStr">
        <is>
          <t>Experience %</t>
        </is>
      </c>
      <c r="W6" s="48" t="inlineStr">
        <is>
          <t>Education %</t>
        </is>
      </c>
      <c r="X6" s="27" t="inlineStr">
        <is>
          <t>Why changed · business head</t>
        </is>
      </c>
      <c r="Y6" s="27" t="inlineStr">
        <is>
          <t>Ladder key</t>
        </is>
      </c>
    </row>
    <row r="7" ht="18" customHeight="1">
      <c r="A7" s="28" t="inlineStr">
        <is>
          <t>Corporate</t>
        </is>
      </c>
      <c r="B7" s="71" t="inlineStr">
        <is>
          <t>Administration</t>
        </is>
      </c>
      <c r="C7" s="72" t="inlineStr">
        <is>
          <t>B2</t>
        </is>
      </c>
      <c r="D7" s="29" t="inlineStr">
        <is>
          <t>Band B · Specialist / Manager</t>
        </is>
      </c>
      <c r="E7" s="29" t="inlineStr">
        <is>
          <t>Manager – Administration</t>
        </is>
      </c>
      <c r="F7" s="29" t="inlineStr">
        <is>
          <t>Band B · People Manager</t>
        </is>
      </c>
      <c r="G7" s="29" t="inlineStr">
        <is>
          <t>Administration, Legal &amp; Secretarial</t>
        </is>
      </c>
      <c r="H7" s="29" t="n">
        <v>1</v>
      </c>
      <c r="I7" s="29" t="inlineStr">
        <is>
          <t>Sujit Acharya</t>
        </is>
      </c>
      <c r="J7" s="34" t="str">
        <f>IFERROR(INDEX(RBD_C,MATCH("Administration, Legal &amp; Secretarial|B2|B-M",RBD_KEY,0)),"M")</f>
        <v>H</v>
      </c>
      <c r="K7" s="35" t="str">
        <f>IFERROR(INDEX(RBD_Au,MATCH("Administration, Legal &amp; Secretarial|B2|B-M",RBD_KEY,0)),"M")</f>
        <v>M</v>
      </c>
      <c r="L7" s="35" t="str">
        <f>IFERROR(INDEX(RBD_Ac,MATCH("Administration, Legal &amp; Secretarial|B2|B-M",RBD_KEY,0)),"M")</f>
        <v>M</v>
      </c>
      <c r="M7" s="35" t="str">
        <f>IFERROR(INDEX(RBD_L,MATCH("Administration, Legal &amp; Secretarial|B2|B-M",RBD_KEY,0)),"M")</f>
        <v>M</v>
      </c>
      <c r="N7" s="35" t="str">
        <f>IFERROR(INDEX(RBD_BI,MATCH("Administration, Legal &amp; Secretarial|B2|B-M",RBD_KEY,0)),"M")</f>
        <v>L</v>
      </c>
      <c r="O7" s="35" t="str">
        <f>IFERROR(INDEX(RBD_Exp,MATCH("Administration, Legal &amp; Secretarial|B2|B-M",RBD_KEY,0)),"M")</f>
        <v>L</v>
      </c>
      <c r="P7" s="35" t="str">
        <f>IFERROR(INDEX(RBD_Edu,MATCH("Administration, Legal &amp; Secretarial|B2|B-M",RBD_KEY,0)),"M")</f>
        <v>L</v>
      </c>
      <c r="Q7" s="73">
        <f>IF(J7="","",IFERROR(INDEX(LMH_PTS,MATCH(J7,LMH_KEY,0))/SUM(IFERROR(INDEX(LMH_PTS,MATCH(J7,LMH_KEY,0)),0),IFERROR(INDEX(LMH_PTS,MATCH(K7,LMH_KEY,0)),0),IFERROR(INDEX(LMH_PTS,MATCH(L7,LMH_KEY,0)),0),IFERROR(INDEX(LMH_PTS,MATCH(M7,LMH_KEY,0)),0),IFERROR(INDEX(LMH_PTS,MATCH(N7,LMH_KEY,0)),0),IFERROR(INDEX(LMH_PTS,MATCH(O7,LMH_KEY,0)),0),IFERROR(INDEX(LMH_PTS,MATCH(P7,LMH_KEY,0)),0)),""))</f>
        <v>0.428571428571429</v>
      </c>
      <c r="R7" s="74">
        <f>IF(K7="","",IFERROR(INDEX(LMH_PTS,MATCH(K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S7" s="74">
        <f>IF(L7="","",IFERROR(INDEX(LMH_PTS,MATCH(L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T7" s="74">
        <f>IF(M7="","",IFERROR(INDEX(LMH_PTS,MATCH(M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U7" s="74">
        <f>IF(N7="","",IFERROR(INDEX(LMH_PTS,MATCH(N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V7" s="74">
        <f>IF(O7="","",IFERROR(INDEX(LMH_PTS,MATCH(O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W7" s="74">
        <f>IF(P7="","",IFERROR(INDEX(LMH_PTS,MATCH(P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X7" s="44" t="n"/>
      <c r="Y7" s="38" t="inlineStr">
        <is>
          <t>Corporate|Administration|Manager – Administration|B2|B-M</t>
        </is>
      </c>
    </row>
    <row r="8" ht="28" customHeight="1">
      <c r="A8" s="28" t="inlineStr">
        <is>
          <t>Corporate</t>
        </is>
      </c>
      <c r="B8" s="29" t="inlineStr">
        <is>
          <t>Administration</t>
        </is>
      </c>
      <c r="C8" s="75" t="inlineStr">
        <is>
          <t>A3</t>
        </is>
      </c>
      <c r="D8" s="29" t="inlineStr">
        <is>
          <t>Band A · Practitioner</t>
        </is>
      </c>
      <c r="E8" s="29" t="inlineStr">
        <is>
          <t>Senior Administration Executive</t>
        </is>
      </c>
      <c r="F8" s="29" t="inlineStr">
        <is>
          <t>Band A · all tracks</t>
        </is>
      </c>
      <c r="G8" s="29" t="inlineStr">
        <is>
          <t>Administration, Legal &amp; Secretarial</t>
        </is>
      </c>
      <c r="H8" s="29" t="n">
        <v>4</v>
      </c>
      <c r="I8" s="29" t="inlineStr">
        <is>
          <t>Ashish Pawar, Mangesh Kosty, Rajesh Khurambe, Sunil Pawar</t>
        </is>
      </c>
      <c r="J8" s="34" t="str">
        <f>IFERROR(INDEX(RBD_C,MATCH("Administration, Legal &amp; Secretarial|A3|A",RBD_KEY,0)),"M")</f>
        <v>H</v>
      </c>
      <c r="K8" s="35" t="str">
        <f>IFERROR(INDEX(RBD_Au,MATCH("Administration, Legal &amp; Secretarial|A3|A",RBD_KEY,0)),"M")</f>
        <v>M</v>
      </c>
      <c r="L8" s="35" t="str">
        <f>IFERROR(INDEX(RBD_Ac,MATCH("Administration, Legal &amp; Secretarial|A3|A",RBD_KEY,0)),"M")</f>
        <v>M</v>
      </c>
      <c r="M8" s="35" t="str">
        <f>IFERROR(INDEX(RBD_L,MATCH("Administration, Legal &amp; Secretarial|A3|A",RBD_KEY,0)),"M")</f>
        <v>L</v>
      </c>
      <c r="N8" s="35" t="str">
        <f>IFERROR(INDEX(RBD_BI,MATCH("Administration, Legal &amp; Secretarial|A3|A",RBD_KEY,0)),"M")</f>
        <v>L</v>
      </c>
      <c r="O8" s="35" t="str">
        <f>IFERROR(INDEX(RBD_Exp,MATCH("Administration, Legal &amp; Secretarial|A3|A",RBD_KEY,0)),"M")</f>
        <v>L</v>
      </c>
      <c r="P8" s="35" t="str">
        <f>IFERROR(INDEX(RBD_Edu,MATCH("Administration, Legal &amp; Secretarial|A3|A",RBD_KEY,0)),"M")</f>
        <v>M</v>
      </c>
      <c r="Q8" s="73">
        <f>IF(J8="","",IFERROR(INDEX(LMH_PTS,MATCH(J8,LMH_KEY,0))/SUM(IFERROR(INDEX(LMH_PTS,MATCH(J8,LMH_KEY,0)),0),IFERROR(INDEX(LMH_PTS,MATCH(K8,LMH_KEY,0)),0),IFERROR(INDEX(LMH_PTS,MATCH(L8,LMH_KEY,0)),0),IFERROR(INDEX(LMH_PTS,MATCH(M8,LMH_KEY,0)),0),IFERROR(INDEX(LMH_PTS,MATCH(N8,LMH_KEY,0)),0),IFERROR(INDEX(LMH_PTS,MATCH(O8,LMH_KEY,0)),0),IFERROR(INDEX(LMH_PTS,MATCH(P8,LMH_KEY,0)),0)),""))</f>
        <v>0.428571428571429</v>
      </c>
      <c r="R8" s="74">
        <f>IF(K8="","",IFERROR(INDEX(LMH_PTS,MATCH(K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S8" s="74">
        <f>IF(L8="","",IFERROR(INDEX(LMH_PTS,MATCH(L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T8" s="74">
        <f>IF(M8="","",IFERROR(INDEX(LMH_PTS,MATCH(M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U8" s="74">
        <f>IF(N8="","",IFERROR(INDEX(LMH_PTS,MATCH(N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V8" s="74">
        <f>IF(O8="","",IFERROR(INDEX(LMH_PTS,MATCH(O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W8" s="74">
        <f>IF(P8="","",IFERROR(INDEX(LMH_PTS,MATCH(P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X8" s="44" t="n"/>
      <c r="Y8" s="38" t="inlineStr">
        <is>
          <t>Corporate|Administration|Senior Administration Executive|A3|A</t>
        </is>
      </c>
    </row>
    <row r="9" ht="28" customHeight="1">
      <c r="A9" s="28" t="inlineStr">
        <is>
          <t>Corporate</t>
        </is>
      </c>
      <c r="B9" s="29" t="inlineStr">
        <is>
          <t>Administration</t>
        </is>
      </c>
      <c r="C9" s="76" t="inlineStr">
        <is>
          <t>X1</t>
        </is>
      </c>
      <c r="D9" s="29" t="inlineStr">
        <is>
          <t>Band X · Consultant</t>
        </is>
      </c>
      <c r="E9" s="29" t="inlineStr">
        <is>
          <t>Associate Consultant – Administration &amp; Facilities</t>
        </is>
      </c>
      <c r="F9" s="29" t="inlineStr">
        <is>
          <t>Consultant</t>
        </is>
      </c>
      <c r="G9" s="29" t="inlineStr">
        <is>
          <t>Administration, Legal &amp; Secretarial</t>
        </is>
      </c>
      <c r="H9" s="29" t="n">
        <v>1</v>
      </c>
      <c r="I9" s="29" t="inlineStr">
        <is>
          <t>Ganesh Prabhakar Amrutsagar</t>
        </is>
      </c>
      <c r="J9" s="34" t="n"/>
      <c r="K9" s="35" t="n"/>
      <c r="L9" s="35" t="n"/>
      <c r="M9" s="35" t="n"/>
      <c r="N9" s="35" t="n"/>
      <c r="O9" s="35" t="n"/>
      <c r="P9" s="35" t="n"/>
      <c r="Q9" s="73" t="str">
        <f>IF(J9="","",IFERROR(INDEX(LMH_PTS,MATCH(J9,LMH_KEY,0))/SUM(IFERROR(INDEX(LMH_PTS,MATCH(J9,LMH_KEY,0)),0),IFERROR(INDEX(LMH_PTS,MATCH(K9,LMH_KEY,0)),0),IFERROR(INDEX(LMH_PTS,MATCH(L9,LMH_KEY,0)),0),IFERROR(INDEX(LMH_PTS,MATCH(M9,LMH_KEY,0)),0),IFERROR(INDEX(LMH_PTS,MATCH(N9,LMH_KEY,0)),0),IFERROR(INDEX(LMH_PTS,MATCH(O9,LMH_KEY,0)),0),IFERROR(INDEX(LMH_PTS,MATCH(P9,LMH_KEY,0)),0)),""))</f>
        <v/>
      </c>
      <c r="R9" s="74" t="str">
        <f>IF(K9="","",IFERROR(INDEX(LMH_PTS,MATCH(K9,LMH_KEY,0))/SUM(IFERROR(INDEX(LMH_PTS,MATCH(J9,LMH_KEY,0)),0),IFERROR(INDEX(LMH_PTS,MATCH(K9,LMH_KEY,0)),0),IFERROR(INDEX(LMH_PTS,MATCH(L9,LMH_KEY,0)),0),IFERROR(INDEX(LMH_PTS,MATCH(M9,LMH_KEY,0)),0),IFERROR(INDEX(LMH_PTS,MATCH(N9,LMH_KEY,0)),0),IFERROR(INDEX(LMH_PTS,MATCH(O9,LMH_KEY,0)),0),IFERROR(INDEX(LMH_PTS,MATCH(P9,LMH_KEY,0)),0)),""))</f>
        <v/>
      </c>
      <c r="S9" s="74" t="str">
        <f>IF(L9="","",IFERROR(INDEX(LMH_PTS,MATCH(L9,LMH_KEY,0))/SUM(IFERROR(INDEX(LMH_PTS,MATCH(J9,LMH_KEY,0)),0),IFERROR(INDEX(LMH_PTS,MATCH(K9,LMH_KEY,0)),0),IFERROR(INDEX(LMH_PTS,MATCH(L9,LMH_KEY,0)),0),IFERROR(INDEX(LMH_PTS,MATCH(M9,LMH_KEY,0)),0),IFERROR(INDEX(LMH_PTS,MATCH(N9,LMH_KEY,0)),0),IFERROR(INDEX(LMH_PTS,MATCH(O9,LMH_KEY,0)),0),IFERROR(INDEX(LMH_PTS,MATCH(P9,LMH_KEY,0)),0)),""))</f>
        <v/>
      </c>
      <c r="T9" s="74" t="str">
        <f>IF(M9="","",IFERROR(INDEX(LMH_PTS,MATCH(M9,LMH_KEY,0))/SUM(IFERROR(INDEX(LMH_PTS,MATCH(J9,LMH_KEY,0)),0),IFERROR(INDEX(LMH_PTS,MATCH(K9,LMH_KEY,0)),0),IFERROR(INDEX(LMH_PTS,MATCH(L9,LMH_KEY,0)),0),IFERROR(INDEX(LMH_PTS,MATCH(M9,LMH_KEY,0)),0),IFERROR(INDEX(LMH_PTS,MATCH(N9,LMH_KEY,0)),0),IFERROR(INDEX(LMH_PTS,MATCH(O9,LMH_KEY,0)),0),IFERROR(INDEX(LMH_PTS,MATCH(P9,LMH_KEY,0)),0)),""))</f>
        <v/>
      </c>
      <c r="U9" s="74" t="str">
        <f>IF(N9="","",IFERROR(INDEX(LMH_PTS,MATCH(N9,LMH_KEY,0))/SUM(IFERROR(INDEX(LMH_PTS,MATCH(J9,LMH_KEY,0)),0),IFERROR(INDEX(LMH_PTS,MATCH(K9,LMH_KEY,0)),0),IFERROR(INDEX(LMH_PTS,MATCH(L9,LMH_KEY,0)),0),IFERROR(INDEX(LMH_PTS,MATCH(M9,LMH_KEY,0)),0),IFERROR(INDEX(LMH_PTS,MATCH(N9,LMH_KEY,0)),0),IFERROR(INDEX(LMH_PTS,MATCH(O9,LMH_KEY,0)),0),IFERROR(INDEX(LMH_PTS,MATCH(P9,LMH_KEY,0)),0)),""))</f>
        <v/>
      </c>
      <c r="V9" s="74" t="str">
        <f>IF(O9="","",IFERROR(INDEX(LMH_PTS,MATCH(O9,LMH_KEY,0))/SUM(IFERROR(INDEX(LMH_PTS,MATCH(J9,LMH_KEY,0)),0),IFERROR(INDEX(LMH_PTS,MATCH(K9,LMH_KEY,0)),0),IFERROR(INDEX(LMH_PTS,MATCH(L9,LMH_KEY,0)),0),IFERROR(INDEX(LMH_PTS,MATCH(M9,LMH_KEY,0)),0),IFERROR(INDEX(LMH_PTS,MATCH(N9,LMH_KEY,0)),0),IFERROR(INDEX(LMH_PTS,MATCH(O9,LMH_KEY,0)),0),IFERROR(INDEX(LMH_PTS,MATCH(P9,LMH_KEY,0)),0)),""))</f>
        <v/>
      </c>
      <c r="W9" s="74" t="str">
        <f>IF(P9="","",IFERROR(INDEX(LMH_PTS,MATCH(P9,LMH_KEY,0))/SUM(IFERROR(INDEX(LMH_PTS,MATCH(J9,LMH_KEY,0)),0),IFERROR(INDEX(LMH_PTS,MATCH(K9,LMH_KEY,0)),0),IFERROR(INDEX(LMH_PTS,MATCH(L9,LMH_KEY,0)),0),IFERROR(INDEX(LMH_PTS,MATCH(M9,LMH_KEY,0)),0),IFERROR(INDEX(LMH_PTS,MATCH(N9,LMH_KEY,0)),0),IFERROR(INDEX(LMH_PTS,MATCH(O9,LMH_KEY,0)),0),IFERROR(INDEX(LMH_PTS,MATCH(P9,LMH_KEY,0)),0)),""))</f>
        <v/>
      </c>
      <c r="X9" s="44" t="n"/>
      <c r="Y9" s="38" t="inlineStr">
        <is>
          <t>Corporate|Administration|Associate Consultant – Administration &amp; Facilities|X1|X</t>
        </is>
      </c>
    </row>
    <row r="10" ht="18" customHeight="1">
      <c r="A10" s="28" t="inlineStr">
        <is>
          <t>Corporate</t>
        </is>
      </c>
      <c r="B10" s="71" t="inlineStr">
        <is>
          <t>Finance</t>
        </is>
      </c>
      <c r="C10" s="77" t="inlineStr">
        <is>
          <t>E1</t>
        </is>
      </c>
      <c r="D10" s="29" t="inlineStr">
        <is>
          <t>Band E · Enterprise leadership</t>
        </is>
      </c>
      <c r="E10" s="29" t="inlineStr">
        <is>
          <t>Chief Financial Officer</t>
        </is>
      </c>
      <c r="F10" s="29" t="inlineStr">
        <is>
          <t>Bands D–E · Leadership</t>
        </is>
      </c>
      <c r="G10" s="29" t="inlineStr">
        <is>
          <t>Executive Leadership</t>
        </is>
      </c>
      <c r="H10" s="29" t="n">
        <v>1</v>
      </c>
      <c r="I10" s="29" t="inlineStr">
        <is>
          <t>Vineet Kandoi</t>
        </is>
      </c>
      <c r="J10" s="34" t="str">
        <f>IFERROR(INDEX(RBD_C,MATCH("Executive Leadership|E1|DE",RBD_KEY,0)),"M")</f>
        <v>H</v>
      </c>
      <c r="K10" s="35" t="str">
        <f>IFERROR(INDEX(RBD_Au,MATCH("Executive Leadership|E1|DE",RBD_KEY,0)),"M")</f>
        <v>M</v>
      </c>
      <c r="L10" s="35" t="str">
        <f>IFERROR(INDEX(RBD_Ac,MATCH("Executive Leadership|E1|DE",RBD_KEY,0)),"M")</f>
        <v>M</v>
      </c>
      <c r="M10" s="35" t="str">
        <f>IFERROR(INDEX(RBD_L,MATCH("Executive Leadership|E1|DE",RBD_KEY,0)),"M")</f>
        <v>M</v>
      </c>
      <c r="N10" s="35" t="str">
        <f>IFERROR(INDEX(RBD_BI,MATCH("Executive Leadership|E1|DE",RBD_KEY,0)),"M")</f>
        <v>L</v>
      </c>
      <c r="O10" s="35" t="str">
        <f>IFERROR(INDEX(RBD_Exp,MATCH("Executive Leadership|E1|DE",RBD_KEY,0)),"M")</f>
        <v>L</v>
      </c>
      <c r="P10" s="35" t="str">
        <f>IFERROR(INDEX(RBD_Edu,MATCH("Executive Leadership|E1|DE",RBD_KEY,0)),"M")</f>
        <v>L</v>
      </c>
      <c r="Q10" s="73">
        <f>IF(J10="","",IFERROR(INDEX(LMH_PTS,MATCH(J10,LMH_KEY,0))/SUM(IFERROR(INDEX(LMH_PTS,MATCH(J10,LMH_KEY,0)),0),IFERROR(INDEX(LMH_PTS,MATCH(K10,LMH_KEY,0)),0),IFERROR(INDEX(LMH_PTS,MATCH(L10,LMH_KEY,0)),0),IFERROR(INDEX(LMH_PTS,MATCH(M10,LMH_KEY,0)),0),IFERROR(INDEX(LMH_PTS,MATCH(N10,LMH_KEY,0)),0),IFERROR(INDEX(LMH_PTS,MATCH(O10,LMH_KEY,0)),0),IFERROR(INDEX(LMH_PTS,MATCH(P10,LMH_KEY,0)),0)),""))</f>
        <v>0.428571428571429</v>
      </c>
      <c r="R10" s="74">
        <f>IF(K10="","",IFERROR(INDEX(LMH_PTS,MATCH(K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S10" s="74">
        <f>IF(L10="","",IFERROR(INDEX(LMH_PTS,MATCH(L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T10" s="74">
        <f>IF(M10="","",IFERROR(INDEX(LMH_PTS,MATCH(M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U10" s="74">
        <f>IF(N10="","",IFERROR(INDEX(LMH_PTS,MATCH(N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V10" s="74">
        <f>IF(O10="","",IFERROR(INDEX(LMH_PTS,MATCH(O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W10" s="74">
        <f>IF(P10="","",IFERROR(INDEX(LMH_PTS,MATCH(P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X10" s="44" t="n"/>
      <c r="Y10" s="38" t="inlineStr">
        <is>
          <t>Corporate|Finance|Chief Financial Officer|E1|DE</t>
        </is>
      </c>
    </row>
    <row r="11" ht="28" customHeight="1">
      <c r="A11" s="28" t="inlineStr">
        <is>
          <t>Corporate</t>
        </is>
      </c>
      <c r="B11" s="29" t="inlineStr">
        <is>
          <t>Finance</t>
        </is>
      </c>
      <c r="C11" s="78" t="inlineStr">
        <is>
          <t>C1</t>
        </is>
      </c>
      <c r="D11" s="29" t="inlineStr">
        <is>
          <t>Band C · Principal / Head</t>
        </is>
      </c>
      <c r="E11" s="29" t="inlineStr">
        <is>
          <t>Associate Head – Admin &amp; Internal Audit</t>
        </is>
      </c>
      <c r="F11" s="29" t="inlineStr">
        <is>
          <t>Band C · Head / manager</t>
        </is>
      </c>
      <c r="G11" s="29" t="inlineStr">
        <is>
          <t>Finance &amp; Accounts</t>
        </is>
      </c>
      <c r="H11" s="29" t="n">
        <v>1</v>
      </c>
      <c r="I11" s="29" t="inlineStr">
        <is>
          <t>Sudhakar Sawant</t>
        </is>
      </c>
      <c r="J11" s="34" t="str">
        <f>IFERROR(INDEX(RBD_C,MATCH("Finance &amp; Accounts|C1|C-M",RBD_KEY,0)),"M")</f>
        <v>H</v>
      </c>
      <c r="K11" s="35" t="str">
        <f>IFERROR(INDEX(RBD_Au,MATCH("Finance &amp; Accounts|C1|C-M",RBD_KEY,0)),"M")</f>
        <v>M</v>
      </c>
      <c r="L11" s="35" t="str">
        <f>IFERROR(INDEX(RBD_Ac,MATCH("Finance &amp; Accounts|C1|C-M",RBD_KEY,0)),"M")</f>
        <v>M</v>
      </c>
      <c r="M11" s="35" t="str">
        <f>IFERROR(INDEX(RBD_L,MATCH("Finance &amp; Accounts|C1|C-M",RBD_KEY,0)),"M")</f>
        <v>M</v>
      </c>
      <c r="N11" s="35" t="str">
        <f>IFERROR(INDEX(RBD_BI,MATCH("Finance &amp; Accounts|C1|C-M",RBD_KEY,0)),"M")</f>
        <v>L</v>
      </c>
      <c r="O11" s="35" t="str">
        <f>IFERROR(INDEX(RBD_Exp,MATCH("Finance &amp; Accounts|C1|C-M",RBD_KEY,0)),"M")</f>
        <v>L</v>
      </c>
      <c r="P11" s="35" t="str">
        <f>IFERROR(INDEX(RBD_Edu,MATCH("Finance &amp; Accounts|C1|C-M",RBD_KEY,0)),"M")</f>
        <v>L</v>
      </c>
      <c r="Q11" s="73">
        <f>IF(J11="","",IFERROR(INDEX(LMH_PTS,MATCH(J11,LMH_KEY,0))/SUM(IFERROR(INDEX(LMH_PTS,MATCH(J11,LMH_KEY,0)),0),IFERROR(INDEX(LMH_PTS,MATCH(K11,LMH_KEY,0)),0),IFERROR(INDEX(LMH_PTS,MATCH(L11,LMH_KEY,0)),0),IFERROR(INDEX(LMH_PTS,MATCH(M11,LMH_KEY,0)),0),IFERROR(INDEX(LMH_PTS,MATCH(N11,LMH_KEY,0)),0),IFERROR(INDEX(LMH_PTS,MATCH(O11,LMH_KEY,0)),0),IFERROR(INDEX(LMH_PTS,MATCH(P11,LMH_KEY,0)),0)),""))</f>
        <v>0.428571428571429</v>
      </c>
      <c r="R11" s="74">
        <f>IF(K11="","",IFERROR(INDEX(LMH_PTS,MATCH(K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S11" s="74">
        <f>IF(L11="","",IFERROR(INDEX(LMH_PTS,MATCH(L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T11" s="74">
        <f>IF(M11="","",IFERROR(INDEX(LMH_PTS,MATCH(M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U11" s="74">
        <f>IF(N11="","",IFERROR(INDEX(LMH_PTS,MATCH(N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V11" s="74">
        <f>IF(O11="","",IFERROR(INDEX(LMH_PTS,MATCH(O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W11" s="74">
        <f>IF(P11="","",IFERROR(INDEX(LMH_PTS,MATCH(P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X11" s="44" t="n"/>
      <c r="Y11" s="38" t="inlineStr">
        <is>
          <t>Corporate|Finance|Associate Head – Admin &amp; Internal Audit|C1|C-M</t>
        </is>
      </c>
    </row>
    <row r="12" ht="28" customHeight="1">
      <c r="A12" s="28" t="inlineStr">
        <is>
          <t>Corporate</t>
        </is>
      </c>
      <c r="B12" s="29" t="inlineStr">
        <is>
          <t>Finance</t>
        </is>
      </c>
      <c r="C12" s="78" t="inlineStr">
        <is>
          <t>C1</t>
        </is>
      </c>
      <c r="D12" s="29" t="inlineStr">
        <is>
          <t>Band C · Principal / Head</t>
        </is>
      </c>
      <c r="E12" s="29" t="inlineStr">
        <is>
          <t>Associate Head – Finance &amp; Accounts</t>
        </is>
      </c>
      <c r="F12" s="29" t="inlineStr">
        <is>
          <t>Band C · Head / manager</t>
        </is>
      </c>
      <c r="G12" s="29" t="inlineStr">
        <is>
          <t>Finance &amp; Accounts</t>
        </is>
      </c>
      <c r="H12" s="29" t="n">
        <v>1</v>
      </c>
      <c r="I12" s="29" t="inlineStr">
        <is>
          <t>Nishant Gupta</t>
        </is>
      </c>
      <c r="J12" s="34" t="str">
        <f>IFERROR(INDEX(RBD_C,MATCH("Finance &amp; Accounts|C1|C-M",RBD_KEY,0)),"M")</f>
        <v>H</v>
      </c>
      <c r="K12" s="35" t="str">
        <f>IFERROR(INDEX(RBD_Au,MATCH("Finance &amp; Accounts|C1|C-M",RBD_KEY,0)),"M")</f>
        <v>M</v>
      </c>
      <c r="L12" s="35" t="str">
        <f>IFERROR(INDEX(RBD_Ac,MATCH("Finance &amp; Accounts|C1|C-M",RBD_KEY,0)),"M")</f>
        <v>M</v>
      </c>
      <c r="M12" s="35" t="str">
        <f>IFERROR(INDEX(RBD_L,MATCH("Finance &amp; Accounts|C1|C-M",RBD_KEY,0)),"M")</f>
        <v>M</v>
      </c>
      <c r="N12" s="35" t="str">
        <f>IFERROR(INDEX(RBD_BI,MATCH("Finance &amp; Accounts|C1|C-M",RBD_KEY,0)),"M")</f>
        <v>L</v>
      </c>
      <c r="O12" s="35" t="str">
        <f>IFERROR(INDEX(RBD_Exp,MATCH("Finance &amp; Accounts|C1|C-M",RBD_KEY,0)),"M")</f>
        <v>L</v>
      </c>
      <c r="P12" s="35" t="str">
        <f>IFERROR(INDEX(RBD_Edu,MATCH("Finance &amp; Accounts|C1|C-M",RBD_KEY,0)),"M")</f>
        <v>L</v>
      </c>
      <c r="Q12" s="73">
        <f>IF(J12="","",IFERROR(INDEX(LMH_PTS,MATCH(J12,LMH_KEY,0))/SUM(IFERROR(INDEX(LMH_PTS,MATCH(J12,LMH_KEY,0)),0),IFERROR(INDEX(LMH_PTS,MATCH(K12,LMH_KEY,0)),0),IFERROR(INDEX(LMH_PTS,MATCH(L12,LMH_KEY,0)),0),IFERROR(INDEX(LMH_PTS,MATCH(M12,LMH_KEY,0)),0),IFERROR(INDEX(LMH_PTS,MATCH(N12,LMH_KEY,0)),0),IFERROR(INDEX(LMH_PTS,MATCH(O12,LMH_KEY,0)),0),IFERROR(INDEX(LMH_PTS,MATCH(P12,LMH_KEY,0)),0)),""))</f>
        <v>0.428571428571429</v>
      </c>
      <c r="R12" s="74">
        <f>IF(K12="","",IFERROR(INDEX(LMH_PTS,MATCH(K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S12" s="74">
        <f>IF(L12="","",IFERROR(INDEX(LMH_PTS,MATCH(L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T12" s="74">
        <f>IF(M12="","",IFERROR(INDEX(LMH_PTS,MATCH(M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U12" s="74">
        <f>IF(N12="","",IFERROR(INDEX(LMH_PTS,MATCH(N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V12" s="74">
        <f>IF(O12="","",IFERROR(INDEX(LMH_PTS,MATCH(O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W12" s="74">
        <f>IF(P12="","",IFERROR(INDEX(LMH_PTS,MATCH(P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X12" s="44" t="n"/>
      <c r="Y12" s="38" t="inlineStr">
        <is>
          <t>Corporate|Finance|Associate Head – Finance &amp; Accounts|C1|C-M</t>
        </is>
      </c>
    </row>
    <row r="13" ht="28" customHeight="1">
      <c r="A13" s="28" t="inlineStr">
        <is>
          <t>Corporate</t>
        </is>
      </c>
      <c r="B13" s="29" t="inlineStr">
        <is>
          <t>Finance</t>
        </is>
      </c>
      <c r="C13" s="72" t="inlineStr">
        <is>
          <t>B2</t>
        </is>
      </c>
      <c r="D13" s="29" t="inlineStr">
        <is>
          <t>Band B · Specialist / Manager</t>
        </is>
      </c>
      <c r="E13" s="29" t="inlineStr">
        <is>
          <t>Senior Finance Specialist – POD Lead</t>
        </is>
      </c>
      <c r="F13" s="29" t="inlineStr">
        <is>
          <t>Band B · Specialist / POD Lead</t>
        </is>
      </c>
      <c r="G13" s="29" t="inlineStr">
        <is>
          <t>Finance &amp; Accounts</t>
        </is>
      </c>
      <c r="H13" s="29" t="n">
        <v>1</v>
      </c>
      <c r="I13" s="29" t="inlineStr">
        <is>
          <t>Winny Nair</t>
        </is>
      </c>
      <c r="J13" s="34" t="str">
        <f>IFERROR(INDEX(RBD_C,MATCH("Finance &amp; Accounts|B2|B-IC",RBD_KEY,0)),"M")</f>
        <v>H</v>
      </c>
      <c r="K13" s="35" t="str">
        <f>IFERROR(INDEX(RBD_Au,MATCH("Finance &amp; Accounts|B2|B-IC",RBD_KEY,0)),"M")</f>
        <v>M</v>
      </c>
      <c r="L13" s="35" t="str">
        <f>IFERROR(INDEX(RBD_Ac,MATCH("Finance &amp; Accounts|B2|B-IC",RBD_KEY,0)),"M")</f>
        <v>M</v>
      </c>
      <c r="M13" s="35" t="str">
        <f>IFERROR(INDEX(RBD_L,MATCH("Finance &amp; Accounts|B2|B-IC",RBD_KEY,0)),"M")</f>
        <v>L</v>
      </c>
      <c r="N13" s="35" t="str">
        <f>IFERROR(INDEX(RBD_BI,MATCH("Finance &amp; Accounts|B2|B-IC",RBD_KEY,0)),"M")</f>
        <v>L</v>
      </c>
      <c r="O13" s="35" t="str">
        <f>IFERROR(INDEX(RBD_Exp,MATCH("Finance &amp; Accounts|B2|B-IC",RBD_KEY,0)),"M")</f>
        <v>L</v>
      </c>
      <c r="P13" s="35" t="str">
        <f>IFERROR(INDEX(RBD_Edu,MATCH("Finance &amp; Accounts|B2|B-IC",RBD_KEY,0)),"M")</f>
        <v>L</v>
      </c>
      <c r="Q13" s="73">
        <f>IF(J13="","",IFERROR(INDEX(LMH_PTS,MATCH(J13,LMH_KEY,0))/SUM(IFERROR(INDEX(LMH_PTS,MATCH(J13,LMH_KEY,0)),0),IFERROR(INDEX(LMH_PTS,MATCH(K13,LMH_KEY,0)),0),IFERROR(INDEX(LMH_PTS,MATCH(L13,LMH_KEY,0)),0),IFERROR(INDEX(LMH_PTS,MATCH(M13,LMH_KEY,0)),0),IFERROR(INDEX(LMH_PTS,MATCH(N13,LMH_KEY,0)),0),IFERROR(INDEX(LMH_PTS,MATCH(O13,LMH_KEY,0)),0),IFERROR(INDEX(LMH_PTS,MATCH(P13,LMH_KEY,0)),0)),""))</f>
        <v>0.473684210526316</v>
      </c>
      <c r="R13" s="74">
        <f>IF(K13="","",IFERROR(INDEX(LMH_PTS,MATCH(K13,LMH_KEY,0))/SUM(IFERROR(INDEX(LMH_PTS,MATCH(J13,LMH_KEY,0)),0),IFERROR(INDEX(LMH_PTS,MATCH(K13,LMH_KEY,0)),0),IFERROR(INDEX(LMH_PTS,MATCH(L13,LMH_KEY,0)),0),IFERROR(INDEX(LMH_PTS,MATCH(M13,LMH_KEY,0)),0),IFERROR(INDEX(LMH_PTS,MATCH(N13,LMH_KEY,0)),0),IFERROR(INDEX(LMH_PTS,MATCH(O13,LMH_KEY,0)),0),IFERROR(INDEX(LMH_PTS,MATCH(P13,LMH_KEY,0)),0)),""))</f>
        <v>0.157894736842105</v>
      </c>
      <c r="S13" s="74">
        <f>IF(L13="","",IFERROR(INDEX(LMH_PTS,MATCH(L13,LMH_KEY,0))/SUM(IFERROR(INDEX(LMH_PTS,MATCH(J13,LMH_KEY,0)),0),IFERROR(INDEX(LMH_PTS,MATCH(K13,LMH_KEY,0)),0),IFERROR(INDEX(LMH_PTS,MATCH(L13,LMH_KEY,0)),0),IFERROR(INDEX(LMH_PTS,MATCH(M13,LMH_KEY,0)),0),IFERROR(INDEX(LMH_PTS,MATCH(N13,LMH_KEY,0)),0),IFERROR(INDEX(LMH_PTS,MATCH(O13,LMH_KEY,0)),0),IFERROR(INDEX(LMH_PTS,MATCH(P13,LMH_KEY,0)),0)),""))</f>
        <v>0.157894736842105</v>
      </c>
      <c r="T13" s="74">
        <f>IF(M13="","",IFERROR(INDEX(LMH_PTS,MATCH(M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U13" s="74">
        <f>IF(N13="","",IFERROR(INDEX(LMH_PTS,MATCH(N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V13" s="74">
        <f>IF(O13="","",IFERROR(INDEX(LMH_PTS,MATCH(O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W13" s="74">
        <f>IF(P13="","",IFERROR(INDEX(LMH_PTS,MATCH(P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X13" s="44" t="n"/>
      <c r="Y13" s="38" t="inlineStr">
        <is>
          <t>Corporate|Finance|Senior Finance Specialist – POD Lead|B2|B-IC</t>
        </is>
      </c>
    </row>
    <row r="14" ht="28" customHeight="1">
      <c r="A14" s="28" t="inlineStr">
        <is>
          <t>Corporate</t>
        </is>
      </c>
      <c r="B14" s="29" t="inlineStr">
        <is>
          <t>Finance</t>
        </is>
      </c>
      <c r="C14" s="72" t="inlineStr">
        <is>
          <t>B1</t>
        </is>
      </c>
      <c r="D14" s="29" t="inlineStr">
        <is>
          <t>Band B · Specialist / Manager</t>
        </is>
      </c>
      <c r="E14" s="29" t="inlineStr">
        <is>
          <t>Finance Specialist</t>
        </is>
      </c>
      <c r="F14" s="29" t="inlineStr">
        <is>
          <t>Band B · Specialist / POD Lead</t>
        </is>
      </c>
      <c r="G14" s="29" t="inlineStr">
        <is>
          <t>Finance &amp; Accounts</t>
        </is>
      </c>
      <c r="H14" s="29" t="n">
        <v>2</v>
      </c>
      <c r="I14" s="29" t="inlineStr">
        <is>
          <t>Lalit Choudhary, Radhika Karnani</t>
        </is>
      </c>
      <c r="J14" s="34" t="str">
        <f>IFERROR(INDEX(RBD_C,MATCH("Finance &amp; Accounts|B1|B-IC",RBD_KEY,0)),"M")</f>
        <v>H</v>
      </c>
      <c r="K14" s="35" t="str">
        <f>IFERROR(INDEX(RBD_Au,MATCH("Finance &amp; Accounts|B1|B-IC",RBD_KEY,0)),"M")</f>
        <v>M</v>
      </c>
      <c r="L14" s="35" t="str">
        <f>IFERROR(INDEX(RBD_Ac,MATCH("Finance &amp; Accounts|B1|B-IC",RBD_KEY,0)),"M")</f>
        <v>M</v>
      </c>
      <c r="M14" s="35" t="str">
        <f>IFERROR(INDEX(RBD_L,MATCH("Finance &amp; Accounts|B1|B-IC",RBD_KEY,0)),"M")</f>
        <v>L</v>
      </c>
      <c r="N14" s="35" t="str">
        <f>IFERROR(INDEX(RBD_BI,MATCH("Finance &amp; Accounts|B1|B-IC",RBD_KEY,0)),"M")</f>
        <v>L</v>
      </c>
      <c r="O14" s="35" t="str">
        <f>IFERROR(INDEX(RBD_Exp,MATCH("Finance &amp; Accounts|B1|B-IC",RBD_KEY,0)),"M")</f>
        <v>L</v>
      </c>
      <c r="P14" s="35" t="str">
        <f>IFERROR(INDEX(RBD_Edu,MATCH("Finance &amp; Accounts|B1|B-IC",RBD_KEY,0)),"M")</f>
        <v>L</v>
      </c>
      <c r="Q14" s="73">
        <f>IF(J14="","",IFERROR(INDEX(LMH_PTS,MATCH(J14,LMH_KEY,0))/SUM(IFERROR(INDEX(LMH_PTS,MATCH(J14,LMH_KEY,0)),0),IFERROR(INDEX(LMH_PTS,MATCH(K14,LMH_KEY,0)),0),IFERROR(INDEX(LMH_PTS,MATCH(L14,LMH_KEY,0)),0),IFERROR(INDEX(LMH_PTS,MATCH(M14,LMH_KEY,0)),0),IFERROR(INDEX(LMH_PTS,MATCH(N14,LMH_KEY,0)),0),IFERROR(INDEX(LMH_PTS,MATCH(O14,LMH_KEY,0)),0),IFERROR(INDEX(LMH_PTS,MATCH(P14,LMH_KEY,0)),0)),""))</f>
        <v>0.473684210526316</v>
      </c>
      <c r="R14" s="74">
        <f>IF(K14="","",IFERROR(INDEX(LMH_PTS,MATCH(K14,LMH_KEY,0))/SUM(IFERROR(INDEX(LMH_PTS,MATCH(J14,LMH_KEY,0)),0),IFERROR(INDEX(LMH_PTS,MATCH(K14,LMH_KEY,0)),0),IFERROR(INDEX(LMH_PTS,MATCH(L14,LMH_KEY,0)),0),IFERROR(INDEX(LMH_PTS,MATCH(M14,LMH_KEY,0)),0),IFERROR(INDEX(LMH_PTS,MATCH(N14,LMH_KEY,0)),0),IFERROR(INDEX(LMH_PTS,MATCH(O14,LMH_KEY,0)),0),IFERROR(INDEX(LMH_PTS,MATCH(P14,LMH_KEY,0)),0)),""))</f>
        <v>0.157894736842105</v>
      </c>
      <c r="S14" s="74">
        <f>IF(L14="","",IFERROR(INDEX(LMH_PTS,MATCH(L14,LMH_KEY,0))/SUM(IFERROR(INDEX(LMH_PTS,MATCH(J14,LMH_KEY,0)),0),IFERROR(INDEX(LMH_PTS,MATCH(K14,LMH_KEY,0)),0),IFERROR(INDEX(LMH_PTS,MATCH(L14,LMH_KEY,0)),0),IFERROR(INDEX(LMH_PTS,MATCH(M14,LMH_KEY,0)),0),IFERROR(INDEX(LMH_PTS,MATCH(N14,LMH_KEY,0)),0),IFERROR(INDEX(LMH_PTS,MATCH(O14,LMH_KEY,0)),0),IFERROR(INDEX(LMH_PTS,MATCH(P14,LMH_KEY,0)),0)),""))</f>
        <v>0.157894736842105</v>
      </c>
      <c r="T14" s="74">
        <f>IF(M14="","",IFERROR(INDEX(LMH_PTS,MATCH(M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U14" s="74">
        <f>IF(N14="","",IFERROR(INDEX(LMH_PTS,MATCH(N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V14" s="74">
        <f>IF(O14="","",IFERROR(INDEX(LMH_PTS,MATCH(O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W14" s="74">
        <f>IF(P14="","",IFERROR(INDEX(LMH_PTS,MATCH(P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X14" s="44" t="n"/>
      <c r="Y14" s="38" t="inlineStr">
        <is>
          <t>Corporate|Finance|Finance Specialist|B1|B-IC</t>
        </is>
      </c>
    </row>
    <row r="15" ht="28" customHeight="1">
      <c r="A15" s="28" t="inlineStr">
        <is>
          <t>Corporate</t>
        </is>
      </c>
      <c r="B15" s="29" t="inlineStr">
        <is>
          <t>Finance</t>
        </is>
      </c>
      <c r="C15" s="72" t="inlineStr">
        <is>
          <t>B1</t>
        </is>
      </c>
      <c r="D15" s="29" t="inlineStr">
        <is>
          <t>Band B · Specialist / Manager</t>
        </is>
      </c>
      <c r="E15" s="29" t="inlineStr">
        <is>
          <t>Finance Specialist – POD Lead</t>
        </is>
      </c>
      <c r="F15" s="29" t="inlineStr">
        <is>
          <t>Band B · Specialist / POD Lead</t>
        </is>
      </c>
      <c r="G15" s="29" t="inlineStr">
        <is>
          <t>Finance &amp; Accounts</t>
        </is>
      </c>
      <c r="H15" s="29" t="n">
        <v>1</v>
      </c>
      <c r="I15" s="29" t="inlineStr">
        <is>
          <t>Shreya Singh</t>
        </is>
      </c>
      <c r="J15" s="34" t="str">
        <f>IFERROR(INDEX(RBD_C,MATCH("Finance &amp; Accounts|B1|B-IC",RBD_KEY,0)),"M")</f>
        <v>H</v>
      </c>
      <c r="K15" s="35" t="str">
        <f>IFERROR(INDEX(RBD_Au,MATCH("Finance &amp; Accounts|B1|B-IC",RBD_KEY,0)),"M")</f>
        <v>M</v>
      </c>
      <c r="L15" s="35" t="str">
        <f>IFERROR(INDEX(RBD_Ac,MATCH("Finance &amp; Accounts|B1|B-IC",RBD_KEY,0)),"M")</f>
        <v>M</v>
      </c>
      <c r="M15" s="35" t="str">
        <f>IFERROR(INDEX(RBD_L,MATCH("Finance &amp; Accounts|B1|B-IC",RBD_KEY,0)),"M")</f>
        <v>L</v>
      </c>
      <c r="N15" s="35" t="str">
        <f>IFERROR(INDEX(RBD_BI,MATCH("Finance &amp; Accounts|B1|B-IC",RBD_KEY,0)),"M")</f>
        <v>L</v>
      </c>
      <c r="O15" s="35" t="str">
        <f>IFERROR(INDEX(RBD_Exp,MATCH("Finance &amp; Accounts|B1|B-IC",RBD_KEY,0)),"M")</f>
        <v>L</v>
      </c>
      <c r="P15" s="35" t="str">
        <f>IFERROR(INDEX(RBD_Edu,MATCH("Finance &amp; Accounts|B1|B-IC",RBD_KEY,0)),"M")</f>
        <v>L</v>
      </c>
      <c r="Q15" s="73">
        <f>IF(J15="","",IFERROR(INDEX(LMH_PTS,MATCH(J15,LMH_KEY,0))/SUM(IFERROR(INDEX(LMH_PTS,MATCH(J15,LMH_KEY,0)),0),IFERROR(INDEX(LMH_PTS,MATCH(K15,LMH_KEY,0)),0),IFERROR(INDEX(LMH_PTS,MATCH(L15,LMH_KEY,0)),0),IFERROR(INDEX(LMH_PTS,MATCH(M15,LMH_KEY,0)),0),IFERROR(INDEX(LMH_PTS,MATCH(N15,LMH_KEY,0)),0),IFERROR(INDEX(LMH_PTS,MATCH(O15,LMH_KEY,0)),0),IFERROR(INDEX(LMH_PTS,MATCH(P15,LMH_KEY,0)),0)),""))</f>
        <v>0.473684210526316</v>
      </c>
      <c r="R15" s="74">
        <f>IF(K15="","",IFERROR(INDEX(LMH_PTS,MATCH(K15,LMH_KEY,0))/SUM(IFERROR(INDEX(LMH_PTS,MATCH(J15,LMH_KEY,0)),0),IFERROR(INDEX(LMH_PTS,MATCH(K15,LMH_KEY,0)),0),IFERROR(INDEX(LMH_PTS,MATCH(L15,LMH_KEY,0)),0),IFERROR(INDEX(LMH_PTS,MATCH(M15,LMH_KEY,0)),0),IFERROR(INDEX(LMH_PTS,MATCH(N15,LMH_KEY,0)),0),IFERROR(INDEX(LMH_PTS,MATCH(O15,LMH_KEY,0)),0),IFERROR(INDEX(LMH_PTS,MATCH(P15,LMH_KEY,0)),0)),""))</f>
        <v>0.157894736842105</v>
      </c>
      <c r="S15" s="74">
        <f>IF(L15="","",IFERROR(INDEX(LMH_PTS,MATCH(L15,LMH_KEY,0))/SUM(IFERROR(INDEX(LMH_PTS,MATCH(J15,LMH_KEY,0)),0),IFERROR(INDEX(LMH_PTS,MATCH(K15,LMH_KEY,0)),0),IFERROR(INDEX(LMH_PTS,MATCH(L15,LMH_KEY,0)),0),IFERROR(INDEX(LMH_PTS,MATCH(M15,LMH_KEY,0)),0),IFERROR(INDEX(LMH_PTS,MATCH(N15,LMH_KEY,0)),0),IFERROR(INDEX(LMH_PTS,MATCH(O15,LMH_KEY,0)),0),IFERROR(INDEX(LMH_PTS,MATCH(P15,LMH_KEY,0)),0)),""))</f>
        <v>0.157894736842105</v>
      </c>
      <c r="T15" s="74">
        <f>IF(M15="","",IFERROR(INDEX(LMH_PTS,MATCH(M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U15" s="74">
        <f>IF(N15="","",IFERROR(INDEX(LMH_PTS,MATCH(N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V15" s="74">
        <f>IF(O15="","",IFERROR(INDEX(LMH_PTS,MATCH(O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W15" s="74">
        <f>IF(P15="","",IFERROR(INDEX(LMH_PTS,MATCH(P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X15" s="44" t="n"/>
      <c r="Y15" s="38" t="inlineStr">
        <is>
          <t>Corporate|Finance|Finance Specialist – POD Lead|B1|B-IC</t>
        </is>
      </c>
    </row>
    <row r="16" ht="28" customHeight="1">
      <c r="A16" s="28" t="inlineStr">
        <is>
          <t>Corporate</t>
        </is>
      </c>
      <c r="B16" s="29" t="inlineStr">
        <is>
          <t>Finance</t>
        </is>
      </c>
      <c r="C16" s="75" t="inlineStr">
        <is>
          <t>A3</t>
        </is>
      </c>
      <c r="D16" s="29" t="inlineStr">
        <is>
          <t>Band A · Practitioner</t>
        </is>
      </c>
      <c r="E16" s="29" t="inlineStr">
        <is>
          <t>Accounts Specialist – POD Lead</t>
        </is>
      </c>
      <c r="F16" s="29" t="inlineStr">
        <is>
          <t>Band A · all tracks</t>
        </is>
      </c>
      <c r="G16" s="29" t="inlineStr">
        <is>
          <t>Finance &amp; Accounts</t>
        </is>
      </c>
      <c r="H16" s="29" t="n">
        <v>2</v>
      </c>
      <c r="I16" s="29" t="inlineStr">
        <is>
          <t>Anita Chavan, Gaurangee Gaurav Tawde</t>
        </is>
      </c>
      <c r="J16" s="34" t="str">
        <f>IFERROR(INDEX(RBD_C,MATCH("Finance &amp; Accounts|A3|A",RBD_KEY,0)),"M")</f>
        <v>H</v>
      </c>
      <c r="K16" s="35" t="str">
        <f>IFERROR(INDEX(RBD_Au,MATCH("Finance &amp; Accounts|A3|A",RBD_KEY,0)),"M")</f>
        <v>M</v>
      </c>
      <c r="L16" s="35" t="str">
        <f>IFERROR(INDEX(RBD_Ac,MATCH("Finance &amp; Accounts|A3|A",RBD_KEY,0)),"M")</f>
        <v>M</v>
      </c>
      <c r="M16" s="35" t="str">
        <f>IFERROR(INDEX(RBD_L,MATCH("Finance &amp; Accounts|A3|A",RBD_KEY,0)),"M")</f>
        <v>L</v>
      </c>
      <c r="N16" s="35" t="str">
        <f>IFERROR(INDEX(RBD_BI,MATCH("Finance &amp; Accounts|A3|A",RBD_KEY,0)),"M")</f>
        <v>L</v>
      </c>
      <c r="O16" s="35" t="str">
        <f>IFERROR(INDEX(RBD_Exp,MATCH("Finance &amp; Accounts|A3|A",RBD_KEY,0)),"M")</f>
        <v>L</v>
      </c>
      <c r="P16" s="35" t="str">
        <f>IFERROR(INDEX(RBD_Edu,MATCH("Finance &amp; Accounts|A3|A",RBD_KEY,0)),"M")</f>
        <v>M</v>
      </c>
      <c r="Q16" s="73">
        <f>IF(J16="","",IFERROR(INDEX(LMH_PTS,MATCH(J16,LMH_KEY,0))/SUM(IFERROR(INDEX(LMH_PTS,MATCH(J16,LMH_KEY,0)),0),IFERROR(INDEX(LMH_PTS,MATCH(K16,LMH_KEY,0)),0),IFERROR(INDEX(LMH_PTS,MATCH(L16,LMH_KEY,0)),0),IFERROR(INDEX(LMH_PTS,MATCH(M16,LMH_KEY,0)),0),IFERROR(INDEX(LMH_PTS,MATCH(N16,LMH_KEY,0)),0),IFERROR(INDEX(LMH_PTS,MATCH(O16,LMH_KEY,0)),0),IFERROR(INDEX(LMH_PTS,MATCH(P16,LMH_KEY,0)),0)),""))</f>
        <v>0.428571428571429</v>
      </c>
      <c r="R16" s="74">
        <f>IF(K16="","",IFERROR(INDEX(LMH_PTS,MATCH(K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S16" s="74">
        <f>IF(L16="","",IFERROR(INDEX(LMH_PTS,MATCH(L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T16" s="74">
        <f>IF(M16="","",IFERROR(INDEX(LMH_PTS,MATCH(M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U16" s="74">
        <f>IF(N16="","",IFERROR(INDEX(LMH_PTS,MATCH(N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V16" s="74">
        <f>IF(O16="","",IFERROR(INDEX(LMH_PTS,MATCH(O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W16" s="74">
        <f>IF(P16="","",IFERROR(INDEX(LMH_PTS,MATCH(P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X16" s="44" t="n"/>
      <c r="Y16" s="38" t="inlineStr">
        <is>
          <t>Corporate|Finance|Accounts Specialist – POD Lead|A3|A</t>
        </is>
      </c>
    </row>
    <row r="17" ht="18" customHeight="1">
      <c r="A17" s="28" t="inlineStr">
        <is>
          <t>Corporate</t>
        </is>
      </c>
      <c r="B17" s="29" t="inlineStr">
        <is>
          <t>Finance</t>
        </is>
      </c>
      <c r="C17" s="75" t="inlineStr">
        <is>
          <t>A2</t>
        </is>
      </c>
      <c r="D17" s="29" t="inlineStr">
        <is>
          <t>Band A · Practitioner</t>
        </is>
      </c>
      <c r="E17" s="29" t="inlineStr">
        <is>
          <t>Senior Accounts Executive</t>
        </is>
      </c>
      <c r="F17" s="29" t="inlineStr">
        <is>
          <t>Band A · all tracks</t>
        </is>
      </c>
      <c r="G17" s="29" t="inlineStr">
        <is>
          <t>Finance &amp; Accounts</t>
        </is>
      </c>
      <c r="H17" s="29" t="n">
        <v>2</v>
      </c>
      <c r="I17" s="29" t="inlineStr">
        <is>
          <t>Bhushan Kashid, Riddhi Narkar</t>
        </is>
      </c>
      <c r="J17" s="34" t="str">
        <f>IFERROR(INDEX(RBD_C,MATCH("Finance &amp; Accounts|A2|A",RBD_KEY,0)),"M")</f>
        <v>H</v>
      </c>
      <c r="K17" s="35" t="str">
        <f>IFERROR(INDEX(RBD_Au,MATCH("Finance &amp; Accounts|A2|A",RBD_KEY,0)),"M")</f>
        <v>M</v>
      </c>
      <c r="L17" s="35" t="str">
        <f>IFERROR(INDEX(RBD_Ac,MATCH("Finance &amp; Accounts|A2|A",RBD_KEY,0)),"M")</f>
        <v>M</v>
      </c>
      <c r="M17" s="35" t="str">
        <f>IFERROR(INDEX(RBD_L,MATCH("Finance &amp; Accounts|A2|A",RBD_KEY,0)),"M")</f>
        <v>L</v>
      </c>
      <c r="N17" s="35" t="str">
        <f>IFERROR(INDEX(RBD_BI,MATCH("Finance &amp; Accounts|A2|A",RBD_KEY,0)),"M")</f>
        <v>L</v>
      </c>
      <c r="O17" s="35" t="str">
        <f>IFERROR(INDEX(RBD_Exp,MATCH("Finance &amp; Accounts|A2|A",RBD_KEY,0)),"M")</f>
        <v>L</v>
      </c>
      <c r="P17" s="35" t="str">
        <f>IFERROR(INDEX(RBD_Edu,MATCH("Finance &amp; Accounts|A2|A",RBD_KEY,0)),"M")</f>
        <v>M</v>
      </c>
      <c r="Q17" s="73">
        <f>IF(J17="","",IFERROR(INDEX(LMH_PTS,MATCH(J17,LMH_KEY,0))/SUM(IFERROR(INDEX(LMH_PTS,MATCH(J17,LMH_KEY,0)),0),IFERROR(INDEX(LMH_PTS,MATCH(K17,LMH_KEY,0)),0),IFERROR(INDEX(LMH_PTS,MATCH(L17,LMH_KEY,0)),0),IFERROR(INDEX(LMH_PTS,MATCH(M17,LMH_KEY,0)),0),IFERROR(INDEX(LMH_PTS,MATCH(N17,LMH_KEY,0)),0),IFERROR(INDEX(LMH_PTS,MATCH(O17,LMH_KEY,0)),0),IFERROR(INDEX(LMH_PTS,MATCH(P17,LMH_KEY,0)),0)),""))</f>
        <v>0.428571428571429</v>
      </c>
      <c r="R17" s="74">
        <f>IF(K17="","",IFERROR(INDEX(LMH_PTS,MATCH(K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S17" s="74">
        <f>IF(L17="","",IFERROR(INDEX(LMH_PTS,MATCH(L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T17" s="74">
        <f>IF(M17="","",IFERROR(INDEX(LMH_PTS,MATCH(M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U17" s="74">
        <f>IF(N17="","",IFERROR(INDEX(LMH_PTS,MATCH(N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V17" s="74">
        <f>IF(O17="","",IFERROR(INDEX(LMH_PTS,MATCH(O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W17" s="74">
        <f>IF(P17="","",IFERROR(INDEX(LMH_PTS,MATCH(P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X17" s="44" t="n"/>
      <c r="Y17" s="38" t="inlineStr">
        <is>
          <t>Corporate|Finance|Senior Accounts Executive|A2|A</t>
        </is>
      </c>
    </row>
    <row r="18" ht="28" customHeight="1">
      <c r="A18" s="28" t="inlineStr">
        <is>
          <t>Corporate</t>
        </is>
      </c>
      <c r="B18" s="71" t="inlineStr">
        <is>
          <t>HR</t>
        </is>
      </c>
      <c r="C18" s="79" t="inlineStr">
        <is>
          <t>D2</t>
        </is>
      </c>
      <c r="D18" s="29" t="inlineStr">
        <is>
          <t>Band D · Business leadership</t>
        </is>
      </c>
      <c r="E18" s="29" t="inlineStr">
        <is>
          <t>Vice President – Human Resources</t>
        </is>
      </c>
      <c r="F18" s="29" t="inlineStr">
        <is>
          <t>Bands D–E · Leadership</t>
        </is>
      </c>
      <c r="G18" s="29" t="inlineStr">
        <is>
          <t>Executive Leadership</t>
        </is>
      </c>
      <c r="H18" s="29" t="n">
        <v>1</v>
      </c>
      <c r="I18" s="29" t="inlineStr">
        <is>
          <t>Shweta Jha</t>
        </is>
      </c>
      <c r="J18" s="34" t="str">
        <f>IFERROR(INDEX(RBD_C,MATCH("Executive Leadership|D2|DE",RBD_KEY,0)),"M")</f>
        <v>H</v>
      </c>
      <c r="K18" s="35" t="str">
        <f>IFERROR(INDEX(RBD_Au,MATCH("Executive Leadership|D2|DE",RBD_KEY,0)),"M")</f>
        <v>M</v>
      </c>
      <c r="L18" s="35" t="str">
        <f>IFERROR(INDEX(RBD_Ac,MATCH("Executive Leadership|D2|DE",RBD_KEY,0)),"M")</f>
        <v>M</v>
      </c>
      <c r="M18" s="35" t="str">
        <f>IFERROR(INDEX(RBD_L,MATCH("Executive Leadership|D2|DE",RBD_KEY,0)),"M")</f>
        <v>M</v>
      </c>
      <c r="N18" s="35" t="str">
        <f>IFERROR(INDEX(RBD_BI,MATCH("Executive Leadership|D2|DE",RBD_KEY,0)),"M")</f>
        <v>L</v>
      </c>
      <c r="O18" s="35" t="str">
        <f>IFERROR(INDEX(RBD_Exp,MATCH("Executive Leadership|D2|DE",RBD_KEY,0)),"M")</f>
        <v>L</v>
      </c>
      <c r="P18" s="35" t="str">
        <f>IFERROR(INDEX(RBD_Edu,MATCH("Executive Leadership|D2|DE",RBD_KEY,0)),"M")</f>
        <v>L</v>
      </c>
      <c r="Q18" s="73">
        <f>IF(J18="","",IFERROR(INDEX(LMH_PTS,MATCH(J18,LMH_KEY,0))/SUM(IFERROR(INDEX(LMH_PTS,MATCH(J18,LMH_KEY,0)),0),IFERROR(INDEX(LMH_PTS,MATCH(K18,LMH_KEY,0)),0),IFERROR(INDEX(LMH_PTS,MATCH(L18,LMH_KEY,0)),0),IFERROR(INDEX(LMH_PTS,MATCH(M18,LMH_KEY,0)),0),IFERROR(INDEX(LMH_PTS,MATCH(N18,LMH_KEY,0)),0),IFERROR(INDEX(LMH_PTS,MATCH(O18,LMH_KEY,0)),0),IFERROR(INDEX(LMH_PTS,MATCH(P18,LMH_KEY,0)),0)),""))</f>
        <v>0.428571428571429</v>
      </c>
      <c r="R18" s="74">
        <f>IF(K18="","",IFERROR(INDEX(LMH_PTS,MATCH(K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S18" s="74">
        <f>IF(L18="","",IFERROR(INDEX(LMH_PTS,MATCH(L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T18" s="74">
        <f>IF(M18="","",IFERROR(INDEX(LMH_PTS,MATCH(M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U18" s="74">
        <f>IF(N18="","",IFERROR(INDEX(LMH_PTS,MATCH(N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V18" s="74">
        <f>IF(O18="","",IFERROR(INDEX(LMH_PTS,MATCH(O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W18" s="74">
        <f>IF(P18="","",IFERROR(INDEX(LMH_PTS,MATCH(P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X18" s="44" t="n"/>
      <c r="Y18" s="38" t="inlineStr">
        <is>
          <t>Corporate|HR|Vice President – Human Resources|D2|DE</t>
        </is>
      </c>
    </row>
    <row r="19" ht="28" customHeight="1">
      <c r="A19" s="28" t="inlineStr">
        <is>
          <t>Corporate</t>
        </is>
      </c>
      <c r="B19" s="29" t="inlineStr">
        <is>
          <t>HR</t>
        </is>
      </c>
      <c r="C19" s="72" t="inlineStr">
        <is>
          <t>B3</t>
        </is>
      </c>
      <c r="D19" s="29" t="inlineStr">
        <is>
          <t>Band B · Specialist / Manager</t>
        </is>
      </c>
      <c r="E19" s="29" t="inlineStr">
        <is>
          <t>Lead HR Specialist – Transformation &amp; OD</t>
        </is>
      </c>
      <c r="F19" s="29" t="inlineStr">
        <is>
          <t>Band B · Specialist / POD Lead</t>
        </is>
      </c>
      <c r="G19" s="29" t="inlineStr">
        <is>
          <t>Human Resources</t>
        </is>
      </c>
      <c r="H19" s="29" t="n">
        <v>1</v>
      </c>
      <c r="I19" s="29" t="inlineStr">
        <is>
          <t>Mohammed Hanzala Shaikh</t>
        </is>
      </c>
      <c r="J19" s="34" t="str">
        <f>IFERROR(INDEX(RBD_C,MATCH("Human Resources|B3|B-IC",RBD_KEY,0)),"M")</f>
        <v>H</v>
      </c>
      <c r="K19" s="35" t="str">
        <f>IFERROR(INDEX(RBD_Au,MATCH("Human Resources|B3|B-IC",RBD_KEY,0)),"M")</f>
        <v>M</v>
      </c>
      <c r="L19" s="35" t="str">
        <f>IFERROR(INDEX(RBD_Ac,MATCH("Human Resources|B3|B-IC",RBD_KEY,0)),"M")</f>
        <v>M</v>
      </c>
      <c r="M19" s="35" t="str">
        <f>IFERROR(INDEX(RBD_L,MATCH("Human Resources|B3|B-IC",RBD_KEY,0)),"M")</f>
        <v>L</v>
      </c>
      <c r="N19" s="35" t="str">
        <f>IFERROR(INDEX(RBD_BI,MATCH("Human Resources|B3|B-IC",RBD_KEY,0)),"M")</f>
        <v>L</v>
      </c>
      <c r="O19" s="35" t="str">
        <f>IFERROR(INDEX(RBD_Exp,MATCH("Human Resources|B3|B-IC",RBD_KEY,0)),"M")</f>
        <v>L</v>
      </c>
      <c r="P19" s="35" t="str">
        <f>IFERROR(INDEX(RBD_Edu,MATCH("Human Resources|B3|B-IC",RBD_KEY,0)),"M")</f>
        <v>L</v>
      </c>
      <c r="Q19" s="73">
        <f>IF(J19="","",IFERROR(INDEX(LMH_PTS,MATCH(J19,LMH_KEY,0))/SUM(IFERROR(INDEX(LMH_PTS,MATCH(J19,LMH_KEY,0)),0),IFERROR(INDEX(LMH_PTS,MATCH(K19,LMH_KEY,0)),0),IFERROR(INDEX(LMH_PTS,MATCH(L19,LMH_KEY,0)),0),IFERROR(INDEX(LMH_PTS,MATCH(M19,LMH_KEY,0)),0),IFERROR(INDEX(LMH_PTS,MATCH(N19,LMH_KEY,0)),0),IFERROR(INDEX(LMH_PTS,MATCH(O19,LMH_KEY,0)),0),IFERROR(INDEX(LMH_PTS,MATCH(P19,LMH_KEY,0)),0)),""))</f>
        <v>0.473684210526316</v>
      </c>
      <c r="R19" s="74">
        <f>IF(K19="","",IFERROR(INDEX(LMH_PTS,MATCH(K19,LMH_KEY,0))/SUM(IFERROR(INDEX(LMH_PTS,MATCH(J19,LMH_KEY,0)),0),IFERROR(INDEX(LMH_PTS,MATCH(K19,LMH_KEY,0)),0),IFERROR(INDEX(LMH_PTS,MATCH(L19,LMH_KEY,0)),0),IFERROR(INDEX(LMH_PTS,MATCH(M19,LMH_KEY,0)),0),IFERROR(INDEX(LMH_PTS,MATCH(N19,LMH_KEY,0)),0),IFERROR(INDEX(LMH_PTS,MATCH(O19,LMH_KEY,0)),0),IFERROR(INDEX(LMH_PTS,MATCH(P19,LMH_KEY,0)),0)),""))</f>
        <v>0.157894736842105</v>
      </c>
      <c r="S19" s="74">
        <f>IF(L19="","",IFERROR(INDEX(LMH_PTS,MATCH(L19,LMH_KEY,0))/SUM(IFERROR(INDEX(LMH_PTS,MATCH(J19,LMH_KEY,0)),0),IFERROR(INDEX(LMH_PTS,MATCH(K19,LMH_KEY,0)),0),IFERROR(INDEX(LMH_PTS,MATCH(L19,LMH_KEY,0)),0),IFERROR(INDEX(LMH_PTS,MATCH(M19,LMH_KEY,0)),0),IFERROR(INDEX(LMH_PTS,MATCH(N19,LMH_KEY,0)),0),IFERROR(INDEX(LMH_PTS,MATCH(O19,LMH_KEY,0)),0),IFERROR(INDEX(LMH_PTS,MATCH(P19,LMH_KEY,0)),0)),""))</f>
        <v>0.157894736842105</v>
      </c>
      <c r="T19" s="74">
        <f>IF(M19="","",IFERROR(INDEX(LMH_PTS,MATCH(M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U19" s="74">
        <f>IF(N19="","",IFERROR(INDEX(LMH_PTS,MATCH(N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V19" s="74">
        <f>IF(O19="","",IFERROR(INDEX(LMH_PTS,MATCH(O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W19" s="74">
        <f>IF(P19="","",IFERROR(INDEX(LMH_PTS,MATCH(P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X19" s="44" t="n"/>
      <c r="Y19" s="38" t="inlineStr">
        <is>
          <t>Corporate|HR|Lead HR Specialist – Transformation &amp; OD|B3|B-IC</t>
        </is>
      </c>
    </row>
    <row r="20" ht="28" customHeight="1">
      <c r="A20" s="28" t="inlineStr">
        <is>
          <t>Corporate</t>
        </is>
      </c>
      <c r="B20" s="29" t="inlineStr">
        <is>
          <t>HR</t>
        </is>
      </c>
      <c r="C20" s="72" t="inlineStr">
        <is>
          <t>B2</t>
        </is>
      </c>
      <c r="D20" s="29" t="inlineStr">
        <is>
          <t>Band B · Specialist / Manager</t>
        </is>
      </c>
      <c r="E20" s="29" t="inlineStr">
        <is>
          <t>Senior Talent Acquisition Specialist</t>
        </is>
      </c>
      <c r="F20" s="29" t="inlineStr">
        <is>
          <t>Band B · Specialist / POD Lead</t>
        </is>
      </c>
      <c r="G20" s="29" t="inlineStr">
        <is>
          <t>Human Resources</t>
        </is>
      </c>
      <c r="H20" s="29" t="n">
        <v>1</v>
      </c>
      <c r="I20" s="29" t="inlineStr">
        <is>
          <t>Simran Kaur Raina</t>
        </is>
      </c>
      <c r="J20" s="34" t="str">
        <f>IFERROR(INDEX(RBD_C,MATCH("Human Resources|B2|B-IC",RBD_KEY,0)),"M")</f>
        <v>H</v>
      </c>
      <c r="K20" s="35" t="str">
        <f>IFERROR(INDEX(RBD_Au,MATCH("Human Resources|B2|B-IC",RBD_KEY,0)),"M")</f>
        <v>M</v>
      </c>
      <c r="L20" s="35" t="str">
        <f>IFERROR(INDEX(RBD_Ac,MATCH("Human Resources|B2|B-IC",RBD_KEY,0)),"M")</f>
        <v>M</v>
      </c>
      <c r="M20" s="35" t="str">
        <f>IFERROR(INDEX(RBD_L,MATCH("Human Resources|B2|B-IC",RBD_KEY,0)),"M")</f>
        <v>L</v>
      </c>
      <c r="N20" s="35" t="str">
        <f>IFERROR(INDEX(RBD_BI,MATCH("Human Resources|B2|B-IC",RBD_KEY,0)),"M")</f>
        <v>L</v>
      </c>
      <c r="O20" s="35" t="str">
        <f>IFERROR(INDEX(RBD_Exp,MATCH("Human Resources|B2|B-IC",RBD_KEY,0)),"M")</f>
        <v>L</v>
      </c>
      <c r="P20" s="35" t="str">
        <f>IFERROR(INDEX(RBD_Edu,MATCH("Human Resources|B2|B-IC",RBD_KEY,0)),"M")</f>
        <v>L</v>
      </c>
      <c r="Q20" s="73">
        <f>IF(J20="","",IFERROR(INDEX(LMH_PTS,MATCH(J20,LMH_KEY,0))/SUM(IFERROR(INDEX(LMH_PTS,MATCH(J20,LMH_KEY,0)),0),IFERROR(INDEX(LMH_PTS,MATCH(K20,LMH_KEY,0)),0),IFERROR(INDEX(LMH_PTS,MATCH(L20,LMH_KEY,0)),0),IFERROR(INDEX(LMH_PTS,MATCH(M20,LMH_KEY,0)),0),IFERROR(INDEX(LMH_PTS,MATCH(N20,LMH_KEY,0)),0),IFERROR(INDEX(LMH_PTS,MATCH(O20,LMH_KEY,0)),0),IFERROR(INDEX(LMH_PTS,MATCH(P20,LMH_KEY,0)),0)),""))</f>
        <v>0.473684210526316</v>
      </c>
      <c r="R20" s="74">
        <f>IF(K20="","",IFERROR(INDEX(LMH_PTS,MATCH(K20,LMH_KEY,0))/SUM(IFERROR(INDEX(LMH_PTS,MATCH(J20,LMH_KEY,0)),0),IFERROR(INDEX(LMH_PTS,MATCH(K20,LMH_KEY,0)),0),IFERROR(INDEX(LMH_PTS,MATCH(L20,LMH_KEY,0)),0),IFERROR(INDEX(LMH_PTS,MATCH(M20,LMH_KEY,0)),0),IFERROR(INDEX(LMH_PTS,MATCH(N20,LMH_KEY,0)),0),IFERROR(INDEX(LMH_PTS,MATCH(O20,LMH_KEY,0)),0),IFERROR(INDEX(LMH_PTS,MATCH(P20,LMH_KEY,0)),0)),""))</f>
        <v>0.157894736842105</v>
      </c>
      <c r="S20" s="74">
        <f>IF(L20="","",IFERROR(INDEX(LMH_PTS,MATCH(L20,LMH_KEY,0))/SUM(IFERROR(INDEX(LMH_PTS,MATCH(J20,LMH_KEY,0)),0),IFERROR(INDEX(LMH_PTS,MATCH(K20,LMH_KEY,0)),0),IFERROR(INDEX(LMH_PTS,MATCH(L20,LMH_KEY,0)),0),IFERROR(INDEX(LMH_PTS,MATCH(M20,LMH_KEY,0)),0),IFERROR(INDEX(LMH_PTS,MATCH(N20,LMH_KEY,0)),0),IFERROR(INDEX(LMH_PTS,MATCH(O20,LMH_KEY,0)),0),IFERROR(INDEX(LMH_PTS,MATCH(P20,LMH_KEY,0)),0)),""))</f>
        <v>0.157894736842105</v>
      </c>
      <c r="T20" s="74">
        <f>IF(M20="","",IFERROR(INDEX(LMH_PTS,MATCH(M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U20" s="74">
        <f>IF(N20="","",IFERROR(INDEX(LMH_PTS,MATCH(N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V20" s="74">
        <f>IF(O20="","",IFERROR(INDEX(LMH_PTS,MATCH(O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W20" s="74">
        <f>IF(P20="","",IFERROR(INDEX(LMH_PTS,MATCH(P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X20" s="44" t="n"/>
      <c r="Y20" s="38" t="inlineStr">
        <is>
          <t>Corporate|HR|Senior Talent Acquisition Specialist|B2|B-IC</t>
        </is>
      </c>
    </row>
    <row r="21" ht="18" customHeight="1">
      <c r="A21" s="28" t="inlineStr">
        <is>
          <t>Corporate</t>
        </is>
      </c>
      <c r="B21" s="29" t="inlineStr">
        <is>
          <t>HR</t>
        </is>
      </c>
      <c r="C21" s="72" t="inlineStr">
        <is>
          <t>B1</t>
        </is>
      </c>
      <c r="D21" s="29" t="inlineStr">
        <is>
          <t>Band B · Specialist / Manager</t>
        </is>
      </c>
      <c r="E21" s="29" t="inlineStr">
        <is>
          <t>HR Specialist</t>
        </is>
      </c>
      <c r="F21" s="29" t="inlineStr">
        <is>
          <t>Band B · Specialist / POD Lead</t>
        </is>
      </c>
      <c r="G21" s="29" t="inlineStr">
        <is>
          <t>Human Resources</t>
        </is>
      </c>
      <c r="H21" s="29" t="n">
        <v>1</v>
      </c>
      <c r="I21" s="29" t="inlineStr">
        <is>
          <t>Chandrakumar Moopanar</t>
        </is>
      </c>
      <c r="J21" s="34" t="str">
        <f>IFERROR(INDEX(RBD_C,MATCH("Human Resources|B1|B-IC",RBD_KEY,0)),"M")</f>
        <v>H</v>
      </c>
      <c r="K21" s="35" t="str">
        <f>IFERROR(INDEX(RBD_Au,MATCH("Human Resources|B1|B-IC",RBD_KEY,0)),"M")</f>
        <v>M</v>
      </c>
      <c r="L21" s="35" t="str">
        <f>IFERROR(INDEX(RBD_Ac,MATCH("Human Resources|B1|B-IC",RBD_KEY,0)),"M")</f>
        <v>M</v>
      </c>
      <c r="M21" s="35" t="str">
        <f>IFERROR(INDEX(RBD_L,MATCH("Human Resources|B1|B-IC",RBD_KEY,0)),"M")</f>
        <v>L</v>
      </c>
      <c r="N21" s="35" t="str">
        <f>IFERROR(INDEX(RBD_BI,MATCH("Human Resources|B1|B-IC",RBD_KEY,0)),"M")</f>
        <v>L</v>
      </c>
      <c r="O21" s="35" t="str">
        <f>IFERROR(INDEX(RBD_Exp,MATCH("Human Resources|B1|B-IC",RBD_KEY,0)),"M")</f>
        <v>L</v>
      </c>
      <c r="P21" s="35" t="str">
        <f>IFERROR(INDEX(RBD_Edu,MATCH("Human Resources|B1|B-IC",RBD_KEY,0)),"M")</f>
        <v>L</v>
      </c>
      <c r="Q21" s="73">
        <f>IF(J21="","",IFERROR(INDEX(LMH_PTS,MATCH(J21,LMH_KEY,0))/SUM(IFERROR(INDEX(LMH_PTS,MATCH(J21,LMH_KEY,0)),0),IFERROR(INDEX(LMH_PTS,MATCH(K21,LMH_KEY,0)),0),IFERROR(INDEX(LMH_PTS,MATCH(L21,LMH_KEY,0)),0),IFERROR(INDEX(LMH_PTS,MATCH(M21,LMH_KEY,0)),0),IFERROR(INDEX(LMH_PTS,MATCH(N21,LMH_KEY,0)),0),IFERROR(INDEX(LMH_PTS,MATCH(O21,LMH_KEY,0)),0),IFERROR(INDEX(LMH_PTS,MATCH(P21,LMH_KEY,0)),0)),""))</f>
        <v>0.473684210526316</v>
      </c>
      <c r="R21" s="74">
        <f>IF(K21="","",IFERROR(INDEX(LMH_PTS,MATCH(K21,LMH_KEY,0))/SUM(IFERROR(INDEX(LMH_PTS,MATCH(J21,LMH_KEY,0)),0),IFERROR(INDEX(LMH_PTS,MATCH(K21,LMH_KEY,0)),0),IFERROR(INDEX(LMH_PTS,MATCH(L21,LMH_KEY,0)),0),IFERROR(INDEX(LMH_PTS,MATCH(M21,LMH_KEY,0)),0),IFERROR(INDEX(LMH_PTS,MATCH(N21,LMH_KEY,0)),0),IFERROR(INDEX(LMH_PTS,MATCH(O21,LMH_KEY,0)),0),IFERROR(INDEX(LMH_PTS,MATCH(P21,LMH_KEY,0)),0)),""))</f>
        <v>0.157894736842105</v>
      </c>
      <c r="S21" s="74">
        <f>IF(L21="","",IFERROR(INDEX(LMH_PTS,MATCH(L21,LMH_KEY,0))/SUM(IFERROR(INDEX(LMH_PTS,MATCH(J21,LMH_KEY,0)),0),IFERROR(INDEX(LMH_PTS,MATCH(K21,LMH_KEY,0)),0),IFERROR(INDEX(LMH_PTS,MATCH(L21,LMH_KEY,0)),0),IFERROR(INDEX(LMH_PTS,MATCH(M21,LMH_KEY,0)),0),IFERROR(INDEX(LMH_PTS,MATCH(N21,LMH_KEY,0)),0),IFERROR(INDEX(LMH_PTS,MATCH(O21,LMH_KEY,0)),0),IFERROR(INDEX(LMH_PTS,MATCH(P21,LMH_KEY,0)),0)),""))</f>
        <v>0.157894736842105</v>
      </c>
      <c r="T21" s="74">
        <f>IF(M21="","",IFERROR(INDEX(LMH_PTS,MATCH(M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U21" s="74">
        <f>IF(N21="","",IFERROR(INDEX(LMH_PTS,MATCH(N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V21" s="74">
        <f>IF(O21="","",IFERROR(INDEX(LMH_PTS,MATCH(O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W21" s="74">
        <f>IF(P21="","",IFERROR(INDEX(LMH_PTS,MATCH(P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X21" s="44" t="n"/>
      <c r="Y21" s="38" t="inlineStr">
        <is>
          <t>Corporate|HR|HR Specialist|B1|B-IC</t>
        </is>
      </c>
    </row>
    <row r="22" ht="18" customHeight="1">
      <c r="A22" s="28" t="inlineStr">
        <is>
          <t>Corporate</t>
        </is>
      </c>
      <c r="B22" s="29" t="inlineStr">
        <is>
          <t>HR</t>
        </is>
      </c>
      <c r="C22" s="72" t="inlineStr">
        <is>
          <t>B1</t>
        </is>
      </c>
      <c r="D22" s="29" t="inlineStr">
        <is>
          <t>Band B · Specialist / Manager</t>
        </is>
      </c>
      <c r="E22" s="29" t="inlineStr">
        <is>
          <t>HR Specialist – POD Lead</t>
        </is>
      </c>
      <c r="F22" s="29" t="inlineStr">
        <is>
          <t>Band B · Specialist / POD Lead</t>
        </is>
      </c>
      <c r="G22" s="29" t="inlineStr">
        <is>
          <t>Human Resources</t>
        </is>
      </c>
      <c r="H22" s="29" t="n">
        <v>1</v>
      </c>
      <c r="I22" s="29" t="inlineStr">
        <is>
          <t>Nikitha Nair</t>
        </is>
      </c>
      <c r="J22" s="34" t="str">
        <f>IFERROR(INDEX(RBD_C,MATCH("Human Resources|B1|B-IC",RBD_KEY,0)),"M")</f>
        <v>H</v>
      </c>
      <c r="K22" s="35" t="str">
        <f>IFERROR(INDEX(RBD_Au,MATCH("Human Resources|B1|B-IC",RBD_KEY,0)),"M")</f>
        <v>M</v>
      </c>
      <c r="L22" s="35" t="str">
        <f>IFERROR(INDEX(RBD_Ac,MATCH("Human Resources|B1|B-IC",RBD_KEY,0)),"M")</f>
        <v>M</v>
      </c>
      <c r="M22" s="35" t="str">
        <f>IFERROR(INDEX(RBD_L,MATCH("Human Resources|B1|B-IC",RBD_KEY,0)),"M")</f>
        <v>L</v>
      </c>
      <c r="N22" s="35" t="str">
        <f>IFERROR(INDEX(RBD_BI,MATCH("Human Resources|B1|B-IC",RBD_KEY,0)),"M")</f>
        <v>L</v>
      </c>
      <c r="O22" s="35" t="str">
        <f>IFERROR(INDEX(RBD_Exp,MATCH("Human Resources|B1|B-IC",RBD_KEY,0)),"M")</f>
        <v>L</v>
      </c>
      <c r="P22" s="35" t="str">
        <f>IFERROR(INDEX(RBD_Edu,MATCH("Human Resources|B1|B-IC",RBD_KEY,0)),"M")</f>
        <v>L</v>
      </c>
      <c r="Q22" s="73">
        <f>IF(J22="","",IFERROR(INDEX(LMH_PTS,MATCH(J22,LMH_KEY,0))/SUM(IFERROR(INDEX(LMH_PTS,MATCH(J22,LMH_KEY,0)),0),IFERROR(INDEX(LMH_PTS,MATCH(K22,LMH_KEY,0)),0),IFERROR(INDEX(LMH_PTS,MATCH(L22,LMH_KEY,0)),0),IFERROR(INDEX(LMH_PTS,MATCH(M22,LMH_KEY,0)),0),IFERROR(INDEX(LMH_PTS,MATCH(N22,LMH_KEY,0)),0),IFERROR(INDEX(LMH_PTS,MATCH(O22,LMH_KEY,0)),0),IFERROR(INDEX(LMH_PTS,MATCH(P22,LMH_KEY,0)),0)),""))</f>
        <v>0.473684210526316</v>
      </c>
      <c r="R22" s="74">
        <f>IF(K22="","",IFERROR(INDEX(LMH_PTS,MATCH(K22,LMH_KEY,0))/SUM(IFERROR(INDEX(LMH_PTS,MATCH(J22,LMH_KEY,0)),0),IFERROR(INDEX(LMH_PTS,MATCH(K22,LMH_KEY,0)),0),IFERROR(INDEX(LMH_PTS,MATCH(L22,LMH_KEY,0)),0),IFERROR(INDEX(LMH_PTS,MATCH(M22,LMH_KEY,0)),0),IFERROR(INDEX(LMH_PTS,MATCH(N22,LMH_KEY,0)),0),IFERROR(INDEX(LMH_PTS,MATCH(O22,LMH_KEY,0)),0),IFERROR(INDEX(LMH_PTS,MATCH(P22,LMH_KEY,0)),0)),""))</f>
        <v>0.157894736842105</v>
      </c>
      <c r="S22" s="74">
        <f>IF(L22="","",IFERROR(INDEX(LMH_PTS,MATCH(L22,LMH_KEY,0))/SUM(IFERROR(INDEX(LMH_PTS,MATCH(J22,LMH_KEY,0)),0),IFERROR(INDEX(LMH_PTS,MATCH(K22,LMH_KEY,0)),0),IFERROR(INDEX(LMH_PTS,MATCH(L22,LMH_KEY,0)),0),IFERROR(INDEX(LMH_PTS,MATCH(M22,LMH_KEY,0)),0),IFERROR(INDEX(LMH_PTS,MATCH(N22,LMH_KEY,0)),0),IFERROR(INDEX(LMH_PTS,MATCH(O22,LMH_KEY,0)),0),IFERROR(INDEX(LMH_PTS,MATCH(P22,LMH_KEY,0)),0)),""))</f>
        <v>0.157894736842105</v>
      </c>
      <c r="T22" s="74">
        <f>IF(M22="","",IFERROR(INDEX(LMH_PTS,MATCH(M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U22" s="74">
        <f>IF(N22="","",IFERROR(INDEX(LMH_PTS,MATCH(N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V22" s="74">
        <f>IF(O22="","",IFERROR(INDEX(LMH_PTS,MATCH(O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W22" s="74">
        <f>IF(P22="","",IFERROR(INDEX(LMH_PTS,MATCH(P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X22" s="44" t="n"/>
      <c r="Y22" s="38" t="inlineStr">
        <is>
          <t>Corporate|HR|HR Specialist – POD Lead|B1|B-IC</t>
        </is>
      </c>
    </row>
    <row r="23" ht="28" customHeight="1">
      <c r="A23" s="28" t="inlineStr">
        <is>
          <t>Corporate</t>
        </is>
      </c>
      <c r="B23" s="29" t="inlineStr">
        <is>
          <t>HR</t>
        </is>
      </c>
      <c r="C23" s="75" t="inlineStr">
        <is>
          <t>A3</t>
        </is>
      </c>
      <c r="D23" s="29" t="inlineStr">
        <is>
          <t>Band A · Practitioner</t>
        </is>
      </c>
      <c r="E23" s="29" t="inlineStr">
        <is>
          <t>Senior Talent Acquisition Executive</t>
        </is>
      </c>
      <c r="F23" s="29" t="inlineStr">
        <is>
          <t>Band A · all tracks</t>
        </is>
      </c>
      <c r="G23" s="29" t="inlineStr">
        <is>
          <t>Human Resources</t>
        </is>
      </c>
      <c r="H23" s="29" t="n">
        <v>2</v>
      </c>
      <c r="I23" s="29" t="inlineStr">
        <is>
          <t>Renuka Badhoria, Shruti Gawas</t>
        </is>
      </c>
      <c r="J23" s="34" t="str">
        <f>IFERROR(INDEX(RBD_C,MATCH("Human Resources|A3|A",RBD_KEY,0)),"M")</f>
        <v>H</v>
      </c>
      <c r="K23" s="35" t="str">
        <f>IFERROR(INDEX(RBD_Au,MATCH("Human Resources|A3|A",RBD_KEY,0)),"M")</f>
        <v>M</v>
      </c>
      <c r="L23" s="35" t="str">
        <f>IFERROR(INDEX(RBD_Ac,MATCH("Human Resources|A3|A",RBD_KEY,0)),"M")</f>
        <v>M</v>
      </c>
      <c r="M23" s="35" t="str">
        <f>IFERROR(INDEX(RBD_L,MATCH("Human Resources|A3|A",RBD_KEY,0)),"M")</f>
        <v>L</v>
      </c>
      <c r="N23" s="35" t="str">
        <f>IFERROR(INDEX(RBD_BI,MATCH("Human Resources|A3|A",RBD_KEY,0)),"M")</f>
        <v>L</v>
      </c>
      <c r="O23" s="35" t="str">
        <f>IFERROR(INDEX(RBD_Exp,MATCH("Human Resources|A3|A",RBD_KEY,0)),"M")</f>
        <v>L</v>
      </c>
      <c r="P23" s="35" t="str">
        <f>IFERROR(INDEX(RBD_Edu,MATCH("Human Resources|A3|A",RBD_KEY,0)),"M")</f>
        <v>M</v>
      </c>
      <c r="Q23" s="73">
        <f>IF(J23="","",IFERROR(INDEX(LMH_PTS,MATCH(J23,LMH_KEY,0))/SUM(IFERROR(INDEX(LMH_PTS,MATCH(J23,LMH_KEY,0)),0),IFERROR(INDEX(LMH_PTS,MATCH(K23,LMH_KEY,0)),0),IFERROR(INDEX(LMH_PTS,MATCH(L23,LMH_KEY,0)),0),IFERROR(INDEX(LMH_PTS,MATCH(M23,LMH_KEY,0)),0),IFERROR(INDEX(LMH_PTS,MATCH(N23,LMH_KEY,0)),0),IFERROR(INDEX(LMH_PTS,MATCH(O23,LMH_KEY,0)),0),IFERROR(INDEX(LMH_PTS,MATCH(P23,LMH_KEY,0)),0)),""))</f>
        <v>0.428571428571429</v>
      </c>
      <c r="R23" s="74">
        <f>IF(K23="","",IFERROR(INDEX(LMH_PTS,MATCH(K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S23" s="74">
        <f>IF(L23="","",IFERROR(INDEX(LMH_PTS,MATCH(L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T23" s="74">
        <f>IF(M23="","",IFERROR(INDEX(LMH_PTS,MATCH(M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U23" s="74">
        <f>IF(N23="","",IFERROR(INDEX(LMH_PTS,MATCH(N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V23" s="74">
        <f>IF(O23="","",IFERROR(INDEX(LMH_PTS,MATCH(O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W23" s="74">
        <f>IF(P23="","",IFERROR(INDEX(LMH_PTS,MATCH(P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X23" s="44" t="n"/>
      <c r="Y23" s="38" t="inlineStr">
        <is>
          <t>Corporate|HR|Senior Talent Acquisition Executive|A3|A</t>
        </is>
      </c>
    </row>
    <row r="24" ht="18" customHeight="1">
      <c r="A24" s="28" t="inlineStr">
        <is>
          <t>Corporate</t>
        </is>
      </c>
      <c r="B24" s="29" t="inlineStr">
        <is>
          <t>HR</t>
        </is>
      </c>
      <c r="C24" s="75" t="inlineStr">
        <is>
          <t>A2</t>
        </is>
      </c>
      <c r="D24" s="29" t="inlineStr">
        <is>
          <t>Band A · Practitioner</t>
        </is>
      </c>
      <c r="E24" s="29" t="inlineStr">
        <is>
          <t>HR Executive</t>
        </is>
      </c>
      <c r="F24" s="29" t="inlineStr">
        <is>
          <t>Band A · all tracks</t>
        </is>
      </c>
      <c r="G24" s="29" t="inlineStr">
        <is>
          <t>Human Resources</t>
        </is>
      </c>
      <c r="H24" s="29" t="n">
        <v>1</v>
      </c>
      <c r="I24" s="29" t="inlineStr">
        <is>
          <t>Blossom Dsouza</t>
        </is>
      </c>
      <c r="J24" s="34" t="str">
        <f>IFERROR(INDEX(RBD_C,MATCH("Human Resources|A2|A",RBD_KEY,0)),"M")</f>
        <v>H</v>
      </c>
      <c r="K24" s="35" t="str">
        <f>IFERROR(INDEX(RBD_Au,MATCH("Human Resources|A2|A",RBD_KEY,0)),"M")</f>
        <v>M</v>
      </c>
      <c r="L24" s="35" t="str">
        <f>IFERROR(INDEX(RBD_Ac,MATCH("Human Resources|A2|A",RBD_KEY,0)),"M")</f>
        <v>M</v>
      </c>
      <c r="M24" s="35" t="str">
        <f>IFERROR(INDEX(RBD_L,MATCH("Human Resources|A2|A",RBD_KEY,0)),"M")</f>
        <v>L</v>
      </c>
      <c r="N24" s="35" t="str">
        <f>IFERROR(INDEX(RBD_BI,MATCH("Human Resources|A2|A",RBD_KEY,0)),"M")</f>
        <v>L</v>
      </c>
      <c r="O24" s="35" t="str">
        <f>IFERROR(INDEX(RBD_Exp,MATCH("Human Resources|A2|A",RBD_KEY,0)),"M")</f>
        <v>L</v>
      </c>
      <c r="P24" s="35" t="str">
        <f>IFERROR(INDEX(RBD_Edu,MATCH("Human Resources|A2|A",RBD_KEY,0)),"M")</f>
        <v>M</v>
      </c>
      <c r="Q24" s="73">
        <f>IF(J24="","",IFERROR(INDEX(LMH_PTS,MATCH(J24,LMH_KEY,0))/SUM(IFERROR(INDEX(LMH_PTS,MATCH(J24,LMH_KEY,0)),0),IFERROR(INDEX(LMH_PTS,MATCH(K24,LMH_KEY,0)),0),IFERROR(INDEX(LMH_PTS,MATCH(L24,LMH_KEY,0)),0),IFERROR(INDEX(LMH_PTS,MATCH(M24,LMH_KEY,0)),0),IFERROR(INDEX(LMH_PTS,MATCH(N24,LMH_KEY,0)),0),IFERROR(INDEX(LMH_PTS,MATCH(O24,LMH_KEY,0)),0),IFERROR(INDEX(LMH_PTS,MATCH(P24,LMH_KEY,0)),0)),""))</f>
        <v>0.428571428571429</v>
      </c>
      <c r="R24" s="74">
        <f>IF(K24="","",IFERROR(INDEX(LMH_PTS,MATCH(K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S24" s="74">
        <f>IF(L24="","",IFERROR(INDEX(LMH_PTS,MATCH(L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T24" s="74">
        <f>IF(M24="","",IFERROR(INDEX(LMH_PTS,MATCH(M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U24" s="74">
        <f>IF(N24="","",IFERROR(INDEX(LMH_PTS,MATCH(N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V24" s="74">
        <f>IF(O24="","",IFERROR(INDEX(LMH_PTS,MATCH(O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W24" s="74">
        <f>IF(P24="","",IFERROR(INDEX(LMH_PTS,MATCH(P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X24" s="44" t="n"/>
      <c r="Y24" s="38" t="inlineStr">
        <is>
          <t>Corporate|HR|HR Executive|A2|A</t>
        </is>
      </c>
    </row>
    <row r="25" ht="18" customHeight="1">
      <c r="A25" s="28" t="inlineStr">
        <is>
          <t>Corporate</t>
        </is>
      </c>
      <c r="B25" s="71" t="inlineStr">
        <is>
          <t>IT &amp; Infrastructure</t>
        </is>
      </c>
      <c r="C25" s="72" t="inlineStr">
        <is>
          <t>B2</t>
        </is>
      </c>
      <c r="D25" s="29" t="inlineStr">
        <is>
          <t>Band B · Specialist / Manager</t>
        </is>
      </c>
      <c r="E25" s="29" t="inlineStr">
        <is>
          <t>Senior IT Manager</t>
        </is>
      </c>
      <c r="F25" s="29" t="inlineStr">
        <is>
          <t>Band B · People Manager</t>
        </is>
      </c>
      <c r="G25" s="29" t="inlineStr">
        <is>
          <t>IT &amp; Infrastructure</t>
        </is>
      </c>
      <c r="H25" s="29" t="n">
        <v>1</v>
      </c>
      <c r="I25" s="29" t="inlineStr">
        <is>
          <t>Mahesh Tilave</t>
        </is>
      </c>
      <c r="J25" s="34" t="str">
        <f>IFERROR(INDEX(RBD_C,MATCH("IT &amp; Infrastructure|B2|B-M",RBD_KEY,0)),"M")</f>
        <v>H</v>
      </c>
      <c r="K25" s="35" t="str">
        <f>IFERROR(INDEX(RBD_Au,MATCH("IT &amp; Infrastructure|B2|B-M",RBD_KEY,0)),"M")</f>
        <v>M</v>
      </c>
      <c r="L25" s="35" t="str">
        <f>IFERROR(INDEX(RBD_Ac,MATCH("IT &amp; Infrastructure|B2|B-M",RBD_KEY,0)),"M")</f>
        <v>L</v>
      </c>
      <c r="M25" s="35" t="str">
        <f>IFERROR(INDEX(RBD_L,MATCH("IT &amp; Infrastructure|B2|B-M",RBD_KEY,0)),"M")</f>
        <v>M</v>
      </c>
      <c r="N25" s="35" t="str">
        <f>IFERROR(INDEX(RBD_BI,MATCH("IT &amp; Infrastructure|B2|B-M",RBD_KEY,0)),"M")</f>
        <v>L</v>
      </c>
      <c r="O25" s="35" t="str">
        <f>IFERROR(INDEX(RBD_Exp,MATCH("IT &amp; Infrastructure|B2|B-M",RBD_KEY,0)),"M")</f>
        <v>L</v>
      </c>
      <c r="P25" s="35" t="str">
        <f>IFERROR(INDEX(RBD_Edu,MATCH("IT &amp; Infrastructure|B2|B-M",RBD_KEY,0)),"M")</f>
        <v>L</v>
      </c>
      <c r="Q25" s="73">
        <f>IF(J25="","",IFERROR(INDEX(LMH_PTS,MATCH(J25,LMH_KEY,0))/SUM(IFERROR(INDEX(LMH_PTS,MATCH(J25,LMH_KEY,0)),0),IFERROR(INDEX(LMH_PTS,MATCH(K25,LMH_KEY,0)),0),IFERROR(INDEX(LMH_PTS,MATCH(L25,LMH_KEY,0)),0),IFERROR(INDEX(LMH_PTS,MATCH(M25,LMH_KEY,0)),0),IFERROR(INDEX(LMH_PTS,MATCH(N25,LMH_KEY,0)),0),IFERROR(INDEX(LMH_PTS,MATCH(O25,LMH_KEY,0)),0),IFERROR(INDEX(LMH_PTS,MATCH(P25,LMH_KEY,0)),0)),""))</f>
        <v>0.473684210526316</v>
      </c>
      <c r="R25" s="74">
        <f>IF(K25="","",IFERROR(INDEX(LMH_PTS,MATCH(K25,LMH_KEY,0))/SUM(IFERROR(INDEX(LMH_PTS,MATCH(J25,LMH_KEY,0)),0),IFERROR(INDEX(LMH_PTS,MATCH(K25,LMH_KEY,0)),0),IFERROR(INDEX(LMH_PTS,MATCH(L25,LMH_KEY,0)),0),IFERROR(INDEX(LMH_PTS,MATCH(M25,LMH_KEY,0)),0),IFERROR(INDEX(LMH_PTS,MATCH(N25,LMH_KEY,0)),0),IFERROR(INDEX(LMH_PTS,MATCH(O25,LMH_KEY,0)),0),IFERROR(INDEX(LMH_PTS,MATCH(P25,LMH_KEY,0)),0)),""))</f>
        <v>0.157894736842105</v>
      </c>
      <c r="S25" s="74">
        <f>IF(L25="","",IFERROR(INDEX(LMH_PTS,MATCH(L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T25" s="74">
        <f>IF(M25="","",IFERROR(INDEX(LMH_PTS,MATCH(M25,LMH_KEY,0))/SUM(IFERROR(INDEX(LMH_PTS,MATCH(J25,LMH_KEY,0)),0),IFERROR(INDEX(LMH_PTS,MATCH(K25,LMH_KEY,0)),0),IFERROR(INDEX(LMH_PTS,MATCH(L25,LMH_KEY,0)),0),IFERROR(INDEX(LMH_PTS,MATCH(M25,LMH_KEY,0)),0),IFERROR(INDEX(LMH_PTS,MATCH(N25,LMH_KEY,0)),0),IFERROR(INDEX(LMH_PTS,MATCH(O25,LMH_KEY,0)),0),IFERROR(INDEX(LMH_PTS,MATCH(P25,LMH_KEY,0)),0)),""))</f>
        <v>0.157894736842105</v>
      </c>
      <c r="U25" s="74">
        <f>IF(N25="","",IFERROR(INDEX(LMH_PTS,MATCH(N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V25" s="74">
        <f>IF(O25="","",IFERROR(INDEX(LMH_PTS,MATCH(O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W25" s="74">
        <f>IF(P25="","",IFERROR(INDEX(LMH_PTS,MATCH(P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X25" s="44" t="n"/>
      <c r="Y25" s="38" t="inlineStr">
        <is>
          <t>Corporate|IT &amp; Infrastructure|Senior IT Manager|B2|B-M</t>
        </is>
      </c>
    </row>
    <row r="26" ht="18" customHeight="1">
      <c r="A26" s="28" t="inlineStr">
        <is>
          <t>Corporate</t>
        </is>
      </c>
      <c r="B26" s="29" t="inlineStr">
        <is>
          <t>IT &amp; Infrastructure</t>
        </is>
      </c>
      <c r="C26" s="72" t="inlineStr">
        <is>
          <t>B1</t>
        </is>
      </c>
      <c r="D26" s="29" t="inlineStr">
        <is>
          <t>Band B · Specialist / Manager</t>
        </is>
      </c>
      <c r="E26" s="29" t="inlineStr">
        <is>
          <t>IT Infrastructure Manager</t>
        </is>
      </c>
      <c r="F26" s="29" t="inlineStr">
        <is>
          <t>Band B · People Manager</t>
        </is>
      </c>
      <c r="G26" s="29" t="inlineStr">
        <is>
          <t>IT &amp; Infrastructure</t>
        </is>
      </c>
      <c r="H26" s="29" t="n">
        <v>1</v>
      </c>
      <c r="I26" s="29" t="inlineStr">
        <is>
          <t>Vikas Mithbawkar</t>
        </is>
      </c>
      <c r="J26" s="34" t="str">
        <f>IFERROR(INDEX(RBD_C,MATCH("IT &amp; Infrastructure|B1|B-M",RBD_KEY,0)),"M")</f>
        <v>H</v>
      </c>
      <c r="K26" s="35" t="str">
        <f>IFERROR(INDEX(RBD_Au,MATCH("IT &amp; Infrastructure|B1|B-M",RBD_KEY,0)),"M")</f>
        <v>M</v>
      </c>
      <c r="L26" s="35" t="str">
        <f>IFERROR(INDEX(RBD_Ac,MATCH("IT &amp; Infrastructure|B1|B-M",RBD_KEY,0)),"M")</f>
        <v>L</v>
      </c>
      <c r="M26" s="35" t="str">
        <f>IFERROR(INDEX(RBD_L,MATCH("IT &amp; Infrastructure|B1|B-M",RBD_KEY,0)),"M")</f>
        <v>M</v>
      </c>
      <c r="N26" s="35" t="str">
        <f>IFERROR(INDEX(RBD_BI,MATCH("IT &amp; Infrastructure|B1|B-M",RBD_KEY,0)),"M")</f>
        <v>L</v>
      </c>
      <c r="O26" s="35" t="str">
        <f>IFERROR(INDEX(RBD_Exp,MATCH("IT &amp; Infrastructure|B1|B-M",RBD_KEY,0)),"M")</f>
        <v>L</v>
      </c>
      <c r="P26" s="35" t="str">
        <f>IFERROR(INDEX(RBD_Edu,MATCH("IT &amp; Infrastructure|B1|B-M",RBD_KEY,0)),"M")</f>
        <v>L</v>
      </c>
      <c r="Q26" s="73">
        <f>IF(J26="","",IFERROR(INDEX(LMH_PTS,MATCH(J26,LMH_KEY,0))/SUM(IFERROR(INDEX(LMH_PTS,MATCH(J26,LMH_KEY,0)),0),IFERROR(INDEX(LMH_PTS,MATCH(K26,LMH_KEY,0)),0),IFERROR(INDEX(LMH_PTS,MATCH(L26,LMH_KEY,0)),0),IFERROR(INDEX(LMH_PTS,MATCH(M26,LMH_KEY,0)),0),IFERROR(INDEX(LMH_PTS,MATCH(N26,LMH_KEY,0)),0),IFERROR(INDEX(LMH_PTS,MATCH(O26,LMH_KEY,0)),0),IFERROR(INDEX(LMH_PTS,MATCH(P26,LMH_KEY,0)),0)),""))</f>
        <v>0.473684210526316</v>
      </c>
      <c r="R26" s="74">
        <f>IF(K26="","",IFERROR(INDEX(LMH_PTS,MATCH(K26,LMH_KEY,0))/SUM(IFERROR(INDEX(LMH_PTS,MATCH(J26,LMH_KEY,0)),0),IFERROR(INDEX(LMH_PTS,MATCH(K26,LMH_KEY,0)),0),IFERROR(INDEX(LMH_PTS,MATCH(L26,LMH_KEY,0)),0),IFERROR(INDEX(LMH_PTS,MATCH(M26,LMH_KEY,0)),0),IFERROR(INDEX(LMH_PTS,MATCH(N26,LMH_KEY,0)),0),IFERROR(INDEX(LMH_PTS,MATCH(O26,LMH_KEY,0)),0),IFERROR(INDEX(LMH_PTS,MATCH(P26,LMH_KEY,0)),0)),""))</f>
        <v>0.157894736842105</v>
      </c>
      <c r="S26" s="74">
        <f>IF(L26="","",IFERROR(INDEX(LMH_PTS,MATCH(L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T26" s="74">
        <f>IF(M26="","",IFERROR(INDEX(LMH_PTS,MATCH(M26,LMH_KEY,0))/SUM(IFERROR(INDEX(LMH_PTS,MATCH(J26,LMH_KEY,0)),0),IFERROR(INDEX(LMH_PTS,MATCH(K26,LMH_KEY,0)),0),IFERROR(INDEX(LMH_PTS,MATCH(L26,LMH_KEY,0)),0),IFERROR(INDEX(LMH_PTS,MATCH(M26,LMH_KEY,0)),0),IFERROR(INDEX(LMH_PTS,MATCH(N26,LMH_KEY,0)),0),IFERROR(INDEX(LMH_PTS,MATCH(O26,LMH_KEY,0)),0),IFERROR(INDEX(LMH_PTS,MATCH(P26,LMH_KEY,0)),0)),""))</f>
        <v>0.157894736842105</v>
      </c>
      <c r="U26" s="74">
        <f>IF(N26="","",IFERROR(INDEX(LMH_PTS,MATCH(N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V26" s="74">
        <f>IF(O26="","",IFERROR(INDEX(LMH_PTS,MATCH(O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W26" s="74">
        <f>IF(P26="","",IFERROR(INDEX(LMH_PTS,MATCH(P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X26" s="44" t="n"/>
      <c r="Y26" s="38" t="inlineStr">
        <is>
          <t>Corporate|IT &amp; Infrastructure|IT Infrastructure Manager|B1|B-M</t>
        </is>
      </c>
    </row>
    <row r="27" ht="18" customHeight="1">
      <c r="A27" s="28" t="inlineStr">
        <is>
          <t>Corporate</t>
        </is>
      </c>
      <c r="B27" s="29" t="inlineStr">
        <is>
          <t>IT &amp; Infrastructure</t>
        </is>
      </c>
      <c r="C27" s="72" t="inlineStr">
        <is>
          <t>B1</t>
        </is>
      </c>
      <c r="D27" s="29" t="inlineStr">
        <is>
          <t>Band B · Specialist / Manager</t>
        </is>
      </c>
      <c r="E27" s="29" t="inlineStr">
        <is>
          <t>Infrastructure Specialist</t>
        </is>
      </c>
      <c r="F27" s="29" t="inlineStr">
        <is>
          <t>Band B · Specialist / POD Lead</t>
        </is>
      </c>
      <c r="G27" s="29" t="inlineStr">
        <is>
          <t>IT &amp; Infrastructure</t>
        </is>
      </c>
      <c r="H27" s="29" t="n">
        <v>1</v>
      </c>
      <c r="I27" s="29" t="inlineStr">
        <is>
          <t>Rajit Kumar Sahu</t>
        </is>
      </c>
      <c r="J27" s="34" t="str">
        <f>IFERROR(INDEX(RBD_C,MATCH("IT &amp; Infrastructure|B1|B-IC",RBD_KEY,0)),"M")</f>
        <v>H</v>
      </c>
      <c r="K27" s="35" t="str">
        <f>IFERROR(INDEX(RBD_Au,MATCH("IT &amp; Infrastructure|B1|B-IC",RBD_KEY,0)),"M")</f>
        <v>M</v>
      </c>
      <c r="L27" s="35" t="str">
        <f>IFERROR(INDEX(RBD_Ac,MATCH("IT &amp; Infrastructure|B1|B-IC",RBD_KEY,0)),"M")</f>
        <v>L</v>
      </c>
      <c r="M27" s="35" t="str">
        <f>IFERROR(INDEX(RBD_L,MATCH("IT &amp; Infrastructure|B1|B-IC",RBD_KEY,0)),"M")</f>
        <v>L</v>
      </c>
      <c r="N27" s="35" t="str">
        <f>IFERROR(INDEX(RBD_BI,MATCH("IT &amp; Infrastructure|B1|B-IC",RBD_KEY,0)),"M")</f>
        <v>L</v>
      </c>
      <c r="O27" s="35" t="str">
        <f>IFERROR(INDEX(RBD_Exp,MATCH("IT &amp; Infrastructure|B1|B-IC",RBD_KEY,0)),"M")</f>
        <v>L</v>
      </c>
      <c r="P27" s="35" t="str">
        <f>IFERROR(INDEX(RBD_Edu,MATCH("IT &amp; Infrastructure|B1|B-IC",RBD_KEY,0)),"M")</f>
        <v>L</v>
      </c>
      <c r="Q27" s="73">
        <f>IF(J27="","",IFERROR(INDEX(LMH_PTS,MATCH(J27,LMH_KEY,0))/SUM(IFERROR(INDEX(LMH_PTS,MATCH(J27,LMH_KEY,0)),0),IFERROR(INDEX(LMH_PTS,MATCH(K27,LMH_KEY,0)),0),IFERROR(INDEX(LMH_PTS,MATCH(L27,LMH_KEY,0)),0),IFERROR(INDEX(LMH_PTS,MATCH(M27,LMH_KEY,0)),0),IFERROR(INDEX(LMH_PTS,MATCH(N27,LMH_KEY,0)),0),IFERROR(INDEX(LMH_PTS,MATCH(O27,LMH_KEY,0)),0),IFERROR(INDEX(LMH_PTS,MATCH(P27,LMH_KEY,0)),0)),""))</f>
        <v>0.529411764705882</v>
      </c>
      <c r="R27" s="74">
        <f>IF(K27="","",IFERROR(INDEX(LMH_PTS,MATCH(K27,LMH_KEY,0))/SUM(IFERROR(INDEX(LMH_PTS,MATCH(J27,LMH_KEY,0)),0),IFERROR(INDEX(LMH_PTS,MATCH(K27,LMH_KEY,0)),0),IFERROR(INDEX(LMH_PTS,MATCH(L27,LMH_KEY,0)),0),IFERROR(INDEX(LMH_PTS,MATCH(M27,LMH_KEY,0)),0),IFERROR(INDEX(LMH_PTS,MATCH(N27,LMH_KEY,0)),0),IFERROR(INDEX(LMH_PTS,MATCH(O27,LMH_KEY,0)),0),IFERROR(INDEX(LMH_PTS,MATCH(P27,LMH_KEY,0)),0)),""))</f>
        <v>0.176470588235294</v>
      </c>
      <c r="S27" s="74">
        <f>IF(L27="","",IFERROR(INDEX(LMH_PTS,MATCH(L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T27" s="74">
        <f>IF(M27="","",IFERROR(INDEX(LMH_PTS,MATCH(M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U27" s="74">
        <f>IF(N27="","",IFERROR(INDEX(LMH_PTS,MATCH(N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V27" s="74">
        <f>IF(O27="","",IFERROR(INDEX(LMH_PTS,MATCH(O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W27" s="74">
        <f>IF(P27="","",IFERROR(INDEX(LMH_PTS,MATCH(P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X27" s="44" t="n"/>
      <c r="Y27" s="38" t="inlineStr">
        <is>
          <t>Corporate|IT &amp; Infrastructure|Infrastructure Specialist|B1|B-IC</t>
        </is>
      </c>
    </row>
    <row r="28" ht="28" customHeight="1">
      <c r="A28" s="28" t="inlineStr">
        <is>
          <t>Corporate</t>
        </is>
      </c>
      <c r="B28" s="29" t="inlineStr">
        <is>
          <t>IT &amp; Infrastructure</t>
        </is>
      </c>
      <c r="C28" s="72" t="inlineStr">
        <is>
          <t>B1</t>
        </is>
      </c>
      <c r="D28" s="29" t="inlineStr">
        <is>
          <t>Band B · Specialist / Manager</t>
        </is>
      </c>
      <c r="E28" s="29" t="inlineStr">
        <is>
          <t>Infrastructure Specialist – POD Lead</t>
        </is>
      </c>
      <c r="F28" s="29" t="inlineStr">
        <is>
          <t>Band B · Specialist / POD Lead</t>
        </is>
      </c>
      <c r="G28" s="29" t="inlineStr">
        <is>
          <t>IT &amp; Infrastructure</t>
        </is>
      </c>
      <c r="H28" s="29" t="n">
        <v>1</v>
      </c>
      <c r="I28" s="29" t="inlineStr">
        <is>
          <t>Ramesh Kone</t>
        </is>
      </c>
      <c r="J28" s="34" t="str">
        <f>IFERROR(INDEX(RBD_C,MATCH("IT &amp; Infrastructure|B1|B-IC",RBD_KEY,0)),"M")</f>
        <v>H</v>
      </c>
      <c r="K28" s="35" t="str">
        <f>IFERROR(INDEX(RBD_Au,MATCH("IT &amp; Infrastructure|B1|B-IC",RBD_KEY,0)),"M")</f>
        <v>M</v>
      </c>
      <c r="L28" s="35" t="str">
        <f>IFERROR(INDEX(RBD_Ac,MATCH("IT &amp; Infrastructure|B1|B-IC",RBD_KEY,0)),"M")</f>
        <v>L</v>
      </c>
      <c r="M28" s="35" t="str">
        <f>IFERROR(INDEX(RBD_L,MATCH("IT &amp; Infrastructure|B1|B-IC",RBD_KEY,0)),"M")</f>
        <v>L</v>
      </c>
      <c r="N28" s="35" t="str">
        <f>IFERROR(INDEX(RBD_BI,MATCH("IT &amp; Infrastructure|B1|B-IC",RBD_KEY,0)),"M")</f>
        <v>L</v>
      </c>
      <c r="O28" s="35" t="str">
        <f>IFERROR(INDEX(RBD_Exp,MATCH("IT &amp; Infrastructure|B1|B-IC",RBD_KEY,0)),"M")</f>
        <v>L</v>
      </c>
      <c r="P28" s="35" t="str">
        <f>IFERROR(INDEX(RBD_Edu,MATCH("IT &amp; Infrastructure|B1|B-IC",RBD_KEY,0)),"M")</f>
        <v>L</v>
      </c>
      <c r="Q28" s="73">
        <f>IF(J28="","",IFERROR(INDEX(LMH_PTS,MATCH(J28,LMH_KEY,0))/SUM(IFERROR(INDEX(LMH_PTS,MATCH(J28,LMH_KEY,0)),0),IFERROR(INDEX(LMH_PTS,MATCH(K28,LMH_KEY,0)),0),IFERROR(INDEX(LMH_PTS,MATCH(L28,LMH_KEY,0)),0),IFERROR(INDEX(LMH_PTS,MATCH(M28,LMH_KEY,0)),0),IFERROR(INDEX(LMH_PTS,MATCH(N28,LMH_KEY,0)),0),IFERROR(INDEX(LMH_PTS,MATCH(O28,LMH_KEY,0)),0),IFERROR(INDEX(LMH_PTS,MATCH(P28,LMH_KEY,0)),0)),""))</f>
        <v>0.529411764705882</v>
      </c>
      <c r="R28" s="74">
        <f>IF(K28="","",IFERROR(INDEX(LMH_PTS,MATCH(K28,LMH_KEY,0))/SUM(IFERROR(INDEX(LMH_PTS,MATCH(J28,LMH_KEY,0)),0),IFERROR(INDEX(LMH_PTS,MATCH(K28,LMH_KEY,0)),0),IFERROR(INDEX(LMH_PTS,MATCH(L28,LMH_KEY,0)),0),IFERROR(INDEX(LMH_PTS,MATCH(M28,LMH_KEY,0)),0),IFERROR(INDEX(LMH_PTS,MATCH(N28,LMH_KEY,0)),0),IFERROR(INDEX(LMH_PTS,MATCH(O28,LMH_KEY,0)),0),IFERROR(INDEX(LMH_PTS,MATCH(P28,LMH_KEY,0)),0)),""))</f>
        <v>0.176470588235294</v>
      </c>
      <c r="S28" s="74">
        <f>IF(L28="","",IFERROR(INDEX(LMH_PTS,MATCH(L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T28" s="74">
        <f>IF(M28="","",IFERROR(INDEX(LMH_PTS,MATCH(M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U28" s="74">
        <f>IF(N28="","",IFERROR(INDEX(LMH_PTS,MATCH(N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V28" s="74">
        <f>IF(O28="","",IFERROR(INDEX(LMH_PTS,MATCH(O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W28" s="74">
        <f>IF(P28="","",IFERROR(INDEX(LMH_PTS,MATCH(P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X28" s="44" t="n"/>
      <c r="Y28" s="38" t="inlineStr">
        <is>
          <t>Corporate|IT &amp; Infrastructure|Infrastructure Specialist – POD Lead|B1|B-IC</t>
        </is>
      </c>
    </row>
    <row r="29" ht="18" customHeight="1">
      <c r="A29" s="28" t="inlineStr">
        <is>
          <t>Corporate</t>
        </is>
      </c>
      <c r="B29" s="29" t="inlineStr">
        <is>
          <t>IT &amp; Infrastructure</t>
        </is>
      </c>
      <c r="C29" s="75" t="inlineStr">
        <is>
          <t>A3</t>
        </is>
      </c>
      <c r="D29" s="29" t="inlineStr">
        <is>
          <t>Band A · Practitioner</t>
        </is>
      </c>
      <c r="E29" s="29" t="inlineStr">
        <is>
          <t>Infrastructure Specialist</t>
        </is>
      </c>
      <c r="F29" s="29" t="inlineStr">
        <is>
          <t>Band A · all tracks</t>
        </is>
      </c>
      <c r="G29" s="29" t="inlineStr">
        <is>
          <t>IT &amp; Infrastructure</t>
        </is>
      </c>
      <c r="H29" s="29" t="n">
        <v>1</v>
      </c>
      <c r="I29" s="29" t="inlineStr">
        <is>
          <t>Hemant Chordekar</t>
        </is>
      </c>
      <c r="J29" s="34" t="str">
        <f>IFERROR(INDEX(RBD_C,MATCH("IT &amp; Infrastructure|A3|A",RBD_KEY,0)),"M")</f>
        <v>H</v>
      </c>
      <c r="K29" s="35" t="str">
        <f>IFERROR(INDEX(RBD_Au,MATCH("IT &amp; Infrastructure|A3|A",RBD_KEY,0)),"M")</f>
        <v>M</v>
      </c>
      <c r="L29" s="35" t="str">
        <f>IFERROR(INDEX(RBD_Ac,MATCH("IT &amp; Infrastructure|A3|A",RBD_KEY,0)),"M")</f>
        <v>L</v>
      </c>
      <c r="M29" s="35" t="str">
        <f>IFERROR(INDEX(RBD_L,MATCH("IT &amp; Infrastructure|A3|A",RBD_KEY,0)),"M")</f>
        <v>L</v>
      </c>
      <c r="N29" s="35" t="str">
        <f>IFERROR(INDEX(RBD_BI,MATCH("IT &amp; Infrastructure|A3|A",RBD_KEY,0)),"M")</f>
        <v>L</v>
      </c>
      <c r="O29" s="35" t="str">
        <f>IFERROR(INDEX(RBD_Exp,MATCH("IT &amp; Infrastructure|A3|A",RBD_KEY,0)),"M")</f>
        <v>L</v>
      </c>
      <c r="P29" s="35" t="str">
        <f>IFERROR(INDEX(RBD_Edu,MATCH("IT &amp; Infrastructure|A3|A",RBD_KEY,0)),"M")</f>
        <v>L</v>
      </c>
      <c r="Q29" s="73">
        <f>IF(J29="","",IFERROR(INDEX(LMH_PTS,MATCH(J29,LMH_KEY,0))/SUM(IFERROR(INDEX(LMH_PTS,MATCH(J29,LMH_KEY,0)),0),IFERROR(INDEX(LMH_PTS,MATCH(K29,LMH_KEY,0)),0),IFERROR(INDEX(LMH_PTS,MATCH(L29,LMH_KEY,0)),0),IFERROR(INDEX(LMH_PTS,MATCH(M29,LMH_KEY,0)),0),IFERROR(INDEX(LMH_PTS,MATCH(N29,LMH_KEY,0)),0),IFERROR(INDEX(LMH_PTS,MATCH(O29,LMH_KEY,0)),0),IFERROR(INDEX(LMH_PTS,MATCH(P29,LMH_KEY,0)),0)),""))</f>
        <v>0.529411764705882</v>
      </c>
      <c r="R29" s="74">
        <f>IF(K29="","",IFERROR(INDEX(LMH_PTS,MATCH(K29,LMH_KEY,0))/SUM(IFERROR(INDEX(LMH_PTS,MATCH(J29,LMH_KEY,0)),0),IFERROR(INDEX(LMH_PTS,MATCH(K29,LMH_KEY,0)),0),IFERROR(INDEX(LMH_PTS,MATCH(L29,LMH_KEY,0)),0),IFERROR(INDEX(LMH_PTS,MATCH(M29,LMH_KEY,0)),0),IFERROR(INDEX(LMH_PTS,MATCH(N29,LMH_KEY,0)),0),IFERROR(INDEX(LMH_PTS,MATCH(O29,LMH_KEY,0)),0),IFERROR(INDEX(LMH_PTS,MATCH(P29,LMH_KEY,0)),0)),""))</f>
        <v>0.176470588235294</v>
      </c>
      <c r="S29" s="74">
        <f>IF(L29="","",IFERROR(INDEX(LMH_PTS,MATCH(L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T29" s="74">
        <f>IF(M29="","",IFERROR(INDEX(LMH_PTS,MATCH(M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U29" s="74">
        <f>IF(N29="","",IFERROR(INDEX(LMH_PTS,MATCH(N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V29" s="74">
        <f>IF(O29="","",IFERROR(INDEX(LMH_PTS,MATCH(O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W29" s="74">
        <f>IF(P29="","",IFERROR(INDEX(LMH_PTS,MATCH(P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X29" s="44" t="n"/>
      <c r="Y29" s="38" t="inlineStr">
        <is>
          <t>Corporate|IT &amp; Infrastructure|Infrastructure Specialist|A3|A</t>
        </is>
      </c>
    </row>
    <row r="30" ht="28" customHeight="1">
      <c r="A30" s="28" t="inlineStr">
        <is>
          <t>Corporate</t>
        </is>
      </c>
      <c r="B30" s="29" t="inlineStr">
        <is>
          <t>IT &amp; Infrastructure</t>
        </is>
      </c>
      <c r="C30" s="75" t="inlineStr">
        <is>
          <t>A3</t>
        </is>
      </c>
      <c r="D30" s="29" t="inlineStr">
        <is>
          <t>Band A · Practitioner</t>
        </is>
      </c>
      <c r="E30" s="29" t="inlineStr">
        <is>
          <t>Senior Desktop Support Engineer</t>
        </is>
      </c>
      <c r="F30" s="29" t="inlineStr">
        <is>
          <t>Band A · all tracks</t>
        </is>
      </c>
      <c r="G30" s="29" t="inlineStr">
        <is>
          <t>IT &amp; Infrastructure</t>
        </is>
      </c>
      <c r="H30" s="29" t="n">
        <v>1</v>
      </c>
      <c r="I30" s="29" t="inlineStr">
        <is>
          <t>Sagar Jamadar</t>
        </is>
      </c>
      <c r="J30" s="34" t="str">
        <f>IFERROR(INDEX(RBD_C,MATCH("IT &amp; Infrastructure|A3|A",RBD_KEY,0)),"M")</f>
        <v>H</v>
      </c>
      <c r="K30" s="35" t="str">
        <f>IFERROR(INDEX(RBD_Au,MATCH("IT &amp; Infrastructure|A3|A",RBD_KEY,0)),"M")</f>
        <v>M</v>
      </c>
      <c r="L30" s="35" t="str">
        <f>IFERROR(INDEX(RBD_Ac,MATCH("IT &amp; Infrastructure|A3|A",RBD_KEY,0)),"M")</f>
        <v>L</v>
      </c>
      <c r="M30" s="35" t="str">
        <f>IFERROR(INDEX(RBD_L,MATCH("IT &amp; Infrastructure|A3|A",RBD_KEY,0)),"M")</f>
        <v>L</v>
      </c>
      <c r="N30" s="35" t="str">
        <f>IFERROR(INDEX(RBD_BI,MATCH("IT &amp; Infrastructure|A3|A",RBD_KEY,0)),"M")</f>
        <v>L</v>
      </c>
      <c r="O30" s="35" t="str">
        <f>IFERROR(INDEX(RBD_Exp,MATCH("IT &amp; Infrastructure|A3|A",RBD_KEY,0)),"M")</f>
        <v>L</v>
      </c>
      <c r="P30" s="35" t="str">
        <f>IFERROR(INDEX(RBD_Edu,MATCH("IT &amp; Infrastructure|A3|A",RBD_KEY,0)),"M")</f>
        <v>L</v>
      </c>
      <c r="Q30" s="73">
        <f>IF(J30="","",IFERROR(INDEX(LMH_PTS,MATCH(J30,LMH_KEY,0))/SUM(IFERROR(INDEX(LMH_PTS,MATCH(J30,LMH_KEY,0)),0),IFERROR(INDEX(LMH_PTS,MATCH(K30,LMH_KEY,0)),0),IFERROR(INDEX(LMH_PTS,MATCH(L30,LMH_KEY,0)),0),IFERROR(INDEX(LMH_PTS,MATCH(M30,LMH_KEY,0)),0),IFERROR(INDEX(LMH_PTS,MATCH(N30,LMH_KEY,0)),0),IFERROR(INDEX(LMH_PTS,MATCH(O30,LMH_KEY,0)),0),IFERROR(INDEX(LMH_PTS,MATCH(P30,LMH_KEY,0)),0)),""))</f>
        <v>0.529411764705882</v>
      </c>
      <c r="R30" s="74">
        <f>IF(K30="","",IFERROR(INDEX(LMH_PTS,MATCH(K30,LMH_KEY,0))/SUM(IFERROR(INDEX(LMH_PTS,MATCH(J30,LMH_KEY,0)),0),IFERROR(INDEX(LMH_PTS,MATCH(K30,LMH_KEY,0)),0),IFERROR(INDEX(LMH_PTS,MATCH(L30,LMH_KEY,0)),0),IFERROR(INDEX(LMH_PTS,MATCH(M30,LMH_KEY,0)),0),IFERROR(INDEX(LMH_PTS,MATCH(N30,LMH_KEY,0)),0),IFERROR(INDEX(LMH_PTS,MATCH(O30,LMH_KEY,0)),0),IFERROR(INDEX(LMH_PTS,MATCH(P30,LMH_KEY,0)),0)),""))</f>
        <v>0.176470588235294</v>
      </c>
      <c r="S30" s="74">
        <f>IF(L30="","",IFERROR(INDEX(LMH_PTS,MATCH(L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T30" s="74">
        <f>IF(M30="","",IFERROR(INDEX(LMH_PTS,MATCH(M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U30" s="74">
        <f>IF(N30="","",IFERROR(INDEX(LMH_PTS,MATCH(N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V30" s="74">
        <f>IF(O30="","",IFERROR(INDEX(LMH_PTS,MATCH(O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W30" s="74">
        <f>IF(P30="","",IFERROR(INDEX(LMH_PTS,MATCH(P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X30" s="44" t="n"/>
      <c r="Y30" s="38" t="inlineStr">
        <is>
          <t>Corporate|IT &amp; Infrastructure|Senior Desktop Support Engineer|A3|A</t>
        </is>
      </c>
    </row>
    <row r="31" ht="18" customHeight="1">
      <c r="A31" s="28" t="inlineStr">
        <is>
          <t>Corporate</t>
        </is>
      </c>
      <c r="B31" s="29" t="inlineStr">
        <is>
          <t>IT &amp; Infrastructure</t>
        </is>
      </c>
      <c r="C31" s="75" t="inlineStr">
        <is>
          <t>A3</t>
        </is>
      </c>
      <c r="D31" s="29" t="inlineStr">
        <is>
          <t>Band A · Practitioner</t>
        </is>
      </c>
      <c r="E31" s="29" t="inlineStr">
        <is>
          <t>Senior DevOps Engineer</t>
        </is>
      </c>
      <c r="F31" s="29" t="inlineStr">
        <is>
          <t>Band A · all tracks</t>
        </is>
      </c>
      <c r="G31" s="29" t="inlineStr">
        <is>
          <t>Engineering &amp; Development</t>
        </is>
      </c>
      <c r="H31" s="29" t="n">
        <v>1</v>
      </c>
      <c r="I31" s="29" t="inlineStr">
        <is>
          <t>Parthiban Thangaraj</t>
        </is>
      </c>
      <c r="J31" s="34" t="str">
        <f>IFERROR(INDEX(RBD_C,MATCH("Engineering &amp; Development|A3|A",RBD_KEY,0)),"M")</f>
        <v>H</v>
      </c>
      <c r="K31" s="35" t="str">
        <f>IFERROR(INDEX(RBD_Au,MATCH("Engineering &amp; Development|A3|A",RBD_KEY,0)),"M")</f>
        <v>M</v>
      </c>
      <c r="L31" s="35" t="str">
        <f>IFERROR(INDEX(RBD_Ac,MATCH("Engineering &amp; Development|A3|A",RBD_KEY,0)),"M")</f>
        <v>L</v>
      </c>
      <c r="M31" s="35" t="str">
        <f>IFERROR(INDEX(RBD_L,MATCH("Engineering &amp; Development|A3|A",RBD_KEY,0)),"M")</f>
        <v>L</v>
      </c>
      <c r="N31" s="35" t="str">
        <f>IFERROR(INDEX(RBD_BI,MATCH("Engineering &amp; Development|A3|A",RBD_KEY,0)),"M")</f>
        <v>L</v>
      </c>
      <c r="O31" s="35" t="str">
        <f>IFERROR(INDEX(RBD_Exp,MATCH("Engineering &amp; Development|A3|A",RBD_KEY,0)),"M")</f>
        <v>L</v>
      </c>
      <c r="P31" s="35" t="str">
        <f>IFERROR(INDEX(RBD_Edu,MATCH("Engineering &amp; Development|A3|A",RBD_KEY,0)),"M")</f>
        <v>L</v>
      </c>
      <c r="Q31" s="73">
        <f>IF(J31="","",IFERROR(INDEX(LMH_PTS,MATCH(J31,LMH_KEY,0))/SUM(IFERROR(INDEX(LMH_PTS,MATCH(J31,LMH_KEY,0)),0),IFERROR(INDEX(LMH_PTS,MATCH(K31,LMH_KEY,0)),0),IFERROR(INDEX(LMH_PTS,MATCH(L31,LMH_KEY,0)),0),IFERROR(INDEX(LMH_PTS,MATCH(M31,LMH_KEY,0)),0),IFERROR(INDEX(LMH_PTS,MATCH(N31,LMH_KEY,0)),0),IFERROR(INDEX(LMH_PTS,MATCH(O31,LMH_KEY,0)),0),IFERROR(INDEX(LMH_PTS,MATCH(P31,LMH_KEY,0)),0)),""))</f>
        <v>0.529411764705882</v>
      </c>
      <c r="R31" s="74">
        <f>IF(K31="","",IFERROR(INDEX(LMH_PTS,MATCH(K31,LMH_KEY,0))/SUM(IFERROR(INDEX(LMH_PTS,MATCH(J31,LMH_KEY,0)),0),IFERROR(INDEX(LMH_PTS,MATCH(K31,LMH_KEY,0)),0),IFERROR(INDEX(LMH_PTS,MATCH(L31,LMH_KEY,0)),0),IFERROR(INDEX(LMH_PTS,MATCH(M31,LMH_KEY,0)),0),IFERROR(INDEX(LMH_PTS,MATCH(N31,LMH_KEY,0)),0),IFERROR(INDEX(LMH_PTS,MATCH(O31,LMH_KEY,0)),0),IFERROR(INDEX(LMH_PTS,MATCH(P31,LMH_KEY,0)),0)),""))</f>
        <v>0.176470588235294</v>
      </c>
      <c r="S31" s="74">
        <f>IF(L31="","",IFERROR(INDEX(LMH_PTS,MATCH(L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T31" s="74">
        <f>IF(M31="","",IFERROR(INDEX(LMH_PTS,MATCH(M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U31" s="74">
        <f>IF(N31="","",IFERROR(INDEX(LMH_PTS,MATCH(N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V31" s="74">
        <f>IF(O31="","",IFERROR(INDEX(LMH_PTS,MATCH(O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W31" s="74">
        <f>IF(P31="","",IFERROR(INDEX(LMH_PTS,MATCH(P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X31" s="44" t="n"/>
      <c r="Y31" s="38" t="inlineStr">
        <is>
          <t>Corporate|IT &amp; Infrastructure|Senior DevOps Engineer|A3|A</t>
        </is>
      </c>
    </row>
    <row r="32" ht="53" customHeight="1">
      <c r="A32" s="28" t="inlineStr">
        <is>
          <t>Corporate</t>
        </is>
      </c>
      <c r="B32" s="29" t="inlineStr">
        <is>
          <t>IT &amp; Infrastructure</t>
        </is>
      </c>
      <c r="C32" s="75" t="inlineStr">
        <is>
          <t>A3</t>
        </is>
      </c>
      <c r="D32" s="29" t="inlineStr">
        <is>
          <t>Band A · Practitioner</t>
        </is>
      </c>
      <c r="E32" s="29" t="inlineStr">
        <is>
          <t>Senior System Administrator</t>
        </is>
      </c>
      <c r="F32" s="29" t="inlineStr">
        <is>
          <t>Band A · all tracks</t>
        </is>
      </c>
      <c r="G32" s="29" t="inlineStr">
        <is>
          <t>IT &amp; Infrastructure</t>
        </is>
      </c>
      <c r="H32" s="29" t="n">
        <v>7</v>
      </c>
      <c r="I32" s="29" t="inlineStr">
        <is>
          <t>Amit Gangaram Kamble, Gouri Kohale, Ketan Balbhadra Yadav, Nimit Sadafal, Rajyalakshmi Koyagura, Sandip Mane, Vishal Vare</t>
        </is>
      </c>
      <c r="J32" s="34" t="str">
        <f>IFERROR(INDEX(RBD_C,MATCH("IT &amp; Infrastructure|A3|A",RBD_KEY,0)),"M")</f>
        <v>H</v>
      </c>
      <c r="K32" s="35" t="str">
        <f>IFERROR(INDEX(RBD_Au,MATCH("IT &amp; Infrastructure|A3|A",RBD_KEY,0)),"M")</f>
        <v>M</v>
      </c>
      <c r="L32" s="35" t="str">
        <f>IFERROR(INDEX(RBD_Ac,MATCH("IT &amp; Infrastructure|A3|A",RBD_KEY,0)),"M")</f>
        <v>L</v>
      </c>
      <c r="M32" s="35" t="str">
        <f>IFERROR(INDEX(RBD_L,MATCH("IT &amp; Infrastructure|A3|A",RBD_KEY,0)),"M")</f>
        <v>L</v>
      </c>
      <c r="N32" s="35" t="str">
        <f>IFERROR(INDEX(RBD_BI,MATCH("IT &amp; Infrastructure|A3|A",RBD_KEY,0)),"M")</f>
        <v>L</v>
      </c>
      <c r="O32" s="35" t="str">
        <f>IFERROR(INDEX(RBD_Exp,MATCH("IT &amp; Infrastructure|A3|A",RBD_KEY,0)),"M")</f>
        <v>L</v>
      </c>
      <c r="P32" s="35" t="str">
        <f>IFERROR(INDEX(RBD_Edu,MATCH("IT &amp; Infrastructure|A3|A",RBD_KEY,0)),"M")</f>
        <v>L</v>
      </c>
      <c r="Q32" s="73">
        <f>IF(J32="","",IFERROR(INDEX(LMH_PTS,MATCH(J32,LMH_KEY,0))/SUM(IFERROR(INDEX(LMH_PTS,MATCH(J32,LMH_KEY,0)),0),IFERROR(INDEX(LMH_PTS,MATCH(K32,LMH_KEY,0)),0),IFERROR(INDEX(LMH_PTS,MATCH(L32,LMH_KEY,0)),0),IFERROR(INDEX(LMH_PTS,MATCH(M32,LMH_KEY,0)),0),IFERROR(INDEX(LMH_PTS,MATCH(N32,LMH_KEY,0)),0),IFERROR(INDEX(LMH_PTS,MATCH(O32,LMH_KEY,0)),0),IFERROR(INDEX(LMH_PTS,MATCH(P32,LMH_KEY,0)),0)),""))</f>
        <v>0.529411764705882</v>
      </c>
      <c r="R32" s="74">
        <f>IF(K32="","",IFERROR(INDEX(LMH_PTS,MATCH(K32,LMH_KEY,0))/SUM(IFERROR(INDEX(LMH_PTS,MATCH(J32,LMH_KEY,0)),0),IFERROR(INDEX(LMH_PTS,MATCH(K32,LMH_KEY,0)),0),IFERROR(INDEX(LMH_PTS,MATCH(L32,LMH_KEY,0)),0),IFERROR(INDEX(LMH_PTS,MATCH(M32,LMH_KEY,0)),0),IFERROR(INDEX(LMH_PTS,MATCH(N32,LMH_KEY,0)),0),IFERROR(INDEX(LMH_PTS,MATCH(O32,LMH_KEY,0)),0),IFERROR(INDEX(LMH_PTS,MATCH(P32,LMH_KEY,0)),0)),""))</f>
        <v>0.176470588235294</v>
      </c>
      <c r="S32" s="74">
        <f>IF(L32="","",IFERROR(INDEX(LMH_PTS,MATCH(L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T32" s="74">
        <f>IF(M32="","",IFERROR(INDEX(LMH_PTS,MATCH(M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U32" s="74">
        <f>IF(N32="","",IFERROR(INDEX(LMH_PTS,MATCH(N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V32" s="74">
        <f>IF(O32="","",IFERROR(INDEX(LMH_PTS,MATCH(O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W32" s="74">
        <f>IF(P32="","",IFERROR(INDEX(LMH_PTS,MATCH(P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X32" s="44" t="n"/>
      <c r="Y32" s="38" t="inlineStr">
        <is>
          <t>Corporate|IT &amp; Infrastructure|Senior System Administrator|A3|A</t>
        </is>
      </c>
    </row>
    <row r="33" ht="18" customHeight="1">
      <c r="A33" s="28" t="inlineStr">
        <is>
          <t>Corporate</t>
        </is>
      </c>
      <c r="B33" s="71" t="inlineStr">
        <is>
          <t>Management</t>
        </is>
      </c>
      <c r="C33" s="77" t="inlineStr">
        <is>
          <t>E2</t>
        </is>
      </c>
      <c r="D33" s="29" t="inlineStr">
        <is>
          <t>Band E · Enterprise leadership</t>
        </is>
      </c>
      <c r="E33" s="29" t="inlineStr">
        <is>
          <t>Chief Executive Officer</t>
        </is>
      </c>
      <c r="F33" s="29" t="inlineStr">
        <is>
          <t>Bands D–E · Leadership</t>
        </is>
      </c>
      <c r="G33" s="29" t="inlineStr">
        <is>
          <t>Executive Leadership</t>
        </is>
      </c>
      <c r="H33" s="29" t="n">
        <v>1</v>
      </c>
      <c r="I33" s="29" t="inlineStr">
        <is>
          <t>Balachandran K</t>
        </is>
      </c>
      <c r="J33" s="34" t="str">
        <f>IFERROR(INDEX(RBD_C,MATCH("Executive Leadership|E2|DE",RBD_KEY,0)),"M")</f>
        <v>H</v>
      </c>
      <c r="K33" s="35" t="str">
        <f>IFERROR(INDEX(RBD_Au,MATCH("Executive Leadership|E2|DE",RBD_KEY,0)),"M")</f>
        <v>M</v>
      </c>
      <c r="L33" s="35" t="str">
        <f>IFERROR(INDEX(RBD_Ac,MATCH("Executive Leadership|E2|DE",RBD_KEY,0)),"M")</f>
        <v>M</v>
      </c>
      <c r="M33" s="35" t="str">
        <f>IFERROR(INDEX(RBD_L,MATCH("Executive Leadership|E2|DE",RBD_KEY,0)),"M")</f>
        <v>M</v>
      </c>
      <c r="N33" s="35" t="str">
        <f>IFERROR(INDEX(RBD_BI,MATCH("Executive Leadership|E2|DE",RBD_KEY,0)),"M")</f>
        <v>L</v>
      </c>
      <c r="O33" s="35" t="str">
        <f>IFERROR(INDEX(RBD_Exp,MATCH("Executive Leadership|E2|DE",RBD_KEY,0)),"M")</f>
        <v>L</v>
      </c>
      <c r="P33" s="35" t="str">
        <f>IFERROR(INDEX(RBD_Edu,MATCH("Executive Leadership|E2|DE",RBD_KEY,0)),"M")</f>
        <v>L</v>
      </c>
      <c r="Q33" s="73">
        <f>IF(J33="","",IFERROR(INDEX(LMH_PTS,MATCH(J33,LMH_KEY,0))/SUM(IFERROR(INDEX(LMH_PTS,MATCH(J33,LMH_KEY,0)),0),IFERROR(INDEX(LMH_PTS,MATCH(K33,LMH_KEY,0)),0),IFERROR(INDEX(LMH_PTS,MATCH(L33,LMH_KEY,0)),0),IFERROR(INDEX(LMH_PTS,MATCH(M33,LMH_KEY,0)),0),IFERROR(INDEX(LMH_PTS,MATCH(N33,LMH_KEY,0)),0),IFERROR(INDEX(LMH_PTS,MATCH(O33,LMH_KEY,0)),0),IFERROR(INDEX(LMH_PTS,MATCH(P33,LMH_KEY,0)),0)),""))</f>
        <v>0.428571428571429</v>
      </c>
      <c r="R33" s="74">
        <f>IF(K33="","",IFERROR(INDEX(LMH_PTS,MATCH(K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S33" s="74">
        <f>IF(L33="","",IFERROR(INDEX(LMH_PTS,MATCH(L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T33" s="74">
        <f>IF(M33="","",IFERROR(INDEX(LMH_PTS,MATCH(M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U33" s="74">
        <f>IF(N33="","",IFERROR(INDEX(LMH_PTS,MATCH(N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V33" s="74">
        <f>IF(O33="","",IFERROR(INDEX(LMH_PTS,MATCH(O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W33" s="74">
        <f>IF(P33="","",IFERROR(INDEX(LMH_PTS,MATCH(P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X33" s="44" t="n"/>
      <c r="Y33" s="38" t="inlineStr">
        <is>
          <t>Corporate|Management|Chief Executive Officer|E2|DE</t>
        </is>
      </c>
    </row>
    <row r="34" ht="18" customHeight="1">
      <c r="A34" s="28" t="inlineStr">
        <is>
          <t>Corporate</t>
        </is>
      </c>
      <c r="B34" s="29" t="inlineStr">
        <is>
          <t>Management</t>
        </is>
      </c>
      <c r="C34" s="77" t="inlineStr">
        <is>
          <t>E1</t>
        </is>
      </c>
      <c r="D34" s="29" t="inlineStr">
        <is>
          <t>Band E · Enterprise leadership</t>
        </is>
      </c>
      <c r="E34" s="29" t="inlineStr">
        <is>
          <t>Chief Operating Officer</t>
        </is>
      </c>
      <c r="F34" s="29" t="inlineStr">
        <is>
          <t>Bands D–E · Leadership</t>
        </is>
      </c>
      <c r="G34" s="29" t="inlineStr">
        <is>
          <t>Executive Leadership</t>
        </is>
      </c>
      <c r="H34" s="29" t="n">
        <v>1</v>
      </c>
      <c r="I34" s="29" t="inlineStr">
        <is>
          <t>Deepta Rangarajan</t>
        </is>
      </c>
      <c r="J34" s="34" t="str">
        <f>IFERROR(INDEX(RBD_C,MATCH("Executive Leadership|E1|DE",RBD_KEY,0)),"M")</f>
        <v>H</v>
      </c>
      <c r="K34" s="35" t="str">
        <f>IFERROR(INDEX(RBD_Au,MATCH("Executive Leadership|E1|DE",RBD_KEY,0)),"M")</f>
        <v>M</v>
      </c>
      <c r="L34" s="35" t="str">
        <f>IFERROR(INDEX(RBD_Ac,MATCH("Executive Leadership|E1|DE",RBD_KEY,0)),"M")</f>
        <v>M</v>
      </c>
      <c r="M34" s="35" t="str">
        <f>IFERROR(INDEX(RBD_L,MATCH("Executive Leadership|E1|DE",RBD_KEY,0)),"M")</f>
        <v>M</v>
      </c>
      <c r="N34" s="35" t="str">
        <f>IFERROR(INDEX(RBD_BI,MATCH("Executive Leadership|E1|DE",RBD_KEY,0)),"M")</f>
        <v>L</v>
      </c>
      <c r="O34" s="35" t="str">
        <f>IFERROR(INDEX(RBD_Exp,MATCH("Executive Leadership|E1|DE",RBD_KEY,0)),"M")</f>
        <v>L</v>
      </c>
      <c r="P34" s="35" t="str">
        <f>IFERROR(INDEX(RBD_Edu,MATCH("Executive Leadership|E1|DE",RBD_KEY,0)),"M")</f>
        <v>L</v>
      </c>
      <c r="Q34" s="73">
        <f>IF(J34="","",IFERROR(INDEX(LMH_PTS,MATCH(J34,LMH_KEY,0))/SUM(IFERROR(INDEX(LMH_PTS,MATCH(J34,LMH_KEY,0)),0),IFERROR(INDEX(LMH_PTS,MATCH(K34,LMH_KEY,0)),0),IFERROR(INDEX(LMH_PTS,MATCH(L34,LMH_KEY,0)),0),IFERROR(INDEX(LMH_PTS,MATCH(M34,LMH_KEY,0)),0),IFERROR(INDEX(LMH_PTS,MATCH(N34,LMH_KEY,0)),0),IFERROR(INDEX(LMH_PTS,MATCH(O34,LMH_KEY,0)),0),IFERROR(INDEX(LMH_PTS,MATCH(P34,LMH_KEY,0)),0)),""))</f>
        <v>0.428571428571429</v>
      </c>
      <c r="R34" s="74">
        <f>IF(K34="","",IFERROR(INDEX(LMH_PTS,MATCH(K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S34" s="74">
        <f>IF(L34="","",IFERROR(INDEX(LMH_PTS,MATCH(L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T34" s="74">
        <f>IF(M34="","",IFERROR(INDEX(LMH_PTS,MATCH(M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U34" s="74">
        <f>IF(N34="","",IFERROR(INDEX(LMH_PTS,MATCH(N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V34" s="74">
        <f>IF(O34="","",IFERROR(INDEX(LMH_PTS,MATCH(O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W34" s="74">
        <f>IF(P34="","",IFERROR(INDEX(LMH_PTS,MATCH(P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X34" s="44" t="n"/>
      <c r="Y34" s="38" t="inlineStr">
        <is>
          <t>Corporate|Management|Chief Operating Officer|E1|DE</t>
        </is>
      </c>
    </row>
    <row r="35" ht="28" customHeight="1">
      <c r="A35" s="28" t="inlineStr">
        <is>
          <t>Corporate</t>
        </is>
      </c>
      <c r="B35" s="71" t="inlineStr">
        <is>
          <t>Marketing</t>
        </is>
      </c>
      <c r="C35" s="75" t="inlineStr">
        <is>
          <t>A3</t>
        </is>
      </c>
      <c r="D35" s="29" t="inlineStr">
        <is>
          <t>Band A · Practitioner</t>
        </is>
      </c>
      <c r="E35" s="29" t="inlineStr">
        <is>
          <t>Senior Content Marketing Specialist</t>
        </is>
      </c>
      <c r="F35" s="29" t="inlineStr">
        <is>
          <t>Band A · all tracks</t>
        </is>
      </c>
      <c r="G35" s="29" t="inlineStr">
        <is>
          <t>Marketing &amp; Communications</t>
        </is>
      </c>
      <c r="H35" s="29" t="n">
        <v>1</v>
      </c>
      <c r="I35" s="29" t="inlineStr">
        <is>
          <t>Barsha Gloria Gomes</t>
        </is>
      </c>
      <c r="J35" s="34" t="str">
        <f>IFERROR(INDEX(RBD_C,MATCH("Marketing &amp; Communications|A3|A",RBD_KEY,0)),"M")</f>
        <v>H</v>
      </c>
      <c r="K35" s="35" t="str">
        <f>IFERROR(INDEX(RBD_Au,MATCH("Marketing &amp; Communications|A3|A",RBD_KEY,0)),"M")</f>
        <v>M</v>
      </c>
      <c r="L35" s="35" t="str">
        <f>IFERROR(INDEX(RBD_Ac,MATCH("Marketing &amp; Communications|A3|A",RBD_KEY,0)),"M")</f>
        <v>L</v>
      </c>
      <c r="M35" s="35" t="str">
        <f>IFERROR(INDEX(RBD_L,MATCH("Marketing &amp; Communications|A3|A",RBD_KEY,0)),"M")</f>
        <v>L</v>
      </c>
      <c r="N35" s="35" t="str">
        <f>IFERROR(INDEX(RBD_BI,MATCH("Marketing &amp; Communications|A3|A",RBD_KEY,0)),"M")</f>
        <v>M</v>
      </c>
      <c r="O35" s="35" t="str">
        <f>IFERROR(INDEX(RBD_Exp,MATCH("Marketing &amp; Communications|A3|A",RBD_KEY,0)),"M")</f>
        <v>L</v>
      </c>
      <c r="P35" s="35" t="str">
        <f>IFERROR(INDEX(RBD_Edu,MATCH("Marketing &amp; Communications|A3|A",RBD_KEY,0)),"M")</f>
        <v>L</v>
      </c>
      <c r="Q35" s="73">
        <f>IF(J35="","",IFERROR(INDEX(LMH_PTS,MATCH(J35,LMH_KEY,0))/SUM(IFERROR(INDEX(LMH_PTS,MATCH(J35,LMH_KEY,0)),0),IFERROR(INDEX(LMH_PTS,MATCH(K35,LMH_KEY,0)),0),IFERROR(INDEX(LMH_PTS,MATCH(L35,LMH_KEY,0)),0),IFERROR(INDEX(LMH_PTS,MATCH(M35,LMH_KEY,0)),0),IFERROR(INDEX(LMH_PTS,MATCH(N35,LMH_KEY,0)),0),IFERROR(INDEX(LMH_PTS,MATCH(O35,LMH_KEY,0)),0),IFERROR(INDEX(LMH_PTS,MATCH(P35,LMH_KEY,0)),0)),""))</f>
        <v>0.473684210526316</v>
      </c>
      <c r="R35" s="74">
        <f>IF(K35="","",IFERROR(INDEX(LMH_PTS,MATCH(K35,LMH_KEY,0))/SUM(IFERROR(INDEX(LMH_PTS,MATCH(J35,LMH_KEY,0)),0),IFERROR(INDEX(LMH_PTS,MATCH(K35,LMH_KEY,0)),0),IFERROR(INDEX(LMH_PTS,MATCH(L35,LMH_KEY,0)),0),IFERROR(INDEX(LMH_PTS,MATCH(M35,LMH_KEY,0)),0),IFERROR(INDEX(LMH_PTS,MATCH(N35,LMH_KEY,0)),0),IFERROR(INDEX(LMH_PTS,MATCH(O35,LMH_KEY,0)),0),IFERROR(INDEX(LMH_PTS,MATCH(P35,LMH_KEY,0)),0)),""))</f>
        <v>0.157894736842105</v>
      </c>
      <c r="S35" s="74">
        <f>IF(L35="","",IFERROR(INDEX(LMH_PTS,MATCH(L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T35" s="74">
        <f>IF(M35="","",IFERROR(INDEX(LMH_PTS,MATCH(M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U35" s="74">
        <f>IF(N35="","",IFERROR(INDEX(LMH_PTS,MATCH(N35,LMH_KEY,0))/SUM(IFERROR(INDEX(LMH_PTS,MATCH(J35,LMH_KEY,0)),0),IFERROR(INDEX(LMH_PTS,MATCH(K35,LMH_KEY,0)),0),IFERROR(INDEX(LMH_PTS,MATCH(L35,LMH_KEY,0)),0),IFERROR(INDEX(LMH_PTS,MATCH(M35,LMH_KEY,0)),0),IFERROR(INDEX(LMH_PTS,MATCH(N35,LMH_KEY,0)),0),IFERROR(INDEX(LMH_PTS,MATCH(O35,LMH_KEY,0)),0),IFERROR(INDEX(LMH_PTS,MATCH(P35,LMH_KEY,0)),0)),""))</f>
        <v>0.157894736842105</v>
      </c>
      <c r="V35" s="74">
        <f>IF(O35="","",IFERROR(INDEX(LMH_PTS,MATCH(O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W35" s="74">
        <f>IF(P35="","",IFERROR(INDEX(LMH_PTS,MATCH(P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X35" s="44" t="n"/>
      <c r="Y35" s="38" t="inlineStr">
        <is>
          <t>Corporate|Marketing|Senior Content Marketing Specialist|A3|A</t>
        </is>
      </c>
    </row>
    <row r="36" ht="18" customHeight="1">
      <c r="A36" s="28" t="inlineStr">
        <is>
          <t>Corporate</t>
        </is>
      </c>
      <c r="B36" s="29" t="inlineStr">
        <is>
          <t>Marketing</t>
        </is>
      </c>
      <c r="C36" s="75" t="inlineStr">
        <is>
          <t>A3</t>
        </is>
      </c>
      <c r="D36" s="29" t="inlineStr">
        <is>
          <t>Band A · Practitioner</t>
        </is>
      </c>
      <c r="E36" s="29" t="inlineStr">
        <is>
          <t>Senior Designer</t>
        </is>
      </c>
      <c r="F36" s="29" t="inlineStr">
        <is>
          <t>Band A · all tracks</t>
        </is>
      </c>
      <c r="G36" s="29" t="inlineStr">
        <is>
          <t>Design &amp; Creative</t>
        </is>
      </c>
      <c r="H36" s="29" t="n">
        <v>1</v>
      </c>
      <c r="I36" s="29" t="inlineStr">
        <is>
          <t>Abhishek Sharma</t>
        </is>
      </c>
      <c r="J36" s="34" t="str">
        <f>IFERROR(INDEX(RBD_C,MATCH("Design &amp; Creative|A3|A",RBD_KEY,0)),"M")</f>
        <v>H</v>
      </c>
      <c r="K36" s="35" t="str">
        <f>IFERROR(INDEX(RBD_Au,MATCH("Design &amp; Creative|A3|A",RBD_KEY,0)),"M")</f>
        <v>M</v>
      </c>
      <c r="L36" s="35" t="str">
        <f>IFERROR(INDEX(RBD_Ac,MATCH("Design &amp; Creative|A3|A",RBD_KEY,0)),"M")</f>
        <v>L</v>
      </c>
      <c r="M36" s="35" t="str">
        <f>IFERROR(INDEX(RBD_L,MATCH("Design &amp; Creative|A3|A",RBD_KEY,0)),"M")</f>
        <v>L</v>
      </c>
      <c r="N36" s="35" t="str">
        <f>IFERROR(INDEX(RBD_BI,MATCH("Design &amp; Creative|A3|A",RBD_KEY,0)),"M")</f>
        <v>M</v>
      </c>
      <c r="O36" s="35" t="str">
        <f>IFERROR(INDEX(RBD_Exp,MATCH("Design &amp; Creative|A3|A",RBD_KEY,0)),"M")</f>
        <v>L</v>
      </c>
      <c r="P36" s="35" t="str">
        <f>IFERROR(INDEX(RBD_Edu,MATCH("Design &amp; Creative|A3|A",RBD_KEY,0)),"M")</f>
        <v>L</v>
      </c>
      <c r="Q36" s="73">
        <f>IF(J36="","",IFERROR(INDEX(LMH_PTS,MATCH(J36,LMH_KEY,0))/SUM(IFERROR(INDEX(LMH_PTS,MATCH(J36,LMH_KEY,0)),0),IFERROR(INDEX(LMH_PTS,MATCH(K36,LMH_KEY,0)),0),IFERROR(INDEX(LMH_PTS,MATCH(L36,LMH_KEY,0)),0),IFERROR(INDEX(LMH_PTS,MATCH(M36,LMH_KEY,0)),0),IFERROR(INDEX(LMH_PTS,MATCH(N36,LMH_KEY,0)),0),IFERROR(INDEX(LMH_PTS,MATCH(O36,LMH_KEY,0)),0),IFERROR(INDEX(LMH_PTS,MATCH(P36,LMH_KEY,0)),0)),""))</f>
        <v>0.473684210526316</v>
      </c>
      <c r="R36" s="74">
        <f>IF(K36="","",IFERROR(INDEX(LMH_PTS,MATCH(K36,LMH_KEY,0))/SUM(IFERROR(INDEX(LMH_PTS,MATCH(J36,LMH_KEY,0)),0),IFERROR(INDEX(LMH_PTS,MATCH(K36,LMH_KEY,0)),0),IFERROR(INDEX(LMH_PTS,MATCH(L36,LMH_KEY,0)),0),IFERROR(INDEX(LMH_PTS,MATCH(M36,LMH_KEY,0)),0),IFERROR(INDEX(LMH_PTS,MATCH(N36,LMH_KEY,0)),0),IFERROR(INDEX(LMH_PTS,MATCH(O36,LMH_KEY,0)),0),IFERROR(INDEX(LMH_PTS,MATCH(P36,LMH_KEY,0)),0)),""))</f>
        <v>0.157894736842105</v>
      </c>
      <c r="S36" s="74">
        <f>IF(L36="","",IFERROR(INDEX(LMH_PTS,MATCH(L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T36" s="74">
        <f>IF(M36="","",IFERROR(INDEX(LMH_PTS,MATCH(M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U36" s="74">
        <f>IF(N36="","",IFERROR(INDEX(LMH_PTS,MATCH(N36,LMH_KEY,0))/SUM(IFERROR(INDEX(LMH_PTS,MATCH(J36,LMH_KEY,0)),0),IFERROR(INDEX(LMH_PTS,MATCH(K36,LMH_KEY,0)),0),IFERROR(INDEX(LMH_PTS,MATCH(L36,LMH_KEY,0)),0),IFERROR(INDEX(LMH_PTS,MATCH(M36,LMH_KEY,0)),0),IFERROR(INDEX(LMH_PTS,MATCH(N36,LMH_KEY,0)),0),IFERROR(INDEX(LMH_PTS,MATCH(O36,LMH_KEY,0)),0),IFERROR(INDEX(LMH_PTS,MATCH(P36,LMH_KEY,0)),0)),""))</f>
        <v>0.157894736842105</v>
      </c>
      <c r="V36" s="74">
        <f>IF(O36="","",IFERROR(INDEX(LMH_PTS,MATCH(O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W36" s="74">
        <f>IF(P36="","",IFERROR(INDEX(LMH_PTS,MATCH(P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X36" s="44" t="n"/>
      <c r="Y36" s="38" t="inlineStr">
        <is>
          <t>Corporate|Marketing|Senior Designer|A3|A</t>
        </is>
      </c>
    </row>
    <row r="37" ht="28" customHeight="1">
      <c r="A37" s="28" t="inlineStr">
        <is>
          <t>Corporate</t>
        </is>
      </c>
      <c r="B37" s="29" t="inlineStr">
        <is>
          <t>Marketing</t>
        </is>
      </c>
      <c r="C37" s="75" t="inlineStr">
        <is>
          <t>A3</t>
        </is>
      </c>
      <c r="D37" s="29" t="inlineStr">
        <is>
          <t>Band A · Practitioner</t>
        </is>
      </c>
      <c r="E37" s="29" t="inlineStr">
        <is>
          <t>Senior Marketing Operations Associate</t>
        </is>
      </c>
      <c r="F37" s="29" t="inlineStr">
        <is>
          <t>Band A · all tracks</t>
        </is>
      </c>
      <c r="G37" s="29" t="inlineStr">
        <is>
          <t>Marketing &amp; Communications</t>
        </is>
      </c>
      <c r="H37" s="29" t="n">
        <v>1</v>
      </c>
      <c r="I37" s="29" t="inlineStr">
        <is>
          <t>Esther Kanagaselvam D</t>
        </is>
      </c>
      <c r="J37" s="34" t="str">
        <f>IFERROR(INDEX(RBD_C,MATCH("Marketing &amp; Communications|A3|A",RBD_KEY,0)),"M")</f>
        <v>H</v>
      </c>
      <c r="K37" s="35" t="str">
        <f>IFERROR(INDEX(RBD_Au,MATCH("Marketing &amp; Communications|A3|A",RBD_KEY,0)),"M")</f>
        <v>M</v>
      </c>
      <c r="L37" s="35" t="str">
        <f>IFERROR(INDEX(RBD_Ac,MATCH("Marketing &amp; Communications|A3|A",RBD_KEY,0)),"M")</f>
        <v>L</v>
      </c>
      <c r="M37" s="35" t="str">
        <f>IFERROR(INDEX(RBD_L,MATCH("Marketing &amp; Communications|A3|A",RBD_KEY,0)),"M")</f>
        <v>L</v>
      </c>
      <c r="N37" s="35" t="str">
        <f>IFERROR(INDEX(RBD_BI,MATCH("Marketing &amp; Communications|A3|A",RBD_KEY,0)),"M")</f>
        <v>M</v>
      </c>
      <c r="O37" s="35" t="str">
        <f>IFERROR(INDEX(RBD_Exp,MATCH("Marketing &amp; Communications|A3|A",RBD_KEY,0)),"M")</f>
        <v>L</v>
      </c>
      <c r="P37" s="35" t="str">
        <f>IFERROR(INDEX(RBD_Edu,MATCH("Marketing &amp; Communications|A3|A",RBD_KEY,0)),"M")</f>
        <v>L</v>
      </c>
      <c r="Q37" s="73">
        <f>IF(J37="","",IFERROR(INDEX(LMH_PTS,MATCH(J37,LMH_KEY,0))/SUM(IFERROR(INDEX(LMH_PTS,MATCH(J37,LMH_KEY,0)),0),IFERROR(INDEX(LMH_PTS,MATCH(K37,LMH_KEY,0)),0),IFERROR(INDEX(LMH_PTS,MATCH(L37,LMH_KEY,0)),0),IFERROR(INDEX(LMH_PTS,MATCH(M37,LMH_KEY,0)),0),IFERROR(INDEX(LMH_PTS,MATCH(N37,LMH_KEY,0)),0),IFERROR(INDEX(LMH_PTS,MATCH(O37,LMH_KEY,0)),0),IFERROR(INDEX(LMH_PTS,MATCH(P37,LMH_KEY,0)),0)),""))</f>
        <v>0.473684210526316</v>
      </c>
      <c r="R37" s="74">
        <f>IF(K37="","",IFERROR(INDEX(LMH_PTS,MATCH(K37,LMH_KEY,0))/SUM(IFERROR(INDEX(LMH_PTS,MATCH(J37,LMH_KEY,0)),0),IFERROR(INDEX(LMH_PTS,MATCH(K37,LMH_KEY,0)),0),IFERROR(INDEX(LMH_PTS,MATCH(L37,LMH_KEY,0)),0),IFERROR(INDEX(LMH_PTS,MATCH(M37,LMH_KEY,0)),0),IFERROR(INDEX(LMH_PTS,MATCH(N37,LMH_KEY,0)),0),IFERROR(INDEX(LMH_PTS,MATCH(O37,LMH_KEY,0)),0),IFERROR(INDEX(LMH_PTS,MATCH(P37,LMH_KEY,0)),0)),""))</f>
        <v>0.157894736842105</v>
      </c>
      <c r="S37" s="74">
        <f>IF(L37="","",IFERROR(INDEX(LMH_PTS,MATCH(L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T37" s="74">
        <f>IF(M37="","",IFERROR(INDEX(LMH_PTS,MATCH(M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U37" s="74">
        <f>IF(N37="","",IFERROR(INDEX(LMH_PTS,MATCH(N37,LMH_KEY,0))/SUM(IFERROR(INDEX(LMH_PTS,MATCH(J37,LMH_KEY,0)),0),IFERROR(INDEX(LMH_PTS,MATCH(K37,LMH_KEY,0)),0),IFERROR(INDEX(LMH_PTS,MATCH(L37,LMH_KEY,0)),0),IFERROR(INDEX(LMH_PTS,MATCH(M37,LMH_KEY,0)),0),IFERROR(INDEX(LMH_PTS,MATCH(N37,LMH_KEY,0)),0),IFERROR(INDEX(LMH_PTS,MATCH(O37,LMH_KEY,0)),0),IFERROR(INDEX(LMH_PTS,MATCH(P37,LMH_KEY,0)),0)),""))</f>
        <v>0.157894736842105</v>
      </c>
      <c r="V37" s="74">
        <f>IF(O37="","",IFERROR(INDEX(LMH_PTS,MATCH(O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W37" s="74">
        <f>IF(P37="","",IFERROR(INDEX(LMH_PTS,MATCH(P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X37" s="44" t="n"/>
      <c r="Y37" s="38" t="inlineStr">
        <is>
          <t>Corporate|Marketing|Senior Marketing Operations Associate|A3|A</t>
        </is>
      </c>
    </row>
    <row r="38" ht="28" customHeight="1">
      <c r="A38" s="28" t="inlineStr">
        <is>
          <t>Corporate</t>
        </is>
      </c>
      <c r="B38" s="71" t="inlineStr">
        <is>
          <t>Secretarial &amp; Legal</t>
        </is>
      </c>
      <c r="C38" s="78" t="inlineStr">
        <is>
          <t>C1</t>
        </is>
      </c>
      <c r="D38" s="29" t="inlineStr">
        <is>
          <t>Band C · Principal / Head</t>
        </is>
      </c>
      <c r="E38" s="29" t="inlineStr">
        <is>
          <t>Company Secretary – POD Lead</t>
        </is>
      </c>
      <c r="F38" s="29" t="inlineStr">
        <is>
          <t>Band C · Principal specialist</t>
        </is>
      </c>
      <c r="G38" s="29" t="inlineStr">
        <is>
          <t>Executive Leadership</t>
        </is>
      </c>
      <c r="H38" s="29" t="n">
        <v>1</v>
      </c>
      <c r="I38" s="29" t="inlineStr">
        <is>
          <t>Santosh Sharma</t>
        </is>
      </c>
      <c r="J38" s="34" t="str">
        <f>IFERROR(INDEX(RBD_C,MATCH("Executive Leadership|C1|C-IC",RBD_KEY,0)),"M")</f>
        <v>H</v>
      </c>
      <c r="K38" s="35" t="str">
        <f>IFERROR(INDEX(RBD_Au,MATCH("Executive Leadership|C1|C-IC",RBD_KEY,0)),"M")</f>
        <v>M</v>
      </c>
      <c r="L38" s="35" t="str">
        <f>IFERROR(INDEX(RBD_Ac,MATCH("Executive Leadership|C1|C-IC",RBD_KEY,0)),"M")</f>
        <v>M</v>
      </c>
      <c r="M38" s="35" t="str">
        <f>IFERROR(INDEX(RBD_L,MATCH("Executive Leadership|C1|C-IC",RBD_KEY,0)),"M")</f>
        <v>L</v>
      </c>
      <c r="N38" s="35" t="str">
        <f>IFERROR(INDEX(RBD_BI,MATCH("Executive Leadership|C1|C-IC",RBD_KEY,0)),"M")</f>
        <v>L</v>
      </c>
      <c r="O38" s="35" t="str">
        <f>IFERROR(INDEX(RBD_Exp,MATCH("Executive Leadership|C1|C-IC",RBD_KEY,0)),"M")</f>
        <v>L</v>
      </c>
      <c r="P38" s="35" t="str">
        <f>IFERROR(INDEX(RBD_Edu,MATCH("Executive Leadership|C1|C-IC",RBD_KEY,0)),"M")</f>
        <v>L</v>
      </c>
      <c r="Q38" s="73">
        <f>IF(J38="","",IFERROR(INDEX(LMH_PTS,MATCH(J38,LMH_KEY,0))/SUM(IFERROR(INDEX(LMH_PTS,MATCH(J38,LMH_KEY,0)),0),IFERROR(INDEX(LMH_PTS,MATCH(K38,LMH_KEY,0)),0),IFERROR(INDEX(LMH_PTS,MATCH(L38,LMH_KEY,0)),0),IFERROR(INDEX(LMH_PTS,MATCH(M38,LMH_KEY,0)),0),IFERROR(INDEX(LMH_PTS,MATCH(N38,LMH_KEY,0)),0),IFERROR(INDEX(LMH_PTS,MATCH(O38,LMH_KEY,0)),0),IFERROR(INDEX(LMH_PTS,MATCH(P38,LMH_KEY,0)),0)),""))</f>
        <v>0.473684210526316</v>
      </c>
      <c r="R38" s="74">
        <f>IF(K38="","",IFERROR(INDEX(LMH_PTS,MATCH(K38,LMH_KEY,0))/SUM(IFERROR(INDEX(LMH_PTS,MATCH(J38,LMH_KEY,0)),0),IFERROR(INDEX(LMH_PTS,MATCH(K38,LMH_KEY,0)),0),IFERROR(INDEX(LMH_PTS,MATCH(L38,LMH_KEY,0)),0),IFERROR(INDEX(LMH_PTS,MATCH(M38,LMH_KEY,0)),0),IFERROR(INDEX(LMH_PTS,MATCH(N38,LMH_KEY,0)),0),IFERROR(INDEX(LMH_PTS,MATCH(O38,LMH_KEY,0)),0),IFERROR(INDEX(LMH_PTS,MATCH(P38,LMH_KEY,0)),0)),""))</f>
        <v>0.157894736842105</v>
      </c>
      <c r="S38" s="74">
        <f>IF(L38="","",IFERROR(INDEX(LMH_PTS,MATCH(L38,LMH_KEY,0))/SUM(IFERROR(INDEX(LMH_PTS,MATCH(J38,LMH_KEY,0)),0),IFERROR(INDEX(LMH_PTS,MATCH(K38,LMH_KEY,0)),0),IFERROR(INDEX(LMH_PTS,MATCH(L38,LMH_KEY,0)),0),IFERROR(INDEX(LMH_PTS,MATCH(M38,LMH_KEY,0)),0),IFERROR(INDEX(LMH_PTS,MATCH(N38,LMH_KEY,0)),0),IFERROR(INDEX(LMH_PTS,MATCH(O38,LMH_KEY,0)),0),IFERROR(INDEX(LMH_PTS,MATCH(P38,LMH_KEY,0)),0)),""))</f>
        <v>0.157894736842105</v>
      </c>
      <c r="T38" s="74">
        <f>IF(M38="","",IFERROR(INDEX(LMH_PTS,MATCH(M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U38" s="74">
        <f>IF(N38="","",IFERROR(INDEX(LMH_PTS,MATCH(N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V38" s="74">
        <f>IF(O38="","",IFERROR(INDEX(LMH_PTS,MATCH(O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W38" s="74">
        <f>IF(P38="","",IFERROR(INDEX(LMH_PTS,MATCH(P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X38" s="44" t="n"/>
      <c r="Y38" s="38" t="inlineStr">
        <is>
          <t>Corporate|Secretarial &amp; Legal|Company Secretary – POD Lead|C1|C-IC</t>
        </is>
      </c>
    </row>
    <row r="39" ht="28" customHeight="1">
      <c r="A39" s="28" t="inlineStr">
        <is>
          <t>Corporate</t>
        </is>
      </c>
      <c r="B39" s="29" t="inlineStr">
        <is>
          <t>Secretarial &amp; Legal</t>
        </is>
      </c>
      <c r="C39" s="75" t="inlineStr">
        <is>
          <t>A3</t>
        </is>
      </c>
      <c r="D39" s="29" t="inlineStr">
        <is>
          <t>Band A · Practitioner</t>
        </is>
      </c>
      <c r="E39" s="29" t="inlineStr">
        <is>
          <t>Senior Secretarial Executive</t>
        </is>
      </c>
      <c r="F39" s="29" t="inlineStr">
        <is>
          <t>Band A · all tracks</t>
        </is>
      </c>
      <c r="G39" s="29" t="inlineStr">
        <is>
          <t>Administration, Legal &amp; Secretarial</t>
        </is>
      </c>
      <c r="H39" s="29" t="n">
        <v>1</v>
      </c>
      <c r="I39" s="29" t="inlineStr">
        <is>
          <t>Melita Suares</t>
        </is>
      </c>
      <c r="J39" s="34" t="str">
        <f>IFERROR(INDEX(RBD_C,MATCH("Administration, Legal &amp; Secretarial|A3|A",RBD_KEY,0)),"M")</f>
        <v>H</v>
      </c>
      <c r="K39" s="35" t="str">
        <f>IFERROR(INDEX(RBD_Au,MATCH("Administration, Legal &amp; Secretarial|A3|A",RBD_KEY,0)),"M")</f>
        <v>M</v>
      </c>
      <c r="L39" s="35" t="str">
        <f>IFERROR(INDEX(RBD_Ac,MATCH("Administration, Legal &amp; Secretarial|A3|A",RBD_KEY,0)),"M")</f>
        <v>M</v>
      </c>
      <c r="M39" s="35" t="str">
        <f>IFERROR(INDEX(RBD_L,MATCH("Administration, Legal &amp; Secretarial|A3|A",RBD_KEY,0)),"M")</f>
        <v>L</v>
      </c>
      <c r="N39" s="35" t="str">
        <f>IFERROR(INDEX(RBD_BI,MATCH("Administration, Legal &amp; Secretarial|A3|A",RBD_KEY,0)),"M")</f>
        <v>L</v>
      </c>
      <c r="O39" s="35" t="str">
        <f>IFERROR(INDEX(RBD_Exp,MATCH("Administration, Legal &amp; Secretarial|A3|A",RBD_KEY,0)),"M")</f>
        <v>L</v>
      </c>
      <c r="P39" s="35" t="str">
        <f>IFERROR(INDEX(RBD_Edu,MATCH("Administration, Legal &amp; Secretarial|A3|A",RBD_KEY,0)),"M")</f>
        <v>M</v>
      </c>
      <c r="Q39" s="73">
        <f>IF(J39="","",IFERROR(INDEX(LMH_PTS,MATCH(J39,LMH_KEY,0))/SUM(IFERROR(INDEX(LMH_PTS,MATCH(J39,LMH_KEY,0)),0),IFERROR(INDEX(LMH_PTS,MATCH(K39,LMH_KEY,0)),0),IFERROR(INDEX(LMH_PTS,MATCH(L39,LMH_KEY,0)),0),IFERROR(INDEX(LMH_PTS,MATCH(M39,LMH_KEY,0)),0),IFERROR(INDEX(LMH_PTS,MATCH(N39,LMH_KEY,0)),0),IFERROR(INDEX(LMH_PTS,MATCH(O39,LMH_KEY,0)),0),IFERROR(INDEX(LMH_PTS,MATCH(P39,LMH_KEY,0)),0)),""))</f>
        <v>0.428571428571429</v>
      </c>
      <c r="R39" s="74">
        <f>IF(K39="","",IFERROR(INDEX(LMH_PTS,MATCH(K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S39" s="74">
        <f>IF(L39="","",IFERROR(INDEX(LMH_PTS,MATCH(L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T39" s="74">
        <f>IF(M39="","",IFERROR(INDEX(LMH_PTS,MATCH(M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U39" s="74">
        <f>IF(N39="","",IFERROR(INDEX(LMH_PTS,MATCH(N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V39" s="74">
        <f>IF(O39="","",IFERROR(INDEX(LMH_PTS,MATCH(O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W39" s="74">
        <f>IF(P39="","",IFERROR(INDEX(LMH_PTS,MATCH(P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X39" s="44" t="n"/>
      <c r="Y39" s="38" t="inlineStr">
        <is>
          <t>Corporate|Secretarial &amp; Legal|Senior Secretarial Executive|A3|A</t>
        </is>
      </c>
    </row>
    <row r="40" ht="28" customHeight="1">
      <c r="A40" s="28" t="inlineStr">
        <is>
          <t>Corporate</t>
        </is>
      </c>
      <c r="B40" s="29" t="inlineStr">
        <is>
          <t>Secretarial &amp; Legal</t>
        </is>
      </c>
      <c r="C40" s="75" t="inlineStr">
        <is>
          <t>A1</t>
        </is>
      </c>
      <c r="D40" s="29" t="inlineStr">
        <is>
          <t>Band A · Practitioner</t>
        </is>
      </c>
      <c r="E40" s="29" t="inlineStr">
        <is>
          <t>Intern – Company Secretarial &amp; Legal</t>
        </is>
      </c>
      <c r="F40" s="29" t="inlineStr">
        <is>
          <t>Band A · all tracks</t>
        </is>
      </c>
      <c r="G40" s="29" t="inlineStr">
        <is>
          <t>Administration, Legal &amp; Secretarial</t>
        </is>
      </c>
      <c r="H40" s="29" t="n">
        <v>1</v>
      </c>
      <c r="I40" s="29" t="inlineStr">
        <is>
          <t>Sneha Pillai</t>
        </is>
      </c>
      <c r="J40" s="34" t="str">
        <f>IFERROR(INDEX(RBD_C,MATCH("Administration, Legal &amp; Secretarial|A1|A",RBD_KEY,0)),"M")</f>
        <v>H</v>
      </c>
      <c r="K40" s="35" t="str">
        <f>IFERROR(INDEX(RBD_Au,MATCH("Administration, Legal &amp; Secretarial|A1|A",RBD_KEY,0)),"M")</f>
        <v>M</v>
      </c>
      <c r="L40" s="35" t="str">
        <f>IFERROR(INDEX(RBD_Ac,MATCH("Administration, Legal &amp; Secretarial|A1|A",RBD_KEY,0)),"M")</f>
        <v>M</v>
      </c>
      <c r="M40" s="35" t="str">
        <f>IFERROR(INDEX(RBD_L,MATCH("Administration, Legal &amp; Secretarial|A1|A",RBD_KEY,0)),"M")</f>
        <v>L</v>
      </c>
      <c r="N40" s="35" t="str">
        <f>IFERROR(INDEX(RBD_BI,MATCH("Administration, Legal &amp; Secretarial|A1|A",RBD_KEY,0)),"M")</f>
        <v>L</v>
      </c>
      <c r="O40" s="35" t="str">
        <f>IFERROR(INDEX(RBD_Exp,MATCH("Administration, Legal &amp; Secretarial|A1|A",RBD_KEY,0)),"M")</f>
        <v>L</v>
      </c>
      <c r="P40" s="35" t="str">
        <f>IFERROR(INDEX(RBD_Edu,MATCH("Administration, Legal &amp; Secretarial|A1|A",RBD_KEY,0)),"M")</f>
        <v>M</v>
      </c>
      <c r="Q40" s="73">
        <f>IF(J40="","",IFERROR(INDEX(LMH_PTS,MATCH(J40,LMH_KEY,0))/SUM(IFERROR(INDEX(LMH_PTS,MATCH(J40,LMH_KEY,0)),0),IFERROR(INDEX(LMH_PTS,MATCH(K40,LMH_KEY,0)),0),IFERROR(INDEX(LMH_PTS,MATCH(L40,LMH_KEY,0)),0),IFERROR(INDEX(LMH_PTS,MATCH(M40,LMH_KEY,0)),0),IFERROR(INDEX(LMH_PTS,MATCH(N40,LMH_KEY,0)),0),IFERROR(INDEX(LMH_PTS,MATCH(O40,LMH_KEY,0)),0),IFERROR(INDEX(LMH_PTS,MATCH(P40,LMH_KEY,0)),0)),""))</f>
        <v>0.428571428571429</v>
      </c>
      <c r="R40" s="74">
        <f>IF(K40="","",IFERROR(INDEX(LMH_PTS,MATCH(K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S40" s="74">
        <f>IF(L40="","",IFERROR(INDEX(LMH_PTS,MATCH(L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T40" s="74">
        <f>IF(M40="","",IFERROR(INDEX(LMH_PTS,MATCH(M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U40" s="74">
        <f>IF(N40="","",IFERROR(INDEX(LMH_PTS,MATCH(N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V40" s="74">
        <f>IF(O40="","",IFERROR(INDEX(LMH_PTS,MATCH(O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W40" s="74">
        <f>IF(P40="","",IFERROR(INDEX(LMH_PTS,MATCH(P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X40" s="44" t="n"/>
      <c r="Y40" s="38" t="inlineStr">
        <is>
          <t>Corporate|Secretarial &amp; Legal|Intern – Company Secretarial &amp; Legal|A1|A</t>
        </is>
      </c>
    </row>
    <row r="41" ht="18" customHeight="1">
      <c r="A41" s="28" t="inlineStr">
        <is>
          <t>Corporate</t>
        </is>
      </c>
      <c r="B41" s="71" t="inlineStr">
        <is>
          <t>Technology</t>
        </is>
      </c>
      <c r="C41" s="77" t="inlineStr">
        <is>
          <t>E1</t>
        </is>
      </c>
      <c r="D41" s="29" t="inlineStr">
        <is>
          <t>Band E · Enterprise leadership</t>
        </is>
      </c>
      <c r="E41" s="29" t="inlineStr">
        <is>
          <t>Chief Technology Officer</t>
        </is>
      </c>
      <c r="F41" s="29" t="inlineStr">
        <is>
          <t>Bands D–E · Leadership</t>
        </is>
      </c>
      <c r="G41" s="29" t="inlineStr">
        <is>
          <t>Executive Leadership</t>
        </is>
      </c>
      <c r="H41" s="29" t="n">
        <v>1</v>
      </c>
      <c r="I41" s="29" t="inlineStr">
        <is>
          <t>P K X Thomas</t>
        </is>
      </c>
      <c r="J41" s="34" t="str">
        <f>IFERROR(INDEX(RBD_C,MATCH("Executive Leadership|E1|DE",RBD_KEY,0)),"M")</f>
        <v>H</v>
      </c>
      <c r="K41" s="35" t="str">
        <f>IFERROR(INDEX(RBD_Au,MATCH("Executive Leadership|E1|DE",RBD_KEY,0)),"M")</f>
        <v>M</v>
      </c>
      <c r="L41" s="35" t="str">
        <f>IFERROR(INDEX(RBD_Ac,MATCH("Executive Leadership|E1|DE",RBD_KEY,0)),"M")</f>
        <v>M</v>
      </c>
      <c r="M41" s="35" t="str">
        <f>IFERROR(INDEX(RBD_L,MATCH("Executive Leadership|E1|DE",RBD_KEY,0)),"M")</f>
        <v>M</v>
      </c>
      <c r="N41" s="35" t="str">
        <f>IFERROR(INDEX(RBD_BI,MATCH("Executive Leadership|E1|DE",RBD_KEY,0)),"M")</f>
        <v>L</v>
      </c>
      <c r="O41" s="35" t="str">
        <f>IFERROR(INDEX(RBD_Exp,MATCH("Executive Leadership|E1|DE",RBD_KEY,0)),"M")</f>
        <v>L</v>
      </c>
      <c r="P41" s="35" t="str">
        <f>IFERROR(INDEX(RBD_Edu,MATCH("Executive Leadership|E1|DE",RBD_KEY,0)),"M")</f>
        <v>L</v>
      </c>
      <c r="Q41" s="73">
        <f>IF(J41="","",IFERROR(INDEX(LMH_PTS,MATCH(J41,LMH_KEY,0))/SUM(IFERROR(INDEX(LMH_PTS,MATCH(J41,LMH_KEY,0)),0),IFERROR(INDEX(LMH_PTS,MATCH(K41,LMH_KEY,0)),0),IFERROR(INDEX(LMH_PTS,MATCH(L41,LMH_KEY,0)),0),IFERROR(INDEX(LMH_PTS,MATCH(M41,LMH_KEY,0)),0),IFERROR(INDEX(LMH_PTS,MATCH(N41,LMH_KEY,0)),0),IFERROR(INDEX(LMH_PTS,MATCH(O41,LMH_KEY,0)),0),IFERROR(INDEX(LMH_PTS,MATCH(P41,LMH_KEY,0)),0)),""))</f>
        <v>0.428571428571429</v>
      </c>
      <c r="R41" s="74">
        <f>IF(K41="","",IFERROR(INDEX(LMH_PTS,MATCH(K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S41" s="74">
        <f>IF(L41="","",IFERROR(INDEX(LMH_PTS,MATCH(L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T41" s="74">
        <f>IF(M41="","",IFERROR(INDEX(LMH_PTS,MATCH(M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U41" s="74">
        <f>IF(N41="","",IFERROR(INDEX(LMH_PTS,MATCH(N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V41" s="74">
        <f>IF(O41="","",IFERROR(INDEX(LMH_PTS,MATCH(O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W41" s="74">
        <f>IF(P41="","",IFERROR(INDEX(LMH_PTS,MATCH(P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X41" s="44" t="n"/>
      <c r="Y41" s="38" t="inlineStr">
        <is>
          <t>Corporate|Technology|Chief Technology Officer|E1|DE</t>
        </is>
      </c>
    </row>
    <row r="42" ht="18" customHeight="1">
      <c r="A42" s="28" t="inlineStr">
        <is>
          <t>Corporate</t>
        </is>
      </c>
      <c r="B42" s="29" t="inlineStr">
        <is>
          <t>Technology</t>
        </is>
      </c>
      <c r="C42" s="72" t="inlineStr">
        <is>
          <t>B3</t>
        </is>
      </c>
      <c r="D42" s="29" t="inlineStr">
        <is>
          <t>Band B · Specialist / Manager</t>
        </is>
      </c>
      <c r="E42" s="29" t="inlineStr">
        <is>
          <t>Agile Coach</t>
        </is>
      </c>
      <c r="F42" s="29" t="inlineStr">
        <is>
          <t>Band B · Specialist / POD Lead</t>
        </is>
      </c>
      <c r="G42" s="29" t="inlineStr">
        <is>
          <t>Project &amp; Program Management</t>
        </is>
      </c>
      <c r="H42" s="29" t="n">
        <v>1</v>
      </c>
      <c r="I42" s="29" t="inlineStr">
        <is>
          <t>Vikas Thakur</t>
        </is>
      </c>
      <c r="J42" s="34" t="str">
        <f>IFERROR(INDEX(RBD_C,MATCH("Project &amp; Program Management|B3|B-IC",RBD_KEY,0)),"M")</f>
        <v>H</v>
      </c>
      <c r="K42" s="35" t="str">
        <f>IFERROR(INDEX(RBD_Au,MATCH("Project &amp; Program Management|B3|B-IC",RBD_KEY,0)),"M")</f>
        <v>M</v>
      </c>
      <c r="L42" s="35" t="str">
        <f>IFERROR(INDEX(RBD_Ac,MATCH("Project &amp; Program Management|B3|B-IC",RBD_KEY,0)),"M")</f>
        <v>L</v>
      </c>
      <c r="M42" s="35" t="str">
        <f>IFERROR(INDEX(RBD_L,MATCH("Project &amp; Program Management|B3|B-IC",RBD_KEY,0)),"M")</f>
        <v>L</v>
      </c>
      <c r="N42" s="35" t="str">
        <f>IFERROR(INDEX(RBD_BI,MATCH("Project &amp; Program Management|B3|B-IC",RBD_KEY,0)),"M")</f>
        <v>L</v>
      </c>
      <c r="O42" s="35" t="str">
        <f>IFERROR(INDEX(RBD_Exp,MATCH("Project &amp; Program Management|B3|B-IC",RBD_KEY,0)),"M")</f>
        <v>L</v>
      </c>
      <c r="P42" s="35" t="str">
        <f>IFERROR(INDEX(RBD_Edu,MATCH("Project &amp; Program Management|B3|B-IC",RBD_KEY,0)),"M")</f>
        <v>L</v>
      </c>
      <c r="Q42" s="73">
        <f>IF(J42="","",IFERROR(INDEX(LMH_PTS,MATCH(J42,LMH_KEY,0))/SUM(IFERROR(INDEX(LMH_PTS,MATCH(J42,LMH_KEY,0)),0),IFERROR(INDEX(LMH_PTS,MATCH(K42,LMH_KEY,0)),0),IFERROR(INDEX(LMH_PTS,MATCH(L42,LMH_KEY,0)),0),IFERROR(INDEX(LMH_PTS,MATCH(M42,LMH_KEY,0)),0),IFERROR(INDEX(LMH_PTS,MATCH(N42,LMH_KEY,0)),0),IFERROR(INDEX(LMH_PTS,MATCH(O42,LMH_KEY,0)),0),IFERROR(INDEX(LMH_PTS,MATCH(P42,LMH_KEY,0)),0)),""))</f>
        <v>0.529411764705882</v>
      </c>
      <c r="R42" s="74">
        <f>IF(K42="","",IFERROR(INDEX(LMH_PTS,MATCH(K42,LMH_KEY,0))/SUM(IFERROR(INDEX(LMH_PTS,MATCH(J42,LMH_KEY,0)),0),IFERROR(INDEX(LMH_PTS,MATCH(K42,LMH_KEY,0)),0),IFERROR(INDEX(LMH_PTS,MATCH(L42,LMH_KEY,0)),0),IFERROR(INDEX(LMH_PTS,MATCH(M42,LMH_KEY,0)),0),IFERROR(INDEX(LMH_PTS,MATCH(N42,LMH_KEY,0)),0),IFERROR(INDEX(LMH_PTS,MATCH(O42,LMH_KEY,0)),0),IFERROR(INDEX(LMH_PTS,MATCH(P42,LMH_KEY,0)),0)),""))</f>
        <v>0.176470588235294</v>
      </c>
      <c r="S42" s="74">
        <f>IF(L42="","",IFERROR(INDEX(LMH_PTS,MATCH(L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T42" s="74">
        <f>IF(M42="","",IFERROR(INDEX(LMH_PTS,MATCH(M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U42" s="74">
        <f>IF(N42="","",IFERROR(INDEX(LMH_PTS,MATCH(N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V42" s="74">
        <f>IF(O42="","",IFERROR(INDEX(LMH_PTS,MATCH(O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W42" s="74">
        <f>IF(P42="","",IFERROR(INDEX(LMH_PTS,MATCH(P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X42" s="44" t="n"/>
      <c r="Y42" s="38" t="inlineStr">
        <is>
          <t>Corporate|Technology|Agile Coach|B3|B-IC</t>
        </is>
      </c>
    </row>
    <row r="43" ht="18" customHeight="1">
      <c r="A43" s="28" t="inlineStr">
        <is>
          <t>CARBON</t>
        </is>
      </c>
      <c r="B43" s="71" t="inlineStr">
        <is>
          <t>CARBON Business Head</t>
        </is>
      </c>
      <c r="C43" s="79" t="inlineStr">
        <is>
          <t>D2</t>
        </is>
      </c>
      <c r="D43" s="29" t="inlineStr">
        <is>
          <t>Band D · Business leadership</t>
        </is>
      </c>
      <c r="E43" s="29" t="inlineStr">
        <is>
          <t>Business Head</t>
        </is>
      </c>
      <c r="F43" s="29" t="inlineStr">
        <is>
          <t>Bands D–E · Leadership</t>
        </is>
      </c>
      <c r="G43" s="29" t="inlineStr">
        <is>
          <t>Executive Leadership</t>
        </is>
      </c>
      <c r="H43" s="29" t="n">
        <v>1</v>
      </c>
      <c r="I43" s="29" t="inlineStr">
        <is>
          <t>Anuradha RK</t>
        </is>
      </c>
      <c r="J43" s="34" t="str">
        <f>IFERROR(INDEX(RBD_C,MATCH("Executive Leadership|D2|DE",RBD_KEY,0)),"M")</f>
        <v>H</v>
      </c>
      <c r="K43" s="35" t="str">
        <f>IFERROR(INDEX(RBD_Au,MATCH("Executive Leadership|D2|DE",RBD_KEY,0)),"M")</f>
        <v>M</v>
      </c>
      <c r="L43" s="35" t="str">
        <f>IFERROR(INDEX(RBD_Ac,MATCH("Executive Leadership|D2|DE",RBD_KEY,0)),"M")</f>
        <v>M</v>
      </c>
      <c r="M43" s="35" t="str">
        <f>IFERROR(INDEX(RBD_L,MATCH("Executive Leadership|D2|DE",RBD_KEY,0)),"M")</f>
        <v>M</v>
      </c>
      <c r="N43" s="35" t="str">
        <f>IFERROR(INDEX(RBD_BI,MATCH("Executive Leadership|D2|DE",RBD_KEY,0)),"M")</f>
        <v>L</v>
      </c>
      <c r="O43" s="35" t="str">
        <f>IFERROR(INDEX(RBD_Exp,MATCH("Executive Leadership|D2|DE",RBD_KEY,0)),"M")</f>
        <v>L</v>
      </c>
      <c r="P43" s="35" t="str">
        <f>IFERROR(INDEX(RBD_Edu,MATCH("Executive Leadership|D2|DE",RBD_KEY,0)),"M")</f>
        <v>L</v>
      </c>
      <c r="Q43" s="73">
        <f>IF(J43="","",IFERROR(INDEX(LMH_PTS,MATCH(J43,LMH_KEY,0))/SUM(IFERROR(INDEX(LMH_PTS,MATCH(J43,LMH_KEY,0)),0),IFERROR(INDEX(LMH_PTS,MATCH(K43,LMH_KEY,0)),0),IFERROR(INDEX(LMH_PTS,MATCH(L43,LMH_KEY,0)),0),IFERROR(INDEX(LMH_PTS,MATCH(M43,LMH_KEY,0)),0),IFERROR(INDEX(LMH_PTS,MATCH(N43,LMH_KEY,0)),0),IFERROR(INDEX(LMH_PTS,MATCH(O43,LMH_KEY,0)),0),IFERROR(INDEX(LMH_PTS,MATCH(P43,LMH_KEY,0)),0)),""))</f>
        <v>0.428571428571429</v>
      </c>
      <c r="R43" s="74">
        <f>IF(K43="","",IFERROR(INDEX(LMH_PTS,MATCH(K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S43" s="74">
        <f>IF(L43="","",IFERROR(INDEX(LMH_PTS,MATCH(L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T43" s="74">
        <f>IF(M43="","",IFERROR(INDEX(LMH_PTS,MATCH(M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U43" s="74">
        <f>IF(N43="","",IFERROR(INDEX(LMH_PTS,MATCH(N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V43" s="74">
        <f>IF(O43="","",IFERROR(INDEX(LMH_PTS,MATCH(O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W43" s="74">
        <f>IF(P43="","",IFERROR(INDEX(LMH_PTS,MATCH(P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X43" s="44" t="n"/>
      <c r="Y43" s="38" t="inlineStr">
        <is>
          <t>CARBON|CARBON Business Head|Business Head|D2|DE</t>
        </is>
      </c>
    </row>
    <row r="44" ht="18" customHeight="1">
      <c r="A44" s="28" t="inlineStr">
        <is>
          <t>CARBON</t>
        </is>
      </c>
      <c r="B44" s="71" t="inlineStr">
        <is>
          <t>CRO - Carbon</t>
        </is>
      </c>
      <c r="C44" s="77" t="inlineStr">
        <is>
          <t>E1</t>
        </is>
      </c>
      <c r="D44" s="29" t="inlineStr">
        <is>
          <t>Band E · Enterprise leadership</t>
        </is>
      </c>
      <c r="E44" s="29" t="inlineStr">
        <is>
          <t>Chief Revenue Officer</t>
        </is>
      </c>
      <c r="F44" s="29" t="inlineStr">
        <is>
          <t>Bands D–E · Leadership</t>
        </is>
      </c>
      <c r="G44" s="29" t="inlineStr">
        <is>
          <t>Executive Leadership</t>
        </is>
      </c>
      <c r="H44" s="29" t="n">
        <v>1</v>
      </c>
      <c r="I44" s="29" t="inlineStr">
        <is>
          <t>Dixit Jasani</t>
        </is>
      </c>
      <c r="J44" s="34" t="str">
        <f>IFERROR(INDEX(RBD_C,MATCH("Executive Leadership|E1|DE",RBD_KEY,0)),"M")</f>
        <v>H</v>
      </c>
      <c r="K44" s="35" t="str">
        <f>IFERROR(INDEX(RBD_Au,MATCH("Executive Leadership|E1|DE",RBD_KEY,0)),"M")</f>
        <v>M</v>
      </c>
      <c r="L44" s="35" t="str">
        <f>IFERROR(INDEX(RBD_Ac,MATCH("Executive Leadership|E1|DE",RBD_KEY,0)),"M")</f>
        <v>M</v>
      </c>
      <c r="M44" s="35" t="str">
        <f>IFERROR(INDEX(RBD_L,MATCH("Executive Leadership|E1|DE",RBD_KEY,0)),"M")</f>
        <v>M</v>
      </c>
      <c r="N44" s="35" t="str">
        <f>IFERROR(INDEX(RBD_BI,MATCH("Executive Leadership|E1|DE",RBD_KEY,0)),"M")</f>
        <v>L</v>
      </c>
      <c r="O44" s="35" t="str">
        <f>IFERROR(INDEX(RBD_Exp,MATCH("Executive Leadership|E1|DE",RBD_KEY,0)),"M")</f>
        <v>L</v>
      </c>
      <c r="P44" s="35" t="str">
        <f>IFERROR(INDEX(RBD_Edu,MATCH("Executive Leadership|E1|DE",RBD_KEY,0)),"M")</f>
        <v>L</v>
      </c>
      <c r="Q44" s="73">
        <f>IF(J44="","",IFERROR(INDEX(LMH_PTS,MATCH(J44,LMH_KEY,0))/SUM(IFERROR(INDEX(LMH_PTS,MATCH(J44,LMH_KEY,0)),0),IFERROR(INDEX(LMH_PTS,MATCH(K44,LMH_KEY,0)),0),IFERROR(INDEX(LMH_PTS,MATCH(L44,LMH_KEY,0)),0),IFERROR(INDEX(LMH_PTS,MATCH(M44,LMH_KEY,0)),0),IFERROR(INDEX(LMH_PTS,MATCH(N44,LMH_KEY,0)),0),IFERROR(INDEX(LMH_PTS,MATCH(O44,LMH_KEY,0)),0),IFERROR(INDEX(LMH_PTS,MATCH(P44,LMH_KEY,0)),0)),""))</f>
        <v>0.428571428571429</v>
      </c>
      <c r="R44" s="74">
        <f>IF(K44="","",IFERROR(INDEX(LMH_PTS,MATCH(K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S44" s="74">
        <f>IF(L44="","",IFERROR(INDEX(LMH_PTS,MATCH(L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T44" s="74">
        <f>IF(M44="","",IFERROR(INDEX(LMH_PTS,MATCH(M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U44" s="74">
        <f>IF(N44="","",IFERROR(INDEX(LMH_PTS,MATCH(N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V44" s="74">
        <f>IF(O44="","",IFERROR(INDEX(LMH_PTS,MATCH(O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W44" s="74">
        <f>IF(P44="","",IFERROR(INDEX(LMH_PTS,MATCH(P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X44" s="44" t="n"/>
      <c r="Y44" s="38" t="inlineStr">
        <is>
          <t>CARBON|CRO - Carbon|Chief Revenue Officer|E1|DE</t>
        </is>
      </c>
    </row>
    <row r="45" ht="28" customHeight="1">
      <c r="A45" s="28" t="inlineStr">
        <is>
          <t>CARBON</t>
        </is>
      </c>
      <c r="B45" s="71" t="inlineStr">
        <is>
          <t>Customer Experience</t>
        </is>
      </c>
      <c r="C45" s="78" t="inlineStr">
        <is>
          <t>C2</t>
        </is>
      </c>
      <c r="D45" s="29" t="inlineStr">
        <is>
          <t>Band C · Principal / Head</t>
        </is>
      </c>
      <c r="E45" s="29" t="inlineStr">
        <is>
          <t>Senior Vice President – Customer Experience</t>
        </is>
      </c>
      <c r="F45" s="29" t="inlineStr">
        <is>
          <t>Band C · Head / manager</t>
        </is>
      </c>
      <c r="G45" s="29" t="inlineStr">
        <is>
          <t>Executive Leadership</t>
        </is>
      </c>
      <c r="H45" s="29" t="n">
        <v>1</v>
      </c>
      <c r="I45" s="29" t="inlineStr">
        <is>
          <t>Suman Adhikary</t>
        </is>
      </c>
      <c r="J45" s="34" t="str">
        <f>IFERROR(INDEX(RBD_C,MATCH("Executive Leadership|C2|C-M",RBD_KEY,0)),"M")</f>
        <v>H</v>
      </c>
      <c r="K45" s="35" t="str">
        <f>IFERROR(INDEX(RBD_Au,MATCH("Executive Leadership|C2|C-M",RBD_KEY,0)),"M")</f>
        <v>M</v>
      </c>
      <c r="L45" s="35" t="str">
        <f>IFERROR(INDEX(RBD_Ac,MATCH("Executive Leadership|C2|C-M",RBD_KEY,0)),"M")</f>
        <v>M</v>
      </c>
      <c r="M45" s="35" t="str">
        <f>IFERROR(INDEX(RBD_L,MATCH("Executive Leadership|C2|C-M",RBD_KEY,0)),"M")</f>
        <v>M</v>
      </c>
      <c r="N45" s="35" t="str">
        <f>IFERROR(INDEX(RBD_BI,MATCH("Executive Leadership|C2|C-M",RBD_KEY,0)),"M")</f>
        <v>L</v>
      </c>
      <c r="O45" s="35" t="str">
        <f>IFERROR(INDEX(RBD_Exp,MATCH("Executive Leadership|C2|C-M",RBD_KEY,0)),"M")</f>
        <v>L</v>
      </c>
      <c r="P45" s="35" t="str">
        <f>IFERROR(INDEX(RBD_Edu,MATCH("Executive Leadership|C2|C-M",RBD_KEY,0)),"M")</f>
        <v>L</v>
      </c>
      <c r="Q45" s="73">
        <f>IF(J45="","",IFERROR(INDEX(LMH_PTS,MATCH(J45,LMH_KEY,0))/SUM(IFERROR(INDEX(LMH_PTS,MATCH(J45,LMH_KEY,0)),0),IFERROR(INDEX(LMH_PTS,MATCH(K45,LMH_KEY,0)),0),IFERROR(INDEX(LMH_PTS,MATCH(L45,LMH_KEY,0)),0),IFERROR(INDEX(LMH_PTS,MATCH(M45,LMH_KEY,0)),0),IFERROR(INDEX(LMH_PTS,MATCH(N45,LMH_KEY,0)),0),IFERROR(INDEX(LMH_PTS,MATCH(O45,LMH_KEY,0)),0),IFERROR(INDEX(LMH_PTS,MATCH(P45,LMH_KEY,0)),0)),""))</f>
        <v>0.428571428571429</v>
      </c>
      <c r="R45" s="74">
        <f>IF(K45="","",IFERROR(INDEX(LMH_PTS,MATCH(K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S45" s="74">
        <f>IF(L45="","",IFERROR(INDEX(LMH_PTS,MATCH(L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T45" s="74">
        <f>IF(M45="","",IFERROR(INDEX(LMH_PTS,MATCH(M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U45" s="74">
        <f>IF(N45="","",IFERROR(INDEX(LMH_PTS,MATCH(N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V45" s="74">
        <f>IF(O45="","",IFERROR(INDEX(LMH_PTS,MATCH(O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W45" s="74">
        <f>IF(P45="","",IFERROR(INDEX(LMH_PTS,MATCH(P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X45" s="44" t="n"/>
      <c r="Y45" s="38" t="inlineStr">
        <is>
          <t>CARBON|Customer Experience|Senior Vice President – Customer Experience|C2|C-M</t>
        </is>
      </c>
    </row>
    <row r="46" ht="28" customHeight="1">
      <c r="A46" s="28" t="inlineStr">
        <is>
          <t>CARBON</t>
        </is>
      </c>
      <c r="B46" s="71" t="inlineStr">
        <is>
          <t>Digitizing</t>
        </is>
      </c>
      <c r="C46" s="72" t="inlineStr">
        <is>
          <t>B2</t>
        </is>
      </c>
      <c r="D46" s="29" t="inlineStr">
        <is>
          <t>Band B · Specialist / Manager</t>
        </is>
      </c>
      <c r="E46" s="29" t="inlineStr">
        <is>
          <t>Associate Head – Digitization</t>
        </is>
      </c>
      <c r="F46" s="29" t="inlineStr">
        <is>
          <t>Band B · People Manager</t>
        </is>
      </c>
      <c r="G46" s="29" t="inlineStr">
        <is>
          <t>Executive Leadership</t>
        </is>
      </c>
      <c r="H46" s="29" t="n">
        <v>1</v>
      </c>
      <c r="I46" s="29" t="inlineStr">
        <is>
          <t>Vijay Parulekar</t>
        </is>
      </c>
      <c r="J46" s="34" t="str">
        <f>IFERROR(INDEX(RBD_C,MATCH("Executive Leadership|B2|B-M",RBD_KEY,0)),"M")</f>
        <v>H</v>
      </c>
      <c r="K46" s="35" t="str">
        <f>IFERROR(INDEX(RBD_Au,MATCH("Executive Leadership|B2|B-M",RBD_KEY,0)),"M")</f>
        <v>M</v>
      </c>
      <c r="L46" s="35" t="str">
        <f>IFERROR(INDEX(RBD_Ac,MATCH("Executive Leadership|B2|B-M",RBD_KEY,0)),"M")</f>
        <v>M</v>
      </c>
      <c r="M46" s="35" t="str">
        <f>IFERROR(INDEX(RBD_L,MATCH("Executive Leadership|B2|B-M",RBD_KEY,0)),"M")</f>
        <v>M</v>
      </c>
      <c r="N46" s="35" t="str">
        <f>IFERROR(INDEX(RBD_BI,MATCH("Executive Leadership|B2|B-M",RBD_KEY,0)),"M")</f>
        <v>L</v>
      </c>
      <c r="O46" s="35" t="str">
        <f>IFERROR(INDEX(RBD_Exp,MATCH("Executive Leadership|B2|B-M",RBD_KEY,0)),"M")</f>
        <v>L</v>
      </c>
      <c r="P46" s="35" t="str">
        <f>IFERROR(INDEX(RBD_Edu,MATCH("Executive Leadership|B2|B-M",RBD_KEY,0)),"M")</f>
        <v>L</v>
      </c>
      <c r="Q46" s="73">
        <f>IF(J46="","",IFERROR(INDEX(LMH_PTS,MATCH(J46,LMH_KEY,0))/SUM(IFERROR(INDEX(LMH_PTS,MATCH(J46,LMH_KEY,0)),0),IFERROR(INDEX(LMH_PTS,MATCH(K46,LMH_KEY,0)),0),IFERROR(INDEX(LMH_PTS,MATCH(L46,LMH_KEY,0)),0),IFERROR(INDEX(LMH_PTS,MATCH(M46,LMH_KEY,0)),0),IFERROR(INDEX(LMH_PTS,MATCH(N46,LMH_KEY,0)),0),IFERROR(INDEX(LMH_PTS,MATCH(O46,LMH_KEY,0)),0),IFERROR(INDEX(LMH_PTS,MATCH(P46,LMH_KEY,0)),0)),""))</f>
        <v>0.428571428571429</v>
      </c>
      <c r="R46" s="74">
        <f>IF(K46="","",IFERROR(INDEX(LMH_PTS,MATCH(K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S46" s="74">
        <f>IF(L46="","",IFERROR(INDEX(LMH_PTS,MATCH(L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T46" s="74">
        <f>IF(M46="","",IFERROR(INDEX(LMH_PTS,MATCH(M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U46" s="74">
        <f>IF(N46="","",IFERROR(INDEX(LMH_PTS,MATCH(N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V46" s="74">
        <f>IF(O46="","",IFERROR(INDEX(LMH_PTS,MATCH(O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W46" s="74">
        <f>IF(P46="","",IFERROR(INDEX(LMH_PTS,MATCH(P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X46" s="44" t="n"/>
      <c r="Y46" s="38" t="inlineStr">
        <is>
          <t>CARBON|Digitizing|Associate Head – Digitization|B2|B-M</t>
        </is>
      </c>
    </row>
    <row r="47" ht="28" customHeight="1">
      <c r="A47" s="28" t="inlineStr">
        <is>
          <t>CARBON</t>
        </is>
      </c>
      <c r="B47" s="29" t="inlineStr">
        <is>
          <t>Digitizing</t>
        </is>
      </c>
      <c r="C47" s="72" t="inlineStr">
        <is>
          <t>B1</t>
        </is>
      </c>
      <c r="D47" s="29" t="inlineStr">
        <is>
          <t>Band B · Specialist / Manager</t>
        </is>
      </c>
      <c r="E47" s="29" t="inlineStr">
        <is>
          <t>Customer Enablement Specialist – POD Lead</t>
        </is>
      </c>
      <c r="F47" s="29" t="inlineStr">
        <is>
          <t>Band B · Specialist / POD Lead</t>
        </is>
      </c>
      <c r="G47" s="29" t="inlineStr">
        <is>
          <t>Customer Success &amp; Support</t>
        </is>
      </c>
      <c r="H47" s="29" t="n">
        <v>1</v>
      </c>
      <c r="I47" s="29" t="inlineStr">
        <is>
          <t>Datta Hatagale</t>
        </is>
      </c>
      <c r="J47" s="34" t="str">
        <f>IFERROR(INDEX(RBD_C,MATCH("Customer Success &amp; Support|B1|B-IC",RBD_KEY,0)),"M")</f>
        <v>H</v>
      </c>
      <c r="K47" s="35" t="str">
        <f>IFERROR(INDEX(RBD_Au,MATCH("Customer Success &amp; Support|B1|B-IC",RBD_KEY,0)),"M")</f>
        <v>M</v>
      </c>
      <c r="L47" s="35" t="str">
        <f>IFERROR(INDEX(RBD_Ac,MATCH("Customer Success &amp; Support|B1|B-IC",RBD_KEY,0)),"M")</f>
        <v>M</v>
      </c>
      <c r="M47" s="35" t="str">
        <f>IFERROR(INDEX(RBD_L,MATCH("Customer Success &amp; Support|B1|B-IC",RBD_KEY,0)),"M")</f>
        <v>L</v>
      </c>
      <c r="N47" s="35" t="str">
        <f>IFERROR(INDEX(RBD_BI,MATCH("Customer Success &amp; Support|B1|B-IC",RBD_KEY,0)),"M")</f>
        <v>M</v>
      </c>
      <c r="O47" s="35" t="str">
        <f>IFERROR(INDEX(RBD_Exp,MATCH("Customer Success &amp; Support|B1|B-IC",RBD_KEY,0)),"M")</f>
        <v>L</v>
      </c>
      <c r="P47" s="35" t="str">
        <f>IFERROR(INDEX(RBD_Edu,MATCH("Customer Success &amp; Support|B1|B-IC",RBD_KEY,0)),"M")</f>
        <v>L</v>
      </c>
      <c r="Q47" s="73">
        <f>IF(J47="","",IFERROR(INDEX(LMH_PTS,MATCH(J47,LMH_KEY,0))/SUM(IFERROR(INDEX(LMH_PTS,MATCH(J47,LMH_KEY,0)),0),IFERROR(INDEX(LMH_PTS,MATCH(K47,LMH_KEY,0)),0),IFERROR(INDEX(LMH_PTS,MATCH(L47,LMH_KEY,0)),0),IFERROR(INDEX(LMH_PTS,MATCH(M47,LMH_KEY,0)),0),IFERROR(INDEX(LMH_PTS,MATCH(N47,LMH_KEY,0)),0),IFERROR(INDEX(LMH_PTS,MATCH(O47,LMH_KEY,0)),0),IFERROR(INDEX(LMH_PTS,MATCH(P47,LMH_KEY,0)),0)),""))</f>
        <v>0.428571428571429</v>
      </c>
      <c r="R47" s="74">
        <f>IF(K47="","",IFERROR(INDEX(LMH_PTS,MATCH(K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S47" s="74">
        <f>IF(L47="","",IFERROR(INDEX(LMH_PTS,MATCH(L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T47" s="74">
        <f>IF(M47="","",IFERROR(INDEX(LMH_PTS,MATCH(M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U47" s="74">
        <f>IF(N47="","",IFERROR(INDEX(LMH_PTS,MATCH(N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V47" s="74">
        <f>IF(O47="","",IFERROR(INDEX(LMH_PTS,MATCH(O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W47" s="74">
        <f>IF(P47="","",IFERROR(INDEX(LMH_PTS,MATCH(P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X47" s="44" t="n"/>
      <c r="Y47" s="38" t="inlineStr">
        <is>
          <t>CARBON|Digitizing|Customer Enablement Specialist – POD Lead|B1|B-IC</t>
        </is>
      </c>
    </row>
    <row r="48" ht="18" customHeight="1">
      <c r="A48" s="28" t="inlineStr">
        <is>
          <t>CARBON</t>
        </is>
      </c>
      <c r="B48" s="29" t="inlineStr">
        <is>
          <t>Digitizing</t>
        </is>
      </c>
      <c r="C48" s="72" t="inlineStr">
        <is>
          <t>B1</t>
        </is>
      </c>
      <c r="D48" s="29" t="inlineStr">
        <is>
          <t>Band B · Specialist / Manager</t>
        </is>
      </c>
      <c r="E48" s="29" t="inlineStr">
        <is>
          <t>Digitization Manager</t>
        </is>
      </c>
      <c r="F48" s="29" t="inlineStr">
        <is>
          <t>Band B · People Manager</t>
        </is>
      </c>
      <c r="G48" s="29" t="inlineStr">
        <is>
          <t>Data Operations &amp; Digitization</t>
        </is>
      </c>
      <c r="H48" s="29" t="n">
        <v>1</v>
      </c>
      <c r="I48" s="29" t="inlineStr">
        <is>
          <t>Janardan Bale</t>
        </is>
      </c>
      <c r="J48" s="34" t="str">
        <f>IFERROR(INDEX(RBD_C,MATCH("Data Operations &amp; Digitization|B1|B-M",RBD_KEY,0)),"M")</f>
        <v>H</v>
      </c>
      <c r="K48" s="35" t="str">
        <f>IFERROR(INDEX(RBD_Au,MATCH("Data Operations &amp; Digitization|B1|B-M",RBD_KEY,0)),"M")</f>
        <v>M</v>
      </c>
      <c r="L48" s="35" t="str">
        <f>IFERROR(INDEX(RBD_Ac,MATCH("Data Operations &amp; Digitization|B1|B-M",RBD_KEY,0)),"M")</f>
        <v>M</v>
      </c>
      <c r="M48" s="35" t="str">
        <f>IFERROR(INDEX(RBD_L,MATCH("Data Operations &amp; Digitization|B1|B-M",RBD_KEY,0)),"M")</f>
        <v>M</v>
      </c>
      <c r="N48" s="35" t="str">
        <f>IFERROR(INDEX(RBD_BI,MATCH("Data Operations &amp; Digitization|B1|B-M",RBD_KEY,0)),"M")</f>
        <v>L</v>
      </c>
      <c r="O48" s="35" t="str">
        <f>IFERROR(INDEX(RBD_Exp,MATCH("Data Operations &amp; Digitization|B1|B-M",RBD_KEY,0)),"M")</f>
        <v>L</v>
      </c>
      <c r="P48" s="35" t="str">
        <f>IFERROR(INDEX(RBD_Edu,MATCH("Data Operations &amp; Digitization|B1|B-M",RBD_KEY,0)),"M")</f>
        <v>L</v>
      </c>
      <c r="Q48" s="73">
        <f>IF(J48="","",IFERROR(INDEX(LMH_PTS,MATCH(J48,LMH_KEY,0))/SUM(IFERROR(INDEX(LMH_PTS,MATCH(J48,LMH_KEY,0)),0),IFERROR(INDEX(LMH_PTS,MATCH(K48,LMH_KEY,0)),0),IFERROR(INDEX(LMH_PTS,MATCH(L48,LMH_KEY,0)),0),IFERROR(INDEX(LMH_PTS,MATCH(M48,LMH_KEY,0)),0),IFERROR(INDEX(LMH_PTS,MATCH(N48,LMH_KEY,0)),0),IFERROR(INDEX(LMH_PTS,MATCH(O48,LMH_KEY,0)),0),IFERROR(INDEX(LMH_PTS,MATCH(P48,LMH_KEY,0)),0)),""))</f>
        <v>0.428571428571429</v>
      </c>
      <c r="R48" s="74">
        <f>IF(K48="","",IFERROR(INDEX(LMH_PTS,MATCH(K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S48" s="74">
        <f>IF(L48="","",IFERROR(INDEX(LMH_PTS,MATCH(L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T48" s="74">
        <f>IF(M48="","",IFERROR(INDEX(LMH_PTS,MATCH(M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U48" s="74">
        <f>IF(N48="","",IFERROR(INDEX(LMH_PTS,MATCH(N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V48" s="74">
        <f>IF(O48="","",IFERROR(INDEX(LMH_PTS,MATCH(O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W48" s="74">
        <f>IF(P48="","",IFERROR(INDEX(LMH_PTS,MATCH(P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X48" s="44" t="n"/>
      <c r="Y48" s="38" t="inlineStr">
        <is>
          <t>CARBON|Digitizing|Digitization Manager|B1|B-M</t>
        </is>
      </c>
    </row>
    <row r="49" ht="28" customHeight="1">
      <c r="A49" s="28" t="inlineStr">
        <is>
          <t>CARBON</t>
        </is>
      </c>
      <c r="B49" s="29" t="inlineStr">
        <is>
          <t>Digitizing</t>
        </is>
      </c>
      <c r="C49" s="72" t="inlineStr">
        <is>
          <t>B1</t>
        </is>
      </c>
      <c r="D49" s="29" t="inlineStr">
        <is>
          <t>Band B · Specialist / Manager</t>
        </is>
      </c>
      <c r="E49" s="29" t="inlineStr">
        <is>
          <t>Digitization Specialist – POD Lead</t>
        </is>
      </c>
      <c r="F49" s="29" t="inlineStr">
        <is>
          <t>Band B · Specialist / POD Lead</t>
        </is>
      </c>
      <c r="G49" s="29" t="inlineStr">
        <is>
          <t>Data Operations &amp; Digitization</t>
        </is>
      </c>
      <c r="H49" s="29" t="n">
        <v>1</v>
      </c>
      <c r="I49" s="29" t="inlineStr">
        <is>
          <t>Prajakta Mokal</t>
        </is>
      </c>
      <c r="J49" s="34" t="str">
        <f>IFERROR(INDEX(RBD_C,MATCH("Data Operations &amp; Digitization|B1|B-IC",RBD_KEY,0)),"M")</f>
        <v>H</v>
      </c>
      <c r="K49" s="35" t="str">
        <f>IFERROR(INDEX(RBD_Au,MATCH("Data Operations &amp; Digitization|B1|B-IC",RBD_KEY,0)),"M")</f>
        <v>M</v>
      </c>
      <c r="L49" s="35" t="str">
        <f>IFERROR(INDEX(RBD_Ac,MATCH("Data Operations &amp; Digitization|B1|B-IC",RBD_KEY,0)),"M")</f>
        <v>M</v>
      </c>
      <c r="M49" s="35" t="str">
        <f>IFERROR(INDEX(RBD_L,MATCH("Data Operations &amp; Digitization|B1|B-IC",RBD_KEY,0)),"M")</f>
        <v>L</v>
      </c>
      <c r="N49" s="35" t="str">
        <f>IFERROR(INDEX(RBD_BI,MATCH("Data Operations &amp; Digitization|B1|B-IC",RBD_KEY,0)),"M")</f>
        <v>L</v>
      </c>
      <c r="O49" s="35" t="str">
        <f>IFERROR(INDEX(RBD_Exp,MATCH("Data Operations &amp; Digitization|B1|B-IC",RBD_KEY,0)),"M")</f>
        <v>L</v>
      </c>
      <c r="P49" s="35" t="str">
        <f>IFERROR(INDEX(RBD_Edu,MATCH("Data Operations &amp; Digitization|B1|B-IC",RBD_KEY,0)),"M")</f>
        <v>L</v>
      </c>
      <c r="Q49" s="73">
        <f>IF(J49="","",IFERROR(INDEX(LMH_PTS,MATCH(J49,LMH_KEY,0))/SUM(IFERROR(INDEX(LMH_PTS,MATCH(J49,LMH_KEY,0)),0),IFERROR(INDEX(LMH_PTS,MATCH(K49,LMH_KEY,0)),0),IFERROR(INDEX(LMH_PTS,MATCH(L49,LMH_KEY,0)),0),IFERROR(INDEX(LMH_PTS,MATCH(M49,LMH_KEY,0)),0),IFERROR(INDEX(LMH_PTS,MATCH(N49,LMH_KEY,0)),0),IFERROR(INDEX(LMH_PTS,MATCH(O49,LMH_KEY,0)),0),IFERROR(INDEX(LMH_PTS,MATCH(P49,LMH_KEY,0)),0)),""))</f>
        <v>0.473684210526316</v>
      </c>
      <c r="R49" s="74">
        <f>IF(K49="","",IFERROR(INDEX(LMH_PTS,MATCH(K49,LMH_KEY,0))/SUM(IFERROR(INDEX(LMH_PTS,MATCH(J49,LMH_KEY,0)),0),IFERROR(INDEX(LMH_PTS,MATCH(K49,LMH_KEY,0)),0),IFERROR(INDEX(LMH_PTS,MATCH(L49,LMH_KEY,0)),0),IFERROR(INDEX(LMH_PTS,MATCH(M49,LMH_KEY,0)),0),IFERROR(INDEX(LMH_PTS,MATCH(N49,LMH_KEY,0)),0),IFERROR(INDEX(LMH_PTS,MATCH(O49,LMH_KEY,0)),0),IFERROR(INDEX(LMH_PTS,MATCH(P49,LMH_KEY,0)),0)),""))</f>
        <v>0.157894736842105</v>
      </c>
      <c r="S49" s="74">
        <f>IF(L49="","",IFERROR(INDEX(LMH_PTS,MATCH(L49,LMH_KEY,0))/SUM(IFERROR(INDEX(LMH_PTS,MATCH(J49,LMH_KEY,0)),0),IFERROR(INDEX(LMH_PTS,MATCH(K49,LMH_KEY,0)),0),IFERROR(INDEX(LMH_PTS,MATCH(L49,LMH_KEY,0)),0),IFERROR(INDEX(LMH_PTS,MATCH(M49,LMH_KEY,0)),0),IFERROR(INDEX(LMH_PTS,MATCH(N49,LMH_KEY,0)),0),IFERROR(INDEX(LMH_PTS,MATCH(O49,LMH_KEY,0)),0),IFERROR(INDEX(LMH_PTS,MATCH(P49,LMH_KEY,0)),0)),""))</f>
        <v>0.157894736842105</v>
      </c>
      <c r="T49" s="74">
        <f>IF(M49="","",IFERROR(INDEX(LMH_PTS,MATCH(M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U49" s="74">
        <f>IF(N49="","",IFERROR(INDEX(LMH_PTS,MATCH(N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V49" s="74">
        <f>IF(O49="","",IFERROR(INDEX(LMH_PTS,MATCH(O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W49" s="74">
        <f>IF(P49="","",IFERROR(INDEX(LMH_PTS,MATCH(P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X49" s="44" t="n"/>
      <c r="Y49" s="38" t="inlineStr">
        <is>
          <t>CARBON|Digitizing|Digitization Specialist – POD Lead|B1|B-IC</t>
        </is>
      </c>
    </row>
    <row r="50" ht="18" customHeight="1">
      <c r="A50" s="28" t="inlineStr">
        <is>
          <t>CARBON</t>
        </is>
      </c>
      <c r="B50" s="29" t="inlineStr">
        <is>
          <t>Digitizing</t>
        </is>
      </c>
      <c r="C50" s="72" t="inlineStr">
        <is>
          <t>B1</t>
        </is>
      </c>
      <c r="D50" s="29" t="inlineStr">
        <is>
          <t>Band B · Specialist / Manager</t>
        </is>
      </c>
      <c r="E50" s="29" t="inlineStr">
        <is>
          <t>Team Lead – Digitization</t>
        </is>
      </c>
      <c r="F50" s="29" t="inlineStr">
        <is>
          <t>Band B · People Manager</t>
        </is>
      </c>
      <c r="G50" s="29" t="inlineStr">
        <is>
          <t>Data Operations &amp; Digitization</t>
        </is>
      </c>
      <c r="H50" s="29" t="n">
        <v>1</v>
      </c>
      <c r="I50" s="29" t="inlineStr">
        <is>
          <t>Dinesh Sharma</t>
        </is>
      </c>
      <c r="J50" s="34" t="str">
        <f>IFERROR(INDEX(RBD_C,MATCH("Data Operations &amp; Digitization|B1|B-M",RBD_KEY,0)),"M")</f>
        <v>H</v>
      </c>
      <c r="K50" s="35" t="str">
        <f>IFERROR(INDEX(RBD_Au,MATCH("Data Operations &amp; Digitization|B1|B-M",RBD_KEY,0)),"M")</f>
        <v>M</v>
      </c>
      <c r="L50" s="35" t="str">
        <f>IFERROR(INDEX(RBD_Ac,MATCH("Data Operations &amp; Digitization|B1|B-M",RBD_KEY,0)),"M")</f>
        <v>M</v>
      </c>
      <c r="M50" s="35" t="str">
        <f>IFERROR(INDEX(RBD_L,MATCH("Data Operations &amp; Digitization|B1|B-M",RBD_KEY,0)),"M")</f>
        <v>M</v>
      </c>
      <c r="N50" s="35" t="str">
        <f>IFERROR(INDEX(RBD_BI,MATCH("Data Operations &amp; Digitization|B1|B-M",RBD_KEY,0)),"M")</f>
        <v>L</v>
      </c>
      <c r="O50" s="35" t="str">
        <f>IFERROR(INDEX(RBD_Exp,MATCH("Data Operations &amp; Digitization|B1|B-M",RBD_KEY,0)),"M")</f>
        <v>L</v>
      </c>
      <c r="P50" s="35" t="str">
        <f>IFERROR(INDEX(RBD_Edu,MATCH("Data Operations &amp; Digitization|B1|B-M",RBD_KEY,0)),"M")</f>
        <v>L</v>
      </c>
      <c r="Q50" s="73">
        <f>IF(J50="","",IFERROR(INDEX(LMH_PTS,MATCH(J50,LMH_KEY,0))/SUM(IFERROR(INDEX(LMH_PTS,MATCH(J50,LMH_KEY,0)),0),IFERROR(INDEX(LMH_PTS,MATCH(K50,LMH_KEY,0)),0),IFERROR(INDEX(LMH_PTS,MATCH(L50,LMH_KEY,0)),0),IFERROR(INDEX(LMH_PTS,MATCH(M50,LMH_KEY,0)),0),IFERROR(INDEX(LMH_PTS,MATCH(N50,LMH_KEY,0)),0),IFERROR(INDEX(LMH_PTS,MATCH(O50,LMH_KEY,0)),0),IFERROR(INDEX(LMH_PTS,MATCH(P50,LMH_KEY,0)),0)),""))</f>
        <v>0.428571428571429</v>
      </c>
      <c r="R50" s="74">
        <f>IF(K50="","",IFERROR(INDEX(LMH_PTS,MATCH(K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S50" s="74">
        <f>IF(L50="","",IFERROR(INDEX(LMH_PTS,MATCH(L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T50" s="74">
        <f>IF(M50="","",IFERROR(INDEX(LMH_PTS,MATCH(M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U50" s="74">
        <f>IF(N50="","",IFERROR(INDEX(LMH_PTS,MATCH(N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V50" s="74">
        <f>IF(O50="","",IFERROR(INDEX(LMH_PTS,MATCH(O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W50" s="74">
        <f>IF(P50="","",IFERROR(INDEX(LMH_PTS,MATCH(P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X50" s="44" t="n"/>
      <c r="Y50" s="38" t="inlineStr">
        <is>
          <t>CARBON|Digitizing|Team Lead – Digitization|B1|B-M</t>
        </is>
      </c>
    </row>
    <row r="51" ht="28" customHeight="1">
      <c r="A51" s="28" t="inlineStr">
        <is>
          <t>CARBON</t>
        </is>
      </c>
      <c r="B51" s="29" t="inlineStr">
        <is>
          <t>Digitizing</t>
        </is>
      </c>
      <c r="C51" s="75" t="inlineStr">
        <is>
          <t>A3</t>
        </is>
      </c>
      <c r="D51" s="29" t="inlineStr">
        <is>
          <t>Band A · Practitioner</t>
        </is>
      </c>
      <c r="E51" s="29" t="inlineStr">
        <is>
          <t>Digitization Specialist – POD Lead</t>
        </is>
      </c>
      <c r="F51" s="29" t="inlineStr">
        <is>
          <t>Band A · all tracks</t>
        </is>
      </c>
      <c r="G51" s="29" t="inlineStr">
        <is>
          <t>Data Operations &amp; Digitization</t>
        </is>
      </c>
      <c r="H51" s="29" t="n">
        <v>2</v>
      </c>
      <c r="I51" s="29" t="inlineStr">
        <is>
          <t>Tejas Kat, Ritesh Yeram</t>
        </is>
      </c>
      <c r="J51" s="34" t="str">
        <f>IFERROR(INDEX(RBD_C,MATCH("Data Operations &amp; Digitization|A3|A",RBD_KEY,0)),"M")</f>
        <v>H</v>
      </c>
      <c r="K51" s="35" t="str">
        <f>IFERROR(INDEX(RBD_Au,MATCH("Data Operations &amp; Digitization|A3|A",RBD_KEY,0)),"M")</f>
        <v>M</v>
      </c>
      <c r="L51" s="35" t="str">
        <f>IFERROR(INDEX(RBD_Ac,MATCH("Data Operations &amp; Digitization|A3|A",RBD_KEY,0)),"M")</f>
        <v>M</v>
      </c>
      <c r="M51" s="35" t="str">
        <f>IFERROR(INDEX(RBD_L,MATCH("Data Operations &amp; Digitization|A3|A",RBD_KEY,0)),"M")</f>
        <v>L</v>
      </c>
      <c r="N51" s="35" t="str">
        <f>IFERROR(INDEX(RBD_BI,MATCH("Data Operations &amp; Digitization|A3|A",RBD_KEY,0)),"M")</f>
        <v>L</v>
      </c>
      <c r="O51" s="35" t="str">
        <f>IFERROR(INDEX(RBD_Exp,MATCH("Data Operations &amp; Digitization|A3|A",RBD_KEY,0)),"M")</f>
        <v>L</v>
      </c>
      <c r="P51" s="35" t="str">
        <f>IFERROR(INDEX(RBD_Edu,MATCH("Data Operations &amp; Digitization|A3|A",RBD_KEY,0)),"M")</f>
        <v>L</v>
      </c>
      <c r="Q51" s="73">
        <f>IF(J51="","",IFERROR(INDEX(LMH_PTS,MATCH(J51,LMH_KEY,0))/SUM(IFERROR(INDEX(LMH_PTS,MATCH(J51,LMH_KEY,0)),0),IFERROR(INDEX(LMH_PTS,MATCH(K51,LMH_KEY,0)),0),IFERROR(INDEX(LMH_PTS,MATCH(L51,LMH_KEY,0)),0),IFERROR(INDEX(LMH_PTS,MATCH(M51,LMH_KEY,0)),0),IFERROR(INDEX(LMH_PTS,MATCH(N51,LMH_KEY,0)),0),IFERROR(INDEX(LMH_PTS,MATCH(O51,LMH_KEY,0)),0),IFERROR(INDEX(LMH_PTS,MATCH(P51,LMH_KEY,0)),0)),""))</f>
        <v>0.473684210526316</v>
      </c>
      <c r="R51" s="74">
        <f>IF(K51="","",IFERROR(INDEX(LMH_PTS,MATCH(K51,LMH_KEY,0))/SUM(IFERROR(INDEX(LMH_PTS,MATCH(J51,LMH_KEY,0)),0),IFERROR(INDEX(LMH_PTS,MATCH(K51,LMH_KEY,0)),0),IFERROR(INDEX(LMH_PTS,MATCH(L51,LMH_KEY,0)),0),IFERROR(INDEX(LMH_PTS,MATCH(M51,LMH_KEY,0)),0),IFERROR(INDEX(LMH_PTS,MATCH(N51,LMH_KEY,0)),0),IFERROR(INDEX(LMH_PTS,MATCH(O51,LMH_KEY,0)),0),IFERROR(INDEX(LMH_PTS,MATCH(P51,LMH_KEY,0)),0)),""))</f>
        <v>0.157894736842105</v>
      </c>
      <c r="S51" s="74">
        <f>IF(L51="","",IFERROR(INDEX(LMH_PTS,MATCH(L51,LMH_KEY,0))/SUM(IFERROR(INDEX(LMH_PTS,MATCH(J51,LMH_KEY,0)),0),IFERROR(INDEX(LMH_PTS,MATCH(K51,LMH_KEY,0)),0),IFERROR(INDEX(LMH_PTS,MATCH(L51,LMH_KEY,0)),0),IFERROR(INDEX(LMH_PTS,MATCH(M51,LMH_KEY,0)),0),IFERROR(INDEX(LMH_PTS,MATCH(N51,LMH_KEY,0)),0),IFERROR(INDEX(LMH_PTS,MATCH(O51,LMH_KEY,0)),0),IFERROR(INDEX(LMH_PTS,MATCH(P51,LMH_KEY,0)),0)),""))</f>
        <v>0.157894736842105</v>
      </c>
      <c r="T51" s="74">
        <f>IF(M51="","",IFERROR(INDEX(LMH_PTS,MATCH(M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U51" s="74">
        <f>IF(N51="","",IFERROR(INDEX(LMH_PTS,MATCH(N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V51" s="74">
        <f>IF(O51="","",IFERROR(INDEX(LMH_PTS,MATCH(O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W51" s="74">
        <f>IF(P51="","",IFERROR(INDEX(LMH_PTS,MATCH(P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X51" s="44" t="n"/>
      <c r="Y51" s="38" t="inlineStr">
        <is>
          <t>CARBON|Digitizing|Digitization Specialist – POD Lead|A3|A</t>
        </is>
      </c>
    </row>
    <row r="52" ht="78" customHeight="1">
      <c r="A52" s="28" t="inlineStr">
        <is>
          <t>CARBON</t>
        </is>
      </c>
      <c r="B52" s="29" t="inlineStr">
        <is>
          <t>Digitizing</t>
        </is>
      </c>
      <c r="C52" s="75" t="inlineStr">
        <is>
          <t>A3</t>
        </is>
      </c>
      <c r="D52" s="29" t="inlineStr">
        <is>
          <t>Band A · Practitioner</t>
        </is>
      </c>
      <c r="E52" s="29" t="inlineStr">
        <is>
          <t>Senior Digitization Associate</t>
        </is>
      </c>
      <c r="F52" s="29" t="inlineStr">
        <is>
          <t>Band A · all tracks</t>
        </is>
      </c>
      <c r="G52" s="29" t="inlineStr">
        <is>
          <t>Data Operations &amp; Digitization</t>
        </is>
      </c>
      <c r="H52" s="29" t="n">
        <v>10</v>
      </c>
      <c r="I52" s="29" t="inlineStr">
        <is>
          <t>Bhavesh Gusain, Deepak Nirmal, Gaurav Yashwant Chaulkar, Samiksha Ramdas Bhabal, Aishwarya Chaulkar, Shravan Ghadi, Siddhesh Manjrekar, Farina Pathan, Vanita Gaikwad, Saurav Nirmal</t>
        </is>
      </c>
      <c r="J52" s="34" t="str">
        <f>IFERROR(INDEX(RBD_C,MATCH("Data Operations &amp; Digitization|A3|A",RBD_KEY,0)),"M")</f>
        <v>H</v>
      </c>
      <c r="K52" s="35" t="str">
        <f>IFERROR(INDEX(RBD_Au,MATCH("Data Operations &amp; Digitization|A3|A",RBD_KEY,0)),"M")</f>
        <v>M</v>
      </c>
      <c r="L52" s="35" t="str">
        <f>IFERROR(INDEX(RBD_Ac,MATCH("Data Operations &amp; Digitization|A3|A",RBD_KEY,0)),"M")</f>
        <v>M</v>
      </c>
      <c r="M52" s="35" t="str">
        <f>IFERROR(INDEX(RBD_L,MATCH("Data Operations &amp; Digitization|A3|A",RBD_KEY,0)),"M")</f>
        <v>L</v>
      </c>
      <c r="N52" s="35" t="str">
        <f>IFERROR(INDEX(RBD_BI,MATCH("Data Operations &amp; Digitization|A3|A",RBD_KEY,0)),"M")</f>
        <v>L</v>
      </c>
      <c r="O52" s="35" t="str">
        <f>IFERROR(INDEX(RBD_Exp,MATCH("Data Operations &amp; Digitization|A3|A",RBD_KEY,0)),"M")</f>
        <v>L</v>
      </c>
      <c r="P52" s="35" t="str">
        <f>IFERROR(INDEX(RBD_Edu,MATCH("Data Operations &amp; Digitization|A3|A",RBD_KEY,0)),"M")</f>
        <v>L</v>
      </c>
      <c r="Q52" s="73">
        <f>IF(J52="","",IFERROR(INDEX(LMH_PTS,MATCH(J52,LMH_KEY,0))/SUM(IFERROR(INDEX(LMH_PTS,MATCH(J52,LMH_KEY,0)),0),IFERROR(INDEX(LMH_PTS,MATCH(K52,LMH_KEY,0)),0),IFERROR(INDEX(LMH_PTS,MATCH(L52,LMH_KEY,0)),0),IFERROR(INDEX(LMH_PTS,MATCH(M52,LMH_KEY,0)),0),IFERROR(INDEX(LMH_PTS,MATCH(N52,LMH_KEY,0)),0),IFERROR(INDEX(LMH_PTS,MATCH(O52,LMH_KEY,0)),0),IFERROR(INDEX(LMH_PTS,MATCH(P52,LMH_KEY,0)),0)),""))</f>
        <v>0.473684210526316</v>
      </c>
      <c r="R52" s="74">
        <f>IF(K52="","",IFERROR(INDEX(LMH_PTS,MATCH(K52,LMH_KEY,0))/SUM(IFERROR(INDEX(LMH_PTS,MATCH(J52,LMH_KEY,0)),0),IFERROR(INDEX(LMH_PTS,MATCH(K52,LMH_KEY,0)),0),IFERROR(INDEX(LMH_PTS,MATCH(L52,LMH_KEY,0)),0),IFERROR(INDEX(LMH_PTS,MATCH(M52,LMH_KEY,0)),0),IFERROR(INDEX(LMH_PTS,MATCH(N52,LMH_KEY,0)),0),IFERROR(INDEX(LMH_PTS,MATCH(O52,LMH_KEY,0)),0),IFERROR(INDEX(LMH_PTS,MATCH(P52,LMH_KEY,0)),0)),""))</f>
        <v>0.157894736842105</v>
      </c>
      <c r="S52" s="74">
        <f>IF(L52="","",IFERROR(INDEX(LMH_PTS,MATCH(L52,LMH_KEY,0))/SUM(IFERROR(INDEX(LMH_PTS,MATCH(J52,LMH_KEY,0)),0),IFERROR(INDEX(LMH_PTS,MATCH(K52,LMH_KEY,0)),0),IFERROR(INDEX(LMH_PTS,MATCH(L52,LMH_KEY,0)),0),IFERROR(INDEX(LMH_PTS,MATCH(M52,LMH_KEY,0)),0),IFERROR(INDEX(LMH_PTS,MATCH(N52,LMH_KEY,0)),0),IFERROR(INDEX(LMH_PTS,MATCH(O52,LMH_KEY,0)),0),IFERROR(INDEX(LMH_PTS,MATCH(P52,LMH_KEY,0)),0)),""))</f>
        <v>0.157894736842105</v>
      </c>
      <c r="T52" s="74">
        <f>IF(M52="","",IFERROR(INDEX(LMH_PTS,MATCH(M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U52" s="74">
        <f>IF(N52="","",IFERROR(INDEX(LMH_PTS,MATCH(N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V52" s="74">
        <f>IF(O52="","",IFERROR(INDEX(LMH_PTS,MATCH(O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W52" s="74">
        <f>IF(P52="","",IFERROR(INDEX(LMH_PTS,MATCH(P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X52" s="44" t="n"/>
      <c r="Y52" s="38" t="inlineStr">
        <is>
          <t>CARBON|Digitizing|Senior Digitization Associate|A3|A</t>
        </is>
      </c>
    </row>
    <row r="53" ht="28" customHeight="1">
      <c r="A53" s="28" t="inlineStr">
        <is>
          <t>CARBON</t>
        </is>
      </c>
      <c r="B53" s="29" t="inlineStr">
        <is>
          <t>Digitizing</t>
        </is>
      </c>
      <c r="C53" s="75" t="inlineStr">
        <is>
          <t>A2</t>
        </is>
      </c>
      <c r="D53" s="29" t="inlineStr">
        <is>
          <t>Band A · Practitioner</t>
        </is>
      </c>
      <c r="E53" s="29" t="inlineStr">
        <is>
          <t>Digitization Associate</t>
        </is>
      </c>
      <c r="F53" s="29" t="inlineStr">
        <is>
          <t>Band A · all tracks</t>
        </is>
      </c>
      <c r="G53" s="29" t="inlineStr">
        <is>
          <t>Data Operations &amp; Digitization</t>
        </is>
      </c>
      <c r="H53" s="29" t="n">
        <v>3</v>
      </c>
      <c r="I53" s="29" t="inlineStr">
        <is>
          <t>Satyajeet Patil, Aditya Kumar Diwakar, Kajal Srivastava</t>
        </is>
      </c>
      <c r="J53" s="34" t="str">
        <f>IFERROR(INDEX(RBD_C,MATCH("Data Operations &amp; Digitization|A2|A",RBD_KEY,0)),"M")</f>
        <v>H</v>
      </c>
      <c r="K53" s="35" t="str">
        <f>IFERROR(INDEX(RBD_Au,MATCH("Data Operations &amp; Digitization|A2|A",RBD_KEY,0)),"M")</f>
        <v>M</v>
      </c>
      <c r="L53" s="35" t="str">
        <f>IFERROR(INDEX(RBD_Ac,MATCH("Data Operations &amp; Digitization|A2|A",RBD_KEY,0)),"M")</f>
        <v>M</v>
      </c>
      <c r="M53" s="35" t="str">
        <f>IFERROR(INDEX(RBD_L,MATCH("Data Operations &amp; Digitization|A2|A",RBD_KEY,0)),"M")</f>
        <v>L</v>
      </c>
      <c r="N53" s="35" t="str">
        <f>IFERROR(INDEX(RBD_BI,MATCH("Data Operations &amp; Digitization|A2|A",RBD_KEY,0)),"M")</f>
        <v>L</v>
      </c>
      <c r="O53" s="35" t="str">
        <f>IFERROR(INDEX(RBD_Exp,MATCH("Data Operations &amp; Digitization|A2|A",RBD_KEY,0)),"M")</f>
        <v>L</v>
      </c>
      <c r="P53" s="35" t="str">
        <f>IFERROR(INDEX(RBD_Edu,MATCH("Data Operations &amp; Digitization|A2|A",RBD_KEY,0)),"M")</f>
        <v>L</v>
      </c>
      <c r="Q53" s="73">
        <f>IF(J53="","",IFERROR(INDEX(LMH_PTS,MATCH(J53,LMH_KEY,0))/SUM(IFERROR(INDEX(LMH_PTS,MATCH(J53,LMH_KEY,0)),0),IFERROR(INDEX(LMH_PTS,MATCH(K53,LMH_KEY,0)),0),IFERROR(INDEX(LMH_PTS,MATCH(L53,LMH_KEY,0)),0),IFERROR(INDEX(LMH_PTS,MATCH(M53,LMH_KEY,0)),0),IFERROR(INDEX(LMH_PTS,MATCH(N53,LMH_KEY,0)),0),IFERROR(INDEX(LMH_PTS,MATCH(O53,LMH_KEY,0)),0),IFERROR(INDEX(LMH_PTS,MATCH(P53,LMH_KEY,0)),0)),""))</f>
        <v>0.473684210526316</v>
      </c>
      <c r="R53" s="74">
        <f>IF(K53="","",IFERROR(INDEX(LMH_PTS,MATCH(K53,LMH_KEY,0))/SUM(IFERROR(INDEX(LMH_PTS,MATCH(J53,LMH_KEY,0)),0),IFERROR(INDEX(LMH_PTS,MATCH(K53,LMH_KEY,0)),0),IFERROR(INDEX(LMH_PTS,MATCH(L53,LMH_KEY,0)),0),IFERROR(INDEX(LMH_PTS,MATCH(M53,LMH_KEY,0)),0),IFERROR(INDEX(LMH_PTS,MATCH(N53,LMH_KEY,0)),0),IFERROR(INDEX(LMH_PTS,MATCH(O53,LMH_KEY,0)),0),IFERROR(INDEX(LMH_PTS,MATCH(P53,LMH_KEY,0)),0)),""))</f>
        <v>0.157894736842105</v>
      </c>
      <c r="S53" s="74">
        <f>IF(L53="","",IFERROR(INDEX(LMH_PTS,MATCH(L53,LMH_KEY,0))/SUM(IFERROR(INDEX(LMH_PTS,MATCH(J53,LMH_KEY,0)),0),IFERROR(INDEX(LMH_PTS,MATCH(K53,LMH_KEY,0)),0),IFERROR(INDEX(LMH_PTS,MATCH(L53,LMH_KEY,0)),0),IFERROR(INDEX(LMH_PTS,MATCH(M53,LMH_KEY,0)),0),IFERROR(INDEX(LMH_PTS,MATCH(N53,LMH_KEY,0)),0),IFERROR(INDEX(LMH_PTS,MATCH(O53,LMH_KEY,0)),0),IFERROR(INDEX(LMH_PTS,MATCH(P53,LMH_KEY,0)),0)),""))</f>
        <v>0.157894736842105</v>
      </c>
      <c r="T53" s="74">
        <f>IF(M53="","",IFERROR(INDEX(LMH_PTS,MATCH(M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U53" s="74">
        <f>IF(N53="","",IFERROR(INDEX(LMH_PTS,MATCH(N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V53" s="74">
        <f>IF(O53="","",IFERROR(INDEX(LMH_PTS,MATCH(O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W53" s="74">
        <f>IF(P53="","",IFERROR(INDEX(LMH_PTS,MATCH(P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X53" s="44" t="n"/>
      <c r="Y53" s="38" t="inlineStr">
        <is>
          <t>CARBON|Digitizing|Digitization Associate|A2|A</t>
        </is>
      </c>
    </row>
    <row r="54" ht="28" customHeight="1">
      <c r="A54" s="28" t="inlineStr">
        <is>
          <t>CARBON</t>
        </is>
      </c>
      <c r="B54" s="29" t="inlineStr">
        <is>
          <t>Digitizing</t>
        </is>
      </c>
      <c r="C54" s="75" t="inlineStr">
        <is>
          <t>A2</t>
        </is>
      </c>
      <c r="D54" s="29" t="inlineStr">
        <is>
          <t>Band A · Practitioner</t>
        </is>
      </c>
      <c r="E54" s="29" t="inlineStr">
        <is>
          <t>Senior Digitization Associate</t>
        </is>
      </c>
      <c r="F54" s="29" t="inlineStr">
        <is>
          <t>Band A · all tracks</t>
        </is>
      </c>
      <c r="G54" s="29" t="inlineStr">
        <is>
          <t>Data Operations &amp; Digitization</t>
        </is>
      </c>
      <c r="H54" s="29" t="n">
        <v>4</v>
      </c>
      <c r="I54" s="29" t="inlineStr">
        <is>
          <t>Dhanraj Patil, Snehal Kardekar, Justeen Koola, Tabassum Ali</t>
        </is>
      </c>
      <c r="J54" s="34" t="str">
        <f>IFERROR(INDEX(RBD_C,MATCH("Data Operations &amp; Digitization|A2|A",RBD_KEY,0)),"M")</f>
        <v>H</v>
      </c>
      <c r="K54" s="35" t="str">
        <f>IFERROR(INDEX(RBD_Au,MATCH("Data Operations &amp; Digitization|A2|A",RBD_KEY,0)),"M")</f>
        <v>M</v>
      </c>
      <c r="L54" s="35" t="str">
        <f>IFERROR(INDEX(RBD_Ac,MATCH("Data Operations &amp; Digitization|A2|A",RBD_KEY,0)),"M")</f>
        <v>M</v>
      </c>
      <c r="M54" s="35" t="str">
        <f>IFERROR(INDEX(RBD_L,MATCH("Data Operations &amp; Digitization|A2|A",RBD_KEY,0)),"M")</f>
        <v>L</v>
      </c>
      <c r="N54" s="35" t="str">
        <f>IFERROR(INDEX(RBD_BI,MATCH("Data Operations &amp; Digitization|A2|A",RBD_KEY,0)),"M")</f>
        <v>L</v>
      </c>
      <c r="O54" s="35" t="str">
        <f>IFERROR(INDEX(RBD_Exp,MATCH("Data Operations &amp; Digitization|A2|A",RBD_KEY,0)),"M")</f>
        <v>L</v>
      </c>
      <c r="P54" s="35" t="str">
        <f>IFERROR(INDEX(RBD_Edu,MATCH("Data Operations &amp; Digitization|A2|A",RBD_KEY,0)),"M")</f>
        <v>L</v>
      </c>
      <c r="Q54" s="73">
        <f>IF(J54="","",IFERROR(INDEX(LMH_PTS,MATCH(J54,LMH_KEY,0))/SUM(IFERROR(INDEX(LMH_PTS,MATCH(J54,LMH_KEY,0)),0),IFERROR(INDEX(LMH_PTS,MATCH(K54,LMH_KEY,0)),0),IFERROR(INDEX(LMH_PTS,MATCH(L54,LMH_KEY,0)),0),IFERROR(INDEX(LMH_PTS,MATCH(M54,LMH_KEY,0)),0),IFERROR(INDEX(LMH_PTS,MATCH(N54,LMH_KEY,0)),0),IFERROR(INDEX(LMH_PTS,MATCH(O54,LMH_KEY,0)),0),IFERROR(INDEX(LMH_PTS,MATCH(P54,LMH_KEY,0)),0)),""))</f>
        <v>0.473684210526316</v>
      </c>
      <c r="R54" s="74">
        <f>IF(K54="","",IFERROR(INDEX(LMH_PTS,MATCH(K54,LMH_KEY,0))/SUM(IFERROR(INDEX(LMH_PTS,MATCH(J54,LMH_KEY,0)),0),IFERROR(INDEX(LMH_PTS,MATCH(K54,LMH_KEY,0)),0),IFERROR(INDEX(LMH_PTS,MATCH(L54,LMH_KEY,0)),0),IFERROR(INDEX(LMH_PTS,MATCH(M54,LMH_KEY,0)),0),IFERROR(INDEX(LMH_PTS,MATCH(N54,LMH_KEY,0)),0),IFERROR(INDEX(LMH_PTS,MATCH(O54,LMH_KEY,0)),0),IFERROR(INDEX(LMH_PTS,MATCH(P54,LMH_KEY,0)),0)),""))</f>
        <v>0.157894736842105</v>
      </c>
      <c r="S54" s="74">
        <f>IF(L54="","",IFERROR(INDEX(LMH_PTS,MATCH(L54,LMH_KEY,0))/SUM(IFERROR(INDEX(LMH_PTS,MATCH(J54,LMH_KEY,0)),0),IFERROR(INDEX(LMH_PTS,MATCH(K54,LMH_KEY,0)),0),IFERROR(INDEX(LMH_PTS,MATCH(L54,LMH_KEY,0)),0),IFERROR(INDEX(LMH_PTS,MATCH(M54,LMH_KEY,0)),0),IFERROR(INDEX(LMH_PTS,MATCH(N54,LMH_KEY,0)),0),IFERROR(INDEX(LMH_PTS,MATCH(O54,LMH_KEY,0)),0),IFERROR(INDEX(LMH_PTS,MATCH(P54,LMH_KEY,0)),0)),""))</f>
        <v>0.157894736842105</v>
      </c>
      <c r="T54" s="74">
        <f>IF(M54="","",IFERROR(INDEX(LMH_PTS,MATCH(M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U54" s="74">
        <f>IF(N54="","",IFERROR(INDEX(LMH_PTS,MATCH(N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V54" s="74">
        <f>IF(O54="","",IFERROR(INDEX(LMH_PTS,MATCH(O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W54" s="74">
        <f>IF(P54="","",IFERROR(INDEX(LMH_PTS,MATCH(P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X54" s="44" t="n"/>
      <c r="Y54" s="38" t="inlineStr">
        <is>
          <t>CARBON|Digitizing|Senior Digitization Associate|A2|A</t>
        </is>
      </c>
    </row>
    <row r="55" ht="18" customHeight="1">
      <c r="A55" s="28" t="inlineStr">
        <is>
          <t>CARBON</t>
        </is>
      </c>
      <c r="B55" s="71" t="inlineStr">
        <is>
          <t>Functional</t>
        </is>
      </c>
      <c r="C55" s="72" t="inlineStr">
        <is>
          <t>B2</t>
        </is>
      </c>
      <c r="D55" s="29" t="inlineStr">
        <is>
          <t>Band B · Specialist / Manager</t>
        </is>
      </c>
      <c r="E55" s="29" t="inlineStr">
        <is>
          <t>Product Manager</t>
        </is>
      </c>
      <c r="F55" s="29" t="inlineStr">
        <is>
          <t>Band B · People Manager</t>
        </is>
      </c>
      <c r="G55" s="29" t="inlineStr">
        <is>
          <t>Product Management</t>
        </is>
      </c>
      <c r="H55" s="29" t="n">
        <v>1</v>
      </c>
      <c r="I55" s="29" t="inlineStr">
        <is>
          <t>Farzad Wadia</t>
        </is>
      </c>
      <c r="J55" s="34" t="str">
        <f>IFERROR(INDEX(RBD_C,MATCH("Product Management|B2|B-M",RBD_KEY,0)),"M")</f>
        <v>H</v>
      </c>
      <c r="K55" s="35" t="str">
        <f>IFERROR(INDEX(RBD_Au,MATCH("Product Management|B2|B-M",RBD_KEY,0)),"M")</f>
        <v>M</v>
      </c>
      <c r="L55" s="35" t="str">
        <f>IFERROR(INDEX(RBD_Ac,MATCH("Product Management|B2|B-M",RBD_KEY,0)),"M")</f>
        <v>M</v>
      </c>
      <c r="M55" s="35" t="str">
        <f>IFERROR(INDEX(RBD_L,MATCH("Product Management|B2|B-M",RBD_KEY,0)),"M")</f>
        <v>M</v>
      </c>
      <c r="N55" s="35" t="str">
        <f>IFERROR(INDEX(RBD_BI,MATCH("Product Management|B2|B-M",RBD_KEY,0)),"M")</f>
        <v>L</v>
      </c>
      <c r="O55" s="35" t="str">
        <f>IFERROR(INDEX(RBD_Exp,MATCH("Product Management|B2|B-M",RBD_KEY,0)),"M")</f>
        <v>L</v>
      </c>
      <c r="P55" s="35" t="str">
        <f>IFERROR(INDEX(RBD_Edu,MATCH("Product Management|B2|B-M",RBD_KEY,0)),"M")</f>
        <v>L</v>
      </c>
      <c r="Q55" s="73">
        <f>IF(J55="","",IFERROR(INDEX(LMH_PTS,MATCH(J55,LMH_KEY,0))/SUM(IFERROR(INDEX(LMH_PTS,MATCH(J55,LMH_KEY,0)),0),IFERROR(INDEX(LMH_PTS,MATCH(K55,LMH_KEY,0)),0),IFERROR(INDEX(LMH_PTS,MATCH(L55,LMH_KEY,0)),0),IFERROR(INDEX(LMH_PTS,MATCH(M55,LMH_KEY,0)),0),IFERROR(INDEX(LMH_PTS,MATCH(N55,LMH_KEY,0)),0),IFERROR(INDEX(LMH_PTS,MATCH(O55,LMH_KEY,0)),0),IFERROR(INDEX(LMH_PTS,MATCH(P55,LMH_KEY,0)),0)),""))</f>
        <v>0.428571428571429</v>
      </c>
      <c r="R55" s="74">
        <f>IF(K55="","",IFERROR(INDEX(LMH_PTS,MATCH(K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S55" s="74">
        <f>IF(L55="","",IFERROR(INDEX(LMH_PTS,MATCH(L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T55" s="74">
        <f>IF(M55="","",IFERROR(INDEX(LMH_PTS,MATCH(M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U55" s="74">
        <f>IF(N55="","",IFERROR(INDEX(LMH_PTS,MATCH(N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V55" s="74">
        <f>IF(O55="","",IFERROR(INDEX(LMH_PTS,MATCH(O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W55" s="74">
        <f>IF(P55="","",IFERROR(INDEX(LMH_PTS,MATCH(P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X55" s="44" t="n"/>
      <c r="Y55" s="38" t="inlineStr">
        <is>
          <t>CARBON|Functional|Product Manager|B2|B-M</t>
        </is>
      </c>
    </row>
    <row r="56" ht="28" customHeight="1">
      <c r="A56" s="28" t="inlineStr">
        <is>
          <t>CARBON</t>
        </is>
      </c>
      <c r="B56" s="29" t="inlineStr">
        <is>
          <t>Functional</t>
        </is>
      </c>
      <c r="C56" s="72" t="inlineStr">
        <is>
          <t>B1</t>
        </is>
      </c>
      <c r="D56" s="29" t="inlineStr">
        <is>
          <t>Band B · Specialist / Manager</t>
        </is>
      </c>
      <c r="E56" s="29" t="inlineStr">
        <is>
          <t>Associate Product Manager – POD Lead</t>
        </is>
      </c>
      <c r="F56" s="29" t="inlineStr">
        <is>
          <t>Band B · Specialist / POD Lead</t>
        </is>
      </c>
      <c r="G56" s="29" t="inlineStr">
        <is>
          <t>Product Management</t>
        </is>
      </c>
      <c r="H56" s="29" t="n">
        <v>3</v>
      </c>
      <c r="I56" s="29" t="inlineStr">
        <is>
          <t>Medha Ganti, Priyadarsini Kairali, Biswajit Biswal</t>
        </is>
      </c>
      <c r="J56" s="34" t="str">
        <f>IFERROR(INDEX(RBD_C,MATCH("Product Management|B1|B-IC",RBD_KEY,0)),"M")</f>
        <v>H</v>
      </c>
      <c r="K56" s="35" t="str">
        <f>IFERROR(INDEX(RBD_Au,MATCH("Product Management|B1|B-IC",RBD_KEY,0)),"M")</f>
        <v>M</v>
      </c>
      <c r="L56" s="35" t="str">
        <f>IFERROR(INDEX(RBD_Ac,MATCH("Product Management|B1|B-IC",RBD_KEY,0)),"M")</f>
        <v>M</v>
      </c>
      <c r="M56" s="35" t="str">
        <f>IFERROR(INDEX(RBD_L,MATCH("Product Management|B1|B-IC",RBD_KEY,0)),"M")</f>
        <v>L</v>
      </c>
      <c r="N56" s="35" t="str">
        <f>IFERROR(INDEX(RBD_BI,MATCH("Product Management|B1|B-IC",RBD_KEY,0)),"M")</f>
        <v>L</v>
      </c>
      <c r="O56" s="35" t="str">
        <f>IFERROR(INDEX(RBD_Exp,MATCH("Product Management|B1|B-IC",RBD_KEY,0)),"M")</f>
        <v>L</v>
      </c>
      <c r="P56" s="35" t="str">
        <f>IFERROR(INDEX(RBD_Edu,MATCH("Product Management|B1|B-IC",RBD_KEY,0)),"M")</f>
        <v>L</v>
      </c>
      <c r="Q56" s="73">
        <f>IF(J56="","",IFERROR(INDEX(LMH_PTS,MATCH(J56,LMH_KEY,0))/SUM(IFERROR(INDEX(LMH_PTS,MATCH(J56,LMH_KEY,0)),0),IFERROR(INDEX(LMH_PTS,MATCH(K56,LMH_KEY,0)),0),IFERROR(INDEX(LMH_PTS,MATCH(L56,LMH_KEY,0)),0),IFERROR(INDEX(LMH_PTS,MATCH(M56,LMH_KEY,0)),0),IFERROR(INDEX(LMH_PTS,MATCH(N56,LMH_KEY,0)),0),IFERROR(INDEX(LMH_PTS,MATCH(O56,LMH_KEY,0)),0),IFERROR(INDEX(LMH_PTS,MATCH(P56,LMH_KEY,0)),0)),""))</f>
        <v>0.473684210526316</v>
      </c>
      <c r="R56" s="74">
        <f>IF(K56="","",IFERROR(INDEX(LMH_PTS,MATCH(K56,LMH_KEY,0))/SUM(IFERROR(INDEX(LMH_PTS,MATCH(J56,LMH_KEY,0)),0),IFERROR(INDEX(LMH_PTS,MATCH(K56,LMH_KEY,0)),0),IFERROR(INDEX(LMH_PTS,MATCH(L56,LMH_KEY,0)),0),IFERROR(INDEX(LMH_PTS,MATCH(M56,LMH_KEY,0)),0),IFERROR(INDEX(LMH_PTS,MATCH(N56,LMH_KEY,0)),0),IFERROR(INDEX(LMH_PTS,MATCH(O56,LMH_KEY,0)),0),IFERROR(INDEX(LMH_PTS,MATCH(P56,LMH_KEY,0)),0)),""))</f>
        <v>0.157894736842105</v>
      </c>
      <c r="S56" s="74">
        <f>IF(L56="","",IFERROR(INDEX(LMH_PTS,MATCH(L56,LMH_KEY,0))/SUM(IFERROR(INDEX(LMH_PTS,MATCH(J56,LMH_KEY,0)),0),IFERROR(INDEX(LMH_PTS,MATCH(K56,LMH_KEY,0)),0),IFERROR(INDEX(LMH_PTS,MATCH(L56,LMH_KEY,0)),0),IFERROR(INDEX(LMH_PTS,MATCH(M56,LMH_KEY,0)),0),IFERROR(INDEX(LMH_PTS,MATCH(N56,LMH_KEY,0)),0),IFERROR(INDEX(LMH_PTS,MATCH(O56,LMH_KEY,0)),0),IFERROR(INDEX(LMH_PTS,MATCH(P56,LMH_KEY,0)),0)),""))</f>
        <v>0.157894736842105</v>
      </c>
      <c r="T56" s="74">
        <f>IF(M56="","",IFERROR(INDEX(LMH_PTS,MATCH(M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U56" s="74">
        <f>IF(N56="","",IFERROR(INDEX(LMH_PTS,MATCH(N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V56" s="74">
        <f>IF(O56="","",IFERROR(INDEX(LMH_PTS,MATCH(O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W56" s="74">
        <f>IF(P56="","",IFERROR(INDEX(LMH_PTS,MATCH(P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X56" s="44" t="n"/>
      <c r="Y56" s="38" t="inlineStr">
        <is>
          <t>CARBON|Functional|Associate Product Manager – POD Lead|B1|B-IC</t>
        </is>
      </c>
    </row>
    <row r="57" ht="18" customHeight="1">
      <c r="A57" s="28" t="inlineStr">
        <is>
          <t>CARBON</t>
        </is>
      </c>
      <c r="B57" s="29" t="inlineStr">
        <is>
          <t>Functional</t>
        </is>
      </c>
      <c r="C57" s="72" t="inlineStr">
        <is>
          <t>B1</t>
        </is>
      </c>
      <c r="D57" s="29" t="inlineStr">
        <is>
          <t>Band B · Specialist / Manager</t>
        </is>
      </c>
      <c r="E57" s="29" t="inlineStr">
        <is>
          <t>Functional Specialist</t>
        </is>
      </c>
      <c r="F57" s="29" t="inlineStr">
        <is>
          <t>Band B · Specialist / POD Lead</t>
        </is>
      </c>
      <c r="G57" s="29" t="inlineStr">
        <is>
          <t>Solution Consulting &amp; Implementation</t>
        </is>
      </c>
      <c r="H57" s="29" t="n">
        <v>2</v>
      </c>
      <c r="I57" s="29" t="inlineStr">
        <is>
          <t>Alizah Noorani, Karthik Menon</t>
        </is>
      </c>
      <c r="J57" s="34" t="str">
        <f>IFERROR(INDEX(RBD_C,MATCH("Solution Consulting &amp; Implementation|B1|B-IC",RBD_KEY,0)),"M")</f>
        <v>H</v>
      </c>
      <c r="K57" s="35" t="str">
        <f>IFERROR(INDEX(RBD_Au,MATCH("Solution Consulting &amp; Implementation|B1|B-IC",RBD_KEY,0)),"M")</f>
        <v>M</v>
      </c>
      <c r="L57" s="35" t="str">
        <f>IFERROR(INDEX(RBD_Ac,MATCH("Solution Consulting &amp; Implementation|B1|B-IC",RBD_KEY,0)),"M")</f>
        <v>M</v>
      </c>
      <c r="M57" s="35" t="str">
        <f>IFERROR(INDEX(RBD_L,MATCH("Solution Consulting &amp; Implementation|B1|B-IC",RBD_KEY,0)),"M")</f>
        <v>L</v>
      </c>
      <c r="N57" s="35" t="str">
        <f>IFERROR(INDEX(RBD_BI,MATCH("Solution Consulting &amp; Implementation|B1|B-IC",RBD_KEY,0)),"M")</f>
        <v>L</v>
      </c>
      <c r="O57" s="35" t="str">
        <f>IFERROR(INDEX(RBD_Exp,MATCH("Solution Consulting &amp; Implementation|B1|B-IC",RBD_KEY,0)),"M")</f>
        <v>L</v>
      </c>
      <c r="P57" s="35" t="str">
        <f>IFERROR(INDEX(RBD_Edu,MATCH("Solution Consulting &amp; Implementation|B1|B-IC",RBD_KEY,0)),"M")</f>
        <v>L</v>
      </c>
      <c r="Q57" s="73">
        <f>IF(J57="","",IFERROR(INDEX(LMH_PTS,MATCH(J57,LMH_KEY,0))/SUM(IFERROR(INDEX(LMH_PTS,MATCH(J57,LMH_KEY,0)),0),IFERROR(INDEX(LMH_PTS,MATCH(K57,LMH_KEY,0)),0),IFERROR(INDEX(LMH_PTS,MATCH(L57,LMH_KEY,0)),0),IFERROR(INDEX(LMH_PTS,MATCH(M57,LMH_KEY,0)),0),IFERROR(INDEX(LMH_PTS,MATCH(N57,LMH_KEY,0)),0),IFERROR(INDEX(LMH_PTS,MATCH(O57,LMH_KEY,0)),0),IFERROR(INDEX(LMH_PTS,MATCH(P57,LMH_KEY,0)),0)),""))</f>
        <v>0.473684210526316</v>
      </c>
      <c r="R57" s="74">
        <f>IF(K57="","",IFERROR(INDEX(LMH_PTS,MATCH(K57,LMH_KEY,0))/SUM(IFERROR(INDEX(LMH_PTS,MATCH(J57,LMH_KEY,0)),0),IFERROR(INDEX(LMH_PTS,MATCH(K57,LMH_KEY,0)),0),IFERROR(INDEX(LMH_PTS,MATCH(L57,LMH_KEY,0)),0),IFERROR(INDEX(LMH_PTS,MATCH(M57,LMH_KEY,0)),0),IFERROR(INDEX(LMH_PTS,MATCH(N57,LMH_KEY,0)),0),IFERROR(INDEX(LMH_PTS,MATCH(O57,LMH_KEY,0)),0),IFERROR(INDEX(LMH_PTS,MATCH(P57,LMH_KEY,0)),0)),""))</f>
        <v>0.157894736842105</v>
      </c>
      <c r="S57" s="74">
        <f>IF(L57="","",IFERROR(INDEX(LMH_PTS,MATCH(L57,LMH_KEY,0))/SUM(IFERROR(INDEX(LMH_PTS,MATCH(J57,LMH_KEY,0)),0),IFERROR(INDEX(LMH_PTS,MATCH(K57,LMH_KEY,0)),0),IFERROR(INDEX(LMH_PTS,MATCH(L57,LMH_KEY,0)),0),IFERROR(INDEX(LMH_PTS,MATCH(M57,LMH_KEY,0)),0),IFERROR(INDEX(LMH_PTS,MATCH(N57,LMH_KEY,0)),0),IFERROR(INDEX(LMH_PTS,MATCH(O57,LMH_KEY,0)),0),IFERROR(INDEX(LMH_PTS,MATCH(P57,LMH_KEY,0)),0)),""))</f>
        <v>0.157894736842105</v>
      </c>
      <c r="T57" s="74">
        <f>IF(M57="","",IFERROR(INDEX(LMH_PTS,MATCH(M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U57" s="74">
        <f>IF(N57="","",IFERROR(INDEX(LMH_PTS,MATCH(N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V57" s="74">
        <f>IF(O57="","",IFERROR(INDEX(LMH_PTS,MATCH(O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W57" s="74">
        <f>IF(P57="","",IFERROR(INDEX(LMH_PTS,MATCH(P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X57" s="44" t="n"/>
      <c r="Y57" s="38" t="inlineStr">
        <is>
          <t>CARBON|Functional|Functional Specialist|B1|B-IC</t>
        </is>
      </c>
    </row>
    <row r="58" ht="28" customHeight="1">
      <c r="A58" s="28" t="inlineStr">
        <is>
          <t>CARBON</t>
        </is>
      </c>
      <c r="B58" s="29" t="inlineStr">
        <is>
          <t>Functional</t>
        </is>
      </c>
      <c r="C58" s="72" t="inlineStr">
        <is>
          <t>B1</t>
        </is>
      </c>
      <c r="D58" s="29" t="inlineStr">
        <is>
          <t>Band B · Specialist / Manager</t>
        </is>
      </c>
      <c r="E58" s="29" t="inlineStr">
        <is>
          <t>Functional Specialist – POD Lead</t>
        </is>
      </c>
      <c r="F58" s="29" t="inlineStr">
        <is>
          <t>Band B · Specialist / POD Lead</t>
        </is>
      </c>
      <c r="G58" s="29" t="inlineStr">
        <is>
          <t>Solution Consulting &amp; Implementation</t>
        </is>
      </c>
      <c r="H58" s="29" t="n">
        <v>1</v>
      </c>
      <c r="I58" s="29" t="inlineStr">
        <is>
          <t>Sharanya Balachandran</t>
        </is>
      </c>
      <c r="J58" s="34" t="str">
        <f>IFERROR(INDEX(RBD_C,MATCH("Solution Consulting &amp; Implementation|B1|B-IC",RBD_KEY,0)),"M")</f>
        <v>H</v>
      </c>
      <c r="K58" s="35" t="str">
        <f>IFERROR(INDEX(RBD_Au,MATCH("Solution Consulting &amp; Implementation|B1|B-IC",RBD_KEY,0)),"M")</f>
        <v>M</v>
      </c>
      <c r="L58" s="35" t="str">
        <f>IFERROR(INDEX(RBD_Ac,MATCH("Solution Consulting &amp; Implementation|B1|B-IC",RBD_KEY,0)),"M")</f>
        <v>M</v>
      </c>
      <c r="M58" s="35" t="str">
        <f>IFERROR(INDEX(RBD_L,MATCH("Solution Consulting &amp; Implementation|B1|B-IC",RBD_KEY,0)),"M")</f>
        <v>L</v>
      </c>
      <c r="N58" s="35" t="str">
        <f>IFERROR(INDEX(RBD_BI,MATCH("Solution Consulting &amp; Implementation|B1|B-IC",RBD_KEY,0)),"M")</f>
        <v>L</v>
      </c>
      <c r="O58" s="35" t="str">
        <f>IFERROR(INDEX(RBD_Exp,MATCH("Solution Consulting &amp; Implementation|B1|B-IC",RBD_KEY,0)),"M")</f>
        <v>L</v>
      </c>
      <c r="P58" s="35" t="str">
        <f>IFERROR(INDEX(RBD_Edu,MATCH("Solution Consulting &amp; Implementation|B1|B-IC",RBD_KEY,0)),"M")</f>
        <v>L</v>
      </c>
      <c r="Q58" s="73">
        <f>IF(J58="","",IFERROR(INDEX(LMH_PTS,MATCH(J58,LMH_KEY,0))/SUM(IFERROR(INDEX(LMH_PTS,MATCH(J58,LMH_KEY,0)),0),IFERROR(INDEX(LMH_PTS,MATCH(K58,LMH_KEY,0)),0),IFERROR(INDEX(LMH_PTS,MATCH(L58,LMH_KEY,0)),0),IFERROR(INDEX(LMH_PTS,MATCH(M58,LMH_KEY,0)),0),IFERROR(INDEX(LMH_PTS,MATCH(N58,LMH_KEY,0)),0),IFERROR(INDEX(LMH_PTS,MATCH(O58,LMH_KEY,0)),0),IFERROR(INDEX(LMH_PTS,MATCH(P58,LMH_KEY,0)),0)),""))</f>
        <v>0.473684210526316</v>
      </c>
      <c r="R58" s="74">
        <f>IF(K58="","",IFERROR(INDEX(LMH_PTS,MATCH(K58,LMH_KEY,0))/SUM(IFERROR(INDEX(LMH_PTS,MATCH(J58,LMH_KEY,0)),0),IFERROR(INDEX(LMH_PTS,MATCH(K58,LMH_KEY,0)),0),IFERROR(INDEX(LMH_PTS,MATCH(L58,LMH_KEY,0)),0),IFERROR(INDEX(LMH_PTS,MATCH(M58,LMH_KEY,0)),0),IFERROR(INDEX(LMH_PTS,MATCH(N58,LMH_KEY,0)),0),IFERROR(INDEX(LMH_PTS,MATCH(O58,LMH_KEY,0)),0),IFERROR(INDEX(LMH_PTS,MATCH(P58,LMH_KEY,0)),0)),""))</f>
        <v>0.157894736842105</v>
      </c>
      <c r="S58" s="74">
        <f>IF(L58="","",IFERROR(INDEX(LMH_PTS,MATCH(L58,LMH_KEY,0))/SUM(IFERROR(INDEX(LMH_PTS,MATCH(J58,LMH_KEY,0)),0),IFERROR(INDEX(LMH_PTS,MATCH(K58,LMH_KEY,0)),0),IFERROR(INDEX(LMH_PTS,MATCH(L58,LMH_KEY,0)),0),IFERROR(INDEX(LMH_PTS,MATCH(M58,LMH_KEY,0)),0),IFERROR(INDEX(LMH_PTS,MATCH(N58,LMH_KEY,0)),0),IFERROR(INDEX(LMH_PTS,MATCH(O58,LMH_KEY,0)),0),IFERROR(INDEX(LMH_PTS,MATCH(P58,LMH_KEY,0)),0)),""))</f>
        <v>0.157894736842105</v>
      </c>
      <c r="T58" s="74">
        <f>IF(M58="","",IFERROR(INDEX(LMH_PTS,MATCH(M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U58" s="74">
        <f>IF(N58="","",IFERROR(INDEX(LMH_PTS,MATCH(N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V58" s="74">
        <f>IF(O58="","",IFERROR(INDEX(LMH_PTS,MATCH(O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W58" s="74">
        <f>IF(P58="","",IFERROR(INDEX(LMH_PTS,MATCH(P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X58" s="44" t="n"/>
      <c r="Y58" s="38" t="inlineStr">
        <is>
          <t>CARBON|Functional|Functional Specialist – POD Lead|B1|B-IC</t>
        </is>
      </c>
    </row>
    <row r="59" ht="28" customHeight="1">
      <c r="A59" s="28" t="inlineStr">
        <is>
          <t>CARBON</t>
        </is>
      </c>
      <c r="B59" s="29" t="inlineStr">
        <is>
          <t>Functional</t>
        </is>
      </c>
      <c r="C59" s="72" t="inlineStr">
        <is>
          <t>B1</t>
        </is>
      </c>
      <c r="D59" s="29" t="inlineStr">
        <is>
          <t>Band B · Specialist / Manager</t>
        </is>
      </c>
      <c r="E59" s="29" t="inlineStr">
        <is>
          <t>Senior Customer Success Specialist – POD Lead</t>
        </is>
      </c>
      <c r="F59" s="29" t="inlineStr">
        <is>
          <t>Band B · Specialist / POD Lead</t>
        </is>
      </c>
      <c r="G59" s="29" t="inlineStr">
        <is>
          <t>Customer Success &amp; Support</t>
        </is>
      </c>
      <c r="H59" s="29" t="n">
        <v>1</v>
      </c>
      <c r="I59" s="29" t="inlineStr">
        <is>
          <t>Aakanksha Swaminathan</t>
        </is>
      </c>
      <c r="J59" s="34" t="str">
        <f>IFERROR(INDEX(RBD_C,MATCH("Customer Success &amp; Support|B1|B-IC",RBD_KEY,0)),"M")</f>
        <v>H</v>
      </c>
      <c r="K59" s="35" t="str">
        <f>IFERROR(INDEX(RBD_Au,MATCH("Customer Success &amp; Support|B1|B-IC",RBD_KEY,0)),"M")</f>
        <v>M</v>
      </c>
      <c r="L59" s="35" t="str">
        <f>IFERROR(INDEX(RBD_Ac,MATCH("Customer Success &amp; Support|B1|B-IC",RBD_KEY,0)),"M")</f>
        <v>M</v>
      </c>
      <c r="M59" s="35" t="str">
        <f>IFERROR(INDEX(RBD_L,MATCH("Customer Success &amp; Support|B1|B-IC",RBD_KEY,0)),"M")</f>
        <v>L</v>
      </c>
      <c r="N59" s="35" t="str">
        <f>IFERROR(INDEX(RBD_BI,MATCH("Customer Success &amp; Support|B1|B-IC",RBD_KEY,0)),"M")</f>
        <v>M</v>
      </c>
      <c r="O59" s="35" t="str">
        <f>IFERROR(INDEX(RBD_Exp,MATCH("Customer Success &amp; Support|B1|B-IC",RBD_KEY,0)),"M")</f>
        <v>L</v>
      </c>
      <c r="P59" s="35" t="str">
        <f>IFERROR(INDEX(RBD_Edu,MATCH("Customer Success &amp; Support|B1|B-IC",RBD_KEY,0)),"M")</f>
        <v>L</v>
      </c>
      <c r="Q59" s="73">
        <f>IF(J59="","",IFERROR(INDEX(LMH_PTS,MATCH(J59,LMH_KEY,0))/SUM(IFERROR(INDEX(LMH_PTS,MATCH(J59,LMH_KEY,0)),0),IFERROR(INDEX(LMH_PTS,MATCH(K59,LMH_KEY,0)),0),IFERROR(INDEX(LMH_PTS,MATCH(L59,LMH_KEY,0)),0),IFERROR(INDEX(LMH_PTS,MATCH(M59,LMH_KEY,0)),0),IFERROR(INDEX(LMH_PTS,MATCH(N59,LMH_KEY,0)),0),IFERROR(INDEX(LMH_PTS,MATCH(O59,LMH_KEY,0)),0),IFERROR(INDEX(LMH_PTS,MATCH(P59,LMH_KEY,0)),0)),""))</f>
        <v>0.428571428571429</v>
      </c>
      <c r="R59" s="74">
        <f>IF(K59="","",IFERROR(INDEX(LMH_PTS,MATCH(K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S59" s="74">
        <f>IF(L59="","",IFERROR(INDEX(LMH_PTS,MATCH(L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T59" s="74">
        <f>IF(M59="","",IFERROR(INDEX(LMH_PTS,MATCH(M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U59" s="74">
        <f>IF(N59="","",IFERROR(INDEX(LMH_PTS,MATCH(N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V59" s="74">
        <f>IF(O59="","",IFERROR(INDEX(LMH_PTS,MATCH(O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W59" s="74">
        <f>IF(P59="","",IFERROR(INDEX(LMH_PTS,MATCH(P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X59" s="44" t="n"/>
      <c r="Y59" s="38" t="inlineStr">
        <is>
          <t>CARBON|Functional|Senior Customer Success Specialist – POD Lead|B1|B-IC</t>
        </is>
      </c>
    </row>
    <row r="60" ht="28" customHeight="1">
      <c r="A60" s="28" t="inlineStr">
        <is>
          <t>CARBON</t>
        </is>
      </c>
      <c r="B60" s="29" t="inlineStr">
        <is>
          <t>Functional</t>
        </is>
      </c>
      <c r="C60" s="72" t="inlineStr">
        <is>
          <t>B1</t>
        </is>
      </c>
      <c r="D60" s="29" t="inlineStr">
        <is>
          <t>Band B · Specialist / Manager</t>
        </is>
      </c>
      <c r="E60" s="29" t="inlineStr">
        <is>
          <t>Senior Functional Specialist</t>
        </is>
      </c>
      <c r="F60" s="29" t="inlineStr">
        <is>
          <t>Band B · Specialist / POD Lead</t>
        </is>
      </c>
      <c r="G60" s="29" t="inlineStr">
        <is>
          <t>Solution Consulting &amp; Implementation</t>
        </is>
      </c>
      <c r="H60" s="29" t="n">
        <v>1</v>
      </c>
      <c r="I60" s="29" t="inlineStr">
        <is>
          <t>Shambo Mitra</t>
        </is>
      </c>
      <c r="J60" s="34" t="str">
        <f>IFERROR(INDEX(RBD_C,MATCH("Solution Consulting &amp; Implementation|B1|B-IC",RBD_KEY,0)),"M")</f>
        <v>H</v>
      </c>
      <c r="K60" s="35" t="str">
        <f>IFERROR(INDEX(RBD_Au,MATCH("Solution Consulting &amp; Implementation|B1|B-IC",RBD_KEY,0)),"M")</f>
        <v>M</v>
      </c>
      <c r="L60" s="35" t="str">
        <f>IFERROR(INDEX(RBD_Ac,MATCH("Solution Consulting &amp; Implementation|B1|B-IC",RBD_KEY,0)),"M")</f>
        <v>M</v>
      </c>
      <c r="M60" s="35" t="str">
        <f>IFERROR(INDEX(RBD_L,MATCH("Solution Consulting &amp; Implementation|B1|B-IC",RBD_KEY,0)),"M")</f>
        <v>L</v>
      </c>
      <c r="N60" s="35" t="str">
        <f>IFERROR(INDEX(RBD_BI,MATCH("Solution Consulting &amp; Implementation|B1|B-IC",RBD_KEY,0)),"M")</f>
        <v>L</v>
      </c>
      <c r="O60" s="35" t="str">
        <f>IFERROR(INDEX(RBD_Exp,MATCH("Solution Consulting &amp; Implementation|B1|B-IC",RBD_KEY,0)),"M")</f>
        <v>L</v>
      </c>
      <c r="P60" s="35" t="str">
        <f>IFERROR(INDEX(RBD_Edu,MATCH("Solution Consulting &amp; Implementation|B1|B-IC",RBD_KEY,0)),"M")</f>
        <v>L</v>
      </c>
      <c r="Q60" s="73">
        <f>IF(J60="","",IFERROR(INDEX(LMH_PTS,MATCH(J60,LMH_KEY,0))/SUM(IFERROR(INDEX(LMH_PTS,MATCH(J60,LMH_KEY,0)),0),IFERROR(INDEX(LMH_PTS,MATCH(K60,LMH_KEY,0)),0),IFERROR(INDEX(LMH_PTS,MATCH(L60,LMH_KEY,0)),0),IFERROR(INDEX(LMH_PTS,MATCH(M60,LMH_KEY,0)),0),IFERROR(INDEX(LMH_PTS,MATCH(N60,LMH_KEY,0)),0),IFERROR(INDEX(LMH_PTS,MATCH(O60,LMH_KEY,0)),0),IFERROR(INDEX(LMH_PTS,MATCH(P60,LMH_KEY,0)),0)),""))</f>
        <v>0.473684210526316</v>
      </c>
      <c r="R60" s="74">
        <f>IF(K60="","",IFERROR(INDEX(LMH_PTS,MATCH(K60,LMH_KEY,0))/SUM(IFERROR(INDEX(LMH_PTS,MATCH(J60,LMH_KEY,0)),0),IFERROR(INDEX(LMH_PTS,MATCH(K60,LMH_KEY,0)),0),IFERROR(INDEX(LMH_PTS,MATCH(L60,LMH_KEY,0)),0),IFERROR(INDEX(LMH_PTS,MATCH(M60,LMH_KEY,0)),0),IFERROR(INDEX(LMH_PTS,MATCH(N60,LMH_KEY,0)),0),IFERROR(INDEX(LMH_PTS,MATCH(O60,LMH_KEY,0)),0),IFERROR(INDEX(LMH_PTS,MATCH(P60,LMH_KEY,0)),0)),""))</f>
        <v>0.157894736842105</v>
      </c>
      <c r="S60" s="74">
        <f>IF(L60="","",IFERROR(INDEX(LMH_PTS,MATCH(L60,LMH_KEY,0))/SUM(IFERROR(INDEX(LMH_PTS,MATCH(J60,LMH_KEY,0)),0),IFERROR(INDEX(LMH_PTS,MATCH(K60,LMH_KEY,0)),0),IFERROR(INDEX(LMH_PTS,MATCH(L60,LMH_KEY,0)),0),IFERROR(INDEX(LMH_PTS,MATCH(M60,LMH_KEY,0)),0),IFERROR(INDEX(LMH_PTS,MATCH(N60,LMH_KEY,0)),0),IFERROR(INDEX(LMH_PTS,MATCH(O60,LMH_KEY,0)),0),IFERROR(INDEX(LMH_PTS,MATCH(P60,LMH_KEY,0)),0)),""))</f>
        <v>0.157894736842105</v>
      </c>
      <c r="T60" s="74">
        <f>IF(M60="","",IFERROR(INDEX(LMH_PTS,MATCH(M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U60" s="74">
        <f>IF(N60="","",IFERROR(INDEX(LMH_PTS,MATCH(N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V60" s="74">
        <f>IF(O60="","",IFERROR(INDEX(LMH_PTS,MATCH(O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W60" s="74">
        <f>IF(P60="","",IFERROR(INDEX(LMH_PTS,MATCH(P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X60" s="44" t="n"/>
      <c r="Y60" s="38" t="inlineStr">
        <is>
          <t>CARBON|Functional|Senior Functional Specialist|B1|B-IC</t>
        </is>
      </c>
    </row>
    <row r="61" ht="28" customHeight="1">
      <c r="A61" s="28" t="inlineStr">
        <is>
          <t>CARBON</t>
        </is>
      </c>
      <c r="B61" s="29" t="inlineStr">
        <is>
          <t>Functional</t>
        </is>
      </c>
      <c r="C61" s="75" t="inlineStr">
        <is>
          <t>A3</t>
        </is>
      </c>
      <c r="D61" s="29" t="inlineStr">
        <is>
          <t>Band A · Practitioner</t>
        </is>
      </c>
      <c r="E61" s="29" t="inlineStr">
        <is>
          <t>Functional Specialist</t>
        </is>
      </c>
      <c r="F61" s="29" t="inlineStr">
        <is>
          <t>Band A · all tracks</t>
        </is>
      </c>
      <c r="G61" s="29" t="inlineStr">
        <is>
          <t>Solution Consulting &amp; Implementation</t>
        </is>
      </c>
      <c r="H61" s="29" t="n">
        <v>3</v>
      </c>
      <c r="I61" s="29" t="inlineStr">
        <is>
          <t>Chirag Shah, Nandit Verma, Vishal Gujar</t>
        </is>
      </c>
      <c r="J61" s="34" t="str">
        <f>IFERROR(INDEX(RBD_C,MATCH("Solution Consulting &amp; Implementation|A3|A",RBD_KEY,0)),"M")</f>
        <v>H</v>
      </c>
      <c r="K61" s="35" t="str">
        <f>IFERROR(INDEX(RBD_Au,MATCH("Solution Consulting &amp; Implementation|A3|A",RBD_KEY,0)),"M")</f>
        <v>M</v>
      </c>
      <c r="L61" s="35" t="str">
        <f>IFERROR(INDEX(RBD_Ac,MATCH("Solution Consulting &amp; Implementation|A3|A",RBD_KEY,0)),"M")</f>
        <v>M</v>
      </c>
      <c r="M61" s="35" t="str">
        <f>IFERROR(INDEX(RBD_L,MATCH("Solution Consulting &amp; Implementation|A3|A",RBD_KEY,0)),"M")</f>
        <v>L</v>
      </c>
      <c r="N61" s="35" t="str">
        <f>IFERROR(INDEX(RBD_BI,MATCH("Solution Consulting &amp; Implementation|A3|A",RBD_KEY,0)),"M")</f>
        <v>L</v>
      </c>
      <c r="O61" s="35" t="str">
        <f>IFERROR(INDEX(RBD_Exp,MATCH("Solution Consulting &amp; Implementation|A3|A",RBD_KEY,0)),"M")</f>
        <v>L</v>
      </c>
      <c r="P61" s="35" t="str">
        <f>IFERROR(INDEX(RBD_Edu,MATCH("Solution Consulting &amp; Implementation|A3|A",RBD_KEY,0)),"M")</f>
        <v>L</v>
      </c>
      <c r="Q61" s="73">
        <f>IF(J61="","",IFERROR(INDEX(LMH_PTS,MATCH(J61,LMH_KEY,0))/SUM(IFERROR(INDEX(LMH_PTS,MATCH(J61,LMH_KEY,0)),0),IFERROR(INDEX(LMH_PTS,MATCH(K61,LMH_KEY,0)),0),IFERROR(INDEX(LMH_PTS,MATCH(L61,LMH_KEY,0)),0),IFERROR(INDEX(LMH_PTS,MATCH(M61,LMH_KEY,0)),0),IFERROR(INDEX(LMH_PTS,MATCH(N61,LMH_KEY,0)),0),IFERROR(INDEX(LMH_PTS,MATCH(O61,LMH_KEY,0)),0),IFERROR(INDEX(LMH_PTS,MATCH(P61,LMH_KEY,0)),0)),""))</f>
        <v>0.473684210526316</v>
      </c>
      <c r="R61" s="74">
        <f>IF(K61="","",IFERROR(INDEX(LMH_PTS,MATCH(K61,LMH_KEY,0))/SUM(IFERROR(INDEX(LMH_PTS,MATCH(J61,LMH_KEY,0)),0),IFERROR(INDEX(LMH_PTS,MATCH(K61,LMH_KEY,0)),0),IFERROR(INDEX(LMH_PTS,MATCH(L61,LMH_KEY,0)),0),IFERROR(INDEX(LMH_PTS,MATCH(M61,LMH_KEY,0)),0),IFERROR(INDEX(LMH_PTS,MATCH(N61,LMH_KEY,0)),0),IFERROR(INDEX(LMH_PTS,MATCH(O61,LMH_KEY,0)),0),IFERROR(INDEX(LMH_PTS,MATCH(P61,LMH_KEY,0)),0)),""))</f>
        <v>0.157894736842105</v>
      </c>
      <c r="S61" s="74">
        <f>IF(L61="","",IFERROR(INDEX(LMH_PTS,MATCH(L61,LMH_KEY,0))/SUM(IFERROR(INDEX(LMH_PTS,MATCH(J61,LMH_KEY,0)),0),IFERROR(INDEX(LMH_PTS,MATCH(K61,LMH_KEY,0)),0),IFERROR(INDEX(LMH_PTS,MATCH(L61,LMH_KEY,0)),0),IFERROR(INDEX(LMH_PTS,MATCH(M61,LMH_KEY,0)),0),IFERROR(INDEX(LMH_PTS,MATCH(N61,LMH_KEY,0)),0),IFERROR(INDEX(LMH_PTS,MATCH(O61,LMH_KEY,0)),0),IFERROR(INDEX(LMH_PTS,MATCH(P61,LMH_KEY,0)),0)),""))</f>
        <v>0.157894736842105</v>
      </c>
      <c r="T61" s="74">
        <f>IF(M61="","",IFERROR(INDEX(LMH_PTS,MATCH(M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U61" s="74">
        <f>IF(N61="","",IFERROR(INDEX(LMH_PTS,MATCH(N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V61" s="74">
        <f>IF(O61="","",IFERROR(INDEX(LMH_PTS,MATCH(O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W61" s="74">
        <f>IF(P61="","",IFERROR(INDEX(LMH_PTS,MATCH(P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X61" s="44" t="n"/>
      <c r="Y61" s="38" t="inlineStr">
        <is>
          <t>CARBON|Functional|Functional Specialist|A3|A</t>
        </is>
      </c>
    </row>
    <row r="62" ht="18" customHeight="1">
      <c r="A62" s="28" t="inlineStr">
        <is>
          <t>CARBON</t>
        </is>
      </c>
      <c r="B62" s="29" t="inlineStr">
        <is>
          <t>Functional</t>
        </is>
      </c>
      <c r="C62" s="75" t="inlineStr">
        <is>
          <t>A3</t>
        </is>
      </c>
      <c r="D62" s="29" t="inlineStr">
        <is>
          <t>Band A · Practitioner</t>
        </is>
      </c>
      <c r="E62" s="29" t="inlineStr">
        <is>
          <t>Senior Functional Analyst</t>
        </is>
      </c>
      <c r="F62" s="29" t="inlineStr">
        <is>
          <t>Band A · all tracks</t>
        </is>
      </c>
      <c r="G62" s="29" t="inlineStr">
        <is>
          <t>Solution Consulting &amp; Implementation</t>
        </is>
      </c>
      <c r="H62" s="29" t="n">
        <v>1</v>
      </c>
      <c r="I62" s="29" t="inlineStr">
        <is>
          <t>Prathamesh Patil</t>
        </is>
      </c>
      <c r="J62" s="34" t="str">
        <f>IFERROR(INDEX(RBD_C,MATCH("Solution Consulting &amp; Implementation|A3|A",RBD_KEY,0)),"M")</f>
        <v>H</v>
      </c>
      <c r="K62" s="35" t="str">
        <f>IFERROR(INDEX(RBD_Au,MATCH("Solution Consulting &amp; Implementation|A3|A",RBD_KEY,0)),"M")</f>
        <v>M</v>
      </c>
      <c r="L62" s="35" t="str">
        <f>IFERROR(INDEX(RBD_Ac,MATCH("Solution Consulting &amp; Implementation|A3|A",RBD_KEY,0)),"M")</f>
        <v>M</v>
      </c>
      <c r="M62" s="35" t="str">
        <f>IFERROR(INDEX(RBD_L,MATCH("Solution Consulting &amp; Implementation|A3|A",RBD_KEY,0)),"M")</f>
        <v>L</v>
      </c>
      <c r="N62" s="35" t="str">
        <f>IFERROR(INDEX(RBD_BI,MATCH("Solution Consulting &amp; Implementation|A3|A",RBD_KEY,0)),"M")</f>
        <v>L</v>
      </c>
      <c r="O62" s="35" t="str">
        <f>IFERROR(INDEX(RBD_Exp,MATCH("Solution Consulting &amp; Implementation|A3|A",RBD_KEY,0)),"M")</f>
        <v>L</v>
      </c>
      <c r="P62" s="35" t="str">
        <f>IFERROR(INDEX(RBD_Edu,MATCH("Solution Consulting &amp; Implementation|A3|A",RBD_KEY,0)),"M")</f>
        <v>L</v>
      </c>
      <c r="Q62" s="73">
        <f>IF(J62="","",IFERROR(INDEX(LMH_PTS,MATCH(J62,LMH_KEY,0))/SUM(IFERROR(INDEX(LMH_PTS,MATCH(J62,LMH_KEY,0)),0),IFERROR(INDEX(LMH_PTS,MATCH(K62,LMH_KEY,0)),0),IFERROR(INDEX(LMH_PTS,MATCH(L62,LMH_KEY,0)),0),IFERROR(INDEX(LMH_PTS,MATCH(M62,LMH_KEY,0)),0),IFERROR(INDEX(LMH_PTS,MATCH(N62,LMH_KEY,0)),0),IFERROR(INDEX(LMH_PTS,MATCH(O62,LMH_KEY,0)),0),IFERROR(INDEX(LMH_PTS,MATCH(P62,LMH_KEY,0)),0)),""))</f>
        <v>0.473684210526316</v>
      </c>
      <c r="R62" s="74">
        <f>IF(K62="","",IFERROR(INDEX(LMH_PTS,MATCH(K62,LMH_KEY,0))/SUM(IFERROR(INDEX(LMH_PTS,MATCH(J62,LMH_KEY,0)),0),IFERROR(INDEX(LMH_PTS,MATCH(K62,LMH_KEY,0)),0),IFERROR(INDEX(LMH_PTS,MATCH(L62,LMH_KEY,0)),0),IFERROR(INDEX(LMH_PTS,MATCH(M62,LMH_KEY,0)),0),IFERROR(INDEX(LMH_PTS,MATCH(N62,LMH_KEY,0)),0),IFERROR(INDEX(LMH_PTS,MATCH(O62,LMH_KEY,0)),0),IFERROR(INDEX(LMH_PTS,MATCH(P62,LMH_KEY,0)),0)),""))</f>
        <v>0.157894736842105</v>
      </c>
      <c r="S62" s="74">
        <f>IF(L62="","",IFERROR(INDEX(LMH_PTS,MATCH(L62,LMH_KEY,0))/SUM(IFERROR(INDEX(LMH_PTS,MATCH(J62,LMH_KEY,0)),0),IFERROR(INDEX(LMH_PTS,MATCH(K62,LMH_KEY,0)),0),IFERROR(INDEX(LMH_PTS,MATCH(L62,LMH_KEY,0)),0),IFERROR(INDEX(LMH_PTS,MATCH(M62,LMH_KEY,0)),0),IFERROR(INDEX(LMH_PTS,MATCH(N62,LMH_KEY,0)),0),IFERROR(INDEX(LMH_PTS,MATCH(O62,LMH_KEY,0)),0),IFERROR(INDEX(LMH_PTS,MATCH(P62,LMH_KEY,0)),0)),""))</f>
        <v>0.157894736842105</v>
      </c>
      <c r="T62" s="74">
        <f>IF(M62="","",IFERROR(INDEX(LMH_PTS,MATCH(M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U62" s="74">
        <f>IF(N62="","",IFERROR(INDEX(LMH_PTS,MATCH(N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V62" s="74">
        <f>IF(O62="","",IFERROR(INDEX(LMH_PTS,MATCH(O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W62" s="74">
        <f>IF(P62="","",IFERROR(INDEX(LMH_PTS,MATCH(P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X62" s="44" t="n"/>
      <c r="Y62" s="38" t="inlineStr">
        <is>
          <t>CARBON|Functional|Senior Functional Analyst|A3|A</t>
        </is>
      </c>
    </row>
    <row r="63" ht="18" customHeight="1">
      <c r="A63" s="28" t="inlineStr">
        <is>
          <t>CARBON</t>
        </is>
      </c>
      <c r="B63" s="29" t="inlineStr">
        <is>
          <t>Functional</t>
        </is>
      </c>
      <c r="C63" s="75" t="inlineStr">
        <is>
          <t>A3</t>
        </is>
      </c>
      <c r="D63" s="29" t="inlineStr">
        <is>
          <t>Band A · Practitioner</t>
        </is>
      </c>
      <c r="E63" s="29" t="inlineStr">
        <is>
          <t>Senior Product Associate</t>
        </is>
      </c>
      <c r="F63" s="29" t="inlineStr">
        <is>
          <t>Band A · all tracks</t>
        </is>
      </c>
      <c r="G63" s="29" t="inlineStr">
        <is>
          <t>Product Management</t>
        </is>
      </c>
      <c r="H63" s="29" t="n">
        <v>1</v>
      </c>
      <c r="I63" s="29" t="inlineStr">
        <is>
          <t>Watan Kumar Meena</t>
        </is>
      </c>
      <c r="J63" s="34" t="str">
        <f>IFERROR(INDEX(RBD_C,MATCH("Product Management|A3|A",RBD_KEY,0)),"M")</f>
        <v>H</v>
      </c>
      <c r="K63" s="35" t="str">
        <f>IFERROR(INDEX(RBD_Au,MATCH("Product Management|A3|A",RBD_KEY,0)),"M")</f>
        <v>M</v>
      </c>
      <c r="L63" s="35" t="str">
        <f>IFERROR(INDEX(RBD_Ac,MATCH("Product Management|A3|A",RBD_KEY,0)),"M")</f>
        <v>M</v>
      </c>
      <c r="M63" s="35" t="str">
        <f>IFERROR(INDEX(RBD_L,MATCH("Product Management|A3|A",RBD_KEY,0)),"M")</f>
        <v>L</v>
      </c>
      <c r="N63" s="35" t="str">
        <f>IFERROR(INDEX(RBD_BI,MATCH("Product Management|A3|A",RBD_KEY,0)),"M")</f>
        <v>L</v>
      </c>
      <c r="O63" s="35" t="str">
        <f>IFERROR(INDEX(RBD_Exp,MATCH("Product Management|A3|A",RBD_KEY,0)),"M")</f>
        <v>L</v>
      </c>
      <c r="P63" s="35" t="str">
        <f>IFERROR(INDEX(RBD_Edu,MATCH("Product Management|A3|A",RBD_KEY,0)),"M")</f>
        <v>L</v>
      </c>
      <c r="Q63" s="73">
        <f>IF(J63="","",IFERROR(INDEX(LMH_PTS,MATCH(J63,LMH_KEY,0))/SUM(IFERROR(INDEX(LMH_PTS,MATCH(J63,LMH_KEY,0)),0),IFERROR(INDEX(LMH_PTS,MATCH(K63,LMH_KEY,0)),0),IFERROR(INDEX(LMH_PTS,MATCH(L63,LMH_KEY,0)),0),IFERROR(INDEX(LMH_PTS,MATCH(M63,LMH_KEY,0)),0),IFERROR(INDEX(LMH_PTS,MATCH(N63,LMH_KEY,0)),0),IFERROR(INDEX(LMH_PTS,MATCH(O63,LMH_KEY,0)),0),IFERROR(INDEX(LMH_PTS,MATCH(P63,LMH_KEY,0)),0)),""))</f>
        <v>0.473684210526316</v>
      </c>
      <c r="R63" s="74">
        <f>IF(K63="","",IFERROR(INDEX(LMH_PTS,MATCH(K63,LMH_KEY,0))/SUM(IFERROR(INDEX(LMH_PTS,MATCH(J63,LMH_KEY,0)),0),IFERROR(INDEX(LMH_PTS,MATCH(K63,LMH_KEY,0)),0),IFERROR(INDEX(LMH_PTS,MATCH(L63,LMH_KEY,0)),0),IFERROR(INDEX(LMH_PTS,MATCH(M63,LMH_KEY,0)),0),IFERROR(INDEX(LMH_PTS,MATCH(N63,LMH_KEY,0)),0),IFERROR(INDEX(LMH_PTS,MATCH(O63,LMH_KEY,0)),0),IFERROR(INDEX(LMH_PTS,MATCH(P63,LMH_KEY,0)),0)),""))</f>
        <v>0.157894736842105</v>
      </c>
      <c r="S63" s="74">
        <f>IF(L63="","",IFERROR(INDEX(LMH_PTS,MATCH(L63,LMH_KEY,0))/SUM(IFERROR(INDEX(LMH_PTS,MATCH(J63,LMH_KEY,0)),0),IFERROR(INDEX(LMH_PTS,MATCH(K63,LMH_KEY,0)),0),IFERROR(INDEX(LMH_PTS,MATCH(L63,LMH_KEY,0)),0),IFERROR(INDEX(LMH_PTS,MATCH(M63,LMH_KEY,0)),0),IFERROR(INDEX(LMH_PTS,MATCH(N63,LMH_KEY,0)),0),IFERROR(INDEX(LMH_PTS,MATCH(O63,LMH_KEY,0)),0),IFERROR(INDEX(LMH_PTS,MATCH(P63,LMH_KEY,0)),0)),""))</f>
        <v>0.157894736842105</v>
      </c>
      <c r="T63" s="74">
        <f>IF(M63="","",IFERROR(INDEX(LMH_PTS,MATCH(M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U63" s="74">
        <f>IF(N63="","",IFERROR(INDEX(LMH_PTS,MATCH(N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V63" s="74">
        <f>IF(O63="","",IFERROR(INDEX(LMH_PTS,MATCH(O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W63" s="74">
        <f>IF(P63="","",IFERROR(INDEX(LMH_PTS,MATCH(P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X63" s="44" t="n"/>
      <c r="Y63" s="38" t="inlineStr">
        <is>
          <t>CARBON|Functional|Senior Product Associate|A3|A</t>
        </is>
      </c>
    </row>
    <row r="64" ht="18" customHeight="1">
      <c r="A64" s="28" t="inlineStr">
        <is>
          <t>CARBON</t>
        </is>
      </c>
      <c r="B64" s="71" t="inlineStr">
        <is>
          <t>Marketing</t>
        </is>
      </c>
      <c r="C64" s="72" t="inlineStr">
        <is>
          <t>B3</t>
        </is>
      </c>
      <c r="D64" s="29" t="inlineStr">
        <is>
          <t>Band B · Specialist / Manager</t>
        </is>
      </c>
      <c r="E64" s="29" t="inlineStr">
        <is>
          <t>Senior Marketing Manager</t>
        </is>
      </c>
      <c r="F64" s="29" t="inlineStr">
        <is>
          <t>Band B · People Manager</t>
        </is>
      </c>
      <c r="G64" s="29" t="inlineStr">
        <is>
          <t>Marketing &amp; Communications</t>
        </is>
      </c>
      <c r="H64" s="29" t="n">
        <v>1</v>
      </c>
      <c r="I64" s="29" t="inlineStr">
        <is>
          <t>Saahit Togaru</t>
        </is>
      </c>
      <c r="J64" s="34" t="str">
        <f>IFERROR(INDEX(RBD_C,MATCH("Marketing &amp; Communications|B3|B-M",RBD_KEY,0)),"M")</f>
        <v>H</v>
      </c>
      <c r="K64" s="35" t="str">
        <f>IFERROR(INDEX(RBD_Au,MATCH("Marketing &amp; Communications|B3|B-M",RBD_KEY,0)),"M")</f>
        <v>M</v>
      </c>
      <c r="L64" s="35" t="str">
        <f>IFERROR(INDEX(RBD_Ac,MATCH("Marketing &amp; Communications|B3|B-M",RBD_KEY,0)),"M")</f>
        <v>L</v>
      </c>
      <c r="M64" s="35" t="str">
        <f>IFERROR(INDEX(RBD_L,MATCH("Marketing &amp; Communications|B3|B-M",RBD_KEY,0)),"M")</f>
        <v>M</v>
      </c>
      <c r="N64" s="35" t="str">
        <f>IFERROR(INDEX(RBD_BI,MATCH("Marketing &amp; Communications|B3|B-M",RBD_KEY,0)),"M")</f>
        <v>M</v>
      </c>
      <c r="O64" s="35" t="str">
        <f>IFERROR(INDEX(RBD_Exp,MATCH("Marketing &amp; Communications|B3|B-M",RBD_KEY,0)),"M")</f>
        <v>L</v>
      </c>
      <c r="P64" s="35" t="str">
        <f>IFERROR(INDEX(RBD_Edu,MATCH("Marketing &amp; Communications|B3|B-M",RBD_KEY,0)),"M")</f>
        <v>L</v>
      </c>
      <c r="Q64" s="73">
        <f>IF(J64="","",IFERROR(INDEX(LMH_PTS,MATCH(J64,LMH_KEY,0))/SUM(IFERROR(INDEX(LMH_PTS,MATCH(J64,LMH_KEY,0)),0),IFERROR(INDEX(LMH_PTS,MATCH(K64,LMH_KEY,0)),0),IFERROR(INDEX(LMH_PTS,MATCH(L64,LMH_KEY,0)),0),IFERROR(INDEX(LMH_PTS,MATCH(M64,LMH_KEY,0)),0),IFERROR(INDEX(LMH_PTS,MATCH(N64,LMH_KEY,0)),0),IFERROR(INDEX(LMH_PTS,MATCH(O64,LMH_KEY,0)),0),IFERROR(INDEX(LMH_PTS,MATCH(P64,LMH_KEY,0)),0)),""))</f>
        <v>0.428571428571429</v>
      </c>
      <c r="R64" s="74">
        <f>IF(K64="","",IFERROR(INDEX(LMH_PTS,MATCH(K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S64" s="74">
        <f>IF(L64="","",IFERROR(INDEX(LMH_PTS,MATCH(L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T64" s="74">
        <f>IF(M64="","",IFERROR(INDEX(LMH_PTS,MATCH(M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U64" s="74">
        <f>IF(N64="","",IFERROR(INDEX(LMH_PTS,MATCH(N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V64" s="74">
        <f>IF(O64="","",IFERROR(INDEX(LMH_PTS,MATCH(O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W64" s="74">
        <f>IF(P64="","",IFERROR(INDEX(LMH_PTS,MATCH(P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X64" s="44" t="n"/>
      <c r="Y64" s="38" t="inlineStr">
        <is>
          <t>CARBON|Marketing|Senior Marketing Manager|B3|B-M</t>
        </is>
      </c>
    </row>
    <row r="65" ht="18" customHeight="1">
      <c r="A65" s="28" t="inlineStr">
        <is>
          <t>CARBON</t>
        </is>
      </c>
      <c r="B65" s="29" t="inlineStr">
        <is>
          <t>Marketing</t>
        </is>
      </c>
      <c r="C65" s="72" t="inlineStr">
        <is>
          <t>B2</t>
        </is>
      </c>
      <c r="D65" s="29" t="inlineStr">
        <is>
          <t>Band B · Specialist / Manager</t>
        </is>
      </c>
      <c r="E65" s="29" t="inlineStr">
        <is>
          <t>Marketing Manager</t>
        </is>
      </c>
      <c r="F65" s="29" t="inlineStr">
        <is>
          <t>Band B · People Manager</t>
        </is>
      </c>
      <c r="G65" s="29" t="inlineStr">
        <is>
          <t>Marketing &amp; Communications</t>
        </is>
      </c>
      <c r="H65" s="29" t="n">
        <v>1</v>
      </c>
      <c r="I65" s="29" t="inlineStr">
        <is>
          <t>Sobhan Pramanik</t>
        </is>
      </c>
      <c r="J65" s="34" t="str">
        <f>IFERROR(INDEX(RBD_C,MATCH("Marketing &amp; Communications|B2|B-M",RBD_KEY,0)),"M")</f>
        <v>H</v>
      </c>
      <c r="K65" s="35" t="str">
        <f>IFERROR(INDEX(RBD_Au,MATCH("Marketing &amp; Communications|B2|B-M",RBD_KEY,0)),"M")</f>
        <v>M</v>
      </c>
      <c r="L65" s="35" t="str">
        <f>IFERROR(INDEX(RBD_Ac,MATCH("Marketing &amp; Communications|B2|B-M",RBD_KEY,0)),"M")</f>
        <v>L</v>
      </c>
      <c r="M65" s="35" t="str">
        <f>IFERROR(INDEX(RBD_L,MATCH("Marketing &amp; Communications|B2|B-M",RBD_KEY,0)),"M")</f>
        <v>M</v>
      </c>
      <c r="N65" s="35" t="str">
        <f>IFERROR(INDEX(RBD_BI,MATCH("Marketing &amp; Communications|B2|B-M",RBD_KEY,0)),"M")</f>
        <v>M</v>
      </c>
      <c r="O65" s="35" t="str">
        <f>IFERROR(INDEX(RBD_Exp,MATCH("Marketing &amp; Communications|B2|B-M",RBD_KEY,0)),"M")</f>
        <v>L</v>
      </c>
      <c r="P65" s="35" t="str">
        <f>IFERROR(INDEX(RBD_Edu,MATCH("Marketing &amp; Communications|B2|B-M",RBD_KEY,0)),"M")</f>
        <v>L</v>
      </c>
      <c r="Q65" s="73">
        <f>IF(J65="","",IFERROR(INDEX(LMH_PTS,MATCH(J65,LMH_KEY,0))/SUM(IFERROR(INDEX(LMH_PTS,MATCH(J65,LMH_KEY,0)),0),IFERROR(INDEX(LMH_PTS,MATCH(K65,LMH_KEY,0)),0),IFERROR(INDEX(LMH_PTS,MATCH(L65,LMH_KEY,0)),0),IFERROR(INDEX(LMH_PTS,MATCH(M65,LMH_KEY,0)),0),IFERROR(INDEX(LMH_PTS,MATCH(N65,LMH_KEY,0)),0),IFERROR(INDEX(LMH_PTS,MATCH(O65,LMH_KEY,0)),0),IFERROR(INDEX(LMH_PTS,MATCH(P65,LMH_KEY,0)),0)),""))</f>
        <v>0.428571428571429</v>
      </c>
      <c r="R65" s="74">
        <f>IF(K65="","",IFERROR(INDEX(LMH_PTS,MATCH(K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S65" s="74">
        <f>IF(L65="","",IFERROR(INDEX(LMH_PTS,MATCH(L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T65" s="74">
        <f>IF(M65="","",IFERROR(INDEX(LMH_PTS,MATCH(M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U65" s="74">
        <f>IF(N65="","",IFERROR(INDEX(LMH_PTS,MATCH(N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V65" s="74">
        <f>IF(O65="","",IFERROR(INDEX(LMH_PTS,MATCH(O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W65" s="74">
        <f>IF(P65="","",IFERROR(INDEX(LMH_PTS,MATCH(P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X65" s="44" t="n"/>
      <c r="Y65" s="38" t="inlineStr">
        <is>
          <t>CARBON|Marketing|Marketing Manager|B2|B-M</t>
        </is>
      </c>
    </row>
    <row r="66" ht="28" customHeight="1">
      <c r="A66" s="28" t="inlineStr">
        <is>
          <t>CARBON</t>
        </is>
      </c>
      <c r="B66" s="29" t="inlineStr">
        <is>
          <t>Marketing</t>
        </is>
      </c>
      <c r="C66" s="72" t="inlineStr">
        <is>
          <t>B2</t>
        </is>
      </c>
      <c r="D66" s="29" t="inlineStr">
        <is>
          <t>Band B · Specialist / Manager</t>
        </is>
      </c>
      <c r="E66" s="29" t="inlineStr">
        <is>
          <t>Senior Account Executive – POD Lead</t>
        </is>
      </c>
      <c r="F66" s="29" t="inlineStr">
        <is>
          <t>Band B · Specialist / POD Lead</t>
        </is>
      </c>
      <c r="G66" s="29" t="inlineStr">
        <is>
          <t>Sales &amp; Business Development</t>
        </is>
      </c>
      <c r="H66" s="29" t="n">
        <v>1</v>
      </c>
      <c r="I66" s="29" t="inlineStr">
        <is>
          <t>Prashant Sharad Jadhav</t>
        </is>
      </c>
      <c r="J66" s="34" t="str">
        <f>IFERROR(INDEX(RBD_C,MATCH("Sales &amp; Business Development|B2|B-IC",RBD_KEY,0)),"M")</f>
        <v>H</v>
      </c>
      <c r="K66" s="35" t="str">
        <f>IFERROR(INDEX(RBD_Au,MATCH("Sales &amp; Business Development|B2|B-IC",RBD_KEY,0)),"M")</f>
        <v>M</v>
      </c>
      <c r="L66" s="35" t="str">
        <f>IFERROR(INDEX(RBD_Ac,MATCH("Sales &amp; Business Development|B2|B-IC",RBD_KEY,0)),"M")</f>
        <v>L</v>
      </c>
      <c r="M66" s="35" t="str">
        <f>IFERROR(INDEX(RBD_L,MATCH("Sales &amp; Business Development|B2|B-IC",RBD_KEY,0)),"M")</f>
        <v>L</v>
      </c>
      <c r="N66" s="35" t="str">
        <f>IFERROR(INDEX(RBD_BI,MATCH("Sales &amp; Business Development|B2|B-IC",RBD_KEY,0)),"M")</f>
        <v>M</v>
      </c>
      <c r="O66" s="35" t="str">
        <f>IFERROR(INDEX(RBD_Exp,MATCH("Sales &amp; Business Development|B2|B-IC",RBD_KEY,0)),"M")</f>
        <v>L</v>
      </c>
      <c r="P66" s="35" t="str">
        <f>IFERROR(INDEX(RBD_Edu,MATCH("Sales &amp; Business Development|B2|B-IC",RBD_KEY,0)),"M")</f>
        <v>L</v>
      </c>
      <c r="Q66" s="73">
        <f>IF(J66="","",IFERROR(INDEX(LMH_PTS,MATCH(J66,LMH_KEY,0))/SUM(IFERROR(INDEX(LMH_PTS,MATCH(J66,LMH_KEY,0)),0),IFERROR(INDEX(LMH_PTS,MATCH(K66,LMH_KEY,0)),0),IFERROR(INDEX(LMH_PTS,MATCH(L66,LMH_KEY,0)),0),IFERROR(INDEX(LMH_PTS,MATCH(M66,LMH_KEY,0)),0),IFERROR(INDEX(LMH_PTS,MATCH(N66,LMH_KEY,0)),0),IFERROR(INDEX(LMH_PTS,MATCH(O66,LMH_KEY,0)),0),IFERROR(INDEX(LMH_PTS,MATCH(P66,LMH_KEY,0)),0)),""))</f>
        <v>0.473684210526316</v>
      </c>
      <c r="R66" s="74">
        <f>IF(K66="","",IFERROR(INDEX(LMH_PTS,MATCH(K66,LMH_KEY,0))/SUM(IFERROR(INDEX(LMH_PTS,MATCH(J66,LMH_KEY,0)),0),IFERROR(INDEX(LMH_PTS,MATCH(K66,LMH_KEY,0)),0),IFERROR(INDEX(LMH_PTS,MATCH(L66,LMH_KEY,0)),0),IFERROR(INDEX(LMH_PTS,MATCH(M66,LMH_KEY,0)),0),IFERROR(INDEX(LMH_PTS,MATCH(N66,LMH_KEY,0)),0),IFERROR(INDEX(LMH_PTS,MATCH(O66,LMH_KEY,0)),0),IFERROR(INDEX(LMH_PTS,MATCH(P66,LMH_KEY,0)),0)),""))</f>
        <v>0.157894736842105</v>
      </c>
      <c r="S66" s="74">
        <f>IF(L66="","",IFERROR(INDEX(LMH_PTS,MATCH(L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T66" s="74">
        <f>IF(M66="","",IFERROR(INDEX(LMH_PTS,MATCH(M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U66" s="74">
        <f>IF(N66="","",IFERROR(INDEX(LMH_PTS,MATCH(N66,LMH_KEY,0))/SUM(IFERROR(INDEX(LMH_PTS,MATCH(J66,LMH_KEY,0)),0),IFERROR(INDEX(LMH_PTS,MATCH(K66,LMH_KEY,0)),0),IFERROR(INDEX(LMH_PTS,MATCH(L66,LMH_KEY,0)),0),IFERROR(INDEX(LMH_PTS,MATCH(M66,LMH_KEY,0)),0),IFERROR(INDEX(LMH_PTS,MATCH(N66,LMH_KEY,0)),0),IFERROR(INDEX(LMH_PTS,MATCH(O66,LMH_KEY,0)),0),IFERROR(INDEX(LMH_PTS,MATCH(P66,LMH_KEY,0)),0)),""))</f>
        <v>0.157894736842105</v>
      </c>
      <c r="V66" s="74">
        <f>IF(O66="","",IFERROR(INDEX(LMH_PTS,MATCH(O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W66" s="74">
        <f>IF(P66="","",IFERROR(INDEX(LMH_PTS,MATCH(P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X66" s="44" t="n"/>
      <c r="Y66" s="38" t="inlineStr">
        <is>
          <t>CARBON|Marketing|Senior Account Executive – POD Lead|B2|B-IC</t>
        </is>
      </c>
    </row>
    <row r="67" ht="28" customHeight="1">
      <c r="A67" s="28" t="inlineStr">
        <is>
          <t>CARBON</t>
        </is>
      </c>
      <c r="B67" s="29" t="inlineStr">
        <is>
          <t>Marketing</t>
        </is>
      </c>
      <c r="C67" s="72" t="inlineStr">
        <is>
          <t>B2</t>
        </is>
      </c>
      <c r="D67" s="29" t="inlineStr">
        <is>
          <t>Band B · Specialist / Manager</t>
        </is>
      </c>
      <c r="E67" s="29" t="inlineStr">
        <is>
          <t>Senior Marketing Specialist – POD Lead</t>
        </is>
      </c>
      <c r="F67" s="29" t="inlineStr">
        <is>
          <t>Band B · Specialist / POD Lead</t>
        </is>
      </c>
      <c r="G67" s="29" t="inlineStr">
        <is>
          <t>Marketing &amp; Communications</t>
        </is>
      </c>
      <c r="H67" s="29" t="n">
        <v>1</v>
      </c>
      <c r="I67" s="29" t="inlineStr">
        <is>
          <t>Sudipta Kundu</t>
        </is>
      </c>
      <c r="J67" s="34" t="str">
        <f>IFERROR(INDEX(RBD_C,MATCH("Marketing &amp; Communications|B2|B-IC",RBD_KEY,0)),"M")</f>
        <v>H</v>
      </c>
      <c r="K67" s="35" t="str">
        <f>IFERROR(INDEX(RBD_Au,MATCH("Marketing &amp; Communications|B2|B-IC",RBD_KEY,0)),"M")</f>
        <v>M</v>
      </c>
      <c r="L67" s="35" t="str">
        <f>IFERROR(INDEX(RBD_Ac,MATCH("Marketing &amp; Communications|B2|B-IC",RBD_KEY,0)),"M")</f>
        <v>L</v>
      </c>
      <c r="M67" s="35" t="str">
        <f>IFERROR(INDEX(RBD_L,MATCH("Marketing &amp; Communications|B2|B-IC",RBD_KEY,0)),"M")</f>
        <v>L</v>
      </c>
      <c r="N67" s="35" t="str">
        <f>IFERROR(INDEX(RBD_BI,MATCH("Marketing &amp; Communications|B2|B-IC",RBD_KEY,0)),"M")</f>
        <v>M</v>
      </c>
      <c r="O67" s="35" t="str">
        <f>IFERROR(INDEX(RBD_Exp,MATCH("Marketing &amp; Communications|B2|B-IC",RBD_KEY,0)),"M")</f>
        <v>L</v>
      </c>
      <c r="P67" s="35" t="str">
        <f>IFERROR(INDEX(RBD_Edu,MATCH("Marketing &amp; Communications|B2|B-IC",RBD_KEY,0)),"M")</f>
        <v>L</v>
      </c>
      <c r="Q67" s="73">
        <f>IF(J67="","",IFERROR(INDEX(LMH_PTS,MATCH(J67,LMH_KEY,0))/SUM(IFERROR(INDEX(LMH_PTS,MATCH(J67,LMH_KEY,0)),0),IFERROR(INDEX(LMH_PTS,MATCH(K67,LMH_KEY,0)),0),IFERROR(INDEX(LMH_PTS,MATCH(L67,LMH_KEY,0)),0),IFERROR(INDEX(LMH_PTS,MATCH(M67,LMH_KEY,0)),0),IFERROR(INDEX(LMH_PTS,MATCH(N67,LMH_KEY,0)),0),IFERROR(INDEX(LMH_PTS,MATCH(O67,LMH_KEY,0)),0),IFERROR(INDEX(LMH_PTS,MATCH(P67,LMH_KEY,0)),0)),""))</f>
        <v>0.473684210526316</v>
      </c>
      <c r="R67" s="74">
        <f>IF(K67="","",IFERROR(INDEX(LMH_PTS,MATCH(K67,LMH_KEY,0))/SUM(IFERROR(INDEX(LMH_PTS,MATCH(J67,LMH_KEY,0)),0),IFERROR(INDEX(LMH_PTS,MATCH(K67,LMH_KEY,0)),0),IFERROR(INDEX(LMH_PTS,MATCH(L67,LMH_KEY,0)),0),IFERROR(INDEX(LMH_PTS,MATCH(M67,LMH_KEY,0)),0),IFERROR(INDEX(LMH_PTS,MATCH(N67,LMH_KEY,0)),0),IFERROR(INDEX(LMH_PTS,MATCH(O67,LMH_KEY,0)),0),IFERROR(INDEX(LMH_PTS,MATCH(P67,LMH_KEY,0)),0)),""))</f>
        <v>0.157894736842105</v>
      </c>
      <c r="S67" s="74">
        <f>IF(L67="","",IFERROR(INDEX(LMH_PTS,MATCH(L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T67" s="74">
        <f>IF(M67="","",IFERROR(INDEX(LMH_PTS,MATCH(M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U67" s="74">
        <f>IF(N67="","",IFERROR(INDEX(LMH_PTS,MATCH(N67,LMH_KEY,0))/SUM(IFERROR(INDEX(LMH_PTS,MATCH(J67,LMH_KEY,0)),0),IFERROR(INDEX(LMH_PTS,MATCH(K67,LMH_KEY,0)),0),IFERROR(INDEX(LMH_PTS,MATCH(L67,LMH_KEY,0)),0),IFERROR(INDEX(LMH_PTS,MATCH(M67,LMH_KEY,0)),0),IFERROR(INDEX(LMH_PTS,MATCH(N67,LMH_KEY,0)),0),IFERROR(INDEX(LMH_PTS,MATCH(O67,LMH_KEY,0)),0),IFERROR(INDEX(LMH_PTS,MATCH(P67,LMH_KEY,0)),0)),""))</f>
        <v>0.157894736842105</v>
      </c>
      <c r="V67" s="74">
        <f>IF(O67="","",IFERROR(INDEX(LMH_PTS,MATCH(O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W67" s="74">
        <f>IF(P67="","",IFERROR(INDEX(LMH_PTS,MATCH(P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X67" s="44" t="n"/>
      <c r="Y67" s="38" t="inlineStr">
        <is>
          <t>CARBON|Marketing|Senior Marketing Specialist – POD Lead|B2|B-IC</t>
        </is>
      </c>
    </row>
    <row r="68" ht="18" customHeight="1">
      <c r="A68" s="28" t="inlineStr">
        <is>
          <t>CARBON</t>
        </is>
      </c>
      <c r="B68" s="29" t="inlineStr">
        <is>
          <t>Marketing</t>
        </is>
      </c>
      <c r="C68" s="72" t="inlineStr">
        <is>
          <t>B1</t>
        </is>
      </c>
      <c r="D68" s="29" t="inlineStr">
        <is>
          <t>Band B · Specialist / Manager</t>
        </is>
      </c>
      <c r="E68" s="29" t="inlineStr">
        <is>
          <t>Account Executive</t>
        </is>
      </c>
      <c r="F68" s="29" t="inlineStr">
        <is>
          <t>Band B · Specialist / POD Lead</t>
        </is>
      </c>
      <c r="G68" s="29" t="inlineStr">
        <is>
          <t>Sales &amp; Business Development</t>
        </is>
      </c>
      <c r="H68" s="29" t="n">
        <v>1</v>
      </c>
      <c r="I68" s="29" t="inlineStr">
        <is>
          <t>Anand Chiluka</t>
        </is>
      </c>
      <c r="J68" s="34" t="str">
        <f>IFERROR(INDEX(RBD_C,MATCH("Sales &amp; Business Development|B1|B-IC",RBD_KEY,0)),"M")</f>
        <v>H</v>
      </c>
      <c r="K68" s="35" t="str">
        <f>IFERROR(INDEX(RBD_Au,MATCH("Sales &amp; Business Development|B1|B-IC",RBD_KEY,0)),"M")</f>
        <v>M</v>
      </c>
      <c r="L68" s="35" t="str">
        <f>IFERROR(INDEX(RBD_Ac,MATCH("Sales &amp; Business Development|B1|B-IC",RBD_KEY,0)),"M")</f>
        <v>L</v>
      </c>
      <c r="M68" s="35" t="str">
        <f>IFERROR(INDEX(RBD_L,MATCH("Sales &amp; Business Development|B1|B-IC",RBD_KEY,0)),"M")</f>
        <v>L</v>
      </c>
      <c r="N68" s="35" t="str">
        <f>IFERROR(INDEX(RBD_BI,MATCH("Sales &amp; Business Development|B1|B-IC",RBD_KEY,0)),"M")</f>
        <v>M</v>
      </c>
      <c r="O68" s="35" t="str">
        <f>IFERROR(INDEX(RBD_Exp,MATCH("Sales &amp; Business Development|B1|B-IC",RBD_KEY,0)),"M")</f>
        <v>L</v>
      </c>
      <c r="P68" s="35" t="str">
        <f>IFERROR(INDEX(RBD_Edu,MATCH("Sales &amp; Business Development|B1|B-IC",RBD_KEY,0)),"M")</f>
        <v>L</v>
      </c>
      <c r="Q68" s="73">
        <f>IF(J68="","",IFERROR(INDEX(LMH_PTS,MATCH(J68,LMH_KEY,0))/SUM(IFERROR(INDEX(LMH_PTS,MATCH(J68,LMH_KEY,0)),0),IFERROR(INDEX(LMH_PTS,MATCH(K68,LMH_KEY,0)),0),IFERROR(INDEX(LMH_PTS,MATCH(L68,LMH_KEY,0)),0),IFERROR(INDEX(LMH_PTS,MATCH(M68,LMH_KEY,0)),0),IFERROR(INDEX(LMH_PTS,MATCH(N68,LMH_KEY,0)),0),IFERROR(INDEX(LMH_PTS,MATCH(O68,LMH_KEY,0)),0),IFERROR(INDEX(LMH_PTS,MATCH(P68,LMH_KEY,0)),0)),""))</f>
        <v>0.473684210526316</v>
      </c>
      <c r="R68" s="74">
        <f>IF(K68="","",IFERROR(INDEX(LMH_PTS,MATCH(K68,LMH_KEY,0))/SUM(IFERROR(INDEX(LMH_PTS,MATCH(J68,LMH_KEY,0)),0),IFERROR(INDEX(LMH_PTS,MATCH(K68,LMH_KEY,0)),0),IFERROR(INDEX(LMH_PTS,MATCH(L68,LMH_KEY,0)),0),IFERROR(INDEX(LMH_PTS,MATCH(M68,LMH_KEY,0)),0),IFERROR(INDEX(LMH_PTS,MATCH(N68,LMH_KEY,0)),0),IFERROR(INDEX(LMH_PTS,MATCH(O68,LMH_KEY,0)),0),IFERROR(INDEX(LMH_PTS,MATCH(P68,LMH_KEY,0)),0)),""))</f>
        <v>0.157894736842105</v>
      </c>
      <c r="S68" s="74">
        <f>IF(L68="","",IFERROR(INDEX(LMH_PTS,MATCH(L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T68" s="74">
        <f>IF(M68="","",IFERROR(INDEX(LMH_PTS,MATCH(M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U68" s="74">
        <f>IF(N68="","",IFERROR(INDEX(LMH_PTS,MATCH(N68,LMH_KEY,0))/SUM(IFERROR(INDEX(LMH_PTS,MATCH(J68,LMH_KEY,0)),0),IFERROR(INDEX(LMH_PTS,MATCH(K68,LMH_KEY,0)),0),IFERROR(INDEX(LMH_PTS,MATCH(L68,LMH_KEY,0)),0),IFERROR(INDEX(LMH_PTS,MATCH(M68,LMH_KEY,0)),0),IFERROR(INDEX(LMH_PTS,MATCH(N68,LMH_KEY,0)),0),IFERROR(INDEX(LMH_PTS,MATCH(O68,LMH_KEY,0)),0),IFERROR(INDEX(LMH_PTS,MATCH(P68,LMH_KEY,0)),0)),""))</f>
        <v>0.157894736842105</v>
      </c>
      <c r="V68" s="74">
        <f>IF(O68="","",IFERROR(INDEX(LMH_PTS,MATCH(O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W68" s="74">
        <f>IF(P68="","",IFERROR(INDEX(LMH_PTS,MATCH(P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X68" s="44" t="n"/>
      <c r="Y68" s="38" t="inlineStr">
        <is>
          <t>CARBON|Marketing|Account Executive|B1|B-IC</t>
        </is>
      </c>
    </row>
    <row r="69" ht="28" customHeight="1">
      <c r="A69" s="28" t="inlineStr">
        <is>
          <t>CARBON</t>
        </is>
      </c>
      <c r="B69" s="29" t="inlineStr">
        <is>
          <t>Marketing</t>
        </is>
      </c>
      <c r="C69" s="72" t="inlineStr">
        <is>
          <t>B1</t>
        </is>
      </c>
      <c r="D69" s="29" t="inlineStr">
        <is>
          <t>Band B · Specialist / Manager</t>
        </is>
      </c>
      <c r="E69" s="29" t="inlineStr">
        <is>
          <t>Design Specialist – POD Lead</t>
        </is>
      </c>
      <c r="F69" s="29" t="inlineStr">
        <is>
          <t>Band B · Specialist / POD Lead</t>
        </is>
      </c>
      <c r="G69" s="29" t="inlineStr">
        <is>
          <t>Design &amp; Creative</t>
        </is>
      </c>
      <c r="H69" s="29" t="n">
        <v>1</v>
      </c>
      <c r="I69" s="29" t="inlineStr">
        <is>
          <t>Bharani Kumar</t>
        </is>
      </c>
      <c r="J69" s="34" t="str">
        <f>IFERROR(INDEX(RBD_C,MATCH("Design &amp; Creative|B1|B-IC",RBD_KEY,0)),"M")</f>
        <v>H</v>
      </c>
      <c r="K69" s="35" t="str">
        <f>IFERROR(INDEX(RBD_Au,MATCH("Design &amp; Creative|B1|B-IC",RBD_KEY,0)),"M")</f>
        <v>M</v>
      </c>
      <c r="L69" s="35" t="str">
        <f>IFERROR(INDEX(RBD_Ac,MATCH("Design &amp; Creative|B1|B-IC",RBD_KEY,0)),"M")</f>
        <v>L</v>
      </c>
      <c r="M69" s="35" t="str">
        <f>IFERROR(INDEX(RBD_L,MATCH("Design &amp; Creative|B1|B-IC",RBD_KEY,0)),"M")</f>
        <v>L</v>
      </c>
      <c r="N69" s="35" t="str">
        <f>IFERROR(INDEX(RBD_BI,MATCH("Design &amp; Creative|B1|B-IC",RBD_KEY,0)),"M")</f>
        <v>M</v>
      </c>
      <c r="O69" s="35" t="str">
        <f>IFERROR(INDEX(RBD_Exp,MATCH("Design &amp; Creative|B1|B-IC",RBD_KEY,0)),"M")</f>
        <v>L</v>
      </c>
      <c r="P69" s="35" t="str">
        <f>IFERROR(INDEX(RBD_Edu,MATCH("Design &amp; Creative|B1|B-IC",RBD_KEY,0)),"M")</f>
        <v>L</v>
      </c>
      <c r="Q69" s="73">
        <f>IF(J69="","",IFERROR(INDEX(LMH_PTS,MATCH(J69,LMH_KEY,0))/SUM(IFERROR(INDEX(LMH_PTS,MATCH(J69,LMH_KEY,0)),0),IFERROR(INDEX(LMH_PTS,MATCH(K69,LMH_KEY,0)),0),IFERROR(INDEX(LMH_PTS,MATCH(L69,LMH_KEY,0)),0),IFERROR(INDEX(LMH_PTS,MATCH(M69,LMH_KEY,0)),0),IFERROR(INDEX(LMH_PTS,MATCH(N69,LMH_KEY,0)),0),IFERROR(INDEX(LMH_PTS,MATCH(O69,LMH_KEY,0)),0),IFERROR(INDEX(LMH_PTS,MATCH(P69,LMH_KEY,0)),0)),""))</f>
        <v>0.473684210526316</v>
      </c>
      <c r="R69" s="74">
        <f>IF(K69="","",IFERROR(INDEX(LMH_PTS,MATCH(K69,LMH_KEY,0))/SUM(IFERROR(INDEX(LMH_PTS,MATCH(J69,LMH_KEY,0)),0),IFERROR(INDEX(LMH_PTS,MATCH(K69,LMH_KEY,0)),0),IFERROR(INDEX(LMH_PTS,MATCH(L69,LMH_KEY,0)),0),IFERROR(INDEX(LMH_PTS,MATCH(M69,LMH_KEY,0)),0),IFERROR(INDEX(LMH_PTS,MATCH(N69,LMH_KEY,0)),0),IFERROR(INDEX(LMH_PTS,MATCH(O69,LMH_KEY,0)),0),IFERROR(INDEX(LMH_PTS,MATCH(P69,LMH_KEY,0)),0)),""))</f>
        <v>0.157894736842105</v>
      </c>
      <c r="S69" s="74">
        <f>IF(L69="","",IFERROR(INDEX(LMH_PTS,MATCH(L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T69" s="74">
        <f>IF(M69="","",IFERROR(INDEX(LMH_PTS,MATCH(M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U69" s="74">
        <f>IF(N69="","",IFERROR(INDEX(LMH_PTS,MATCH(N69,LMH_KEY,0))/SUM(IFERROR(INDEX(LMH_PTS,MATCH(J69,LMH_KEY,0)),0),IFERROR(INDEX(LMH_PTS,MATCH(K69,LMH_KEY,0)),0),IFERROR(INDEX(LMH_PTS,MATCH(L69,LMH_KEY,0)),0),IFERROR(INDEX(LMH_PTS,MATCH(M69,LMH_KEY,0)),0),IFERROR(INDEX(LMH_PTS,MATCH(N69,LMH_KEY,0)),0),IFERROR(INDEX(LMH_PTS,MATCH(O69,LMH_KEY,0)),0),IFERROR(INDEX(LMH_PTS,MATCH(P69,LMH_KEY,0)),0)),""))</f>
        <v>0.157894736842105</v>
      </c>
      <c r="V69" s="74">
        <f>IF(O69="","",IFERROR(INDEX(LMH_PTS,MATCH(O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W69" s="74">
        <f>IF(P69="","",IFERROR(INDEX(LMH_PTS,MATCH(P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X69" s="44" t="n"/>
      <c r="Y69" s="38" t="inlineStr">
        <is>
          <t>CARBON|Marketing|Design Specialist – POD Lead|B1|B-IC</t>
        </is>
      </c>
    </row>
    <row r="70" ht="28" customHeight="1">
      <c r="A70" s="28" t="inlineStr">
        <is>
          <t>CARBON</t>
        </is>
      </c>
      <c r="B70" s="29" t="inlineStr">
        <is>
          <t>Marketing</t>
        </is>
      </c>
      <c r="C70" s="72" t="inlineStr">
        <is>
          <t>B1</t>
        </is>
      </c>
      <c r="D70" s="29" t="inlineStr">
        <is>
          <t>Band B · Specialist / Manager</t>
        </is>
      </c>
      <c r="E70" s="29" t="inlineStr">
        <is>
          <t>Team Lead – Sales Development</t>
        </is>
      </c>
      <c r="F70" s="29" t="inlineStr">
        <is>
          <t>Band B · People Manager</t>
        </is>
      </c>
      <c r="G70" s="29" t="inlineStr">
        <is>
          <t>Sales &amp; Business Development</t>
        </is>
      </c>
      <c r="H70" s="29" t="n">
        <v>2</v>
      </c>
      <c r="I70" s="29" t="inlineStr">
        <is>
          <t>Priyadarshini Dey, Vijay Krishna Chintha</t>
        </is>
      </c>
      <c r="J70" s="34" t="str">
        <f>IFERROR(INDEX(RBD_C,MATCH("Sales &amp; Business Development|B1|B-M",RBD_KEY,0)),"M")</f>
        <v>H</v>
      </c>
      <c r="K70" s="35" t="str">
        <f>IFERROR(INDEX(RBD_Au,MATCH("Sales &amp; Business Development|B1|B-M",RBD_KEY,0)),"M")</f>
        <v>M</v>
      </c>
      <c r="L70" s="35" t="str">
        <f>IFERROR(INDEX(RBD_Ac,MATCH("Sales &amp; Business Development|B1|B-M",RBD_KEY,0)),"M")</f>
        <v>L</v>
      </c>
      <c r="M70" s="35" t="str">
        <f>IFERROR(INDEX(RBD_L,MATCH("Sales &amp; Business Development|B1|B-M",RBD_KEY,0)),"M")</f>
        <v>M</v>
      </c>
      <c r="N70" s="35" t="str">
        <f>IFERROR(INDEX(RBD_BI,MATCH("Sales &amp; Business Development|B1|B-M",RBD_KEY,0)),"M")</f>
        <v>M</v>
      </c>
      <c r="O70" s="35" t="str">
        <f>IFERROR(INDEX(RBD_Exp,MATCH("Sales &amp; Business Development|B1|B-M",RBD_KEY,0)),"M")</f>
        <v>L</v>
      </c>
      <c r="P70" s="35" t="str">
        <f>IFERROR(INDEX(RBD_Edu,MATCH("Sales &amp; Business Development|B1|B-M",RBD_KEY,0)),"M")</f>
        <v>L</v>
      </c>
      <c r="Q70" s="73">
        <f>IF(J70="","",IFERROR(INDEX(LMH_PTS,MATCH(J70,LMH_KEY,0))/SUM(IFERROR(INDEX(LMH_PTS,MATCH(J70,LMH_KEY,0)),0),IFERROR(INDEX(LMH_PTS,MATCH(K70,LMH_KEY,0)),0),IFERROR(INDEX(LMH_PTS,MATCH(L70,LMH_KEY,0)),0),IFERROR(INDEX(LMH_PTS,MATCH(M70,LMH_KEY,0)),0),IFERROR(INDEX(LMH_PTS,MATCH(N70,LMH_KEY,0)),0),IFERROR(INDEX(LMH_PTS,MATCH(O70,LMH_KEY,0)),0),IFERROR(INDEX(LMH_PTS,MATCH(P70,LMH_KEY,0)),0)),""))</f>
        <v>0.428571428571429</v>
      </c>
      <c r="R70" s="74">
        <f>IF(K70="","",IFERROR(INDEX(LMH_PTS,MATCH(K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S70" s="74">
        <f>IF(L70="","",IFERROR(INDEX(LMH_PTS,MATCH(L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T70" s="74">
        <f>IF(M70="","",IFERROR(INDEX(LMH_PTS,MATCH(M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U70" s="74">
        <f>IF(N70="","",IFERROR(INDEX(LMH_PTS,MATCH(N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V70" s="74">
        <f>IF(O70="","",IFERROR(INDEX(LMH_PTS,MATCH(O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W70" s="74">
        <f>IF(P70="","",IFERROR(INDEX(LMH_PTS,MATCH(P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X70" s="44" t="n"/>
      <c r="Y70" s="38" t="inlineStr">
        <is>
          <t>CARBON|Marketing|Team Lead – Sales Development|B1|B-M</t>
        </is>
      </c>
    </row>
    <row r="71" ht="28" customHeight="1">
      <c r="A71" s="28" t="inlineStr">
        <is>
          <t>CARBON</t>
        </is>
      </c>
      <c r="B71" s="29" t="inlineStr">
        <is>
          <t>Marketing</t>
        </is>
      </c>
      <c r="C71" s="75" t="inlineStr">
        <is>
          <t>A3</t>
        </is>
      </c>
      <c r="D71" s="29" t="inlineStr">
        <is>
          <t>Band A · Practitioner</t>
        </is>
      </c>
      <c r="E71" s="29" t="inlineStr">
        <is>
          <t>Senior Content Marketing Associate</t>
        </is>
      </c>
      <c r="F71" s="29" t="inlineStr">
        <is>
          <t>Band A · all tracks</t>
        </is>
      </c>
      <c r="G71" s="29" t="inlineStr">
        <is>
          <t>Marketing &amp; Communications</t>
        </is>
      </c>
      <c r="H71" s="29" t="n">
        <v>1</v>
      </c>
      <c r="I71" s="29" t="inlineStr">
        <is>
          <t>Alisha Sheikh</t>
        </is>
      </c>
      <c r="J71" s="34" t="str">
        <f>IFERROR(INDEX(RBD_C,MATCH("Marketing &amp; Communications|A3|A",RBD_KEY,0)),"M")</f>
        <v>H</v>
      </c>
      <c r="K71" s="35" t="str">
        <f>IFERROR(INDEX(RBD_Au,MATCH("Marketing &amp; Communications|A3|A",RBD_KEY,0)),"M")</f>
        <v>M</v>
      </c>
      <c r="L71" s="35" t="str">
        <f>IFERROR(INDEX(RBD_Ac,MATCH("Marketing &amp; Communications|A3|A",RBD_KEY,0)),"M")</f>
        <v>L</v>
      </c>
      <c r="M71" s="35" t="str">
        <f>IFERROR(INDEX(RBD_L,MATCH("Marketing &amp; Communications|A3|A",RBD_KEY,0)),"M")</f>
        <v>L</v>
      </c>
      <c r="N71" s="35" t="str">
        <f>IFERROR(INDEX(RBD_BI,MATCH("Marketing &amp; Communications|A3|A",RBD_KEY,0)),"M")</f>
        <v>M</v>
      </c>
      <c r="O71" s="35" t="str">
        <f>IFERROR(INDEX(RBD_Exp,MATCH("Marketing &amp; Communications|A3|A",RBD_KEY,0)),"M")</f>
        <v>L</v>
      </c>
      <c r="P71" s="35" t="str">
        <f>IFERROR(INDEX(RBD_Edu,MATCH("Marketing &amp; Communications|A3|A",RBD_KEY,0)),"M")</f>
        <v>L</v>
      </c>
      <c r="Q71" s="73">
        <f>IF(J71="","",IFERROR(INDEX(LMH_PTS,MATCH(J71,LMH_KEY,0))/SUM(IFERROR(INDEX(LMH_PTS,MATCH(J71,LMH_KEY,0)),0),IFERROR(INDEX(LMH_PTS,MATCH(K71,LMH_KEY,0)),0),IFERROR(INDEX(LMH_PTS,MATCH(L71,LMH_KEY,0)),0),IFERROR(INDEX(LMH_PTS,MATCH(M71,LMH_KEY,0)),0),IFERROR(INDEX(LMH_PTS,MATCH(N71,LMH_KEY,0)),0),IFERROR(INDEX(LMH_PTS,MATCH(O71,LMH_KEY,0)),0),IFERROR(INDEX(LMH_PTS,MATCH(P71,LMH_KEY,0)),0)),""))</f>
        <v>0.473684210526316</v>
      </c>
      <c r="R71" s="74">
        <f>IF(K71="","",IFERROR(INDEX(LMH_PTS,MATCH(K71,LMH_KEY,0))/SUM(IFERROR(INDEX(LMH_PTS,MATCH(J71,LMH_KEY,0)),0),IFERROR(INDEX(LMH_PTS,MATCH(K71,LMH_KEY,0)),0),IFERROR(INDEX(LMH_PTS,MATCH(L71,LMH_KEY,0)),0),IFERROR(INDEX(LMH_PTS,MATCH(M71,LMH_KEY,0)),0),IFERROR(INDEX(LMH_PTS,MATCH(N71,LMH_KEY,0)),0),IFERROR(INDEX(LMH_PTS,MATCH(O71,LMH_KEY,0)),0),IFERROR(INDEX(LMH_PTS,MATCH(P71,LMH_KEY,0)),0)),""))</f>
        <v>0.157894736842105</v>
      </c>
      <c r="S71" s="74">
        <f>IF(L71="","",IFERROR(INDEX(LMH_PTS,MATCH(L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T71" s="74">
        <f>IF(M71="","",IFERROR(INDEX(LMH_PTS,MATCH(M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U71" s="74">
        <f>IF(N71="","",IFERROR(INDEX(LMH_PTS,MATCH(N71,LMH_KEY,0))/SUM(IFERROR(INDEX(LMH_PTS,MATCH(J71,LMH_KEY,0)),0),IFERROR(INDEX(LMH_PTS,MATCH(K71,LMH_KEY,0)),0),IFERROR(INDEX(LMH_PTS,MATCH(L71,LMH_KEY,0)),0),IFERROR(INDEX(LMH_PTS,MATCH(M71,LMH_KEY,0)),0),IFERROR(INDEX(LMH_PTS,MATCH(N71,LMH_KEY,0)),0),IFERROR(INDEX(LMH_PTS,MATCH(O71,LMH_KEY,0)),0),IFERROR(INDEX(LMH_PTS,MATCH(P71,LMH_KEY,0)),0)),""))</f>
        <v>0.157894736842105</v>
      </c>
      <c r="V71" s="74">
        <f>IF(O71="","",IFERROR(INDEX(LMH_PTS,MATCH(O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W71" s="74">
        <f>IF(P71="","",IFERROR(INDEX(LMH_PTS,MATCH(P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X71" s="44" t="n"/>
      <c r="Y71" s="38" t="inlineStr">
        <is>
          <t>CARBON|Marketing|Senior Content Marketing Associate|A3|A</t>
        </is>
      </c>
    </row>
    <row r="72" ht="18" customHeight="1">
      <c r="A72" s="28" t="inlineStr">
        <is>
          <t>CARBON</t>
        </is>
      </c>
      <c r="B72" s="29" t="inlineStr">
        <is>
          <t>Marketing</t>
        </is>
      </c>
      <c r="C72" s="75" t="inlineStr">
        <is>
          <t>A3</t>
        </is>
      </c>
      <c r="D72" s="29" t="inlineStr">
        <is>
          <t>Band A · Practitioner</t>
        </is>
      </c>
      <c r="E72" s="29" t="inlineStr">
        <is>
          <t>Senior Designer</t>
        </is>
      </c>
      <c r="F72" s="29" t="inlineStr">
        <is>
          <t>Band A · all tracks</t>
        </is>
      </c>
      <c r="G72" s="29" t="inlineStr">
        <is>
          <t>Design &amp; Creative</t>
        </is>
      </c>
      <c r="H72" s="29" t="n">
        <v>1</v>
      </c>
      <c r="I72" s="29" t="inlineStr">
        <is>
          <t>Avidi Jeevitesh</t>
        </is>
      </c>
      <c r="J72" s="34" t="str">
        <f>IFERROR(INDEX(RBD_C,MATCH("Design &amp; Creative|A3|A",RBD_KEY,0)),"M")</f>
        <v>H</v>
      </c>
      <c r="K72" s="35" t="str">
        <f>IFERROR(INDEX(RBD_Au,MATCH("Design &amp; Creative|A3|A",RBD_KEY,0)),"M")</f>
        <v>M</v>
      </c>
      <c r="L72" s="35" t="str">
        <f>IFERROR(INDEX(RBD_Ac,MATCH("Design &amp; Creative|A3|A",RBD_KEY,0)),"M")</f>
        <v>L</v>
      </c>
      <c r="M72" s="35" t="str">
        <f>IFERROR(INDEX(RBD_L,MATCH("Design &amp; Creative|A3|A",RBD_KEY,0)),"M")</f>
        <v>L</v>
      </c>
      <c r="N72" s="35" t="str">
        <f>IFERROR(INDEX(RBD_BI,MATCH("Design &amp; Creative|A3|A",RBD_KEY,0)),"M")</f>
        <v>M</v>
      </c>
      <c r="O72" s="35" t="str">
        <f>IFERROR(INDEX(RBD_Exp,MATCH("Design &amp; Creative|A3|A",RBD_KEY,0)),"M")</f>
        <v>L</v>
      </c>
      <c r="P72" s="35" t="str">
        <f>IFERROR(INDEX(RBD_Edu,MATCH("Design &amp; Creative|A3|A",RBD_KEY,0)),"M")</f>
        <v>L</v>
      </c>
      <c r="Q72" s="73">
        <f>IF(J72="","",IFERROR(INDEX(LMH_PTS,MATCH(J72,LMH_KEY,0))/SUM(IFERROR(INDEX(LMH_PTS,MATCH(J72,LMH_KEY,0)),0),IFERROR(INDEX(LMH_PTS,MATCH(K72,LMH_KEY,0)),0),IFERROR(INDEX(LMH_PTS,MATCH(L72,LMH_KEY,0)),0),IFERROR(INDEX(LMH_PTS,MATCH(M72,LMH_KEY,0)),0),IFERROR(INDEX(LMH_PTS,MATCH(N72,LMH_KEY,0)),0),IFERROR(INDEX(LMH_PTS,MATCH(O72,LMH_KEY,0)),0),IFERROR(INDEX(LMH_PTS,MATCH(P72,LMH_KEY,0)),0)),""))</f>
        <v>0.473684210526316</v>
      </c>
      <c r="R72" s="74">
        <f>IF(K72="","",IFERROR(INDEX(LMH_PTS,MATCH(K72,LMH_KEY,0))/SUM(IFERROR(INDEX(LMH_PTS,MATCH(J72,LMH_KEY,0)),0),IFERROR(INDEX(LMH_PTS,MATCH(K72,LMH_KEY,0)),0),IFERROR(INDEX(LMH_PTS,MATCH(L72,LMH_KEY,0)),0),IFERROR(INDEX(LMH_PTS,MATCH(M72,LMH_KEY,0)),0),IFERROR(INDEX(LMH_PTS,MATCH(N72,LMH_KEY,0)),0),IFERROR(INDEX(LMH_PTS,MATCH(O72,LMH_KEY,0)),0),IFERROR(INDEX(LMH_PTS,MATCH(P72,LMH_KEY,0)),0)),""))</f>
        <v>0.157894736842105</v>
      </c>
      <c r="S72" s="74">
        <f>IF(L72="","",IFERROR(INDEX(LMH_PTS,MATCH(L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T72" s="74">
        <f>IF(M72="","",IFERROR(INDEX(LMH_PTS,MATCH(M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U72" s="74">
        <f>IF(N72="","",IFERROR(INDEX(LMH_PTS,MATCH(N72,LMH_KEY,0))/SUM(IFERROR(INDEX(LMH_PTS,MATCH(J72,LMH_KEY,0)),0),IFERROR(INDEX(LMH_PTS,MATCH(K72,LMH_KEY,0)),0),IFERROR(INDEX(LMH_PTS,MATCH(L72,LMH_KEY,0)),0),IFERROR(INDEX(LMH_PTS,MATCH(M72,LMH_KEY,0)),0),IFERROR(INDEX(LMH_PTS,MATCH(N72,LMH_KEY,0)),0),IFERROR(INDEX(LMH_PTS,MATCH(O72,LMH_KEY,0)),0),IFERROR(INDEX(LMH_PTS,MATCH(P72,LMH_KEY,0)),0)),""))</f>
        <v>0.157894736842105</v>
      </c>
      <c r="V72" s="74">
        <f>IF(O72="","",IFERROR(INDEX(LMH_PTS,MATCH(O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W72" s="74">
        <f>IF(P72="","",IFERROR(INDEX(LMH_PTS,MATCH(P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X72" s="44" t="n"/>
      <c r="Y72" s="38" t="inlineStr">
        <is>
          <t>CARBON|Marketing|Senior Designer|A3|A</t>
        </is>
      </c>
    </row>
    <row r="73" ht="28" customHeight="1">
      <c r="A73" s="28" t="inlineStr">
        <is>
          <t>CARBON</t>
        </is>
      </c>
      <c r="B73" s="29" t="inlineStr">
        <is>
          <t>Marketing</t>
        </is>
      </c>
      <c r="C73" s="75" t="inlineStr">
        <is>
          <t>A3</t>
        </is>
      </c>
      <c r="D73" s="29" t="inlineStr">
        <is>
          <t>Band A · Practitioner</t>
        </is>
      </c>
      <c r="E73" s="29" t="inlineStr">
        <is>
          <t>Senior Digital Marketing Associate</t>
        </is>
      </c>
      <c r="F73" s="29" t="inlineStr">
        <is>
          <t>Band A · all tracks</t>
        </is>
      </c>
      <c r="G73" s="29" t="inlineStr">
        <is>
          <t>Marketing &amp; Communications</t>
        </is>
      </c>
      <c r="H73" s="29" t="n">
        <v>1</v>
      </c>
      <c r="I73" s="29" t="inlineStr">
        <is>
          <t>Danish Baksh</t>
        </is>
      </c>
      <c r="J73" s="34" t="str">
        <f>IFERROR(INDEX(RBD_C,MATCH("Marketing &amp; Communications|A3|A",RBD_KEY,0)),"M")</f>
        <v>H</v>
      </c>
      <c r="K73" s="35" t="str">
        <f>IFERROR(INDEX(RBD_Au,MATCH("Marketing &amp; Communications|A3|A",RBD_KEY,0)),"M")</f>
        <v>M</v>
      </c>
      <c r="L73" s="35" t="str">
        <f>IFERROR(INDEX(RBD_Ac,MATCH("Marketing &amp; Communications|A3|A",RBD_KEY,0)),"M")</f>
        <v>L</v>
      </c>
      <c r="M73" s="35" t="str">
        <f>IFERROR(INDEX(RBD_L,MATCH("Marketing &amp; Communications|A3|A",RBD_KEY,0)),"M")</f>
        <v>L</v>
      </c>
      <c r="N73" s="35" t="str">
        <f>IFERROR(INDEX(RBD_BI,MATCH("Marketing &amp; Communications|A3|A",RBD_KEY,0)),"M")</f>
        <v>M</v>
      </c>
      <c r="O73" s="35" t="str">
        <f>IFERROR(INDEX(RBD_Exp,MATCH("Marketing &amp; Communications|A3|A",RBD_KEY,0)),"M")</f>
        <v>L</v>
      </c>
      <c r="P73" s="35" t="str">
        <f>IFERROR(INDEX(RBD_Edu,MATCH("Marketing &amp; Communications|A3|A",RBD_KEY,0)),"M")</f>
        <v>L</v>
      </c>
      <c r="Q73" s="73">
        <f>IF(J73="","",IFERROR(INDEX(LMH_PTS,MATCH(J73,LMH_KEY,0))/SUM(IFERROR(INDEX(LMH_PTS,MATCH(J73,LMH_KEY,0)),0),IFERROR(INDEX(LMH_PTS,MATCH(K73,LMH_KEY,0)),0),IFERROR(INDEX(LMH_PTS,MATCH(L73,LMH_KEY,0)),0),IFERROR(INDEX(LMH_PTS,MATCH(M73,LMH_KEY,0)),0),IFERROR(INDEX(LMH_PTS,MATCH(N73,LMH_KEY,0)),0),IFERROR(INDEX(LMH_PTS,MATCH(O73,LMH_KEY,0)),0),IFERROR(INDEX(LMH_PTS,MATCH(P73,LMH_KEY,0)),0)),""))</f>
        <v>0.473684210526316</v>
      </c>
      <c r="R73" s="74">
        <f>IF(K73="","",IFERROR(INDEX(LMH_PTS,MATCH(K73,LMH_KEY,0))/SUM(IFERROR(INDEX(LMH_PTS,MATCH(J73,LMH_KEY,0)),0),IFERROR(INDEX(LMH_PTS,MATCH(K73,LMH_KEY,0)),0),IFERROR(INDEX(LMH_PTS,MATCH(L73,LMH_KEY,0)),0),IFERROR(INDEX(LMH_PTS,MATCH(M73,LMH_KEY,0)),0),IFERROR(INDEX(LMH_PTS,MATCH(N73,LMH_KEY,0)),0),IFERROR(INDEX(LMH_PTS,MATCH(O73,LMH_KEY,0)),0),IFERROR(INDEX(LMH_PTS,MATCH(P73,LMH_KEY,0)),0)),""))</f>
        <v>0.157894736842105</v>
      </c>
      <c r="S73" s="74">
        <f>IF(L73="","",IFERROR(INDEX(LMH_PTS,MATCH(L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T73" s="74">
        <f>IF(M73="","",IFERROR(INDEX(LMH_PTS,MATCH(M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U73" s="74">
        <f>IF(N73="","",IFERROR(INDEX(LMH_PTS,MATCH(N73,LMH_KEY,0))/SUM(IFERROR(INDEX(LMH_PTS,MATCH(J73,LMH_KEY,0)),0),IFERROR(INDEX(LMH_PTS,MATCH(K73,LMH_KEY,0)),0),IFERROR(INDEX(LMH_PTS,MATCH(L73,LMH_KEY,0)),0),IFERROR(INDEX(LMH_PTS,MATCH(M73,LMH_KEY,0)),0),IFERROR(INDEX(LMH_PTS,MATCH(N73,LMH_KEY,0)),0),IFERROR(INDEX(LMH_PTS,MATCH(O73,LMH_KEY,0)),0),IFERROR(INDEX(LMH_PTS,MATCH(P73,LMH_KEY,0)),0)),""))</f>
        <v>0.157894736842105</v>
      </c>
      <c r="V73" s="74">
        <f>IF(O73="","",IFERROR(INDEX(LMH_PTS,MATCH(O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W73" s="74">
        <f>IF(P73="","",IFERROR(INDEX(LMH_PTS,MATCH(P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X73" s="44" t="n"/>
      <c r="Y73" s="38" t="inlineStr">
        <is>
          <t>CARBON|Marketing|Senior Digital Marketing Associate|A3|A</t>
        </is>
      </c>
    </row>
    <row r="74" ht="28" customHeight="1">
      <c r="A74" s="28" t="inlineStr">
        <is>
          <t>CARBON</t>
        </is>
      </c>
      <c r="B74" s="29" t="inlineStr">
        <is>
          <t>Marketing</t>
        </is>
      </c>
      <c r="C74" s="75" t="inlineStr">
        <is>
          <t>A3</t>
        </is>
      </c>
      <c r="D74" s="29" t="inlineStr">
        <is>
          <t>Band A · Practitioner</t>
        </is>
      </c>
      <c r="E74" s="29" t="inlineStr">
        <is>
          <t>Senior Marketing Operations Associate</t>
        </is>
      </c>
      <c r="F74" s="29" t="inlineStr">
        <is>
          <t>Band A · all tracks</t>
        </is>
      </c>
      <c r="G74" s="29" t="inlineStr">
        <is>
          <t>Marketing &amp; Communications</t>
        </is>
      </c>
      <c r="H74" s="29" t="n">
        <v>1</v>
      </c>
      <c r="I74" s="29" t="inlineStr">
        <is>
          <t>Mounika Kattula</t>
        </is>
      </c>
      <c r="J74" s="34" t="str">
        <f>IFERROR(INDEX(RBD_C,MATCH("Marketing &amp; Communications|A3|A",RBD_KEY,0)),"M")</f>
        <v>H</v>
      </c>
      <c r="K74" s="35" t="str">
        <f>IFERROR(INDEX(RBD_Au,MATCH("Marketing &amp; Communications|A3|A",RBD_KEY,0)),"M")</f>
        <v>M</v>
      </c>
      <c r="L74" s="35" t="str">
        <f>IFERROR(INDEX(RBD_Ac,MATCH("Marketing &amp; Communications|A3|A",RBD_KEY,0)),"M")</f>
        <v>L</v>
      </c>
      <c r="M74" s="35" t="str">
        <f>IFERROR(INDEX(RBD_L,MATCH("Marketing &amp; Communications|A3|A",RBD_KEY,0)),"M")</f>
        <v>L</v>
      </c>
      <c r="N74" s="35" t="str">
        <f>IFERROR(INDEX(RBD_BI,MATCH("Marketing &amp; Communications|A3|A",RBD_KEY,0)),"M")</f>
        <v>M</v>
      </c>
      <c r="O74" s="35" t="str">
        <f>IFERROR(INDEX(RBD_Exp,MATCH("Marketing &amp; Communications|A3|A",RBD_KEY,0)),"M")</f>
        <v>L</v>
      </c>
      <c r="P74" s="35" t="str">
        <f>IFERROR(INDEX(RBD_Edu,MATCH("Marketing &amp; Communications|A3|A",RBD_KEY,0)),"M")</f>
        <v>L</v>
      </c>
      <c r="Q74" s="73">
        <f>IF(J74="","",IFERROR(INDEX(LMH_PTS,MATCH(J74,LMH_KEY,0))/SUM(IFERROR(INDEX(LMH_PTS,MATCH(J74,LMH_KEY,0)),0),IFERROR(INDEX(LMH_PTS,MATCH(K74,LMH_KEY,0)),0),IFERROR(INDEX(LMH_PTS,MATCH(L74,LMH_KEY,0)),0),IFERROR(INDEX(LMH_PTS,MATCH(M74,LMH_KEY,0)),0),IFERROR(INDEX(LMH_PTS,MATCH(N74,LMH_KEY,0)),0),IFERROR(INDEX(LMH_PTS,MATCH(O74,LMH_KEY,0)),0),IFERROR(INDEX(LMH_PTS,MATCH(P74,LMH_KEY,0)),0)),""))</f>
        <v>0.473684210526316</v>
      </c>
      <c r="R74" s="74">
        <f>IF(K74="","",IFERROR(INDEX(LMH_PTS,MATCH(K74,LMH_KEY,0))/SUM(IFERROR(INDEX(LMH_PTS,MATCH(J74,LMH_KEY,0)),0),IFERROR(INDEX(LMH_PTS,MATCH(K74,LMH_KEY,0)),0),IFERROR(INDEX(LMH_PTS,MATCH(L74,LMH_KEY,0)),0),IFERROR(INDEX(LMH_PTS,MATCH(M74,LMH_KEY,0)),0),IFERROR(INDEX(LMH_PTS,MATCH(N74,LMH_KEY,0)),0),IFERROR(INDEX(LMH_PTS,MATCH(O74,LMH_KEY,0)),0),IFERROR(INDEX(LMH_PTS,MATCH(P74,LMH_KEY,0)),0)),""))</f>
        <v>0.157894736842105</v>
      </c>
      <c r="S74" s="74">
        <f>IF(L74="","",IFERROR(INDEX(LMH_PTS,MATCH(L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T74" s="74">
        <f>IF(M74="","",IFERROR(INDEX(LMH_PTS,MATCH(M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U74" s="74">
        <f>IF(N74="","",IFERROR(INDEX(LMH_PTS,MATCH(N74,LMH_KEY,0))/SUM(IFERROR(INDEX(LMH_PTS,MATCH(J74,LMH_KEY,0)),0),IFERROR(INDEX(LMH_PTS,MATCH(K74,LMH_KEY,0)),0),IFERROR(INDEX(LMH_PTS,MATCH(L74,LMH_KEY,0)),0),IFERROR(INDEX(LMH_PTS,MATCH(M74,LMH_KEY,0)),0),IFERROR(INDEX(LMH_PTS,MATCH(N74,LMH_KEY,0)),0),IFERROR(INDEX(LMH_PTS,MATCH(O74,LMH_KEY,0)),0),IFERROR(INDEX(LMH_PTS,MATCH(P74,LMH_KEY,0)),0)),""))</f>
        <v>0.157894736842105</v>
      </c>
      <c r="V74" s="74">
        <f>IF(O74="","",IFERROR(INDEX(LMH_PTS,MATCH(O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W74" s="74">
        <f>IF(P74="","",IFERROR(INDEX(LMH_PTS,MATCH(P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X74" s="44" t="n"/>
      <c r="Y74" s="38" t="inlineStr">
        <is>
          <t>CARBON|Marketing|Senior Marketing Operations Associate|A3|A</t>
        </is>
      </c>
    </row>
    <row r="75" ht="28" customHeight="1">
      <c r="A75" s="28" t="inlineStr">
        <is>
          <t>CARBON</t>
        </is>
      </c>
      <c r="B75" s="29" t="inlineStr">
        <is>
          <t>Marketing</t>
        </is>
      </c>
      <c r="C75" s="75" t="inlineStr">
        <is>
          <t>A3</t>
        </is>
      </c>
      <c r="D75" s="29" t="inlineStr">
        <is>
          <t>Band A · Practitioner</t>
        </is>
      </c>
      <c r="E75" s="29" t="inlineStr">
        <is>
          <t>Senior Sales Development Representative</t>
        </is>
      </c>
      <c r="F75" s="29" t="inlineStr">
        <is>
          <t>Band A · all tracks</t>
        </is>
      </c>
      <c r="G75" s="29" t="inlineStr">
        <is>
          <t>Sales &amp; Business Development</t>
        </is>
      </c>
      <c r="H75" s="29" t="n">
        <v>3</v>
      </c>
      <c r="I75" s="29" t="inlineStr">
        <is>
          <t>Fatima Bhaiji, Rahul Nishikant Pawar, Mausam Thakkar</t>
        </is>
      </c>
      <c r="J75" s="34" t="str">
        <f>IFERROR(INDEX(RBD_C,MATCH("Sales &amp; Business Development|A3|A",RBD_KEY,0)),"M")</f>
        <v>H</v>
      </c>
      <c r="K75" s="35" t="str">
        <f>IFERROR(INDEX(RBD_Au,MATCH("Sales &amp; Business Development|A3|A",RBD_KEY,0)),"M")</f>
        <v>M</v>
      </c>
      <c r="L75" s="35" t="str">
        <f>IFERROR(INDEX(RBD_Ac,MATCH("Sales &amp; Business Development|A3|A",RBD_KEY,0)),"M")</f>
        <v>L</v>
      </c>
      <c r="M75" s="35" t="str">
        <f>IFERROR(INDEX(RBD_L,MATCH("Sales &amp; Business Development|A3|A",RBD_KEY,0)),"M")</f>
        <v>L</v>
      </c>
      <c r="N75" s="35" t="str">
        <f>IFERROR(INDEX(RBD_BI,MATCH("Sales &amp; Business Development|A3|A",RBD_KEY,0)),"M")</f>
        <v>M</v>
      </c>
      <c r="O75" s="35" t="str">
        <f>IFERROR(INDEX(RBD_Exp,MATCH("Sales &amp; Business Development|A3|A",RBD_KEY,0)),"M")</f>
        <v>L</v>
      </c>
      <c r="P75" s="35" t="str">
        <f>IFERROR(INDEX(RBD_Edu,MATCH("Sales &amp; Business Development|A3|A",RBD_KEY,0)),"M")</f>
        <v>L</v>
      </c>
      <c r="Q75" s="73">
        <f>IF(J75="","",IFERROR(INDEX(LMH_PTS,MATCH(J75,LMH_KEY,0))/SUM(IFERROR(INDEX(LMH_PTS,MATCH(J75,LMH_KEY,0)),0),IFERROR(INDEX(LMH_PTS,MATCH(K75,LMH_KEY,0)),0),IFERROR(INDEX(LMH_PTS,MATCH(L75,LMH_KEY,0)),0),IFERROR(INDEX(LMH_PTS,MATCH(M75,LMH_KEY,0)),0),IFERROR(INDEX(LMH_PTS,MATCH(N75,LMH_KEY,0)),0),IFERROR(INDEX(LMH_PTS,MATCH(O75,LMH_KEY,0)),0),IFERROR(INDEX(LMH_PTS,MATCH(P75,LMH_KEY,0)),0)),""))</f>
        <v>0.473684210526316</v>
      </c>
      <c r="R75" s="74">
        <f>IF(K75="","",IFERROR(INDEX(LMH_PTS,MATCH(K75,LMH_KEY,0))/SUM(IFERROR(INDEX(LMH_PTS,MATCH(J75,LMH_KEY,0)),0),IFERROR(INDEX(LMH_PTS,MATCH(K75,LMH_KEY,0)),0),IFERROR(INDEX(LMH_PTS,MATCH(L75,LMH_KEY,0)),0),IFERROR(INDEX(LMH_PTS,MATCH(M75,LMH_KEY,0)),0),IFERROR(INDEX(LMH_PTS,MATCH(N75,LMH_KEY,0)),0),IFERROR(INDEX(LMH_PTS,MATCH(O75,LMH_KEY,0)),0),IFERROR(INDEX(LMH_PTS,MATCH(P75,LMH_KEY,0)),0)),""))</f>
        <v>0.157894736842105</v>
      </c>
      <c r="S75" s="74">
        <f>IF(L75="","",IFERROR(INDEX(LMH_PTS,MATCH(L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T75" s="74">
        <f>IF(M75="","",IFERROR(INDEX(LMH_PTS,MATCH(M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U75" s="74">
        <f>IF(N75="","",IFERROR(INDEX(LMH_PTS,MATCH(N75,LMH_KEY,0))/SUM(IFERROR(INDEX(LMH_PTS,MATCH(J75,LMH_KEY,0)),0),IFERROR(INDEX(LMH_PTS,MATCH(K75,LMH_KEY,0)),0),IFERROR(INDEX(LMH_PTS,MATCH(L75,LMH_KEY,0)),0),IFERROR(INDEX(LMH_PTS,MATCH(M75,LMH_KEY,0)),0),IFERROR(INDEX(LMH_PTS,MATCH(N75,LMH_KEY,0)),0),IFERROR(INDEX(LMH_PTS,MATCH(O75,LMH_KEY,0)),0),IFERROR(INDEX(LMH_PTS,MATCH(P75,LMH_KEY,0)),0)),""))</f>
        <v>0.157894736842105</v>
      </c>
      <c r="V75" s="74">
        <f>IF(O75="","",IFERROR(INDEX(LMH_PTS,MATCH(O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W75" s="74">
        <f>IF(P75="","",IFERROR(INDEX(LMH_PTS,MATCH(P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X75" s="44" t="n"/>
      <c r="Y75" s="38" t="inlineStr">
        <is>
          <t>CARBON|Marketing|Senior Sales Development Representative|A3|A</t>
        </is>
      </c>
    </row>
    <row r="76" ht="28" customHeight="1">
      <c r="A76" s="28" t="inlineStr">
        <is>
          <t>CARBON</t>
        </is>
      </c>
      <c r="B76" s="29" t="inlineStr">
        <is>
          <t>Marketing</t>
        </is>
      </c>
      <c r="C76" s="75" t="inlineStr">
        <is>
          <t>A2</t>
        </is>
      </c>
      <c r="D76" s="29" t="inlineStr">
        <is>
          <t>Band A · Practitioner</t>
        </is>
      </c>
      <c r="E76" s="29" t="inlineStr">
        <is>
          <t>Content Marketing Associate</t>
        </is>
      </c>
      <c r="F76" s="29" t="inlineStr">
        <is>
          <t>Band A · all tracks</t>
        </is>
      </c>
      <c r="G76" s="29" t="inlineStr">
        <is>
          <t>Marketing &amp; Communications</t>
        </is>
      </c>
      <c r="H76" s="29" t="n">
        <v>4</v>
      </c>
      <c r="I76" s="29" t="inlineStr">
        <is>
          <t>Aakansha Gupta, Rimsha Khan, Shubhangi Sharma, Jatin Khare</t>
        </is>
      </c>
      <c r="J76" s="34" t="str">
        <f>IFERROR(INDEX(RBD_C,MATCH("Marketing &amp; Communications|A2|A",RBD_KEY,0)),"M")</f>
        <v>H</v>
      </c>
      <c r="K76" s="35" t="str">
        <f>IFERROR(INDEX(RBD_Au,MATCH("Marketing &amp; Communications|A2|A",RBD_KEY,0)),"M")</f>
        <v>M</v>
      </c>
      <c r="L76" s="35" t="str">
        <f>IFERROR(INDEX(RBD_Ac,MATCH("Marketing &amp; Communications|A2|A",RBD_KEY,0)),"M")</f>
        <v>L</v>
      </c>
      <c r="M76" s="35" t="str">
        <f>IFERROR(INDEX(RBD_L,MATCH("Marketing &amp; Communications|A2|A",RBD_KEY,0)),"M")</f>
        <v>L</v>
      </c>
      <c r="N76" s="35" t="str">
        <f>IFERROR(INDEX(RBD_BI,MATCH("Marketing &amp; Communications|A2|A",RBD_KEY,0)),"M")</f>
        <v>M</v>
      </c>
      <c r="O76" s="35" t="str">
        <f>IFERROR(INDEX(RBD_Exp,MATCH("Marketing &amp; Communications|A2|A",RBD_KEY,0)),"M")</f>
        <v>L</v>
      </c>
      <c r="P76" s="35" t="str">
        <f>IFERROR(INDEX(RBD_Edu,MATCH("Marketing &amp; Communications|A2|A",RBD_KEY,0)),"M")</f>
        <v>L</v>
      </c>
      <c r="Q76" s="73">
        <f>IF(J76="","",IFERROR(INDEX(LMH_PTS,MATCH(J76,LMH_KEY,0))/SUM(IFERROR(INDEX(LMH_PTS,MATCH(J76,LMH_KEY,0)),0),IFERROR(INDEX(LMH_PTS,MATCH(K76,LMH_KEY,0)),0),IFERROR(INDEX(LMH_PTS,MATCH(L76,LMH_KEY,0)),0),IFERROR(INDEX(LMH_PTS,MATCH(M76,LMH_KEY,0)),0),IFERROR(INDEX(LMH_PTS,MATCH(N76,LMH_KEY,0)),0),IFERROR(INDEX(LMH_PTS,MATCH(O76,LMH_KEY,0)),0),IFERROR(INDEX(LMH_PTS,MATCH(P76,LMH_KEY,0)),0)),""))</f>
        <v>0.473684210526316</v>
      </c>
      <c r="R76" s="74">
        <f>IF(K76="","",IFERROR(INDEX(LMH_PTS,MATCH(K76,LMH_KEY,0))/SUM(IFERROR(INDEX(LMH_PTS,MATCH(J76,LMH_KEY,0)),0),IFERROR(INDEX(LMH_PTS,MATCH(K76,LMH_KEY,0)),0),IFERROR(INDEX(LMH_PTS,MATCH(L76,LMH_KEY,0)),0),IFERROR(INDEX(LMH_PTS,MATCH(M76,LMH_KEY,0)),0),IFERROR(INDEX(LMH_PTS,MATCH(N76,LMH_KEY,0)),0),IFERROR(INDEX(LMH_PTS,MATCH(O76,LMH_KEY,0)),0),IFERROR(INDEX(LMH_PTS,MATCH(P76,LMH_KEY,0)),0)),""))</f>
        <v>0.157894736842105</v>
      </c>
      <c r="S76" s="74">
        <f>IF(L76="","",IFERROR(INDEX(LMH_PTS,MATCH(L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T76" s="74">
        <f>IF(M76="","",IFERROR(INDEX(LMH_PTS,MATCH(M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U76" s="74">
        <f>IF(N76="","",IFERROR(INDEX(LMH_PTS,MATCH(N76,LMH_KEY,0))/SUM(IFERROR(INDEX(LMH_PTS,MATCH(J76,LMH_KEY,0)),0),IFERROR(INDEX(LMH_PTS,MATCH(K76,LMH_KEY,0)),0),IFERROR(INDEX(LMH_PTS,MATCH(L76,LMH_KEY,0)),0),IFERROR(INDEX(LMH_PTS,MATCH(M76,LMH_KEY,0)),0),IFERROR(INDEX(LMH_PTS,MATCH(N76,LMH_KEY,0)),0),IFERROR(INDEX(LMH_PTS,MATCH(O76,LMH_KEY,0)),0),IFERROR(INDEX(LMH_PTS,MATCH(P76,LMH_KEY,0)),0)),""))</f>
        <v>0.157894736842105</v>
      </c>
      <c r="V76" s="74">
        <f>IF(O76="","",IFERROR(INDEX(LMH_PTS,MATCH(O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W76" s="74">
        <f>IF(P76="","",IFERROR(INDEX(LMH_PTS,MATCH(P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X76" s="44" t="n"/>
      <c r="Y76" s="38" t="inlineStr">
        <is>
          <t>CARBON|Marketing|Content Marketing Associate|A2|A</t>
        </is>
      </c>
    </row>
    <row r="77" ht="18" customHeight="1">
      <c r="A77" s="28" t="inlineStr">
        <is>
          <t>CARBON</t>
        </is>
      </c>
      <c r="B77" s="29" t="inlineStr">
        <is>
          <t>Marketing</t>
        </is>
      </c>
      <c r="C77" s="75" t="inlineStr">
        <is>
          <t>A2</t>
        </is>
      </c>
      <c r="D77" s="29" t="inlineStr">
        <is>
          <t>Band A · Practitioner</t>
        </is>
      </c>
      <c r="E77" s="29" t="inlineStr">
        <is>
          <t>Marketing Associate</t>
        </is>
      </c>
      <c r="F77" s="29" t="inlineStr">
        <is>
          <t>Band A · all tracks</t>
        </is>
      </c>
      <c r="G77" s="29" t="inlineStr">
        <is>
          <t>Marketing &amp; Communications</t>
        </is>
      </c>
      <c r="H77" s="29" t="n">
        <v>1</v>
      </c>
      <c r="I77" s="29" t="inlineStr">
        <is>
          <t>Aashima Singh</t>
        </is>
      </c>
      <c r="J77" s="34" t="str">
        <f>IFERROR(INDEX(RBD_C,MATCH("Marketing &amp; Communications|A2|A",RBD_KEY,0)),"M")</f>
        <v>H</v>
      </c>
      <c r="K77" s="35" t="str">
        <f>IFERROR(INDEX(RBD_Au,MATCH("Marketing &amp; Communications|A2|A",RBD_KEY,0)),"M")</f>
        <v>M</v>
      </c>
      <c r="L77" s="35" t="str">
        <f>IFERROR(INDEX(RBD_Ac,MATCH("Marketing &amp; Communications|A2|A",RBD_KEY,0)),"M")</f>
        <v>L</v>
      </c>
      <c r="M77" s="35" t="str">
        <f>IFERROR(INDEX(RBD_L,MATCH("Marketing &amp; Communications|A2|A",RBD_KEY,0)),"M")</f>
        <v>L</v>
      </c>
      <c r="N77" s="35" t="str">
        <f>IFERROR(INDEX(RBD_BI,MATCH("Marketing &amp; Communications|A2|A",RBD_KEY,0)),"M")</f>
        <v>M</v>
      </c>
      <c r="O77" s="35" t="str">
        <f>IFERROR(INDEX(RBD_Exp,MATCH("Marketing &amp; Communications|A2|A",RBD_KEY,0)),"M")</f>
        <v>L</v>
      </c>
      <c r="P77" s="35" t="str">
        <f>IFERROR(INDEX(RBD_Edu,MATCH("Marketing &amp; Communications|A2|A",RBD_KEY,0)),"M")</f>
        <v>L</v>
      </c>
      <c r="Q77" s="73">
        <f>IF(J77="","",IFERROR(INDEX(LMH_PTS,MATCH(J77,LMH_KEY,0))/SUM(IFERROR(INDEX(LMH_PTS,MATCH(J77,LMH_KEY,0)),0),IFERROR(INDEX(LMH_PTS,MATCH(K77,LMH_KEY,0)),0),IFERROR(INDEX(LMH_PTS,MATCH(L77,LMH_KEY,0)),0),IFERROR(INDEX(LMH_PTS,MATCH(M77,LMH_KEY,0)),0),IFERROR(INDEX(LMH_PTS,MATCH(N77,LMH_KEY,0)),0),IFERROR(INDEX(LMH_PTS,MATCH(O77,LMH_KEY,0)),0),IFERROR(INDEX(LMH_PTS,MATCH(P77,LMH_KEY,0)),0)),""))</f>
        <v>0.473684210526316</v>
      </c>
      <c r="R77" s="74">
        <f>IF(K77="","",IFERROR(INDEX(LMH_PTS,MATCH(K77,LMH_KEY,0))/SUM(IFERROR(INDEX(LMH_PTS,MATCH(J77,LMH_KEY,0)),0),IFERROR(INDEX(LMH_PTS,MATCH(K77,LMH_KEY,0)),0),IFERROR(INDEX(LMH_PTS,MATCH(L77,LMH_KEY,0)),0),IFERROR(INDEX(LMH_PTS,MATCH(M77,LMH_KEY,0)),0),IFERROR(INDEX(LMH_PTS,MATCH(N77,LMH_KEY,0)),0),IFERROR(INDEX(LMH_PTS,MATCH(O77,LMH_KEY,0)),0),IFERROR(INDEX(LMH_PTS,MATCH(P77,LMH_KEY,0)),0)),""))</f>
        <v>0.157894736842105</v>
      </c>
      <c r="S77" s="74">
        <f>IF(L77="","",IFERROR(INDEX(LMH_PTS,MATCH(L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T77" s="74">
        <f>IF(M77="","",IFERROR(INDEX(LMH_PTS,MATCH(M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U77" s="74">
        <f>IF(N77="","",IFERROR(INDEX(LMH_PTS,MATCH(N77,LMH_KEY,0))/SUM(IFERROR(INDEX(LMH_PTS,MATCH(J77,LMH_KEY,0)),0),IFERROR(INDEX(LMH_PTS,MATCH(K77,LMH_KEY,0)),0),IFERROR(INDEX(LMH_PTS,MATCH(L77,LMH_KEY,0)),0),IFERROR(INDEX(LMH_PTS,MATCH(M77,LMH_KEY,0)),0),IFERROR(INDEX(LMH_PTS,MATCH(N77,LMH_KEY,0)),0),IFERROR(INDEX(LMH_PTS,MATCH(O77,LMH_KEY,0)),0),IFERROR(INDEX(LMH_PTS,MATCH(P77,LMH_KEY,0)),0)),""))</f>
        <v>0.157894736842105</v>
      </c>
      <c r="V77" s="74">
        <f>IF(O77="","",IFERROR(INDEX(LMH_PTS,MATCH(O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W77" s="74">
        <f>IF(P77="","",IFERROR(INDEX(LMH_PTS,MATCH(P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X77" s="44" t="n"/>
      <c r="Y77" s="38" t="inlineStr">
        <is>
          <t>CARBON|Marketing|Marketing Associate|A2|A</t>
        </is>
      </c>
    </row>
    <row r="78" ht="28" customHeight="1">
      <c r="A78" s="28" t="inlineStr">
        <is>
          <t>CARBON</t>
        </is>
      </c>
      <c r="B78" s="29" t="inlineStr">
        <is>
          <t>Marketing</t>
        </is>
      </c>
      <c r="C78" s="75" t="inlineStr">
        <is>
          <t>A2</t>
        </is>
      </c>
      <c r="D78" s="29" t="inlineStr">
        <is>
          <t>Band A · Practitioner</t>
        </is>
      </c>
      <c r="E78" s="29" t="inlineStr">
        <is>
          <t>Marketing Operations Associate</t>
        </is>
      </c>
      <c r="F78" s="29" t="inlineStr">
        <is>
          <t>Band A · all tracks</t>
        </is>
      </c>
      <c r="G78" s="29" t="inlineStr">
        <is>
          <t>Marketing &amp; Communications</t>
        </is>
      </c>
      <c r="H78" s="29" t="n">
        <v>3</v>
      </c>
      <c r="I78" s="29" t="inlineStr">
        <is>
          <t>Kaninika Kali, Vishal, Ritam Mukhopadhyay</t>
        </is>
      </c>
      <c r="J78" s="34" t="str">
        <f>IFERROR(INDEX(RBD_C,MATCH("Marketing &amp; Communications|A2|A",RBD_KEY,0)),"M")</f>
        <v>H</v>
      </c>
      <c r="K78" s="35" t="str">
        <f>IFERROR(INDEX(RBD_Au,MATCH("Marketing &amp; Communications|A2|A",RBD_KEY,0)),"M")</f>
        <v>M</v>
      </c>
      <c r="L78" s="35" t="str">
        <f>IFERROR(INDEX(RBD_Ac,MATCH("Marketing &amp; Communications|A2|A",RBD_KEY,0)),"M")</f>
        <v>L</v>
      </c>
      <c r="M78" s="35" t="str">
        <f>IFERROR(INDEX(RBD_L,MATCH("Marketing &amp; Communications|A2|A",RBD_KEY,0)),"M")</f>
        <v>L</v>
      </c>
      <c r="N78" s="35" t="str">
        <f>IFERROR(INDEX(RBD_BI,MATCH("Marketing &amp; Communications|A2|A",RBD_KEY,0)),"M")</f>
        <v>M</v>
      </c>
      <c r="O78" s="35" t="str">
        <f>IFERROR(INDEX(RBD_Exp,MATCH("Marketing &amp; Communications|A2|A",RBD_KEY,0)),"M")</f>
        <v>L</v>
      </c>
      <c r="P78" s="35" t="str">
        <f>IFERROR(INDEX(RBD_Edu,MATCH("Marketing &amp; Communications|A2|A",RBD_KEY,0)),"M")</f>
        <v>L</v>
      </c>
      <c r="Q78" s="73">
        <f>IF(J78="","",IFERROR(INDEX(LMH_PTS,MATCH(J78,LMH_KEY,0))/SUM(IFERROR(INDEX(LMH_PTS,MATCH(J78,LMH_KEY,0)),0),IFERROR(INDEX(LMH_PTS,MATCH(K78,LMH_KEY,0)),0),IFERROR(INDEX(LMH_PTS,MATCH(L78,LMH_KEY,0)),0),IFERROR(INDEX(LMH_PTS,MATCH(M78,LMH_KEY,0)),0),IFERROR(INDEX(LMH_PTS,MATCH(N78,LMH_KEY,0)),0),IFERROR(INDEX(LMH_PTS,MATCH(O78,LMH_KEY,0)),0),IFERROR(INDEX(LMH_PTS,MATCH(P78,LMH_KEY,0)),0)),""))</f>
        <v>0.473684210526316</v>
      </c>
      <c r="R78" s="74">
        <f>IF(K78="","",IFERROR(INDEX(LMH_PTS,MATCH(K78,LMH_KEY,0))/SUM(IFERROR(INDEX(LMH_PTS,MATCH(J78,LMH_KEY,0)),0),IFERROR(INDEX(LMH_PTS,MATCH(K78,LMH_KEY,0)),0),IFERROR(INDEX(LMH_PTS,MATCH(L78,LMH_KEY,0)),0),IFERROR(INDEX(LMH_PTS,MATCH(M78,LMH_KEY,0)),0),IFERROR(INDEX(LMH_PTS,MATCH(N78,LMH_KEY,0)),0),IFERROR(INDEX(LMH_PTS,MATCH(O78,LMH_KEY,0)),0),IFERROR(INDEX(LMH_PTS,MATCH(P78,LMH_KEY,0)),0)),""))</f>
        <v>0.157894736842105</v>
      </c>
      <c r="S78" s="74">
        <f>IF(L78="","",IFERROR(INDEX(LMH_PTS,MATCH(L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T78" s="74">
        <f>IF(M78="","",IFERROR(INDEX(LMH_PTS,MATCH(M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U78" s="74">
        <f>IF(N78="","",IFERROR(INDEX(LMH_PTS,MATCH(N78,LMH_KEY,0))/SUM(IFERROR(INDEX(LMH_PTS,MATCH(J78,LMH_KEY,0)),0),IFERROR(INDEX(LMH_PTS,MATCH(K78,LMH_KEY,0)),0),IFERROR(INDEX(LMH_PTS,MATCH(L78,LMH_KEY,0)),0),IFERROR(INDEX(LMH_PTS,MATCH(M78,LMH_KEY,0)),0),IFERROR(INDEX(LMH_PTS,MATCH(N78,LMH_KEY,0)),0),IFERROR(INDEX(LMH_PTS,MATCH(O78,LMH_KEY,0)),0),IFERROR(INDEX(LMH_PTS,MATCH(P78,LMH_KEY,0)),0)),""))</f>
        <v>0.157894736842105</v>
      </c>
      <c r="V78" s="74">
        <f>IF(O78="","",IFERROR(INDEX(LMH_PTS,MATCH(O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W78" s="74">
        <f>IF(P78="","",IFERROR(INDEX(LMH_PTS,MATCH(P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X78" s="44" t="n"/>
      <c r="Y78" s="38" t="inlineStr">
        <is>
          <t>CARBON|Marketing|Marketing Operations Associate|A2|A</t>
        </is>
      </c>
    </row>
    <row r="79" ht="40.5" customHeight="1">
      <c r="A79" s="28" t="inlineStr">
        <is>
          <t>CARBON</t>
        </is>
      </c>
      <c r="B79" s="29" t="inlineStr">
        <is>
          <t>Marketing</t>
        </is>
      </c>
      <c r="C79" s="75" t="inlineStr">
        <is>
          <t>A2</t>
        </is>
      </c>
      <c r="D79" s="29" t="inlineStr">
        <is>
          <t>Band A · Practitioner</t>
        </is>
      </c>
      <c r="E79" s="29" t="inlineStr">
        <is>
          <t>Sales Development Representative</t>
        </is>
      </c>
      <c r="F79" s="29" t="inlineStr">
        <is>
          <t>Band A · all tracks</t>
        </is>
      </c>
      <c r="G79" s="29" t="inlineStr">
        <is>
          <t>Sales &amp; Business Development</t>
        </is>
      </c>
      <c r="H79" s="29" t="n">
        <v>5</v>
      </c>
      <c r="I79" s="29" t="inlineStr">
        <is>
          <t>Satyarth Singh, Shobhit Dhingra, Diksha Gunjyal, Sanjana Thapa, Adithya Nair</t>
        </is>
      </c>
      <c r="J79" s="34" t="str">
        <f>IFERROR(INDEX(RBD_C,MATCH("Sales &amp; Business Development|A2|A",RBD_KEY,0)),"M")</f>
        <v>H</v>
      </c>
      <c r="K79" s="35" t="str">
        <f>IFERROR(INDEX(RBD_Au,MATCH("Sales &amp; Business Development|A2|A",RBD_KEY,0)),"M")</f>
        <v>M</v>
      </c>
      <c r="L79" s="35" t="str">
        <f>IFERROR(INDEX(RBD_Ac,MATCH("Sales &amp; Business Development|A2|A",RBD_KEY,0)),"M")</f>
        <v>L</v>
      </c>
      <c r="M79" s="35" t="str">
        <f>IFERROR(INDEX(RBD_L,MATCH("Sales &amp; Business Development|A2|A",RBD_KEY,0)),"M")</f>
        <v>L</v>
      </c>
      <c r="N79" s="35" t="str">
        <f>IFERROR(INDEX(RBD_BI,MATCH("Sales &amp; Business Development|A2|A",RBD_KEY,0)),"M")</f>
        <v>M</v>
      </c>
      <c r="O79" s="35" t="str">
        <f>IFERROR(INDEX(RBD_Exp,MATCH("Sales &amp; Business Development|A2|A",RBD_KEY,0)),"M")</f>
        <v>L</v>
      </c>
      <c r="P79" s="35" t="str">
        <f>IFERROR(INDEX(RBD_Edu,MATCH("Sales &amp; Business Development|A2|A",RBD_KEY,0)),"M")</f>
        <v>L</v>
      </c>
      <c r="Q79" s="73">
        <f>IF(J79="","",IFERROR(INDEX(LMH_PTS,MATCH(J79,LMH_KEY,0))/SUM(IFERROR(INDEX(LMH_PTS,MATCH(J79,LMH_KEY,0)),0),IFERROR(INDEX(LMH_PTS,MATCH(K79,LMH_KEY,0)),0),IFERROR(INDEX(LMH_PTS,MATCH(L79,LMH_KEY,0)),0),IFERROR(INDEX(LMH_PTS,MATCH(M79,LMH_KEY,0)),0),IFERROR(INDEX(LMH_PTS,MATCH(N79,LMH_KEY,0)),0),IFERROR(INDEX(LMH_PTS,MATCH(O79,LMH_KEY,0)),0),IFERROR(INDEX(LMH_PTS,MATCH(P79,LMH_KEY,0)),0)),""))</f>
        <v>0.473684210526316</v>
      </c>
      <c r="R79" s="74">
        <f>IF(K79="","",IFERROR(INDEX(LMH_PTS,MATCH(K79,LMH_KEY,0))/SUM(IFERROR(INDEX(LMH_PTS,MATCH(J79,LMH_KEY,0)),0),IFERROR(INDEX(LMH_PTS,MATCH(K79,LMH_KEY,0)),0),IFERROR(INDEX(LMH_PTS,MATCH(L79,LMH_KEY,0)),0),IFERROR(INDEX(LMH_PTS,MATCH(M79,LMH_KEY,0)),0),IFERROR(INDEX(LMH_PTS,MATCH(N79,LMH_KEY,0)),0),IFERROR(INDEX(LMH_PTS,MATCH(O79,LMH_KEY,0)),0),IFERROR(INDEX(LMH_PTS,MATCH(P79,LMH_KEY,0)),0)),""))</f>
        <v>0.157894736842105</v>
      </c>
      <c r="S79" s="74">
        <f>IF(L79="","",IFERROR(INDEX(LMH_PTS,MATCH(L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T79" s="74">
        <f>IF(M79="","",IFERROR(INDEX(LMH_PTS,MATCH(M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U79" s="74">
        <f>IF(N79="","",IFERROR(INDEX(LMH_PTS,MATCH(N79,LMH_KEY,0))/SUM(IFERROR(INDEX(LMH_PTS,MATCH(J79,LMH_KEY,0)),0),IFERROR(INDEX(LMH_PTS,MATCH(K79,LMH_KEY,0)),0),IFERROR(INDEX(LMH_PTS,MATCH(L79,LMH_KEY,0)),0),IFERROR(INDEX(LMH_PTS,MATCH(M79,LMH_KEY,0)),0),IFERROR(INDEX(LMH_PTS,MATCH(N79,LMH_KEY,0)),0),IFERROR(INDEX(LMH_PTS,MATCH(O79,LMH_KEY,0)),0),IFERROR(INDEX(LMH_PTS,MATCH(P79,LMH_KEY,0)),0)),""))</f>
        <v>0.157894736842105</v>
      </c>
      <c r="V79" s="74">
        <f>IF(O79="","",IFERROR(INDEX(LMH_PTS,MATCH(O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W79" s="74">
        <f>IF(P79="","",IFERROR(INDEX(LMH_PTS,MATCH(P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X79" s="44" t="n"/>
      <c r="Y79" s="38" t="inlineStr">
        <is>
          <t>CARBON|Marketing|Sales Development Representative|A2|A</t>
        </is>
      </c>
    </row>
    <row r="80" ht="28" customHeight="1">
      <c r="A80" s="28" t="inlineStr">
        <is>
          <t>CARBON</t>
        </is>
      </c>
      <c r="B80" s="29" t="inlineStr">
        <is>
          <t>Marketing</t>
        </is>
      </c>
      <c r="C80" s="75" t="inlineStr">
        <is>
          <t>A1</t>
        </is>
      </c>
      <c r="D80" s="29" t="inlineStr">
        <is>
          <t>Band A · Practitioner</t>
        </is>
      </c>
      <c r="E80" s="29" t="inlineStr">
        <is>
          <t>Intern – Sales Development &amp; Prospecting</t>
        </is>
      </c>
      <c r="F80" s="29" t="inlineStr">
        <is>
          <t>Band A · all tracks</t>
        </is>
      </c>
      <c r="G80" s="29" t="inlineStr">
        <is>
          <t>Sales &amp; Business Development</t>
        </is>
      </c>
      <c r="H80" s="29" t="n">
        <v>3</v>
      </c>
      <c r="I80" s="29" t="inlineStr">
        <is>
          <t>Anika Mariam, Deblina Chatterjee, Samriddhi Kundu</t>
        </is>
      </c>
      <c r="J80" s="34" t="str">
        <f>IFERROR(INDEX(RBD_C,MATCH("Sales &amp; Business Development|A1|A",RBD_KEY,0)),"M")</f>
        <v>H</v>
      </c>
      <c r="K80" s="35" t="str">
        <f>IFERROR(INDEX(RBD_Au,MATCH("Sales &amp; Business Development|A1|A",RBD_KEY,0)),"M")</f>
        <v>M</v>
      </c>
      <c r="L80" s="35" t="str">
        <f>IFERROR(INDEX(RBD_Ac,MATCH("Sales &amp; Business Development|A1|A",RBD_KEY,0)),"M")</f>
        <v>L</v>
      </c>
      <c r="M80" s="35" t="str">
        <f>IFERROR(INDEX(RBD_L,MATCH("Sales &amp; Business Development|A1|A",RBD_KEY,0)),"M")</f>
        <v>L</v>
      </c>
      <c r="N80" s="35" t="str">
        <f>IFERROR(INDEX(RBD_BI,MATCH("Sales &amp; Business Development|A1|A",RBD_KEY,0)),"M")</f>
        <v>M</v>
      </c>
      <c r="O80" s="35" t="str">
        <f>IFERROR(INDEX(RBD_Exp,MATCH("Sales &amp; Business Development|A1|A",RBD_KEY,0)),"M")</f>
        <v>L</v>
      </c>
      <c r="P80" s="35" t="str">
        <f>IFERROR(INDEX(RBD_Edu,MATCH("Sales &amp; Business Development|A1|A",RBD_KEY,0)),"M")</f>
        <v>L</v>
      </c>
      <c r="Q80" s="73">
        <f>IF(J80="","",IFERROR(INDEX(LMH_PTS,MATCH(J80,LMH_KEY,0))/SUM(IFERROR(INDEX(LMH_PTS,MATCH(J80,LMH_KEY,0)),0),IFERROR(INDEX(LMH_PTS,MATCH(K80,LMH_KEY,0)),0),IFERROR(INDEX(LMH_PTS,MATCH(L80,LMH_KEY,0)),0),IFERROR(INDEX(LMH_PTS,MATCH(M80,LMH_KEY,0)),0),IFERROR(INDEX(LMH_PTS,MATCH(N80,LMH_KEY,0)),0),IFERROR(INDEX(LMH_PTS,MATCH(O80,LMH_KEY,0)),0),IFERROR(INDEX(LMH_PTS,MATCH(P80,LMH_KEY,0)),0)),""))</f>
        <v>0.473684210526316</v>
      </c>
      <c r="R80" s="74">
        <f>IF(K80="","",IFERROR(INDEX(LMH_PTS,MATCH(K80,LMH_KEY,0))/SUM(IFERROR(INDEX(LMH_PTS,MATCH(J80,LMH_KEY,0)),0),IFERROR(INDEX(LMH_PTS,MATCH(K80,LMH_KEY,0)),0),IFERROR(INDEX(LMH_PTS,MATCH(L80,LMH_KEY,0)),0),IFERROR(INDEX(LMH_PTS,MATCH(M80,LMH_KEY,0)),0),IFERROR(INDEX(LMH_PTS,MATCH(N80,LMH_KEY,0)),0),IFERROR(INDEX(LMH_PTS,MATCH(O80,LMH_KEY,0)),0),IFERROR(INDEX(LMH_PTS,MATCH(P80,LMH_KEY,0)),0)),""))</f>
        <v>0.157894736842105</v>
      </c>
      <c r="S80" s="74">
        <f>IF(L80="","",IFERROR(INDEX(LMH_PTS,MATCH(L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T80" s="74">
        <f>IF(M80="","",IFERROR(INDEX(LMH_PTS,MATCH(M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U80" s="74">
        <f>IF(N80="","",IFERROR(INDEX(LMH_PTS,MATCH(N80,LMH_KEY,0))/SUM(IFERROR(INDEX(LMH_PTS,MATCH(J80,LMH_KEY,0)),0),IFERROR(INDEX(LMH_PTS,MATCH(K80,LMH_KEY,0)),0),IFERROR(INDEX(LMH_PTS,MATCH(L80,LMH_KEY,0)),0),IFERROR(INDEX(LMH_PTS,MATCH(M80,LMH_KEY,0)),0),IFERROR(INDEX(LMH_PTS,MATCH(N80,LMH_KEY,0)),0),IFERROR(INDEX(LMH_PTS,MATCH(O80,LMH_KEY,0)),0),IFERROR(INDEX(LMH_PTS,MATCH(P80,LMH_KEY,0)),0)),""))</f>
        <v>0.157894736842105</v>
      </c>
      <c r="V80" s="74">
        <f>IF(O80="","",IFERROR(INDEX(LMH_PTS,MATCH(O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W80" s="74">
        <f>IF(P80="","",IFERROR(INDEX(LMH_PTS,MATCH(P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X80" s="44" t="n"/>
      <c r="Y80" s="38" t="inlineStr">
        <is>
          <t>CARBON|Marketing|Intern – Sales Development &amp; Prospecting|A1|A</t>
        </is>
      </c>
    </row>
    <row r="81" ht="18" customHeight="1">
      <c r="A81" s="28" t="inlineStr">
        <is>
          <t>CARBON</t>
        </is>
      </c>
      <c r="B81" s="71" t="inlineStr">
        <is>
          <t>Quality Assurance</t>
        </is>
      </c>
      <c r="C81" s="72" t="inlineStr">
        <is>
          <t>B1</t>
        </is>
      </c>
      <c r="D81" s="29" t="inlineStr">
        <is>
          <t>Band B · Specialist / Manager</t>
        </is>
      </c>
      <c r="E81" s="29" t="inlineStr">
        <is>
          <t>QA Manager</t>
        </is>
      </c>
      <c r="F81" s="29" t="inlineStr">
        <is>
          <t>Band B · People Manager</t>
        </is>
      </c>
      <c r="G81" s="29" t="inlineStr">
        <is>
          <t>Quality Assurance</t>
        </is>
      </c>
      <c r="H81" s="29" t="n">
        <v>1</v>
      </c>
      <c r="I81" s="29" t="inlineStr">
        <is>
          <t>Vinod Katekar</t>
        </is>
      </c>
      <c r="J81" s="34" t="str">
        <f>IFERROR(INDEX(RBD_C,MATCH("Quality Assurance|B1|B-M",RBD_KEY,0)),"M")</f>
        <v>H</v>
      </c>
      <c r="K81" s="35" t="str">
        <f>IFERROR(INDEX(RBD_Au,MATCH("Quality Assurance|B1|B-M",RBD_KEY,0)),"M")</f>
        <v>M</v>
      </c>
      <c r="L81" s="35" t="str">
        <f>IFERROR(INDEX(RBD_Ac,MATCH("Quality Assurance|B1|B-M",RBD_KEY,0)),"M")</f>
        <v>L</v>
      </c>
      <c r="M81" s="35" t="str">
        <f>IFERROR(INDEX(RBD_L,MATCH("Quality Assurance|B1|B-M",RBD_KEY,0)),"M")</f>
        <v>M</v>
      </c>
      <c r="N81" s="35" t="str">
        <f>IFERROR(INDEX(RBD_BI,MATCH("Quality Assurance|B1|B-M",RBD_KEY,0)),"M")</f>
        <v>L</v>
      </c>
      <c r="O81" s="35" t="str">
        <f>IFERROR(INDEX(RBD_Exp,MATCH("Quality Assurance|B1|B-M",RBD_KEY,0)),"M")</f>
        <v>L</v>
      </c>
      <c r="P81" s="35" t="str">
        <f>IFERROR(INDEX(RBD_Edu,MATCH("Quality Assurance|B1|B-M",RBD_KEY,0)),"M")</f>
        <v>L</v>
      </c>
      <c r="Q81" s="73">
        <f>IF(J81="","",IFERROR(INDEX(LMH_PTS,MATCH(J81,LMH_KEY,0))/SUM(IFERROR(INDEX(LMH_PTS,MATCH(J81,LMH_KEY,0)),0),IFERROR(INDEX(LMH_PTS,MATCH(K81,LMH_KEY,0)),0),IFERROR(INDEX(LMH_PTS,MATCH(L81,LMH_KEY,0)),0),IFERROR(INDEX(LMH_PTS,MATCH(M81,LMH_KEY,0)),0),IFERROR(INDEX(LMH_PTS,MATCH(N81,LMH_KEY,0)),0),IFERROR(INDEX(LMH_PTS,MATCH(O81,LMH_KEY,0)),0),IFERROR(INDEX(LMH_PTS,MATCH(P81,LMH_KEY,0)),0)),""))</f>
        <v>0.473684210526316</v>
      </c>
      <c r="R81" s="74">
        <f>IF(K81="","",IFERROR(INDEX(LMH_PTS,MATCH(K81,LMH_KEY,0))/SUM(IFERROR(INDEX(LMH_PTS,MATCH(J81,LMH_KEY,0)),0),IFERROR(INDEX(LMH_PTS,MATCH(K81,LMH_KEY,0)),0),IFERROR(INDEX(LMH_PTS,MATCH(L81,LMH_KEY,0)),0),IFERROR(INDEX(LMH_PTS,MATCH(M81,LMH_KEY,0)),0),IFERROR(INDEX(LMH_PTS,MATCH(N81,LMH_KEY,0)),0),IFERROR(INDEX(LMH_PTS,MATCH(O81,LMH_KEY,0)),0),IFERROR(INDEX(LMH_PTS,MATCH(P81,LMH_KEY,0)),0)),""))</f>
        <v>0.157894736842105</v>
      </c>
      <c r="S81" s="74">
        <f>IF(L81="","",IFERROR(INDEX(LMH_PTS,MATCH(L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T81" s="74">
        <f>IF(M81="","",IFERROR(INDEX(LMH_PTS,MATCH(M81,LMH_KEY,0))/SUM(IFERROR(INDEX(LMH_PTS,MATCH(J81,LMH_KEY,0)),0),IFERROR(INDEX(LMH_PTS,MATCH(K81,LMH_KEY,0)),0),IFERROR(INDEX(LMH_PTS,MATCH(L81,LMH_KEY,0)),0),IFERROR(INDEX(LMH_PTS,MATCH(M81,LMH_KEY,0)),0),IFERROR(INDEX(LMH_PTS,MATCH(N81,LMH_KEY,0)),0),IFERROR(INDEX(LMH_PTS,MATCH(O81,LMH_KEY,0)),0),IFERROR(INDEX(LMH_PTS,MATCH(P81,LMH_KEY,0)),0)),""))</f>
        <v>0.157894736842105</v>
      </c>
      <c r="U81" s="74">
        <f>IF(N81="","",IFERROR(INDEX(LMH_PTS,MATCH(N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V81" s="74">
        <f>IF(O81="","",IFERROR(INDEX(LMH_PTS,MATCH(O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W81" s="74">
        <f>IF(P81="","",IFERROR(INDEX(LMH_PTS,MATCH(P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X81" s="44" t="n"/>
      <c r="Y81" s="38" t="inlineStr">
        <is>
          <t>CARBON|Quality Assurance|QA Manager|B1|B-M</t>
        </is>
      </c>
    </row>
    <row r="82" ht="28" customHeight="1">
      <c r="A82" s="28" t="inlineStr">
        <is>
          <t>CARBON</t>
        </is>
      </c>
      <c r="B82" s="29" t="inlineStr">
        <is>
          <t>Quality Assurance</t>
        </is>
      </c>
      <c r="C82" s="75" t="inlineStr">
        <is>
          <t>A3</t>
        </is>
      </c>
      <c r="D82" s="29" t="inlineStr">
        <is>
          <t>Band A · Practitioner</t>
        </is>
      </c>
      <c r="E82" s="29" t="inlineStr">
        <is>
          <t>Senior QA Automation Engineer</t>
        </is>
      </c>
      <c r="F82" s="29" t="inlineStr">
        <is>
          <t>Band A · all tracks</t>
        </is>
      </c>
      <c r="G82" s="29" t="inlineStr">
        <is>
          <t>Quality Assurance</t>
        </is>
      </c>
      <c r="H82" s="29" t="n">
        <v>1</v>
      </c>
      <c r="I82" s="29" t="inlineStr">
        <is>
          <t>Vitiksha Gamit</t>
        </is>
      </c>
      <c r="J82" s="34" t="str">
        <f>IFERROR(INDEX(RBD_C,MATCH("Quality Assurance|A3|A",RBD_KEY,0)),"M")</f>
        <v>H</v>
      </c>
      <c r="K82" s="35" t="str">
        <f>IFERROR(INDEX(RBD_Au,MATCH("Quality Assurance|A3|A",RBD_KEY,0)),"M")</f>
        <v>M</v>
      </c>
      <c r="L82" s="35" t="str">
        <f>IFERROR(INDEX(RBD_Ac,MATCH("Quality Assurance|A3|A",RBD_KEY,0)),"M")</f>
        <v>L</v>
      </c>
      <c r="M82" s="35" t="str">
        <f>IFERROR(INDEX(RBD_L,MATCH("Quality Assurance|A3|A",RBD_KEY,0)),"M")</f>
        <v>L</v>
      </c>
      <c r="N82" s="35" t="str">
        <f>IFERROR(INDEX(RBD_BI,MATCH("Quality Assurance|A3|A",RBD_KEY,0)),"M")</f>
        <v>L</v>
      </c>
      <c r="O82" s="35" t="str">
        <f>IFERROR(INDEX(RBD_Exp,MATCH("Quality Assurance|A3|A",RBD_KEY,0)),"M")</f>
        <v>L</v>
      </c>
      <c r="P82" s="35" t="str">
        <f>IFERROR(INDEX(RBD_Edu,MATCH("Quality Assurance|A3|A",RBD_KEY,0)),"M")</f>
        <v>L</v>
      </c>
      <c r="Q82" s="73">
        <f>IF(J82="","",IFERROR(INDEX(LMH_PTS,MATCH(J82,LMH_KEY,0))/SUM(IFERROR(INDEX(LMH_PTS,MATCH(J82,LMH_KEY,0)),0),IFERROR(INDEX(LMH_PTS,MATCH(K82,LMH_KEY,0)),0),IFERROR(INDEX(LMH_PTS,MATCH(L82,LMH_KEY,0)),0),IFERROR(INDEX(LMH_PTS,MATCH(M82,LMH_KEY,0)),0),IFERROR(INDEX(LMH_PTS,MATCH(N82,LMH_KEY,0)),0),IFERROR(INDEX(LMH_PTS,MATCH(O82,LMH_KEY,0)),0),IFERROR(INDEX(LMH_PTS,MATCH(P82,LMH_KEY,0)),0)),""))</f>
        <v>0.529411764705882</v>
      </c>
      <c r="R82" s="74">
        <f>IF(K82="","",IFERROR(INDEX(LMH_PTS,MATCH(K82,LMH_KEY,0))/SUM(IFERROR(INDEX(LMH_PTS,MATCH(J82,LMH_KEY,0)),0),IFERROR(INDEX(LMH_PTS,MATCH(K82,LMH_KEY,0)),0),IFERROR(INDEX(LMH_PTS,MATCH(L82,LMH_KEY,0)),0),IFERROR(INDEX(LMH_PTS,MATCH(M82,LMH_KEY,0)),0),IFERROR(INDEX(LMH_PTS,MATCH(N82,LMH_KEY,0)),0),IFERROR(INDEX(LMH_PTS,MATCH(O82,LMH_KEY,0)),0),IFERROR(INDEX(LMH_PTS,MATCH(P82,LMH_KEY,0)),0)),""))</f>
        <v>0.176470588235294</v>
      </c>
      <c r="S82" s="74">
        <f>IF(L82="","",IFERROR(INDEX(LMH_PTS,MATCH(L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T82" s="74">
        <f>IF(M82="","",IFERROR(INDEX(LMH_PTS,MATCH(M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U82" s="74">
        <f>IF(N82="","",IFERROR(INDEX(LMH_PTS,MATCH(N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V82" s="74">
        <f>IF(O82="","",IFERROR(INDEX(LMH_PTS,MATCH(O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W82" s="74">
        <f>IF(P82="","",IFERROR(INDEX(LMH_PTS,MATCH(P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X82" s="44" t="n"/>
      <c r="Y82" s="38" t="inlineStr">
        <is>
          <t>CARBON|Quality Assurance|Senior QA Automation Engineer|A3|A</t>
        </is>
      </c>
    </row>
    <row r="83" ht="28" customHeight="1">
      <c r="A83" s="28" t="inlineStr">
        <is>
          <t>CARBON</t>
        </is>
      </c>
      <c r="B83" s="29" t="inlineStr">
        <is>
          <t>Quality Assurance</t>
        </is>
      </c>
      <c r="C83" s="75" t="inlineStr">
        <is>
          <t>A3</t>
        </is>
      </c>
      <c r="D83" s="29" t="inlineStr">
        <is>
          <t>Band A · Practitioner</t>
        </is>
      </c>
      <c r="E83" s="29" t="inlineStr">
        <is>
          <t>Senior QA Engineer</t>
        </is>
      </c>
      <c r="F83" s="29" t="inlineStr">
        <is>
          <t>Band A · all tracks</t>
        </is>
      </c>
      <c r="G83" s="29" t="inlineStr">
        <is>
          <t>Quality Assurance</t>
        </is>
      </c>
      <c r="H83" s="29" t="n">
        <v>3</v>
      </c>
      <c r="I83" s="29" t="inlineStr">
        <is>
          <t>Brehmjit Gopalkrishnan, Pooja Gawas, Vishal Panchal</t>
        </is>
      </c>
      <c r="J83" s="34" t="str">
        <f>IFERROR(INDEX(RBD_C,MATCH("Quality Assurance|A3|A",RBD_KEY,0)),"M")</f>
        <v>H</v>
      </c>
      <c r="K83" s="35" t="str">
        <f>IFERROR(INDEX(RBD_Au,MATCH("Quality Assurance|A3|A",RBD_KEY,0)),"M")</f>
        <v>M</v>
      </c>
      <c r="L83" s="35" t="str">
        <f>IFERROR(INDEX(RBD_Ac,MATCH("Quality Assurance|A3|A",RBD_KEY,0)),"M")</f>
        <v>L</v>
      </c>
      <c r="M83" s="35" t="str">
        <f>IFERROR(INDEX(RBD_L,MATCH("Quality Assurance|A3|A",RBD_KEY,0)),"M")</f>
        <v>L</v>
      </c>
      <c r="N83" s="35" t="str">
        <f>IFERROR(INDEX(RBD_BI,MATCH("Quality Assurance|A3|A",RBD_KEY,0)),"M")</f>
        <v>L</v>
      </c>
      <c r="O83" s="35" t="str">
        <f>IFERROR(INDEX(RBD_Exp,MATCH("Quality Assurance|A3|A",RBD_KEY,0)),"M")</f>
        <v>L</v>
      </c>
      <c r="P83" s="35" t="str">
        <f>IFERROR(INDEX(RBD_Edu,MATCH("Quality Assurance|A3|A",RBD_KEY,0)),"M")</f>
        <v>L</v>
      </c>
      <c r="Q83" s="73">
        <f>IF(J83="","",IFERROR(INDEX(LMH_PTS,MATCH(J83,LMH_KEY,0))/SUM(IFERROR(INDEX(LMH_PTS,MATCH(J83,LMH_KEY,0)),0),IFERROR(INDEX(LMH_PTS,MATCH(K83,LMH_KEY,0)),0),IFERROR(INDEX(LMH_PTS,MATCH(L83,LMH_KEY,0)),0),IFERROR(INDEX(LMH_PTS,MATCH(M83,LMH_KEY,0)),0),IFERROR(INDEX(LMH_PTS,MATCH(N83,LMH_KEY,0)),0),IFERROR(INDEX(LMH_PTS,MATCH(O83,LMH_KEY,0)),0),IFERROR(INDEX(LMH_PTS,MATCH(P83,LMH_KEY,0)),0)),""))</f>
        <v>0.529411764705882</v>
      </c>
      <c r="R83" s="74">
        <f>IF(K83="","",IFERROR(INDEX(LMH_PTS,MATCH(K83,LMH_KEY,0))/SUM(IFERROR(INDEX(LMH_PTS,MATCH(J83,LMH_KEY,0)),0),IFERROR(INDEX(LMH_PTS,MATCH(K83,LMH_KEY,0)),0),IFERROR(INDEX(LMH_PTS,MATCH(L83,LMH_KEY,0)),0),IFERROR(INDEX(LMH_PTS,MATCH(M83,LMH_KEY,0)),0),IFERROR(INDEX(LMH_PTS,MATCH(N83,LMH_KEY,0)),0),IFERROR(INDEX(LMH_PTS,MATCH(O83,LMH_KEY,0)),0),IFERROR(INDEX(LMH_PTS,MATCH(P83,LMH_KEY,0)),0)),""))</f>
        <v>0.176470588235294</v>
      </c>
      <c r="S83" s="74">
        <f>IF(L83="","",IFERROR(INDEX(LMH_PTS,MATCH(L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T83" s="74">
        <f>IF(M83="","",IFERROR(INDEX(LMH_PTS,MATCH(M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U83" s="74">
        <f>IF(N83="","",IFERROR(INDEX(LMH_PTS,MATCH(N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V83" s="74">
        <f>IF(O83="","",IFERROR(INDEX(LMH_PTS,MATCH(O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W83" s="74">
        <f>IF(P83="","",IFERROR(INDEX(LMH_PTS,MATCH(P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X83" s="44" t="n"/>
      <c r="Y83" s="38" t="inlineStr">
        <is>
          <t>CARBON|Quality Assurance|Senior QA Engineer|A3|A</t>
        </is>
      </c>
    </row>
    <row r="84" ht="28" customHeight="1">
      <c r="A84" s="28" t="inlineStr">
        <is>
          <t>CARBON</t>
        </is>
      </c>
      <c r="B84" s="29" t="inlineStr">
        <is>
          <t>Quality Assurance</t>
        </is>
      </c>
      <c r="C84" s="75" t="inlineStr">
        <is>
          <t>A2</t>
        </is>
      </c>
      <c r="D84" s="29" t="inlineStr">
        <is>
          <t>Band A · Practitioner</t>
        </is>
      </c>
      <c r="E84" s="29" t="inlineStr">
        <is>
          <t>Senior QA Engineer</t>
        </is>
      </c>
      <c r="F84" s="29" t="inlineStr">
        <is>
          <t>Band A · all tracks</t>
        </is>
      </c>
      <c r="G84" s="29" t="inlineStr">
        <is>
          <t>Quality Assurance</t>
        </is>
      </c>
      <c r="H84" s="29" t="n">
        <v>3</v>
      </c>
      <c r="I84" s="29" t="inlineStr">
        <is>
          <t>Tasmiyah Patni, Hrishikesh Thombare, Pratikkumar Mistry</t>
        </is>
      </c>
      <c r="J84" s="34" t="str">
        <f>IFERROR(INDEX(RBD_C,MATCH("Quality Assurance|A2|A",RBD_KEY,0)),"M")</f>
        <v>H</v>
      </c>
      <c r="K84" s="35" t="str">
        <f>IFERROR(INDEX(RBD_Au,MATCH("Quality Assurance|A2|A",RBD_KEY,0)),"M")</f>
        <v>M</v>
      </c>
      <c r="L84" s="35" t="str">
        <f>IFERROR(INDEX(RBD_Ac,MATCH("Quality Assurance|A2|A",RBD_KEY,0)),"M")</f>
        <v>L</v>
      </c>
      <c r="M84" s="35" t="str">
        <f>IFERROR(INDEX(RBD_L,MATCH("Quality Assurance|A2|A",RBD_KEY,0)),"M")</f>
        <v>L</v>
      </c>
      <c r="N84" s="35" t="str">
        <f>IFERROR(INDEX(RBD_BI,MATCH("Quality Assurance|A2|A",RBD_KEY,0)),"M")</f>
        <v>L</v>
      </c>
      <c r="O84" s="35" t="str">
        <f>IFERROR(INDEX(RBD_Exp,MATCH("Quality Assurance|A2|A",RBD_KEY,0)),"M")</f>
        <v>L</v>
      </c>
      <c r="P84" s="35" t="str">
        <f>IFERROR(INDEX(RBD_Edu,MATCH("Quality Assurance|A2|A",RBD_KEY,0)),"M")</f>
        <v>L</v>
      </c>
      <c r="Q84" s="73">
        <f>IF(J84="","",IFERROR(INDEX(LMH_PTS,MATCH(J84,LMH_KEY,0))/SUM(IFERROR(INDEX(LMH_PTS,MATCH(J84,LMH_KEY,0)),0),IFERROR(INDEX(LMH_PTS,MATCH(K84,LMH_KEY,0)),0),IFERROR(INDEX(LMH_PTS,MATCH(L84,LMH_KEY,0)),0),IFERROR(INDEX(LMH_PTS,MATCH(M84,LMH_KEY,0)),0),IFERROR(INDEX(LMH_PTS,MATCH(N84,LMH_KEY,0)),0),IFERROR(INDEX(LMH_PTS,MATCH(O84,LMH_KEY,0)),0),IFERROR(INDEX(LMH_PTS,MATCH(P84,LMH_KEY,0)),0)),""))</f>
        <v>0.529411764705882</v>
      </c>
      <c r="R84" s="74">
        <f>IF(K84="","",IFERROR(INDEX(LMH_PTS,MATCH(K84,LMH_KEY,0))/SUM(IFERROR(INDEX(LMH_PTS,MATCH(J84,LMH_KEY,0)),0),IFERROR(INDEX(LMH_PTS,MATCH(K84,LMH_KEY,0)),0),IFERROR(INDEX(LMH_PTS,MATCH(L84,LMH_KEY,0)),0),IFERROR(INDEX(LMH_PTS,MATCH(M84,LMH_KEY,0)),0),IFERROR(INDEX(LMH_PTS,MATCH(N84,LMH_KEY,0)),0),IFERROR(INDEX(LMH_PTS,MATCH(O84,LMH_KEY,0)),0),IFERROR(INDEX(LMH_PTS,MATCH(P84,LMH_KEY,0)),0)),""))</f>
        <v>0.176470588235294</v>
      </c>
      <c r="S84" s="74">
        <f>IF(L84="","",IFERROR(INDEX(LMH_PTS,MATCH(L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T84" s="74">
        <f>IF(M84="","",IFERROR(INDEX(LMH_PTS,MATCH(M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U84" s="74">
        <f>IF(N84="","",IFERROR(INDEX(LMH_PTS,MATCH(N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V84" s="74">
        <f>IF(O84="","",IFERROR(INDEX(LMH_PTS,MATCH(O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W84" s="74">
        <f>IF(P84="","",IFERROR(INDEX(LMH_PTS,MATCH(P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X84" s="44" t="n"/>
      <c r="Y84" s="38" t="inlineStr">
        <is>
          <t>CARBON|Quality Assurance|Senior QA Engineer|A2|A</t>
        </is>
      </c>
    </row>
    <row r="85" ht="28" customHeight="1">
      <c r="A85" s="28" t="inlineStr">
        <is>
          <t>CARBON</t>
        </is>
      </c>
      <c r="B85" s="71" t="inlineStr">
        <is>
          <t>Sales</t>
        </is>
      </c>
      <c r="C85" s="78" t="inlineStr">
        <is>
          <t>C1</t>
        </is>
      </c>
      <c r="D85" s="29" t="inlineStr">
        <is>
          <t>Band C · Principal / Head</t>
        </is>
      </c>
      <c r="E85" s="29" t="inlineStr">
        <is>
          <t>Principal – Enterprise Sales</t>
        </is>
      </c>
      <c r="F85" s="29" t="inlineStr">
        <is>
          <t>Band C · Principal specialist</t>
        </is>
      </c>
      <c r="G85" s="29" t="inlineStr">
        <is>
          <t>Sales &amp; Business Development</t>
        </is>
      </c>
      <c r="H85" s="29" t="n">
        <v>1</v>
      </c>
      <c r="I85" s="29" t="inlineStr">
        <is>
          <t>Sreyash Duragkar</t>
        </is>
      </c>
      <c r="J85" s="34" t="str">
        <f>IFERROR(INDEX(RBD_C,MATCH("Sales &amp; Business Development|C1|C-IC",RBD_KEY,0)),"M")</f>
        <v>H</v>
      </c>
      <c r="K85" s="35" t="str">
        <f>IFERROR(INDEX(RBD_Au,MATCH("Sales &amp; Business Development|C1|C-IC",RBD_KEY,0)),"M")</f>
        <v>M</v>
      </c>
      <c r="L85" s="35" t="str">
        <f>IFERROR(INDEX(RBD_Ac,MATCH("Sales &amp; Business Development|C1|C-IC",RBD_KEY,0)),"M")</f>
        <v>L</v>
      </c>
      <c r="M85" s="35" t="str">
        <f>IFERROR(INDEX(RBD_L,MATCH("Sales &amp; Business Development|C1|C-IC",RBD_KEY,0)),"M")</f>
        <v>L</v>
      </c>
      <c r="N85" s="35" t="str">
        <f>IFERROR(INDEX(RBD_BI,MATCH("Sales &amp; Business Development|C1|C-IC",RBD_KEY,0)),"M")</f>
        <v>M</v>
      </c>
      <c r="O85" s="35" t="str">
        <f>IFERROR(INDEX(RBD_Exp,MATCH("Sales &amp; Business Development|C1|C-IC",RBD_KEY,0)),"M")</f>
        <v>L</v>
      </c>
      <c r="P85" s="35" t="str">
        <f>IFERROR(INDEX(RBD_Edu,MATCH("Sales &amp; Business Development|C1|C-IC",RBD_KEY,0)),"M")</f>
        <v>L</v>
      </c>
      <c r="Q85" s="73">
        <f>IF(J85="","",IFERROR(INDEX(LMH_PTS,MATCH(J85,LMH_KEY,0))/SUM(IFERROR(INDEX(LMH_PTS,MATCH(J85,LMH_KEY,0)),0),IFERROR(INDEX(LMH_PTS,MATCH(K85,LMH_KEY,0)),0),IFERROR(INDEX(LMH_PTS,MATCH(L85,LMH_KEY,0)),0),IFERROR(INDEX(LMH_PTS,MATCH(M85,LMH_KEY,0)),0),IFERROR(INDEX(LMH_PTS,MATCH(N85,LMH_KEY,0)),0),IFERROR(INDEX(LMH_PTS,MATCH(O85,LMH_KEY,0)),0),IFERROR(INDEX(LMH_PTS,MATCH(P85,LMH_KEY,0)),0)),""))</f>
        <v>0.473684210526316</v>
      </c>
      <c r="R85" s="74">
        <f>IF(K85="","",IFERROR(INDEX(LMH_PTS,MATCH(K85,LMH_KEY,0))/SUM(IFERROR(INDEX(LMH_PTS,MATCH(J85,LMH_KEY,0)),0),IFERROR(INDEX(LMH_PTS,MATCH(K85,LMH_KEY,0)),0),IFERROR(INDEX(LMH_PTS,MATCH(L85,LMH_KEY,0)),0),IFERROR(INDEX(LMH_PTS,MATCH(M85,LMH_KEY,0)),0),IFERROR(INDEX(LMH_PTS,MATCH(N85,LMH_KEY,0)),0),IFERROR(INDEX(LMH_PTS,MATCH(O85,LMH_KEY,0)),0),IFERROR(INDEX(LMH_PTS,MATCH(P85,LMH_KEY,0)),0)),""))</f>
        <v>0.157894736842105</v>
      </c>
      <c r="S85" s="74">
        <f>IF(L85="","",IFERROR(INDEX(LMH_PTS,MATCH(L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T85" s="74">
        <f>IF(M85="","",IFERROR(INDEX(LMH_PTS,MATCH(M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U85" s="74">
        <f>IF(N85="","",IFERROR(INDEX(LMH_PTS,MATCH(N85,LMH_KEY,0))/SUM(IFERROR(INDEX(LMH_PTS,MATCH(J85,LMH_KEY,0)),0),IFERROR(INDEX(LMH_PTS,MATCH(K85,LMH_KEY,0)),0),IFERROR(INDEX(LMH_PTS,MATCH(L85,LMH_KEY,0)),0),IFERROR(INDEX(LMH_PTS,MATCH(M85,LMH_KEY,0)),0),IFERROR(INDEX(LMH_PTS,MATCH(N85,LMH_KEY,0)),0),IFERROR(INDEX(LMH_PTS,MATCH(O85,LMH_KEY,0)),0),IFERROR(INDEX(LMH_PTS,MATCH(P85,LMH_KEY,0)),0)),""))</f>
        <v>0.157894736842105</v>
      </c>
      <c r="V85" s="74">
        <f>IF(O85="","",IFERROR(INDEX(LMH_PTS,MATCH(O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W85" s="74">
        <f>IF(P85="","",IFERROR(INDEX(LMH_PTS,MATCH(P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X85" s="44" t="n"/>
      <c r="Y85" s="38" t="inlineStr">
        <is>
          <t>CARBON|Sales|Principal – Enterprise Sales|C1|C-IC</t>
        </is>
      </c>
    </row>
    <row r="86" ht="18" customHeight="1">
      <c r="A86" s="28" t="inlineStr">
        <is>
          <t>CARBON</t>
        </is>
      </c>
      <c r="B86" s="29" t="inlineStr">
        <is>
          <t>Sales</t>
        </is>
      </c>
      <c r="C86" s="72" t="inlineStr">
        <is>
          <t>B3</t>
        </is>
      </c>
      <c r="D86" s="29" t="inlineStr">
        <is>
          <t>Band B · Specialist / Manager</t>
        </is>
      </c>
      <c r="E86" s="29" t="inlineStr">
        <is>
          <t>Lead Account Executive</t>
        </is>
      </c>
      <c r="F86" s="29" t="inlineStr">
        <is>
          <t>Band B · Specialist / POD Lead</t>
        </is>
      </c>
      <c r="G86" s="29" t="inlineStr">
        <is>
          <t>Sales &amp; Business Development</t>
        </is>
      </c>
      <c r="H86" s="29" t="n">
        <v>1</v>
      </c>
      <c r="I86" s="29" t="inlineStr">
        <is>
          <t>Swapnil Trikane</t>
        </is>
      </c>
      <c r="J86" s="34" t="str">
        <f>IFERROR(INDEX(RBD_C,MATCH("Sales &amp; Business Development|B3|B-IC",RBD_KEY,0)),"M")</f>
        <v>H</v>
      </c>
      <c r="K86" s="35" t="str">
        <f>IFERROR(INDEX(RBD_Au,MATCH("Sales &amp; Business Development|B3|B-IC",RBD_KEY,0)),"M")</f>
        <v>M</v>
      </c>
      <c r="L86" s="35" t="str">
        <f>IFERROR(INDEX(RBD_Ac,MATCH("Sales &amp; Business Development|B3|B-IC",RBD_KEY,0)),"M")</f>
        <v>L</v>
      </c>
      <c r="M86" s="35" t="str">
        <f>IFERROR(INDEX(RBD_L,MATCH("Sales &amp; Business Development|B3|B-IC",RBD_KEY,0)),"M")</f>
        <v>L</v>
      </c>
      <c r="N86" s="35" t="str">
        <f>IFERROR(INDEX(RBD_BI,MATCH("Sales &amp; Business Development|B3|B-IC",RBD_KEY,0)),"M")</f>
        <v>M</v>
      </c>
      <c r="O86" s="35" t="str">
        <f>IFERROR(INDEX(RBD_Exp,MATCH("Sales &amp; Business Development|B3|B-IC",RBD_KEY,0)),"M")</f>
        <v>L</v>
      </c>
      <c r="P86" s="35" t="str">
        <f>IFERROR(INDEX(RBD_Edu,MATCH("Sales &amp; Business Development|B3|B-IC",RBD_KEY,0)),"M")</f>
        <v>L</v>
      </c>
      <c r="Q86" s="73">
        <f>IF(J86="","",IFERROR(INDEX(LMH_PTS,MATCH(J86,LMH_KEY,0))/SUM(IFERROR(INDEX(LMH_PTS,MATCH(J86,LMH_KEY,0)),0),IFERROR(INDEX(LMH_PTS,MATCH(K86,LMH_KEY,0)),0),IFERROR(INDEX(LMH_PTS,MATCH(L86,LMH_KEY,0)),0),IFERROR(INDEX(LMH_PTS,MATCH(M86,LMH_KEY,0)),0),IFERROR(INDEX(LMH_PTS,MATCH(N86,LMH_KEY,0)),0),IFERROR(INDEX(LMH_PTS,MATCH(O86,LMH_KEY,0)),0),IFERROR(INDEX(LMH_PTS,MATCH(P86,LMH_KEY,0)),0)),""))</f>
        <v>0.473684210526316</v>
      </c>
      <c r="R86" s="74">
        <f>IF(K86="","",IFERROR(INDEX(LMH_PTS,MATCH(K86,LMH_KEY,0))/SUM(IFERROR(INDEX(LMH_PTS,MATCH(J86,LMH_KEY,0)),0),IFERROR(INDEX(LMH_PTS,MATCH(K86,LMH_KEY,0)),0),IFERROR(INDEX(LMH_PTS,MATCH(L86,LMH_KEY,0)),0),IFERROR(INDEX(LMH_PTS,MATCH(M86,LMH_KEY,0)),0),IFERROR(INDEX(LMH_PTS,MATCH(N86,LMH_KEY,0)),0),IFERROR(INDEX(LMH_PTS,MATCH(O86,LMH_KEY,0)),0),IFERROR(INDEX(LMH_PTS,MATCH(P86,LMH_KEY,0)),0)),""))</f>
        <v>0.157894736842105</v>
      </c>
      <c r="S86" s="74">
        <f>IF(L86="","",IFERROR(INDEX(LMH_PTS,MATCH(L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T86" s="74">
        <f>IF(M86="","",IFERROR(INDEX(LMH_PTS,MATCH(M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U86" s="74">
        <f>IF(N86="","",IFERROR(INDEX(LMH_PTS,MATCH(N86,LMH_KEY,0))/SUM(IFERROR(INDEX(LMH_PTS,MATCH(J86,LMH_KEY,0)),0),IFERROR(INDEX(LMH_PTS,MATCH(K86,LMH_KEY,0)),0),IFERROR(INDEX(LMH_PTS,MATCH(L86,LMH_KEY,0)),0),IFERROR(INDEX(LMH_PTS,MATCH(M86,LMH_KEY,0)),0),IFERROR(INDEX(LMH_PTS,MATCH(N86,LMH_KEY,0)),0),IFERROR(INDEX(LMH_PTS,MATCH(O86,LMH_KEY,0)),0),IFERROR(INDEX(LMH_PTS,MATCH(P86,LMH_KEY,0)),0)),""))</f>
        <v>0.157894736842105</v>
      </c>
      <c r="V86" s="74">
        <f>IF(O86="","",IFERROR(INDEX(LMH_PTS,MATCH(O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W86" s="74">
        <f>IF(P86="","",IFERROR(INDEX(LMH_PTS,MATCH(P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X86" s="44" t="n"/>
      <c r="Y86" s="38" t="inlineStr">
        <is>
          <t>CARBON|Sales|Lead Account Executive|B3|B-IC</t>
        </is>
      </c>
    </row>
    <row r="87" ht="18" customHeight="1">
      <c r="A87" s="28" t="inlineStr">
        <is>
          <t>CARBON</t>
        </is>
      </c>
      <c r="B87" s="29" t="inlineStr">
        <is>
          <t>Sales</t>
        </is>
      </c>
      <c r="C87" s="72" t="inlineStr">
        <is>
          <t>B2</t>
        </is>
      </c>
      <c r="D87" s="29" t="inlineStr">
        <is>
          <t>Band B · Specialist / Manager</t>
        </is>
      </c>
      <c r="E87" s="29" t="inlineStr">
        <is>
          <t>Lead Account Executive</t>
        </is>
      </c>
      <c r="F87" s="29" t="inlineStr">
        <is>
          <t>Band B · Specialist / POD Lead</t>
        </is>
      </c>
      <c r="G87" s="29" t="inlineStr">
        <is>
          <t>Sales &amp; Business Development</t>
        </is>
      </c>
      <c r="H87" s="29" t="n">
        <v>1</v>
      </c>
      <c r="I87" s="29" t="inlineStr">
        <is>
          <t>Rohit Bansal</t>
        </is>
      </c>
      <c r="J87" s="34" t="str">
        <f>IFERROR(INDEX(RBD_C,MATCH("Sales &amp; Business Development|B2|B-IC",RBD_KEY,0)),"M")</f>
        <v>H</v>
      </c>
      <c r="K87" s="35" t="str">
        <f>IFERROR(INDEX(RBD_Au,MATCH("Sales &amp; Business Development|B2|B-IC",RBD_KEY,0)),"M")</f>
        <v>M</v>
      </c>
      <c r="L87" s="35" t="str">
        <f>IFERROR(INDEX(RBD_Ac,MATCH("Sales &amp; Business Development|B2|B-IC",RBD_KEY,0)),"M")</f>
        <v>L</v>
      </c>
      <c r="M87" s="35" t="str">
        <f>IFERROR(INDEX(RBD_L,MATCH("Sales &amp; Business Development|B2|B-IC",RBD_KEY,0)),"M")</f>
        <v>L</v>
      </c>
      <c r="N87" s="35" t="str">
        <f>IFERROR(INDEX(RBD_BI,MATCH("Sales &amp; Business Development|B2|B-IC",RBD_KEY,0)),"M")</f>
        <v>M</v>
      </c>
      <c r="O87" s="35" t="str">
        <f>IFERROR(INDEX(RBD_Exp,MATCH("Sales &amp; Business Development|B2|B-IC",RBD_KEY,0)),"M")</f>
        <v>L</v>
      </c>
      <c r="P87" s="35" t="str">
        <f>IFERROR(INDEX(RBD_Edu,MATCH("Sales &amp; Business Development|B2|B-IC",RBD_KEY,0)),"M")</f>
        <v>L</v>
      </c>
      <c r="Q87" s="73">
        <f>IF(J87="","",IFERROR(INDEX(LMH_PTS,MATCH(J87,LMH_KEY,0))/SUM(IFERROR(INDEX(LMH_PTS,MATCH(J87,LMH_KEY,0)),0),IFERROR(INDEX(LMH_PTS,MATCH(K87,LMH_KEY,0)),0),IFERROR(INDEX(LMH_PTS,MATCH(L87,LMH_KEY,0)),0),IFERROR(INDEX(LMH_PTS,MATCH(M87,LMH_KEY,0)),0),IFERROR(INDEX(LMH_PTS,MATCH(N87,LMH_KEY,0)),0),IFERROR(INDEX(LMH_PTS,MATCH(O87,LMH_KEY,0)),0),IFERROR(INDEX(LMH_PTS,MATCH(P87,LMH_KEY,0)),0)),""))</f>
        <v>0.473684210526316</v>
      </c>
      <c r="R87" s="74">
        <f>IF(K87="","",IFERROR(INDEX(LMH_PTS,MATCH(K87,LMH_KEY,0))/SUM(IFERROR(INDEX(LMH_PTS,MATCH(J87,LMH_KEY,0)),0),IFERROR(INDEX(LMH_PTS,MATCH(K87,LMH_KEY,0)),0),IFERROR(INDEX(LMH_PTS,MATCH(L87,LMH_KEY,0)),0),IFERROR(INDEX(LMH_PTS,MATCH(M87,LMH_KEY,0)),0),IFERROR(INDEX(LMH_PTS,MATCH(N87,LMH_KEY,0)),0),IFERROR(INDEX(LMH_PTS,MATCH(O87,LMH_KEY,0)),0),IFERROR(INDEX(LMH_PTS,MATCH(P87,LMH_KEY,0)),0)),""))</f>
        <v>0.157894736842105</v>
      </c>
      <c r="S87" s="74">
        <f>IF(L87="","",IFERROR(INDEX(LMH_PTS,MATCH(L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T87" s="74">
        <f>IF(M87="","",IFERROR(INDEX(LMH_PTS,MATCH(M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U87" s="74">
        <f>IF(N87="","",IFERROR(INDEX(LMH_PTS,MATCH(N87,LMH_KEY,0))/SUM(IFERROR(INDEX(LMH_PTS,MATCH(J87,LMH_KEY,0)),0),IFERROR(INDEX(LMH_PTS,MATCH(K87,LMH_KEY,0)),0),IFERROR(INDEX(LMH_PTS,MATCH(L87,LMH_KEY,0)),0),IFERROR(INDEX(LMH_PTS,MATCH(M87,LMH_KEY,0)),0),IFERROR(INDEX(LMH_PTS,MATCH(N87,LMH_KEY,0)),0),IFERROR(INDEX(LMH_PTS,MATCH(O87,LMH_KEY,0)),0),IFERROR(INDEX(LMH_PTS,MATCH(P87,LMH_KEY,0)),0)),""))</f>
        <v>0.157894736842105</v>
      </c>
      <c r="V87" s="74">
        <f>IF(O87="","",IFERROR(INDEX(LMH_PTS,MATCH(O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W87" s="74">
        <f>IF(P87="","",IFERROR(INDEX(LMH_PTS,MATCH(P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X87" s="44" t="n"/>
      <c r="Y87" s="38" t="inlineStr">
        <is>
          <t>CARBON|Sales|Lead Account Executive|B2|B-IC</t>
        </is>
      </c>
    </row>
    <row r="88" ht="28" customHeight="1">
      <c r="A88" s="28" t="inlineStr">
        <is>
          <t>CARBON</t>
        </is>
      </c>
      <c r="B88" s="29" t="inlineStr">
        <is>
          <t>Sales</t>
        </is>
      </c>
      <c r="C88" s="72" t="inlineStr">
        <is>
          <t>B1</t>
        </is>
      </c>
      <c r="D88" s="29" t="inlineStr">
        <is>
          <t>Band B · Specialist / Manager</t>
        </is>
      </c>
      <c r="E88" s="29" t="inlineStr">
        <is>
          <t>Sales Operations Specialist – POD Lead</t>
        </is>
      </c>
      <c r="F88" s="29" t="inlineStr">
        <is>
          <t>Band B · Specialist / POD Lead</t>
        </is>
      </c>
      <c r="G88" s="29" t="inlineStr">
        <is>
          <t>Sales &amp; Business Development</t>
        </is>
      </c>
      <c r="H88" s="29" t="n">
        <v>1</v>
      </c>
      <c r="I88" s="29" t="inlineStr">
        <is>
          <t>Aniket Das</t>
        </is>
      </c>
      <c r="J88" s="34" t="str">
        <f>IFERROR(INDEX(RBD_C,MATCH("Sales &amp; Business Development|B1|B-IC",RBD_KEY,0)),"M")</f>
        <v>H</v>
      </c>
      <c r="K88" s="35" t="str">
        <f>IFERROR(INDEX(RBD_Au,MATCH("Sales &amp; Business Development|B1|B-IC",RBD_KEY,0)),"M")</f>
        <v>M</v>
      </c>
      <c r="L88" s="35" t="str">
        <f>IFERROR(INDEX(RBD_Ac,MATCH("Sales &amp; Business Development|B1|B-IC",RBD_KEY,0)),"M")</f>
        <v>L</v>
      </c>
      <c r="M88" s="35" t="str">
        <f>IFERROR(INDEX(RBD_L,MATCH("Sales &amp; Business Development|B1|B-IC",RBD_KEY,0)),"M")</f>
        <v>L</v>
      </c>
      <c r="N88" s="35" t="str">
        <f>IFERROR(INDEX(RBD_BI,MATCH("Sales &amp; Business Development|B1|B-IC",RBD_KEY,0)),"M")</f>
        <v>M</v>
      </c>
      <c r="O88" s="35" t="str">
        <f>IFERROR(INDEX(RBD_Exp,MATCH("Sales &amp; Business Development|B1|B-IC",RBD_KEY,0)),"M")</f>
        <v>L</v>
      </c>
      <c r="P88" s="35" t="str">
        <f>IFERROR(INDEX(RBD_Edu,MATCH("Sales &amp; Business Development|B1|B-IC",RBD_KEY,0)),"M")</f>
        <v>L</v>
      </c>
      <c r="Q88" s="73">
        <f>IF(J88="","",IFERROR(INDEX(LMH_PTS,MATCH(J88,LMH_KEY,0))/SUM(IFERROR(INDEX(LMH_PTS,MATCH(J88,LMH_KEY,0)),0),IFERROR(INDEX(LMH_PTS,MATCH(K88,LMH_KEY,0)),0),IFERROR(INDEX(LMH_PTS,MATCH(L88,LMH_KEY,0)),0),IFERROR(INDEX(LMH_PTS,MATCH(M88,LMH_KEY,0)),0),IFERROR(INDEX(LMH_PTS,MATCH(N88,LMH_KEY,0)),0),IFERROR(INDEX(LMH_PTS,MATCH(O88,LMH_KEY,0)),0),IFERROR(INDEX(LMH_PTS,MATCH(P88,LMH_KEY,0)),0)),""))</f>
        <v>0.473684210526316</v>
      </c>
      <c r="R88" s="74">
        <f>IF(K88="","",IFERROR(INDEX(LMH_PTS,MATCH(K88,LMH_KEY,0))/SUM(IFERROR(INDEX(LMH_PTS,MATCH(J88,LMH_KEY,0)),0),IFERROR(INDEX(LMH_PTS,MATCH(K88,LMH_KEY,0)),0),IFERROR(INDEX(LMH_PTS,MATCH(L88,LMH_KEY,0)),0),IFERROR(INDEX(LMH_PTS,MATCH(M88,LMH_KEY,0)),0),IFERROR(INDEX(LMH_PTS,MATCH(N88,LMH_KEY,0)),0),IFERROR(INDEX(LMH_PTS,MATCH(O88,LMH_KEY,0)),0),IFERROR(INDEX(LMH_PTS,MATCH(P88,LMH_KEY,0)),0)),""))</f>
        <v>0.157894736842105</v>
      </c>
      <c r="S88" s="74">
        <f>IF(L88="","",IFERROR(INDEX(LMH_PTS,MATCH(L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T88" s="74">
        <f>IF(M88="","",IFERROR(INDEX(LMH_PTS,MATCH(M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U88" s="74">
        <f>IF(N88="","",IFERROR(INDEX(LMH_PTS,MATCH(N88,LMH_KEY,0))/SUM(IFERROR(INDEX(LMH_PTS,MATCH(J88,LMH_KEY,0)),0),IFERROR(INDEX(LMH_PTS,MATCH(K88,LMH_KEY,0)),0),IFERROR(INDEX(LMH_PTS,MATCH(L88,LMH_KEY,0)),0),IFERROR(INDEX(LMH_PTS,MATCH(M88,LMH_KEY,0)),0),IFERROR(INDEX(LMH_PTS,MATCH(N88,LMH_KEY,0)),0),IFERROR(INDEX(LMH_PTS,MATCH(O88,LMH_KEY,0)),0),IFERROR(INDEX(LMH_PTS,MATCH(P88,LMH_KEY,0)),0)),""))</f>
        <v>0.157894736842105</v>
      </c>
      <c r="V88" s="74">
        <f>IF(O88="","",IFERROR(INDEX(LMH_PTS,MATCH(O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W88" s="74">
        <f>IF(P88="","",IFERROR(INDEX(LMH_PTS,MATCH(P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X88" s="44" t="n"/>
      <c r="Y88" s="38" t="inlineStr">
        <is>
          <t>CARBON|Sales|Sales Operations Specialist – POD Lead|B1|B-IC</t>
        </is>
      </c>
    </row>
    <row r="89" ht="28" customHeight="1">
      <c r="A89" s="28" t="inlineStr">
        <is>
          <t>CARBON</t>
        </is>
      </c>
      <c r="B89" s="29" t="inlineStr">
        <is>
          <t>Sales</t>
        </is>
      </c>
      <c r="C89" s="75" t="inlineStr">
        <is>
          <t>A3</t>
        </is>
      </c>
      <c r="D89" s="29" t="inlineStr">
        <is>
          <t>Band A · Practitioner</t>
        </is>
      </c>
      <c r="E89" s="29" t="inlineStr">
        <is>
          <t>Senior Sales Operations Analyst</t>
        </is>
      </c>
      <c r="F89" s="29" t="inlineStr">
        <is>
          <t>Band A · all tracks</t>
        </is>
      </c>
      <c r="G89" s="29" t="inlineStr">
        <is>
          <t>Sales &amp; Business Development</t>
        </is>
      </c>
      <c r="H89" s="29" t="n">
        <v>1</v>
      </c>
      <c r="I89" s="29" t="inlineStr">
        <is>
          <t>Smriti Priya</t>
        </is>
      </c>
      <c r="J89" s="34" t="str">
        <f>IFERROR(INDEX(RBD_C,MATCH("Sales &amp; Business Development|A3|A",RBD_KEY,0)),"M")</f>
        <v>H</v>
      </c>
      <c r="K89" s="35" t="str">
        <f>IFERROR(INDEX(RBD_Au,MATCH("Sales &amp; Business Development|A3|A",RBD_KEY,0)),"M")</f>
        <v>M</v>
      </c>
      <c r="L89" s="35" t="str">
        <f>IFERROR(INDEX(RBD_Ac,MATCH("Sales &amp; Business Development|A3|A",RBD_KEY,0)),"M")</f>
        <v>L</v>
      </c>
      <c r="M89" s="35" t="str">
        <f>IFERROR(INDEX(RBD_L,MATCH("Sales &amp; Business Development|A3|A",RBD_KEY,0)),"M")</f>
        <v>L</v>
      </c>
      <c r="N89" s="35" t="str">
        <f>IFERROR(INDEX(RBD_BI,MATCH("Sales &amp; Business Development|A3|A",RBD_KEY,0)),"M")</f>
        <v>M</v>
      </c>
      <c r="O89" s="35" t="str">
        <f>IFERROR(INDEX(RBD_Exp,MATCH("Sales &amp; Business Development|A3|A",RBD_KEY,0)),"M")</f>
        <v>L</v>
      </c>
      <c r="P89" s="35" t="str">
        <f>IFERROR(INDEX(RBD_Edu,MATCH("Sales &amp; Business Development|A3|A",RBD_KEY,0)),"M")</f>
        <v>L</v>
      </c>
      <c r="Q89" s="73">
        <f>IF(J89="","",IFERROR(INDEX(LMH_PTS,MATCH(J89,LMH_KEY,0))/SUM(IFERROR(INDEX(LMH_PTS,MATCH(J89,LMH_KEY,0)),0),IFERROR(INDEX(LMH_PTS,MATCH(K89,LMH_KEY,0)),0),IFERROR(INDEX(LMH_PTS,MATCH(L89,LMH_KEY,0)),0),IFERROR(INDEX(LMH_PTS,MATCH(M89,LMH_KEY,0)),0),IFERROR(INDEX(LMH_PTS,MATCH(N89,LMH_KEY,0)),0),IFERROR(INDEX(LMH_PTS,MATCH(O89,LMH_KEY,0)),0),IFERROR(INDEX(LMH_PTS,MATCH(P89,LMH_KEY,0)),0)),""))</f>
        <v>0.473684210526316</v>
      </c>
      <c r="R89" s="74">
        <f>IF(K89="","",IFERROR(INDEX(LMH_PTS,MATCH(K89,LMH_KEY,0))/SUM(IFERROR(INDEX(LMH_PTS,MATCH(J89,LMH_KEY,0)),0),IFERROR(INDEX(LMH_PTS,MATCH(K89,LMH_KEY,0)),0),IFERROR(INDEX(LMH_PTS,MATCH(L89,LMH_KEY,0)),0),IFERROR(INDEX(LMH_PTS,MATCH(M89,LMH_KEY,0)),0),IFERROR(INDEX(LMH_PTS,MATCH(N89,LMH_KEY,0)),0),IFERROR(INDEX(LMH_PTS,MATCH(O89,LMH_KEY,0)),0),IFERROR(INDEX(LMH_PTS,MATCH(P89,LMH_KEY,0)),0)),""))</f>
        <v>0.157894736842105</v>
      </c>
      <c r="S89" s="74">
        <f>IF(L89="","",IFERROR(INDEX(LMH_PTS,MATCH(L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T89" s="74">
        <f>IF(M89="","",IFERROR(INDEX(LMH_PTS,MATCH(M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U89" s="74">
        <f>IF(N89="","",IFERROR(INDEX(LMH_PTS,MATCH(N89,LMH_KEY,0))/SUM(IFERROR(INDEX(LMH_PTS,MATCH(J89,LMH_KEY,0)),0),IFERROR(INDEX(LMH_PTS,MATCH(K89,LMH_KEY,0)),0),IFERROR(INDEX(LMH_PTS,MATCH(L89,LMH_KEY,0)),0),IFERROR(INDEX(LMH_PTS,MATCH(M89,LMH_KEY,0)),0),IFERROR(INDEX(LMH_PTS,MATCH(N89,LMH_KEY,0)),0),IFERROR(INDEX(LMH_PTS,MATCH(O89,LMH_KEY,0)),0),IFERROR(INDEX(LMH_PTS,MATCH(P89,LMH_KEY,0)),0)),""))</f>
        <v>0.157894736842105</v>
      </c>
      <c r="V89" s="74">
        <f>IF(O89="","",IFERROR(INDEX(LMH_PTS,MATCH(O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W89" s="74">
        <f>IF(P89="","",IFERROR(INDEX(LMH_PTS,MATCH(P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X89" s="44" t="n"/>
      <c r="Y89" s="38" t="inlineStr">
        <is>
          <t>CARBON|Sales|Senior Sales Operations Analyst|A3|A</t>
        </is>
      </c>
    </row>
    <row r="90" ht="40.5" customHeight="1">
      <c r="A90" s="28" t="inlineStr">
        <is>
          <t>CARBON</t>
        </is>
      </c>
      <c r="B90" s="29" t="inlineStr">
        <is>
          <t>Sales</t>
        </is>
      </c>
      <c r="C90" s="76" t="inlineStr">
        <is>
          <t>X3</t>
        </is>
      </c>
      <c r="D90" s="29" t="inlineStr">
        <is>
          <t>Band X · Consultant</t>
        </is>
      </c>
      <c r="E90" s="29" t="inlineStr">
        <is>
          <t>Senior Consultant – Enterprise Sales &amp; Account Management</t>
        </is>
      </c>
      <c r="F90" s="29" t="inlineStr">
        <is>
          <t>Consultant</t>
        </is>
      </c>
      <c r="G90" s="29" t="inlineStr">
        <is>
          <t>Sales &amp; Business Development</t>
        </is>
      </c>
      <c r="H90" s="29" t="n">
        <v>1</v>
      </c>
      <c r="I90" s="29" t="inlineStr">
        <is>
          <t>Andrea Messiga</t>
        </is>
      </c>
      <c r="J90" s="34" t="n"/>
      <c r="K90" s="35" t="n"/>
      <c r="L90" s="35" t="n"/>
      <c r="M90" s="35" t="n"/>
      <c r="N90" s="35" t="n"/>
      <c r="O90" s="35" t="n"/>
      <c r="P90" s="35" t="n"/>
      <c r="Q90" s="73" t="str">
        <f>IF(J90="","",IFERROR(INDEX(LMH_PTS,MATCH(J90,LMH_KEY,0))/SUM(IFERROR(INDEX(LMH_PTS,MATCH(J90,LMH_KEY,0)),0),IFERROR(INDEX(LMH_PTS,MATCH(K90,LMH_KEY,0)),0),IFERROR(INDEX(LMH_PTS,MATCH(L90,LMH_KEY,0)),0),IFERROR(INDEX(LMH_PTS,MATCH(M90,LMH_KEY,0)),0),IFERROR(INDEX(LMH_PTS,MATCH(N90,LMH_KEY,0)),0),IFERROR(INDEX(LMH_PTS,MATCH(O90,LMH_KEY,0)),0),IFERROR(INDEX(LMH_PTS,MATCH(P90,LMH_KEY,0)),0)),""))</f>
        <v/>
      </c>
      <c r="R90" s="74" t="str">
        <f>IF(K90="","",IFERROR(INDEX(LMH_PTS,MATCH(K90,LMH_KEY,0))/SUM(IFERROR(INDEX(LMH_PTS,MATCH(J90,LMH_KEY,0)),0),IFERROR(INDEX(LMH_PTS,MATCH(K90,LMH_KEY,0)),0),IFERROR(INDEX(LMH_PTS,MATCH(L90,LMH_KEY,0)),0),IFERROR(INDEX(LMH_PTS,MATCH(M90,LMH_KEY,0)),0),IFERROR(INDEX(LMH_PTS,MATCH(N90,LMH_KEY,0)),0),IFERROR(INDEX(LMH_PTS,MATCH(O90,LMH_KEY,0)),0),IFERROR(INDEX(LMH_PTS,MATCH(P90,LMH_KEY,0)),0)),""))</f>
        <v/>
      </c>
      <c r="S90" s="74" t="str">
        <f>IF(L90="","",IFERROR(INDEX(LMH_PTS,MATCH(L90,LMH_KEY,0))/SUM(IFERROR(INDEX(LMH_PTS,MATCH(J90,LMH_KEY,0)),0),IFERROR(INDEX(LMH_PTS,MATCH(K90,LMH_KEY,0)),0),IFERROR(INDEX(LMH_PTS,MATCH(L90,LMH_KEY,0)),0),IFERROR(INDEX(LMH_PTS,MATCH(M90,LMH_KEY,0)),0),IFERROR(INDEX(LMH_PTS,MATCH(N90,LMH_KEY,0)),0),IFERROR(INDEX(LMH_PTS,MATCH(O90,LMH_KEY,0)),0),IFERROR(INDEX(LMH_PTS,MATCH(P90,LMH_KEY,0)),0)),""))</f>
        <v/>
      </c>
      <c r="T90" s="74" t="str">
        <f>IF(M90="","",IFERROR(INDEX(LMH_PTS,MATCH(M90,LMH_KEY,0))/SUM(IFERROR(INDEX(LMH_PTS,MATCH(J90,LMH_KEY,0)),0),IFERROR(INDEX(LMH_PTS,MATCH(K90,LMH_KEY,0)),0),IFERROR(INDEX(LMH_PTS,MATCH(L90,LMH_KEY,0)),0),IFERROR(INDEX(LMH_PTS,MATCH(M90,LMH_KEY,0)),0),IFERROR(INDEX(LMH_PTS,MATCH(N90,LMH_KEY,0)),0),IFERROR(INDEX(LMH_PTS,MATCH(O90,LMH_KEY,0)),0),IFERROR(INDEX(LMH_PTS,MATCH(P90,LMH_KEY,0)),0)),""))</f>
        <v/>
      </c>
      <c r="U90" s="74" t="str">
        <f>IF(N90="","",IFERROR(INDEX(LMH_PTS,MATCH(N90,LMH_KEY,0))/SUM(IFERROR(INDEX(LMH_PTS,MATCH(J90,LMH_KEY,0)),0),IFERROR(INDEX(LMH_PTS,MATCH(K90,LMH_KEY,0)),0),IFERROR(INDEX(LMH_PTS,MATCH(L90,LMH_KEY,0)),0),IFERROR(INDEX(LMH_PTS,MATCH(M90,LMH_KEY,0)),0),IFERROR(INDEX(LMH_PTS,MATCH(N90,LMH_KEY,0)),0),IFERROR(INDEX(LMH_PTS,MATCH(O90,LMH_KEY,0)),0),IFERROR(INDEX(LMH_PTS,MATCH(P90,LMH_KEY,0)),0)),""))</f>
        <v/>
      </c>
      <c r="V90" s="74" t="str">
        <f>IF(O90="","",IFERROR(INDEX(LMH_PTS,MATCH(O90,LMH_KEY,0))/SUM(IFERROR(INDEX(LMH_PTS,MATCH(J90,LMH_KEY,0)),0),IFERROR(INDEX(LMH_PTS,MATCH(K90,LMH_KEY,0)),0),IFERROR(INDEX(LMH_PTS,MATCH(L90,LMH_KEY,0)),0),IFERROR(INDEX(LMH_PTS,MATCH(M90,LMH_KEY,0)),0),IFERROR(INDEX(LMH_PTS,MATCH(N90,LMH_KEY,0)),0),IFERROR(INDEX(LMH_PTS,MATCH(O90,LMH_KEY,0)),0),IFERROR(INDEX(LMH_PTS,MATCH(P90,LMH_KEY,0)),0)),""))</f>
        <v/>
      </c>
      <c r="W90" s="74" t="str">
        <f>IF(P90="","",IFERROR(INDEX(LMH_PTS,MATCH(P90,LMH_KEY,0))/SUM(IFERROR(INDEX(LMH_PTS,MATCH(J90,LMH_KEY,0)),0),IFERROR(INDEX(LMH_PTS,MATCH(K90,LMH_KEY,0)),0),IFERROR(INDEX(LMH_PTS,MATCH(L90,LMH_KEY,0)),0),IFERROR(INDEX(LMH_PTS,MATCH(M90,LMH_KEY,0)),0),IFERROR(INDEX(LMH_PTS,MATCH(N90,LMH_KEY,0)),0),IFERROR(INDEX(LMH_PTS,MATCH(O90,LMH_KEY,0)),0),IFERROR(INDEX(LMH_PTS,MATCH(P90,LMH_KEY,0)),0)),""))</f>
        <v/>
      </c>
      <c r="X90" s="44" t="n"/>
      <c r="Y90" s="38" t="inlineStr">
        <is>
          <t>CARBON|Sales|Senior Consultant – Enterprise Sales &amp; Account Management|X3|X</t>
        </is>
      </c>
    </row>
    <row r="91" ht="28" customHeight="1">
      <c r="A91" s="28" t="inlineStr">
        <is>
          <t>CARBON</t>
        </is>
      </c>
      <c r="B91" s="71" t="inlineStr">
        <is>
          <t>Services</t>
        </is>
      </c>
      <c r="C91" s="72" t="inlineStr">
        <is>
          <t>B3</t>
        </is>
      </c>
      <c r="D91" s="29" t="inlineStr">
        <is>
          <t>Band B · Specialist / Manager</t>
        </is>
      </c>
      <c r="E91" s="29" t="inlineStr">
        <is>
          <t>Associate Head – Assisted Services</t>
        </is>
      </c>
      <c r="F91" s="29" t="inlineStr">
        <is>
          <t>Band B · People Manager</t>
        </is>
      </c>
      <c r="G91" s="29" t="inlineStr">
        <is>
          <t>Executive Leadership</t>
        </is>
      </c>
      <c r="H91" s="29" t="n">
        <v>1</v>
      </c>
      <c r="I91" s="29" t="inlineStr">
        <is>
          <t>K Ashok Kumar</t>
        </is>
      </c>
      <c r="J91" s="34" t="str">
        <f>IFERROR(INDEX(RBD_C,MATCH("Executive Leadership|B3|B-M",RBD_KEY,0)),"M")</f>
        <v>H</v>
      </c>
      <c r="K91" s="35" t="str">
        <f>IFERROR(INDEX(RBD_Au,MATCH("Executive Leadership|B3|B-M",RBD_KEY,0)),"M")</f>
        <v>M</v>
      </c>
      <c r="L91" s="35" t="str">
        <f>IFERROR(INDEX(RBD_Ac,MATCH("Executive Leadership|B3|B-M",RBD_KEY,0)),"M")</f>
        <v>M</v>
      </c>
      <c r="M91" s="35" t="str">
        <f>IFERROR(INDEX(RBD_L,MATCH("Executive Leadership|B3|B-M",RBD_KEY,0)),"M")</f>
        <v>M</v>
      </c>
      <c r="N91" s="35" t="str">
        <f>IFERROR(INDEX(RBD_BI,MATCH("Executive Leadership|B3|B-M",RBD_KEY,0)),"M")</f>
        <v>L</v>
      </c>
      <c r="O91" s="35" t="str">
        <f>IFERROR(INDEX(RBD_Exp,MATCH("Executive Leadership|B3|B-M",RBD_KEY,0)),"M")</f>
        <v>L</v>
      </c>
      <c r="P91" s="35" t="str">
        <f>IFERROR(INDEX(RBD_Edu,MATCH("Executive Leadership|B3|B-M",RBD_KEY,0)),"M")</f>
        <v>L</v>
      </c>
      <c r="Q91" s="73">
        <f>IF(J91="","",IFERROR(INDEX(LMH_PTS,MATCH(J91,LMH_KEY,0))/SUM(IFERROR(INDEX(LMH_PTS,MATCH(J91,LMH_KEY,0)),0),IFERROR(INDEX(LMH_PTS,MATCH(K91,LMH_KEY,0)),0),IFERROR(INDEX(LMH_PTS,MATCH(L91,LMH_KEY,0)),0),IFERROR(INDEX(LMH_PTS,MATCH(M91,LMH_KEY,0)),0),IFERROR(INDEX(LMH_PTS,MATCH(N91,LMH_KEY,0)),0),IFERROR(INDEX(LMH_PTS,MATCH(O91,LMH_KEY,0)),0),IFERROR(INDEX(LMH_PTS,MATCH(P91,LMH_KEY,0)),0)),""))</f>
        <v>0.428571428571429</v>
      </c>
      <c r="R91" s="74">
        <f>IF(K91="","",IFERROR(INDEX(LMH_PTS,MATCH(K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S91" s="74">
        <f>IF(L91="","",IFERROR(INDEX(LMH_PTS,MATCH(L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T91" s="74">
        <f>IF(M91="","",IFERROR(INDEX(LMH_PTS,MATCH(M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U91" s="74">
        <f>IF(N91="","",IFERROR(INDEX(LMH_PTS,MATCH(N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V91" s="74">
        <f>IF(O91="","",IFERROR(INDEX(LMH_PTS,MATCH(O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W91" s="74">
        <f>IF(P91="","",IFERROR(INDEX(LMH_PTS,MATCH(P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X91" s="44" t="n"/>
      <c r="Y91" s="38" t="inlineStr">
        <is>
          <t>CARBON|Services|Associate Head – Assisted Services|B3|B-M</t>
        </is>
      </c>
    </row>
    <row r="92" ht="28" customHeight="1">
      <c r="A92" s="28" t="inlineStr">
        <is>
          <t>CARBON</t>
        </is>
      </c>
      <c r="B92" s="29" t="inlineStr">
        <is>
          <t>Services</t>
        </is>
      </c>
      <c r="C92" s="72" t="inlineStr">
        <is>
          <t>B2</t>
        </is>
      </c>
      <c r="D92" s="29" t="inlineStr">
        <is>
          <t>Band B · Specialist / Manager</t>
        </is>
      </c>
      <c r="E92" s="29" t="inlineStr">
        <is>
          <t>Associate Head – XBRL Assisted Services</t>
        </is>
      </c>
      <c r="F92" s="29" t="inlineStr">
        <is>
          <t>Band B · People Manager</t>
        </is>
      </c>
      <c r="G92" s="29" t="inlineStr">
        <is>
          <t>Consulting &amp; Professional Services</t>
        </is>
      </c>
      <c r="H92" s="29" t="n">
        <v>1</v>
      </c>
      <c r="I92" s="29" t="inlineStr">
        <is>
          <t>Shashikant Mudaliar</t>
        </is>
      </c>
      <c r="J92" s="34" t="str">
        <f>IFERROR(INDEX(RBD_C,MATCH("Consulting &amp; Professional Services|B2|B-M",RBD_KEY,0)),"M")</f>
        <v>H</v>
      </c>
      <c r="K92" s="35" t="str">
        <f>IFERROR(INDEX(RBD_Au,MATCH("Consulting &amp; Professional Services|B2|B-M",RBD_KEY,0)),"M")</f>
        <v>M</v>
      </c>
      <c r="L92" s="35" t="str">
        <f>IFERROR(INDEX(RBD_Ac,MATCH("Consulting &amp; Professional Services|B2|B-M",RBD_KEY,0)),"M")</f>
        <v>M</v>
      </c>
      <c r="M92" s="35" t="str">
        <f>IFERROR(INDEX(RBD_L,MATCH("Consulting &amp; Professional Services|B2|B-M",RBD_KEY,0)),"M")</f>
        <v>M</v>
      </c>
      <c r="N92" s="35" t="str">
        <f>IFERROR(INDEX(RBD_BI,MATCH("Consulting &amp; Professional Services|B2|B-M",RBD_KEY,0)),"M")</f>
        <v>L</v>
      </c>
      <c r="O92" s="35" t="str">
        <f>IFERROR(INDEX(RBD_Exp,MATCH("Consulting &amp; Professional Services|B2|B-M",RBD_KEY,0)),"M")</f>
        <v>L</v>
      </c>
      <c r="P92" s="35" t="str">
        <f>IFERROR(INDEX(RBD_Edu,MATCH("Consulting &amp; Professional Services|B2|B-M",RBD_KEY,0)),"M")</f>
        <v>L</v>
      </c>
      <c r="Q92" s="73">
        <f>IF(J92="","",IFERROR(INDEX(LMH_PTS,MATCH(J92,LMH_KEY,0))/SUM(IFERROR(INDEX(LMH_PTS,MATCH(J92,LMH_KEY,0)),0),IFERROR(INDEX(LMH_PTS,MATCH(K92,LMH_KEY,0)),0),IFERROR(INDEX(LMH_PTS,MATCH(L92,LMH_KEY,0)),0),IFERROR(INDEX(LMH_PTS,MATCH(M92,LMH_KEY,0)),0),IFERROR(INDEX(LMH_PTS,MATCH(N92,LMH_KEY,0)),0),IFERROR(INDEX(LMH_PTS,MATCH(O92,LMH_KEY,0)),0),IFERROR(INDEX(LMH_PTS,MATCH(P92,LMH_KEY,0)),0)),""))</f>
        <v>0.428571428571429</v>
      </c>
      <c r="R92" s="74">
        <f>IF(K92="","",IFERROR(INDEX(LMH_PTS,MATCH(K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S92" s="74">
        <f>IF(L92="","",IFERROR(INDEX(LMH_PTS,MATCH(L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T92" s="74">
        <f>IF(M92="","",IFERROR(INDEX(LMH_PTS,MATCH(M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U92" s="74">
        <f>IF(N92="","",IFERROR(INDEX(LMH_PTS,MATCH(N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V92" s="74">
        <f>IF(O92="","",IFERROR(INDEX(LMH_PTS,MATCH(O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W92" s="74">
        <f>IF(P92="","",IFERROR(INDEX(LMH_PTS,MATCH(P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X92" s="44" t="n"/>
      <c r="Y92" s="38" t="inlineStr">
        <is>
          <t>CARBON|Services|Associate Head – XBRL Assisted Services|B2|B-M</t>
        </is>
      </c>
    </row>
    <row r="93" ht="28" customHeight="1">
      <c r="A93" s="28" t="inlineStr">
        <is>
          <t>CARBON</t>
        </is>
      </c>
      <c r="B93" s="29" t="inlineStr">
        <is>
          <t>Services</t>
        </is>
      </c>
      <c r="C93" s="72" t="inlineStr">
        <is>
          <t>B2</t>
        </is>
      </c>
      <c r="D93" s="29" t="inlineStr">
        <is>
          <t>Band B · Specialist / Manager</t>
        </is>
      </c>
      <c r="E93" s="29" t="inlineStr">
        <is>
          <t>Senior Manager – Assisted Services</t>
        </is>
      </c>
      <c r="F93" s="29" t="inlineStr">
        <is>
          <t>Band B · People Manager</t>
        </is>
      </c>
      <c r="G93" s="29" t="inlineStr">
        <is>
          <t>Consulting &amp; Professional Services</t>
        </is>
      </c>
      <c r="H93" s="29" t="n">
        <v>1</v>
      </c>
      <c r="I93" s="29" t="inlineStr">
        <is>
          <t>Mayur Zope</t>
        </is>
      </c>
      <c r="J93" s="34" t="str">
        <f>IFERROR(INDEX(RBD_C,MATCH("Consulting &amp; Professional Services|B2|B-M",RBD_KEY,0)),"M")</f>
        <v>H</v>
      </c>
      <c r="K93" s="35" t="str">
        <f>IFERROR(INDEX(RBD_Au,MATCH("Consulting &amp; Professional Services|B2|B-M",RBD_KEY,0)),"M")</f>
        <v>M</v>
      </c>
      <c r="L93" s="35" t="str">
        <f>IFERROR(INDEX(RBD_Ac,MATCH("Consulting &amp; Professional Services|B2|B-M",RBD_KEY,0)),"M")</f>
        <v>M</v>
      </c>
      <c r="M93" s="35" t="str">
        <f>IFERROR(INDEX(RBD_L,MATCH("Consulting &amp; Professional Services|B2|B-M",RBD_KEY,0)),"M")</f>
        <v>M</v>
      </c>
      <c r="N93" s="35" t="str">
        <f>IFERROR(INDEX(RBD_BI,MATCH("Consulting &amp; Professional Services|B2|B-M",RBD_KEY,0)),"M")</f>
        <v>L</v>
      </c>
      <c r="O93" s="35" t="str">
        <f>IFERROR(INDEX(RBD_Exp,MATCH("Consulting &amp; Professional Services|B2|B-M",RBD_KEY,0)),"M")</f>
        <v>L</v>
      </c>
      <c r="P93" s="35" t="str">
        <f>IFERROR(INDEX(RBD_Edu,MATCH("Consulting &amp; Professional Services|B2|B-M",RBD_KEY,0)),"M")</f>
        <v>L</v>
      </c>
      <c r="Q93" s="73">
        <f>IF(J93="","",IFERROR(INDEX(LMH_PTS,MATCH(J93,LMH_KEY,0))/SUM(IFERROR(INDEX(LMH_PTS,MATCH(J93,LMH_KEY,0)),0),IFERROR(INDEX(LMH_PTS,MATCH(K93,LMH_KEY,0)),0),IFERROR(INDEX(LMH_PTS,MATCH(L93,LMH_KEY,0)),0),IFERROR(INDEX(LMH_PTS,MATCH(M93,LMH_KEY,0)),0),IFERROR(INDEX(LMH_PTS,MATCH(N93,LMH_KEY,0)),0),IFERROR(INDEX(LMH_PTS,MATCH(O93,LMH_KEY,0)),0),IFERROR(INDEX(LMH_PTS,MATCH(P93,LMH_KEY,0)),0)),""))</f>
        <v>0.428571428571429</v>
      </c>
      <c r="R93" s="74">
        <f>IF(K93="","",IFERROR(INDEX(LMH_PTS,MATCH(K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S93" s="74">
        <f>IF(L93="","",IFERROR(INDEX(LMH_PTS,MATCH(L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T93" s="74">
        <f>IF(M93="","",IFERROR(INDEX(LMH_PTS,MATCH(M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U93" s="74">
        <f>IF(N93="","",IFERROR(INDEX(LMH_PTS,MATCH(N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V93" s="74">
        <f>IF(O93="","",IFERROR(INDEX(LMH_PTS,MATCH(O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W93" s="74">
        <f>IF(P93="","",IFERROR(INDEX(LMH_PTS,MATCH(P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X93" s="44" t="n"/>
      <c r="Y93" s="38" t="inlineStr">
        <is>
          <t>CARBON|Services|Senior Manager – Assisted Services|B2|B-M</t>
        </is>
      </c>
    </row>
    <row r="94" ht="28" customHeight="1">
      <c r="A94" s="28" t="inlineStr">
        <is>
          <t>CARBON</t>
        </is>
      </c>
      <c r="B94" s="29" t="inlineStr">
        <is>
          <t>Services</t>
        </is>
      </c>
      <c r="C94" s="72" t="inlineStr">
        <is>
          <t>B1</t>
        </is>
      </c>
      <c r="D94" s="29" t="inlineStr">
        <is>
          <t>Band B · Specialist / Manager</t>
        </is>
      </c>
      <c r="E94" s="29" t="inlineStr">
        <is>
          <t>Manager – Assisted Services</t>
        </is>
      </c>
      <c r="F94" s="29" t="inlineStr">
        <is>
          <t>Band B · People Manager</t>
        </is>
      </c>
      <c r="G94" s="29" t="inlineStr">
        <is>
          <t>Consulting &amp; Professional Services</t>
        </is>
      </c>
      <c r="H94" s="29" t="n">
        <v>3</v>
      </c>
      <c r="I94" s="29" t="inlineStr">
        <is>
          <t>Jinesh Kumar S, Mohammed Dholkawala, Priyanka Jadhav</t>
        </is>
      </c>
      <c r="J94" s="34" t="str">
        <f>IFERROR(INDEX(RBD_C,MATCH("Consulting &amp; Professional Services|B1|B-M",RBD_KEY,0)),"M")</f>
        <v>H</v>
      </c>
      <c r="K94" s="35" t="str">
        <f>IFERROR(INDEX(RBD_Au,MATCH("Consulting &amp; Professional Services|B1|B-M",RBD_KEY,0)),"M")</f>
        <v>M</v>
      </c>
      <c r="L94" s="35" t="str">
        <f>IFERROR(INDEX(RBD_Ac,MATCH("Consulting &amp; Professional Services|B1|B-M",RBD_KEY,0)),"M")</f>
        <v>M</v>
      </c>
      <c r="M94" s="35" t="str">
        <f>IFERROR(INDEX(RBD_L,MATCH("Consulting &amp; Professional Services|B1|B-M",RBD_KEY,0)),"M")</f>
        <v>M</v>
      </c>
      <c r="N94" s="35" t="str">
        <f>IFERROR(INDEX(RBD_BI,MATCH("Consulting &amp; Professional Services|B1|B-M",RBD_KEY,0)),"M")</f>
        <v>L</v>
      </c>
      <c r="O94" s="35" t="str">
        <f>IFERROR(INDEX(RBD_Exp,MATCH("Consulting &amp; Professional Services|B1|B-M",RBD_KEY,0)),"M")</f>
        <v>L</v>
      </c>
      <c r="P94" s="35" t="str">
        <f>IFERROR(INDEX(RBD_Edu,MATCH("Consulting &amp; Professional Services|B1|B-M",RBD_KEY,0)),"M")</f>
        <v>L</v>
      </c>
      <c r="Q94" s="73">
        <f>IF(J94="","",IFERROR(INDEX(LMH_PTS,MATCH(J94,LMH_KEY,0))/SUM(IFERROR(INDEX(LMH_PTS,MATCH(J94,LMH_KEY,0)),0),IFERROR(INDEX(LMH_PTS,MATCH(K94,LMH_KEY,0)),0),IFERROR(INDEX(LMH_PTS,MATCH(L94,LMH_KEY,0)),0),IFERROR(INDEX(LMH_PTS,MATCH(M94,LMH_KEY,0)),0),IFERROR(INDEX(LMH_PTS,MATCH(N94,LMH_KEY,0)),0),IFERROR(INDEX(LMH_PTS,MATCH(O94,LMH_KEY,0)),0),IFERROR(INDEX(LMH_PTS,MATCH(P94,LMH_KEY,0)),0)),""))</f>
        <v>0.428571428571429</v>
      </c>
      <c r="R94" s="74">
        <f>IF(K94="","",IFERROR(INDEX(LMH_PTS,MATCH(K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S94" s="74">
        <f>IF(L94="","",IFERROR(INDEX(LMH_PTS,MATCH(L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T94" s="74">
        <f>IF(M94="","",IFERROR(INDEX(LMH_PTS,MATCH(M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U94" s="74">
        <f>IF(N94="","",IFERROR(INDEX(LMH_PTS,MATCH(N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V94" s="74">
        <f>IF(O94="","",IFERROR(INDEX(LMH_PTS,MATCH(O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W94" s="74">
        <f>IF(P94="","",IFERROR(INDEX(LMH_PTS,MATCH(P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X94" s="44" t="n"/>
      <c r="Y94" s="38" t="inlineStr">
        <is>
          <t>CARBON|Services|Manager – Assisted Services|B1|B-M</t>
        </is>
      </c>
    </row>
    <row r="95" ht="18" customHeight="1">
      <c r="A95" s="28" t="inlineStr">
        <is>
          <t>CARBON</t>
        </is>
      </c>
      <c r="B95" s="29" t="inlineStr">
        <is>
          <t>Services</t>
        </is>
      </c>
      <c r="C95" s="72" t="inlineStr">
        <is>
          <t>B1</t>
        </is>
      </c>
      <c r="D95" s="29" t="inlineStr">
        <is>
          <t>Band B · Specialist / Manager</t>
        </is>
      </c>
      <c r="E95" s="29" t="inlineStr">
        <is>
          <t>PMO Manager</t>
        </is>
      </c>
      <c r="F95" s="29" t="inlineStr">
        <is>
          <t>Band B · People Manager</t>
        </is>
      </c>
      <c r="G95" s="29" t="inlineStr">
        <is>
          <t>Project &amp; Program Management</t>
        </is>
      </c>
      <c r="H95" s="29" t="n">
        <v>1</v>
      </c>
      <c r="I95" s="29" t="inlineStr">
        <is>
          <t>Priyanka Mehra</t>
        </is>
      </c>
      <c r="J95" s="34" t="str">
        <f>IFERROR(INDEX(RBD_C,MATCH("Project &amp; Program Management|B1|B-M",RBD_KEY,0)),"M")</f>
        <v>H</v>
      </c>
      <c r="K95" s="35" t="str">
        <f>IFERROR(INDEX(RBD_Au,MATCH("Project &amp; Program Management|B1|B-M",RBD_KEY,0)),"M")</f>
        <v>M</v>
      </c>
      <c r="L95" s="35" t="str">
        <f>IFERROR(INDEX(RBD_Ac,MATCH("Project &amp; Program Management|B1|B-M",RBD_KEY,0)),"M")</f>
        <v>L</v>
      </c>
      <c r="M95" s="35" t="str">
        <f>IFERROR(INDEX(RBD_L,MATCH("Project &amp; Program Management|B1|B-M",RBD_KEY,0)),"M")</f>
        <v>M</v>
      </c>
      <c r="N95" s="35" t="str">
        <f>IFERROR(INDEX(RBD_BI,MATCH("Project &amp; Program Management|B1|B-M",RBD_KEY,0)),"M")</f>
        <v>L</v>
      </c>
      <c r="O95" s="35" t="str">
        <f>IFERROR(INDEX(RBD_Exp,MATCH("Project &amp; Program Management|B1|B-M",RBD_KEY,0)),"M")</f>
        <v>L</v>
      </c>
      <c r="P95" s="35" t="str">
        <f>IFERROR(INDEX(RBD_Edu,MATCH("Project &amp; Program Management|B1|B-M",RBD_KEY,0)),"M")</f>
        <v>L</v>
      </c>
      <c r="Q95" s="73">
        <f>IF(J95="","",IFERROR(INDEX(LMH_PTS,MATCH(J95,LMH_KEY,0))/SUM(IFERROR(INDEX(LMH_PTS,MATCH(J95,LMH_KEY,0)),0),IFERROR(INDEX(LMH_PTS,MATCH(K95,LMH_KEY,0)),0),IFERROR(INDEX(LMH_PTS,MATCH(L95,LMH_KEY,0)),0),IFERROR(INDEX(LMH_PTS,MATCH(M95,LMH_KEY,0)),0),IFERROR(INDEX(LMH_PTS,MATCH(N95,LMH_KEY,0)),0),IFERROR(INDEX(LMH_PTS,MATCH(O95,LMH_KEY,0)),0),IFERROR(INDEX(LMH_PTS,MATCH(P95,LMH_KEY,0)),0)),""))</f>
        <v>0.473684210526316</v>
      </c>
      <c r="R95" s="74">
        <f>IF(K95="","",IFERROR(INDEX(LMH_PTS,MATCH(K95,LMH_KEY,0))/SUM(IFERROR(INDEX(LMH_PTS,MATCH(J95,LMH_KEY,0)),0),IFERROR(INDEX(LMH_PTS,MATCH(K95,LMH_KEY,0)),0),IFERROR(INDEX(LMH_PTS,MATCH(L95,LMH_KEY,0)),0),IFERROR(INDEX(LMH_PTS,MATCH(M95,LMH_KEY,0)),0),IFERROR(INDEX(LMH_PTS,MATCH(N95,LMH_KEY,0)),0),IFERROR(INDEX(LMH_PTS,MATCH(O95,LMH_KEY,0)),0),IFERROR(INDEX(LMH_PTS,MATCH(P95,LMH_KEY,0)),0)),""))</f>
        <v>0.157894736842105</v>
      </c>
      <c r="S95" s="74">
        <f>IF(L95="","",IFERROR(INDEX(LMH_PTS,MATCH(L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T95" s="74">
        <f>IF(M95="","",IFERROR(INDEX(LMH_PTS,MATCH(M95,LMH_KEY,0))/SUM(IFERROR(INDEX(LMH_PTS,MATCH(J95,LMH_KEY,0)),0),IFERROR(INDEX(LMH_PTS,MATCH(K95,LMH_KEY,0)),0),IFERROR(INDEX(LMH_PTS,MATCH(L95,LMH_KEY,0)),0),IFERROR(INDEX(LMH_PTS,MATCH(M95,LMH_KEY,0)),0),IFERROR(INDEX(LMH_PTS,MATCH(N95,LMH_KEY,0)),0),IFERROR(INDEX(LMH_PTS,MATCH(O95,LMH_KEY,0)),0),IFERROR(INDEX(LMH_PTS,MATCH(P95,LMH_KEY,0)),0)),""))</f>
        <v>0.157894736842105</v>
      </c>
      <c r="U95" s="74">
        <f>IF(N95="","",IFERROR(INDEX(LMH_PTS,MATCH(N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V95" s="74">
        <f>IF(O95="","",IFERROR(INDEX(LMH_PTS,MATCH(O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W95" s="74">
        <f>IF(P95="","",IFERROR(INDEX(LMH_PTS,MATCH(P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X95" s="44" t="n"/>
      <c r="Y95" s="38" t="inlineStr">
        <is>
          <t>CARBON|Services|PMO Manager|B1|B-M</t>
        </is>
      </c>
    </row>
    <row r="96" ht="28" customHeight="1">
      <c r="A96" s="28" t="inlineStr">
        <is>
          <t>CARBON</t>
        </is>
      </c>
      <c r="B96" s="29" t="inlineStr">
        <is>
          <t>Services</t>
        </is>
      </c>
      <c r="C96" s="72" t="inlineStr">
        <is>
          <t>B1</t>
        </is>
      </c>
      <c r="D96" s="29" t="inlineStr">
        <is>
          <t>Band B · Specialist / Manager</t>
        </is>
      </c>
      <c r="E96" s="29" t="inlineStr">
        <is>
          <t>Senior Manager – Service Delivery</t>
        </is>
      </c>
      <c r="F96" s="29" t="inlineStr">
        <is>
          <t>Band B · People Manager</t>
        </is>
      </c>
      <c r="G96" s="29" t="inlineStr">
        <is>
          <t>Consulting &amp; Professional Services</t>
        </is>
      </c>
      <c r="H96" s="29" t="n">
        <v>1</v>
      </c>
      <c r="I96" s="29" t="inlineStr">
        <is>
          <t>Shailesh Kumar Sharma</t>
        </is>
      </c>
      <c r="J96" s="34" t="str">
        <f>IFERROR(INDEX(RBD_C,MATCH("Consulting &amp; Professional Services|B1|B-M",RBD_KEY,0)),"M")</f>
        <v>H</v>
      </c>
      <c r="K96" s="35" t="str">
        <f>IFERROR(INDEX(RBD_Au,MATCH("Consulting &amp; Professional Services|B1|B-M",RBD_KEY,0)),"M")</f>
        <v>M</v>
      </c>
      <c r="L96" s="35" t="str">
        <f>IFERROR(INDEX(RBD_Ac,MATCH("Consulting &amp; Professional Services|B1|B-M",RBD_KEY,0)),"M")</f>
        <v>M</v>
      </c>
      <c r="M96" s="35" t="str">
        <f>IFERROR(INDEX(RBD_L,MATCH("Consulting &amp; Professional Services|B1|B-M",RBD_KEY,0)),"M")</f>
        <v>M</v>
      </c>
      <c r="N96" s="35" t="str">
        <f>IFERROR(INDEX(RBD_BI,MATCH("Consulting &amp; Professional Services|B1|B-M",RBD_KEY,0)),"M")</f>
        <v>L</v>
      </c>
      <c r="O96" s="35" t="str">
        <f>IFERROR(INDEX(RBD_Exp,MATCH("Consulting &amp; Professional Services|B1|B-M",RBD_KEY,0)),"M")</f>
        <v>L</v>
      </c>
      <c r="P96" s="35" t="str">
        <f>IFERROR(INDEX(RBD_Edu,MATCH("Consulting &amp; Professional Services|B1|B-M",RBD_KEY,0)),"M")</f>
        <v>L</v>
      </c>
      <c r="Q96" s="73">
        <f>IF(J96="","",IFERROR(INDEX(LMH_PTS,MATCH(J96,LMH_KEY,0))/SUM(IFERROR(INDEX(LMH_PTS,MATCH(J96,LMH_KEY,0)),0),IFERROR(INDEX(LMH_PTS,MATCH(K96,LMH_KEY,0)),0),IFERROR(INDEX(LMH_PTS,MATCH(L96,LMH_KEY,0)),0),IFERROR(INDEX(LMH_PTS,MATCH(M96,LMH_KEY,0)),0),IFERROR(INDEX(LMH_PTS,MATCH(N96,LMH_KEY,0)),0),IFERROR(INDEX(LMH_PTS,MATCH(O96,LMH_KEY,0)),0),IFERROR(INDEX(LMH_PTS,MATCH(P96,LMH_KEY,0)),0)),""))</f>
        <v>0.428571428571429</v>
      </c>
      <c r="R96" s="74">
        <f>IF(K96="","",IFERROR(INDEX(LMH_PTS,MATCH(K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S96" s="74">
        <f>IF(L96="","",IFERROR(INDEX(LMH_PTS,MATCH(L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T96" s="74">
        <f>IF(M96="","",IFERROR(INDEX(LMH_PTS,MATCH(M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U96" s="74">
        <f>IF(N96="","",IFERROR(INDEX(LMH_PTS,MATCH(N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V96" s="74">
        <f>IF(O96="","",IFERROR(INDEX(LMH_PTS,MATCH(O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W96" s="74">
        <f>IF(P96="","",IFERROR(INDEX(LMH_PTS,MATCH(P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X96" s="44" t="n"/>
      <c r="Y96" s="38" t="inlineStr">
        <is>
          <t>CARBON|Services|Senior Manager – Service Delivery|B1|B-M</t>
        </is>
      </c>
    </row>
    <row r="97" ht="28" customHeight="1">
      <c r="A97" s="28" t="inlineStr">
        <is>
          <t>CARBON</t>
        </is>
      </c>
      <c r="B97" s="29" t="inlineStr">
        <is>
          <t>Services</t>
        </is>
      </c>
      <c r="C97" s="72" t="inlineStr">
        <is>
          <t>B1</t>
        </is>
      </c>
      <c r="D97" s="29" t="inlineStr">
        <is>
          <t>Band B · Specialist / Manager</t>
        </is>
      </c>
      <c r="E97" s="29" t="inlineStr">
        <is>
          <t>Senior QA Specialist – POD Lead</t>
        </is>
      </c>
      <c r="F97" s="29" t="inlineStr">
        <is>
          <t>Band B · Specialist / POD Lead</t>
        </is>
      </c>
      <c r="G97" s="29" t="inlineStr">
        <is>
          <t>Quality Assurance</t>
        </is>
      </c>
      <c r="H97" s="29" t="n">
        <v>1</v>
      </c>
      <c r="I97" s="29" t="inlineStr">
        <is>
          <t>Mohammed Sameer Shamsudin</t>
        </is>
      </c>
      <c r="J97" s="34" t="str">
        <f>IFERROR(INDEX(RBD_C,MATCH("Quality Assurance|B1|B-IC",RBD_KEY,0)),"M")</f>
        <v>H</v>
      </c>
      <c r="K97" s="35" t="str">
        <f>IFERROR(INDEX(RBD_Au,MATCH("Quality Assurance|B1|B-IC",RBD_KEY,0)),"M")</f>
        <v>M</v>
      </c>
      <c r="L97" s="35" t="str">
        <f>IFERROR(INDEX(RBD_Ac,MATCH("Quality Assurance|B1|B-IC",RBD_KEY,0)),"M")</f>
        <v>L</v>
      </c>
      <c r="M97" s="35" t="str">
        <f>IFERROR(INDEX(RBD_L,MATCH("Quality Assurance|B1|B-IC",RBD_KEY,0)),"M")</f>
        <v>L</v>
      </c>
      <c r="N97" s="35" t="str">
        <f>IFERROR(INDEX(RBD_BI,MATCH("Quality Assurance|B1|B-IC",RBD_KEY,0)),"M")</f>
        <v>L</v>
      </c>
      <c r="O97" s="35" t="str">
        <f>IFERROR(INDEX(RBD_Exp,MATCH("Quality Assurance|B1|B-IC",RBD_KEY,0)),"M")</f>
        <v>L</v>
      </c>
      <c r="P97" s="35" t="str">
        <f>IFERROR(INDEX(RBD_Edu,MATCH("Quality Assurance|B1|B-IC",RBD_KEY,0)),"M")</f>
        <v>L</v>
      </c>
      <c r="Q97" s="73">
        <f>IF(J97="","",IFERROR(INDEX(LMH_PTS,MATCH(J97,LMH_KEY,0))/SUM(IFERROR(INDEX(LMH_PTS,MATCH(J97,LMH_KEY,0)),0),IFERROR(INDEX(LMH_PTS,MATCH(K97,LMH_KEY,0)),0),IFERROR(INDEX(LMH_PTS,MATCH(L97,LMH_KEY,0)),0),IFERROR(INDEX(LMH_PTS,MATCH(M97,LMH_KEY,0)),0),IFERROR(INDEX(LMH_PTS,MATCH(N97,LMH_KEY,0)),0),IFERROR(INDEX(LMH_PTS,MATCH(O97,LMH_KEY,0)),0),IFERROR(INDEX(LMH_PTS,MATCH(P97,LMH_KEY,0)),0)),""))</f>
        <v>0.529411764705882</v>
      </c>
      <c r="R97" s="74">
        <f>IF(K97="","",IFERROR(INDEX(LMH_PTS,MATCH(K97,LMH_KEY,0))/SUM(IFERROR(INDEX(LMH_PTS,MATCH(J97,LMH_KEY,0)),0),IFERROR(INDEX(LMH_PTS,MATCH(K97,LMH_KEY,0)),0),IFERROR(INDEX(LMH_PTS,MATCH(L97,LMH_KEY,0)),0),IFERROR(INDEX(LMH_PTS,MATCH(M97,LMH_KEY,0)),0),IFERROR(INDEX(LMH_PTS,MATCH(N97,LMH_KEY,0)),0),IFERROR(INDEX(LMH_PTS,MATCH(O97,LMH_KEY,0)),0),IFERROR(INDEX(LMH_PTS,MATCH(P97,LMH_KEY,0)),0)),""))</f>
        <v>0.176470588235294</v>
      </c>
      <c r="S97" s="74">
        <f>IF(L97="","",IFERROR(INDEX(LMH_PTS,MATCH(L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T97" s="74">
        <f>IF(M97="","",IFERROR(INDEX(LMH_PTS,MATCH(M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U97" s="74">
        <f>IF(N97="","",IFERROR(INDEX(LMH_PTS,MATCH(N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V97" s="74">
        <f>IF(O97="","",IFERROR(INDEX(LMH_PTS,MATCH(O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W97" s="74">
        <f>IF(P97="","",IFERROR(INDEX(LMH_PTS,MATCH(P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X97" s="44" t="n"/>
      <c r="Y97" s="38" t="inlineStr">
        <is>
          <t>CARBON|Services|Senior QA Specialist – POD Lead|B1|B-IC</t>
        </is>
      </c>
    </row>
    <row r="98" ht="28" customHeight="1">
      <c r="A98" s="28" t="inlineStr">
        <is>
          <t>CARBON</t>
        </is>
      </c>
      <c r="B98" s="29" t="inlineStr">
        <is>
          <t>Services</t>
        </is>
      </c>
      <c r="C98" s="72" t="inlineStr">
        <is>
          <t>B1</t>
        </is>
      </c>
      <c r="D98" s="29" t="inlineStr">
        <is>
          <t>Band B · Specialist / Manager</t>
        </is>
      </c>
      <c r="E98" s="29" t="inlineStr">
        <is>
          <t>Team Lead – Assisted Services</t>
        </is>
      </c>
      <c r="F98" s="29" t="inlineStr">
        <is>
          <t>Band B · People Manager</t>
        </is>
      </c>
      <c r="G98" s="29" t="inlineStr">
        <is>
          <t>Consulting &amp; Professional Services</t>
        </is>
      </c>
      <c r="H98" s="29" t="n">
        <v>1</v>
      </c>
      <c r="I98" s="29" t="inlineStr">
        <is>
          <t>Lalita Waghmare</t>
        </is>
      </c>
      <c r="J98" s="34" t="str">
        <f>IFERROR(INDEX(RBD_C,MATCH("Consulting &amp; Professional Services|B1|B-M",RBD_KEY,0)),"M")</f>
        <v>H</v>
      </c>
      <c r="K98" s="35" t="str">
        <f>IFERROR(INDEX(RBD_Au,MATCH("Consulting &amp; Professional Services|B1|B-M",RBD_KEY,0)),"M")</f>
        <v>M</v>
      </c>
      <c r="L98" s="35" t="str">
        <f>IFERROR(INDEX(RBD_Ac,MATCH("Consulting &amp; Professional Services|B1|B-M",RBD_KEY,0)),"M")</f>
        <v>M</v>
      </c>
      <c r="M98" s="35" t="str">
        <f>IFERROR(INDEX(RBD_L,MATCH("Consulting &amp; Professional Services|B1|B-M",RBD_KEY,0)),"M")</f>
        <v>M</v>
      </c>
      <c r="N98" s="35" t="str">
        <f>IFERROR(INDEX(RBD_BI,MATCH("Consulting &amp; Professional Services|B1|B-M",RBD_KEY,0)),"M")</f>
        <v>L</v>
      </c>
      <c r="O98" s="35" t="str">
        <f>IFERROR(INDEX(RBD_Exp,MATCH("Consulting &amp; Professional Services|B1|B-M",RBD_KEY,0)),"M")</f>
        <v>L</v>
      </c>
      <c r="P98" s="35" t="str">
        <f>IFERROR(INDEX(RBD_Edu,MATCH("Consulting &amp; Professional Services|B1|B-M",RBD_KEY,0)),"M")</f>
        <v>L</v>
      </c>
      <c r="Q98" s="73">
        <f>IF(J98="","",IFERROR(INDEX(LMH_PTS,MATCH(J98,LMH_KEY,0))/SUM(IFERROR(INDEX(LMH_PTS,MATCH(J98,LMH_KEY,0)),0),IFERROR(INDEX(LMH_PTS,MATCH(K98,LMH_KEY,0)),0),IFERROR(INDEX(LMH_PTS,MATCH(L98,LMH_KEY,0)),0),IFERROR(INDEX(LMH_PTS,MATCH(M98,LMH_KEY,0)),0),IFERROR(INDEX(LMH_PTS,MATCH(N98,LMH_KEY,0)),0),IFERROR(INDEX(LMH_PTS,MATCH(O98,LMH_KEY,0)),0),IFERROR(INDEX(LMH_PTS,MATCH(P98,LMH_KEY,0)),0)),""))</f>
        <v>0.428571428571429</v>
      </c>
      <c r="R98" s="74">
        <f>IF(K98="","",IFERROR(INDEX(LMH_PTS,MATCH(K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S98" s="74">
        <f>IF(L98="","",IFERROR(INDEX(LMH_PTS,MATCH(L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T98" s="74">
        <f>IF(M98="","",IFERROR(INDEX(LMH_PTS,MATCH(M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U98" s="74">
        <f>IF(N98="","",IFERROR(INDEX(LMH_PTS,MATCH(N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V98" s="74">
        <f>IF(O98="","",IFERROR(INDEX(LMH_PTS,MATCH(O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W98" s="74">
        <f>IF(P98="","",IFERROR(INDEX(LMH_PTS,MATCH(P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X98" s="44" t="n"/>
      <c r="Y98" s="38" t="inlineStr">
        <is>
          <t>CARBON|Services|Team Lead – Assisted Services|B1|B-M</t>
        </is>
      </c>
    </row>
    <row r="99" ht="28" customHeight="1">
      <c r="A99" s="28" t="inlineStr">
        <is>
          <t>CARBON</t>
        </is>
      </c>
      <c r="B99" s="29" t="inlineStr">
        <is>
          <t>Services</t>
        </is>
      </c>
      <c r="C99" s="72" t="inlineStr">
        <is>
          <t>B1</t>
        </is>
      </c>
      <c r="D99" s="29" t="inlineStr">
        <is>
          <t>Band B · Specialist / Manager</t>
        </is>
      </c>
      <c r="E99" s="29" t="inlineStr">
        <is>
          <t>XBRL Specialist</t>
        </is>
      </c>
      <c r="F99" s="29" t="inlineStr">
        <is>
          <t>Band B · Specialist / POD Lead</t>
        </is>
      </c>
      <c r="G99" s="29" t="inlineStr">
        <is>
          <t>Consulting &amp; Professional Services</t>
        </is>
      </c>
      <c r="H99" s="29" t="n">
        <v>2</v>
      </c>
      <c r="I99" s="29" t="inlineStr">
        <is>
          <t>Jayaprakash Arumugam, Vivek Patil</t>
        </is>
      </c>
      <c r="J99" s="34" t="str">
        <f>IFERROR(INDEX(RBD_C,MATCH("Consulting &amp; Professional Services|B1|B-IC",RBD_KEY,0)),"M")</f>
        <v>H</v>
      </c>
      <c r="K99" s="35" t="str">
        <f>IFERROR(INDEX(RBD_Au,MATCH("Consulting &amp; Professional Services|B1|B-IC",RBD_KEY,0)),"M")</f>
        <v>M</v>
      </c>
      <c r="L99" s="35" t="str">
        <f>IFERROR(INDEX(RBD_Ac,MATCH("Consulting &amp; Professional Services|B1|B-IC",RBD_KEY,0)),"M")</f>
        <v>M</v>
      </c>
      <c r="M99" s="35" t="str">
        <f>IFERROR(INDEX(RBD_L,MATCH("Consulting &amp; Professional Services|B1|B-IC",RBD_KEY,0)),"M")</f>
        <v>L</v>
      </c>
      <c r="N99" s="35" t="str">
        <f>IFERROR(INDEX(RBD_BI,MATCH("Consulting &amp; Professional Services|B1|B-IC",RBD_KEY,0)),"M")</f>
        <v>L</v>
      </c>
      <c r="O99" s="35" t="str">
        <f>IFERROR(INDEX(RBD_Exp,MATCH("Consulting &amp; Professional Services|B1|B-IC",RBD_KEY,0)),"M")</f>
        <v>L</v>
      </c>
      <c r="P99" s="35" t="str">
        <f>IFERROR(INDEX(RBD_Edu,MATCH("Consulting &amp; Professional Services|B1|B-IC",RBD_KEY,0)),"M")</f>
        <v>L</v>
      </c>
      <c r="Q99" s="73">
        <f>IF(J99="","",IFERROR(INDEX(LMH_PTS,MATCH(J99,LMH_KEY,0))/SUM(IFERROR(INDEX(LMH_PTS,MATCH(J99,LMH_KEY,0)),0),IFERROR(INDEX(LMH_PTS,MATCH(K99,LMH_KEY,0)),0),IFERROR(INDEX(LMH_PTS,MATCH(L99,LMH_KEY,0)),0),IFERROR(INDEX(LMH_PTS,MATCH(M99,LMH_KEY,0)),0),IFERROR(INDEX(LMH_PTS,MATCH(N99,LMH_KEY,0)),0),IFERROR(INDEX(LMH_PTS,MATCH(O99,LMH_KEY,0)),0),IFERROR(INDEX(LMH_PTS,MATCH(P99,LMH_KEY,0)),0)),""))</f>
        <v>0.473684210526316</v>
      </c>
      <c r="R99" s="74">
        <f>IF(K99="","",IFERROR(INDEX(LMH_PTS,MATCH(K99,LMH_KEY,0))/SUM(IFERROR(INDEX(LMH_PTS,MATCH(J99,LMH_KEY,0)),0),IFERROR(INDEX(LMH_PTS,MATCH(K99,LMH_KEY,0)),0),IFERROR(INDEX(LMH_PTS,MATCH(L99,LMH_KEY,0)),0),IFERROR(INDEX(LMH_PTS,MATCH(M99,LMH_KEY,0)),0),IFERROR(INDEX(LMH_PTS,MATCH(N99,LMH_KEY,0)),0),IFERROR(INDEX(LMH_PTS,MATCH(O99,LMH_KEY,0)),0),IFERROR(INDEX(LMH_PTS,MATCH(P99,LMH_KEY,0)),0)),""))</f>
        <v>0.157894736842105</v>
      </c>
      <c r="S99" s="74">
        <f>IF(L99="","",IFERROR(INDEX(LMH_PTS,MATCH(L99,LMH_KEY,0))/SUM(IFERROR(INDEX(LMH_PTS,MATCH(J99,LMH_KEY,0)),0),IFERROR(INDEX(LMH_PTS,MATCH(K99,LMH_KEY,0)),0),IFERROR(INDEX(LMH_PTS,MATCH(L99,LMH_KEY,0)),0),IFERROR(INDEX(LMH_PTS,MATCH(M99,LMH_KEY,0)),0),IFERROR(INDEX(LMH_PTS,MATCH(N99,LMH_KEY,0)),0),IFERROR(INDEX(LMH_PTS,MATCH(O99,LMH_KEY,0)),0),IFERROR(INDEX(LMH_PTS,MATCH(P99,LMH_KEY,0)),0)),""))</f>
        <v>0.157894736842105</v>
      </c>
      <c r="T99" s="74">
        <f>IF(M99="","",IFERROR(INDEX(LMH_PTS,MATCH(M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U99" s="74">
        <f>IF(N99="","",IFERROR(INDEX(LMH_PTS,MATCH(N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V99" s="74">
        <f>IF(O99="","",IFERROR(INDEX(LMH_PTS,MATCH(O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W99" s="74">
        <f>IF(P99="","",IFERROR(INDEX(LMH_PTS,MATCH(P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X99" s="44" t="n"/>
      <c r="Y99" s="38" t="inlineStr">
        <is>
          <t>CARBON|Services|XBRL Specialist|B1|B-IC</t>
        </is>
      </c>
    </row>
    <row r="100" ht="18" customHeight="1">
      <c r="A100" s="28" t="inlineStr">
        <is>
          <t>CARBON</t>
        </is>
      </c>
      <c r="B100" s="29" t="inlineStr">
        <is>
          <t>Services</t>
        </is>
      </c>
      <c r="C100" s="72" t="inlineStr">
        <is>
          <t>B1</t>
        </is>
      </c>
      <c r="D100" s="29" t="inlineStr">
        <is>
          <t>Band B · Specialist / Manager</t>
        </is>
      </c>
      <c r="E100" s="29" t="inlineStr">
        <is>
          <t>XBRL Specialist – POD Lead</t>
        </is>
      </c>
      <c r="F100" s="29" t="inlineStr">
        <is>
          <t>Band B · Specialist / POD Lead</t>
        </is>
      </c>
      <c r="G100" s="29" t="inlineStr">
        <is>
          <t>Consulting &amp; Professional Services</t>
        </is>
      </c>
      <c r="H100" s="29" t="n">
        <v>2</v>
      </c>
      <c r="I100" s="29" t="inlineStr">
        <is>
          <t>Jivika Wadhwani, Lucy Fernandes</t>
        </is>
      </c>
      <c r="J100" s="34" t="str">
        <f>IFERROR(INDEX(RBD_C,MATCH("Consulting &amp; Professional Services|B1|B-IC",RBD_KEY,0)),"M")</f>
        <v>H</v>
      </c>
      <c r="K100" s="35" t="str">
        <f>IFERROR(INDEX(RBD_Au,MATCH("Consulting &amp; Professional Services|B1|B-IC",RBD_KEY,0)),"M")</f>
        <v>M</v>
      </c>
      <c r="L100" s="35" t="str">
        <f>IFERROR(INDEX(RBD_Ac,MATCH("Consulting &amp; Professional Services|B1|B-IC",RBD_KEY,0)),"M")</f>
        <v>M</v>
      </c>
      <c r="M100" s="35" t="str">
        <f>IFERROR(INDEX(RBD_L,MATCH("Consulting &amp; Professional Services|B1|B-IC",RBD_KEY,0)),"M")</f>
        <v>L</v>
      </c>
      <c r="N100" s="35" t="str">
        <f>IFERROR(INDEX(RBD_BI,MATCH("Consulting &amp; Professional Services|B1|B-IC",RBD_KEY,0)),"M")</f>
        <v>L</v>
      </c>
      <c r="O100" s="35" t="str">
        <f>IFERROR(INDEX(RBD_Exp,MATCH("Consulting &amp; Professional Services|B1|B-IC",RBD_KEY,0)),"M")</f>
        <v>L</v>
      </c>
      <c r="P100" s="35" t="str">
        <f>IFERROR(INDEX(RBD_Edu,MATCH("Consulting &amp; Professional Services|B1|B-IC",RBD_KEY,0)),"M")</f>
        <v>L</v>
      </c>
      <c r="Q100" s="73">
        <f>IF(J100="","",IFERROR(INDEX(LMH_PTS,MATCH(J100,LMH_KEY,0))/SUM(IFERROR(INDEX(LMH_PTS,MATCH(J100,LMH_KEY,0)),0),IFERROR(INDEX(LMH_PTS,MATCH(K100,LMH_KEY,0)),0),IFERROR(INDEX(LMH_PTS,MATCH(L100,LMH_KEY,0)),0),IFERROR(INDEX(LMH_PTS,MATCH(M100,LMH_KEY,0)),0),IFERROR(INDEX(LMH_PTS,MATCH(N100,LMH_KEY,0)),0),IFERROR(INDEX(LMH_PTS,MATCH(O100,LMH_KEY,0)),0),IFERROR(INDEX(LMH_PTS,MATCH(P100,LMH_KEY,0)),0)),""))</f>
        <v>0.473684210526316</v>
      </c>
      <c r="R100" s="74">
        <f>IF(K100="","",IFERROR(INDEX(LMH_PTS,MATCH(K100,LMH_KEY,0))/SUM(IFERROR(INDEX(LMH_PTS,MATCH(J100,LMH_KEY,0)),0),IFERROR(INDEX(LMH_PTS,MATCH(K100,LMH_KEY,0)),0),IFERROR(INDEX(LMH_PTS,MATCH(L100,LMH_KEY,0)),0),IFERROR(INDEX(LMH_PTS,MATCH(M100,LMH_KEY,0)),0),IFERROR(INDEX(LMH_PTS,MATCH(N100,LMH_KEY,0)),0),IFERROR(INDEX(LMH_PTS,MATCH(O100,LMH_KEY,0)),0),IFERROR(INDEX(LMH_PTS,MATCH(P100,LMH_KEY,0)),0)),""))</f>
        <v>0.157894736842105</v>
      </c>
      <c r="S100" s="74">
        <f>IF(L100="","",IFERROR(INDEX(LMH_PTS,MATCH(L100,LMH_KEY,0))/SUM(IFERROR(INDEX(LMH_PTS,MATCH(J100,LMH_KEY,0)),0),IFERROR(INDEX(LMH_PTS,MATCH(K100,LMH_KEY,0)),0),IFERROR(INDEX(LMH_PTS,MATCH(L100,LMH_KEY,0)),0),IFERROR(INDEX(LMH_PTS,MATCH(M100,LMH_KEY,0)),0),IFERROR(INDEX(LMH_PTS,MATCH(N100,LMH_KEY,0)),0),IFERROR(INDEX(LMH_PTS,MATCH(O100,LMH_KEY,0)),0),IFERROR(INDEX(LMH_PTS,MATCH(P100,LMH_KEY,0)),0)),""))</f>
        <v>0.157894736842105</v>
      </c>
      <c r="T100" s="74">
        <f>IF(M100="","",IFERROR(INDEX(LMH_PTS,MATCH(M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U100" s="74">
        <f>IF(N100="","",IFERROR(INDEX(LMH_PTS,MATCH(N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V100" s="74">
        <f>IF(O100="","",IFERROR(INDEX(LMH_PTS,MATCH(O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W100" s="74">
        <f>IF(P100="","",IFERROR(INDEX(LMH_PTS,MATCH(P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X100" s="44" t="n"/>
      <c r="Y100" s="38" t="inlineStr">
        <is>
          <t>CARBON|Services|XBRL Specialist – POD Lead|B1|B-IC</t>
        </is>
      </c>
    </row>
    <row r="101" ht="120" customHeight="1">
      <c r="A101" s="28" t="inlineStr">
        <is>
          <t>CARBON</t>
        </is>
      </c>
      <c r="B101" s="29" t="inlineStr">
        <is>
          <t>Services</t>
        </is>
      </c>
      <c r="C101" s="75" t="inlineStr">
        <is>
          <t>A3</t>
        </is>
      </c>
      <c r="D101" s="29" t="inlineStr">
        <is>
          <t>Band A · Practitioner</t>
        </is>
      </c>
      <c r="E101" s="29" t="inlineStr">
        <is>
          <t>Senior Financial Analyst</t>
        </is>
      </c>
      <c r="F101" s="29" t="inlineStr">
        <is>
          <t>Band A · all tracks</t>
        </is>
      </c>
      <c r="G101" s="29" t="inlineStr">
        <is>
          <t>Consulting &amp; Professional Services</t>
        </is>
      </c>
      <c r="H101" s="29" t="n">
        <v>29</v>
      </c>
      <c r="I101" s="29" t="inlineStr">
        <is>
          <t>Abhijit Bhagwan Patil, Ashok Yadav, Bhavik Raparka, Kamlesh Bomble, Namrata Juvekar, Raj Ratnakar Kumbhar, Sakina Dholkawala, Haresh Misal, Monica Patel, Rohit Sawant, Anjum Shaikh, Dhananjay Bavkar, Sunita Ram Singh, Supriya Thakur, Vikram Bangera, Kiran Mane, Mandar Vatare, Nirmala Kalyadappu, Sunny Kirtane, Ajinkya Dhumal, Palak Verma, Rajendra Gupta, Sudarshan Vichare, Sunil Bist, Vishakha Vitmal, Atul Paradkar, Chaitali Chatterjee, Sushma Shinde, Roshni Surve</t>
        </is>
      </c>
      <c r="J101" s="34" t="str">
        <f>IFERROR(INDEX(RBD_C,MATCH("Consulting &amp; Professional Services|A3|A",RBD_KEY,0)),"M")</f>
        <v>H</v>
      </c>
      <c r="K101" s="35" t="str">
        <f>IFERROR(INDEX(RBD_Au,MATCH("Consulting &amp; Professional Services|A3|A",RBD_KEY,0)),"M")</f>
        <v>M</v>
      </c>
      <c r="L101" s="35" t="str">
        <f>IFERROR(INDEX(RBD_Ac,MATCH("Consulting &amp; Professional Services|A3|A",RBD_KEY,0)),"M")</f>
        <v>M</v>
      </c>
      <c r="M101" s="35" t="str">
        <f>IFERROR(INDEX(RBD_L,MATCH("Consulting &amp; Professional Services|A3|A",RBD_KEY,0)),"M")</f>
        <v>L</v>
      </c>
      <c r="N101" s="35" t="str">
        <f>IFERROR(INDEX(RBD_BI,MATCH("Consulting &amp; Professional Services|A3|A",RBD_KEY,0)),"M")</f>
        <v>L</v>
      </c>
      <c r="O101" s="35" t="str">
        <f>IFERROR(INDEX(RBD_Exp,MATCH("Consulting &amp; Professional Services|A3|A",RBD_KEY,0)),"M")</f>
        <v>L</v>
      </c>
      <c r="P101" s="35" t="str">
        <f>IFERROR(INDEX(RBD_Edu,MATCH("Consulting &amp; Professional Services|A3|A",RBD_KEY,0)),"M")</f>
        <v>L</v>
      </c>
      <c r="Q101" s="73">
        <f>IF(J101="","",IFERROR(INDEX(LMH_PTS,MATCH(J101,LMH_KEY,0))/SUM(IFERROR(INDEX(LMH_PTS,MATCH(J101,LMH_KEY,0)),0),IFERROR(INDEX(LMH_PTS,MATCH(K101,LMH_KEY,0)),0),IFERROR(INDEX(LMH_PTS,MATCH(L101,LMH_KEY,0)),0),IFERROR(INDEX(LMH_PTS,MATCH(M101,LMH_KEY,0)),0),IFERROR(INDEX(LMH_PTS,MATCH(N101,LMH_KEY,0)),0),IFERROR(INDEX(LMH_PTS,MATCH(O101,LMH_KEY,0)),0),IFERROR(INDEX(LMH_PTS,MATCH(P101,LMH_KEY,0)),0)),""))</f>
        <v>0.473684210526316</v>
      </c>
      <c r="R101" s="74">
        <f>IF(K101="","",IFERROR(INDEX(LMH_PTS,MATCH(K101,LMH_KEY,0))/SUM(IFERROR(INDEX(LMH_PTS,MATCH(J101,LMH_KEY,0)),0),IFERROR(INDEX(LMH_PTS,MATCH(K101,LMH_KEY,0)),0),IFERROR(INDEX(LMH_PTS,MATCH(L101,LMH_KEY,0)),0),IFERROR(INDEX(LMH_PTS,MATCH(M101,LMH_KEY,0)),0),IFERROR(INDEX(LMH_PTS,MATCH(N101,LMH_KEY,0)),0),IFERROR(INDEX(LMH_PTS,MATCH(O101,LMH_KEY,0)),0),IFERROR(INDEX(LMH_PTS,MATCH(P101,LMH_KEY,0)),0)),""))</f>
        <v>0.157894736842105</v>
      </c>
      <c r="S101" s="74">
        <f>IF(L101="","",IFERROR(INDEX(LMH_PTS,MATCH(L101,LMH_KEY,0))/SUM(IFERROR(INDEX(LMH_PTS,MATCH(J101,LMH_KEY,0)),0),IFERROR(INDEX(LMH_PTS,MATCH(K101,LMH_KEY,0)),0),IFERROR(INDEX(LMH_PTS,MATCH(L101,LMH_KEY,0)),0),IFERROR(INDEX(LMH_PTS,MATCH(M101,LMH_KEY,0)),0),IFERROR(INDEX(LMH_PTS,MATCH(N101,LMH_KEY,0)),0),IFERROR(INDEX(LMH_PTS,MATCH(O101,LMH_KEY,0)),0),IFERROR(INDEX(LMH_PTS,MATCH(P101,LMH_KEY,0)),0)),""))</f>
        <v>0.157894736842105</v>
      </c>
      <c r="T101" s="74">
        <f>IF(M101="","",IFERROR(INDEX(LMH_PTS,MATCH(M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U101" s="74">
        <f>IF(N101="","",IFERROR(INDEX(LMH_PTS,MATCH(N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V101" s="74">
        <f>IF(O101="","",IFERROR(INDEX(LMH_PTS,MATCH(O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W101" s="74">
        <f>IF(P101="","",IFERROR(INDEX(LMH_PTS,MATCH(P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X101" s="44" t="n"/>
      <c r="Y101" s="38" t="inlineStr">
        <is>
          <t>CARBON|Services|Senior Financial Analyst|A3|A</t>
        </is>
      </c>
    </row>
    <row r="102" ht="18" customHeight="1">
      <c r="A102" s="28" t="inlineStr">
        <is>
          <t>CARBON</t>
        </is>
      </c>
      <c r="B102" s="29" t="inlineStr">
        <is>
          <t>Services</t>
        </is>
      </c>
      <c r="C102" s="75" t="inlineStr">
        <is>
          <t>A3</t>
        </is>
      </c>
      <c r="D102" s="29" t="inlineStr">
        <is>
          <t>Band A · Practitioner</t>
        </is>
      </c>
      <c r="E102" s="29" t="inlineStr">
        <is>
          <t>Senior QA Engineer</t>
        </is>
      </c>
      <c r="F102" s="29" t="inlineStr">
        <is>
          <t>Band A · all tracks</t>
        </is>
      </c>
      <c r="G102" s="29" t="inlineStr">
        <is>
          <t>Quality Assurance</t>
        </is>
      </c>
      <c r="H102" s="29" t="n">
        <v>1</v>
      </c>
      <c r="I102" s="29" t="inlineStr">
        <is>
          <t>Yadavar Velumurgan S.</t>
        </is>
      </c>
      <c r="J102" s="34" t="str">
        <f>IFERROR(INDEX(RBD_C,MATCH("Quality Assurance|A3|A",RBD_KEY,0)),"M")</f>
        <v>H</v>
      </c>
      <c r="K102" s="35" t="str">
        <f>IFERROR(INDEX(RBD_Au,MATCH("Quality Assurance|A3|A",RBD_KEY,0)),"M")</f>
        <v>M</v>
      </c>
      <c r="L102" s="35" t="str">
        <f>IFERROR(INDEX(RBD_Ac,MATCH("Quality Assurance|A3|A",RBD_KEY,0)),"M")</f>
        <v>L</v>
      </c>
      <c r="M102" s="35" t="str">
        <f>IFERROR(INDEX(RBD_L,MATCH("Quality Assurance|A3|A",RBD_KEY,0)),"M")</f>
        <v>L</v>
      </c>
      <c r="N102" s="35" t="str">
        <f>IFERROR(INDEX(RBD_BI,MATCH("Quality Assurance|A3|A",RBD_KEY,0)),"M")</f>
        <v>L</v>
      </c>
      <c r="O102" s="35" t="str">
        <f>IFERROR(INDEX(RBD_Exp,MATCH("Quality Assurance|A3|A",RBD_KEY,0)),"M")</f>
        <v>L</v>
      </c>
      <c r="P102" s="35" t="str">
        <f>IFERROR(INDEX(RBD_Edu,MATCH("Quality Assurance|A3|A",RBD_KEY,0)),"M")</f>
        <v>L</v>
      </c>
      <c r="Q102" s="73">
        <f>IF(J102="","",IFERROR(INDEX(LMH_PTS,MATCH(J102,LMH_KEY,0))/SUM(IFERROR(INDEX(LMH_PTS,MATCH(J102,LMH_KEY,0)),0),IFERROR(INDEX(LMH_PTS,MATCH(K102,LMH_KEY,0)),0),IFERROR(INDEX(LMH_PTS,MATCH(L102,LMH_KEY,0)),0),IFERROR(INDEX(LMH_PTS,MATCH(M102,LMH_KEY,0)),0),IFERROR(INDEX(LMH_PTS,MATCH(N102,LMH_KEY,0)),0),IFERROR(INDEX(LMH_PTS,MATCH(O102,LMH_KEY,0)),0),IFERROR(INDEX(LMH_PTS,MATCH(P102,LMH_KEY,0)),0)),""))</f>
        <v>0.529411764705882</v>
      </c>
      <c r="R102" s="74">
        <f>IF(K102="","",IFERROR(INDEX(LMH_PTS,MATCH(K102,LMH_KEY,0))/SUM(IFERROR(INDEX(LMH_PTS,MATCH(J102,LMH_KEY,0)),0),IFERROR(INDEX(LMH_PTS,MATCH(K102,LMH_KEY,0)),0),IFERROR(INDEX(LMH_PTS,MATCH(L102,LMH_KEY,0)),0),IFERROR(INDEX(LMH_PTS,MATCH(M102,LMH_KEY,0)),0),IFERROR(INDEX(LMH_PTS,MATCH(N102,LMH_KEY,0)),0),IFERROR(INDEX(LMH_PTS,MATCH(O102,LMH_KEY,0)),0),IFERROR(INDEX(LMH_PTS,MATCH(P102,LMH_KEY,0)),0)),""))</f>
        <v>0.176470588235294</v>
      </c>
      <c r="S102" s="74">
        <f>IF(L102="","",IFERROR(INDEX(LMH_PTS,MATCH(L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T102" s="74">
        <f>IF(M102="","",IFERROR(INDEX(LMH_PTS,MATCH(M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U102" s="74">
        <f>IF(N102="","",IFERROR(INDEX(LMH_PTS,MATCH(N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V102" s="74">
        <f>IF(O102="","",IFERROR(INDEX(LMH_PTS,MATCH(O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W102" s="74">
        <f>IF(P102="","",IFERROR(INDEX(LMH_PTS,MATCH(P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X102" s="44" t="n"/>
      <c r="Y102" s="38" t="inlineStr">
        <is>
          <t>CARBON|Services|Senior QA Engineer|A3|A</t>
        </is>
      </c>
    </row>
    <row r="103" ht="28" customHeight="1">
      <c r="A103" s="28" t="inlineStr">
        <is>
          <t>CARBON</t>
        </is>
      </c>
      <c r="B103" s="29" t="inlineStr">
        <is>
          <t>Services</t>
        </is>
      </c>
      <c r="C103" s="75" t="inlineStr">
        <is>
          <t>A3</t>
        </is>
      </c>
      <c r="D103" s="29" t="inlineStr">
        <is>
          <t>Band A · Practitioner</t>
        </is>
      </c>
      <c r="E103" s="29" t="inlineStr">
        <is>
          <t>Senior Service Delivery Analyst</t>
        </is>
      </c>
      <c r="F103" s="29" t="inlineStr">
        <is>
          <t>Band A · all tracks</t>
        </is>
      </c>
      <c r="G103" s="29" t="inlineStr">
        <is>
          <t>Consulting &amp; Professional Services</t>
        </is>
      </c>
      <c r="H103" s="29" t="n">
        <v>1</v>
      </c>
      <c r="I103" s="29" t="inlineStr">
        <is>
          <t>Jayavant Bhabal</t>
        </is>
      </c>
      <c r="J103" s="34" t="str">
        <f>IFERROR(INDEX(RBD_C,MATCH("Consulting &amp; Professional Services|A3|A",RBD_KEY,0)),"M")</f>
        <v>H</v>
      </c>
      <c r="K103" s="35" t="str">
        <f>IFERROR(INDEX(RBD_Au,MATCH("Consulting &amp; Professional Services|A3|A",RBD_KEY,0)),"M")</f>
        <v>M</v>
      </c>
      <c r="L103" s="35" t="str">
        <f>IFERROR(INDEX(RBD_Ac,MATCH("Consulting &amp; Professional Services|A3|A",RBD_KEY,0)),"M")</f>
        <v>M</v>
      </c>
      <c r="M103" s="35" t="str">
        <f>IFERROR(INDEX(RBD_L,MATCH("Consulting &amp; Professional Services|A3|A",RBD_KEY,0)),"M")</f>
        <v>L</v>
      </c>
      <c r="N103" s="35" t="str">
        <f>IFERROR(INDEX(RBD_BI,MATCH("Consulting &amp; Professional Services|A3|A",RBD_KEY,0)),"M")</f>
        <v>L</v>
      </c>
      <c r="O103" s="35" t="str">
        <f>IFERROR(INDEX(RBD_Exp,MATCH("Consulting &amp; Professional Services|A3|A",RBD_KEY,0)),"M")</f>
        <v>L</v>
      </c>
      <c r="P103" s="35" t="str">
        <f>IFERROR(INDEX(RBD_Edu,MATCH("Consulting &amp; Professional Services|A3|A",RBD_KEY,0)),"M")</f>
        <v>L</v>
      </c>
      <c r="Q103" s="73">
        <f>IF(J103="","",IFERROR(INDEX(LMH_PTS,MATCH(J103,LMH_KEY,0))/SUM(IFERROR(INDEX(LMH_PTS,MATCH(J103,LMH_KEY,0)),0),IFERROR(INDEX(LMH_PTS,MATCH(K103,LMH_KEY,0)),0),IFERROR(INDEX(LMH_PTS,MATCH(L103,LMH_KEY,0)),0),IFERROR(INDEX(LMH_PTS,MATCH(M103,LMH_KEY,0)),0),IFERROR(INDEX(LMH_PTS,MATCH(N103,LMH_KEY,0)),0),IFERROR(INDEX(LMH_PTS,MATCH(O103,LMH_KEY,0)),0),IFERROR(INDEX(LMH_PTS,MATCH(P103,LMH_KEY,0)),0)),""))</f>
        <v>0.473684210526316</v>
      </c>
      <c r="R103" s="74">
        <f>IF(K103="","",IFERROR(INDEX(LMH_PTS,MATCH(K103,LMH_KEY,0))/SUM(IFERROR(INDEX(LMH_PTS,MATCH(J103,LMH_KEY,0)),0),IFERROR(INDEX(LMH_PTS,MATCH(K103,LMH_KEY,0)),0),IFERROR(INDEX(LMH_PTS,MATCH(L103,LMH_KEY,0)),0),IFERROR(INDEX(LMH_PTS,MATCH(M103,LMH_KEY,0)),0),IFERROR(INDEX(LMH_PTS,MATCH(N103,LMH_KEY,0)),0),IFERROR(INDEX(LMH_PTS,MATCH(O103,LMH_KEY,0)),0),IFERROR(INDEX(LMH_PTS,MATCH(P103,LMH_KEY,0)),0)),""))</f>
        <v>0.157894736842105</v>
      </c>
      <c r="S103" s="74">
        <f>IF(L103="","",IFERROR(INDEX(LMH_PTS,MATCH(L103,LMH_KEY,0))/SUM(IFERROR(INDEX(LMH_PTS,MATCH(J103,LMH_KEY,0)),0),IFERROR(INDEX(LMH_PTS,MATCH(K103,LMH_KEY,0)),0),IFERROR(INDEX(LMH_PTS,MATCH(L103,LMH_KEY,0)),0),IFERROR(INDEX(LMH_PTS,MATCH(M103,LMH_KEY,0)),0),IFERROR(INDEX(LMH_PTS,MATCH(N103,LMH_KEY,0)),0),IFERROR(INDEX(LMH_PTS,MATCH(O103,LMH_KEY,0)),0),IFERROR(INDEX(LMH_PTS,MATCH(P103,LMH_KEY,0)),0)),""))</f>
        <v>0.157894736842105</v>
      </c>
      <c r="T103" s="74">
        <f>IF(M103="","",IFERROR(INDEX(LMH_PTS,MATCH(M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U103" s="74">
        <f>IF(N103="","",IFERROR(INDEX(LMH_PTS,MATCH(N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V103" s="74">
        <f>IF(O103="","",IFERROR(INDEX(LMH_PTS,MATCH(O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W103" s="74">
        <f>IF(P103="","",IFERROR(INDEX(LMH_PTS,MATCH(P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X103" s="44" t="n"/>
      <c r="Y103" s="38" t="inlineStr">
        <is>
          <t>CARBON|Services|Senior Service Delivery Analyst|A3|A</t>
        </is>
      </c>
    </row>
    <row r="104" ht="18" customHeight="1">
      <c r="A104" s="28" t="inlineStr">
        <is>
          <t>CARBON</t>
        </is>
      </c>
      <c r="B104" s="29" t="inlineStr">
        <is>
          <t>Services</t>
        </is>
      </c>
      <c r="C104" s="75" t="inlineStr">
        <is>
          <t>A3</t>
        </is>
      </c>
      <c r="D104" s="29" t="inlineStr">
        <is>
          <t>Band A · Practitioner</t>
        </is>
      </c>
      <c r="E104" s="29" t="inlineStr">
        <is>
          <t>Service Delivery Specialist</t>
        </is>
      </c>
      <c r="F104" s="29" t="inlineStr">
        <is>
          <t>Band A · all tracks</t>
        </is>
      </c>
      <c r="G104" s="29" t="inlineStr">
        <is>
          <t>Consulting &amp; Professional Services</t>
        </is>
      </c>
      <c r="H104" s="29" t="n">
        <v>1</v>
      </c>
      <c r="I104" s="29" t="inlineStr">
        <is>
          <t>Rupesh Gaikwad</t>
        </is>
      </c>
      <c r="J104" s="34" t="str">
        <f>IFERROR(INDEX(RBD_C,MATCH("Consulting &amp; Professional Services|A3|A",RBD_KEY,0)),"M")</f>
        <v>H</v>
      </c>
      <c r="K104" s="35" t="str">
        <f>IFERROR(INDEX(RBD_Au,MATCH("Consulting &amp; Professional Services|A3|A",RBD_KEY,0)),"M")</f>
        <v>M</v>
      </c>
      <c r="L104" s="35" t="str">
        <f>IFERROR(INDEX(RBD_Ac,MATCH("Consulting &amp; Professional Services|A3|A",RBD_KEY,0)),"M")</f>
        <v>M</v>
      </c>
      <c r="M104" s="35" t="str">
        <f>IFERROR(INDEX(RBD_L,MATCH("Consulting &amp; Professional Services|A3|A",RBD_KEY,0)),"M")</f>
        <v>L</v>
      </c>
      <c r="N104" s="35" t="str">
        <f>IFERROR(INDEX(RBD_BI,MATCH("Consulting &amp; Professional Services|A3|A",RBD_KEY,0)),"M")</f>
        <v>L</v>
      </c>
      <c r="O104" s="35" t="str">
        <f>IFERROR(INDEX(RBD_Exp,MATCH("Consulting &amp; Professional Services|A3|A",RBD_KEY,0)),"M")</f>
        <v>L</v>
      </c>
      <c r="P104" s="35" t="str">
        <f>IFERROR(INDEX(RBD_Edu,MATCH("Consulting &amp; Professional Services|A3|A",RBD_KEY,0)),"M")</f>
        <v>L</v>
      </c>
      <c r="Q104" s="73">
        <f>IF(J104="","",IFERROR(INDEX(LMH_PTS,MATCH(J104,LMH_KEY,0))/SUM(IFERROR(INDEX(LMH_PTS,MATCH(J104,LMH_KEY,0)),0),IFERROR(INDEX(LMH_PTS,MATCH(K104,LMH_KEY,0)),0),IFERROR(INDEX(LMH_PTS,MATCH(L104,LMH_KEY,0)),0),IFERROR(INDEX(LMH_PTS,MATCH(M104,LMH_KEY,0)),0),IFERROR(INDEX(LMH_PTS,MATCH(N104,LMH_KEY,0)),0),IFERROR(INDEX(LMH_PTS,MATCH(O104,LMH_KEY,0)),0),IFERROR(INDEX(LMH_PTS,MATCH(P104,LMH_KEY,0)),0)),""))</f>
        <v>0.473684210526316</v>
      </c>
      <c r="R104" s="74">
        <f>IF(K104="","",IFERROR(INDEX(LMH_PTS,MATCH(K104,LMH_KEY,0))/SUM(IFERROR(INDEX(LMH_PTS,MATCH(J104,LMH_KEY,0)),0),IFERROR(INDEX(LMH_PTS,MATCH(K104,LMH_KEY,0)),0),IFERROR(INDEX(LMH_PTS,MATCH(L104,LMH_KEY,0)),0),IFERROR(INDEX(LMH_PTS,MATCH(M104,LMH_KEY,0)),0),IFERROR(INDEX(LMH_PTS,MATCH(N104,LMH_KEY,0)),0),IFERROR(INDEX(LMH_PTS,MATCH(O104,LMH_KEY,0)),0),IFERROR(INDEX(LMH_PTS,MATCH(P104,LMH_KEY,0)),0)),""))</f>
        <v>0.157894736842105</v>
      </c>
      <c r="S104" s="74">
        <f>IF(L104="","",IFERROR(INDEX(LMH_PTS,MATCH(L104,LMH_KEY,0))/SUM(IFERROR(INDEX(LMH_PTS,MATCH(J104,LMH_KEY,0)),0),IFERROR(INDEX(LMH_PTS,MATCH(K104,LMH_KEY,0)),0),IFERROR(INDEX(LMH_PTS,MATCH(L104,LMH_KEY,0)),0),IFERROR(INDEX(LMH_PTS,MATCH(M104,LMH_KEY,0)),0),IFERROR(INDEX(LMH_PTS,MATCH(N104,LMH_KEY,0)),0),IFERROR(INDEX(LMH_PTS,MATCH(O104,LMH_KEY,0)),0),IFERROR(INDEX(LMH_PTS,MATCH(P104,LMH_KEY,0)),0)),""))</f>
        <v>0.157894736842105</v>
      </c>
      <c r="T104" s="74">
        <f>IF(M104="","",IFERROR(INDEX(LMH_PTS,MATCH(M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U104" s="74">
        <f>IF(N104="","",IFERROR(INDEX(LMH_PTS,MATCH(N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V104" s="74">
        <f>IF(O104="","",IFERROR(INDEX(LMH_PTS,MATCH(O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W104" s="74">
        <f>IF(P104="","",IFERROR(INDEX(LMH_PTS,MATCH(P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X104" s="44" t="n"/>
      <c r="Y104" s="38" t="inlineStr">
        <is>
          <t>CARBON|Services|Service Delivery Specialist|A3|A</t>
        </is>
      </c>
    </row>
    <row r="105" ht="28" customHeight="1">
      <c r="A105" s="28" t="inlineStr">
        <is>
          <t>CARBON</t>
        </is>
      </c>
      <c r="B105" s="29" t="inlineStr">
        <is>
          <t>Services</t>
        </is>
      </c>
      <c r="C105" s="75" t="inlineStr">
        <is>
          <t>A3</t>
        </is>
      </c>
      <c r="D105" s="29" t="inlineStr">
        <is>
          <t>Band A · Practitioner</t>
        </is>
      </c>
      <c r="E105" s="29" t="inlineStr">
        <is>
          <t>Team Lead – Assisted Services</t>
        </is>
      </c>
      <c r="F105" s="29" t="inlineStr">
        <is>
          <t>Band A · all tracks</t>
        </is>
      </c>
      <c r="G105" s="29" t="inlineStr">
        <is>
          <t>Consulting &amp; Professional Services</t>
        </is>
      </c>
      <c r="H105" s="29" t="n">
        <v>1</v>
      </c>
      <c r="I105" s="29" t="inlineStr">
        <is>
          <t>Vipul Kurhade</t>
        </is>
      </c>
      <c r="J105" s="34" t="str">
        <f>IFERROR(INDEX(RBD_C,MATCH("Consulting &amp; Professional Services|A3|A",RBD_KEY,0)),"M")</f>
        <v>H</v>
      </c>
      <c r="K105" s="35" t="str">
        <f>IFERROR(INDEX(RBD_Au,MATCH("Consulting &amp; Professional Services|A3|A",RBD_KEY,0)),"M")</f>
        <v>M</v>
      </c>
      <c r="L105" s="35" t="str">
        <f>IFERROR(INDEX(RBD_Ac,MATCH("Consulting &amp; Professional Services|A3|A",RBD_KEY,0)),"M")</f>
        <v>M</v>
      </c>
      <c r="M105" s="35" t="str">
        <f>IFERROR(INDEX(RBD_L,MATCH("Consulting &amp; Professional Services|A3|A",RBD_KEY,0)),"M")</f>
        <v>L</v>
      </c>
      <c r="N105" s="35" t="str">
        <f>IFERROR(INDEX(RBD_BI,MATCH("Consulting &amp; Professional Services|A3|A",RBD_KEY,0)),"M")</f>
        <v>L</v>
      </c>
      <c r="O105" s="35" t="str">
        <f>IFERROR(INDEX(RBD_Exp,MATCH("Consulting &amp; Professional Services|A3|A",RBD_KEY,0)),"M")</f>
        <v>L</v>
      </c>
      <c r="P105" s="35" t="str">
        <f>IFERROR(INDEX(RBD_Edu,MATCH("Consulting &amp; Professional Services|A3|A",RBD_KEY,0)),"M")</f>
        <v>L</v>
      </c>
      <c r="Q105" s="73">
        <f>IF(J105="","",IFERROR(INDEX(LMH_PTS,MATCH(J105,LMH_KEY,0))/SUM(IFERROR(INDEX(LMH_PTS,MATCH(J105,LMH_KEY,0)),0),IFERROR(INDEX(LMH_PTS,MATCH(K105,LMH_KEY,0)),0),IFERROR(INDEX(LMH_PTS,MATCH(L105,LMH_KEY,0)),0),IFERROR(INDEX(LMH_PTS,MATCH(M105,LMH_KEY,0)),0),IFERROR(INDEX(LMH_PTS,MATCH(N105,LMH_KEY,0)),0),IFERROR(INDEX(LMH_PTS,MATCH(O105,LMH_KEY,0)),0),IFERROR(INDEX(LMH_PTS,MATCH(P105,LMH_KEY,0)),0)),""))</f>
        <v>0.473684210526316</v>
      </c>
      <c r="R105" s="74">
        <f>IF(K105="","",IFERROR(INDEX(LMH_PTS,MATCH(K105,LMH_KEY,0))/SUM(IFERROR(INDEX(LMH_PTS,MATCH(J105,LMH_KEY,0)),0),IFERROR(INDEX(LMH_PTS,MATCH(K105,LMH_KEY,0)),0),IFERROR(INDEX(LMH_PTS,MATCH(L105,LMH_KEY,0)),0),IFERROR(INDEX(LMH_PTS,MATCH(M105,LMH_KEY,0)),0),IFERROR(INDEX(LMH_PTS,MATCH(N105,LMH_KEY,0)),0),IFERROR(INDEX(LMH_PTS,MATCH(O105,LMH_KEY,0)),0),IFERROR(INDEX(LMH_PTS,MATCH(P105,LMH_KEY,0)),0)),""))</f>
        <v>0.157894736842105</v>
      </c>
      <c r="S105" s="74">
        <f>IF(L105="","",IFERROR(INDEX(LMH_PTS,MATCH(L105,LMH_KEY,0))/SUM(IFERROR(INDEX(LMH_PTS,MATCH(J105,LMH_KEY,0)),0),IFERROR(INDEX(LMH_PTS,MATCH(K105,LMH_KEY,0)),0),IFERROR(INDEX(LMH_PTS,MATCH(L105,LMH_KEY,0)),0),IFERROR(INDEX(LMH_PTS,MATCH(M105,LMH_KEY,0)),0),IFERROR(INDEX(LMH_PTS,MATCH(N105,LMH_KEY,0)),0),IFERROR(INDEX(LMH_PTS,MATCH(O105,LMH_KEY,0)),0),IFERROR(INDEX(LMH_PTS,MATCH(P105,LMH_KEY,0)),0)),""))</f>
        <v>0.157894736842105</v>
      </c>
      <c r="T105" s="74">
        <f>IF(M105="","",IFERROR(INDEX(LMH_PTS,MATCH(M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U105" s="74">
        <f>IF(N105="","",IFERROR(INDEX(LMH_PTS,MATCH(N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V105" s="74">
        <f>IF(O105="","",IFERROR(INDEX(LMH_PTS,MATCH(O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W105" s="74">
        <f>IF(P105="","",IFERROR(INDEX(LMH_PTS,MATCH(P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X105" s="44" t="n"/>
      <c r="Y105" s="38" t="inlineStr">
        <is>
          <t>CARBON|Services|Team Lead – Assisted Services|A3|A</t>
        </is>
      </c>
    </row>
    <row r="106" ht="53" customHeight="1">
      <c r="A106" s="28" t="inlineStr">
        <is>
          <t>CARBON</t>
        </is>
      </c>
      <c r="B106" s="29" t="inlineStr">
        <is>
          <t>Services</t>
        </is>
      </c>
      <c r="C106" s="75" t="inlineStr">
        <is>
          <t>A3</t>
        </is>
      </c>
      <c r="D106" s="29" t="inlineStr">
        <is>
          <t>Band A · Practitioner</t>
        </is>
      </c>
      <c r="E106" s="29" t="inlineStr">
        <is>
          <t>XBRL Specialist</t>
        </is>
      </c>
      <c r="F106" s="29" t="inlineStr">
        <is>
          <t>Band A · all tracks</t>
        </is>
      </c>
      <c r="G106" s="29" t="inlineStr">
        <is>
          <t>Consulting &amp; Professional Services</t>
        </is>
      </c>
      <c r="H106" s="29" t="n">
        <v>8</v>
      </c>
      <c r="I106" s="29" t="inlineStr">
        <is>
          <t>Manish Lipcha, Sagar Barbade, Amruta Mirashi, Pradul Meshram, Purva Shrivastava, Chetan Newase, Ruhee Chita, Sandeep Dhere</t>
        </is>
      </c>
      <c r="J106" s="34" t="str">
        <f>IFERROR(INDEX(RBD_C,MATCH("Consulting &amp; Professional Services|A3|A",RBD_KEY,0)),"M")</f>
        <v>H</v>
      </c>
      <c r="K106" s="35" t="str">
        <f>IFERROR(INDEX(RBD_Au,MATCH("Consulting &amp; Professional Services|A3|A",RBD_KEY,0)),"M")</f>
        <v>M</v>
      </c>
      <c r="L106" s="35" t="str">
        <f>IFERROR(INDEX(RBD_Ac,MATCH("Consulting &amp; Professional Services|A3|A",RBD_KEY,0)),"M")</f>
        <v>M</v>
      </c>
      <c r="M106" s="35" t="str">
        <f>IFERROR(INDEX(RBD_L,MATCH("Consulting &amp; Professional Services|A3|A",RBD_KEY,0)),"M")</f>
        <v>L</v>
      </c>
      <c r="N106" s="35" t="str">
        <f>IFERROR(INDEX(RBD_BI,MATCH("Consulting &amp; Professional Services|A3|A",RBD_KEY,0)),"M")</f>
        <v>L</v>
      </c>
      <c r="O106" s="35" t="str">
        <f>IFERROR(INDEX(RBD_Exp,MATCH("Consulting &amp; Professional Services|A3|A",RBD_KEY,0)),"M")</f>
        <v>L</v>
      </c>
      <c r="P106" s="35" t="str">
        <f>IFERROR(INDEX(RBD_Edu,MATCH("Consulting &amp; Professional Services|A3|A",RBD_KEY,0)),"M")</f>
        <v>L</v>
      </c>
      <c r="Q106" s="73">
        <f>IF(J106="","",IFERROR(INDEX(LMH_PTS,MATCH(J106,LMH_KEY,0))/SUM(IFERROR(INDEX(LMH_PTS,MATCH(J106,LMH_KEY,0)),0),IFERROR(INDEX(LMH_PTS,MATCH(K106,LMH_KEY,0)),0),IFERROR(INDEX(LMH_PTS,MATCH(L106,LMH_KEY,0)),0),IFERROR(INDEX(LMH_PTS,MATCH(M106,LMH_KEY,0)),0),IFERROR(INDEX(LMH_PTS,MATCH(N106,LMH_KEY,0)),0),IFERROR(INDEX(LMH_PTS,MATCH(O106,LMH_KEY,0)),0),IFERROR(INDEX(LMH_PTS,MATCH(P106,LMH_KEY,0)),0)),""))</f>
        <v>0.473684210526316</v>
      </c>
      <c r="R106" s="74">
        <f>IF(K106="","",IFERROR(INDEX(LMH_PTS,MATCH(K106,LMH_KEY,0))/SUM(IFERROR(INDEX(LMH_PTS,MATCH(J106,LMH_KEY,0)),0),IFERROR(INDEX(LMH_PTS,MATCH(K106,LMH_KEY,0)),0),IFERROR(INDEX(LMH_PTS,MATCH(L106,LMH_KEY,0)),0),IFERROR(INDEX(LMH_PTS,MATCH(M106,LMH_KEY,0)),0),IFERROR(INDEX(LMH_PTS,MATCH(N106,LMH_KEY,0)),0),IFERROR(INDEX(LMH_PTS,MATCH(O106,LMH_KEY,0)),0),IFERROR(INDEX(LMH_PTS,MATCH(P106,LMH_KEY,0)),0)),""))</f>
        <v>0.157894736842105</v>
      </c>
      <c r="S106" s="74">
        <f>IF(L106="","",IFERROR(INDEX(LMH_PTS,MATCH(L106,LMH_KEY,0))/SUM(IFERROR(INDEX(LMH_PTS,MATCH(J106,LMH_KEY,0)),0),IFERROR(INDEX(LMH_PTS,MATCH(K106,LMH_KEY,0)),0),IFERROR(INDEX(LMH_PTS,MATCH(L106,LMH_KEY,0)),0),IFERROR(INDEX(LMH_PTS,MATCH(M106,LMH_KEY,0)),0),IFERROR(INDEX(LMH_PTS,MATCH(N106,LMH_KEY,0)),0),IFERROR(INDEX(LMH_PTS,MATCH(O106,LMH_KEY,0)),0),IFERROR(INDEX(LMH_PTS,MATCH(P106,LMH_KEY,0)),0)),""))</f>
        <v>0.157894736842105</v>
      </c>
      <c r="T106" s="74">
        <f>IF(M106="","",IFERROR(INDEX(LMH_PTS,MATCH(M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U106" s="74">
        <f>IF(N106="","",IFERROR(INDEX(LMH_PTS,MATCH(N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V106" s="74">
        <f>IF(O106="","",IFERROR(INDEX(LMH_PTS,MATCH(O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W106" s="74">
        <f>IF(P106="","",IFERROR(INDEX(LMH_PTS,MATCH(P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X106" s="44" t="n"/>
      <c r="Y106" s="38" t="inlineStr">
        <is>
          <t>CARBON|Services|XBRL Specialist|A3|A</t>
        </is>
      </c>
    </row>
    <row r="107" ht="18" customHeight="1">
      <c r="A107" s="28" t="inlineStr">
        <is>
          <t>CARBON</t>
        </is>
      </c>
      <c r="B107" s="29" t="inlineStr">
        <is>
          <t>Services</t>
        </is>
      </c>
      <c r="C107" s="75" t="inlineStr">
        <is>
          <t>A2</t>
        </is>
      </c>
      <c r="D107" s="29" t="inlineStr">
        <is>
          <t>Band A · Practitioner</t>
        </is>
      </c>
      <c r="E107" s="29" t="inlineStr">
        <is>
          <t>Financial Analyst</t>
        </is>
      </c>
      <c r="F107" s="29" t="inlineStr">
        <is>
          <t>Band A · all tracks</t>
        </is>
      </c>
      <c r="G107" s="29" t="inlineStr">
        <is>
          <t>Consulting &amp; Professional Services</t>
        </is>
      </c>
      <c r="H107" s="29" t="n">
        <v>1</v>
      </c>
      <c r="I107" s="29" t="inlineStr">
        <is>
          <t>Anjali Singh</t>
        </is>
      </c>
      <c r="J107" s="34" t="str">
        <f>IFERROR(INDEX(RBD_C,MATCH("Consulting &amp; Professional Services|A2|A",RBD_KEY,0)),"M")</f>
        <v>H</v>
      </c>
      <c r="K107" s="35" t="str">
        <f>IFERROR(INDEX(RBD_Au,MATCH("Consulting &amp; Professional Services|A2|A",RBD_KEY,0)),"M")</f>
        <v>M</v>
      </c>
      <c r="L107" s="35" t="str">
        <f>IFERROR(INDEX(RBD_Ac,MATCH("Consulting &amp; Professional Services|A2|A",RBD_KEY,0)),"M")</f>
        <v>M</v>
      </c>
      <c r="M107" s="35" t="str">
        <f>IFERROR(INDEX(RBD_L,MATCH("Consulting &amp; Professional Services|A2|A",RBD_KEY,0)),"M")</f>
        <v>L</v>
      </c>
      <c r="N107" s="35" t="str">
        <f>IFERROR(INDEX(RBD_BI,MATCH("Consulting &amp; Professional Services|A2|A",RBD_KEY,0)),"M")</f>
        <v>L</v>
      </c>
      <c r="O107" s="35" t="str">
        <f>IFERROR(INDEX(RBD_Exp,MATCH("Consulting &amp; Professional Services|A2|A",RBD_KEY,0)),"M")</f>
        <v>L</v>
      </c>
      <c r="P107" s="35" t="str">
        <f>IFERROR(INDEX(RBD_Edu,MATCH("Consulting &amp; Professional Services|A2|A",RBD_KEY,0)),"M")</f>
        <v>L</v>
      </c>
      <c r="Q107" s="73">
        <f>IF(J107="","",IFERROR(INDEX(LMH_PTS,MATCH(J107,LMH_KEY,0))/SUM(IFERROR(INDEX(LMH_PTS,MATCH(J107,LMH_KEY,0)),0),IFERROR(INDEX(LMH_PTS,MATCH(K107,LMH_KEY,0)),0),IFERROR(INDEX(LMH_PTS,MATCH(L107,LMH_KEY,0)),0),IFERROR(INDEX(LMH_PTS,MATCH(M107,LMH_KEY,0)),0),IFERROR(INDEX(LMH_PTS,MATCH(N107,LMH_KEY,0)),0),IFERROR(INDEX(LMH_PTS,MATCH(O107,LMH_KEY,0)),0),IFERROR(INDEX(LMH_PTS,MATCH(P107,LMH_KEY,0)),0)),""))</f>
        <v>0.473684210526316</v>
      </c>
      <c r="R107" s="74">
        <f>IF(K107="","",IFERROR(INDEX(LMH_PTS,MATCH(K107,LMH_KEY,0))/SUM(IFERROR(INDEX(LMH_PTS,MATCH(J107,LMH_KEY,0)),0),IFERROR(INDEX(LMH_PTS,MATCH(K107,LMH_KEY,0)),0),IFERROR(INDEX(LMH_PTS,MATCH(L107,LMH_KEY,0)),0),IFERROR(INDEX(LMH_PTS,MATCH(M107,LMH_KEY,0)),0),IFERROR(INDEX(LMH_PTS,MATCH(N107,LMH_KEY,0)),0),IFERROR(INDEX(LMH_PTS,MATCH(O107,LMH_KEY,0)),0),IFERROR(INDEX(LMH_PTS,MATCH(P107,LMH_KEY,0)),0)),""))</f>
        <v>0.157894736842105</v>
      </c>
      <c r="S107" s="74">
        <f>IF(L107="","",IFERROR(INDEX(LMH_PTS,MATCH(L107,LMH_KEY,0))/SUM(IFERROR(INDEX(LMH_PTS,MATCH(J107,LMH_KEY,0)),0),IFERROR(INDEX(LMH_PTS,MATCH(K107,LMH_KEY,0)),0),IFERROR(INDEX(LMH_PTS,MATCH(L107,LMH_KEY,0)),0),IFERROR(INDEX(LMH_PTS,MATCH(M107,LMH_KEY,0)),0),IFERROR(INDEX(LMH_PTS,MATCH(N107,LMH_KEY,0)),0),IFERROR(INDEX(LMH_PTS,MATCH(O107,LMH_KEY,0)),0),IFERROR(INDEX(LMH_PTS,MATCH(P107,LMH_KEY,0)),0)),""))</f>
        <v>0.157894736842105</v>
      </c>
      <c r="T107" s="74">
        <f>IF(M107="","",IFERROR(INDEX(LMH_PTS,MATCH(M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U107" s="74">
        <f>IF(N107="","",IFERROR(INDEX(LMH_PTS,MATCH(N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V107" s="74">
        <f>IF(O107="","",IFERROR(INDEX(LMH_PTS,MATCH(O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W107" s="74">
        <f>IF(P107="","",IFERROR(INDEX(LMH_PTS,MATCH(P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X107" s="44" t="n"/>
      <c r="Y107" s="38" t="inlineStr">
        <is>
          <t>CARBON|Services|Financial Analyst|A2|A</t>
        </is>
      </c>
    </row>
    <row r="108" ht="28" customHeight="1">
      <c r="A108" s="28" t="inlineStr">
        <is>
          <t>CARBON</t>
        </is>
      </c>
      <c r="B108" s="29" t="inlineStr">
        <is>
          <t>Services</t>
        </is>
      </c>
      <c r="C108" s="75" t="inlineStr">
        <is>
          <t>A2</t>
        </is>
      </c>
      <c r="D108" s="29" t="inlineStr">
        <is>
          <t>Band A · Practitioner</t>
        </is>
      </c>
      <c r="E108" s="29" t="inlineStr">
        <is>
          <t>Senior Financial Analyst</t>
        </is>
      </c>
      <c r="F108" s="29" t="inlineStr">
        <is>
          <t>Band A · all tracks</t>
        </is>
      </c>
      <c r="G108" s="29" t="inlineStr">
        <is>
          <t>Consulting &amp; Professional Services</t>
        </is>
      </c>
      <c r="H108" s="29" t="n">
        <v>4</v>
      </c>
      <c r="I108" s="29" t="inlineStr">
        <is>
          <t>Amol Keskar, Dipak Warkhade, Payal Gala, Prerna Savaratkar</t>
        </is>
      </c>
      <c r="J108" s="34" t="str">
        <f>IFERROR(INDEX(RBD_C,MATCH("Consulting &amp; Professional Services|A2|A",RBD_KEY,0)),"M")</f>
        <v>H</v>
      </c>
      <c r="K108" s="35" t="str">
        <f>IFERROR(INDEX(RBD_Au,MATCH("Consulting &amp; Professional Services|A2|A",RBD_KEY,0)),"M")</f>
        <v>M</v>
      </c>
      <c r="L108" s="35" t="str">
        <f>IFERROR(INDEX(RBD_Ac,MATCH("Consulting &amp; Professional Services|A2|A",RBD_KEY,0)),"M")</f>
        <v>M</v>
      </c>
      <c r="M108" s="35" t="str">
        <f>IFERROR(INDEX(RBD_L,MATCH("Consulting &amp; Professional Services|A2|A",RBD_KEY,0)),"M")</f>
        <v>L</v>
      </c>
      <c r="N108" s="35" t="str">
        <f>IFERROR(INDEX(RBD_BI,MATCH("Consulting &amp; Professional Services|A2|A",RBD_KEY,0)),"M")</f>
        <v>L</v>
      </c>
      <c r="O108" s="35" t="str">
        <f>IFERROR(INDEX(RBD_Exp,MATCH("Consulting &amp; Professional Services|A2|A",RBD_KEY,0)),"M")</f>
        <v>L</v>
      </c>
      <c r="P108" s="35" t="str">
        <f>IFERROR(INDEX(RBD_Edu,MATCH("Consulting &amp; Professional Services|A2|A",RBD_KEY,0)),"M")</f>
        <v>L</v>
      </c>
      <c r="Q108" s="73">
        <f>IF(J108="","",IFERROR(INDEX(LMH_PTS,MATCH(J108,LMH_KEY,0))/SUM(IFERROR(INDEX(LMH_PTS,MATCH(J108,LMH_KEY,0)),0),IFERROR(INDEX(LMH_PTS,MATCH(K108,LMH_KEY,0)),0),IFERROR(INDEX(LMH_PTS,MATCH(L108,LMH_KEY,0)),0),IFERROR(INDEX(LMH_PTS,MATCH(M108,LMH_KEY,0)),0),IFERROR(INDEX(LMH_PTS,MATCH(N108,LMH_KEY,0)),0),IFERROR(INDEX(LMH_PTS,MATCH(O108,LMH_KEY,0)),0),IFERROR(INDEX(LMH_PTS,MATCH(P108,LMH_KEY,0)),0)),""))</f>
        <v>0.473684210526316</v>
      </c>
      <c r="R108" s="74">
        <f>IF(K108="","",IFERROR(INDEX(LMH_PTS,MATCH(K108,LMH_KEY,0))/SUM(IFERROR(INDEX(LMH_PTS,MATCH(J108,LMH_KEY,0)),0),IFERROR(INDEX(LMH_PTS,MATCH(K108,LMH_KEY,0)),0),IFERROR(INDEX(LMH_PTS,MATCH(L108,LMH_KEY,0)),0),IFERROR(INDEX(LMH_PTS,MATCH(M108,LMH_KEY,0)),0),IFERROR(INDEX(LMH_PTS,MATCH(N108,LMH_KEY,0)),0),IFERROR(INDEX(LMH_PTS,MATCH(O108,LMH_KEY,0)),0),IFERROR(INDEX(LMH_PTS,MATCH(P108,LMH_KEY,0)),0)),""))</f>
        <v>0.157894736842105</v>
      </c>
      <c r="S108" s="74">
        <f>IF(L108="","",IFERROR(INDEX(LMH_PTS,MATCH(L108,LMH_KEY,0))/SUM(IFERROR(INDEX(LMH_PTS,MATCH(J108,LMH_KEY,0)),0),IFERROR(INDEX(LMH_PTS,MATCH(K108,LMH_KEY,0)),0),IFERROR(INDEX(LMH_PTS,MATCH(L108,LMH_KEY,0)),0),IFERROR(INDEX(LMH_PTS,MATCH(M108,LMH_KEY,0)),0),IFERROR(INDEX(LMH_PTS,MATCH(N108,LMH_KEY,0)),0),IFERROR(INDEX(LMH_PTS,MATCH(O108,LMH_KEY,0)),0),IFERROR(INDEX(LMH_PTS,MATCH(P108,LMH_KEY,0)),0)),""))</f>
        <v>0.157894736842105</v>
      </c>
      <c r="T108" s="74">
        <f>IF(M108="","",IFERROR(INDEX(LMH_PTS,MATCH(M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U108" s="74">
        <f>IF(N108="","",IFERROR(INDEX(LMH_PTS,MATCH(N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V108" s="74">
        <f>IF(O108="","",IFERROR(INDEX(LMH_PTS,MATCH(O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W108" s="74">
        <f>IF(P108="","",IFERROR(INDEX(LMH_PTS,MATCH(P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X108" s="44" t="n"/>
      <c r="Y108" s="38" t="inlineStr">
        <is>
          <t>CARBON|Services|Senior Financial Analyst|A2|A</t>
        </is>
      </c>
    </row>
    <row r="109" ht="28" customHeight="1">
      <c r="A109" s="28" t="inlineStr">
        <is>
          <t>CARBON</t>
        </is>
      </c>
      <c r="B109" s="71" t="inlineStr">
        <is>
          <t>Support</t>
        </is>
      </c>
      <c r="C109" s="72" t="inlineStr">
        <is>
          <t>B3</t>
        </is>
      </c>
      <c r="D109" s="29" t="inlineStr">
        <is>
          <t>Band B · Specialist / Manager</t>
        </is>
      </c>
      <c r="E109" s="29" t="inlineStr">
        <is>
          <t>Associate Head – Customer Success</t>
        </is>
      </c>
      <c r="F109" s="29" t="inlineStr">
        <is>
          <t>Band B · People Manager</t>
        </is>
      </c>
      <c r="G109" s="29" t="inlineStr">
        <is>
          <t>Executive Leadership</t>
        </is>
      </c>
      <c r="H109" s="29" t="n">
        <v>1</v>
      </c>
      <c r="I109" s="29" t="inlineStr">
        <is>
          <t>Anushree Aparajit</t>
        </is>
      </c>
      <c r="J109" s="34" t="str">
        <f>IFERROR(INDEX(RBD_C,MATCH("Executive Leadership|B3|B-M",RBD_KEY,0)),"M")</f>
        <v>H</v>
      </c>
      <c r="K109" s="35" t="str">
        <f>IFERROR(INDEX(RBD_Au,MATCH("Executive Leadership|B3|B-M",RBD_KEY,0)),"M")</f>
        <v>M</v>
      </c>
      <c r="L109" s="35" t="str">
        <f>IFERROR(INDEX(RBD_Ac,MATCH("Executive Leadership|B3|B-M",RBD_KEY,0)),"M")</f>
        <v>M</v>
      </c>
      <c r="M109" s="35" t="str">
        <f>IFERROR(INDEX(RBD_L,MATCH("Executive Leadership|B3|B-M",RBD_KEY,0)),"M")</f>
        <v>M</v>
      </c>
      <c r="N109" s="35" t="str">
        <f>IFERROR(INDEX(RBD_BI,MATCH("Executive Leadership|B3|B-M",RBD_KEY,0)),"M")</f>
        <v>L</v>
      </c>
      <c r="O109" s="35" t="str">
        <f>IFERROR(INDEX(RBD_Exp,MATCH("Executive Leadership|B3|B-M",RBD_KEY,0)),"M")</f>
        <v>L</v>
      </c>
      <c r="P109" s="35" t="str">
        <f>IFERROR(INDEX(RBD_Edu,MATCH("Executive Leadership|B3|B-M",RBD_KEY,0)),"M")</f>
        <v>L</v>
      </c>
      <c r="Q109" s="73">
        <f>IF(J109="","",IFERROR(INDEX(LMH_PTS,MATCH(J109,LMH_KEY,0))/SUM(IFERROR(INDEX(LMH_PTS,MATCH(J109,LMH_KEY,0)),0),IFERROR(INDEX(LMH_PTS,MATCH(K109,LMH_KEY,0)),0),IFERROR(INDEX(LMH_PTS,MATCH(L109,LMH_KEY,0)),0),IFERROR(INDEX(LMH_PTS,MATCH(M109,LMH_KEY,0)),0),IFERROR(INDEX(LMH_PTS,MATCH(N109,LMH_KEY,0)),0),IFERROR(INDEX(LMH_PTS,MATCH(O109,LMH_KEY,0)),0),IFERROR(INDEX(LMH_PTS,MATCH(P109,LMH_KEY,0)),0)),""))</f>
        <v>0.428571428571429</v>
      </c>
      <c r="R109" s="74">
        <f>IF(K109="","",IFERROR(INDEX(LMH_PTS,MATCH(K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S109" s="74">
        <f>IF(L109="","",IFERROR(INDEX(LMH_PTS,MATCH(L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T109" s="74">
        <f>IF(M109="","",IFERROR(INDEX(LMH_PTS,MATCH(M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U109" s="74">
        <f>IF(N109="","",IFERROR(INDEX(LMH_PTS,MATCH(N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V109" s="74">
        <f>IF(O109="","",IFERROR(INDEX(LMH_PTS,MATCH(O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W109" s="74">
        <f>IF(P109="","",IFERROR(INDEX(LMH_PTS,MATCH(P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X109" s="44" t="n"/>
      <c r="Y109" s="38" t="inlineStr">
        <is>
          <t>CARBON|Support|Associate Head – Customer Success|B3|B-M</t>
        </is>
      </c>
    </row>
    <row r="110" ht="18" customHeight="1">
      <c r="A110" s="28" t="inlineStr">
        <is>
          <t>CARBON</t>
        </is>
      </c>
      <c r="B110" s="29" t="inlineStr">
        <is>
          <t>Support</t>
        </is>
      </c>
      <c r="C110" s="72" t="inlineStr">
        <is>
          <t>B2</t>
        </is>
      </c>
      <c r="D110" s="29" t="inlineStr">
        <is>
          <t>Band B · Specialist / Manager</t>
        </is>
      </c>
      <c r="E110" s="29" t="inlineStr">
        <is>
          <t>Customer Success Specialist</t>
        </is>
      </c>
      <c r="F110" s="29" t="inlineStr">
        <is>
          <t>Band B · Specialist / POD Lead</t>
        </is>
      </c>
      <c r="G110" s="29" t="inlineStr">
        <is>
          <t>Customer Success &amp; Support</t>
        </is>
      </c>
      <c r="H110" s="29" t="n">
        <v>1</v>
      </c>
      <c r="I110" s="29" t="inlineStr">
        <is>
          <t>Chinmayi Patil</t>
        </is>
      </c>
      <c r="J110" s="34" t="str">
        <f>IFERROR(INDEX(RBD_C,MATCH("Customer Success &amp; Support|B2|B-IC",RBD_KEY,0)),"M")</f>
        <v>H</v>
      </c>
      <c r="K110" s="35" t="str">
        <f>IFERROR(INDEX(RBD_Au,MATCH("Customer Success &amp; Support|B2|B-IC",RBD_KEY,0)),"M")</f>
        <v>M</v>
      </c>
      <c r="L110" s="35" t="str">
        <f>IFERROR(INDEX(RBD_Ac,MATCH("Customer Success &amp; Support|B2|B-IC",RBD_KEY,0)),"M")</f>
        <v>M</v>
      </c>
      <c r="M110" s="35" t="str">
        <f>IFERROR(INDEX(RBD_L,MATCH("Customer Success &amp; Support|B2|B-IC",RBD_KEY,0)),"M")</f>
        <v>L</v>
      </c>
      <c r="N110" s="35" t="str">
        <f>IFERROR(INDEX(RBD_BI,MATCH("Customer Success &amp; Support|B2|B-IC",RBD_KEY,0)),"M")</f>
        <v>M</v>
      </c>
      <c r="O110" s="35" t="str">
        <f>IFERROR(INDEX(RBD_Exp,MATCH("Customer Success &amp; Support|B2|B-IC",RBD_KEY,0)),"M")</f>
        <v>L</v>
      </c>
      <c r="P110" s="35" t="str">
        <f>IFERROR(INDEX(RBD_Edu,MATCH("Customer Success &amp; Support|B2|B-IC",RBD_KEY,0)),"M")</f>
        <v>L</v>
      </c>
      <c r="Q110" s="73">
        <f>IF(J110="","",IFERROR(INDEX(LMH_PTS,MATCH(J110,LMH_KEY,0))/SUM(IFERROR(INDEX(LMH_PTS,MATCH(J110,LMH_KEY,0)),0),IFERROR(INDEX(LMH_PTS,MATCH(K110,LMH_KEY,0)),0),IFERROR(INDEX(LMH_PTS,MATCH(L110,LMH_KEY,0)),0),IFERROR(INDEX(LMH_PTS,MATCH(M110,LMH_KEY,0)),0),IFERROR(INDEX(LMH_PTS,MATCH(N110,LMH_KEY,0)),0),IFERROR(INDEX(LMH_PTS,MATCH(O110,LMH_KEY,0)),0),IFERROR(INDEX(LMH_PTS,MATCH(P110,LMH_KEY,0)),0)),""))</f>
        <v>0.428571428571429</v>
      </c>
      <c r="R110" s="74">
        <f>IF(K110="","",IFERROR(INDEX(LMH_PTS,MATCH(K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S110" s="74">
        <f>IF(L110="","",IFERROR(INDEX(LMH_PTS,MATCH(L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T110" s="74">
        <f>IF(M110="","",IFERROR(INDEX(LMH_PTS,MATCH(M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U110" s="74">
        <f>IF(N110="","",IFERROR(INDEX(LMH_PTS,MATCH(N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V110" s="74">
        <f>IF(O110="","",IFERROR(INDEX(LMH_PTS,MATCH(O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W110" s="74">
        <f>IF(P110="","",IFERROR(INDEX(LMH_PTS,MATCH(P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X110" s="44" t="n"/>
      <c r="Y110" s="38" t="inlineStr">
        <is>
          <t>CARBON|Support|Customer Success Specialist|B2|B-IC</t>
        </is>
      </c>
    </row>
    <row r="111" ht="28" customHeight="1">
      <c r="A111" s="28" t="inlineStr">
        <is>
          <t>CARBON</t>
        </is>
      </c>
      <c r="B111" s="29" t="inlineStr">
        <is>
          <t>Support</t>
        </is>
      </c>
      <c r="C111" s="72" t="inlineStr">
        <is>
          <t>B2</t>
        </is>
      </c>
      <c r="D111" s="29" t="inlineStr">
        <is>
          <t>Band B · Specialist / Manager</t>
        </is>
      </c>
      <c r="E111" s="29" t="inlineStr">
        <is>
          <t>Senior Customer Success Specialist</t>
        </is>
      </c>
      <c r="F111" s="29" t="inlineStr">
        <is>
          <t>Band B · Specialist / POD Lead</t>
        </is>
      </c>
      <c r="G111" s="29" t="inlineStr">
        <is>
          <t>Customer Success &amp; Support</t>
        </is>
      </c>
      <c r="H111" s="29" t="n">
        <v>3</v>
      </c>
      <c r="I111" s="29" t="inlineStr">
        <is>
          <t>Praveen Kumar Rajpurohit, Pritam Agarwal, Varun Bubna</t>
        </is>
      </c>
      <c r="J111" s="34" t="str">
        <f>IFERROR(INDEX(RBD_C,MATCH("Customer Success &amp; Support|B2|B-IC",RBD_KEY,0)),"M")</f>
        <v>H</v>
      </c>
      <c r="K111" s="35" t="str">
        <f>IFERROR(INDEX(RBD_Au,MATCH("Customer Success &amp; Support|B2|B-IC",RBD_KEY,0)),"M")</f>
        <v>M</v>
      </c>
      <c r="L111" s="35" t="str">
        <f>IFERROR(INDEX(RBD_Ac,MATCH("Customer Success &amp; Support|B2|B-IC",RBD_KEY,0)),"M")</f>
        <v>M</v>
      </c>
      <c r="M111" s="35" t="str">
        <f>IFERROR(INDEX(RBD_L,MATCH("Customer Success &amp; Support|B2|B-IC",RBD_KEY,0)),"M")</f>
        <v>L</v>
      </c>
      <c r="N111" s="35" t="str">
        <f>IFERROR(INDEX(RBD_BI,MATCH("Customer Success &amp; Support|B2|B-IC",RBD_KEY,0)),"M")</f>
        <v>M</v>
      </c>
      <c r="O111" s="35" t="str">
        <f>IFERROR(INDEX(RBD_Exp,MATCH("Customer Success &amp; Support|B2|B-IC",RBD_KEY,0)),"M")</f>
        <v>L</v>
      </c>
      <c r="P111" s="35" t="str">
        <f>IFERROR(INDEX(RBD_Edu,MATCH("Customer Success &amp; Support|B2|B-IC",RBD_KEY,0)),"M")</f>
        <v>L</v>
      </c>
      <c r="Q111" s="73">
        <f>IF(J111="","",IFERROR(INDEX(LMH_PTS,MATCH(J111,LMH_KEY,0))/SUM(IFERROR(INDEX(LMH_PTS,MATCH(J111,LMH_KEY,0)),0),IFERROR(INDEX(LMH_PTS,MATCH(K111,LMH_KEY,0)),0),IFERROR(INDEX(LMH_PTS,MATCH(L111,LMH_KEY,0)),0),IFERROR(INDEX(LMH_PTS,MATCH(M111,LMH_KEY,0)),0),IFERROR(INDEX(LMH_PTS,MATCH(N111,LMH_KEY,0)),0),IFERROR(INDEX(LMH_PTS,MATCH(O111,LMH_KEY,0)),0),IFERROR(INDEX(LMH_PTS,MATCH(P111,LMH_KEY,0)),0)),""))</f>
        <v>0.428571428571429</v>
      </c>
      <c r="R111" s="74">
        <f>IF(K111="","",IFERROR(INDEX(LMH_PTS,MATCH(K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S111" s="74">
        <f>IF(L111="","",IFERROR(INDEX(LMH_PTS,MATCH(L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T111" s="74">
        <f>IF(M111="","",IFERROR(INDEX(LMH_PTS,MATCH(M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U111" s="74">
        <f>IF(N111="","",IFERROR(INDEX(LMH_PTS,MATCH(N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V111" s="74">
        <f>IF(O111="","",IFERROR(INDEX(LMH_PTS,MATCH(O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W111" s="74">
        <f>IF(P111="","",IFERROR(INDEX(LMH_PTS,MATCH(P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X111" s="44" t="n"/>
      <c r="Y111" s="38" t="inlineStr">
        <is>
          <t>CARBON|Support|Senior Customer Success Specialist|B2|B-IC</t>
        </is>
      </c>
    </row>
    <row r="112" ht="28" customHeight="1">
      <c r="A112" s="28" t="inlineStr">
        <is>
          <t>CARBON</t>
        </is>
      </c>
      <c r="B112" s="29" t="inlineStr">
        <is>
          <t>Support</t>
        </is>
      </c>
      <c r="C112" s="72" t="inlineStr">
        <is>
          <t>B2</t>
        </is>
      </c>
      <c r="D112" s="29" t="inlineStr">
        <is>
          <t>Band B · Specialist / Manager</t>
        </is>
      </c>
      <c r="E112" s="29" t="inlineStr">
        <is>
          <t>Senior Customer Success Specialist – POD Lead</t>
        </is>
      </c>
      <c r="F112" s="29" t="inlineStr">
        <is>
          <t>Band B · Specialist / POD Lead</t>
        </is>
      </c>
      <c r="G112" s="29" t="inlineStr">
        <is>
          <t>Customer Success &amp; Support</t>
        </is>
      </c>
      <c r="H112" s="29" t="n">
        <v>1</v>
      </c>
      <c r="I112" s="29" t="inlineStr">
        <is>
          <t>Neha Gajbhiye</t>
        </is>
      </c>
      <c r="J112" s="34" t="str">
        <f>IFERROR(INDEX(RBD_C,MATCH("Customer Success &amp; Support|B2|B-IC",RBD_KEY,0)),"M")</f>
        <v>H</v>
      </c>
      <c r="K112" s="35" t="str">
        <f>IFERROR(INDEX(RBD_Au,MATCH("Customer Success &amp; Support|B2|B-IC",RBD_KEY,0)),"M")</f>
        <v>M</v>
      </c>
      <c r="L112" s="35" t="str">
        <f>IFERROR(INDEX(RBD_Ac,MATCH("Customer Success &amp; Support|B2|B-IC",RBD_KEY,0)),"M")</f>
        <v>M</v>
      </c>
      <c r="M112" s="35" t="str">
        <f>IFERROR(INDEX(RBD_L,MATCH("Customer Success &amp; Support|B2|B-IC",RBD_KEY,0)),"M")</f>
        <v>L</v>
      </c>
      <c r="N112" s="35" t="str">
        <f>IFERROR(INDEX(RBD_BI,MATCH("Customer Success &amp; Support|B2|B-IC",RBD_KEY,0)),"M")</f>
        <v>M</v>
      </c>
      <c r="O112" s="35" t="str">
        <f>IFERROR(INDEX(RBD_Exp,MATCH("Customer Success &amp; Support|B2|B-IC",RBD_KEY,0)),"M")</f>
        <v>L</v>
      </c>
      <c r="P112" s="35" t="str">
        <f>IFERROR(INDEX(RBD_Edu,MATCH("Customer Success &amp; Support|B2|B-IC",RBD_KEY,0)),"M")</f>
        <v>L</v>
      </c>
      <c r="Q112" s="73">
        <f>IF(J112="","",IFERROR(INDEX(LMH_PTS,MATCH(J112,LMH_KEY,0))/SUM(IFERROR(INDEX(LMH_PTS,MATCH(J112,LMH_KEY,0)),0),IFERROR(INDEX(LMH_PTS,MATCH(K112,LMH_KEY,0)),0),IFERROR(INDEX(LMH_PTS,MATCH(L112,LMH_KEY,0)),0),IFERROR(INDEX(LMH_PTS,MATCH(M112,LMH_KEY,0)),0),IFERROR(INDEX(LMH_PTS,MATCH(N112,LMH_KEY,0)),0),IFERROR(INDEX(LMH_PTS,MATCH(O112,LMH_KEY,0)),0),IFERROR(INDEX(LMH_PTS,MATCH(P112,LMH_KEY,0)),0)),""))</f>
        <v>0.428571428571429</v>
      </c>
      <c r="R112" s="74">
        <f>IF(K112="","",IFERROR(INDEX(LMH_PTS,MATCH(K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S112" s="74">
        <f>IF(L112="","",IFERROR(INDEX(LMH_PTS,MATCH(L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T112" s="74">
        <f>IF(M112="","",IFERROR(INDEX(LMH_PTS,MATCH(M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U112" s="74">
        <f>IF(N112="","",IFERROR(INDEX(LMH_PTS,MATCH(N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V112" s="74">
        <f>IF(O112="","",IFERROR(INDEX(LMH_PTS,MATCH(O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W112" s="74">
        <f>IF(P112="","",IFERROR(INDEX(LMH_PTS,MATCH(P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X112" s="44" t="n"/>
      <c r="Y112" s="38" t="inlineStr">
        <is>
          <t>CARBON|Support|Senior Customer Success Specialist – POD Lead|B2|B-IC</t>
        </is>
      </c>
    </row>
    <row r="113" ht="18" customHeight="1">
      <c r="A113" s="28" t="inlineStr">
        <is>
          <t>CARBON</t>
        </is>
      </c>
      <c r="B113" s="29" t="inlineStr">
        <is>
          <t>Support</t>
        </is>
      </c>
      <c r="C113" s="72" t="inlineStr">
        <is>
          <t>B2</t>
        </is>
      </c>
      <c r="D113" s="29" t="inlineStr">
        <is>
          <t>Band B · Specialist / Manager</t>
        </is>
      </c>
      <c r="E113" s="29" t="inlineStr">
        <is>
          <t>Support Manager</t>
        </is>
      </c>
      <c r="F113" s="29" t="inlineStr">
        <is>
          <t>Band B · People Manager</t>
        </is>
      </c>
      <c r="G113" s="29" t="inlineStr">
        <is>
          <t>Customer Success &amp; Support</t>
        </is>
      </c>
      <c r="H113" s="29" t="n">
        <v>1</v>
      </c>
      <c r="I113" s="29" t="inlineStr">
        <is>
          <t>Harshal Shah</t>
        </is>
      </c>
      <c r="J113" s="34" t="str">
        <f>IFERROR(INDEX(RBD_C,MATCH("Customer Success &amp; Support|B2|B-M",RBD_KEY,0)),"M")</f>
        <v>H</v>
      </c>
      <c r="K113" s="35" t="str">
        <f>IFERROR(INDEX(RBD_Au,MATCH("Customer Success &amp; Support|B2|B-M",RBD_KEY,0)),"M")</f>
        <v>M</v>
      </c>
      <c r="L113" s="35" t="str">
        <f>IFERROR(INDEX(RBD_Ac,MATCH("Customer Success &amp; Support|B2|B-M",RBD_KEY,0)),"M")</f>
        <v>M</v>
      </c>
      <c r="M113" s="35" t="str">
        <f>IFERROR(INDEX(RBD_L,MATCH("Customer Success &amp; Support|B2|B-M",RBD_KEY,0)),"M")</f>
        <v>M</v>
      </c>
      <c r="N113" s="35" t="str">
        <f>IFERROR(INDEX(RBD_BI,MATCH("Customer Success &amp; Support|B2|B-M",RBD_KEY,0)),"M")</f>
        <v>M</v>
      </c>
      <c r="O113" s="35" t="str">
        <f>IFERROR(INDEX(RBD_Exp,MATCH("Customer Success &amp; Support|B2|B-M",RBD_KEY,0)),"M")</f>
        <v>L</v>
      </c>
      <c r="P113" s="35" t="str">
        <f>IFERROR(INDEX(RBD_Edu,MATCH("Customer Success &amp; Support|B2|B-M",RBD_KEY,0)),"M")</f>
        <v>L</v>
      </c>
      <c r="Q113" s="73">
        <f>IF(J113="","",IFERROR(INDEX(LMH_PTS,MATCH(J113,LMH_KEY,0))/SUM(IFERROR(INDEX(LMH_PTS,MATCH(J113,LMH_KEY,0)),0),IFERROR(INDEX(LMH_PTS,MATCH(K113,LMH_KEY,0)),0),IFERROR(INDEX(LMH_PTS,MATCH(L113,LMH_KEY,0)),0),IFERROR(INDEX(LMH_PTS,MATCH(M113,LMH_KEY,0)),0),IFERROR(INDEX(LMH_PTS,MATCH(N113,LMH_KEY,0)),0),IFERROR(INDEX(LMH_PTS,MATCH(O113,LMH_KEY,0)),0),IFERROR(INDEX(LMH_PTS,MATCH(P113,LMH_KEY,0)),0)),""))</f>
        <v>0.391304347826087</v>
      </c>
      <c r="R113" s="74">
        <f>IF(K113="","",IFERROR(INDEX(LMH_PTS,MATCH(K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S113" s="74">
        <f>IF(L113="","",IFERROR(INDEX(LMH_PTS,MATCH(L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T113" s="74">
        <f>IF(M113="","",IFERROR(INDEX(LMH_PTS,MATCH(M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U113" s="74">
        <f>IF(N113="","",IFERROR(INDEX(LMH_PTS,MATCH(N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V113" s="74">
        <f>IF(O113="","",IFERROR(INDEX(LMH_PTS,MATCH(O113,LMH_KEY,0))/SUM(IFERROR(INDEX(LMH_PTS,MATCH(J113,LMH_KEY,0)),0),IFERROR(INDEX(LMH_PTS,MATCH(K113,LMH_KEY,0)),0),IFERROR(INDEX(LMH_PTS,MATCH(L113,LMH_KEY,0)),0),IFERROR(INDEX(LMH_PTS,MATCH(M113,LMH_KEY,0)),0),IFERROR(INDEX(LMH_PTS,MATCH(N113,LMH_KEY,0)),0),IFERROR(INDEX(LMH_PTS,MATCH(O113,LMH_KEY,0)),0),IFERROR(INDEX(LMH_PTS,MATCH(P113,LMH_KEY,0)),0)),""))</f>
        <v>0.0434782608695652</v>
      </c>
      <c r="W113" s="74">
        <f>IF(P113="","",IFERROR(INDEX(LMH_PTS,MATCH(P113,LMH_KEY,0))/SUM(IFERROR(INDEX(LMH_PTS,MATCH(J113,LMH_KEY,0)),0),IFERROR(INDEX(LMH_PTS,MATCH(K113,LMH_KEY,0)),0),IFERROR(INDEX(LMH_PTS,MATCH(L113,LMH_KEY,0)),0),IFERROR(INDEX(LMH_PTS,MATCH(M113,LMH_KEY,0)),0),IFERROR(INDEX(LMH_PTS,MATCH(N113,LMH_KEY,0)),0),IFERROR(INDEX(LMH_PTS,MATCH(O113,LMH_KEY,0)),0),IFERROR(INDEX(LMH_PTS,MATCH(P113,LMH_KEY,0)),0)),""))</f>
        <v>0.0434782608695652</v>
      </c>
      <c r="X113" s="44" t="n"/>
      <c r="Y113" s="38" t="inlineStr">
        <is>
          <t>CARBON|Support|Support Manager|B2|B-M</t>
        </is>
      </c>
    </row>
    <row r="114" ht="28" customHeight="1">
      <c r="A114" s="28" t="inlineStr">
        <is>
          <t>CARBON</t>
        </is>
      </c>
      <c r="B114" s="29" t="inlineStr">
        <is>
          <t>Support</t>
        </is>
      </c>
      <c r="C114" s="72" t="inlineStr">
        <is>
          <t>B1</t>
        </is>
      </c>
      <c r="D114" s="29" t="inlineStr">
        <is>
          <t>Band B · Specialist / Manager</t>
        </is>
      </c>
      <c r="E114" s="29" t="inlineStr">
        <is>
          <t>DevOps Specialist – POD Lead</t>
        </is>
      </c>
      <c r="F114" s="29" t="inlineStr">
        <is>
          <t>Band B · Specialist / POD Lead</t>
        </is>
      </c>
      <c r="G114" s="29" t="inlineStr">
        <is>
          <t>Engineering &amp; Development</t>
        </is>
      </c>
      <c r="H114" s="29" t="n">
        <v>1</v>
      </c>
      <c r="I114" s="29" t="inlineStr">
        <is>
          <t>Shailesh Koradiya</t>
        </is>
      </c>
      <c r="J114" s="34" t="str">
        <f>IFERROR(INDEX(RBD_C,MATCH("Engineering &amp; Development|B1|B-IC",RBD_KEY,0)),"M")</f>
        <v>H</v>
      </c>
      <c r="K114" s="35" t="str">
        <f>IFERROR(INDEX(RBD_Au,MATCH("Engineering &amp; Development|B1|B-IC",RBD_KEY,0)),"M")</f>
        <v>M</v>
      </c>
      <c r="L114" s="35" t="str">
        <f>IFERROR(INDEX(RBD_Ac,MATCH("Engineering &amp; Development|B1|B-IC",RBD_KEY,0)),"M")</f>
        <v>L</v>
      </c>
      <c r="M114" s="35" t="str">
        <f>IFERROR(INDEX(RBD_L,MATCH("Engineering &amp; Development|B1|B-IC",RBD_KEY,0)),"M")</f>
        <v>L</v>
      </c>
      <c r="N114" s="35" t="str">
        <f>IFERROR(INDEX(RBD_BI,MATCH("Engineering &amp; Development|B1|B-IC",RBD_KEY,0)),"M")</f>
        <v>L</v>
      </c>
      <c r="O114" s="35" t="str">
        <f>IFERROR(INDEX(RBD_Exp,MATCH("Engineering &amp; Development|B1|B-IC",RBD_KEY,0)),"M")</f>
        <v>L</v>
      </c>
      <c r="P114" s="35" t="str">
        <f>IFERROR(INDEX(RBD_Edu,MATCH("Engineering &amp; Development|B1|B-IC",RBD_KEY,0)),"M")</f>
        <v>L</v>
      </c>
      <c r="Q114" s="73">
        <f>IF(J114="","",IFERROR(INDEX(LMH_PTS,MATCH(J114,LMH_KEY,0))/SUM(IFERROR(INDEX(LMH_PTS,MATCH(J114,LMH_KEY,0)),0),IFERROR(INDEX(LMH_PTS,MATCH(K114,LMH_KEY,0)),0),IFERROR(INDEX(LMH_PTS,MATCH(L114,LMH_KEY,0)),0),IFERROR(INDEX(LMH_PTS,MATCH(M114,LMH_KEY,0)),0),IFERROR(INDEX(LMH_PTS,MATCH(N114,LMH_KEY,0)),0),IFERROR(INDEX(LMH_PTS,MATCH(O114,LMH_KEY,0)),0),IFERROR(INDEX(LMH_PTS,MATCH(P114,LMH_KEY,0)),0)),""))</f>
        <v>0.529411764705882</v>
      </c>
      <c r="R114" s="74">
        <f>IF(K114="","",IFERROR(INDEX(LMH_PTS,MATCH(K114,LMH_KEY,0))/SUM(IFERROR(INDEX(LMH_PTS,MATCH(J114,LMH_KEY,0)),0),IFERROR(INDEX(LMH_PTS,MATCH(K114,LMH_KEY,0)),0),IFERROR(INDEX(LMH_PTS,MATCH(L114,LMH_KEY,0)),0),IFERROR(INDEX(LMH_PTS,MATCH(M114,LMH_KEY,0)),0),IFERROR(INDEX(LMH_PTS,MATCH(N114,LMH_KEY,0)),0),IFERROR(INDEX(LMH_PTS,MATCH(O114,LMH_KEY,0)),0),IFERROR(INDEX(LMH_PTS,MATCH(P114,LMH_KEY,0)),0)),""))</f>
        <v>0.176470588235294</v>
      </c>
      <c r="S114" s="74">
        <f>IF(L114="","",IFERROR(INDEX(LMH_PTS,MATCH(L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T114" s="74">
        <f>IF(M114="","",IFERROR(INDEX(LMH_PTS,MATCH(M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U114" s="74">
        <f>IF(N114="","",IFERROR(INDEX(LMH_PTS,MATCH(N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V114" s="74">
        <f>IF(O114="","",IFERROR(INDEX(LMH_PTS,MATCH(O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W114" s="74">
        <f>IF(P114="","",IFERROR(INDEX(LMH_PTS,MATCH(P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X114" s="44" t="n"/>
      <c r="Y114" s="38" t="inlineStr">
        <is>
          <t>CARBON|Support|DevOps Specialist – POD Lead|B1|B-IC</t>
        </is>
      </c>
    </row>
    <row r="115" ht="28" customHeight="1">
      <c r="A115" s="28" t="inlineStr">
        <is>
          <t>CARBON</t>
        </is>
      </c>
      <c r="B115" s="29" t="inlineStr">
        <is>
          <t>Support</t>
        </is>
      </c>
      <c r="C115" s="72" t="inlineStr">
        <is>
          <t>B1</t>
        </is>
      </c>
      <c r="D115" s="29" t="inlineStr">
        <is>
          <t>Band B · Specialist / Manager</t>
        </is>
      </c>
      <c r="E115" s="29" t="inlineStr">
        <is>
          <t>Senior Customer Success Specialist</t>
        </is>
      </c>
      <c r="F115" s="29" t="inlineStr">
        <is>
          <t>Band B · Specialist / POD Lead</t>
        </is>
      </c>
      <c r="G115" s="29" t="inlineStr">
        <is>
          <t>Customer Success &amp; Support</t>
        </is>
      </c>
      <c r="H115" s="29" t="n">
        <v>1</v>
      </c>
      <c r="I115" s="29" t="inlineStr">
        <is>
          <t>Nupur Samantaray</t>
        </is>
      </c>
      <c r="J115" s="34" t="str">
        <f>IFERROR(INDEX(RBD_C,MATCH("Customer Success &amp; Support|B1|B-IC",RBD_KEY,0)),"M")</f>
        <v>H</v>
      </c>
      <c r="K115" s="35" t="str">
        <f>IFERROR(INDEX(RBD_Au,MATCH("Customer Success &amp; Support|B1|B-IC",RBD_KEY,0)),"M")</f>
        <v>M</v>
      </c>
      <c r="L115" s="35" t="str">
        <f>IFERROR(INDEX(RBD_Ac,MATCH("Customer Success &amp; Support|B1|B-IC",RBD_KEY,0)),"M")</f>
        <v>M</v>
      </c>
      <c r="M115" s="35" t="str">
        <f>IFERROR(INDEX(RBD_L,MATCH("Customer Success &amp; Support|B1|B-IC",RBD_KEY,0)),"M")</f>
        <v>L</v>
      </c>
      <c r="N115" s="35" t="str">
        <f>IFERROR(INDEX(RBD_BI,MATCH("Customer Success &amp; Support|B1|B-IC",RBD_KEY,0)),"M")</f>
        <v>M</v>
      </c>
      <c r="O115" s="35" t="str">
        <f>IFERROR(INDEX(RBD_Exp,MATCH("Customer Success &amp; Support|B1|B-IC",RBD_KEY,0)),"M")</f>
        <v>L</v>
      </c>
      <c r="P115" s="35" t="str">
        <f>IFERROR(INDEX(RBD_Edu,MATCH("Customer Success &amp; Support|B1|B-IC",RBD_KEY,0)),"M")</f>
        <v>L</v>
      </c>
      <c r="Q115" s="73">
        <f>IF(J115="","",IFERROR(INDEX(LMH_PTS,MATCH(J115,LMH_KEY,0))/SUM(IFERROR(INDEX(LMH_PTS,MATCH(J115,LMH_KEY,0)),0),IFERROR(INDEX(LMH_PTS,MATCH(K115,LMH_KEY,0)),0),IFERROR(INDEX(LMH_PTS,MATCH(L115,LMH_KEY,0)),0),IFERROR(INDEX(LMH_PTS,MATCH(M115,LMH_KEY,0)),0),IFERROR(INDEX(LMH_PTS,MATCH(N115,LMH_KEY,0)),0),IFERROR(INDEX(LMH_PTS,MATCH(O115,LMH_KEY,0)),0),IFERROR(INDEX(LMH_PTS,MATCH(P115,LMH_KEY,0)),0)),""))</f>
        <v>0.428571428571429</v>
      </c>
      <c r="R115" s="74">
        <f>IF(K115="","",IFERROR(INDEX(LMH_PTS,MATCH(K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S115" s="74">
        <f>IF(L115="","",IFERROR(INDEX(LMH_PTS,MATCH(L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T115" s="74">
        <f>IF(M115="","",IFERROR(INDEX(LMH_PTS,MATCH(M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U115" s="74">
        <f>IF(N115="","",IFERROR(INDEX(LMH_PTS,MATCH(N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V115" s="74">
        <f>IF(O115="","",IFERROR(INDEX(LMH_PTS,MATCH(O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W115" s="74">
        <f>IF(P115="","",IFERROR(INDEX(LMH_PTS,MATCH(P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X115" s="44" t="n"/>
      <c r="Y115" s="38" t="inlineStr">
        <is>
          <t>CARBON|Support|Senior Customer Success Specialist|B1|B-IC</t>
        </is>
      </c>
    </row>
    <row r="116" ht="18" customHeight="1">
      <c r="A116" s="28" t="inlineStr">
        <is>
          <t>CARBON</t>
        </is>
      </c>
      <c r="B116" s="29" t="inlineStr">
        <is>
          <t>Support</t>
        </is>
      </c>
      <c r="C116" s="72" t="inlineStr">
        <is>
          <t>B1</t>
        </is>
      </c>
      <c r="D116" s="29" t="inlineStr">
        <is>
          <t>Band B · Specialist / Manager</t>
        </is>
      </c>
      <c r="E116" s="29" t="inlineStr">
        <is>
          <t>Senior Support Executive</t>
        </is>
      </c>
      <c r="F116" s="29" t="inlineStr">
        <is>
          <t>Band B · Specialist / POD Lead</t>
        </is>
      </c>
      <c r="G116" s="29" t="inlineStr">
        <is>
          <t>Customer Success &amp; Support</t>
        </is>
      </c>
      <c r="H116" s="29" t="n">
        <v>2</v>
      </c>
      <c r="I116" s="29" t="inlineStr">
        <is>
          <t>Kiran Pawar, Nelson Paul Koonan</t>
        </is>
      </c>
      <c r="J116" s="34" t="str">
        <f>IFERROR(INDEX(RBD_C,MATCH("Customer Success &amp; Support|B1|B-IC",RBD_KEY,0)),"M")</f>
        <v>H</v>
      </c>
      <c r="K116" s="35" t="str">
        <f>IFERROR(INDEX(RBD_Au,MATCH("Customer Success &amp; Support|B1|B-IC",RBD_KEY,0)),"M")</f>
        <v>M</v>
      </c>
      <c r="L116" s="35" t="str">
        <f>IFERROR(INDEX(RBD_Ac,MATCH("Customer Success &amp; Support|B1|B-IC",RBD_KEY,0)),"M")</f>
        <v>M</v>
      </c>
      <c r="M116" s="35" t="str">
        <f>IFERROR(INDEX(RBD_L,MATCH("Customer Success &amp; Support|B1|B-IC",RBD_KEY,0)),"M")</f>
        <v>L</v>
      </c>
      <c r="N116" s="35" t="str">
        <f>IFERROR(INDEX(RBD_BI,MATCH("Customer Success &amp; Support|B1|B-IC",RBD_KEY,0)),"M")</f>
        <v>M</v>
      </c>
      <c r="O116" s="35" t="str">
        <f>IFERROR(INDEX(RBD_Exp,MATCH("Customer Success &amp; Support|B1|B-IC",RBD_KEY,0)),"M")</f>
        <v>L</v>
      </c>
      <c r="P116" s="35" t="str">
        <f>IFERROR(INDEX(RBD_Edu,MATCH("Customer Success &amp; Support|B1|B-IC",RBD_KEY,0)),"M")</f>
        <v>L</v>
      </c>
      <c r="Q116" s="73">
        <f>IF(J116="","",IFERROR(INDEX(LMH_PTS,MATCH(J116,LMH_KEY,0))/SUM(IFERROR(INDEX(LMH_PTS,MATCH(J116,LMH_KEY,0)),0),IFERROR(INDEX(LMH_PTS,MATCH(K116,LMH_KEY,0)),0),IFERROR(INDEX(LMH_PTS,MATCH(L116,LMH_KEY,0)),0),IFERROR(INDEX(LMH_PTS,MATCH(M116,LMH_KEY,0)),0),IFERROR(INDEX(LMH_PTS,MATCH(N116,LMH_KEY,0)),0),IFERROR(INDEX(LMH_PTS,MATCH(O116,LMH_KEY,0)),0),IFERROR(INDEX(LMH_PTS,MATCH(P116,LMH_KEY,0)),0)),""))</f>
        <v>0.428571428571429</v>
      </c>
      <c r="R116" s="74">
        <f>IF(K116="","",IFERROR(INDEX(LMH_PTS,MATCH(K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S116" s="74">
        <f>IF(L116="","",IFERROR(INDEX(LMH_PTS,MATCH(L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T116" s="74">
        <f>IF(M116="","",IFERROR(INDEX(LMH_PTS,MATCH(M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U116" s="74">
        <f>IF(N116="","",IFERROR(INDEX(LMH_PTS,MATCH(N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V116" s="74">
        <f>IF(O116="","",IFERROR(INDEX(LMH_PTS,MATCH(O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W116" s="74">
        <f>IF(P116="","",IFERROR(INDEX(LMH_PTS,MATCH(P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X116" s="44" t="n"/>
      <c r="Y116" s="38" t="inlineStr">
        <is>
          <t>CARBON|Support|Senior Support Executive|B1|B-IC</t>
        </is>
      </c>
    </row>
    <row r="117" ht="18" customHeight="1">
      <c r="A117" s="28" t="inlineStr">
        <is>
          <t>CARBON</t>
        </is>
      </c>
      <c r="B117" s="29" t="inlineStr">
        <is>
          <t>Support</t>
        </is>
      </c>
      <c r="C117" s="75" t="inlineStr">
        <is>
          <t>A3</t>
        </is>
      </c>
      <c r="D117" s="29" t="inlineStr">
        <is>
          <t>Band A · Practitioner</t>
        </is>
      </c>
      <c r="E117" s="29" t="inlineStr">
        <is>
          <t>MIS Specialist</t>
        </is>
      </c>
      <c r="F117" s="29" t="inlineStr">
        <is>
          <t>Band A · all tracks</t>
        </is>
      </c>
      <c r="G117" s="29" t="inlineStr">
        <is>
          <t>Data &amp; Analytics</t>
        </is>
      </c>
      <c r="H117" s="29" t="n">
        <v>1</v>
      </c>
      <c r="I117" s="29" t="inlineStr">
        <is>
          <t>Mayur Narvekar</t>
        </is>
      </c>
      <c r="J117" s="34" t="str">
        <f>IFERROR(INDEX(RBD_C,MATCH("Data &amp; Analytics|A3|A",RBD_KEY,0)),"M")</f>
        <v>H</v>
      </c>
      <c r="K117" s="35" t="str">
        <f>IFERROR(INDEX(RBD_Au,MATCH("Data &amp; Analytics|A3|A",RBD_KEY,0)),"M")</f>
        <v>M</v>
      </c>
      <c r="L117" s="35" t="str">
        <f>IFERROR(INDEX(RBD_Ac,MATCH("Data &amp; Analytics|A3|A",RBD_KEY,0)),"M")</f>
        <v>M</v>
      </c>
      <c r="M117" s="35" t="str">
        <f>IFERROR(INDEX(RBD_L,MATCH("Data &amp; Analytics|A3|A",RBD_KEY,0)),"M")</f>
        <v>L</v>
      </c>
      <c r="N117" s="35" t="str">
        <f>IFERROR(INDEX(RBD_BI,MATCH("Data &amp; Analytics|A3|A",RBD_KEY,0)),"M")</f>
        <v>L</v>
      </c>
      <c r="O117" s="35" t="str">
        <f>IFERROR(INDEX(RBD_Exp,MATCH("Data &amp; Analytics|A3|A",RBD_KEY,0)),"M")</f>
        <v>L</v>
      </c>
      <c r="P117" s="35" t="str">
        <f>IFERROR(INDEX(RBD_Edu,MATCH("Data &amp; Analytics|A3|A",RBD_KEY,0)),"M")</f>
        <v>L</v>
      </c>
      <c r="Q117" s="73">
        <f>IF(J117="","",IFERROR(INDEX(LMH_PTS,MATCH(J117,LMH_KEY,0))/SUM(IFERROR(INDEX(LMH_PTS,MATCH(J117,LMH_KEY,0)),0),IFERROR(INDEX(LMH_PTS,MATCH(K117,LMH_KEY,0)),0),IFERROR(INDEX(LMH_PTS,MATCH(L117,LMH_KEY,0)),0),IFERROR(INDEX(LMH_PTS,MATCH(M117,LMH_KEY,0)),0),IFERROR(INDEX(LMH_PTS,MATCH(N117,LMH_KEY,0)),0),IFERROR(INDEX(LMH_PTS,MATCH(O117,LMH_KEY,0)),0),IFERROR(INDEX(LMH_PTS,MATCH(P117,LMH_KEY,0)),0)),""))</f>
        <v>0.473684210526316</v>
      </c>
      <c r="R117" s="74">
        <f>IF(K117="","",IFERROR(INDEX(LMH_PTS,MATCH(K117,LMH_KEY,0))/SUM(IFERROR(INDEX(LMH_PTS,MATCH(J117,LMH_KEY,0)),0),IFERROR(INDEX(LMH_PTS,MATCH(K117,LMH_KEY,0)),0),IFERROR(INDEX(LMH_PTS,MATCH(L117,LMH_KEY,0)),0),IFERROR(INDEX(LMH_PTS,MATCH(M117,LMH_KEY,0)),0),IFERROR(INDEX(LMH_PTS,MATCH(N117,LMH_KEY,0)),0),IFERROR(INDEX(LMH_PTS,MATCH(O117,LMH_KEY,0)),0),IFERROR(INDEX(LMH_PTS,MATCH(P117,LMH_KEY,0)),0)),""))</f>
        <v>0.157894736842105</v>
      </c>
      <c r="S117" s="74">
        <f>IF(L117="","",IFERROR(INDEX(LMH_PTS,MATCH(L117,LMH_KEY,0))/SUM(IFERROR(INDEX(LMH_PTS,MATCH(J117,LMH_KEY,0)),0),IFERROR(INDEX(LMH_PTS,MATCH(K117,LMH_KEY,0)),0),IFERROR(INDEX(LMH_PTS,MATCH(L117,LMH_KEY,0)),0),IFERROR(INDEX(LMH_PTS,MATCH(M117,LMH_KEY,0)),0),IFERROR(INDEX(LMH_PTS,MATCH(N117,LMH_KEY,0)),0),IFERROR(INDEX(LMH_PTS,MATCH(O117,LMH_KEY,0)),0),IFERROR(INDEX(LMH_PTS,MATCH(P117,LMH_KEY,0)),0)),""))</f>
        <v>0.157894736842105</v>
      </c>
      <c r="T117" s="74">
        <f>IF(M117="","",IFERROR(INDEX(LMH_PTS,MATCH(M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U117" s="74">
        <f>IF(N117="","",IFERROR(INDEX(LMH_PTS,MATCH(N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V117" s="74">
        <f>IF(O117="","",IFERROR(INDEX(LMH_PTS,MATCH(O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W117" s="74">
        <f>IF(P117="","",IFERROR(INDEX(LMH_PTS,MATCH(P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X117" s="44" t="n"/>
      <c r="Y117" s="38" t="inlineStr">
        <is>
          <t>CARBON|Support|MIS Specialist|A3|A</t>
        </is>
      </c>
    </row>
    <row r="118" ht="28" customHeight="1">
      <c r="A118" s="28" t="inlineStr">
        <is>
          <t>CARBON</t>
        </is>
      </c>
      <c r="B118" s="29" t="inlineStr">
        <is>
          <t>Support</t>
        </is>
      </c>
      <c r="C118" s="75" t="inlineStr">
        <is>
          <t>A3</t>
        </is>
      </c>
      <c r="D118" s="29" t="inlineStr">
        <is>
          <t>Band A · Practitioner</t>
        </is>
      </c>
      <c r="E118" s="29" t="inlineStr">
        <is>
          <t>Senior Customer Success Executive</t>
        </is>
      </c>
      <c r="F118" s="29" t="inlineStr">
        <is>
          <t>Band A · all tracks</t>
        </is>
      </c>
      <c r="G118" s="29" t="inlineStr">
        <is>
          <t>Customer Success &amp; Support</t>
        </is>
      </c>
      <c r="H118" s="29" t="n">
        <v>2</v>
      </c>
      <c r="I118" s="29" t="inlineStr">
        <is>
          <t>Tanya Dhere, Samiksha Kadam</t>
        </is>
      </c>
      <c r="J118" s="34" t="str">
        <f>IFERROR(INDEX(RBD_C,MATCH("Customer Success &amp; Support|A3|A",RBD_KEY,0)),"M")</f>
        <v>H</v>
      </c>
      <c r="K118" s="35" t="str">
        <f>IFERROR(INDEX(RBD_Au,MATCH("Customer Success &amp; Support|A3|A",RBD_KEY,0)),"M")</f>
        <v>M</v>
      </c>
      <c r="L118" s="35" t="str">
        <f>IFERROR(INDEX(RBD_Ac,MATCH("Customer Success &amp; Support|A3|A",RBD_KEY,0)),"M")</f>
        <v>M</v>
      </c>
      <c r="M118" s="35" t="str">
        <f>IFERROR(INDEX(RBD_L,MATCH("Customer Success &amp; Support|A3|A",RBD_KEY,0)),"M")</f>
        <v>L</v>
      </c>
      <c r="N118" s="35" t="str">
        <f>IFERROR(INDEX(RBD_BI,MATCH("Customer Success &amp; Support|A3|A",RBD_KEY,0)),"M")</f>
        <v>M</v>
      </c>
      <c r="O118" s="35" t="str">
        <f>IFERROR(INDEX(RBD_Exp,MATCH("Customer Success &amp; Support|A3|A",RBD_KEY,0)),"M")</f>
        <v>L</v>
      </c>
      <c r="P118" s="35" t="str">
        <f>IFERROR(INDEX(RBD_Edu,MATCH("Customer Success &amp; Support|A3|A",RBD_KEY,0)),"M")</f>
        <v>L</v>
      </c>
      <c r="Q118" s="73">
        <f>IF(J118="","",IFERROR(INDEX(LMH_PTS,MATCH(J118,LMH_KEY,0))/SUM(IFERROR(INDEX(LMH_PTS,MATCH(J118,LMH_KEY,0)),0),IFERROR(INDEX(LMH_PTS,MATCH(K118,LMH_KEY,0)),0),IFERROR(INDEX(LMH_PTS,MATCH(L118,LMH_KEY,0)),0),IFERROR(INDEX(LMH_PTS,MATCH(M118,LMH_KEY,0)),0),IFERROR(INDEX(LMH_PTS,MATCH(N118,LMH_KEY,0)),0),IFERROR(INDEX(LMH_PTS,MATCH(O118,LMH_KEY,0)),0),IFERROR(INDEX(LMH_PTS,MATCH(P118,LMH_KEY,0)),0)),""))</f>
        <v>0.428571428571429</v>
      </c>
      <c r="R118" s="74">
        <f>IF(K118="","",IFERROR(INDEX(LMH_PTS,MATCH(K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S118" s="74">
        <f>IF(L118="","",IFERROR(INDEX(LMH_PTS,MATCH(L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T118" s="74">
        <f>IF(M118="","",IFERROR(INDEX(LMH_PTS,MATCH(M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U118" s="74">
        <f>IF(N118="","",IFERROR(INDEX(LMH_PTS,MATCH(N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V118" s="74">
        <f>IF(O118="","",IFERROR(INDEX(LMH_PTS,MATCH(O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W118" s="74">
        <f>IF(P118="","",IFERROR(INDEX(LMH_PTS,MATCH(P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X118" s="44" t="n"/>
      <c r="Y118" s="38" t="inlineStr">
        <is>
          <t>CARBON|Support|Senior Customer Success Executive|A3|A</t>
        </is>
      </c>
    </row>
    <row r="119" ht="18" customHeight="1">
      <c r="A119" s="28" t="inlineStr">
        <is>
          <t>CARBON</t>
        </is>
      </c>
      <c r="B119" s="29" t="inlineStr">
        <is>
          <t>Support</t>
        </is>
      </c>
      <c r="C119" s="75" t="inlineStr">
        <is>
          <t>A3</t>
        </is>
      </c>
      <c r="D119" s="29" t="inlineStr">
        <is>
          <t>Band A · Practitioner</t>
        </is>
      </c>
      <c r="E119" s="29" t="inlineStr">
        <is>
          <t>Senior Software Engineer</t>
        </is>
      </c>
      <c r="F119" s="29" t="inlineStr">
        <is>
          <t>Band A · all tracks</t>
        </is>
      </c>
      <c r="G119" s="29" t="inlineStr">
        <is>
          <t>Engineering &amp; Development</t>
        </is>
      </c>
      <c r="H119" s="29" t="n">
        <v>2</v>
      </c>
      <c r="I119" s="29" t="inlineStr">
        <is>
          <t>Manish Yadav, Gajanan Vadekar</t>
        </is>
      </c>
      <c r="J119" s="34" t="str">
        <f>IFERROR(INDEX(RBD_C,MATCH("Engineering &amp; Development|A3|A",RBD_KEY,0)),"M")</f>
        <v>H</v>
      </c>
      <c r="K119" s="35" t="str">
        <f>IFERROR(INDEX(RBD_Au,MATCH("Engineering &amp; Development|A3|A",RBD_KEY,0)),"M")</f>
        <v>M</v>
      </c>
      <c r="L119" s="35" t="str">
        <f>IFERROR(INDEX(RBD_Ac,MATCH("Engineering &amp; Development|A3|A",RBD_KEY,0)),"M")</f>
        <v>L</v>
      </c>
      <c r="M119" s="35" t="str">
        <f>IFERROR(INDEX(RBD_L,MATCH("Engineering &amp; Development|A3|A",RBD_KEY,0)),"M")</f>
        <v>L</v>
      </c>
      <c r="N119" s="35" t="str">
        <f>IFERROR(INDEX(RBD_BI,MATCH("Engineering &amp; Development|A3|A",RBD_KEY,0)),"M")</f>
        <v>L</v>
      </c>
      <c r="O119" s="35" t="str">
        <f>IFERROR(INDEX(RBD_Exp,MATCH("Engineering &amp; Development|A3|A",RBD_KEY,0)),"M")</f>
        <v>L</v>
      </c>
      <c r="P119" s="35" t="str">
        <f>IFERROR(INDEX(RBD_Edu,MATCH("Engineering &amp; Development|A3|A",RBD_KEY,0)),"M")</f>
        <v>L</v>
      </c>
      <c r="Q119" s="73">
        <f>IF(J119="","",IFERROR(INDEX(LMH_PTS,MATCH(J119,LMH_KEY,0))/SUM(IFERROR(INDEX(LMH_PTS,MATCH(J119,LMH_KEY,0)),0),IFERROR(INDEX(LMH_PTS,MATCH(K119,LMH_KEY,0)),0),IFERROR(INDEX(LMH_PTS,MATCH(L119,LMH_KEY,0)),0),IFERROR(INDEX(LMH_PTS,MATCH(M119,LMH_KEY,0)),0),IFERROR(INDEX(LMH_PTS,MATCH(N119,LMH_KEY,0)),0),IFERROR(INDEX(LMH_PTS,MATCH(O119,LMH_KEY,0)),0),IFERROR(INDEX(LMH_PTS,MATCH(P119,LMH_KEY,0)),0)),""))</f>
        <v>0.529411764705882</v>
      </c>
      <c r="R119" s="74">
        <f>IF(K119="","",IFERROR(INDEX(LMH_PTS,MATCH(K119,LMH_KEY,0))/SUM(IFERROR(INDEX(LMH_PTS,MATCH(J119,LMH_KEY,0)),0),IFERROR(INDEX(LMH_PTS,MATCH(K119,LMH_KEY,0)),0),IFERROR(INDEX(LMH_PTS,MATCH(L119,LMH_KEY,0)),0),IFERROR(INDEX(LMH_PTS,MATCH(M119,LMH_KEY,0)),0),IFERROR(INDEX(LMH_PTS,MATCH(N119,LMH_KEY,0)),0),IFERROR(INDEX(LMH_PTS,MATCH(O119,LMH_KEY,0)),0),IFERROR(INDEX(LMH_PTS,MATCH(P119,LMH_KEY,0)),0)),""))</f>
        <v>0.176470588235294</v>
      </c>
      <c r="S119" s="74">
        <f>IF(L119="","",IFERROR(INDEX(LMH_PTS,MATCH(L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T119" s="74">
        <f>IF(M119="","",IFERROR(INDEX(LMH_PTS,MATCH(M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U119" s="74">
        <f>IF(N119="","",IFERROR(INDEX(LMH_PTS,MATCH(N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V119" s="74">
        <f>IF(O119="","",IFERROR(INDEX(LMH_PTS,MATCH(O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W119" s="74">
        <f>IF(P119="","",IFERROR(INDEX(LMH_PTS,MATCH(P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X119" s="44" t="n"/>
      <c r="Y119" s="38" t="inlineStr">
        <is>
          <t>CARBON|Support|Senior Software Engineer|A3|A</t>
        </is>
      </c>
    </row>
    <row r="120" ht="40.5" customHeight="1">
      <c r="A120" s="28" t="inlineStr">
        <is>
          <t>CARBON</t>
        </is>
      </c>
      <c r="B120" s="29" t="inlineStr">
        <is>
          <t>Support</t>
        </is>
      </c>
      <c r="C120" s="75" t="inlineStr">
        <is>
          <t>A3</t>
        </is>
      </c>
      <c r="D120" s="29" t="inlineStr">
        <is>
          <t>Band A · Practitioner</t>
        </is>
      </c>
      <c r="E120" s="29" t="inlineStr">
        <is>
          <t>Senior Support Executive</t>
        </is>
      </c>
      <c r="F120" s="29" t="inlineStr">
        <is>
          <t>Band A · all tracks</t>
        </is>
      </c>
      <c r="G120" s="29" t="inlineStr">
        <is>
          <t>Customer Success &amp; Support</t>
        </is>
      </c>
      <c r="H120" s="29" t="n">
        <v>5</v>
      </c>
      <c r="I120" s="29" t="inlineStr">
        <is>
          <t>Chandra Sekhar Sahu, Ravindra Kanojiya, Pritam Kadam, Shruti Samant, Sweety Mukherjee</t>
        </is>
      </c>
      <c r="J120" s="34" t="str">
        <f>IFERROR(INDEX(RBD_C,MATCH("Customer Success &amp; Support|A3|A",RBD_KEY,0)),"M")</f>
        <v>H</v>
      </c>
      <c r="K120" s="35" t="str">
        <f>IFERROR(INDEX(RBD_Au,MATCH("Customer Success &amp; Support|A3|A",RBD_KEY,0)),"M")</f>
        <v>M</v>
      </c>
      <c r="L120" s="35" t="str">
        <f>IFERROR(INDEX(RBD_Ac,MATCH("Customer Success &amp; Support|A3|A",RBD_KEY,0)),"M")</f>
        <v>M</v>
      </c>
      <c r="M120" s="35" t="str">
        <f>IFERROR(INDEX(RBD_L,MATCH("Customer Success &amp; Support|A3|A",RBD_KEY,0)),"M")</f>
        <v>L</v>
      </c>
      <c r="N120" s="35" t="str">
        <f>IFERROR(INDEX(RBD_BI,MATCH("Customer Success &amp; Support|A3|A",RBD_KEY,0)),"M")</f>
        <v>M</v>
      </c>
      <c r="O120" s="35" t="str">
        <f>IFERROR(INDEX(RBD_Exp,MATCH("Customer Success &amp; Support|A3|A",RBD_KEY,0)),"M")</f>
        <v>L</v>
      </c>
      <c r="P120" s="35" t="str">
        <f>IFERROR(INDEX(RBD_Edu,MATCH("Customer Success &amp; Support|A3|A",RBD_KEY,0)),"M")</f>
        <v>L</v>
      </c>
      <c r="Q120" s="73">
        <f>IF(J120="","",IFERROR(INDEX(LMH_PTS,MATCH(J120,LMH_KEY,0))/SUM(IFERROR(INDEX(LMH_PTS,MATCH(J120,LMH_KEY,0)),0),IFERROR(INDEX(LMH_PTS,MATCH(K120,LMH_KEY,0)),0),IFERROR(INDEX(LMH_PTS,MATCH(L120,LMH_KEY,0)),0),IFERROR(INDEX(LMH_PTS,MATCH(M120,LMH_KEY,0)),0),IFERROR(INDEX(LMH_PTS,MATCH(N120,LMH_KEY,0)),0),IFERROR(INDEX(LMH_PTS,MATCH(O120,LMH_KEY,0)),0),IFERROR(INDEX(LMH_PTS,MATCH(P120,LMH_KEY,0)),0)),""))</f>
        <v>0.428571428571429</v>
      </c>
      <c r="R120" s="74">
        <f>IF(K120="","",IFERROR(INDEX(LMH_PTS,MATCH(K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S120" s="74">
        <f>IF(L120="","",IFERROR(INDEX(LMH_PTS,MATCH(L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T120" s="74">
        <f>IF(M120="","",IFERROR(INDEX(LMH_PTS,MATCH(M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U120" s="74">
        <f>IF(N120="","",IFERROR(INDEX(LMH_PTS,MATCH(N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V120" s="74">
        <f>IF(O120="","",IFERROR(INDEX(LMH_PTS,MATCH(O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W120" s="74">
        <f>IF(P120="","",IFERROR(INDEX(LMH_PTS,MATCH(P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X120" s="44" t="n"/>
      <c r="Y120" s="38" t="inlineStr">
        <is>
          <t>CARBON|Support|Senior Support Executive|A3|A</t>
        </is>
      </c>
    </row>
    <row r="121" ht="40.5" customHeight="1">
      <c r="A121" s="28" t="inlineStr">
        <is>
          <t>CARBON</t>
        </is>
      </c>
      <c r="B121" s="29" t="inlineStr">
        <is>
          <t>Support</t>
        </is>
      </c>
      <c r="C121" s="76" t="inlineStr">
        <is>
          <t>X1</t>
        </is>
      </c>
      <c r="D121" s="29" t="inlineStr">
        <is>
          <t>Band X · Consultant</t>
        </is>
      </c>
      <c r="E121" s="29" t="inlineStr">
        <is>
          <t>Associate Consultant – Customer Success &amp; Account Management</t>
        </is>
      </c>
      <c r="F121" s="29" t="inlineStr">
        <is>
          <t>Consultant</t>
        </is>
      </c>
      <c r="G121" s="29" t="inlineStr">
        <is>
          <t>Customer Success &amp; Support</t>
        </is>
      </c>
      <c r="H121" s="29" t="n">
        <v>1</v>
      </c>
      <c r="I121" s="29" t="inlineStr">
        <is>
          <t>Kanika Jain</t>
        </is>
      </c>
      <c r="J121" s="34" t="n"/>
      <c r="K121" s="35" t="n"/>
      <c r="L121" s="35" t="n"/>
      <c r="M121" s="35" t="n"/>
      <c r="N121" s="35" t="n"/>
      <c r="O121" s="35" t="n"/>
      <c r="P121" s="35" t="n"/>
      <c r="Q121" s="73" t="str">
        <f>IF(J121="","",IFERROR(INDEX(LMH_PTS,MATCH(J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R121" s="74" t="str">
        <f>IF(K121="","",IFERROR(INDEX(LMH_PTS,MATCH(K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S121" s="74" t="str">
        <f>IF(L121="","",IFERROR(INDEX(LMH_PTS,MATCH(L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T121" s="74" t="str">
        <f>IF(M121="","",IFERROR(INDEX(LMH_PTS,MATCH(M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U121" s="74" t="str">
        <f>IF(N121="","",IFERROR(INDEX(LMH_PTS,MATCH(N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V121" s="74" t="str">
        <f>IF(O121="","",IFERROR(INDEX(LMH_PTS,MATCH(O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W121" s="74" t="str">
        <f>IF(P121="","",IFERROR(INDEX(LMH_PTS,MATCH(P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X121" s="44" t="n"/>
      <c r="Y121" s="38" t="inlineStr">
        <is>
          <t>CARBON|Support|Associate Consultant – Customer Success &amp; Account Management|X1|X</t>
        </is>
      </c>
    </row>
    <row r="122" ht="18" customHeight="1">
      <c r="A122" s="28" t="inlineStr">
        <is>
          <t>CARBON</t>
        </is>
      </c>
      <c r="B122" s="71" t="inlineStr">
        <is>
          <t>Technology</t>
        </is>
      </c>
      <c r="C122" s="78" t="inlineStr">
        <is>
          <t>C2</t>
        </is>
      </c>
      <c r="D122" s="29" t="inlineStr">
        <is>
          <t>Band C · Principal / Head</t>
        </is>
      </c>
      <c r="E122" s="29" t="inlineStr">
        <is>
          <t>Head – Product Engineering</t>
        </is>
      </c>
      <c r="F122" s="29" t="inlineStr">
        <is>
          <t>Band C · Head / manager</t>
        </is>
      </c>
      <c r="G122" s="29" t="inlineStr">
        <is>
          <t>Executive Leadership</t>
        </is>
      </c>
      <c r="H122" s="29" t="n">
        <v>1</v>
      </c>
      <c r="I122" s="29" t="inlineStr">
        <is>
          <t>Ashish Singhvi</t>
        </is>
      </c>
      <c r="J122" s="34" t="str">
        <f>IFERROR(INDEX(RBD_C,MATCH("Executive Leadership|C2|C-M",RBD_KEY,0)),"M")</f>
        <v>H</v>
      </c>
      <c r="K122" s="35" t="str">
        <f>IFERROR(INDEX(RBD_Au,MATCH("Executive Leadership|C2|C-M",RBD_KEY,0)),"M")</f>
        <v>M</v>
      </c>
      <c r="L122" s="35" t="str">
        <f>IFERROR(INDEX(RBD_Ac,MATCH("Executive Leadership|C2|C-M",RBD_KEY,0)),"M")</f>
        <v>M</v>
      </c>
      <c r="M122" s="35" t="str">
        <f>IFERROR(INDEX(RBD_L,MATCH("Executive Leadership|C2|C-M",RBD_KEY,0)),"M")</f>
        <v>M</v>
      </c>
      <c r="N122" s="35" t="str">
        <f>IFERROR(INDEX(RBD_BI,MATCH("Executive Leadership|C2|C-M",RBD_KEY,0)),"M")</f>
        <v>L</v>
      </c>
      <c r="O122" s="35" t="str">
        <f>IFERROR(INDEX(RBD_Exp,MATCH("Executive Leadership|C2|C-M",RBD_KEY,0)),"M")</f>
        <v>L</v>
      </c>
      <c r="P122" s="35" t="str">
        <f>IFERROR(INDEX(RBD_Edu,MATCH("Executive Leadership|C2|C-M",RBD_KEY,0)),"M")</f>
        <v>L</v>
      </c>
      <c r="Q122" s="73">
        <f>IF(J122="","",IFERROR(INDEX(LMH_PTS,MATCH(J122,LMH_KEY,0))/SUM(IFERROR(INDEX(LMH_PTS,MATCH(J122,LMH_KEY,0)),0),IFERROR(INDEX(LMH_PTS,MATCH(K122,LMH_KEY,0)),0),IFERROR(INDEX(LMH_PTS,MATCH(L122,LMH_KEY,0)),0),IFERROR(INDEX(LMH_PTS,MATCH(M122,LMH_KEY,0)),0),IFERROR(INDEX(LMH_PTS,MATCH(N122,LMH_KEY,0)),0),IFERROR(INDEX(LMH_PTS,MATCH(O122,LMH_KEY,0)),0),IFERROR(INDEX(LMH_PTS,MATCH(P122,LMH_KEY,0)),0)),""))</f>
        <v>0.428571428571429</v>
      </c>
      <c r="R122" s="74">
        <f>IF(K122="","",IFERROR(INDEX(LMH_PTS,MATCH(K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S122" s="74">
        <f>IF(L122="","",IFERROR(INDEX(LMH_PTS,MATCH(L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T122" s="74">
        <f>IF(M122="","",IFERROR(INDEX(LMH_PTS,MATCH(M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U122" s="74">
        <f>IF(N122="","",IFERROR(INDEX(LMH_PTS,MATCH(N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V122" s="74">
        <f>IF(O122="","",IFERROR(INDEX(LMH_PTS,MATCH(O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W122" s="74">
        <f>IF(P122="","",IFERROR(INDEX(LMH_PTS,MATCH(P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X122" s="44" t="n"/>
      <c r="Y122" s="38" t="inlineStr">
        <is>
          <t>CARBON|Technology|Head – Product Engineering|C2|C-M</t>
        </is>
      </c>
    </row>
    <row r="123" ht="18" customHeight="1">
      <c r="A123" s="28" t="inlineStr">
        <is>
          <t>CARBON</t>
        </is>
      </c>
      <c r="B123" s="29" t="inlineStr">
        <is>
          <t>Technology</t>
        </is>
      </c>
      <c r="C123" s="72" t="inlineStr">
        <is>
          <t>B3</t>
        </is>
      </c>
      <c r="D123" s="29" t="inlineStr">
        <is>
          <t>Band B · Specialist / Manager</t>
        </is>
      </c>
      <c r="E123" s="29" t="inlineStr">
        <is>
          <t>Senior Engineering Manager</t>
        </is>
      </c>
      <c r="F123" s="29" t="inlineStr">
        <is>
          <t>Band B · People Manager</t>
        </is>
      </c>
      <c r="G123" s="29" t="inlineStr">
        <is>
          <t>Engineering &amp; Development</t>
        </is>
      </c>
      <c r="H123" s="29" t="n">
        <v>1</v>
      </c>
      <c r="I123" s="29" t="inlineStr">
        <is>
          <t>Chetan Kotwal</t>
        </is>
      </c>
      <c r="J123" s="34" t="str">
        <f>IFERROR(INDEX(RBD_C,MATCH("Engineering &amp; Development|B3|B-M",RBD_KEY,0)),"M")</f>
        <v>H</v>
      </c>
      <c r="K123" s="35" t="str">
        <f>IFERROR(INDEX(RBD_Au,MATCH("Engineering &amp; Development|B3|B-M",RBD_KEY,0)),"M")</f>
        <v>M</v>
      </c>
      <c r="L123" s="35" t="str">
        <f>IFERROR(INDEX(RBD_Ac,MATCH("Engineering &amp; Development|B3|B-M",RBD_KEY,0)),"M")</f>
        <v>L</v>
      </c>
      <c r="M123" s="35" t="str">
        <f>IFERROR(INDEX(RBD_L,MATCH("Engineering &amp; Development|B3|B-M",RBD_KEY,0)),"M")</f>
        <v>M</v>
      </c>
      <c r="N123" s="35" t="str">
        <f>IFERROR(INDEX(RBD_BI,MATCH("Engineering &amp; Development|B3|B-M",RBD_KEY,0)),"M")</f>
        <v>L</v>
      </c>
      <c r="O123" s="35" t="str">
        <f>IFERROR(INDEX(RBD_Exp,MATCH("Engineering &amp; Development|B3|B-M",RBD_KEY,0)),"M")</f>
        <v>L</v>
      </c>
      <c r="P123" s="35" t="str">
        <f>IFERROR(INDEX(RBD_Edu,MATCH("Engineering &amp; Development|B3|B-M",RBD_KEY,0)),"M")</f>
        <v>L</v>
      </c>
      <c r="Q123" s="73">
        <f>IF(J123="","",IFERROR(INDEX(LMH_PTS,MATCH(J123,LMH_KEY,0))/SUM(IFERROR(INDEX(LMH_PTS,MATCH(J123,LMH_KEY,0)),0),IFERROR(INDEX(LMH_PTS,MATCH(K123,LMH_KEY,0)),0),IFERROR(INDEX(LMH_PTS,MATCH(L123,LMH_KEY,0)),0),IFERROR(INDEX(LMH_PTS,MATCH(M123,LMH_KEY,0)),0),IFERROR(INDEX(LMH_PTS,MATCH(N123,LMH_KEY,0)),0),IFERROR(INDEX(LMH_PTS,MATCH(O123,LMH_KEY,0)),0),IFERROR(INDEX(LMH_PTS,MATCH(P123,LMH_KEY,0)),0)),""))</f>
        <v>0.473684210526316</v>
      </c>
      <c r="R123" s="74">
        <f>IF(K123="","",IFERROR(INDEX(LMH_PTS,MATCH(K123,LMH_KEY,0))/SUM(IFERROR(INDEX(LMH_PTS,MATCH(J123,LMH_KEY,0)),0),IFERROR(INDEX(LMH_PTS,MATCH(K123,LMH_KEY,0)),0),IFERROR(INDEX(LMH_PTS,MATCH(L123,LMH_KEY,0)),0),IFERROR(INDEX(LMH_PTS,MATCH(M123,LMH_KEY,0)),0),IFERROR(INDEX(LMH_PTS,MATCH(N123,LMH_KEY,0)),0),IFERROR(INDEX(LMH_PTS,MATCH(O123,LMH_KEY,0)),0),IFERROR(INDEX(LMH_PTS,MATCH(P123,LMH_KEY,0)),0)),""))</f>
        <v>0.157894736842105</v>
      </c>
      <c r="S123" s="74">
        <f>IF(L123="","",IFERROR(INDEX(LMH_PTS,MATCH(L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T123" s="74">
        <f>IF(M123="","",IFERROR(INDEX(LMH_PTS,MATCH(M123,LMH_KEY,0))/SUM(IFERROR(INDEX(LMH_PTS,MATCH(J123,LMH_KEY,0)),0),IFERROR(INDEX(LMH_PTS,MATCH(K123,LMH_KEY,0)),0),IFERROR(INDEX(LMH_PTS,MATCH(L123,LMH_KEY,0)),0),IFERROR(INDEX(LMH_PTS,MATCH(M123,LMH_KEY,0)),0),IFERROR(INDEX(LMH_PTS,MATCH(N123,LMH_KEY,0)),0),IFERROR(INDEX(LMH_PTS,MATCH(O123,LMH_KEY,0)),0),IFERROR(INDEX(LMH_PTS,MATCH(P123,LMH_KEY,0)),0)),""))</f>
        <v>0.157894736842105</v>
      </c>
      <c r="U123" s="74">
        <f>IF(N123="","",IFERROR(INDEX(LMH_PTS,MATCH(N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V123" s="74">
        <f>IF(O123="","",IFERROR(INDEX(LMH_PTS,MATCH(O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W123" s="74">
        <f>IF(P123="","",IFERROR(INDEX(LMH_PTS,MATCH(P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X123" s="44" t="n"/>
      <c r="Y123" s="38" t="inlineStr">
        <is>
          <t>CARBON|Technology|Senior Engineering Manager|B3|B-M</t>
        </is>
      </c>
    </row>
    <row r="124" ht="28" customHeight="1">
      <c r="A124" s="28" t="inlineStr">
        <is>
          <t>CARBON</t>
        </is>
      </c>
      <c r="B124" s="29" t="inlineStr">
        <is>
          <t>Technology</t>
        </is>
      </c>
      <c r="C124" s="72" t="inlineStr">
        <is>
          <t>B2</t>
        </is>
      </c>
      <c r="D124" s="29" t="inlineStr">
        <is>
          <t>Band B · Specialist / Manager</t>
        </is>
      </c>
      <c r="E124" s="29" t="inlineStr">
        <is>
          <t>Lead Software Engineer – POD Lead</t>
        </is>
      </c>
      <c r="F124" s="29" t="inlineStr">
        <is>
          <t>Band B · Specialist / POD Lead</t>
        </is>
      </c>
      <c r="G124" s="29" t="inlineStr">
        <is>
          <t>Engineering &amp; Development</t>
        </is>
      </c>
      <c r="H124" s="29" t="n">
        <v>2</v>
      </c>
      <c r="I124" s="29" t="inlineStr">
        <is>
          <t>Dhiraj Suryawanshi, Sarfaraz Badi</t>
        </is>
      </c>
      <c r="J124" s="34" t="str">
        <f>IFERROR(INDEX(RBD_C,MATCH("Engineering &amp; Development|B2|B-IC",RBD_KEY,0)),"M")</f>
        <v>H</v>
      </c>
      <c r="K124" s="35" t="str">
        <f>IFERROR(INDEX(RBD_Au,MATCH("Engineering &amp; Development|B2|B-IC",RBD_KEY,0)),"M")</f>
        <v>M</v>
      </c>
      <c r="L124" s="35" t="str">
        <f>IFERROR(INDEX(RBD_Ac,MATCH("Engineering &amp; Development|B2|B-IC",RBD_KEY,0)),"M")</f>
        <v>L</v>
      </c>
      <c r="M124" s="35" t="str">
        <f>IFERROR(INDEX(RBD_L,MATCH("Engineering &amp; Development|B2|B-IC",RBD_KEY,0)),"M")</f>
        <v>L</v>
      </c>
      <c r="N124" s="35" t="str">
        <f>IFERROR(INDEX(RBD_BI,MATCH("Engineering &amp; Development|B2|B-IC",RBD_KEY,0)),"M")</f>
        <v>L</v>
      </c>
      <c r="O124" s="35" t="str">
        <f>IFERROR(INDEX(RBD_Exp,MATCH("Engineering &amp; Development|B2|B-IC",RBD_KEY,0)),"M")</f>
        <v>L</v>
      </c>
      <c r="P124" s="35" t="str">
        <f>IFERROR(INDEX(RBD_Edu,MATCH("Engineering &amp; Development|B2|B-IC",RBD_KEY,0)),"M")</f>
        <v>L</v>
      </c>
      <c r="Q124" s="73">
        <f>IF(J124="","",IFERROR(INDEX(LMH_PTS,MATCH(J124,LMH_KEY,0))/SUM(IFERROR(INDEX(LMH_PTS,MATCH(J124,LMH_KEY,0)),0),IFERROR(INDEX(LMH_PTS,MATCH(K124,LMH_KEY,0)),0),IFERROR(INDEX(LMH_PTS,MATCH(L124,LMH_KEY,0)),0),IFERROR(INDEX(LMH_PTS,MATCH(M124,LMH_KEY,0)),0),IFERROR(INDEX(LMH_PTS,MATCH(N124,LMH_KEY,0)),0),IFERROR(INDEX(LMH_PTS,MATCH(O124,LMH_KEY,0)),0),IFERROR(INDEX(LMH_PTS,MATCH(P124,LMH_KEY,0)),0)),""))</f>
        <v>0.529411764705882</v>
      </c>
      <c r="R124" s="74">
        <f>IF(K124="","",IFERROR(INDEX(LMH_PTS,MATCH(K124,LMH_KEY,0))/SUM(IFERROR(INDEX(LMH_PTS,MATCH(J124,LMH_KEY,0)),0),IFERROR(INDEX(LMH_PTS,MATCH(K124,LMH_KEY,0)),0),IFERROR(INDEX(LMH_PTS,MATCH(L124,LMH_KEY,0)),0),IFERROR(INDEX(LMH_PTS,MATCH(M124,LMH_KEY,0)),0),IFERROR(INDEX(LMH_PTS,MATCH(N124,LMH_KEY,0)),0),IFERROR(INDEX(LMH_PTS,MATCH(O124,LMH_KEY,0)),0),IFERROR(INDEX(LMH_PTS,MATCH(P124,LMH_KEY,0)),0)),""))</f>
        <v>0.176470588235294</v>
      </c>
      <c r="S124" s="74">
        <f>IF(L124="","",IFERROR(INDEX(LMH_PTS,MATCH(L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T124" s="74">
        <f>IF(M124="","",IFERROR(INDEX(LMH_PTS,MATCH(M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U124" s="74">
        <f>IF(N124="","",IFERROR(INDEX(LMH_PTS,MATCH(N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V124" s="74">
        <f>IF(O124="","",IFERROR(INDEX(LMH_PTS,MATCH(O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W124" s="74">
        <f>IF(P124="","",IFERROR(INDEX(LMH_PTS,MATCH(P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X124" s="44" t="n"/>
      <c r="Y124" s="38" t="inlineStr">
        <is>
          <t>CARBON|Technology|Lead Software Engineer – POD Lead|B2|B-IC</t>
        </is>
      </c>
    </row>
    <row r="125" ht="18" customHeight="1">
      <c r="A125" s="28" t="inlineStr">
        <is>
          <t>CARBON</t>
        </is>
      </c>
      <c r="B125" s="29" t="inlineStr">
        <is>
          <t>Technology</t>
        </is>
      </c>
      <c r="C125" s="72" t="inlineStr">
        <is>
          <t>B2</t>
        </is>
      </c>
      <c r="D125" s="29" t="inlineStr">
        <is>
          <t>Band B · Specialist / Manager</t>
        </is>
      </c>
      <c r="E125" s="29" t="inlineStr">
        <is>
          <t>Project Manager</t>
        </is>
      </c>
      <c r="F125" s="29" t="inlineStr">
        <is>
          <t>Band B · Specialist / POD Lead</t>
        </is>
      </c>
      <c r="G125" s="29" t="inlineStr">
        <is>
          <t>Project &amp; Program Management</t>
        </is>
      </c>
      <c r="H125" s="29" t="n">
        <v>1</v>
      </c>
      <c r="I125" s="29" t="inlineStr">
        <is>
          <t>Aaron Michael</t>
        </is>
      </c>
      <c r="J125" s="34" t="str">
        <f>IFERROR(INDEX(RBD_C,MATCH("Project &amp; Program Management|B2|B-IC",RBD_KEY,0)),"M")</f>
        <v>H</v>
      </c>
      <c r="K125" s="35" t="str">
        <f>IFERROR(INDEX(RBD_Au,MATCH("Project &amp; Program Management|B2|B-IC",RBD_KEY,0)),"M")</f>
        <v>M</v>
      </c>
      <c r="L125" s="35" t="str">
        <f>IFERROR(INDEX(RBD_Ac,MATCH("Project &amp; Program Management|B2|B-IC",RBD_KEY,0)),"M")</f>
        <v>L</v>
      </c>
      <c r="M125" s="35" t="str">
        <f>IFERROR(INDEX(RBD_L,MATCH("Project &amp; Program Management|B2|B-IC",RBD_KEY,0)),"M")</f>
        <v>L</v>
      </c>
      <c r="N125" s="35" t="str">
        <f>IFERROR(INDEX(RBD_BI,MATCH("Project &amp; Program Management|B2|B-IC",RBD_KEY,0)),"M")</f>
        <v>L</v>
      </c>
      <c r="O125" s="35" t="str">
        <f>IFERROR(INDEX(RBD_Exp,MATCH("Project &amp; Program Management|B2|B-IC",RBD_KEY,0)),"M")</f>
        <v>L</v>
      </c>
      <c r="P125" s="35" t="str">
        <f>IFERROR(INDEX(RBD_Edu,MATCH("Project &amp; Program Management|B2|B-IC",RBD_KEY,0)),"M")</f>
        <v>L</v>
      </c>
      <c r="Q125" s="73">
        <f>IF(J125="","",IFERROR(INDEX(LMH_PTS,MATCH(J125,LMH_KEY,0))/SUM(IFERROR(INDEX(LMH_PTS,MATCH(J125,LMH_KEY,0)),0),IFERROR(INDEX(LMH_PTS,MATCH(K125,LMH_KEY,0)),0),IFERROR(INDEX(LMH_PTS,MATCH(L125,LMH_KEY,0)),0),IFERROR(INDEX(LMH_PTS,MATCH(M125,LMH_KEY,0)),0),IFERROR(INDEX(LMH_PTS,MATCH(N125,LMH_KEY,0)),0),IFERROR(INDEX(LMH_PTS,MATCH(O125,LMH_KEY,0)),0),IFERROR(INDEX(LMH_PTS,MATCH(P125,LMH_KEY,0)),0)),""))</f>
        <v>0.529411764705882</v>
      </c>
      <c r="R125" s="74">
        <f>IF(K125="","",IFERROR(INDEX(LMH_PTS,MATCH(K125,LMH_KEY,0))/SUM(IFERROR(INDEX(LMH_PTS,MATCH(J125,LMH_KEY,0)),0),IFERROR(INDEX(LMH_PTS,MATCH(K125,LMH_KEY,0)),0),IFERROR(INDEX(LMH_PTS,MATCH(L125,LMH_KEY,0)),0),IFERROR(INDEX(LMH_PTS,MATCH(M125,LMH_KEY,0)),0),IFERROR(INDEX(LMH_PTS,MATCH(N125,LMH_KEY,0)),0),IFERROR(INDEX(LMH_PTS,MATCH(O125,LMH_KEY,0)),0),IFERROR(INDEX(LMH_PTS,MATCH(P125,LMH_KEY,0)),0)),""))</f>
        <v>0.176470588235294</v>
      </c>
      <c r="S125" s="74">
        <f>IF(L125="","",IFERROR(INDEX(LMH_PTS,MATCH(L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T125" s="74">
        <f>IF(M125="","",IFERROR(INDEX(LMH_PTS,MATCH(M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U125" s="74">
        <f>IF(N125="","",IFERROR(INDEX(LMH_PTS,MATCH(N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V125" s="74">
        <f>IF(O125="","",IFERROR(INDEX(LMH_PTS,MATCH(O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W125" s="74">
        <f>IF(P125="","",IFERROR(INDEX(LMH_PTS,MATCH(P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X125" s="44" t="n"/>
      <c r="Y125" s="38" t="inlineStr">
        <is>
          <t>CARBON|Technology|Project Manager|B2|B-IC</t>
        </is>
      </c>
    </row>
    <row r="126" ht="28" customHeight="1">
      <c r="A126" s="28" t="inlineStr">
        <is>
          <t>CARBON</t>
        </is>
      </c>
      <c r="B126" s="29" t="inlineStr">
        <is>
          <t>Technology</t>
        </is>
      </c>
      <c r="C126" s="72" t="inlineStr">
        <is>
          <t>B2</t>
        </is>
      </c>
      <c r="D126" s="29" t="inlineStr">
        <is>
          <t>Band B · Specialist / Manager</t>
        </is>
      </c>
      <c r="E126" s="29" t="inlineStr">
        <is>
          <t>Senior Business Analysis Specialist – POD Lead</t>
        </is>
      </c>
      <c r="F126" s="29" t="inlineStr">
        <is>
          <t>Band B · Specialist / POD Lead</t>
        </is>
      </c>
      <c r="G126" s="29" t="inlineStr">
        <is>
          <t>Business Analysis</t>
        </is>
      </c>
      <c r="H126" s="29" t="n">
        <v>1</v>
      </c>
      <c r="I126" s="29" t="inlineStr">
        <is>
          <t>Prasad Shirke</t>
        </is>
      </c>
      <c r="J126" s="34" t="str">
        <f>IFERROR(INDEX(RBD_C,MATCH("Business Analysis|B2|B-IC",RBD_KEY,0)),"M")</f>
        <v>H</v>
      </c>
      <c r="K126" s="35" t="str">
        <f>IFERROR(INDEX(RBD_Au,MATCH("Business Analysis|B2|B-IC",RBD_KEY,0)),"M")</f>
        <v>M</v>
      </c>
      <c r="L126" s="35" t="str">
        <f>IFERROR(INDEX(RBD_Ac,MATCH("Business Analysis|B2|B-IC",RBD_KEY,0)),"M")</f>
        <v>L</v>
      </c>
      <c r="M126" s="35" t="str">
        <f>IFERROR(INDEX(RBD_L,MATCH("Business Analysis|B2|B-IC",RBD_KEY,0)),"M")</f>
        <v>L</v>
      </c>
      <c r="N126" s="35" t="str">
        <f>IFERROR(INDEX(RBD_BI,MATCH("Business Analysis|B2|B-IC",RBD_KEY,0)),"M")</f>
        <v>L</v>
      </c>
      <c r="O126" s="35" t="str">
        <f>IFERROR(INDEX(RBD_Exp,MATCH("Business Analysis|B2|B-IC",RBD_KEY,0)),"M")</f>
        <v>L</v>
      </c>
      <c r="P126" s="35" t="str">
        <f>IFERROR(INDEX(RBD_Edu,MATCH("Business Analysis|B2|B-IC",RBD_KEY,0)),"M")</f>
        <v>L</v>
      </c>
      <c r="Q126" s="73">
        <f>IF(J126="","",IFERROR(INDEX(LMH_PTS,MATCH(J126,LMH_KEY,0))/SUM(IFERROR(INDEX(LMH_PTS,MATCH(J126,LMH_KEY,0)),0),IFERROR(INDEX(LMH_PTS,MATCH(K126,LMH_KEY,0)),0),IFERROR(INDEX(LMH_PTS,MATCH(L126,LMH_KEY,0)),0),IFERROR(INDEX(LMH_PTS,MATCH(M126,LMH_KEY,0)),0),IFERROR(INDEX(LMH_PTS,MATCH(N126,LMH_KEY,0)),0),IFERROR(INDEX(LMH_PTS,MATCH(O126,LMH_KEY,0)),0),IFERROR(INDEX(LMH_PTS,MATCH(P126,LMH_KEY,0)),0)),""))</f>
        <v>0.529411764705882</v>
      </c>
      <c r="R126" s="74">
        <f>IF(K126="","",IFERROR(INDEX(LMH_PTS,MATCH(K126,LMH_KEY,0))/SUM(IFERROR(INDEX(LMH_PTS,MATCH(J126,LMH_KEY,0)),0),IFERROR(INDEX(LMH_PTS,MATCH(K126,LMH_KEY,0)),0),IFERROR(INDEX(LMH_PTS,MATCH(L126,LMH_KEY,0)),0),IFERROR(INDEX(LMH_PTS,MATCH(M126,LMH_KEY,0)),0),IFERROR(INDEX(LMH_PTS,MATCH(N126,LMH_KEY,0)),0),IFERROR(INDEX(LMH_PTS,MATCH(O126,LMH_KEY,0)),0),IFERROR(INDEX(LMH_PTS,MATCH(P126,LMH_KEY,0)),0)),""))</f>
        <v>0.176470588235294</v>
      </c>
      <c r="S126" s="74">
        <f>IF(L126="","",IFERROR(INDEX(LMH_PTS,MATCH(L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T126" s="74">
        <f>IF(M126="","",IFERROR(INDEX(LMH_PTS,MATCH(M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U126" s="74">
        <f>IF(N126="","",IFERROR(INDEX(LMH_PTS,MATCH(N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V126" s="74">
        <f>IF(O126="","",IFERROR(INDEX(LMH_PTS,MATCH(O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W126" s="74">
        <f>IF(P126="","",IFERROR(INDEX(LMH_PTS,MATCH(P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X126" s="44" t="n"/>
      <c r="Y126" s="38" t="inlineStr">
        <is>
          <t>CARBON|Technology|Senior Business Analysis Specialist – POD Lead|B2|B-IC</t>
        </is>
      </c>
    </row>
    <row r="127" ht="28" customHeight="1">
      <c r="A127" s="28" t="inlineStr">
        <is>
          <t>CARBON</t>
        </is>
      </c>
      <c r="B127" s="29" t="inlineStr">
        <is>
          <t>Technology</t>
        </is>
      </c>
      <c r="C127" s="72" t="inlineStr">
        <is>
          <t>B2</t>
        </is>
      </c>
      <c r="D127" s="29" t="inlineStr">
        <is>
          <t>Band B · Specialist / Manager</t>
        </is>
      </c>
      <c r="E127" s="29" t="inlineStr">
        <is>
          <t>Senior Technical Specialist – POD Lead</t>
        </is>
      </c>
      <c r="F127" s="29" t="inlineStr">
        <is>
          <t>Band B · Specialist / POD Lead</t>
        </is>
      </c>
      <c r="G127" s="29" t="inlineStr">
        <is>
          <t>Engineering &amp; Development</t>
        </is>
      </c>
      <c r="H127" s="29" t="n">
        <v>1</v>
      </c>
      <c r="I127" s="29" t="inlineStr">
        <is>
          <t>Siddhesh Kadam</t>
        </is>
      </c>
      <c r="J127" s="34" t="str">
        <f>IFERROR(INDEX(RBD_C,MATCH("Engineering &amp; Development|B2|B-IC",RBD_KEY,0)),"M")</f>
        <v>H</v>
      </c>
      <c r="K127" s="35" t="str">
        <f>IFERROR(INDEX(RBD_Au,MATCH("Engineering &amp; Development|B2|B-IC",RBD_KEY,0)),"M")</f>
        <v>M</v>
      </c>
      <c r="L127" s="35" t="str">
        <f>IFERROR(INDEX(RBD_Ac,MATCH("Engineering &amp; Development|B2|B-IC",RBD_KEY,0)),"M")</f>
        <v>L</v>
      </c>
      <c r="M127" s="35" t="str">
        <f>IFERROR(INDEX(RBD_L,MATCH("Engineering &amp; Development|B2|B-IC",RBD_KEY,0)),"M")</f>
        <v>L</v>
      </c>
      <c r="N127" s="35" t="str">
        <f>IFERROR(INDEX(RBD_BI,MATCH("Engineering &amp; Development|B2|B-IC",RBD_KEY,0)),"M")</f>
        <v>L</v>
      </c>
      <c r="O127" s="35" t="str">
        <f>IFERROR(INDEX(RBD_Exp,MATCH("Engineering &amp; Development|B2|B-IC",RBD_KEY,0)),"M")</f>
        <v>L</v>
      </c>
      <c r="P127" s="35" t="str">
        <f>IFERROR(INDEX(RBD_Edu,MATCH("Engineering &amp; Development|B2|B-IC",RBD_KEY,0)),"M")</f>
        <v>L</v>
      </c>
      <c r="Q127" s="73">
        <f>IF(J127="","",IFERROR(INDEX(LMH_PTS,MATCH(J127,LMH_KEY,0))/SUM(IFERROR(INDEX(LMH_PTS,MATCH(J127,LMH_KEY,0)),0),IFERROR(INDEX(LMH_PTS,MATCH(K127,LMH_KEY,0)),0),IFERROR(INDEX(LMH_PTS,MATCH(L127,LMH_KEY,0)),0),IFERROR(INDEX(LMH_PTS,MATCH(M127,LMH_KEY,0)),0),IFERROR(INDEX(LMH_PTS,MATCH(N127,LMH_KEY,0)),0),IFERROR(INDEX(LMH_PTS,MATCH(O127,LMH_KEY,0)),0),IFERROR(INDEX(LMH_PTS,MATCH(P127,LMH_KEY,0)),0)),""))</f>
        <v>0.529411764705882</v>
      </c>
      <c r="R127" s="74">
        <f>IF(K127="","",IFERROR(INDEX(LMH_PTS,MATCH(K127,LMH_KEY,0))/SUM(IFERROR(INDEX(LMH_PTS,MATCH(J127,LMH_KEY,0)),0),IFERROR(INDEX(LMH_PTS,MATCH(K127,LMH_KEY,0)),0),IFERROR(INDEX(LMH_PTS,MATCH(L127,LMH_KEY,0)),0),IFERROR(INDEX(LMH_PTS,MATCH(M127,LMH_KEY,0)),0),IFERROR(INDEX(LMH_PTS,MATCH(N127,LMH_KEY,0)),0),IFERROR(INDEX(LMH_PTS,MATCH(O127,LMH_KEY,0)),0),IFERROR(INDEX(LMH_PTS,MATCH(P127,LMH_KEY,0)),0)),""))</f>
        <v>0.176470588235294</v>
      </c>
      <c r="S127" s="74">
        <f>IF(L127="","",IFERROR(INDEX(LMH_PTS,MATCH(L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T127" s="74">
        <f>IF(M127="","",IFERROR(INDEX(LMH_PTS,MATCH(M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U127" s="74">
        <f>IF(N127="","",IFERROR(INDEX(LMH_PTS,MATCH(N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V127" s="74">
        <f>IF(O127="","",IFERROR(INDEX(LMH_PTS,MATCH(O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W127" s="74">
        <f>IF(P127="","",IFERROR(INDEX(LMH_PTS,MATCH(P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X127" s="44" t="n"/>
      <c r="Y127" s="38" t="inlineStr">
        <is>
          <t>CARBON|Technology|Senior Technical Specialist – POD Lead|B2|B-IC</t>
        </is>
      </c>
    </row>
    <row r="128" ht="18" customHeight="1">
      <c r="A128" s="28" t="inlineStr">
        <is>
          <t>CARBON</t>
        </is>
      </c>
      <c r="B128" s="29" t="inlineStr">
        <is>
          <t>Technology</t>
        </is>
      </c>
      <c r="C128" s="72" t="inlineStr">
        <is>
          <t>B1</t>
        </is>
      </c>
      <c r="D128" s="29" t="inlineStr">
        <is>
          <t>Band B · Specialist / Manager</t>
        </is>
      </c>
      <c r="E128" s="29" t="inlineStr">
        <is>
          <t>AI/ML Specialist – POD Lead</t>
        </is>
      </c>
      <c r="F128" s="29" t="inlineStr">
        <is>
          <t>Band B · Specialist / POD Lead</t>
        </is>
      </c>
      <c r="G128" s="29" t="inlineStr">
        <is>
          <t>Engineering &amp; Development</t>
        </is>
      </c>
      <c r="H128" s="29" t="n">
        <v>1</v>
      </c>
      <c r="I128" s="29" t="inlineStr">
        <is>
          <t>Manasvi Sharma</t>
        </is>
      </c>
      <c r="J128" s="34" t="str">
        <f>IFERROR(INDEX(RBD_C,MATCH("Engineering &amp; Development|B1|B-IC",RBD_KEY,0)),"M")</f>
        <v>H</v>
      </c>
      <c r="K128" s="35" t="str">
        <f>IFERROR(INDEX(RBD_Au,MATCH("Engineering &amp; Development|B1|B-IC",RBD_KEY,0)),"M")</f>
        <v>M</v>
      </c>
      <c r="L128" s="35" t="str">
        <f>IFERROR(INDEX(RBD_Ac,MATCH("Engineering &amp; Development|B1|B-IC",RBD_KEY,0)),"M")</f>
        <v>L</v>
      </c>
      <c r="M128" s="35" t="str">
        <f>IFERROR(INDEX(RBD_L,MATCH("Engineering &amp; Development|B1|B-IC",RBD_KEY,0)),"M")</f>
        <v>L</v>
      </c>
      <c r="N128" s="35" t="str">
        <f>IFERROR(INDEX(RBD_BI,MATCH("Engineering &amp; Development|B1|B-IC",RBD_KEY,0)),"M")</f>
        <v>L</v>
      </c>
      <c r="O128" s="35" t="str">
        <f>IFERROR(INDEX(RBD_Exp,MATCH("Engineering &amp; Development|B1|B-IC",RBD_KEY,0)),"M")</f>
        <v>L</v>
      </c>
      <c r="P128" s="35" t="str">
        <f>IFERROR(INDEX(RBD_Edu,MATCH("Engineering &amp; Development|B1|B-IC",RBD_KEY,0)),"M")</f>
        <v>L</v>
      </c>
      <c r="Q128" s="73">
        <f>IF(J128="","",IFERROR(INDEX(LMH_PTS,MATCH(J128,LMH_KEY,0))/SUM(IFERROR(INDEX(LMH_PTS,MATCH(J128,LMH_KEY,0)),0),IFERROR(INDEX(LMH_PTS,MATCH(K128,LMH_KEY,0)),0),IFERROR(INDEX(LMH_PTS,MATCH(L128,LMH_KEY,0)),0),IFERROR(INDEX(LMH_PTS,MATCH(M128,LMH_KEY,0)),0),IFERROR(INDEX(LMH_PTS,MATCH(N128,LMH_KEY,0)),0),IFERROR(INDEX(LMH_PTS,MATCH(O128,LMH_KEY,0)),0),IFERROR(INDEX(LMH_PTS,MATCH(P128,LMH_KEY,0)),0)),""))</f>
        <v>0.529411764705882</v>
      </c>
      <c r="R128" s="74">
        <f>IF(K128="","",IFERROR(INDEX(LMH_PTS,MATCH(K128,LMH_KEY,0))/SUM(IFERROR(INDEX(LMH_PTS,MATCH(J128,LMH_KEY,0)),0),IFERROR(INDEX(LMH_PTS,MATCH(K128,LMH_KEY,0)),0),IFERROR(INDEX(LMH_PTS,MATCH(L128,LMH_KEY,0)),0),IFERROR(INDEX(LMH_PTS,MATCH(M128,LMH_KEY,0)),0),IFERROR(INDEX(LMH_PTS,MATCH(N128,LMH_KEY,0)),0),IFERROR(INDEX(LMH_PTS,MATCH(O128,LMH_KEY,0)),0),IFERROR(INDEX(LMH_PTS,MATCH(P128,LMH_KEY,0)),0)),""))</f>
        <v>0.176470588235294</v>
      </c>
      <c r="S128" s="74">
        <f>IF(L128="","",IFERROR(INDEX(LMH_PTS,MATCH(L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T128" s="74">
        <f>IF(M128="","",IFERROR(INDEX(LMH_PTS,MATCH(M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U128" s="74">
        <f>IF(N128="","",IFERROR(INDEX(LMH_PTS,MATCH(N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V128" s="74">
        <f>IF(O128="","",IFERROR(INDEX(LMH_PTS,MATCH(O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W128" s="74">
        <f>IF(P128="","",IFERROR(INDEX(LMH_PTS,MATCH(P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X128" s="44" t="n"/>
      <c r="Y128" s="38" t="inlineStr">
        <is>
          <t>CARBON|Technology|AI/ML Specialist – POD Lead|B1|B-IC</t>
        </is>
      </c>
    </row>
    <row r="129" ht="28" customHeight="1">
      <c r="A129" s="28" t="inlineStr">
        <is>
          <t>CARBON</t>
        </is>
      </c>
      <c r="B129" s="29" t="inlineStr">
        <is>
          <t>Technology</t>
        </is>
      </c>
      <c r="C129" s="72" t="inlineStr">
        <is>
          <t>B1</t>
        </is>
      </c>
      <c r="D129" s="29" t="inlineStr">
        <is>
          <t>Band B · Specialist / Manager</t>
        </is>
      </c>
      <c r="E129" s="29" t="inlineStr">
        <is>
          <t>Business Analysis Specialist</t>
        </is>
      </c>
      <c r="F129" s="29" t="inlineStr">
        <is>
          <t>Band B · Specialist / POD Lead</t>
        </is>
      </c>
      <c r="G129" s="29" t="inlineStr">
        <is>
          <t>Business Analysis</t>
        </is>
      </c>
      <c r="H129" s="29" t="n">
        <v>1</v>
      </c>
      <c r="I129" s="29" t="inlineStr">
        <is>
          <t>Dhaval Lotwala</t>
        </is>
      </c>
      <c r="J129" s="34" t="str">
        <f>IFERROR(INDEX(RBD_C,MATCH("Business Analysis|B1|B-IC",RBD_KEY,0)),"M")</f>
        <v>H</v>
      </c>
      <c r="K129" s="35" t="str">
        <f>IFERROR(INDEX(RBD_Au,MATCH("Business Analysis|B1|B-IC",RBD_KEY,0)),"M")</f>
        <v>M</v>
      </c>
      <c r="L129" s="35" t="str">
        <f>IFERROR(INDEX(RBD_Ac,MATCH("Business Analysis|B1|B-IC",RBD_KEY,0)),"M")</f>
        <v>L</v>
      </c>
      <c r="M129" s="35" t="str">
        <f>IFERROR(INDEX(RBD_L,MATCH("Business Analysis|B1|B-IC",RBD_KEY,0)),"M")</f>
        <v>L</v>
      </c>
      <c r="N129" s="35" t="str">
        <f>IFERROR(INDEX(RBD_BI,MATCH("Business Analysis|B1|B-IC",RBD_KEY,0)),"M")</f>
        <v>L</v>
      </c>
      <c r="O129" s="35" t="str">
        <f>IFERROR(INDEX(RBD_Exp,MATCH("Business Analysis|B1|B-IC",RBD_KEY,0)),"M")</f>
        <v>L</v>
      </c>
      <c r="P129" s="35" t="str">
        <f>IFERROR(INDEX(RBD_Edu,MATCH("Business Analysis|B1|B-IC",RBD_KEY,0)),"M")</f>
        <v>L</v>
      </c>
      <c r="Q129" s="73">
        <f>IF(J129="","",IFERROR(INDEX(LMH_PTS,MATCH(J129,LMH_KEY,0))/SUM(IFERROR(INDEX(LMH_PTS,MATCH(J129,LMH_KEY,0)),0),IFERROR(INDEX(LMH_PTS,MATCH(K129,LMH_KEY,0)),0),IFERROR(INDEX(LMH_PTS,MATCH(L129,LMH_KEY,0)),0),IFERROR(INDEX(LMH_PTS,MATCH(M129,LMH_KEY,0)),0),IFERROR(INDEX(LMH_PTS,MATCH(N129,LMH_KEY,0)),0),IFERROR(INDEX(LMH_PTS,MATCH(O129,LMH_KEY,0)),0),IFERROR(INDEX(LMH_PTS,MATCH(P129,LMH_KEY,0)),0)),""))</f>
        <v>0.529411764705882</v>
      </c>
      <c r="R129" s="74">
        <f>IF(K129="","",IFERROR(INDEX(LMH_PTS,MATCH(K129,LMH_KEY,0))/SUM(IFERROR(INDEX(LMH_PTS,MATCH(J129,LMH_KEY,0)),0),IFERROR(INDEX(LMH_PTS,MATCH(K129,LMH_KEY,0)),0),IFERROR(INDEX(LMH_PTS,MATCH(L129,LMH_KEY,0)),0),IFERROR(INDEX(LMH_PTS,MATCH(M129,LMH_KEY,0)),0),IFERROR(INDEX(LMH_PTS,MATCH(N129,LMH_KEY,0)),0),IFERROR(INDEX(LMH_PTS,MATCH(O129,LMH_KEY,0)),0),IFERROR(INDEX(LMH_PTS,MATCH(P129,LMH_KEY,0)),0)),""))</f>
        <v>0.176470588235294</v>
      </c>
      <c r="S129" s="74">
        <f>IF(L129="","",IFERROR(INDEX(LMH_PTS,MATCH(L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T129" s="74">
        <f>IF(M129="","",IFERROR(INDEX(LMH_PTS,MATCH(M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U129" s="74">
        <f>IF(N129="","",IFERROR(INDEX(LMH_PTS,MATCH(N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V129" s="74">
        <f>IF(O129="","",IFERROR(INDEX(LMH_PTS,MATCH(O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W129" s="74">
        <f>IF(P129="","",IFERROR(INDEX(LMH_PTS,MATCH(P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X129" s="44" t="n"/>
      <c r="Y129" s="38" t="inlineStr">
        <is>
          <t>CARBON|Technology|Business Analysis Specialist|B1|B-IC</t>
        </is>
      </c>
    </row>
    <row r="130" ht="18" customHeight="1">
      <c r="A130" s="28" t="inlineStr">
        <is>
          <t>CARBON</t>
        </is>
      </c>
      <c r="B130" s="29" t="inlineStr">
        <is>
          <t>Technology</t>
        </is>
      </c>
      <c r="C130" s="72" t="inlineStr">
        <is>
          <t>B1</t>
        </is>
      </c>
      <c r="D130" s="29" t="inlineStr">
        <is>
          <t>Band B · Specialist / Manager</t>
        </is>
      </c>
      <c r="E130" s="29" t="inlineStr">
        <is>
          <t>Senior AI/ML Engineer</t>
        </is>
      </c>
      <c r="F130" s="29" t="inlineStr">
        <is>
          <t>Band B · Specialist / POD Lead</t>
        </is>
      </c>
      <c r="G130" s="29" t="inlineStr">
        <is>
          <t>Engineering &amp; Development</t>
        </is>
      </c>
      <c r="H130" s="29" t="n">
        <v>1</v>
      </c>
      <c r="I130" s="29" t="inlineStr">
        <is>
          <t>Mandar Ukrulkar</t>
        </is>
      </c>
      <c r="J130" s="34" t="str">
        <f>IFERROR(INDEX(RBD_C,MATCH("Engineering &amp; Development|B1|B-IC",RBD_KEY,0)),"M")</f>
        <v>H</v>
      </c>
      <c r="K130" s="35" t="str">
        <f>IFERROR(INDEX(RBD_Au,MATCH("Engineering &amp; Development|B1|B-IC",RBD_KEY,0)),"M")</f>
        <v>M</v>
      </c>
      <c r="L130" s="35" t="str">
        <f>IFERROR(INDEX(RBD_Ac,MATCH("Engineering &amp; Development|B1|B-IC",RBD_KEY,0)),"M")</f>
        <v>L</v>
      </c>
      <c r="M130" s="35" t="str">
        <f>IFERROR(INDEX(RBD_L,MATCH("Engineering &amp; Development|B1|B-IC",RBD_KEY,0)),"M")</f>
        <v>L</v>
      </c>
      <c r="N130" s="35" t="str">
        <f>IFERROR(INDEX(RBD_BI,MATCH("Engineering &amp; Development|B1|B-IC",RBD_KEY,0)),"M")</f>
        <v>L</v>
      </c>
      <c r="O130" s="35" t="str">
        <f>IFERROR(INDEX(RBD_Exp,MATCH("Engineering &amp; Development|B1|B-IC",RBD_KEY,0)),"M")</f>
        <v>L</v>
      </c>
      <c r="P130" s="35" t="str">
        <f>IFERROR(INDEX(RBD_Edu,MATCH("Engineering &amp; Development|B1|B-IC",RBD_KEY,0)),"M")</f>
        <v>L</v>
      </c>
      <c r="Q130" s="73">
        <f>IF(J130="","",IFERROR(INDEX(LMH_PTS,MATCH(J130,LMH_KEY,0))/SUM(IFERROR(INDEX(LMH_PTS,MATCH(J130,LMH_KEY,0)),0),IFERROR(INDEX(LMH_PTS,MATCH(K130,LMH_KEY,0)),0),IFERROR(INDEX(LMH_PTS,MATCH(L130,LMH_KEY,0)),0),IFERROR(INDEX(LMH_PTS,MATCH(M130,LMH_KEY,0)),0),IFERROR(INDEX(LMH_PTS,MATCH(N130,LMH_KEY,0)),0),IFERROR(INDEX(LMH_PTS,MATCH(O130,LMH_KEY,0)),0),IFERROR(INDEX(LMH_PTS,MATCH(P130,LMH_KEY,0)),0)),""))</f>
        <v>0.529411764705882</v>
      </c>
      <c r="R130" s="74">
        <f>IF(K130="","",IFERROR(INDEX(LMH_PTS,MATCH(K130,LMH_KEY,0))/SUM(IFERROR(INDEX(LMH_PTS,MATCH(J130,LMH_KEY,0)),0),IFERROR(INDEX(LMH_PTS,MATCH(K130,LMH_KEY,0)),0),IFERROR(INDEX(LMH_PTS,MATCH(L130,LMH_KEY,0)),0),IFERROR(INDEX(LMH_PTS,MATCH(M130,LMH_KEY,0)),0),IFERROR(INDEX(LMH_PTS,MATCH(N130,LMH_KEY,0)),0),IFERROR(INDEX(LMH_PTS,MATCH(O130,LMH_KEY,0)),0),IFERROR(INDEX(LMH_PTS,MATCH(P130,LMH_KEY,0)),0)),""))</f>
        <v>0.176470588235294</v>
      </c>
      <c r="S130" s="74">
        <f>IF(L130="","",IFERROR(INDEX(LMH_PTS,MATCH(L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T130" s="74">
        <f>IF(M130="","",IFERROR(INDEX(LMH_PTS,MATCH(M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U130" s="74">
        <f>IF(N130="","",IFERROR(INDEX(LMH_PTS,MATCH(N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V130" s="74">
        <f>IF(O130="","",IFERROR(INDEX(LMH_PTS,MATCH(O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W130" s="74">
        <f>IF(P130="","",IFERROR(INDEX(LMH_PTS,MATCH(P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X130" s="44" t="n"/>
      <c r="Y130" s="38" t="inlineStr">
        <is>
          <t>CARBON|Technology|Senior AI/ML Engineer|B1|B-IC</t>
        </is>
      </c>
    </row>
    <row r="131" ht="40.5" customHeight="1">
      <c r="A131" s="28" t="inlineStr">
        <is>
          <t>CARBON</t>
        </is>
      </c>
      <c r="B131" s="29" t="inlineStr">
        <is>
          <t>Technology</t>
        </is>
      </c>
      <c r="C131" s="72" t="inlineStr">
        <is>
          <t>B1</t>
        </is>
      </c>
      <c r="D131" s="29" t="inlineStr">
        <is>
          <t>Band B · Specialist / Manager</t>
        </is>
      </c>
      <c r="E131" s="29" t="inlineStr">
        <is>
          <t>Senior Software Engineer</t>
        </is>
      </c>
      <c r="F131" s="29" t="inlineStr">
        <is>
          <t>Band B · Specialist / POD Lead</t>
        </is>
      </c>
      <c r="G131" s="29" t="inlineStr">
        <is>
          <t>Engineering &amp; Development</t>
        </is>
      </c>
      <c r="H131" s="29" t="n">
        <v>4</v>
      </c>
      <c r="I131" s="29" t="inlineStr">
        <is>
          <t>Bikram Prasad, Jayshiv Patel, Raj Chauhan, Prachi Digambar Raut</t>
        </is>
      </c>
      <c r="J131" s="34" t="str">
        <f>IFERROR(INDEX(RBD_C,MATCH("Engineering &amp; Development|B1|B-IC",RBD_KEY,0)),"M")</f>
        <v>H</v>
      </c>
      <c r="K131" s="35" t="str">
        <f>IFERROR(INDEX(RBD_Au,MATCH("Engineering &amp; Development|B1|B-IC",RBD_KEY,0)),"M")</f>
        <v>M</v>
      </c>
      <c r="L131" s="35" t="str">
        <f>IFERROR(INDEX(RBD_Ac,MATCH("Engineering &amp; Development|B1|B-IC",RBD_KEY,0)),"M")</f>
        <v>L</v>
      </c>
      <c r="M131" s="35" t="str">
        <f>IFERROR(INDEX(RBD_L,MATCH("Engineering &amp; Development|B1|B-IC",RBD_KEY,0)),"M")</f>
        <v>L</v>
      </c>
      <c r="N131" s="35" t="str">
        <f>IFERROR(INDEX(RBD_BI,MATCH("Engineering &amp; Development|B1|B-IC",RBD_KEY,0)),"M")</f>
        <v>L</v>
      </c>
      <c r="O131" s="35" t="str">
        <f>IFERROR(INDEX(RBD_Exp,MATCH("Engineering &amp; Development|B1|B-IC",RBD_KEY,0)),"M")</f>
        <v>L</v>
      </c>
      <c r="P131" s="35" t="str">
        <f>IFERROR(INDEX(RBD_Edu,MATCH("Engineering &amp; Development|B1|B-IC",RBD_KEY,0)),"M")</f>
        <v>L</v>
      </c>
      <c r="Q131" s="73">
        <f>IF(J131="","",IFERROR(INDEX(LMH_PTS,MATCH(J131,LMH_KEY,0))/SUM(IFERROR(INDEX(LMH_PTS,MATCH(J131,LMH_KEY,0)),0),IFERROR(INDEX(LMH_PTS,MATCH(K131,LMH_KEY,0)),0),IFERROR(INDEX(LMH_PTS,MATCH(L131,LMH_KEY,0)),0),IFERROR(INDEX(LMH_PTS,MATCH(M131,LMH_KEY,0)),0),IFERROR(INDEX(LMH_PTS,MATCH(N131,LMH_KEY,0)),0),IFERROR(INDEX(LMH_PTS,MATCH(O131,LMH_KEY,0)),0),IFERROR(INDEX(LMH_PTS,MATCH(P131,LMH_KEY,0)),0)),""))</f>
        <v>0.529411764705882</v>
      </c>
      <c r="R131" s="74">
        <f>IF(K131="","",IFERROR(INDEX(LMH_PTS,MATCH(K131,LMH_KEY,0))/SUM(IFERROR(INDEX(LMH_PTS,MATCH(J131,LMH_KEY,0)),0),IFERROR(INDEX(LMH_PTS,MATCH(K131,LMH_KEY,0)),0),IFERROR(INDEX(LMH_PTS,MATCH(L131,LMH_KEY,0)),0),IFERROR(INDEX(LMH_PTS,MATCH(M131,LMH_KEY,0)),0),IFERROR(INDEX(LMH_PTS,MATCH(N131,LMH_KEY,0)),0),IFERROR(INDEX(LMH_PTS,MATCH(O131,LMH_KEY,0)),0),IFERROR(INDEX(LMH_PTS,MATCH(P131,LMH_KEY,0)),0)),""))</f>
        <v>0.176470588235294</v>
      </c>
      <c r="S131" s="74">
        <f>IF(L131="","",IFERROR(INDEX(LMH_PTS,MATCH(L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T131" s="74">
        <f>IF(M131="","",IFERROR(INDEX(LMH_PTS,MATCH(M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U131" s="74">
        <f>IF(N131="","",IFERROR(INDEX(LMH_PTS,MATCH(N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V131" s="74">
        <f>IF(O131="","",IFERROR(INDEX(LMH_PTS,MATCH(O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W131" s="74">
        <f>IF(P131="","",IFERROR(INDEX(LMH_PTS,MATCH(P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X131" s="44" t="n"/>
      <c r="Y131" s="38" t="inlineStr">
        <is>
          <t>CARBON|Technology|Senior Software Engineer|B1|B-IC</t>
        </is>
      </c>
    </row>
    <row r="132" ht="28" customHeight="1">
      <c r="A132" s="28" t="inlineStr">
        <is>
          <t>CARBON</t>
        </is>
      </c>
      <c r="B132" s="29" t="inlineStr">
        <is>
          <t>Technology</t>
        </is>
      </c>
      <c r="C132" s="72" t="inlineStr">
        <is>
          <t>B1</t>
        </is>
      </c>
      <c r="D132" s="29" t="inlineStr">
        <is>
          <t>Band B · Specialist / Manager</t>
        </is>
      </c>
      <c r="E132" s="29" t="inlineStr">
        <is>
          <t>Technical Specialist – POD Lead</t>
        </is>
      </c>
      <c r="F132" s="29" t="inlineStr">
        <is>
          <t>Band B · Specialist / POD Lead</t>
        </is>
      </c>
      <c r="G132" s="29" t="inlineStr">
        <is>
          <t>Engineering &amp; Development</t>
        </is>
      </c>
      <c r="H132" s="29" t="n">
        <v>1</v>
      </c>
      <c r="I132" s="29" t="inlineStr">
        <is>
          <t>Hetal Chauhan</t>
        </is>
      </c>
      <c r="J132" s="34" t="str">
        <f>IFERROR(INDEX(RBD_C,MATCH("Engineering &amp; Development|B1|B-IC",RBD_KEY,0)),"M")</f>
        <v>H</v>
      </c>
      <c r="K132" s="35" t="str">
        <f>IFERROR(INDEX(RBD_Au,MATCH("Engineering &amp; Development|B1|B-IC",RBD_KEY,0)),"M")</f>
        <v>M</v>
      </c>
      <c r="L132" s="35" t="str">
        <f>IFERROR(INDEX(RBD_Ac,MATCH("Engineering &amp; Development|B1|B-IC",RBD_KEY,0)),"M")</f>
        <v>L</v>
      </c>
      <c r="M132" s="35" t="str">
        <f>IFERROR(INDEX(RBD_L,MATCH("Engineering &amp; Development|B1|B-IC",RBD_KEY,0)),"M")</f>
        <v>L</v>
      </c>
      <c r="N132" s="35" t="str">
        <f>IFERROR(INDEX(RBD_BI,MATCH("Engineering &amp; Development|B1|B-IC",RBD_KEY,0)),"M")</f>
        <v>L</v>
      </c>
      <c r="O132" s="35" t="str">
        <f>IFERROR(INDEX(RBD_Exp,MATCH("Engineering &amp; Development|B1|B-IC",RBD_KEY,0)),"M")</f>
        <v>L</v>
      </c>
      <c r="P132" s="35" t="str">
        <f>IFERROR(INDEX(RBD_Edu,MATCH("Engineering &amp; Development|B1|B-IC",RBD_KEY,0)),"M")</f>
        <v>L</v>
      </c>
      <c r="Q132" s="73">
        <f>IF(J132="","",IFERROR(INDEX(LMH_PTS,MATCH(J132,LMH_KEY,0))/SUM(IFERROR(INDEX(LMH_PTS,MATCH(J132,LMH_KEY,0)),0),IFERROR(INDEX(LMH_PTS,MATCH(K132,LMH_KEY,0)),0),IFERROR(INDEX(LMH_PTS,MATCH(L132,LMH_KEY,0)),0),IFERROR(INDEX(LMH_PTS,MATCH(M132,LMH_KEY,0)),0),IFERROR(INDEX(LMH_PTS,MATCH(N132,LMH_KEY,0)),0),IFERROR(INDEX(LMH_PTS,MATCH(O132,LMH_KEY,0)),0),IFERROR(INDEX(LMH_PTS,MATCH(P132,LMH_KEY,0)),0)),""))</f>
        <v>0.529411764705882</v>
      </c>
      <c r="R132" s="74">
        <f>IF(K132="","",IFERROR(INDEX(LMH_PTS,MATCH(K132,LMH_KEY,0))/SUM(IFERROR(INDEX(LMH_PTS,MATCH(J132,LMH_KEY,0)),0),IFERROR(INDEX(LMH_PTS,MATCH(K132,LMH_KEY,0)),0),IFERROR(INDEX(LMH_PTS,MATCH(L132,LMH_KEY,0)),0),IFERROR(INDEX(LMH_PTS,MATCH(M132,LMH_KEY,0)),0),IFERROR(INDEX(LMH_PTS,MATCH(N132,LMH_KEY,0)),0),IFERROR(INDEX(LMH_PTS,MATCH(O132,LMH_KEY,0)),0),IFERROR(INDEX(LMH_PTS,MATCH(P132,LMH_KEY,0)),0)),""))</f>
        <v>0.176470588235294</v>
      </c>
      <c r="S132" s="74">
        <f>IF(L132="","",IFERROR(INDEX(LMH_PTS,MATCH(L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T132" s="74">
        <f>IF(M132="","",IFERROR(INDEX(LMH_PTS,MATCH(M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U132" s="74">
        <f>IF(N132="","",IFERROR(INDEX(LMH_PTS,MATCH(N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V132" s="74">
        <f>IF(O132="","",IFERROR(INDEX(LMH_PTS,MATCH(O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W132" s="74">
        <f>IF(P132="","",IFERROR(INDEX(LMH_PTS,MATCH(P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X132" s="44" t="n"/>
      <c r="Y132" s="38" t="inlineStr">
        <is>
          <t>CARBON|Technology|Technical Specialist – POD Lead|B1|B-IC</t>
        </is>
      </c>
    </row>
    <row r="133" ht="28" customHeight="1">
      <c r="A133" s="28" t="inlineStr">
        <is>
          <t>CARBON</t>
        </is>
      </c>
      <c r="B133" s="29" t="inlineStr">
        <is>
          <t>Technology</t>
        </is>
      </c>
      <c r="C133" s="75" t="inlineStr">
        <is>
          <t>A3</t>
        </is>
      </c>
      <c r="D133" s="29" t="inlineStr">
        <is>
          <t>Band A · Practitioner</t>
        </is>
      </c>
      <c r="E133" s="29" t="inlineStr">
        <is>
          <t>Senior AI/ML Engineer</t>
        </is>
      </c>
      <c r="F133" s="29" t="inlineStr">
        <is>
          <t>Band A · all tracks</t>
        </is>
      </c>
      <c r="G133" s="29" t="inlineStr">
        <is>
          <t>Engineering &amp; Development</t>
        </is>
      </c>
      <c r="H133" s="29" t="n">
        <v>3</v>
      </c>
      <c r="I133" s="29" t="inlineStr">
        <is>
          <t>Saurabh Kadam, Mohammad Irfan, Vishal Nanaware</t>
        </is>
      </c>
      <c r="J133" s="34" t="str">
        <f>IFERROR(INDEX(RBD_C,MATCH("Engineering &amp; Development|A3|A",RBD_KEY,0)),"M")</f>
        <v>H</v>
      </c>
      <c r="K133" s="35" t="str">
        <f>IFERROR(INDEX(RBD_Au,MATCH("Engineering &amp; Development|A3|A",RBD_KEY,0)),"M")</f>
        <v>M</v>
      </c>
      <c r="L133" s="35" t="str">
        <f>IFERROR(INDEX(RBD_Ac,MATCH("Engineering &amp; Development|A3|A",RBD_KEY,0)),"M")</f>
        <v>L</v>
      </c>
      <c r="M133" s="35" t="str">
        <f>IFERROR(INDEX(RBD_L,MATCH("Engineering &amp; Development|A3|A",RBD_KEY,0)),"M")</f>
        <v>L</v>
      </c>
      <c r="N133" s="35" t="str">
        <f>IFERROR(INDEX(RBD_BI,MATCH("Engineering &amp; Development|A3|A",RBD_KEY,0)),"M")</f>
        <v>L</v>
      </c>
      <c r="O133" s="35" t="str">
        <f>IFERROR(INDEX(RBD_Exp,MATCH("Engineering &amp; Development|A3|A",RBD_KEY,0)),"M")</f>
        <v>L</v>
      </c>
      <c r="P133" s="35" t="str">
        <f>IFERROR(INDEX(RBD_Edu,MATCH("Engineering &amp; Development|A3|A",RBD_KEY,0)),"M")</f>
        <v>L</v>
      </c>
      <c r="Q133" s="73">
        <f>IF(J133="","",IFERROR(INDEX(LMH_PTS,MATCH(J133,LMH_KEY,0))/SUM(IFERROR(INDEX(LMH_PTS,MATCH(J133,LMH_KEY,0)),0),IFERROR(INDEX(LMH_PTS,MATCH(K133,LMH_KEY,0)),0),IFERROR(INDEX(LMH_PTS,MATCH(L133,LMH_KEY,0)),0),IFERROR(INDEX(LMH_PTS,MATCH(M133,LMH_KEY,0)),0),IFERROR(INDEX(LMH_PTS,MATCH(N133,LMH_KEY,0)),0),IFERROR(INDEX(LMH_PTS,MATCH(O133,LMH_KEY,0)),0),IFERROR(INDEX(LMH_PTS,MATCH(P133,LMH_KEY,0)),0)),""))</f>
        <v>0.529411764705882</v>
      </c>
      <c r="R133" s="74">
        <f>IF(K133="","",IFERROR(INDEX(LMH_PTS,MATCH(K133,LMH_KEY,0))/SUM(IFERROR(INDEX(LMH_PTS,MATCH(J133,LMH_KEY,0)),0),IFERROR(INDEX(LMH_PTS,MATCH(K133,LMH_KEY,0)),0),IFERROR(INDEX(LMH_PTS,MATCH(L133,LMH_KEY,0)),0),IFERROR(INDEX(LMH_PTS,MATCH(M133,LMH_KEY,0)),0),IFERROR(INDEX(LMH_PTS,MATCH(N133,LMH_KEY,0)),0),IFERROR(INDEX(LMH_PTS,MATCH(O133,LMH_KEY,0)),0),IFERROR(INDEX(LMH_PTS,MATCH(P133,LMH_KEY,0)),0)),""))</f>
        <v>0.176470588235294</v>
      </c>
      <c r="S133" s="74">
        <f>IF(L133="","",IFERROR(INDEX(LMH_PTS,MATCH(L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T133" s="74">
        <f>IF(M133="","",IFERROR(INDEX(LMH_PTS,MATCH(M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U133" s="74">
        <f>IF(N133="","",IFERROR(INDEX(LMH_PTS,MATCH(N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V133" s="74">
        <f>IF(O133="","",IFERROR(INDEX(LMH_PTS,MATCH(O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W133" s="74">
        <f>IF(P133="","",IFERROR(INDEX(LMH_PTS,MATCH(P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X133" s="44" t="n"/>
      <c r="Y133" s="38" t="inlineStr">
        <is>
          <t>CARBON|Technology|Senior AI/ML Engineer|A3|A</t>
        </is>
      </c>
    </row>
    <row r="134" ht="18" customHeight="1">
      <c r="A134" s="28" t="inlineStr">
        <is>
          <t>CARBON</t>
        </is>
      </c>
      <c r="B134" s="29" t="inlineStr">
        <is>
          <t>Technology</t>
        </is>
      </c>
      <c r="C134" s="75" t="inlineStr">
        <is>
          <t>A3</t>
        </is>
      </c>
      <c r="D134" s="29" t="inlineStr">
        <is>
          <t>Band A · Practitioner</t>
        </is>
      </c>
      <c r="E134" s="29" t="inlineStr">
        <is>
          <t>Senior Product Designer</t>
        </is>
      </c>
      <c r="F134" s="29" t="inlineStr">
        <is>
          <t>Band A · all tracks</t>
        </is>
      </c>
      <c r="G134" s="29" t="inlineStr">
        <is>
          <t>Design &amp; Creative</t>
        </is>
      </c>
      <c r="H134" s="29" t="n">
        <v>1</v>
      </c>
      <c r="I134" s="29" t="inlineStr">
        <is>
          <t>Ritik Wadje</t>
        </is>
      </c>
      <c r="J134" s="34" t="str">
        <f>IFERROR(INDEX(RBD_C,MATCH("Design &amp; Creative|A3|A",RBD_KEY,0)),"M")</f>
        <v>H</v>
      </c>
      <c r="K134" s="35" t="str">
        <f>IFERROR(INDEX(RBD_Au,MATCH("Design &amp; Creative|A3|A",RBD_KEY,0)),"M")</f>
        <v>M</v>
      </c>
      <c r="L134" s="35" t="str">
        <f>IFERROR(INDEX(RBD_Ac,MATCH("Design &amp; Creative|A3|A",RBD_KEY,0)),"M")</f>
        <v>L</v>
      </c>
      <c r="M134" s="35" t="str">
        <f>IFERROR(INDEX(RBD_L,MATCH("Design &amp; Creative|A3|A",RBD_KEY,0)),"M")</f>
        <v>L</v>
      </c>
      <c r="N134" s="35" t="str">
        <f>IFERROR(INDEX(RBD_BI,MATCH("Design &amp; Creative|A3|A",RBD_KEY,0)),"M")</f>
        <v>M</v>
      </c>
      <c r="O134" s="35" t="str">
        <f>IFERROR(INDEX(RBD_Exp,MATCH("Design &amp; Creative|A3|A",RBD_KEY,0)),"M")</f>
        <v>L</v>
      </c>
      <c r="P134" s="35" t="str">
        <f>IFERROR(INDEX(RBD_Edu,MATCH("Design &amp; Creative|A3|A",RBD_KEY,0)),"M")</f>
        <v>L</v>
      </c>
      <c r="Q134" s="73">
        <f>IF(J134="","",IFERROR(INDEX(LMH_PTS,MATCH(J134,LMH_KEY,0))/SUM(IFERROR(INDEX(LMH_PTS,MATCH(J134,LMH_KEY,0)),0),IFERROR(INDEX(LMH_PTS,MATCH(K134,LMH_KEY,0)),0),IFERROR(INDEX(LMH_PTS,MATCH(L134,LMH_KEY,0)),0),IFERROR(INDEX(LMH_PTS,MATCH(M134,LMH_KEY,0)),0),IFERROR(INDEX(LMH_PTS,MATCH(N134,LMH_KEY,0)),0),IFERROR(INDEX(LMH_PTS,MATCH(O134,LMH_KEY,0)),0),IFERROR(INDEX(LMH_PTS,MATCH(P134,LMH_KEY,0)),0)),""))</f>
        <v>0.473684210526316</v>
      </c>
      <c r="R134" s="74">
        <f>IF(K134="","",IFERROR(INDEX(LMH_PTS,MATCH(K134,LMH_KEY,0))/SUM(IFERROR(INDEX(LMH_PTS,MATCH(J134,LMH_KEY,0)),0),IFERROR(INDEX(LMH_PTS,MATCH(K134,LMH_KEY,0)),0),IFERROR(INDEX(LMH_PTS,MATCH(L134,LMH_KEY,0)),0),IFERROR(INDEX(LMH_PTS,MATCH(M134,LMH_KEY,0)),0),IFERROR(INDEX(LMH_PTS,MATCH(N134,LMH_KEY,0)),0),IFERROR(INDEX(LMH_PTS,MATCH(O134,LMH_KEY,0)),0),IFERROR(INDEX(LMH_PTS,MATCH(P134,LMH_KEY,0)),0)),""))</f>
        <v>0.157894736842105</v>
      </c>
      <c r="S134" s="74">
        <f>IF(L134="","",IFERROR(INDEX(LMH_PTS,MATCH(L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T134" s="74">
        <f>IF(M134="","",IFERROR(INDEX(LMH_PTS,MATCH(M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U134" s="74">
        <f>IF(N134="","",IFERROR(INDEX(LMH_PTS,MATCH(N134,LMH_KEY,0))/SUM(IFERROR(INDEX(LMH_PTS,MATCH(J134,LMH_KEY,0)),0),IFERROR(INDEX(LMH_PTS,MATCH(K134,LMH_KEY,0)),0),IFERROR(INDEX(LMH_PTS,MATCH(L134,LMH_KEY,0)),0),IFERROR(INDEX(LMH_PTS,MATCH(M134,LMH_KEY,0)),0),IFERROR(INDEX(LMH_PTS,MATCH(N134,LMH_KEY,0)),0),IFERROR(INDEX(LMH_PTS,MATCH(O134,LMH_KEY,0)),0),IFERROR(INDEX(LMH_PTS,MATCH(P134,LMH_KEY,0)),0)),""))</f>
        <v>0.157894736842105</v>
      </c>
      <c r="V134" s="74">
        <f>IF(O134="","",IFERROR(INDEX(LMH_PTS,MATCH(O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W134" s="74">
        <f>IF(P134="","",IFERROR(INDEX(LMH_PTS,MATCH(P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X134" s="44" t="n"/>
      <c r="Y134" s="38" t="inlineStr">
        <is>
          <t>CARBON|Technology|Senior Product Designer|A3|A</t>
        </is>
      </c>
    </row>
    <row r="135" ht="90.5" customHeight="1">
      <c r="A135" s="28" t="inlineStr">
        <is>
          <t>CARBON</t>
        </is>
      </c>
      <c r="B135" s="29" t="inlineStr">
        <is>
          <t>Technology</t>
        </is>
      </c>
      <c r="C135" s="75" t="inlineStr">
        <is>
          <t>A3</t>
        </is>
      </c>
      <c r="D135" s="29" t="inlineStr">
        <is>
          <t>Band A · Practitioner</t>
        </is>
      </c>
      <c r="E135" s="29" t="inlineStr">
        <is>
          <t>Senior Software Engineer</t>
        </is>
      </c>
      <c r="F135" s="29" t="inlineStr">
        <is>
          <t>Band A · all tracks</t>
        </is>
      </c>
      <c r="G135" s="29" t="inlineStr">
        <is>
          <t>Engineering &amp; Development</t>
        </is>
      </c>
      <c r="H135" s="29" t="n">
        <v>13</v>
      </c>
      <c r="I135" s="29" t="inlineStr">
        <is>
          <t>Kunal Jadhav, Kinjal Rathod, Alpesh Chaudhari, Imtiyaz Pathan, Pritesh Wani, Aniket Kale, Anuj Pardeshi, Karan Kapadia, Harsh Borad, Parth Jitendrabhai Parmar, Riya Parekh, Harsh Icecreamwala, Parthviben Mistry</t>
        </is>
      </c>
      <c r="J135" s="34" t="str">
        <f>IFERROR(INDEX(RBD_C,MATCH("Engineering &amp; Development|A3|A",RBD_KEY,0)),"M")</f>
        <v>H</v>
      </c>
      <c r="K135" s="35" t="str">
        <f>IFERROR(INDEX(RBD_Au,MATCH("Engineering &amp; Development|A3|A",RBD_KEY,0)),"M")</f>
        <v>M</v>
      </c>
      <c r="L135" s="35" t="str">
        <f>IFERROR(INDEX(RBD_Ac,MATCH("Engineering &amp; Development|A3|A",RBD_KEY,0)),"M")</f>
        <v>L</v>
      </c>
      <c r="M135" s="35" t="str">
        <f>IFERROR(INDEX(RBD_L,MATCH("Engineering &amp; Development|A3|A",RBD_KEY,0)),"M")</f>
        <v>L</v>
      </c>
      <c r="N135" s="35" t="str">
        <f>IFERROR(INDEX(RBD_BI,MATCH("Engineering &amp; Development|A3|A",RBD_KEY,0)),"M")</f>
        <v>L</v>
      </c>
      <c r="O135" s="35" t="str">
        <f>IFERROR(INDEX(RBD_Exp,MATCH("Engineering &amp; Development|A3|A",RBD_KEY,0)),"M")</f>
        <v>L</v>
      </c>
      <c r="P135" s="35" t="str">
        <f>IFERROR(INDEX(RBD_Edu,MATCH("Engineering &amp; Development|A3|A",RBD_KEY,0)),"M")</f>
        <v>L</v>
      </c>
      <c r="Q135" s="73">
        <f>IF(J135="","",IFERROR(INDEX(LMH_PTS,MATCH(J135,LMH_KEY,0))/SUM(IFERROR(INDEX(LMH_PTS,MATCH(J135,LMH_KEY,0)),0),IFERROR(INDEX(LMH_PTS,MATCH(K135,LMH_KEY,0)),0),IFERROR(INDEX(LMH_PTS,MATCH(L135,LMH_KEY,0)),0),IFERROR(INDEX(LMH_PTS,MATCH(M135,LMH_KEY,0)),0),IFERROR(INDEX(LMH_PTS,MATCH(N135,LMH_KEY,0)),0),IFERROR(INDEX(LMH_PTS,MATCH(O135,LMH_KEY,0)),0),IFERROR(INDEX(LMH_PTS,MATCH(P135,LMH_KEY,0)),0)),""))</f>
        <v>0.529411764705882</v>
      </c>
      <c r="R135" s="74">
        <f>IF(K135="","",IFERROR(INDEX(LMH_PTS,MATCH(K135,LMH_KEY,0))/SUM(IFERROR(INDEX(LMH_PTS,MATCH(J135,LMH_KEY,0)),0),IFERROR(INDEX(LMH_PTS,MATCH(K135,LMH_KEY,0)),0),IFERROR(INDEX(LMH_PTS,MATCH(L135,LMH_KEY,0)),0),IFERROR(INDEX(LMH_PTS,MATCH(M135,LMH_KEY,0)),0),IFERROR(INDEX(LMH_PTS,MATCH(N135,LMH_KEY,0)),0),IFERROR(INDEX(LMH_PTS,MATCH(O135,LMH_KEY,0)),0),IFERROR(INDEX(LMH_PTS,MATCH(P135,LMH_KEY,0)),0)),""))</f>
        <v>0.176470588235294</v>
      </c>
      <c r="S135" s="74">
        <f>IF(L135="","",IFERROR(INDEX(LMH_PTS,MATCH(L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T135" s="74">
        <f>IF(M135="","",IFERROR(INDEX(LMH_PTS,MATCH(M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U135" s="74">
        <f>IF(N135="","",IFERROR(INDEX(LMH_PTS,MATCH(N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V135" s="74">
        <f>IF(O135="","",IFERROR(INDEX(LMH_PTS,MATCH(O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W135" s="74">
        <f>IF(P135="","",IFERROR(INDEX(LMH_PTS,MATCH(P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X135" s="44" t="n"/>
      <c r="Y135" s="38" t="inlineStr">
        <is>
          <t>CARBON|Technology|Senior Software Engineer|A3|A</t>
        </is>
      </c>
    </row>
    <row r="136" ht="28" customHeight="1">
      <c r="A136" s="28" t="inlineStr">
        <is>
          <t>CARBON</t>
        </is>
      </c>
      <c r="B136" s="29" t="inlineStr">
        <is>
          <t>Technology</t>
        </is>
      </c>
      <c r="C136" s="75" t="inlineStr">
        <is>
          <t>A3</t>
        </is>
      </c>
      <c r="D136" s="29" t="inlineStr">
        <is>
          <t>Band A · Practitioner</t>
        </is>
      </c>
      <c r="E136" s="29" t="inlineStr">
        <is>
          <t>Senior UI Developer</t>
        </is>
      </c>
      <c r="F136" s="29" t="inlineStr">
        <is>
          <t>Band A · all tracks</t>
        </is>
      </c>
      <c r="G136" s="29" t="inlineStr">
        <is>
          <t>Engineering &amp; Development</t>
        </is>
      </c>
      <c r="H136" s="29" t="n">
        <v>4</v>
      </c>
      <c r="I136" s="29" t="inlineStr">
        <is>
          <t>Kush Govani, Omkar Dhumal, Shubham Baban Jagtap, Rahul Mejari</t>
        </is>
      </c>
      <c r="J136" s="34" t="str">
        <f>IFERROR(INDEX(RBD_C,MATCH("Engineering &amp; Development|A3|A",RBD_KEY,0)),"M")</f>
        <v>H</v>
      </c>
      <c r="K136" s="35" t="str">
        <f>IFERROR(INDEX(RBD_Au,MATCH("Engineering &amp; Development|A3|A",RBD_KEY,0)),"M")</f>
        <v>M</v>
      </c>
      <c r="L136" s="35" t="str">
        <f>IFERROR(INDEX(RBD_Ac,MATCH("Engineering &amp; Development|A3|A",RBD_KEY,0)),"M")</f>
        <v>L</v>
      </c>
      <c r="M136" s="35" t="str">
        <f>IFERROR(INDEX(RBD_L,MATCH("Engineering &amp; Development|A3|A",RBD_KEY,0)),"M")</f>
        <v>L</v>
      </c>
      <c r="N136" s="35" t="str">
        <f>IFERROR(INDEX(RBD_BI,MATCH("Engineering &amp; Development|A3|A",RBD_KEY,0)),"M")</f>
        <v>L</v>
      </c>
      <c r="O136" s="35" t="str">
        <f>IFERROR(INDEX(RBD_Exp,MATCH("Engineering &amp; Development|A3|A",RBD_KEY,0)),"M")</f>
        <v>L</v>
      </c>
      <c r="P136" s="35" t="str">
        <f>IFERROR(INDEX(RBD_Edu,MATCH("Engineering &amp; Development|A3|A",RBD_KEY,0)),"M")</f>
        <v>L</v>
      </c>
      <c r="Q136" s="73">
        <f>IF(J136="","",IFERROR(INDEX(LMH_PTS,MATCH(J136,LMH_KEY,0))/SUM(IFERROR(INDEX(LMH_PTS,MATCH(J136,LMH_KEY,0)),0),IFERROR(INDEX(LMH_PTS,MATCH(K136,LMH_KEY,0)),0),IFERROR(INDEX(LMH_PTS,MATCH(L136,LMH_KEY,0)),0),IFERROR(INDEX(LMH_PTS,MATCH(M136,LMH_KEY,0)),0),IFERROR(INDEX(LMH_PTS,MATCH(N136,LMH_KEY,0)),0),IFERROR(INDEX(LMH_PTS,MATCH(O136,LMH_KEY,0)),0),IFERROR(INDEX(LMH_PTS,MATCH(P136,LMH_KEY,0)),0)),""))</f>
        <v>0.529411764705882</v>
      </c>
      <c r="R136" s="74">
        <f>IF(K136="","",IFERROR(INDEX(LMH_PTS,MATCH(K136,LMH_KEY,0))/SUM(IFERROR(INDEX(LMH_PTS,MATCH(J136,LMH_KEY,0)),0),IFERROR(INDEX(LMH_PTS,MATCH(K136,LMH_KEY,0)),0),IFERROR(INDEX(LMH_PTS,MATCH(L136,LMH_KEY,0)),0),IFERROR(INDEX(LMH_PTS,MATCH(M136,LMH_KEY,0)),0),IFERROR(INDEX(LMH_PTS,MATCH(N136,LMH_KEY,0)),0),IFERROR(INDEX(LMH_PTS,MATCH(O136,LMH_KEY,0)),0),IFERROR(INDEX(LMH_PTS,MATCH(P136,LMH_KEY,0)),0)),""))</f>
        <v>0.176470588235294</v>
      </c>
      <c r="S136" s="74">
        <f>IF(L136="","",IFERROR(INDEX(LMH_PTS,MATCH(L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T136" s="74">
        <f>IF(M136="","",IFERROR(INDEX(LMH_PTS,MATCH(M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U136" s="74">
        <f>IF(N136="","",IFERROR(INDEX(LMH_PTS,MATCH(N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V136" s="74">
        <f>IF(O136="","",IFERROR(INDEX(LMH_PTS,MATCH(O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W136" s="74">
        <f>IF(P136="","",IFERROR(INDEX(LMH_PTS,MATCH(P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X136" s="44" t="n"/>
      <c r="Y136" s="38" t="inlineStr">
        <is>
          <t>CARBON|Technology|Senior UI Developer|A3|A</t>
        </is>
      </c>
    </row>
    <row r="137" ht="18" customHeight="1">
      <c r="A137" s="28" t="inlineStr">
        <is>
          <t>CARBON</t>
        </is>
      </c>
      <c r="B137" s="29" t="inlineStr">
        <is>
          <t>Technology</t>
        </is>
      </c>
      <c r="C137" s="75" t="inlineStr">
        <is>
          <t>A3</t>
        </is>
      </c>
      <c r="D137" s="29" t="inlineStr">
        <is>
          <t>Band A · Practitioner</t>
        </is>
      </c>
      <c r="E137" s="29" t="inlineStr">
        <is>
          <t>Technical Specialist</t>
        </is>
      </c>
      <c r="F137" s="29" t="inlineStr">
        <is>
          <t>Band A · all tracks</t>
        </is>
      </c>
      <c r="G137" s="29" t="inlineStr">
        <is>
          <t>Engineering &amp; Development</t>
        </is>
      </c>
      <c r="H137" s="29" t="n">
        <v>1</v>
      </c>
      <c r="I137" s="29" t="inlineStr">
        <is>
          <t>Huzefa Petit</t>
        </is>
      </c>
      <c r="J137" s="34" t="str">
        <f>IFERROR(INDEX(RBD_C,MATCH("Engineering &amp; Development|A3|A",RBD_KEY,0)),"M")</f>
        <v>H</v>
      </c>
      <c r="K137" s="35" t="str">
        <f>IFERROR(INDEX(RBD_Au,MATCH("Engineering &amp; Development|A3|A",RBD_KEY,0)),"M")</f>
        <v>M</v>
      </c>
      <c r="L137" s="35" t="str">
        <f>IFERROR(INDEX(RBD_Ac,MATCH("Engineering &amp; Development|A3|A",RBD_KEY,0)),"M")</f>
        <v>L</v>
      </c>
      <c r="M137" s="35" t="str">
        <f>IFERROR(INDEX(RBD_L,MATCH("Engineering &amp; Development|A3|A",RBD_KEY,0)),"M")</f>
        <v>L</v>
      </c>
      <c r="N137" s="35" t="str">
        <f>IFERROR(INDEX(RBD_BI,MATCH("Engineering &amp; Development|A3|A",RBD_KEY,0)),"M")</f>
        <v>L</v>
      </c>
      <c r="O137" s="35" t="str">
        <f>IFERROR(INDEX(RBD_Exp,MATCH("Engineering &amp; Development|A3|A",RBD_KEY,0)),"M")</f>
        <v>L</v>
      </c>
      <c r="P137" s="35" t="str">
        <f>IFERROR(INDEX(RBD_Edu,MATCH("Engineering &amp; Development|A3|A",RBD_KEY,0)),"M")</f>
        <v>L</v>
      </c>
      <c r="Q137" s="73">
        <f>IF(J137="","",IFERROR(INDEX(LMH_PTS,MATCH(J137,LMH_KEY,0))/SUM(IFERROR(INDEX(LMH_PTS,MATCH(J137,LMH_KEY,0)),0),IFERROR(INDEX(LMH_PTS,MATCH(K137,LMH_KEY,0)),0),IFERROR(INDEX(LMH_PTS,MATCH(L137,LMH_KEY,0)),0),IFERROR(INDEX(LMH_PTS,MATCH(M137,LMH_KEY,0)),0),IFERROR(INDEX(LMH_PTS,MATCH(N137,LMH_KEY,0)),0),IFERROR(INDEX(LMH_PTS,MATCH(O137,LMH_KEY,0)),0),IFERROR(INDEX(LMH_PTS,MATCH(P137,LMH_KEY,0)),0)),""))</f>
        <v>0.529411764705882</v>
      </c>
      <c r="R137" s="74">
        <f>IF(K137="","",IFERROR(INDEX(LMH_PTS,MATCH(K137,LMH_KEY,0))/SUM(IFERROR(INDEX(LMH_PTS,MATCH(J137,LMH_KEY,0)),0),IFERROR(INDEX(LMH_PTS,MATCH(K137,LMH_KEY,0)),0),IFERROR(INDEX(LMH_PTS,MATCH(L137,LMH_KEY,0)),0),IFERROR(INDEX(LMH_PTS,MATCH(M137,LMH_KEY,0)),0),IFERROR(INDEX(LMH_PTS,MATCH(N137,LMH_KEY,0)),0),IFERROR(INDEX(LMH_PTS,MATCH(O137,LMH_KEY,0)),0),IFERROR(INDEX(LMH_PTS,MATCH(P137,LMH_KEY,0)),0)),""))</f>
        <v>0.176470588235294</v>
      </c>
      <c r="S137" s="74">
        <f>IF(L137="","",IFERROR(INDEX(LMH_PTS,MATCH(L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T137" s="74">
        <f>IF(M137="","",IFERROR(INDEX(LMH_PTS,MATCH(M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U137" s="74">
        <f>IF(N137="","",IFERROR(INDEX(LMH_PTS,MATCH(N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V137" s="74">
        <f>IF(O137="","",IFERROR(INDEX(LMH_PTS,MATCH(O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W137" s="74">
        <f>IF(P137="","",IFERROR(INDEX(LMH_PTS,MATCH(P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X137" s="44" t="n"/>
      <c r="Y137" s="38" t="inlineStr">
        <is>
          <t>CARBON|Technology|Technical Specialist|A3|A</t>
        </is>
      </c>
    </row>
    <row r="138" ht="28" customHeight="1">
      <c r="A138" s="28" t="inlineStr">
        <is>
          <t>CARBON</t>
        </is>
      </c>
      <c r="B138" s="29" t="inlineStr">
        <is>
          <t>Technology</t>
        </is>
      </c>
      <c r="C138" s="75" t="inlineStr">
        <is>
          <t>A2</t>
        </is>
      </c>
      <c r="D138" s="29" t="inlineStr">
        <is>
          <t>Band A · Practitioner</t>
        </is>
      </c>
      <c r="E138" s="29" t="inlineStr">
        <is>
          <t>AI/ML Engineer</t>
        </is>
      </c>
      <c r="F138" s="29" t="inlineStr">
        <is>
          <t>Band A · all tracks</t>
        </is>
      </c>
      <c r="G138" s="29" t="inlineStr">
        <is>
          <t>Engineering &amp; Development</t>
        </is>
      </c>
      <c r="H138" s="29" t="n">
        <v>2</v>
      </c>
      <c r="I138" s="29" t="inlineStr">
        <is>
          <t>Dev Hinged, Ayush Dattatraya Tikone</t>
        </is>
      </c>
      <c r="J138" s="34" t="str">
        <f>IFERROR(INDEX(RBD_C,MATCH("Engineering &amp; Development|A2|A",RBD_KEY,0)),"M")</f>
        <v>H</v>
      </c>
      <c r="K138" s="35" t="str">
        <f>IFERROR(INDEX(RBD_Au,MATCH("Engineering &amp; Development|A2|A",RBD_KEY,0)),"M")</f>
        <v>M</v>
      </c>
      <c r="L138" s="35" t="str">
        <f>IFERROR(INDEX(RBD_Ac,MATCH("Engineering &amp; Development|A2|A",RBD_KEY,0)),"M")</f>
        <v>L</v>
      </c>
      <c r="M138" s="35" t="str">
        <f>IFERROR(INDEX(RBD_L,MATCH("Engineering &amp; Development|A2|A",RBD_KEY,0)),"M")</f>
        <v>L</v>
      </c>
      <c r="N138" s="35" t="str">
        <f>IFERROR(INDEX(RBD_BI,MATCH("Engineering &amp; Development|A2|A",RBD_KEY,0)),"M")</f>
        <v>L</v>
      </c>
      <c r="O138" s="35" t="str">
        <f>IFERROR(INDEX(RBD_Exp,MATCH("Engineering &amp; Development|A2|A",RBD_KEY,0)),"M")</f>
        <v>L</v>
      </c>
      <c r="P138" s="35" t="str">
        <f>IFERROR(INDEX(RBD_Edu,MATCH("Engineering &amp; Development|A2|A",RBD_KEY,0)),"M")</f>
        <v>L</v>
      </c>
      <c r="Q138" s="73">
        <f>IF(J138="","",IFERROR(INDEX(LMH_PTS,MATCH(J138,LMH_KEY,0))/SUM(IFERROR(INDEX(LMH_PTS,MATCH(J138,LMH_KEY,0)),0),IFERROR(INDEX(LMH_PTS,MATCH(K138,LMH_KEY,0)),0),IFERROR(INDEX(LMH_PTS,MATCH(L138,LMH_KEY,0)),0),IFERROR(INDEX(LMH_PTS,MATCH(M138,LMH_KEY,0)),0),IFERROR(INDEX(LMH_PTS,MATCH(N138,LMH_KEY,0)),0),IFERROR(INDEX(LMH_PTS,MATCH(O138,LMH_KEY,0)),0),IFERROR(INDEX(LMH_PTS,MATCH(P138,LMH_KEY,0)),0)),""))</f>
        <v>0.529411764705882</v>
      </c>
      <c r="R138" s="74">
        <f>IF(K138="","",IFERROR(INDEX(LMH_PTS,MATCH(K138,LMH_KEY,0))/SUM(IFERROR(INDEX(LMH_PTS,MATCH(J138,LMH_KEY,0)),0),IFERROR(INDEX(LMH_PTS,MATCH(K138,LMH_KEY,0)),0),IFERROR(INDEX(LMH_PTS,MATCH(L138,LMH_KEY,0)),0),IFERROR(INDEX(LMH_PTS,MATCH(M138,LMH_KEY,0)),0),IFERROR(INDEX(LMH_PTS,MATCH(N138,LMH_KEY,0)),0),IFERROR(INDEX(LMH_PTS,MATCH(O138,LMH_KEY,0)),0),IFERROR(INDEX(LMH_PTS,MATCH(P138,LMH_KEY,0)),0)),""))</f>
        <v>0.176470588235294</v>
      </c>
      <c r="S138" s="74">
        <f>IF(L138="","",IFERROR(INDEX(LMH_PTS,MATCH(L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T138" s="74">
        <f>IF(M138="","",IFERROR(INDEX(LMH_PTS,MATCH(M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U138" s="74">
        <f>IF(N138="","",IFERROR(INDEX(LMH_PTS,MATCH(N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V138" s="74">
        <f>IF(O138="","",IFERROR(INDEX(LMH_PTS,MATCH(O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W138" s="74">
        <f>IF(P138="","",IFERROR(INDEX(LMH_PTS,MATCH(P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X138" s="44" t="n"/>
      <c r="Y138" s="38" t="inlineStr">
        <is>
          <t>CARBON|Technology|AI/ML Engineer|A2|A</t>
        </is>
      </c>
    </row>
    <row r="139" ht="18" customHeight="1">
      <c r="A139" s="28" t="inlineStr">
        <is>
          <t>CARBON</t>
        </is>
      </c>
      <c r="B139" s="29" t="inlineStr">
        <is>
          <t>Technology</t>
        </is>
      </c>
      <c r="C139" s="75" t="inlineStr">
        <is>
          <t>A2</t>
        </is>
      </c>
      <c r="D139" s="29" t="inlineStr">
        <is>
          <t>Band A · Practitioner</t>
        </is>
      </c>
      <c r="E139" s="29" t="inlineStr">
        <is>
          <t>Business Analyst</t>
        </is>
      </c>
      <c r="F139" s="29" t="inlineStr">
        <is>
          <t>Band A · all tracks</t>
        </is>
      </c>
      <c r="G139" s="29" t="inlineStr">
        <is>
          <t>Business Analysis</t>
        </is>
      </c>
      <c r="H139" s="29" t="n">
        <v>1</v>
      </c>
      <c r="I139" s="29" t="inlineStr">
        <is>
          <t>Saniya Baxi</t>
        </is>
      </c>
      <c r="J139" s="34" t="str">
        <f>IFERROR(INDEX(RBD_C,MATCH("Business Analysis|A2|A",RBD_KEY,0)),"M")</f>
        <v>H</v>
      </c>
      <c r="K139" s="35" t="str">
        <f>IFERROR(INDEX(RBD_Au,MATCH("Business Analysis|A2|A",RBD_KEY,0)),"M")</f>
        <v>M</v>
      </c>
      <c r="L139" s="35" t="str">
        <f>IFERROR(INDEX(RBD_Ac,MATCH("Business Analysis|A2|A",RBD_KEY,0)),"M")</f>
        <v>L</v>
      </c>
      <c r="M139" s="35" t="str">
        <f>IFERROR(INDEX(RBD_L,MATCH("Business Analysis|A2|A",RBD_KEY,0)),"M")</f>
        <v>L</v>
      </c>
      <c r="N139" s="35" t="str">
        <f>IFERROR(INDEX(RBD_BI,MATCH("Business Analysis|A2|A",RBD_KEY,0)),"M")</f>
        <v>L</v>
      </c>
      <c r="O139" s="35" t="str">
        <f>IFERROR(INDEX(RBD_Exp,MATCH("Business Analysis|A2|A",RBD_KEY,0)),"M")</f>
        <v>L</v>
      </c>
      <c r="P139" s="35" t="str">
        <f>IFERROR(INDEX(RBD_Edu,MATCH("Business Analysis|A2|A",RBD_KEY,0)),"M")</f>
        <v>L</v>
      </c>
      <c r="Q139" s="73">
        <f>IF(J139="","",IFERROR(INDEX(LMH_PTS,MATCH(J139,LMH_KEY,0))/SUM(IFERROR(INDEX(LMH_PTS,MATCH(J139,LMH_KEY,0)),0),IFERROR(INDEX(LMH_PTS,MATCH(K139,LMH_KEY,0)),0),IFERROR(INDEX(LMH_PTS,MATCH(L139,LMH_KEY,0)),0),IFERROR(INDEX(LMH_PTS,MATCH(M139,LMH_KEY,0)),0),IFERROR(INDEX(LMH_PTS,MATCH(N139,LMH_KEY,0)),0),IFERROR(INDEX(LMH_PTS,MATCH(O139,LMH_KEY,0)),0),IFERROR(INDEX(LMH_PTS,MATCH(P139,LMH_KEY,0)),0)),""))</f>
        <v>0.529411764705882</v>
      </c>
      <c r="R139" s="74">
        <f>IF(K139="","",IFERROR(INDEX(LMH_PTS,MATCH(K139,LMH_KEY,0))/SUM(IFERROR(INDEX(LMH_PTS,MATCH(J139,LMH_KEY,0)),0),IFERROR(INDEX(LMH_PTS,MATCH(K139,LMH_KEY,0)),0),IFERROR(INDEX(LMH_PTS,MATCH(L139,LMH_KEY,0)),0),IFERROR(INDEX(LMH_PTS,MATCH(M139,LMH_KEY,0)),0),IFERROR(INDEX(LMH_PTS,MATCH(N139,LMH_KEY,0)),0),IFERROR(INDEX(LMH_PTS,MATCH(O139,LMH_KEY,0)),0),IFERROR(INDEX(LMH_PTS,MATCH(P139,LMH_KEY,0)),0)),""))</f>
        <v>0.176470588235294</v>
      </c>
      <c r="S139" s="74">
        <f>IF(L139="","",IFERROR(INDEX(LMH_PTS,MATCH(L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T139" s="74">
        <f>IF(M139="","",IFERROR(INDEX(LMH_PTS,MATCH(M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U139" s="74">
        <f>IF(N139="","",IFERROR(INDEX(LMH_PTS,MATCH(N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V139" s="74">
        <f>IF(O139="","",IFERROR(INDEX(LMH_PTS,MATCH(O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W139" s="74">
        <f>IF(P139="","",IFERROR(INDEX(LMH_PTS,MATCH(P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X139" s="44" t="n"/>
      <c r="Y139" s="38" t="inlineStr">
        <is>
          <t>CARBON|Technology|Business Analyst|A2|A</t>
        </is>
      </c>
    </row>
    <row r="140" ht="18" customHeight="1">
      <c r="A140" s="28" t="inlineStr">
        <is>
          <t>CARBON</t>
        </is>
      </c>
      <c r="B140" s="29" t="inlineStr">
        <is>
          <t>Technology</t>
        </is>
      </c>
      <c r="C140" s="75" t="inlineStr">
        <is>
          <t>A2</t>
        </is>
      </c>
      <c r="D140" s="29" t="inlineStr">
        <is>
          <t>Band A · Practitioner</t>
        </is>
      </c>
      <c r="E140" s="29" t="inlineStr">
        <is>
          <t>Senior Software Engineer</t>
        </is>
      </c>
      <c r="F140" s="29" t="inlineStr">
        <is>
          <t>Band A · all tracks</t>
        </is>
      </c>
      <c r="G140" s="29" t="inlineStr">
        <is>
          <t>Engineering &amp; Development</t>
        </is>
      </c>
      <c r="H140" s="29" t="n">
        <v>2</v>
      </c>
      <c r="I140" s="29" t="inlineStr">
        <is>
          <t>Kuldip D Shah, Bansi Amipara</t>
        </is>
      </c>
      <c r="J140" s="34" t="str">
        <f>IFERROR(INDEX(RBD_C,MATCH("Engineering &amp; Development|A2|A",RBD_KEY,0)),"M")</f>
        <v>H</v>
      </c>
      <c r="K140" s="35" t="str">
        <f>IFERROR(INDEX(RBD_Au,MATCH("Engineering &amp; Development|A2|A",RBD_KEY,0)),"M")</f>
        <v>M</v>
      </c>
      <c r="L140" s="35" t="str">
        <f>IFERROR(INDEX(RBD_Ac,MATCH("Engineering &amp; Development|A2|A",RBD_KEY,0)),"M")</f>
        <v>L</v>
      </c>
      <c r="M140" s="35" t="str">
        <f>IFERROR(INDEX(RBD_L,MATCH("Engineering &amp; Development|A2|A",RBD_KEY,0)),"M")</f>
        <v>L</v>
      </c>
      <c r="N140" s="35" t="str">
        <f>IFERROR(INDEX(RBD_BI,MATCH("Engineering &amp; Development|A2|A",RBD_KEY,0)),"M")</f>
        <v>L</v>
      </c>
      <c r="O140" s="35" t="str">
        <f>IFERROR(INDEX(RBD_Exp,MATCH("Engineering &amp; Development|A2|A",RBD_KEY,0)),"M")</f>
        <v>L</v>
      </c>
      <c r="P140" s="35" t="str">
        <f>IFERROR(INDEX(RBD_Edu,MATCH("Engineering &amp; Development|A2|A",RBD_KEY,0)),"M")</f>
        <v>L</v>
      </c>
      <c r="Q140" s="73">
        <f>IF(J140="","",IFERROR(INDEX(LMH_PTS,MATCH(J140,LMH_KEY,0))/SUM(IFERROR(INDEX(LMH_PTS,MATCH(J140,LMH_KEY,0)),0),IFERROR(INDEX(LMH_PTS,MATCH(K140,LMH_KEY,0)),0),IFERROR(INDEX(LMH_PTS,MATCH(L140,LMH_KEY,0)),0),IFERROR(INDEX(LMH_PTS,MATCH(M140,LMH_KEY,0)),0),IFERROR(INDEX(LMH_PTS,MATCH(N140,LMH_KEY,0)),0),IFERROR(INDEX(LMH_PTS,MATCH(O140,LMH_KEY,0)),0),IFERROR(INDEX(LMH_PTS,MATCH(P140,LMH_KEY,0)),0)),""))</f>
        <v>0.529411764705882</v>
      </c>
      <c r="R140" s="74">
        <f>IF(K140="","",IFERROR(INDEX(LMH_PTS,MATCH(K140,LMH_KEY,0))/SUM(IFERROR(INDEX(LMH_PTS,MATCH(J140,LMH_KEY,0)),0),IFERROR(INDEX(LMH_PTS,MATCH(K140,LMH_KEY,0)),0),IFERROR(INDEX(LMH_PTS,MATCH(L140,LMH_KEY,0)),0),IFERROR(INDEX(LMH_PTS,MATCH(M140,LMH_KEY,0)),0),IFERROR(INDEX(LMH_PTS,MATCH(N140,LMH_KEY,0)),0),IFERROR(INDEX(LMH_PTS,MATCH(O140,LMH_KEY,0)),0),IFERROR(INDEX(LMH_PTS,MATCH(P140,LMH_KEY,0)),0)),""))</f>
        <v>0.176470588235294</v>
      </c>
      <c r="S140" s="74">
        <f>IF(L140="","",IFERROR(INDEX(LMH_PTS,MATCH(L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T140" s="74">
        <f>IF(M140="","",IFERROR(INDEX(LMH_PTS,MATCH(M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U140" s="74">
        <f>IF(N140="","",IFERROR(INDEX(LMH_PTS,MATCH(N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V140" s="74">
        <f>IF(O140="","",IFERROR(INDEX(LMH_PTS,MATCH(O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W140" s="74">
        <f>IF(P140="","",IFERROR(INDEX(LMH_PTS,MATCH(P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X140" s="44" t="n"/>
      <c r="Y140" s="38" t="inlineStr">
        <is>
          <t>CARBON|Technology|Senior Software Engineer|A2|A</t>
        </is>
      </c>
    </row>
    <row r="141" ht="18" customHeight="1">
      <c r="A141" s="28" t="inlineStr">
        <is>
          <t>CARBON</t>
        </is>
      </c>
      <c r="B141" s="29" t="inlineStr">
        <is>
          <t>Technology</t>
        </is>
      </c>
      <c r="C141" s="75" t="inlineStr">
        <is>
          <t>A2</t>
        </is>
      </c>
      <c r="D141" s="29" t="inlineStr">
        <is>
          <t>Band A · Practitioner</t>
        </is>
      </c>
      <c r="E141" s="29" t="inlineStr">
        <is>
          <t>Senior UI Developer</t>
        </is>
      </c>
      <c r="F141" s="29" t="inlineStr">
        <is>
          <t>Band A · all tracks</t>
        </is>
      </c>
      <c r="G141" s="29" t="inlineStr">
        <is>
          <t>Engineering &amp; Development</t>
        </is>
      </c>
      <c r="H141" s="29" t="n">
        <v>1</v>
      </c>
      <c r="I141" s="29" t="inlineStr">
        <is>
          <t>Rushali Patel</t>
        </is>
      </c>
      <c r="J141" s="34" t="str">
        <f>IFERROR(INDEX(RBD_C,MATCH("Engineering &amp; Development|A2|A",RBD_KEY,0)),"M")</f>
        <v>H</v>
      </c>
      <c r="K141" s="35" t="str">
        <f>IFERROR(INDEX(RBD_Au,MATCH("Engineering &amp; Development|A2|A",RBD_KEY,0)),"M")</f>
        <v>M</v>
      </c>
      <c r="L141" s="35" t="str">
        <f>IFERROR(INDEX(RBD_Ac,MATCH("Engineering &amp; Development|A2|A",RBD_KEY,0)),"M")</f>
        <v>L</v>
      </c>
      <c r="M141" s="35" t="str">
        <f>IFERROR(INDEX(RBD_L,MATCH("Engineering &amp; Development|A2|A",RBD_KEY,0)),"M")</f>
        <v>L</v>
      </c>
      <c r="N141" s="35" t="str">
        <f>IFERROR(INDEX(RBD_BI,MATCH("Engineering &amp; Development|A2|A",RBD_KEY,0)),"M")</f>
        <v>L</v>
      </c>
      <c r="O141" s="35" t="str">
        <f>IFERROR(INDEX(RBD_Exp,MATCH("Engineering &amp; Development|A2|A",RBD_KEY,0)),"M")</f>
        <v>L</v>
      </c>
      <c r="P141" s="35" t="str">
        <f>IFERROR(INDEX(RBD_Edu,MATCH("Engineering &amp; Development|A2|A",RBD_KEY,0)),"M")</f>
        <v>L</v>
      </c>
      <c r="Q141" s="73">
        <f>IF(J141="","",IFERROR(INDEX(LMH_PTS,MATCH(J141,LMH_KEY,0))/SUM(IFERROR(INDEX(LMH_PTS,MATCH(J141,LMH_KEY,0)),0),IFERROR(INDEX(LMH_PTS,MATCH(K141,LMH_KEY,0)),0),IFERROR(INDEX(LMH_PTS,MATCH(L141,LMH_KEY,0)),0),IFERROR(INDEX(LMH_PTS,MATCH(M141,LMH_KEY,0)),0),IFERROR(INDEX(LMH_PTS,MATCH(N141,LMH_KEY,0)),0),IFERROR(INDEX(LMH_PTS,MATCH(O141,LMH_KEY,0)),0),IFERROR(INDEX(LMH_PTS,MATCH(P141,LMH_KEY,0)),0)),""))</f>
        <v>0.529411764705882</v>
      </c>
      <c r="R141" s="74">
        <f>IF(K141="","",IFERROR(INDEX(LMH_PTS,MATCH(K141,LMH_KEY,0))/SUM(IFERROR(INDEX(LMH_PTS,MATCH(J141,LMH_KEY,0)),0),IFERROR(INDEX(LMH_PTS,MATCH(K141,LMH_KEY,0)),0),IFERROR(INDEX(LMH_PTS,MATCH(L141,LMH_KEY,0)),0),IFERROR(INDEX(LMH_PTS,MATCH(M141,LMH_KEY,0)),0),IFERROR(INDEX(LMH_PTS,MATCH(N141,LMH_KEY,0)),0),IFERROR(INDEX(LMH_PTS,MATCH(O141,LMH_KEY,0)),0),IFERROR(INDEX(LMH_PTS,MATCH(P141,LMH_KEY,0)),0)),""))</f>
        <v>0.176470588235294</v>
      </c>
      <c r="S141" s="74">
        <f>IF(L141="","",IFERROR(INDEX(LMH_PTS,MATCH(L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T141" s="74">
        <f>IF(M141="","",IFERROR(INDEX(LMH_PTS,MATCH(M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U141" s="74">
        <f>IF(N141="","",IFERROR(INDEX(LMH_PTS,MATCH(N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V141" s="74">
        <f>IF(O141="","",IFERROR(INDEX(LMH_PTS,MATCH(O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W141" s="74">
        <f>IF(P141="","",IFERROR(INDEX(LMH_PTS,MATCH(P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X141" s="44" t="n"/>
      <c r="Y141" s="38" t="inlineStr">
        <is>
          <t>CARBON|Technology|Senior UI Developer|A2|A</t>
        </is>
      </c>
    </row>
    <row r="142" ht="18" customHeight="1">
      <c r="A142" s="28" t="inlineStr">
        <is>
          <t>CARBON</t>
        </is>
      </c>
      <c r="B142" s="29" t="inlineStr">
        <is>
          <t>Technology</t>
        </is>
      </c>
      <c r="C142" s="75" t="inlineStr">
        <is>
          <t>A2</t>
        </is>
      </c>
      <c r="D142" s="29" t="inlineStr">
        <is>
          <t>Band A · Practitioner</t>
        </is>
      </c>
      <c r="E142" s="29" t="inlineStr">
        <is>
          <t>Software Engineer</t>
        </is>
      </c>
      <c r="F142" s="29" t="inlineStr">
        <is>
          <t>Band A · all tracks</t>
        </is>
      </c>
      <c r="G142" s="29" t="inlineStr">
        <is>
          <t>Engineering &amp; Development</t>
        </is>
      </c>
      <c r="H142" s="29" t="n">
        <v>1</v>
      </c>
      <c r="I142" s="29" t="inlineStr">
        <is>
          <t>Meet Patel</t>
        </is>
      </c>
      <c r="J142" s="34" t="str">
        <f>IFERROR(INDEX(RBD_C,MATCH("Engineering &amp; Development|A2|A",RBD_KEY,0)),"M")</f>
        <v>H</v>
      </c>
      <c r="K142" s="35" t="str">
        <f>IFERROR(INDEX(RBD_Au,MATCH("Engineering &amp; Development|A2|A",RBD_KEY,0)),"M")</f>
        <v>M</v>
      </c>
      <c r="L142" s="35" t="str">
        <f>IFERROR(INDEX(RBD_Ac,MATCH("Engineering &amp; Development|A2|A",RBD_KEY,0)),"M")</f>
        <v>L</v>
      </c>
      <c r="M142" s="35" t="str">
        <f>IFERROR(INDEX(RBD_L,MATCH("Engineering &amp; Development|A2|A",RBD_KEY,0)),"M")</f>
        <v>L</v>
      </c>
      <c r="N142" s="35" t="str">
        <f>IFERROR(INDEX(RBD_BI,MATCH("Engineering &amp; Development|A2|A",RBD_KEY,0)),"M")</f>
        <v>L</v>
      </c>
      <c r="O142" s="35" t="str">
        <f>IFERROR(INDEX(RBD_Exp,MATCH("Engineering &amp; Development|A2|A",RBD_KEY,0)),"M")</f>
        <v>L</v>
      </c>
      <c r="P142" s="35" t="str">
        <f>IFERROR(INDEX(RBD_Edu,MATCH("Engineering &amp; Development|A2|A",RBD_KEY,0)),"M")</f>
        <v>L</v>
      </c>
      <c r="Q142" s="73">
        <f>IF(J142="","",IFERROR(INDEX(LMH_PTS,MATCH(J142,LMH_KEY,0))/SUM(IFERROR(INDEX(LMH_PTS,MATCH(J142,LMH_KEY,0)),0),IFERROR(INDEX(LMH_PTS,MATCH(K142,LMH_KEY,0)),0),IFERROR(INDEX(LMH_PTS,MATCH(L142,LMH_KEY,0)),0),IFERROR(INDEX(LMH_PTS,MATCH(M142,LMH_KEY,0)),0),IFERROR(INDEX(LMH_PTS,MATCH(N142,LMH_KEY,0)),0),IFERROR(INDEX(LMH_PTS,MATCH(O142,LMH_KEY,0)),0),IFERROR(INDEX(LMH_PTS,MATCH(P142,LMH_KEY,0)),0)),""))</f>
        <v>0.529411764705882</v>
      </c>
      <c r="R142" s="74">
        <f>IF(K142="","",IFERROR(INDEX(LMH_PTS,MATCH(K142,LMH_KEY,0))/SUM(IFERROR(INDEX(LMH_PTS,MATCH(J142,LMH_KEY,0)),0),IFERROR(INDEX(LMH_PTS,MATCH(K142,LMH_KEY,0)),0),IFERROR(INDEX(LMH_PTS,MATCH(L142,LMH_KEY,0)),0),IFERROR(INDEX(LMH_PTS,MATCH(M142,LMH_KEY,0)),0),IFERROR(INDEX(LMH_PTS,MATCH(N142,LMH_KEY,0)),0),IFERROR(INDEX(LMH_PTS,MATCH(O142,LMH_KEY,0)),0),IFERROR(INDEX(LMH_PTS,MATCH(P142,LMH_KEY,0)),0)),""))</f>
        <v>0.176470588235294</v>
      </c>
      <c r="S142" s="74">
        <f>IF(L142="","",IFERROR(INDEX(LMH_PTS,MATCH(L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T142" s="74">
        <f>IF(M142="","",IFERROR(INDEX(LMH_PTS,MATCH(M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U142" s="74">
        <f>IF(N142="","",IFERROR(INDEX(LMH_PTS,MATCH(N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V142" s="74">
        <f>IF(O142="","",IFERROR(INDEX(LMH_PTS,MATCH(O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W142" s="74">
        <f>IF(P142="","",IFERROR(INDEX(LMH_PTS,MATCH(P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X142" s="44" t="n"/>
      <c r="Y142" s="38" t="inlineStr">
        <is>
          <t>CARBON|Technology|Software Engineer|A2|A</t>
        </is>
      </c>
    </row>
    <row r="143" ht="18" customHeight="1">
      <c r="A143" s="28" t="inlineStr">
        <is>
          <t>CARBON</t>
        </is>
      </c>
      <c r="B143" s="29" t="inlineStr">
        <is>
          <t>Technology</t>
        </is>
      </c>
      <c r="C143" s="75" t="inlineStr">
        <is>
          <t>A2</t>
        </is>
      </c>
      <c r="D143" s="29" t="inlineStr">
        <is>
          <t>Band A · Practitioner</t>
        </is>
      </c>
      <c r="E143" s="29" t="inlineStr">
        <is>
          <t>UI Developer</t>
        </is>
      </c>
      <c r="F143" s="29" t="inlineStr">
        <is>
          <t>Band A · all tracks</t>
        </is>
      </c>
      <c r="G143" s="29" t="inlineStr">
        <is>
          <t>Engineering &amp; Development</t>
        </is>
      </c>
      <c r="H143" s="29" t="n">
        <v>1</v>
      </c>
      <c r="I143" s="29" t="inlineStr">
        <is>
          <t>Ayushi Prajapati</t>
        </is>
      </c>
      <c r="J143" s="34" t="str">
        <f>IFERROR(INDEX(RBD_C,MATCH("Engineering &amp; Development|A2|A",RBD_KEY,0)),"M")</f>
        <v>H</v>
      </c>
      <c r="K143" s="35" t="str">
        <f>IFERROR(INDEX(RBD_Au,MATCH("Engineering &amp; Development|A2|A",RBD_KEY,0)),"M")</f>
        <v>M</v>
      </c>
      <c r="L143" s="35" t="str">
        <f>IFERROR(INDEX(RBD_Ac,MATCH("Engineering &amp; Development|A2|A",RBD_KEY,0)),"M")</f>
        <v>L</v>
      </c>
      <c r="M143" s="35" t="str">
        <f>IFERROR(INDEX(RBD_L,MATCH("Engineering &amp; Development|A2|A",RBD_KEY,0)),"M")</f>
        <v>L</v>
      </c>
      <c r="N143" s="35" t="str">
        <f>IFERROR(INDEX(RBD_BI,MATCH("Engineering &amp; Development|A2|A",RBD_KEY,0)),"M")</f>
        <v>L</v>
      </c>
      <c r="O143" s="35" t="str">
        <f>IFERROR(INDEX(RBD_Exp,MATCH("Engineering &amp; Development|A2|A",RBD_KEY,0)),"M")</f>
        <v>L</v>
      </c>
      <c r="P143" s="35" t="str">
        <f>IFERROR(INDEX(RBD_Edu,MATCH("Engineering &amp; Development|A2|A",RBD_KEY,0)),"M")</f>
        <v>L</v>
      </c>
      <c r="Q143" s="73">
        <f>IF(J143="","",IFERROR(INDEX(LMH_PTS,MATCH(J143,LMH_KEY,0))/SUM(IFERROR(INDEX(LMH_PTS,MATCH(J143,LMH_KEY,0)),0),IFERROR(INDEX(LMH_PTS,MATCH(K143,LMH_KEY,0)),0),IFERROR(INDEX(LMH_PTS,MATCH(L143,LMH_KEY,0)),0),IFERROR(INDEX(LMH_PTS,MATCH(M143,LMH_KEY,0)),0),IFERROR(INDEX(LMH_PTS,MATCH(N143,LMH_KEY,0)),0),IFERROR(INDEX(LMH_PTS,MATCH(O143,LMH_KEY,0)),0),IFERROR(INDEX(LMH_PTS,MATCH(P143,LMH_KEY,0)),0)),""))</f>
        <v>0.529411764705882</v>
      </c>
      <c r="R143" s="74">
        <f>IF(K143="","",IFERROR(INDEX(LMH_PTS,MATCH(K143,LMH_KEY,0))/SUM(IFERROR(INDEX(LMH_PTS,MATCH(J143,LMH_KEY,0)),0),IFERROR(INDEX(LMH_PTS,MATCH(K143,LMH_KEY,0)),0),IFERROR(INDEX(LMH_PTS,MATCH(L143,LMH_KEY,0)),0),IFERROR(INDEX(LMH_PTS,MATCH(M143,LMH_KEY,0)),0),IFERROR(INDEX(LMH_PTS,MATCH(N143,LMH_KEY,0)),0),IFERROR(INDEX(LMH_PTS,MATCH(O143,LMH_KEY,0)),0),IFERROR(INDEX(LMH_PTS,MATCH(P143,LMH_KEY,0)),0)),""))</f>
        <v>0.176470588235294</v>
      </c>
      <c r="S143" s="74">
        <f>IF(L143="","",IFERROR(INDEX(LMH_PTS,MATCH(L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T143" s="74">
        <f>IF(M143="","",IFERROR(INDEX(LMH_PTS,MATCH(M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U143" s="74">
        <f>IF(N143="","",IFERROR(INDEX(LMH_PTS,MATCH(N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V143" s="74">
        <f>IF(O143="","",IFERROR(INDEX(LMH_PTS,MATCH(O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W143" s="74">
        <f>IF(P143="","",IFERROR(INDEX(LMH_PTS,MATCH(P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X143" s="44" t="n"/>
      <c r="Y143" s="38" t="inlineStr">
        <is>
          <t>CARBON|Technology|UI Developer|A2|A</t>
        </is>
      </c>
    </row>
    <row r="144" ht="18" customHeight="1">
      <c r="A144" s="28" t="inlineStr">
        <is>
          <t>CARBON</t>
        </is>
      </c>
      <c r="B144" s="29" t="inlineStr">
        <is>
          <t>Technology</t>
        </is>
      </c>
      <c r="C144" s="75" t="inlineStr">
        <is>
          <t>A1</t>
        </is>
      </c>
      <c r="D144" s="29" t="inlineStr">
        <is>
          <t>Band A · Practitioner</t>
        </is>
      </c>
      <c r="E144" s="29" t="inlineStr">
        <is>
          <t>Trainee Software Engineer</t>
        </is>
      </c>
      <c r="F144" s="29" t="inlineStr">
        <is>
          <t>Band A · all tracks</t>
        </is>
      </c>
      <c r="G144" s="29" t="inlineStr">
        <is>
          <t>Engineering &amp; Development</t>
        </is>
      </c>
      <c r="H144" s="29" t="n">
        <v>2</v>
      </c>
      <c r="I144" s="29" t="inlineStr">
        <is>
          <t>Soniya Paliwal, Ayush Sharma</t>
        </is>
      </c>
      <c r="J144" s="34" t="str">
        <f>IFERROR(INDEX(RBD_C,MATCH("Engineering &amp; Development|A1|A",RBD_KEY,0)),"M")</f>
        <v>H</v>
      </c>
      <c r="K144" s="35" t="str">
        <f>IFERROR(INDEX(RBD_Au,MATCH("Engineering &amp; Development|A1|A",RBD_KEY,0)),"M")</f>
        <v>M</v>
      </c>
      <c r="L144" s="35" t="str">
        <f>IFERROR(INDEX(RBD_Ac,MATCH("Engineering &amp; Development|A1|A",RBD_KEY,0)),"M")</f>
        <v>L</v>
      </c>
      <c r="M144" s="35" t="str">
        <f>IFERROR(INDEX(RBD_L,MATCH("Engineering &amp; Development|A1|A",RBD_KEY,0)),"M")</f>
        <v>L</v>
      </c>
      <c r="N144" s="35" t="str">
        <f>IFERROR(INDEX(RBD_BI,MATCH("Engineering &amp; Development|A1|A",RBD_KEY,0)),"M")</f>
        <v>L</v>
      </c>
      <c r="O144" s="35" t="str">
        <f>IFERROR(INDEX(RBD_Exp,MATCH("Engineering &amp; Development|A1|A",RBD_KEY,0)),"M")</f>
        <v>L</v>
      </c>
      <c r="P144" s="35" t="str">
        <f>IFERROR(INDEX(RBD_Edu,MATCH("Engineering &amp; Development|A1|A",RBD_KEY,0)),"M")</f>
        <v>L</v>
      </c>
      <c r="Q144" s="73">
        <f>IF(J144="","",IFERROR(INDEX(LMH_PTS,MATCH(J144,LMH_KEY,0))/SUM(IFERROR(INDEX(LMH_PTS,MATCH(J144,LMH_KEY,0)),0),IFERROR(INDEX(LMH_PTS,MATCH(K144,LMH_KEY,0)),0),IFERROR(INDEX(LMH_PTS,MATCH(L144,LMH_KEY,0)),0),IFERROR(INDEX(LMH_PTS,MATCH(M144,LMH_KEY,0)),0),IFERROR(INDEX(LMH_PTS,MATCH(N144,LMH_KEY,0)),0),IFERROR(INDEX(LMH_PTS,MATCH(O144,LMH_KEY,0)),0),IFERROR(INDEX(LMH_PTS,MATCH(P144,LMH_KEY,0)),0)),""))</f>
        <v>0.529411764705882</v>
      </c>
      <c r="R144" s="74">
        <f>IF(K144="","",IFERROR(INDEX(LMH_PTS,MATCH(K144,LMH_KEY,0))/SUM(IFERROR(INDEX(LMH_PTS,MATCH(J144,LMH_KEY,0)),0),IFERROR(INDEX(LMH_PTS,MATCH(K144,LMH_KEY,0)),0),IFERROR(INDEX(LMH_PTS,MATCH(L144,LMH_KEY,0)),0),IFERROR(INDEX(LMH_PTS,MATCH(M144,LMH_KEY,0)),0),IFERROR(INDEX(LMH_PTS,MATCH(N144,LMH_KEY,0)),0),IFERROR(INDEX(LMH_PTS,MATCH(O144,LMH_KEY,0)),0),IFERROR(INDEX(LMH_PTS,MATCH(P144,LMH_KEY,0)),0)),""))</f>
        <v>0.176470588235294</v>
      </c>
      <c r="S144" s="74">
        <f>IF(L144="","",IFERROR(INDEX(LMH_PTS,MATCH(L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T144" s="74">
        <f>IF(M144="","",IFERROR(INDEX(LMH_PTS,MATCH(M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U144" s="74">
        <f>IF(N144="","",IFERROR(INDEX(LMH_PTS,MATCH(N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V144" s="74">
        <f>IF(O144="","",IFERROR(INDEX(LMH_PTS,MATCH(O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W144" s="74">
        <f>IF(P144="","",IFERROR(INDEX(LMH_PTS,MATCH(P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X144" s="44" t="n"/>
      <c r="Y144" s="38" t="inlineStr">
        <is>
          <t>CARBON|Technology|Trainee Software Engineer|A1|A</t>
        </is>
      </c>
    </row>
    <row r="145" ht="18" customHeight="1">
      <c r="A145" s="28" t="inlineStr">
        <is>
          <t>iFile</t>
        </is>
      </c>
      <c r="B145" s="71" t="inlineStr">
        <is>
          <t>Design</t>
        </is>
      </c>
      <c r="C145" s="72" t="inlineStr">
        <is>
          <t>B1</t>
        </is>
      </c>
      <c r="D145" s="29" t="inlineStr">
        <is>
          <t>Band B · Specialist / Manager</t>
        </is>
      </c>
      <c r="E145" s="29" t="inlineStr">
        <is>
          <t>UI Specialist – POD Lead</t>
        </is>
      </c>
      <c r="F145" s="29" t="inlineStr">
        <is>
          <t>Band B · Specialist / POD Lead</t>
        </is>
      </c>
      <c r="G145" s="29" t="inlineStr">
        <is>
          <t>Engineering &amp; Development</t>
        </is>
      </c>
      <c r="H145" s="29" t="n">
        <v>1</v>
      </c>
      <c r="I145" s="29" t="inlineStr">
        <is>
          <t>Rajeev Kumar</t>
        </is>
      </c>
      <c r="J145" s="34" t="str">
        <f>IFERROR(INDEX(RBD_C,MATCH("Engineering &amp; Development|B1|B-IC",RBD_KEY,0)),"M")</f>
        <v>H</v>
      </c>
      <c r="K145" s="35" t="str">
        <f>IFERROR(INDEX(RBD_Au,MATCH("Engineering &amp; Development|B1|B-IC",RBD_KEY,0)),"M")</f>
        <v>M</v>
      </c>
      <c r="L145" s="35" t="str">
        <f>IFERROR(INDEX(RBD_Ac,MATCH("Engineering &amp; Development|B1|B-IC",RBD_KEY,0)),"M")</f>
        <v>L</v>
      </c>
      <c r="M145" s="35" t="str">
        <f>IFERROR(INDEX(RBD_L,MATCH("Engineering &amp; Development|B1|B-IC",RBD_KEY,0)),"M")</f>
        <v>L</v>
      </c>
      <c r="N145" s="35" t="str">
        <f>IFERROR(INDEX(RBD_BI,MATCH("Engineering &amp; Development|B1|B-IC",RBD_KEY,0)),"M")</f>
        <v>L</v>
      </c>
      <c r="O145" s="35" t="str">
        <f>IFERROR(INDEX(RBD_Exp,MATCH("Engineering &amp; Development|B1|B-IC",RBD_KEY,0)),"M")</f>
        <v>L</v>
      </c>
      <c r="P145" s="35" t="str">
        <f>IFERROR(INDEX(RBD_Edu,MATCH("Engineering &amp; Development|B1|B-IC",RBD_KEY,0)),"M")</f>
        <v>L</v>
      </c>
      <c r="Q145" s="73">
        <f>IF(J145="","",IFERROR(INDEX(LMH_PTS,MATCH(J145,LMH_KEY,0))/SUM(IFERROR(INDEX(LMH_PTS,MATCH(J145,LMH_KEY,0)),0),IFERROR(INDEX(LMH_PTS,MATCH(K145,LMH_KEY,0)),0),IFERROR(INDEX(LMH_PTS,MATCH(L145,LMH_KEY,0)),0),IFERROR(INDEX(LMH_PTS,MATCH(M145,LMH_KEY,0)),0),IFERROR(INDEX(LMH_PTS,MATCH(N145,LMH_KEY,0)),0),IFERROR(INDEX(LMH_PTS,MATCH(O145,LMH_KEY,0)),0),IFERROR(INDEX(LMH_PTS,MATCH(P145,LMH_KEY,0)),0)),""))</f>
        <v>0.529411764705882</v>
      </c>
      <c r="R145" s="74">
        <f>IF(K145="","",IFERROR(INDEX(LMH_PTS,MATCH(K145,LMH_KEY,0))/SUM(IFERROR(INDEX(LMH_PTS,MATCH(J145,LMH_KEY,0)),0),IFERROR(INDEX(LMH_PTS,MATCH(K145,LMH_KEY,0)),0),IFERROR(INDEX(LMH_PTS,MATCH(L145,LMH_KEY,0)),0),IFERROR(INDEX(LMH_PTS,MATCH(M145,LMH_KEY,0)),0),IFERROR(INDEX(LMH_PTS,MATCH(N145,LMH_KEY,0)),0),IFERROR(INDEX(LMH_PTS,MATCH(O145,LMH_KEY,0)),0),IFERROR(INDEX(LMH_PTS,MATCH(P145,LMH_KEY,0)),0)),""))</f>
        <v>0.176470588235294</v>
      </c>
      <c r="S145" s="74">
        <f>IF(L145="","",IFERROR(INDEX(LMH_PTS,MATCH(L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T145" s="74">
        <f>IF(M145="","",IFERROR(INDEX(LMH_PTS,MATCH(M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U145" s="74">
        <f>IF(N145="","",IFERROR(INDEX(LMH_PTS,MATCH(N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V145" s="74">
        <f>IF(O145="","",IFERROR(INDEX(LMH_PTS,MATCH(O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W145" s="74">
        <f>IF(P145="","",IFERROR(INDEX(LMH_PTS,MATCH(P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X145" s="44" t="n"/>
      <c r="Y145" s="38" t="inlineStr">
        <is>
          <t>iFile|Design|UI Specialist – POD Lead|B1|B-IC</t>
        </is>
      </c>
    </row>
    <row r="146" ht="18" customHeight="1">
      <c r="A146" s="28" t="inlineStr">
        <is>
          <t>iFile</t>
        </is>
      </c>
      <c r="B146" s="29" t="inlineStr">
        <is>
          <t>Design</t>
        </is>
      </c>
      <c r="C146" s="75" t="inlineStr">
        <is>
          <t>A3</t>
        </is>
      </c>
      <c r="D146" s="29" t="inlineStr">
        <is>
          <t>Band A · Practitioner</t>
        </is>
      </c>
      <c r="E146" s="29" t="inlineStr">
        <is>
          <t>Senior UI Developer</t>
        </is>
      </c>
      <c r="F146" s="29" t="inlineStr">
        <is>
          <t>Band A · all tracks</t>
        </is>
      </c>
      <c r="G146" s="29" t="inlineStr">
        <is>
          <t>Engineering &amp; Development</t>
        </is>
      </c>
      <c r="H146" s="29" t="n">
        <v>1</v>
      </c>
      <c r="I146" s="29" t="inlineStr">
        <is>
          <t>Kishori Rajigare</t>
        </is>
      </c>
      <c r="J146" s="34" t="str">
        <f>IFERROR(INDEX(RBD_C,MATCH("Engineering &amp; Development|A3|A",RBD_KEY,0)),"M")</f>
        <v>H</v>
      </c>
      <c r="K146" s="35" t="str">
        <f>IFERROR(INDEX(RBD_Au,MATCH("Engineering &amp; Development|A3|A",RBD_KEY,0)),"M")</f>
        <v>M</v>
      </c>
      <c r="L146" s="35" t="str">
        <f>IFERROR(INDEX(RBD_Ac,MATCH("Engineering &amp; Development|A3|A",RBD_KEY,0)),"M")</f>
        <v>L</v>
      </c>
      <c r="M146" s="35" t="str">
        <f>IFERROR(INDEX(RBD_L,MATCH("Engineering &amp; Development|A3|A",RBD_KEY,0)),"M")</f>
        <v>L</v>
      </c>
      <c r="N146" s="35" t="str">
        <f>IFERROR(INDEX(RBD_BI,MATCH("Engineering &amp; Development|A3|A",RBD_KEY,0)),"M")</f>
        <v>L</v>
      </c>
      <c r="O146" s="35" t="str">
        <f>IFERROR(INDEX(RBD_Exp,MATCH("Engineering &amp; Development|A3|A",RBD_KEY,0)),"M")</f>
        <v>L</v>
      </c>
      <c r="P146" s="35" t="str">
        <f>IFERROR(INDEX(RBD_Edu,MATCH("Engineering &amp; Development|A3|A",RBD_KEY,0)),"M")</f>
        <v>L</v>
      </c>
      <c r="Q146" s="73">
        <f>IF(J146="","",IFERROR(INDEX(LMH_PTS,MATCH(J146,LMH_KEY,0))/SUM(IFERROR(INDEX(LMH_PTS,MATCH(J146,LMH_KEY,0)),0),IFERROR(INDEX(LMH_PTS,MATCH(K146,LMH_KEY,0)),0),IFERROR(INDEX(LMH_PTS,MATCH(L146,LMH_KEY,0)),0),IFERROR(INDEX(LMH_PTS,MATCH(M146,LMH_KEY,0)),0),IFERROR(INDEX(LMH_PTS,MATCH(N146,LMH_KEY,0)),0),IFERROR(INDEX(LMH_PTS,MATCH(O146,LMH_KEY,0)),0),IFERROR(INDEX(LMH_PTS,MATCH(P146,LMH_KEY,0)),0)),""))</f>
        <v>0.529411764705882</v>
      </c>
      <c r="R146" s="74">
        <f>IF(K146="","",IFERROR(INDEX(LMH_PTS,MATCH(K146,LMH_KEY,0))/SUM(IFERROR(INDEX(LMH_PTS,MATCH(J146,LMH_KEY,0)),0),IFERROR(INDEX(LMH_PTS,MATCH(K146,LMH_KEY,0)),0),IFERROR(INDEX(LMH_PTS,MATCH(L146,LMH_KEY,0)),0),IFERROR(INDEX(LMH_PTS,MATCH(M146,LMH_KEY,0)),0),IFERROR(INDEX(LMH_PTS,MATCH(N146,LMH_KEY,0)),0),IFERROR(INDEX(LMH_PTS,MATCH(O146,LMH_KEY,0)),0),IFERROR(INDEX(LMH_PTS,MATCH(P146,LMH_KEY,0)),0)),""))</f>
        <v>0.176470588235294</v>
      </c>
      <c r="S146" s="74">
        <f>IF(L146="","",IFERROR(INDEX(LMH_PTS,MATCH(L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T146" s="74">
        <f>IF(M146="","",IFERROR(INDEX(LMH_PTS,MATCH(M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U146" s="74">
        <f>IF(N146="","",IFERROR(INDEX(LMH_PTS,MATCH(N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V146" s="74">
        <f>IF(O146="","",IFERROR(INDEX(LMH_PTS,MATCH(O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W146" s="74">
        <f>IF(P146="","",IFERROR(INDEX(LMH_PTS,MATCH(P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X146" s="44" t="n"/>
      <c r="Y146" s="38" t="inlineStr">
        <is>
          <t>iFile|Design|Senior UI Developer|A3|A</t>
        </is>
      </c>
    </row>
    <row r="147" ht="28" customHeight="1">
      <c r="A147" s="28" t="inlineStr">
        <is>
          <t>iFile</t>
        </is>
      </c>
      <c r="B147" s="71" t="inlineStr">
        <is>
          <t>Marketing</t>
        </is>
      </c>
      <c r="C147" s="72" t="inlineStr">
        <is>
          <t>B1</t>
        </is>
      </c>
      <c r="D147" s="29" t="inlineStr">
        <is>
          <t>Band B · Specialist / Manager</t>
        </is>
      </c>
      <c r="E147" s="29" t="inlineStr">
        <is>
          <t>Team Lead – Product Marketing</t>
        </is>
      </c>
      <c r="F147" s="29" t="inlineStr">
        <is>
          <t>Band B · People Manager</t>
        </is>
      </c>
      <c r="G147" s="29" t="inlineStr">
        <is>
          <t>Marketing &amp; Communications</t>
        </is>
      </c>
      <c r="H147" s="29" t="n">
        <v>1</v>
      </c>
      <c r="I147" s="29" t="inlineStr">
        <is>
          <t>Abhilash Menon</t>
        </is>
      </c>
      <c r="J147" s="34" t="str">
        <f>IFERROR(INDEX(RBD_C,MATCH("Marketing &amp; Communications|B1|B-M",RBD_KEY,0)),"M")</f>
        <v>H</v>
      </c>
      <c r="K147" s="35" t="str">
        <f>IFERROR(INDEX(RBD_Au,MATCH("Marketing &amp; Communications|B1|B-M",RBD_KEY,0)),"M")</f>
        <v>M</v>
      </c>
      <c r="L147" s="35" t="str">
        <f>IFERROR(INDEX(RBD_Ac,MATCH("Marketing &amp; Communications|B1|B-M",RBD_KEY,0)),"M")</f>
        <v>L</v>
      </c>
      <c r="M147" s="35" t="str">
        <f>IFERROR(INDEX(RBD_L,MATCH("Marketing &amp; Communications|B1|B-M",RBD_KEY,0)),"M")</f>
        <v>M</v>
      </c>
      <c r="N147" s="35" t="str">
        <f>IFERROR(INDEX(RBD_BI,MATCH("Marketing &amp; Communications|B1|B-M",RBD_KEY,0)),"M")</f>
        <v>M</v>
      </c>
      <c r="O147" s="35" t="str">
        <f>IFERROR(INDEX(RBD_Exp,MATCH("Marketing &amp; Communications|B1|B-M",RBD_KEY,0)),"M")</f>
        <v>L</v>
      </c>
      <c r="P147" s="35" t="str">
        <f>IFERROR(INDEX(RBD_Edu,MATCH("Marketing &amp; Communications|B1|B-M",RBD_KEY,0)),"M")</f>
        <v>L</v>
      </c>
      <c r="Q147" s="73">
        <f>IF(J147="","",IFERROR(INDEX(LMH_PTS,MATCH(J147,LMH_KEY,0))/SUM(IFERROR(INDEX(LMH_PTS,MATCH(J147,LMH_KEY,0)),0),IFERROR(INDEX(LMH_PTS,MATCH(K147,LMH_KEY,0)),0),IFERROR(INDEX(LMH_PTS,MATCH(L147,LMH_KEY,0)),0),IFERROR(INDEX(LMH_PTS,MATCH(M147,LMH_KEY,0)),0),IFERROR(INDEX(LMH_PTS,MATCH(N147,LMH_KEY,0)),0),IFERROR(INDEX(LMH_PTS,MATCH(O147,LMH_KEY,0)),0),IFERROR(INDEX(LMH_PTS,MATCH(P147,LMH_KEY,0)),0)),""))</f>
        <v>0.428571428571429</v>
      </c>
      <c r="R147" s="74">
        <f>IF(K147="","",IFERROR(INDEX(LMH_PTS,MATCH(K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S147" s="74">
        <f>IF(L147="","",IFERROR(INDEX(LMH_PTS,MATCH(L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T147" s="74">
        <f>IF(M147="","",IFERROR(INDEX(LMH_PTS,MATCH(M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U147" s="74">
        <f>IF(N147="","",IFERROR(INDEX(LMH_PTS,MATCH(N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V147" s="74">
        <f>IF(O147="","",IFERROR(INDEX(LMH_PTS,MATCH(O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W147" s="74">
        <f>IF(P147="","",IFERROR(INDEX(LMH_PTS,MATCH(P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X147" s="44" t="n"/>
      <c r="Y147" s="38" t="inlineStr">
        <is>
          <t>iFile|Marketing|Team Lead – Product Marketing|B1|B-M</t>
        </is>
      </c>
    </row>
    <row r="148" ht="28" customHeight="1">
      <c r="A148" s="28" t="inlineStr">
        <is>
          <t>iFile</t>
        </is>
      </c>
      <c r="B148" s="29" t="inlineStr">
        <is>
          <t>Marketing</t>
        </is>
      </c>
      <c r="C148" s="75" t="inlineStr">
        <is>
          <t>A3</t>
        </is>
      </c>
      <c r="D148" s="29" t="inlineStr">
        <is>
          <t>Band A · Practitioner</t>
        </is>
      </c>
      <c r="E148" s="29" t="inlineStr">
        <is>
          <t>Senior Marketing Operations Associate</t>
        </is>
      </c>
      <c r="F148" s="29" t="inlineStr">
        <is>
          <t>Band A · all tracks</t>
        </is>
      </c>
      <c r="G148" s="29" t="inlineStr">
        <is>
          <t>Marketing &amp; Communications</t>
        </is>
      </c>
      <c r="H148" s="29" t="n">
        <v>1</v>
      </c>
      <c r="I148" s="29" t="inlineStr">
        <is>
          <t>Shashwat Dikshit</t>
        </is>
      </c>
      <c r="J148" s="34" t="str">
        <f>IFERROR(INDEX(RBD_C,MATCH("Marketing &amp; Communications|A3|A",RBD_KEY,0)),"M")</f>
        <v>H</v>
      </c>
      <c r="K148" s="35" t="str">
        <f>IFERROR(INDEX(RBD_Au,MATCH("Marketing &amp; Communications|A3|A",RBD_KEY,0)),"M")</f>
        <v>M</v>
      </c>
      <c r="L148" s="35" t="str">
        <f>IFERROR(INDEX(RBD_Ac,MATCH("Marketing &amp; Communications|A3|A",RBD_KEY,0)),"M")</f>
        <v>L</v>
      </c>
      <c r="M148" s="35" t="str">
        <f>IFERROR(INDEX(RBD_L,MATCH("Marketing &amp; Communications|A3|A",RBD_KEY,0)),"M")</f>
        <v>L</v>
      </c>
      <c r="N148" s="35" t="str">
        <f>IFERROR(INDEX(RBD_BI,MATCH("Marketing &amp; Communications|A3|A",RBD_KEY,0)),"M")</f>
        <v>M</v>
      </c>
      <c r="O148" s="35" t="str">
        <f>IFERROR(INDEX(RBD_Exp,MATCH("Marketing &amp; Communications|A3|A",RBD_KEY,0)),"M")</f>
        <v>L</v>
      </c>
      <c r="P148" s="35" t="str">
        <f>IFERROR(INDEX(RBD_Edu,MATCH("Marketing &amp; Communications|A3|A",RBD_KEY,0)),"M")</f>
        <v>L</v>
      </c>
      <c r="Q148" s="73">
        <f>IF(J148="","",IFERROR(INDEX(LMH_PTS,MATCH(J148,LMH_KEY,0))/SUM(IFERROR(INDEX(LMH_PTS,MATCH(J148,LMH_KEY,0)),0),IFERROR(INDEX(LMH_PTS,MATCH(K148,LMH_KEY,0)),0),IFERROR(INDEX(LMH_PTS,MATCH(L148,LMH_KEY,0)),0),IFERROR(INDEX(LMH_PTS,MATCH(M148,LMH_KEY,0)),0),IFERROR(INDEX(LMH_PTS,MATCH(N148,LMH_KEY,0)),0),IFERROR(INDEX(LMH_PTS,MATCH(O148,LMH_KEY,0)),0),IFERROR(INDEX(LMH_PTS,MATCH(P148,LMH_KEY,0)),0)),""))</f>
        <v>0.473684210526316</v>
      </c>
      <c r="R148" s="74">
        <f>IF(K148="","",IFERROR(INDEX(LMH_PTS,MATCH(K148,LMH_KEY,0))/SUM(IFERROR(INDEX(LMH_PTS,MATCH(J148,LMH_KEY,0)),0),IFERROR(INDEX(LMH_PTS,MATCH(K148,LMH_KEY,0)),0),IFERROR(INDEX(LMH_PTS,MATCH(L148,LMH_KEY,0)),0),IFERROR(INDEX(LMH_PTS,MATCH(M148,LMH_KEY,0)),0),IFERROR(INDEX(LMH_PTS,MATCH(N148,LMH_KEY,0)),0),IFERROR(INDEX(LMH_PTS,MATCH(O148,LMH_KEY,0)),0),IFERROR(INDEX(LMH_PTS,MATCH(P148,LMH_KEY,0)),0)),""))</f>
        <v>0.157894736842105</v>
      </c>
      <c r="S148" s="74">
        <f>IF(L148="","",IFERROR(INDEX(LMH_PTS,MATCH(L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T148" s="74">
        <f>IF(M148="","",IFERROR(INDEX(LMH_PTS,MATCH(M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U148" s="74">
        <f>IF(N148="","",IFERROR(INDEX(LMH_PTS,MATCH(N148,LMH_KEY,0))/SUM(IFERROR(INDEX(LMH_PTS,MATCH(J148,LMH_KEY,0)),0),IFERROR(INDEX(LMH_PTS,MATCH(K148,LMH_KEY,0)),0),IFERROR(INDEX(LMH_PTS,MATCH(L148,LMH_KEY,0)),0),IFERROR(INDEX(LMH_PTS,MATCH(M148,LMH_KEY,0)),0),IFERROR(INDEX(LMH_PTS,MATCH(N148,LMH_KEY,0)),0),IFERROR(INDEX(LMH_PTS,MATCH(O148,LMH_KEY,0)),0),IFERROR(INDEX(LMH_PTS,MATCH(P148,LMH_KEY,0)),0)),""))</f>
        <v>0.157894736842105</v>
      </c>
      <c r="V148" s="74">
        <f>IF(O148="","",IFERROR(INDEX(LMH_PTS,MATCH(O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W148" s="74">
        <f>IF(P148="","",IFERROR(INDEX(LMH_PTS,MATCH(P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X148" s="44" t="n"/>
      <c r="Y148" s="38" t="inlineStr">
        <is>
          <t>iFile|Marketing|Senior Marketing Operations Associate|A3|A</t>
        </is>
      </c>
    </row>
    <row r="149" ht="18" customHeight="1">
      <c r="A149" s="28" t="inlineStr">
        <is>
          <t>iFile</t>
        </is>
      </c>
      <c r="B149" s="71" t="inlineStr">
        <is>
          <t>Product Management</t>
        </is>
      </c>
      <c r="C149" s="72" t="inlineStr">
        <is>
          <t>B3</t>
        </is>
      </c>
      <c r="D149" s="29" t="inlineStr">
        <is>
          <t>Band B · Specialist / Manager</t>
        </is>
      </c>
      <c r="E149" s="29" t="inlineStr">
        <is>
          <t>Senior Product Manager</t>
        </is>
      </c>
      <c r="F149" s="29" t="inlineStr">
        <is>
          <t>Band B · Specialist / POD Lead</t>
        </is>
      </c>
      <c r="G149" s="29" t="inlineStr">
        <is>
          <t>Product Management</t>
        </is>
      </c>
      <c r="H149" s="29" t="n">
        <v>1</v>
      </c>
      <c r="I149" s="29" t="inlineStr">
        <is>
          <t>Sumit Jain</t>
        </is>
      </c>
      <c r="J149" s="34" t="str">
        <f>IFERROR(INDEX(RBD_C,MATCH("Product Management|B3|B-IC",RBD_KEY,0)),"M")</f>
        <v>H</v>
      </c>
      <c r="K149" s="35" t="str">
        <f>IFERROR(INDEX(RBD_Au,MATCH("Product Management|B3|B-IC",RBD_KEY,0)),"M")</f>
        <v>M</v>
      </c>
      <c r="L149" s="35" t="str">
        <f>IFERROR(INDEX(RBD_Ac,MATCH("Product Management|B3|B-IC",RBD_KEY,0)),"M")</f>
        <v>M</v>
      </c>
      <c r="M149" s="35" t="str">
        <f>IFERROR(INDEX(RBD_L,MATCH("Product Management|B3|B-IC",RBD_KEY,0)),"M")</f>
        <v>L</v>
      </c>
      <c r="N149" s="35" t="str">
        <f>IFERROR(INDEX(RBD_BI,MATCH("Product Management|B3|B-IC",RBD_KEY,0)),"M")</f>
        <v>L</v>
      </c>
      <c r="O149" s="35" t="str">
        <f>IFERROR(INDEX(RBD_Exp,MATCH("Product Management|B3|B-IC",RBD_KEY,0)),"M")</f>
        <v>L</v>
      </c>
      <c r="P149" s="35" t="str">
        <f>IFERROR(INDEX(RBD_Edu,MATCH("Product Management|B3|B-IC",RBD_KEY,0)),"M")</f>
        <v>L</v>
      </c>
      <c r="Q149" s="73">
        <f>IF(J149="","",IFERROR(INDEX(LMH_PTS,MATCH(J149,LMH_KEY,0))/SUM(IFERROR(INDEX(LMH_PTS,MATCH(J149,LMH_KEY,0)),0),IFERROR(INDEX(LMH_PTS,MATCH(K149,LMH_KEY,0)),0),IFERROR(INDEX(LMH_PTS,MATCH(L149,LMH_KEY,0)),0),IFERROR(INDEX(LMH_PTS,MATCH(M149,LMH_KEY,0)),0),IFERROR(INDEX(LMH_PTS,MATCH(N149,LMH_KEY,0)),0),IFERROR(INDEX(LMH_PTS,MATCH(O149,LMH_KEY,0)),0),IFERROR(INDEX(LMH_PTS,MATCH(P149,LMH_KEY,0)),0)),""))</f>
        <v>0.473684210526316</v>
      </c>
      <c r="R149" s="74">
        <f>IF(K149="","",IFERROR(INDEX(LMH_PTS,MATCH(K149,LMH_KEY,0))/SUM(IFERROR(INDEX(LMH_PTS,MATCH(J149,LMH_KEY,0)),0),IFERROR(INDEX(LMH_PTS,MATCH(K149,LMH_KEY,0)),0),IFERROR(INDEX(LMH_PTS,MATCH(L149,LMH_KEY,0)),0),IFERROR(INDEX(LMH_PTS,MATCH(M149,LMH_KEY,0)),0),IFERROR(INDEX(LMH_PTS,MATCH(N149,LMH_KEY,0)),0),IFERROR(INDEX(LMH_PTS,MATCH(O149,LMH_KEY,0)),0),IFERROR(INDEX(LMH_PTS,MATCH(P149,LMH_KEY,0)),0)),""))</f>
        <v>0.157894736842105</v>
      </c>
      <c r="S149" s="74">
        <f>IF(L149="","",IFERROR(INDEX(LMH_PTS,MATCH(L149,LMH_KEY,0))/SUM(IFERROR(INDEX(LMH_PTS,MATCH(J149,LMH_KEY,0)),0),IFERROR(INDEX(LMH_PTS,MATCH(K149,LMH_KEY,0)),0),IFERROR(INDEX(LMH_PTS,MATCH(L149,LMH_KEY,0)),0),IFERROR(INDEX(LMH_PTS,MATCH(M149,LMH_KEY,0)),0),IFERROR(INDEX(LMH_PTS,MATCH(N149,LMH_KEY,0)),0),IFERROR(INDEX(LMH_PTS,MATCH(O149,LMH_KEY,0)),0),IFERROR(INDEX(LMH_PTS,MATCH(P149,LMH_KEY,0)),0)),""))</f>
        <v>0.157894736842105</v>
      </c>
      <c r="T149" s="74">
        <f>IF(M149="","",IFERROR(INDEX(LMH_PTS,MATCH(M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U149" s="74">
        <f>IF(N149="","",IFERROR(INDEX(LMH_PTS,MATCH(N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V149" s="74">
        <f>IF(O149="","",IFERROR(INDEX(LMH_PTS,MATCH(O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W149" s="74">
        <f>IF(P149="","",IFERROR(INDEX(LMH_PTS,MATCH(P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X149" s="44" t="n"/>
      <c r="Y149" s="38" t="inlineStr">
        <is>
          <t>iFile|Product Management|Senior Product Manager|B3|B-IC</t>
        </is>
      </c>
    </row>
    <row r="150" ht="18" customHeight="1">
      <c r="A150" s="28" t="inlineStr">
        <is>
          <t>iFile</t>
        </is>
      </c>
      <c r="B150" s="71" t="inlineStr">
        <is>
          <t>Quality Assurance</t>
        </is>
      </c>
      <c r="C150" s="72" t="inlineStr">
        <is>
          <t>B2</t>
        </is>
      </c>
      <c r="D150" s="29" t="inlineStr">
        <is>
          <t>Band B · Specialist / Manager</t>
        </is>
      </c>
      <c r="E150" s="29" t="inlineStr">
        <is>
          <t>Senior QA Manager</t>
        </is>
      </c>
      <c r="F150" s="29" t="inlineStr">
        <is>
          <t>Band B · People Manager</t>
        </is>
      </c>
      <c r="G150" s="29" t="inlineStr">
        <is>
          <t>Quality Assurance</t>
        </is>
      </c>
      <c r="H150" s="29" t="n">
        <v>1</v>
      </c>
      <c r="I150" s="29" t="inlineStr">
        <is>
          <t>Davinder Pal Singh</t>
        </is>
      </c>
      <c r="J150" s="34" t="str">
        <f>IFERROR(INDEX(RBD_C,MATCH("Quality Assurance|B2|B-M",RBD_KEY,0)),"M")</f>
        <v>H</v>
      </c>
      <c r="K150" s="35" t="str">
        <f>IFERROR(INDEX(RBD_Au,MATCH("Quality Assurance|B2|B-M",RBD_KEY,0)),"M")</f>
        <v>M</v>
      </c>
      <c r="L150" s="35" t="str">
        <f>IFERROR(INDEX(RBD_Ac,MATCH("Quality Assurance|B2|B-M",RBD_KEY,0)),"M")</f>
        <v>L</v>
      </c>
      <c r="M150" s="35" t="str">
        <f>IFERROR(INDEX(RBD_L,MATCH("Quality Assurance|B2|B-M",RBD_KEY,0)),"M")</f>
        <v>M</v>
      </c>
      <c r="N150" s="35" t="str">
        <f>IFERROR(INDEX(RBD_BI,MATCH("Quality Assurance|B2|B-M",RBD_KEY,0)),"M")</f>
        <v>L</v>
      </c>
      <c r="O150" s="35" t="str">
        <f>IFERROR(INDEX(RBD_Exp,MATCH("Quality Assurance|B2|B-M",RBD_KEY,0)),"M")</f>
        <v>L</v>
      </c>
      <c r="P150" s="35" t="str">
        <f>IFERROR(INDEX(RBD_Edu,MATCH("Quality Assurance|B2|B-M",RBD_KEY,0)),"M")</f>
        <v>L</v>
      </c>
      <c r="Q150" s="73">
        <f>IF(J150="","",IFERROR(INDEX(LMH_PTS,MATCH(J150,LMH_KEY,0))/SUM(IFERROR(INDEX(LMH_PTS,MATCH(J150,LMH_KEY,0)),0),IFERROR(INDEX(LMH_PTS,MATCH(K150,LMH_KEY,0)),0),IFERROR(INDEX(LMH_PTS,MATCH(L150,LMH_KEY,0)),0),IFERROR(INDEX(LMH_PTS,MATCH(M150,LMH_KEY,0)),0),IFERROR(INDEX(LMH_PTS,MATCH(N150,LMH_KEY,0)),0),IFERROR(INDEX(LMH_PTS,MATCH(O150,LMH_KEY,0)),0),IFERROR(INDEX(LMH_PTS,MATCH(P150,LMH_KEY,0)),0)),""))</f>
        <v>0.473684210526316</v>
      </c>
      <c r="R150" s="74">
        <f>IF(K150="","",IFERROR(INDEX(LMH_PTS,MATCH(K150,LMH_KEY,0))/SUM(IFERROR(INDEX(LMH_PTS,MATCH(J150,LMH_KEY,0)),0),IFERROR(INDEX(LMH_PTS,MATCH(K150,LMH_KEY,0)),0),IFERROR(INDEX(LMH_PTS,MATCH(L150,LMH_KEY,0)),0),IFERROR(INDEX(LMH_PTS,MATCH(M150,LMH_KEY,0)),0),IFERROR(INDEX(LMH_PTS,MATCH(N150,LMH_KEY,0)),0),IFERROR(INDEX(LMH_PTS,MATCH(O150,LMH_KEY,0)),0),IFERROR(INDEX(LMH_PTS,MATCH(P150,LMH_KEY,0)),0)),""))</f>
        <v>0.157894736842105</v>
      </c>
      <c r="S150" s="74">
        <f>IF(L150="","",IFERROR(INDEX(LMH_PTS,MATCH(L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T150" s="74">
        <f>IF(M150="","",IFERROR(INDEX(LMH_PTS,MATCH(M150,LMH_KEY,0))/SUM(IFERROR(INDEX(LMH_PTS,MATCH(J150,LMH_KEY,0)),0),IFERROR(INDEX(LMH_PTS,MATCH(K150,LMH_KEY,0)),0),IFERROR(INDEX(LMH_PTS,MATCH(L150,LMH_KEY,0)),0),IFERROR(INDEX(LMH_PTS,MATCH(M150,LMH_KEY,0)),0),IFERROR(INDEX(LMH_PTS,MATCH(N150,LMH_KEY,0)),0),IFERROR(INDEX(LMH_PTS,MATCH(O150,LMH_KEY,0)),0),IFERROR(INDEX(LMH_PTS,MATCH(P150,LMH_KEY,0)),0)),""))</f>
        <v>0.157894736842105</v>
      </c>
      <c r="U150" s="74">
        <f>IF(N150="","",IFERROR(INDEX(LMH_PTS,MATCH(N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V150" s="74">
        <f>IF(O150="","",IFERROR(INDEX(LMH_PTS,MATCH(O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W150" s="74">
        <f>IF(P150="","",IFERROR(INDEX(LMH_PTS,MATCH(P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X150" s="44" t="n"/>
      <c r="Y150" s="38" t="inlineStr">
        <is>
          <t>iFile|Quality Assurance|Senior QA Manager|B2|B-M</t>
        </is>
      </c>
    </row>
    <row r="151" ht="28" customHeight="1">
      <c r="A151" s="28" t="inlineStr">
        <is>
          <t>iFile</t>
        </is>
      </c>
      <c r="B151" s="29" t="inlineStr">
        <is>
          <t>Quality Assurance</t>
        </is>
      </c>
      <c r="C151" s="72" t="inlineStr">
        <is>
          <t>B1</t>
        </is>
      </c>
      <c r="D151" s="29" t="inlineStr">
        <is>
          <t>Band B · Specialist / Manager</t>
        </is>
      </c>
      <c r="E151" s="29" t="inlineStr">
        <is>
          <t>QA Specialist – POD Lead</t>
        </is>
      </c>
      <c r="F151" s="29" t="inlineStr">
        <is>
          <t>Band B · Specialist / POD Lead</t>
        </is>
      </c>
      <c r="G151" s="29" t="inlineStr">
        <is>
          <t>Quality Assurance</t>
        </is>
      </c>
      <c r="H151" s="29" t="n">
        <v>3</v>
      </c>
      <c r="I151" s="29" t="inlineStr">
        <is>
          <t>Pallavi Suryavanshi, Ruturaj Kadam, Susan Peter</t>
        </is>
      </c>
      <c r="J151" s="34" t="str">
        <f>IFERROR(INDEX(RBD_C,MATCH("Quality Assurance|B1|B-IC",RBD_KEY,0)),"M")</f>
        <v>H</v>
      </c>
      <c r="K151" s="35" t="str">
        <f>IFERROR(INDEX(RBD_Au,MATCH("Quality Assurance|B1|B-IC",RBD_KEY,0)),"M")</f>
        <v>M</v>
      </c>
      <c r="L151" s="35" t="str">
        <f>IFERROR(INDEX(RBD_Ac,MATCH("Quality Assurance|B1|B-IC",RBD_KEY,0)),"M")</f>
        <v>L</v>
      </c>
      <c r="M151" s="35" t="str">
        <f>IFERROR(INDEX(RBD_L,MATCH("Quality Assurance|B1|B-IC",RBD_KEY,0)),"M")</f>
        <v>L</v>
      </c>
      <c r="N151" s="35" t="str">
        <f>IFERROR(INDEX(RBD_BI,MATCH("Quality Assurance|B1|B-IC",RBD_KEY,0)),"M")</f>
        <v>L</v>
      </c>
      <c r="O151" s="35" t="str">
        <f>IFERROR(INDEX(RBD_Exp,MATCH("Quality Assurance|B1|B-IC",RBD_KEY,0)),"M")</f>
        <v>L</v>
      </c>
      <c r="P151" s="35" t="str">
        <f>IFERROR(INDEX(RBD_Edu,MATCH("Quality Assurance|B1|B-IC",RBD_KEY,0)),"M")</f>
        <v>L</v>
      </c>
      <c r="Q151" s="73">
        <f>IF(J151="","",IFERROR(INDEX(LMH_PTS,MATCH(J151,LMH_KEY,0))/SUM(IFERROR(INDEX(LMH_PTS,MATCH(J151,LMH_KEY,0)),0),IFERROR(INDEX(LMH_PTS,MATCH(K151,LMH_KEY,0)),0),IFERROR(INDEX(LMH_PTS,MATCH(L151,LMH_KEY,0)),0),IFERROR(INDEX(LMH_PTS,MATCH(M151,LMH_KEY,0)),0),IFERROR(INDEX(LMH_PTS,MATCH(N151,LMH_KEY,0)),0),IFERROR(INDEX(LMH_PTS,MATCH(O151,LMH_KEY,0)),0),IFERROR(INDEX(LMH_PTS,MATCH(P151,LMH_KEY,0)),0)),""))</f>
        <v>0.529411764705882</v>
      </c>
      <c r="R151" s="74">
        <f>IF(K151="","",IFERROR(INDEX(LMH_PTS,MATCH(K151,LMH_KEY,0))/SUM(IFERROR(INDEX(LMH_PTS,MATCH(J151,LMH_KEY,0)),0),IFERROR(INDEX(LMH_PTS,MATCH(K151,LMH_KEY,0)),0),IFERROR(INDEX(LMH_PTS,MATCH(L151,LMH_KEY,0)),0),IFERROR(INDEX(LMH_PTS,MATCH(M151,LMH_KEY,0)),0),IFERROR(INDEX(LMH_PTS,MATCH(N151,LMH_KEY,0)),0),IFERROR(INDEX(LMH_PTS,MATCH(O151,LMH_KEY,0)),0),IFERROR(INDEX(LMH_PTS,MATCH(P151,LMH_KEY,0)),0)),""))</f>
        <v>0.176470588235294</v>
      </c>
      <c r="S151" s="74">
        <f>IF(L151="","",IFERROR(INDEX(LMH_PTS,MATCH(L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T151" s="74">
        <f>IF(M151="","",IFERROR(INDEX(LMH_PTS,MATCH(M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U151" s="74">
        <f>IF(N151="","",IFERROR(INDEX(LMH_PTS,MATCH(N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V151" s="74">
        <f>IF(O151="","",IFERROR(INDEX(LMH_PTS,MATCH(O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W151" s="74">
        <f>IF(P151="","",IFERROR(INDEX(LMH_PTS,MATCH(P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X151" s="44" t="n"/>
      <c r="Y151" s="38" t="inlineStr">
        <is>
          <t>iFile|Quality Assurance|QA Specialist – POD Lead|B1|B-IC</t>
        </is>
      </c>
    </row>
    <row r="152" ht="28" customHeight="1">
      <c r="A152" s="28" t="inlineStr">
        <is>
          <t>iFile</t>
        </is>
      </c>
      <c r="B152" s="29" t="inlineStr">
        <is>
          <t>Quality Assurance</t>
        </is>
      </c>
      <c r="C152" s="72" t="inlineStr">
        <is>
          <t>B1</t>
        </is>
      </c>
      <c r="D152" s="29" t="inlineStr">
        <is>
          <t>Band B · Specialist / Manager</t>
        </is>
      </c>
      <c r="E152" s="29" t="inlineStr">
        <is>
          <t>Senior QA Specialist – POD Lead</t>
        </is>
      </c>
      <c r="F152" s="29" t="inlineStr">
        <is>
          <t>Band B · Specialist / POD Lead</t>
        </is>
      </c>
      <c r="G152" s="29" t="inlineStr">
        <is>
          <t>Quality Assurance</t>
        </is>
      </c>
      <c r="H152" s="29" t="n">
        <v>1</v>
      </c>
      <c r="I152" s="29" t="inlineStr">
        <is>
          <t>Sameer Joshi</t>
        </is>
      </c>
      <c r="J152" s="34" t="str">
        <f>IFERROR(INDEX(RBD_C,MATCH("Quality Assurance|B1|B-IC",RBD_KEY,0)),"M")</f>
        <v>H</v>
      </c>
      <c r="K152" s="35" t="str">
        <f>IFERROR(INDEX(RBD_Au,MATCH("Quality Assurance|B1|B-IC",RBD_KEY,0)),"M")</f>
        <v>M</v>
      </c>
      <c r="L152" s="35" t="str">
        <f>IFERROR(INDEX(RBD_Ac,MATCH("Quality Assurance|B1|B-IC",RBD_KEY,0)),"M")</f>
        <v>L</v>
      </c>
      <c r="M152" s="35" t="str">
        <f>IFERROR(INDEX(RBD_L,MATCH("Quality Assurance|B1|B-IC",RBD_KEY,0)),"M")</f>
        <v>L</v>
      </c>
      <c r="N152" s="35" t="str">
        <f>IFERROR(INDEX(RBD_BI,MATCH("Quality Assurance|B1|B-IC",RBD_KEY,0)),"M")</f>
        <v>L</v>
      </c>
      <c r="O152" s="35" t="str">
        <f>IFERROR(INDEX(RBD_Exp,MATCH("Quality Assurance|B1|B-IC",RBD_KEY,0)),"M")</f>
        <v>L</v>
      </c>
      <c r="P152" s="35" t="str">
        <f>IFERROR(INDEX(RBD_Edu,MATCH("Quality Assurance|B1|B-IC",RBD_KEY,0)),"M")</f>
        <v>L</v>
      </c>
      <c r="Q152" s="73">
        <f>IF(J152="","",IFERROR(INDEX(LMH_PTS,MATCH(J152,LMH_KEY,0))/SUM(IFERROR(INDEX(LMH_PTS,MATCH(J152,LMH_KEY,0)),0),IFERROR(INDEX(LMH_PTS,MATCH(K152,LMH_KEY,0)),0),IFERROR(INDEX(LMH_PTS,MATCH(L152,LMH_KEY,0)),0),IFERROR(INDEX(LMH_PTS,MATCH(M152,LMH_KEY,0)),0),IFERROR(INDEX(LMH_PTS,MATCH(N152,LMH_KEY,0)),0),IFERROR(INDEX(LMH_PTS,MATCH(O152,LMH_KEY,0)),0),IFERROR(INDEX(LMH_PTS,MATCH(P152,LMH_KEY,0)),0)),""))</f>
        <v>0.529411764705882</v>
      </c>
      <c r="R152" s="74">
        <f>IF(K152="","",IFERROR(INDEX(LMH_PTS,MATCH(K152,LMH_KEY,0))/SUM(IFERROR(INDEX(LMH_PTS,MATCH(J152,LMH_KEY,0)),0),IFERROR(INDEX(LMH_PTS,MATCH(K152,LMH_KEY,0)),0),IFERROR(INDEX(LMH_PTS,MATCH(L152,LMH_KEY,0)),0),IFERROR(INDEX(LMH_PTS,MATCH(M152,LMH_KEY,0)),0),IFERROR(INDEX(LMH_PTS,MATCH(N152,LMH_KEY,0)),0),IFERROR(INDEX(LMH_PTS,MATCH(O152,LMH_KEY,0)),0),IFERROR(INDEX(LMH_PTS,MATCH(P152,LMH_KEY,0)),0)),""))</f>
        <v>0.176470588235294</v>
      </c>
      <c r="S152" s="74">
        <f>IF(L152="","",IFERROR(INDEX(LMH_PTS,MATCH(L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T152" s="74">
        <f>IF(M152="","",IFERROR(INDEX(LMH_PTS,MATCH(M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U152" s="74">
        <f>IF(N152="","",IFERROR(INDEX(LMH_PTS,MATCH(N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V152" s="74">
        <f>IF(O152="","",IFERROR(INDEX(LMH_PTS,MATCH(O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W152" s="74">
        <f>IF(P152="","",IFERROR(INDEX(LMH_PTS,MATCH(P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X152" s="44" t="n"/>
      <c r="Y152" s="38" t="inlineStr">
        <is>
          <t>iFile|Quality Assurance|Senior QA Specialist – POD Lead|B1|B-IC</t>
        </is>
      </c>
    </row>
    <row r="153" ht="18" customHeight="1">
      <c r="A153" s="28" t="inlineStr">
        <is>
          <t>iFile</t>
        </is>
      </c>
      <c r="B153" s="29" t="inlineStr">
        <is>
          <t>Quality Assurance</t>
        </is>
      </c>
      <c r="C153" s="75" t="inlineStr">
        <is>
          <t>A3</t>
        </is>
      </c>
      <c r="D153" s="29" t="inlineStr">
        <is>
          <t>Band A · Practitioner</t>
        </is>
      </c>
      <c r="E153" s="29" t="inlineStr">
        <is>
          <t>QA Specialist</t>
        </is>
      </c>
      <c r="F153" s="29" t="inlineStr">
        <is>
          <t>Band A · all tracks</t>
        </is>
      </c>
      <c r="G153" s="29" t="inlineStr">
        <is>
          <t>Quality Assurance</t>
        </is>
      </c>
      <c r="H153" s="29" t="n">
        <v>1</v>
      </c>
      <c r="I153" s="29" t="inlineStr">
        <is>
          <t>Sakina Rampurawala</t>
        </is>
      </c>
      <c r="J153" s="34" t="str">
        <f>IFERROR(INDEX(RBD_C,MATCH("Quality Assurance|A3|A",RBD_KEY,0)),"M")</f>
        <v>H</v>
      </c>
      <c r="K153" s="35" t="str">
        <f>IFERROR(INDEX(RBD_Au,MATCH("Quality Assurance|A3|A",RBD_KEY,0)),"M")</f>
        <v>M</v>
      </c>
      <c r="L153" s="35" t="str">
        <f>IFERROR(INDEX(RBD_Ac,MATCH("Quality Assurance|A3|A",RBD_KEY,0)),"M")</f>
        <v>L</v>
      </c>
      <c r="M153" s="35" t="str">
        <f>IFERROR(INDEX(RBD_L,MATCH("Quality Assurance|A3|A",RBD_KEY,0)),"M")</f>
        <v>L</v>
      </c>
      <c r="N153" s="35" t="str">
        <f>IFERROR(INDEX(RBD_BI,MATCH("Quality Assurance|A3|A",RBD_KEY,0)),"M")</f>
        <v>L</v>
      </c>
      <c r="O153" s="35" t="str">
        <f>IFERROR(INDEX(RBD_Exp,MATCH("Quality Assurance|A3|A",RBD_KEY,0)),"M")</f>
        <v>L</v>
      </c>
      <c r="P153" s="35" t="str">
        <f>IFERROR(INDEX(RBD_Edu,MATCH("Quality Assurance|A3|A",RBD_KEY,0)),"M")</f>
        <v>L</v>
      </c>
      <c r="Q153" s="73">
        <f>IF(J153="","",IFERROR(INDEX(LMH_PTS,MATCH(J153,LMH_KEY,0))/SUM(IFERROR(INDEX(LMH_PTS,MATCH(J153,LMH_KEY,0)),0),IFERROR(INDEX(LMH_PTS,MATCH(K153,LMH_KEY,0)),0),IFERROR(INDEX(LMH_PTS,MATCH(L153,LMH_KEY,0)),0),IFERROR(INDEX(LMH_PTS,MATCH(M153,LMH_KEY,0)),0),IFERROR(INDEX(LMH_PTS,MATCH(N153,LMH_KEY,0)),0),IFERROR(INDEX(LMH_PTS,MATCH(O153,LMH_KEY,0)),0),IFERROR(INDEX(LMH_PTS,MATCH(P153,LMH_KEY,0)),0)),""))</f>
        <v>0.529411764705882</v>
      </c>
      <c r="R153" s="74">
        <f>IF(K153="","",IFERROR(INDEX(LMH_PTS,MATCH(K153,LMH_KEY,0))/SUM(IFERROR(INDEX(LMH_PTS,MATCH(J153,LMH_KEY,0)),0),IFERROR(INDEX(LMH_PTS,MATCH(K153,LMH_KEY,0)),0),IFERROR(INDEX(LMH_PTS,MATCH(L153,LMH_KEY,0)),0),IFERROR(INDEX(LMH_PTS,MATCH(M153,LMH_KEY,0)),0),IFERROR(INDEX(LMH_PTS,MATCH(N153,LMH_KEY,0)),0),IFERROR(INDEX(LMH_PTS,MATCH(O153,LMH_KEY,0)),0),IFERROR(INDEX(LMH_PTS,MATCH(P153,LMH_KEY,0)),0)),""))</f>
        <v>0.176470588235294</v>
      </c>
      <c r="S153" s="74">
        <f>IF(L153="","",IFERROR(INDEX(LMH_PTS,MATCH(L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T153" s="74">
        <f>IF(M153="","",IFERROR(INDEX(LMH_PTS,MATCH(M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U153" s="74">
        <f>IF(N153="","",IFERROR(INDEX(LMH_PTS,MATCH(N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V153" s="74">
        <f>IF(O153="","",IFERROR(INDEX(LMH_PTS,MATCH(O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W153" s="74">
        <f>IF(P153="","",IFERROR(INDEX(LMH_PTS,MATCH(P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X153" s="44" t="n"/>
      <c r="Y153" s="38" t="inlineStr">
        <is>
          <t>iFile|Quality Assurance|QA Specialist|A3|A</t>
        </is>
      </c>
    </row>
    <row r="154" ht="28" customHeight="1">
      <c r="A154" s="28" t="inlineStr">
        <is>
          <t>iFile</t>
        </is>
      </c>
      <c r="B154" s="29" t="inlineStr">
        <is>
          <t>Quality Assurance</t>
        </is>
      </c>
      <c r="C154" s="75" t="inlineStr">
        <is>
          <t>A3</t>
        </is>
      </c>
      <c r="D154" s="29" t="inlineStr">
        <is>
          <t>Band A · Practitioner</t>
        </is>
      </c>
      <c r="E154" s="29" t="inlineStr">
        <is>
          <t>Senior QA Automation Engineer</t>
        </is>
      </c>
      <c r="F154" s="29" t="inlineStr">
        <is>
          <t>Band A · all tracks</t>
        </is>
      </c>
      <c r="G154" s="29" t="inlineStr">
        <is>
          <t>Quality Assurance</t>
        </is>
      </c>
      <c r="H154" s="29" t="n">
        <v>1</v>
      </c>
      <c r="I154" s="29" t="inlineStr">
        <is>
          <t>Adnan Yakub Majgaonkar</t>
        </is>
      </c>
      <c r="J154" s="34" t="str">
        <f>IFERROR(INDEX(RBD_C,MATCH("Quality Assurance|A3|A",RBD_KEY,0)),"M")</f>
        <v>H</v>
      </c>
      <c r="K154" s="35" t="str">
        <f>IFERROR(INDEX(RBD_Au,MATCH("Quality Assurance|A3|A",RBD_KEY,0)),"M")</f>
        <v>M</v>
      </c>
      <c r="L154" s="35" t="str">
        <f>IFERROR(INDEX(RBD_Ac,MATCH("Quality Assurance|A3|A",RBD_KEY,0)),"M")</f>
        <v>L</v>
      </c>
      <c r="M154" s="35" t="str">
        <f>IFERROR(INDEX(RBD_L,MATCH("Quality Assurance|A3|A",RBD_KEY,0)),"M")</f>
        <v>L</v>
      </c>
      <c r="N154" s="35" t="str">
        <f>IFERROR(INDEX(RBD_BI,MATCH("Quality Assurance|A3|A",RBD_KEY,0)),"M")</f>
        <v>L</v>
      </c>
      <c r="O154" s="35" t="str">
        <f>IFERROR(INDEX(RBD_Exp,MATCH("Quality Assurance|A3|A",RBD_KEY,0)),"M")</f>
        <v>L</v>
      </c>
      <c r="P154" s="35" t="str">
        <f>IFERROR(INDEX(RBD_Edu,MATCH("Quality Assurance|A3|A",RBD_KEY,0)),"M")</f>
        <v>L</v>
      </c>
      <c r="Q154" s="73">
        <f>IF(J154="","",IFERROR(INDEX(LMH_PTS,MATCH(J154,LMH_KEY,0))/SUM(IFERROR(INDEX(LMH_PTS,MATCH(J154,LMH_KEY,0)),0),IFERROR(INDEX(LMH_PTS,MATCH(K154,LMH_KEY,0)),0),IFERROR(INDEX(LMH_PTS,MATCH(L154,LMH_KEY,0)),0),IFERROR(INDEX(LMH_PTS,MATCH(M154,LMH_KEY,0)),0),IFERROR(INDEX(LMH_PTS,MATCH(N154,LMH_KEY,0)),0),IFERROR(INDEX(LMH_PTS,MATCH(O154,LMH_KEY,0)),0),IFERROR(INDEX(LMH_PTS,MATCH(P154,LMH_KEY,0)),0)),""))</f>
        <v>0.529411764705882</v>
      </c>
      <c r="R154" s="74">
        <f>IF(K154="","",IFERROR(INDEX(LMH_PTS,MATCH(K154,LMH_KEY,0))/SUM(IFERROR(INDEX(LMH_PTS,MATCH(J154,LMH_KEY,0)),0),IFERROR(INDEX(LMH_PTS,MATCH(K154,LMH_KEY,0)),0),IFERROR(INDEX(LMH_PTS,MATCH(L154,LMH_KEY,0)),0),IFERROR(INDEX(LMH_PTS,MATCH(M154,LMH_KEY,0)),0),IFERROR(INDEX(LMH_PTS,MATCH(N154,LMH_KEY,0)),0),IFERROR(INDEX(LMH_PTS,MATCH(O154,LMH_KEY,0)),0),IFERROR(INDEX(LMH_PTS,MATCH(P154,LMH_KEY,0)),0)),""))</f>
        <v>0.176470588235294</v>
      </c>
      <c r="S154" s="74">
        <f>IF(L154="","",IFERROR(INDEX(LMH_PTS,MATCH(L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T154" s="74">
        <f>IF(M154="","",IFERROR(INDEX(LMH_PTS,MATCH(M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U154" s="74">
        <f>IF(N154="","",IFERROR(INDEX(LMH_PTS,MATCH(N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V154" s="74">
        <f>IF(O154="","",IFERROR(INDEX(LMH_PTS,MATCH(O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W154" s="74">
        <f>IF(P154="","",IFERROR(INDEX(LMH_PTS,MATCH(P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X154" s="44" t="n"/>
      <c r="Y154" s="38" t="inlineStr">
        <is>
          <t>iFile|Quality Assurance|Senior QA Automation Engineer|A3|A</t>
        </is>
      </c>
    </row>
    <row r="155" ht="78" customHeight="1">
      <c r="A155" s="28" t="inlineStr">
        <is>
          <t>iFile</t>
        </is>
      </c>
      <c r="B155" s="29" t="inlineStr">
        <is>
          <t>Quality Assurance</t>
        </is>
      </c>
      <c r="C155" s="75" t="inlineStr">
        <is>
          <t>A3</t>
        </is>
      </c>
      <c r="D155" s="29" t="inlineStr">
        <is>
          <t>Band A · Practitioner</t>
        </is>
      </c>
      <c r="E155" s="29" t="inlineStr">
        <is>
          <t>Senior QA Engineer</t>
        </is>
      </c>
      <c r="F155" s="29" t="inlineStr">
        <is>
          <t>Band A · all tracks</t>
        </is>
      </c>
      <c r="G155" s="29" t="inlineStr">
        <is>
          <t>Quality Assurance</t>
        </is>
      </c>
      <c r="H155" s="29" t="n">
        <v>10</v>
      </c>
      <c r="I155" s="29" t="inlineStr">
        <is>
          <t>Ayush Saurkar, Sandeep Padhi, Suraj Govind Walhekar, Deepika Bartwal, Sandip Potkule, Bhagyshree Khedkar, Rahul Devarkonda, Sanchi Pawaskar, Tejas Rane, Vishal Khare</t>
        </is>
      </c>
      <c r="J155" s="34" t="str">
        <f>IFERROR(INDEX(RBD_C,MATCH("Quality Assurance|A3|A",RBD_KEY,0)),"M")</f>
        <v>H</v>
      </c>
      <c r="K155" s="35" t="str">
        <f>IFERROR(INDEX(RBD_Au,MATCH("Quality Assurance|A3|A",RBD_KEY,0)),"M")</f>
        <v>M</v>
      </c>
      <c r="L155" s="35" t="str">
        <f>IFERROR(INDEX(RBD_Ac,MATCH("Quality Assurance|A3|A",RBD_KEY,0)),"M")</f>
        <v>L</v>
      </c>
      <c r="M155" s="35" t="str">
        <f>IFERROR(INDEX(RBD_L,MATCH("Quality Assurance|A3|A",RBD_KEY,0)),"M")</f>
        <v>L</v>
      </c>
      <c r="N155" s="35" t="str">
        <f>IFERROR(INDEX(RBD_BI,MATCH("Quality Assurance|A3|A",RBD_KEY,0)),"M")</f>
        <v>L</v>
      </c>
      <c r="O155" s="35" t="str">
        <f>IFERROR(INDEX(RBD_Exp,MATCH("Quality Assurance|A3|A",RBD_KEY,0)),"M")</f>
        <v>L</v>
      </c>
      <c r="P155" s="35" t="str">
        <f>IFERROR(INDEX(RBD_Edu,MATCH("Quality Assurance|A3|A",RBD_KEY,0)),"M")</f>
        <v>L</v>
      </c>
      <c r="Q155" s="73">
        <f>IF(J155="","",IFERROR(INDEX(LMH_PTS,MATCH(J155,LMH_KEY,0))/SUM(IFERROR(INDEX(LMH_PTS,MATCH(J155,LMH_KEY,0)),0),IFERROR(INDEX(LMH_PTS,MATCH(K155,LMH_KEY,0)),0),IFERROR(INDEX(LMH_PTS,MATCH(L155,LMH_KEY,0)),0),IFERROR(INDEX(LMH_PTS,MATCH(M155,LMH_KEY,0)),0),IFERROR(INDEX(LMH_PTS,MATCH(N155,LMH_KEY,0)),0),IFERROR(INDEX(LMH_PTS,MATCH(O155,LMH_KEY,0)),0),IFERROR(INDEX(LMH_PTS,MATCH(P155,LMH_KEY,0)),0)),""))</f>
        <v>0.529411764705882</v>
      </c>
      <c r="R155" s="74">
        <f>IF(K155="","",IFERROR(INDEX(LMH_PTS,MATCH(K155,LMH_KEY,0))/SUM(IFERROR(INDEX(LMH_PTS,MATCH(J155,LMH_KEY,0)),0),IFERROR(INDEX(LMH_PTS,MATCH(K155,LMH_KEY,0)),0),IFERROR(INDEX(LMH_PTS,MATCH(L155,LMH_KEY,0)),0),IFERROR(INDEX(LMH_PTS,MATCH(M155,LMH_KEY,0)),0),IFERROR(INDEX(LMH_PTS,MATCH(N155,LMH_KEY,0)),0),IFERROR(INDEX(LMH_PTS,MATCH(O155,LMH_KEY,0)),0),IFERROR(INDEX(LMH_PTS,MATCH(P155,LMH_KEY,0)),0)),""))</f>
        <v>0.176470588235294</v>
      </c>
      <c r="S155" s="74">
        <f>IF(L155="","",IFERROR(INDEX(LMH_PTS,MATCH(L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T155" s="74">
        <f>IF(M155="","",IFERROR(INDEX(LMH_PTS,MATCH(M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U155" s="74">
        <f>IF(N155="","",IFERROR(INDEX(LMH_PTS,MATCH(N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V155" s="74">
        <f>IF(O155="","",IFERROR(INDEX(LMH_PTS,MATCH(O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W155" s="74">
        <f>IF(P155="","",IFERROR(INDEX(LMH_PTS,MATCH(P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X155" s="44" t="n"/>
      <c r="Y155" s="38" t="inlineStr">
        <is>
          <t>iFile|Quality Assurance|Senior QA Engineer|A3|A</t>
        </is>
      </c>
    </row>
    <row r="156" ht="18" customHeight="1">
      <c r="A156" s="28" t="inlineStr">
        <is>
          <t>iFile</t>
        </is>
      </c>
      <c r="B156" s="29" t="inlineStr">
        <is>
          <t>Quality Assurance</t>
        </is>
      </c>
      <c r="C156" s="75" t="inlineStr">
        <is>
          <t>A2</t>
        </is>
      </c>
      <c r="D156" s="29" t="inlineStr">
        <is>
          <t>Band A · Practitioner</t>
        </is>
      </c>
      <c r="E156" s="29" t="inlineStr">
        <is>
          <t>QA Engineer</t>
        </is>
      </c>
      <c r="F156" s="29" t="inlineStr">
        <is>
          <t>Band A · all tracks</t>
        </is>
      </c>
      <c r="G156" s="29" t="inlineStr">
        <is>
          <t>Quality Assurance</t>
        </is>
      </c>
      <c r="H156" s="29" t="n">
        <v>1</v>
      </c>
      <c r="I156" s="29" t="inlineStr">
        <is>
          <t>Sanskruti Varade</t>
        </is>
      </c>
      <c r="J156" s="34" t="str">
        <f>IFERROR(INDEX(RBD_C,MATCH("Quality Assurance|A2|A",RBD_KEY,0)),"M")</f>
        <v>H</v>
      </c>
      <c r="K156" s="35" t="str">
        <f>IFERROR(INDEX(RBD_Au,MATCH("Quality Assurance|A2|A",RBD_KEY,0)),"M")</f>
        <v>M</v>
      </c>
      <c r="L156" s="35" t="str">
        <f>IFERROR(INDEX(RBD_Ac,MATCH("Quality Assurance|A2|A",RBD_KEY,0)),"M")</f>
        <v>L</v>
      </c>
      <c r="M156" s="35" t="str">
        <f>IFERROR(INDEX(RBD_L,MATCH("Quality Assurance|A2|A",RBD_KEY,0)),"M")</f>
        <v>L</v>
      </c>
      <c r="N156" s="35" t="str">
        <f>IFERROR(INDEX(RBD_BI,MATCH("Quality Assurance|A2|A",RBD_KEY,0)),"M")</f>
        <v>L</v>
      </c>
      <c r="O156" s="35" t="str">
        <f>IFERROR(INDEX(RBD_Exp,MATCH("Quality Assurance|A2|A",RBD_KEY,0)),"M")</f>
        <v>L</v>
      </c>
      <c r="P156" s="35" t="str">
        <f>IFERROR(INDEX(RBD_Edu,MATCH("Quality Assurance|A2|A",RBD_KEY,0)),"M")</f>
        <v>L</v>
      </c>
      <c r="Q156" s="73">
        <f>IF(J156="","",IFERROR(INDEX(LMH_PTS,MATCH(J156,LMH_KEY,0))/SUM(IFERROR(INDEX(LMH_PTS,MATCH(J156,LMH_KEY,0)),0),IFERROR(INDEX(LMH_PTS,MATCH(K156,LMH_KEY,0)),0),IFERROR(INDEX(LMH_PTS,MATCH(L156,LMH_KEY,0)),0),IFERROR(INDEX(LMH_PTS,MATCH(M156,LMH_KEY,0)),0),IFERROR(INDEX(LMH_PTS,MATCH(N156,LMH_KEY,0)),0),IFERROR(INDEX(LMH_PTS,MATCH(O156,LMH_KEY,0)),0),IFERROR(INDEX(LMH_PTS,MATCH(P156,LMH_KEY,0)),0)),""))</f>
        <v>0.529411764705882</v>
      </c>
      <c r="R156" s="74">
        <f>IF(K156="","",IFERROR(INDEX(LMH_PTS,MATCH(K156,LMH_KEY,0))/SUM(IFERROR(INDEX(LMH_PTS,MATCH(J156,LMH_KEY,0)),0),IFERROR(INDEX(LMH_PTS,MATCH(K156,LMH_KEY,0)),0),IFERROR(INDEX(LMH_PTS,MATCH(L156,LMH_KEY,0)),0),IFERROR(INDEX(LMH_PTS,MATCH(M156,LMH_KEY,0)),0),IFERROR(INDEX(LMH_PTS,MATCH(N156,LMH_KEY,0)),0),IFERROR(INDEX(LMH_PTS,MATCH(O156,LMH_KEY,0)),0),IFERROR(INDEX(LMH_PTS,MATCH(P156,LMH_KEY,0)),0)),""))</f>
        <v>0.176470588235294</v>
      </c>
      <c r="S156" s="74">
        <f>IF(L156="","",IFERROR(INDEX(LMH_PTS,MATCH(L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T156" s="74">
        <f>IF(M156="","",IFERROR(INDEX(LMH_PTS,MATCH(M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U156" s="74">
        <f>IF(N156="","",IFERROR(INDEX(LMH_PTS,MATCH(N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V156" s="74">
        <f>IF(O156="","",IFERROR(INDEX(LMH_PTS,MATCH(O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W156" s="74">
        <f>IF(P156="","",IFERROR(INDEX(LMH_PTS,MATCH(P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X156" s="44" t="n"/>
      <c r="Y156" s="38" t="inlineStr">
        <is>
          <t>iFile|Quality Assurance|QA Engineer|A2|A</t>
        </is>
      </c>
    </row>
    <row r="157" ht="28" customHeight="1">
      <c r="A157" s="28" t="inlineStr">
        <is>
          <t>iFile</t>
        </is>
      </c>
      <c r="B157" s="29" t="inlineStr">
        <is>
          <t>Quality Assurance</t>
        </is>
      </c>
      <c r="C157" s="75" t="inlineStr">
        <is>
          <t>A1</t>
        </is>
      </c>
      <c r="D157" s="29" t="inlineStr">
        <is>
          <t>Band A · Practitioner</t>
        </is>
      </c>
      <c r="E157" s="29" t="inlineStr">
        <is>
          <t>Intern – Functional &amp; Domain Testing</t>
        </is>
      </c>
      <c r="F157" s="29" t="inlineStr">
        <is>
          <t>Band A · all tracks</t>
        </is>
      </c>
      <c r="G157" s="29" t="inlineStr">
        <is>
          <t>Quality Assurance</t>
        </is>
      </c>
      <c r="H157" s="29" t="n">
        <v>1</v>
      </c>
      <c r="I157" s="29" t="inlineStr">
        <is>
          <t>Yugal Kishore Singh</t>
        </is>
      </c>
      <c r="J157" s="34" t="str">
        <f>IFERROR(INDEX(RBD_C,MATCH("Quality Assurance|A1|A",RBD_KEY,0)),"M")</f>
        <v>H</v>
      </c>
      <c r="K157" s="35" t="str">
        <f>IFERROR(INDEX(RBD_Au,MATCH("Quality Assurance|A1|A",RBD_KEY,0)),"M")</f>
        <v>M</v>
      </c>
      <c r="L157" s="35" t="str">
        <f>IFERROR(INDEX(RBD_Ac,MATCH("Quality Assurance|A1|A",RBD_KEY,0)),"M")</f>
        <v>L</v>
      </c>
      <c r="M157" s="35" t="str">
        <f>IFERROR(INDEX(RBD_L,MATCH("Quality Assurance|A1|A",RBD_KEY,0)),"M")</f>
        <v>L</v>
      </c>
      <c r="N157" s="35" t="str">
        <f>IFERROR(INDEX(RBD_BI,MATCH("Quality Assurance|A1|A",RBD_KEY,0)),"M")</f>
        <v>L</v>
      </c>
      <c r="O157" s="35" t="str">
        <f>IFERROR(INDEX(RBD_Exp,MATCH("Quality Assurance|A1|A",RBD_KEY,0)),"M")</f>
        <v>L</v>
      </c>
      <c r="P157" s="35" t="str">
        <f>IFERROR(INDEX(RBD_Edu,MATCH("Quality Assurance|A1|A",RBD_KEY,0)),"M")</f>
        <v>L</v>
      </c>
      <c r="Q157" s="73">
        <f>IF(J157="","",IFERROR(INDEX(LMH_PTS,MATCH(J157,LMH_KEY,0))/SUM(IFERROR(INDEX(LMH_PTS,MATCH(J157,LMH_KEY,0)),0),IFERROR(INDEX(LMH_PTS,MATCH(K157,LMH_KEY,0)),0),IFERROR(INDEX(LMH_PTS,MATCH(L157,LMH_KEY,0)),0),IFERROR(INDEX(LMH_PTS,MATCH(M157,LMH_KEY,0)),0),IFERROR(INDEX(LMH_PTS,MATCH(N157,LMH_KEY,0)),0),IFERROR(INDEX(LMH_PTS,MATCH(O157,LMH_KEY,0)),0),IFERROR(INDEX(LMH_PTS,MATCH(P157,LMH_KEY,0)),0)),""))</f>
        <v>0.529411764705882</v>
      </c>
      <c r="R157" s="74">
        <f>IF(K157="","",IFERROR(INDEX(LMH_PTS,MATCH(K157,LMH_KEY,0))/SUM(IFERROR(INDEX(LMH_PTS,MATCH(J157,LMH_KEY,0)),0),IFERROR(INDEX(LMH_PTS,MATCH(K157,LMH_KEY,0)),0),IFERROR(INDEX(LMH_PTS,MATCH(L157,LMH_KEY,0)),0),IFERROR(INDEX(LMH_PTS,MATCH(M157,LMH_KEY,0)),0),IFERROR(INDEX(LMH_PTS,MATCH(N157,LMH_KEY,0)),0),IFERROR(INDEX(LMH_PTS,MATCH(O157,LMH_KEY,0)),0),IFERROR(INDEX(LMH_PTS,MATCH(P157,LMH_KEY,0)),0)),""))</f>
        <v>0.176470588235294</v>
      </c>
      <c r="S157" s="74">
        <f>IF(L157="","",IFERROR(INDEX(LMH_PTS,MATCH(L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T157" s="74">
        <f>IF(M157="","",IFERROR(INDEX(LMH_PTS,MATCH(M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U157" s="74">
        <f>IF(N157="","",IFERROR(INDEX(LMH_PTS,MATCH(N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V157" s="74">
        <f>IF(O157="","",IFERROR(INDEX(LMH_PTS,MATCH(O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W157" s="74">
        <f>IF(P157="","",IFERROR(INDEX(LMH_PTS,MATCH(P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X157" s="44" t="n"/>
      <c r="Y157" s="38" t="inlineStr">
        <is>
          <t>iFile|Quality Assurance|Intern – Functional &amp; Domain Testing|A1|A</t>
        </is>
      </c>
    </row>
    <row r="158" ht="28" customHeight="1">
      <c r="A158" s="28" t="inlineStr">
        <is>
          <t>iFile</t>
        </is>
      </c>
      <c r="B158" s="29" t="inlineStr">
        <is>
          <t>Quality Assurance</t>
        </is>
      </c>
      <c r="C158" s="75" t="inlineStr">
        <is>
          <t>A1</t>
        </is>
      </c>
      <c r="D158" s="29" t="inlineStr">
        <is>
          <t>Band A · Practitioner</t>
        </is>
      </c>
      <c r="E158" s="29" t="inlineStr">
        <is>
          <t>Trainee QA Automation Engineer</t>
        </is>
      </c>
      <c r="F158" s="29" t="inlineStr">
        <is>
          <t>Band A · all tracks</t>
        </is>
      </c>
      <c r="G158" s="29" t="inlineStr">
        <is>
          <t>Quality Assurance</t>
        </is>
      </c>
      <c r="H158" s="29" t="n">
        <v>2</v>
      </c>
      <c r="I158" s="29" t="inlineStr">
        <is>
          <t>Mahesh Dhokale, Chinmay Dambe</t>
        </is>
      </c>
      <c r="J158" s="34" t="str">
        <f>IFERROR(INDEX(RBD_C,MATCH("Quality Assurance|A1|A",RBD_KEY,0)),"M")</f>
        <v>H</v>
      </c>
      <c r="K158" s="35" t="str">
        <f>IFERROR(INDEX(RBD_Au,MATCH("Quality Assurance|A1|A",RBD_KEY,0)),"M")</f>
        <v>M</v>
      </c>
      <c r="L158" s="35" t="str">
        <f>IFERROR(INDEX(RBD_Ac,MATCH("Quality Assurance|A1|A",RBD_KEY,0)),"M")</f>
        <v>L</v>
      </c>
      <c r="M158" s="35" t="str">
        <f>IFERROR(INDEX(RBD_L,MATCH("Quality Assurance|A1|A",RBD_KEY,0)),"M")</f>
        <v>L</v>
      </c>
      <c r="N158" s="35" t="str">
        <f>IFERROR(INDEX(RBD_BI,MATCH("Quality Assurance|A1|A",RBD_KEY,0)),"M")</f>
        <v>L</v>
      </c>
      <c r="O158" s="35" t="str">
        <f>IFERROR(INDEX(RBD_Exp,MATCH("Quality Assurance|A1|A",RBD_KEY,0)),"M")</f>
        <v>L</v>
      </c>
      <c r="P158" s="35" t="str">
        <f>IFERROR(INDEX(RBD_Edu,MATCH("Quality Assurance|A1|A",RBD_KEY,0)),"M")</f>
        <v>L</v>
      </c>
      <c r="Q158" s="73">
        <f>IF(J158="","",IFERROR(INDEX(LMH_PTS,MATCH(J158,LMH_KEY,0))/SUM(IFERROR(INDEX(LMH_PTS,MATCH(J158,LMH_KEY,0)),0),IFERROR(INDEX(LMH_PTS,MATCH(K158,LMH_KEY,0)),0),IFERROR(INDEX(LMH_PTS,MATCH(L158,LMH_KEY,0)),0),IFERROR(INDEX(LMH_PTS,MATCH(M158,LMH_KEY,0)),0),IFERROR(INDEX(LMH_PTS,MATCH(N158,LMH_KEY,0)),0),IFERROR(INDEX(LMH_PTS,MATCH(O158,LMH_KEY,0)),0),IFERROR(INDEX(LMH_PTS,MATCH(P158,LMH_KEY,0)),0)),""))</f>
        <v>0.529411764705882</v>
      </c>
      <c r="R158" s="74">
        <f>IF(K158="","",IFERROR(INDEX(LMH_PTS,MATCH(K158,LMH_KEY,0))/SUM(IFERROR(INDEX(LMH_PTS,MATCH(J158,LMH_KEY,0)),0),IFERROR(INDEX(LMH_PTS,MATCH(K158,LMH_KEY,0)),0),IFERROR(INDEX(LMH_PTS,MATCH(L158,LMH_KEY,0)),0),IFERROR(INDEX(LMH_PTS,MATCH(M158,LMH_KEY,0)),0),IFERROR(INDEX(LMH_PTS,MATCH(N158,LMH_KEY,0)),0),IFERROR(INDEX(LMH_PTS,MATCH(O158,LMH_KEY,0)),0),IFERROR(INDEX(LMH_PTS,MATCH(P158,LMH_KEY,0)),0)),""))</f>
        <v>0.176470588235294</v>
      </c>
      <c r="S158" s="74">
        <f>IF(L158="","",IFERROR(INDEX(LMH_PTS,MATCH(L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T158" s="74">
        <f>IF(M158="","",IFERROR(INDEX(LMH_PTS,MATCH(M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U158" s="74">
        <f>IF(N158="","",IFERROR(INDEX(LMH_PTS,MATCH(N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V158" s="74">
        <f>IF(O158="","",IFERROR(INDEX(LMH_PTS,MATCH(O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W158" s="74">
        <f>IF(P158="","",IFERROR(INDEX(LMH_PTS,MATCH(P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X158" s="44" t="n"/>
      <c r="Y158" s="38" t="inlineStr">
        <is>
          <t>iFile|Quality Assurance|Trainee QA Automation Engineer|A1|A</t>
        </is>
      </c>
    </row>
    <row r="159" ht="28" customHeight="1">
      <c r="A159" s="28" t="inlineStr">
        <is>
          <t>iFile</t>
        </is>
      </c>
      <c r="B159" s="71" t="inlineStr">
        <is>
          <t>Sales</t>
        </is>
      </c>
      <c r="C159" s="79" t="inlineStr">
        <is>
          <t>D2</t>
        </is>
      </c>
      <c r="D159" s="29" t="inlineStr">
        <is>
          <t>Band D · Business leadership</t>
        </is>
      </c>
      <c r="E159" s="29" t="inlineStr">
        <is>
          <t>Business Head – SupTech &amp; Bank-RegTech</t>
        </is>
      </c>
      <c r="F159" s="29" t="inlineStr">
        <is>
          <t>Bands D–E · Leadership</t>
        </is>
      </c>
      <c r="G159" s="29" t="inlineStr">
        <is>
          <t>Executive Leadership</t>
        </is>
      </c>
      <c r="H159" s="29" t="n">
        <v>1</v>
      </c>
      <c r="I159" s="29" t="inlineStr">
        <is>
          <t>Shailesh Gupta</t>
        </is>
      </c>
      <c r="J159" s="34" t="str">
        <f>IFERROR(INDEX(RBD_C,MATCH("Executive Leadership|D2|DE",RBD_KEY,0)),"M")</f>
        <v>H</v>
      </c>
      <c r="K159" s="35" t="str">
        <f>IFERROR(INDEX(RBD_Au,MATCH("Executive Leadership|D2|DE",RBD_KEY,0)),"M")</f>
        <v>M</v>
      </c>
      <c r="L159" s="35" t="str">
        <f>IFERROR(INDEX(RBD_Ac,MATCH("Executive Leadership|D2|DE",RBD_KEY,0)),"M")</f>
        <v>M</v>
      </c>
      <c r="M159" s="35" t="str">
        <f>IFERROR(INDEX(RBD_L,MATCH("Executive Leadership|D2|DE",RBD_KEY,0)),"M")</f>
        <v>M</v>
      </c>
      <c r="N159" s="35" t="str">
        <f>IFERROR(INDEX(RBD_BI,MATCH("Executive Leadership|D2|DE",RBD_KEY,0)),"M")</f>
        <v>L</v>
      </c>
      <c r="O159" s="35" t="str">
        <f>IFERROR(INDEX(RBD_Exp,MATCH("Executive Leadership|D2|DE",RBD_KEY,0)),"M")</f>
        <v>L</v>
      </c>
      <c r="P159" s="35" t="str">
        <f>IFERROR(INDEX(RBD_Edu,MATCH("Executive Leadership|D2|DE",RBD_KEY,0)),"M")</f>
        <v>L</v>
      </c>
      <c r="Q159" s="73">
        <f>IF(J159="","",IFERROR(INDEX(LMH_PTS,MATCH(J159,LMH_KEY,0))/SUM(IFERROR(INDEX(LMH_PTS,MATCH(J159,LMH_KEY,0)),0),IFERROR(INDEX(LMH_PTS,MATCH(K159,LMH_KEY,0)),0),IFERROR(INDEX(LMH_PTS,MATCH(L159,LMH_KEY,0)),0),IFERROR(INDEX(LMH_PTS,MATCH(M159,LMH_KEY,0)),0),IFERROR(INDEX(LMH_PTS,MATCH(N159,LMH_KEY,0)),0),IFERROR(INDEX(LMH_PTS,MATCH(O159,LMH_KEY,0)),0),IFERROR(INDEX(LMH_PTS,MATCH(P159,LMH_KEY,0)),0)),""))</f>
        <v>0.428571428571429</v>
      </c>
      <c r="R159" s="74">
        <f>IF(K159="","",IFERROR(INDEX(LMH_PTS,MATCH(K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S159" s="74">
        <f>IF(L159="","",IFERROR(INDEX(LMH_PTS,MATCH(L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T159" s="74">
        <f>IF(M159="","",IFERROR(INDEX(LMH_PTS,MATCH(M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U159" s="74">
        <f>IF(N159="","",IFERROR(INDEX(LMH_PTS,MATCH(N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V159" s="74">
        <f>IF(O159="","",IFERROR(INDEX(LMH_PTS,MATCH(O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W159" s="74">
        <f>IF(P159="","",IFERROR(INDEX(LMH_PTS,MATCH(P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X159" s="44" t="n"/>
      <c r="Y159" s="38" t="inlineStr">
        <is>
          <t>iFile|Sales|Business Head – SupTech &amp; Bank-RegTech|D2|DE</t>
        </is>
      </c>
    </row>
    <row r="160" ht="18" customHeight="1">
      <c r="A160" s="28" t="inlineStr">
        <is>
          <t>iFile</t>
        </is>
      </c>
      <c r="B160" s="29" t="inlineStr">
        <is>
          <t>Sales</t>
        </is>
      </c>
      <c r="C160" s="78" t="inlineStr">
        <is>
          <t>C2</t>
        </is>
      </c>
      <c r="D160" s="29" t="inlineStr">
        <is>
          <t>Band C · Principal / Head</t>
        </is>
      </c>
      <c r="E160" s="29" t="inlineStr">
        <is>
          <t>Head – Sales</t>
        </is>
      </c>
      <c r="F160" s="29" t="inlineStr">
        <is>
          <t>Band C · Head / manager</t>
        </is>
      </c>
      <c r="G160" s="29" t="inlineStr">
        <is>
          <t>Sales &amp; Business Development</t>
        </is>
      </c>
      <c r="H160" s="29" t="n">
        <v>1</v>
      </c>
      <c r="I160" s="29" t="inlineStr">
        <is>
          <t>Arup Ganguly</t>
        </is>
      </c>
      <c r="J160" s="34" t="str">
        <f>IFERROR(INDEX(RBD_C,MATCH("Sales &amp; Business Development|C2|C-M",RBD_KEY,0)),"M")</f>
        <v>H</v>
      </c>
      <c r="K160" s="35" t="str">
        <f>IFERROR(INDEX(RBD_Au,MATCH("Sales &amp; Business Development|C2|C-M",RBD_KEY,0)),"M")</f>
        <v>M</v>
      </c>
      <c r="L160" s="35" t="str">
        <f>IFERROR(INDEX(RBD_Ac,MATCH("Sales &amp; Business Development|C2|C-M",RBD_KEY,0)),"M")</f>
        <v>L</v>
      </c>
      <c r="M160" s="35" t="str">
        <f>IFERROR(INDEX(RBD_L,MATCH("Sales &amp; Business Development|C2|C-M",RBD_KEY,0)),"M")</f>
        <v>M</v>
      </c>
      <c r="N160" s="35" t="str">
        <f>IFERROR(INDEX(RBD_BI,MATCH("Sales &amp; Business Development|C2|C-M",RBD_KEY,0)),"M")</f>
        <v>M</v>
      </c>
      <c r="O160" s="35" t="str">
        <f>IFERROR(INDEX(RBD_Exp,MATCH("Sales &amp; Business Development|C2|C-M",RBD_KEY,0)),"M")</f>
        <v>L</v>
      </c>
      <c r="P160" s="35" t="str">
        <f>IFERROR(INDEX(RBD_Edu,MATCH("Sales &amp; Business Development|C2|C-M",RBD_KEY,0)),"M")</f>
        <v>L</v>
      </c>
      <c r="Q160" s="73">
        <f>IF(J160="","",IFERROR(INDEX(LMH_PTS,MATCH(J160,LMH_KEY,0))/SUM(IFERROR(INDEX(LMH_PTS,MATCH(J160,LMH_KEY,0)),0),IFERROR(INDEX(LMH_PTS,MATCH(K160,LMH_KEY,0)),0),IFERROR(INDEX(LMH_PTS,MATCH(L160,LMH_KEY,0)),0),IFERROR(INDEX(LMH_PTS,MATCH(M160,LMH_KEY,0)),0),IFERROR(INDEX(LMH_PTS,MATCH(N160,LMH_KEY,0)),0),IFERROR(INDEX(LMH_PTS,MATCH(O160,LMH_KEY,0)),0),IFERROR(INDEX(LMH_PTS,MATCH(P160,LMH_KEY,0)),0)),""))</f>
        <v>0.428571428571429</v>
      </c>
      <c r="R160" s="74">
        <f>IF(K160="","",IFERROR(INDEX(LMH_PTS,MATCH(K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S160" s="74">
        <f>IF(L160="","",IFERROR(INDEX(LMH_PTS,MATCH(L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T160" s="74">
        <f>IF(M160="","",IFERROR(INDEX(LMH_PTS,MATCH(M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U160" s="74">
        <f>IF(N160="","",IFERROR(INDEX(LMH_PTS,MATCH(N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V160" s="74">
        <f>IF(O160="","",IFERROR(INDEX(LMH_PTS,MATCH(O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W160" s="74">
        <f>IF(P160="","",IFERROR(INDEX(LMH_PTS,MATCH(P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X160" s="44" t="n"/>
      <c r="Y160" s="38" t="inlineStr">
        <is>
          <t>iFile|Sales|Head – Sales|C2|C-M</t>
        </is>
      </c>
    </row>
    <row r="161" ht="28" customHeight="1">
      <c r="A161" s="28" t="inlineStr">
        <is>
          <t>iFile</t>
        </is>
      </c>
      <c r="B161" s="29" t="inlineStr">
        <is>
          <t>Sales</t>
        </is>
      </c>
      <c r="C161" s="72" t="inlineStr">
        <is>
          <t>B3</t>
        </is>
      </c>
      <c r="D161" s="29" t="inlineStr">
        <is>
          <t>Band B · Specialist / Manager</t>
        </is>
      </c>
      <c r="E161" s="29" t="inlineStr">
        <is>
          <t>Lead Alliances Specialist – POD Lead</t>
        </is>
      </c>
      <c r="F161" s="29" t="inlineStr">
        <is>
          <t>Band B · Specialist / POD Lead</t>
        </is>
      </c>
      <c r="G161" s="29" t="inlineStr">
        <is>
          <t>Sales &amp; Business Development</t>
        </is>
      </c>
      <c r="H161" s="29" t="n">
        <v>1</v>
      </c>
      <c r="I161" s="29" t="inlineStr">
        <is>
          <t>Amit Jaidka</t>
        </is>
      </c>
      <c r="J161" s="34" t="str">
        <f>IFERROR(INDEX(RBD_C,MATCH("Sales &amp; Business Development|B3|B-IC",RBD_KEY,0)),"M")</f>
        <v>H</v>
      </c>
      <c r="K161" s="35" t="str">
        <f>IFERROR(INDEX(RBD_Au,MATCH("Sales &amp; Business Development|B3|B-IC",RBD_KEY,0)),"M")</f>
        <v>M</v>
      </c>
      <c r="L161" s="35" t="str">
        <f>IFERROR(INDEX(RBD_Ac,MATCH("Sales &amp; Business Development|B3|B-IC",RBD_KEY,0)),"M")</f>
        <v>L</v>
      </c>
      <c r="M161" s="35" t="str">
        <f>IFERROR(INDEX(RBD_L,MATCH("Sales &amp; Business Development|B3|B-IC",RBD_KEY,0)),"M")</f>
        <v>L</v>
      </c>
      <c r="N161" s="35" t="str">
        <f>IFERROR(INDEX(RBD_BI,MATCH("Sales &amp; Business Development|B3|B-IC",RBD_KEY,0)),"M")</f>
        <v>M</v>
      </c>
      <c r="O161" s="35" t="str">
        <f>IFERROR(INDEX(RBD_Exp,MATCH("Sales &amp; Business Development|B3|B-IC",RBD_KEY,0)),"M")</f>
        <v>L</v>
      </c>
      <c r="P161" s="35" t="str">
        <f>IFERROR(INDEX(RBD_Edu,MATCH("Sales &amp; Business Development|B3|B-IC",RBD_KEY,0)),"M")</f>
        <v>L</v>
      </c>
      <c r="Q161" s="73">
        <f>IF(J161="","",IFERROR(INDEX(LMH_PTS,MATCH(J161,LMH_KEY,0))/SUM(IFERROR(INDEX(LMH_PTS,MATCH(J161,LMH_KEY,0)),0),IFERROR(INDEX(LMH_PTS,MATCH(K161,LMH_KEY,0)),0),IFERROR(INDEX(LMH_PTS,MATCH(L161,LMH_KEY,0)),0),IFERROR(INDEX(LMH_PTS,MATCH(M161,LMH_KEY,0)),0),IFERROR(INDEX(LMH_PTS,MATCH(N161,LMH_KEY,0)),0),IFERROR(INDEX(LMH_PTS,MATCH(O161,LMH_KEY,0)),0),IFERROR(INDEX(LMH_PTS,MATCH(P161,LMH_KEY,0)),0)),""))</f>
        <v>0.473684210526316</v>
      </c>
      <c r="R161" s="74">
        <f>IF(K161="","",IFERROR(INDEX(LMH_PTS,MATCH(K161,LMH_KEY,0))/SUM(IFERROR(INDEX(LMH_PTS,MATCH(J161,LMH_KEY,0)),0),IFERROR(INDEX(LMH_PTS,MATCH(K161,LMH_KEY,0)),0),IFERROR(INDEX(LMH_PTS,MATCH(L161,LMH_KEY,0)),0),IFERROR(INDEX(LMH_PTS,MATCH(M161,LMH_KEY,0)),0),IFERROR(INDEX(LMH_PTS,MATCH(N161,LMH_KEY,0)),0),IFERROR(INDEX(LMH_PTS,MATCH(O161,LMH_KEY,0)),0),IFERROR(INDEX(LMH_PTS,MATCH(P161,LMH_KEY,0)),0)),""))</f>
        <v>0.157894736842105</v>
      </c>
      <c r="S161" s="74">
        <f>IF(L161="","",IFERROR(INDEX(LMH_PTS,MATCH(L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T161" s="74">
        <f>IF(M161="","",IFERROR(INDEX(LMH_PTS,MATCH(M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U161" s="74">
        <f>IF(N161="","",IFERROR(INDEX(LMH_PTS,MATCH(N161,LMH_KEY,0))/SUM(IFERROR(INDEX(LMH_PTS,MATCH(J161,LMH_KEY,0)),0),IFERROR(INDEX(LMH_PTS,MATCH(K161,LMH_KEY,0)),0),IFERROR(INDEX(LMH_PTS,MATCH(L161,LMH_KEY,0)),0),IFERROR(INDEX(LMH_PTS,MATCH(M161,LMH_KEY,0)),0),IFERROR(INDEX(LMH_PTS,MATCH(N161,LMH_KEY,0)),0),IFERROR(INDEX(LMH_PTS,MATCH(O161,LMH_KEY,0)),0),IFERROR(INDEX(LMH_PTS,MATCH(P161,LMH_KEY,0)),0)),""))</f>
        <v>0.157894736842105</v>
      </c>
      <c r="V161" s="74">
        <f>IF(O161="","",IFERROR(INDEX(LMH_PTS,MATCH(O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W161" s="74">
        <f>IF(P161="","",IFERROR(INDEX(LMH_PTS,MATCH(P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X161" s="44" t="n"/>
      <c r="Y161" s="38" t="inlineStr">
        <is>
          <t>iFile|Sales|Lead Alliances Specialist – POD Lead|B3|B-IC</t>
        </is>
      </c>
    </row>
    <row r="162" ht="28" customHeight="1">
      <c r="A162" s="28" t="inlineStr">
        <is>
          <t>iFile</t>
        </is>
      </c>
      <c r="B162" s="29" t="inlineStr">
        <is>
          <t>Sales</t>
        </is>
      </c>
      <c r="C162" s="72" t="inlineStr">
        <is>
          <t>B3</t>
        </is>
      </c>
      <c r="D162" s="29" t="inlineStr">
        <is>
          <t>Band B · Specialist / Manager</t>
        </is>
      </c>
      <c r="E162" s="29" t="inlineStr">
        <is>
          <t>Principal – Enterprise Sales</t>
        </is>
      </c>
      <c r="F162" s="29" t="inlineStr">
        <is>
          <t>Band B · Specialist / POD Lead</t>
        </is>
      </c>
      <c r="G162" s="29" t="inlineStr">
        <is>
          <t>Sales &amp; Business Development</t>
        </is>
      </c>
      <c r="H162" s="29" t="n">
        <v>1</v>
      </c>
      <c r="I162" s="29" t="inlineStr">
        <is>
          <t>Ajay Singh Chauhan</t>
        </is>
      </c>
      <c r="J162" s="34" t="str">
        <f>IFERROR(INDEX(RBD_C,MATCH("Sales &amp; Business Development|B3|B-IC",RBD_KEY,0)),"M")</f>
        <v>H</v>
      </c>
      <c r="K162" s="35" t="str">
        <f>IFERROR(INDEX(RBD_Au,MATCH("Sales &amp; Business Development|B3|B-IC",RBD_KEY,0)),"M")</f>
        <v>M</v>
      </c>
      <c r="L162" s="35" t="str">
        <f>IFERROR(INDEX(RBD_Ac,MATCH("Sales &amp; Business Development|B3|B-IC",RBD_KEY,0)),"M")</f>
        <v>L</v>
      </c>
      <c r="M162" s="35" t="str">
        <f>IFERROR(INDEX(RBD_L,MATCH("Sales &amp; Business Development|B3|B-IC",RBD_KEY,0)),"M")</f>
        <v>L</v>
      </c>
      <c r="N162" s="35" t="str">
        <f>IFERROR(INDEX(RBD_BI,MATCH("Sales &amp; Business Development|B3|B-IC",RBD_KEY,0)),"M")</f>
        <v>M</v>
      </c>
      <c r="O162" s="35" t="str">
        <f>IFERROR(INDEX(RBD_Exp,MATCH("Sales &amp; Business Development|B3|B-IC",RBD_KEY,0)),"M")</f>
        <v>L</v>
      </c>
      <c r="P162" s="35" t="str">
        <f>IFERROR(INDEX(RBD_Edu,MATCH("Sales &amp; Business Development|B3|B-IC",RBD_KEY,0)),"M")</f>
        <v>L</v>
      </c>
      <c r="Q162" s="73">
        <f>IF(J162="","",IFERROR(INDEX(LMH_PTS,MATCH(J162,LMH_KEY,0))/SUM(IFERROR(INDEX(LMH_PTS,MATCH(J162,LMH_KEY,0)),0),IFERROR(INDEX(LMH_PTS,MATCH(K162,LMH_KEY,0)),0),IFERROR(INDEX(LMH_PTS,MATCH(L162,LMH_KEY,0)),0),IFERROR(INDEX(LMH_PTS,MATCH(M162,LMH_KEY,0)),0),IFERROR(INDEX(LMH_PTS,MATCH(N162,LMH_KEY,0)),0),IFERROR(INDEX(LMH_PTS,MATCH(O162,LMH_KEY,0)),0),IFERROR(INDEX(LMH_PTS,MATCH(P162,LMH_KEY,0)),0)),""))</f>
        <v>0.473684210526316</v>
      </c>
      <c r="R162" s="74">
        <f>IF(K162="","",IFERROR(INDEX(LMH_PTS,MATCH(K162,LMH_KEY,0))/SUM(IFERROR(INDEX(LMH_PTS,MATCH(J162,LMH_KEY,0)),0),IFERROR(INDEX(LMH_PTS,MATCH(K162,LMH_KEY,0)),0),IFERROR(INDEX(LMH_PTS,MATCH(L162,LMH_KEY,0)),0),IFERROR(INDEX(LMH_PTS,MATCH(M162,LMH_KEY,0)),0),IFERROR(INDEX(LMH_PTS,MATCH(N162,LMH_KEY,0)),0),IFERROR(INDEX(LMH_PTS,MATCH(O162,LMH_KEY,0)),0),IFERROR(INDEX(LMH_PTS,MATCH(P162,LMH_KEY,0)),0)),""))</f>
        <v>0.157894736842105</v>
      </c>
      <c r="S162" s="74">
        <f>IF(L162="","",IFERROR(INDEX(LMH_PTS,MATCH(L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T162" s="74">
        <f>IF(M162="","",IFERROR(INDEX(LMH_PTS,MATCH(M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U162" s="74">
        <f>IF(N162="","",IFERROR(INDEX(LMH_PTS,MATCH(N162,LMH_KEY,0))/SUM(IFERROR(INDEX(LMH_PTS,MATCH(J162,LMH_KEY,0)),0),IFERROR(INDEX(LMH_PTS,MATCH(K162,LMH_KEY,0)),0),IFERROR(INDEX(LMH_PTS,MATCH(L162,LMH_KEY,0)),0),IFERROR(INDEX(LMH_PTS,MATCH(M162,LMH_KEY,0)),0),IFERROR(INDEX(LMH_PTS,MATCH(N162,LMH_KEY,0)),0),IFERROR(INDEX(LMH_PTS,MATCH(O162,LMH_KEY,0)),0),IFERROR(INDEX(LMH_PTS,MATCH(P162,LMH_KEY,0)),0)),""))</f>
        <v>0.157894736842105</v>
      </c>
      <c r="V162" s="74">
        <f>IF(O162="","",IFERROR(INDEX(LMH_PTS,MATCH(O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W162" s="74">
        <f>IF(P162="","",IFERROR(INDEX(LMH_PTS,MATCH(P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X162" s="44" t="n"/>
      <c r="Y162" s="38" t="inlineStr">
        <is>
          <t>iFile|Sales|Principal – Enterprise Sales|B3|B-IC</t>
        </is>
      </c>
    </row>
    <row r="163" ht="28" customHeight="1">
      <c r="A163" s="28" t="inlineStr">
        <is>
          <t>iFile</t>
        </is>
      </c>
      <c r="B163" s="29" t="inlineStr">
        <is>
          <t>Sales</t>
        </is>
      </c>
      <c r="C163" s="72" t="inlineStr">
        <is>
          <t>B2</t>
        </is>
      </c>
      <c r="D163" s="29" t="inlineStr">
        <is>
          <t>Band B · Specialist / Manager</t>
        </is>
      </c>
      <c r="E163" s="29" t="inlineStr">
        <is>
          <t>Senior Account Executive – POD Lead</t>
        </is>
      </c>
      <c r="F163" s="29" t="inlineStr">
        <is>
          <t>Band B · Specialist / POD Lead</t>
        </is>
      </c>
      <c r="G163" s="29" t="inlineStr">
        <is>
          <t>Sales &amp; Business Development</t>
        </is>
      </c>
      <c r="H163" s="29" t="n">
        <v>1</v>
      </c>
      <c r="I163" s="29" t="inlineStr">
        <is>
          <t>Apurva Kirtikar</t>
        </is>
      </c>
      <c r="J163" s="34" t="str">
        <f>IFERROR(INDEX(RBD_C,MATCH("Sales &amp; Business Development|B2|B-IC",RBD_KEY,0)),"M")</f>
        <v>H</v>
      </c>
      <c r="K163" s="35" t="str">
        <f>IFERROR(INDEX(RBD_Au,MATCH("Sales &amp; Business Development|B2|B-IC",RBD_KEY,0)),"M")</f>
        <v>M</v>
      </c>
      <c r="L163" s="35" t="str">
        <f>IFERROR(INDEX(RBD_Ac,MATCH("Sales &amp; Business Development|B2|B-IC",RBD_KEY,0)),"M")</f>
        <v>L</v>
      </c>
      <c r="M163" s="35" t="str">
        <f>IFERROR(INDEX(RBD_L,MATCH("Sales &amp; Business Development|B2|B-IC",RBD_KEY,0)),"M")</f>
        <v>L</v>
      </c>
      <c r="N163" s="35" t="str">
        <f>IFERROR(INDEX(RBD_BI,MATCH("Sales &amp; Business Development|B2|B-IC",RBD_KEY,0)),"M")</f>
        <v>M</v>
      </c>
      <c r="O163" s="35" t="str">
        <f>IFERROR(INDEX(RBD_Exp,MATCH("Sales &amp; Business Development|B2|B-IC",RBD_KEY,0)),"M")</f>
        <v>L</v>
      </c>
      <c r="P163" s="35" t="str">
        <f>IFERROR(INDEX(RBD_Edu,MATCH("Sales &amp; Business Development|B2|B-IC",RBD_KEY,0)),"M")</f>
        <v>L</v>
      </c>
      <c r="Q163" s="73">
        <f>IF(J163="","",IFERROR(INDEX(LMH_PTS,MATCH(J163,LMH_KEY,0))/SUM(IFERROR(INDEX(LMH_PTS,MATCH(J163,LMH_KEY,0)),0),IFERROR(INDEX(LMH_PTS,MATCH(K163,LMH_KEY,0)),0),IFERROR(INDEX(LMH_PTS,MATCH(L163,LMH_KEY,0)),0),IFERROR(INDEX(LMH_PTS,MATCH(M163,LMH_KEY,0)),0),IFERROR(INDEX(LMH_PTS,MATCH(N163,LMH_KEY,0)),0),IFERROR(INDEX(LMH_PTS,MATCH(O163,LMH_KEY,0)),0),IFERROR(INDEX(LMH_PTS,MATCH(P163,LMH_KEY,0)),0)),""))</f>
        <v>0.473684210526316</v>
      </c>
      <c r="R163" s="74">
        <f>IF(K163="","",IFERROR(INDEX(LMH_PTS,MATCH(K163,LMH_KEY,0))/SUM(IFERROR(INDEX(LMH_PTS,MATCH(J163,LMH_KEY,0)),0),IFERROR(INDEX(LMH_PTS,MATCH(K163,LMH_KEY,0)),0),IFERROR(INDEX(LMH_PTS,MATCH(L163,LMH_KEY,0)),0),IFERROR(INDEX(LMH_PTS,MATCH(M163,LMH_KEY,0)),0),IFERROR(INDEX(LMH_PTS,MATCH(N163,LMH_KEY,0)),0),IFERROR(INDEX(LMH_PTS,MATCH(O163,LMH_KEY,0)),0),IFERROR(INDEX(LMH_PTS,MATCH(P163,LMH_KEY,0)),0)),""))</f>
        <v>0.157894736842105</v>
      </c>
      <c r="S163" s="74">
        <f>IF(L163="","",IFERROR(INDEX(LMH_PTS,MATCH(L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T163" s="74">
        <f>IF(M163="","",IFERROR(INDEX(LMH_PTS,MATCH(M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U163" s="74">
        <f>IF(N163="","",IFERROR(INDEX(LMH_PTS,MATCH(N163,LMH_KEY,0))/SUM(IFERROR(INDEX(LMH_PTS,MATCH(J163,LMH_KEY,0)),0),IFERROR(INDEX(LMH_PTS,MATCH(K163,LMH_KEY,0)),0),IFERROR(INDEX(LMH_PTS,MATCH(L163,LMH_KEY,0)),0),IFERROR(INDEX(LMH_PTS,MATCH(M163,LMH_KEY,0)),0),IFERROR(INDEX(LMH_PTS,MATCH(N163,LMH_KEY,0)),0),IFERROR(INDEX(LMH_PTS,MATCH(O163,LMH_KEY,0)),0),IFERROR(INDEX(LMH_PTS,MATCH(P163,LMH_KEY,0)),0)),""))</f>
        <v>0.157894736842105</v>
      </c>
      <c r="V163" s="74">
        <f>IF(O163="","",IFERROR(INDEX(LMH_PTS,MATCH(O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W163" s="74">
        <f>IF(P163="","",IFERROR(INDEX(LMH_PTS,MATCH(P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X163" s="44" t="n"/>
      <c r="Y163" s="38" t="inlineStr">
        <is>
          <t>iFile|Sales|Senior Account Executive – POD Lead|B2|B-IC</t>
        </is>
      </c>
    </row>
    <row r="164" ht="28" customHeight="1">
      <c r="A164" s="28" t="inlineStr">
        <is>
          <t>iFile</t>
        </is>
      </c>
      <c r="B164" s="29" t="inlineStr">
        <is>
          <t>Sales</t>
        </is>
      </c>
      <c r="C164" s="72" t="inlineStr">
        <is>
          <t>B1</t>
        </is>
      </c>
      <c r="D164" s="29" t="inlineStr">
        <is>
          <t>Band B · Specialist / Manager</t>
        </is>
      </c>
      <c r="E164" s="29" t="inlineStr">
        <is>
          <t>Account Executive – POD Lead</t>
        </is>
      </c>
      <c r="F164" s="29" t="inlineStr">
        <is>
          <t>Band B · Specialist / POD Lead</t>
        </is>
      </c>
      <c r="G164" s="29" t="inlineStr">
        <is>
          <t>Sales &amp; Business Development</t>
        </is>
      </c>
      <c r="H164" s="29" t="n">
        <v>1</v>
      </c>
      <c r="I164" s="29" t="inlineStr">
        <is>
          <t>Shreya Jolly</t>
        </is>
      </c>
      <c r="J164" s="34" t="str">
        <f>IFERROR(INDEX(RBD_C,MATCH("Sales &amp; Business Development|B1|B-IC",RBD_KEY,0)),"M")</f>
        <v>H</v>
      </c>
      <c r="K164" s="35" t="str">
        <f>IFERROR(INDEX(RBD_Au,MATCH("Sales &amp; Business Development|B1|B-IC",RBD_KEY,0)),"M")</f>
        <v>M</v>
      </c>
      <c r="L164" s="35" t="str">
        <f>IFERROR(INDEX(RBD_Ac,MATCH("Sales &amp; Business Development|B1|B-IC",RBD_KEY,0)),"M")</f>
        <v>L</v>
      </c>
      <c r="M164" s="35" t="str">
        <f>IFERROR(INDEX(RBD_L,MATCH("Sales &amp; Business Development|B1|B-IC",RBD_KEY,0)),"M")</f>
        <v>L</v>
      </c>
      <c r="N164" s="35" t="str">
        <f>IFERROR(INDEX(RBD_BI,MATCH("Sales &amp; Business Development|B1|B-IC",RBD_KEY,0)),"M")</f>
        <v>M</v>
      </c>
      <c r="O164" s="35" t="str">
        <f>IFERROR(INDEX(RBD_Exp,MATCH("Sales &amp; Business Development|B1|B-IC",RBD_KEY,0)),"M")</f>
        <v>L</v>
      </c>
      <c r="P164" s="35" t="str">
        <f>IFERROR(INDEX(RBD_Edu,MATCH("Sales &amp; Business Development|B1|B-IC",RBD_KEY,0)),"M")</f>
        <v>L</v>
      </c>
      <c r="Q164" s="73">
        <f>IF(J164="","",IFERROR(INDEX(LMH_PTS,MATCH(J164,LMH_KEY,0))/SUM(IFERROR(INDEX(LMH_PTS,MATCH(J164,LMH_KEY,0)),0),IFERROR(INDEX(LMH_PTS,MATCH(K164,LMH_KEY,0)),0),IFERROR(INDEX(LMH_PTS,MATCH(L164,LMH_KEY,0)),0),IFERROR(INDEX(LMH_PTS,MATCH(M164,LMH_KEY,0)),0),IFERROR(INDEX(LMH_PTS,MATCH(N164,LMH_KEY,0)),0),IFERROR(INDEX(LMH_PTS,MATCH(O164,LMH_KEY,0)),0),IFERROR(INDEX(LMH_PTS,MATCH(P164,LMH_KEY,0)),0)),""))</f>
        <v>0.473684210526316</v>
      </c>
      <c r="R164" s="74">
        <f>IF(K164="","",IFERROR(INDEX(LMH_PTS,MATCH(K164,LMH_KEY,0))/SUM(IFERROR(INDEX(LMH_PTS,MATCH(J164,LMH_KEY,0)),0),IFERROR(INDEX(LMH_PTS,MATCH(K164,LMH_KEY,0)),0),IFERROR(INDEX(LMH_PTS,MATCH(L164,LMH_KEY,0)),0),IFERROR(INDEX(LMH_PTS,MATCH(M164,LMH_KEY,0)),0),IFERROR(INDEX(LMH_PTS,MATCH(N164,LMH_KEY,0)),0),IFERROR(INDEX(LMH_PTS,MATCH(O164,LMH_KEY,0)),0),IFERROR(INDEX(LMH_PTS,MATCH(P164,LMH_KEY,0)),0)),""))</f>
        <v>0.157894736842105</v>
      </c>
      <c r="S164" s="74">
        <f>IF(L164="","",IFERROR(INDEX(LMH_PTS,MATCH(L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T164" s="74">
        <f>IF(M164="","",IFERROR(INDEX(LMH_PTS,MATCH(M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U164" s="74">
        <f>IF(N164="","",IFERROR(INDEX(LMH_PTS,MATCH(N164,LMH_KEY,0))/SUM(IFERROR(INDEX(LMH_PTS,MATCH(J164,LMH_KEY,0)),0),IFERROR(INDEX(LMH_PTS,MATCH(K164,LMH_KEY,0)),0),IFERROR(INDEX(LMH_PTS,MATCH(L164,LMH_KEY,0)),0),IFERROR(INDEX(LMH_PTS,MATCH(M164,LMH_KEY,0)),0),IFERROR(INDEX(LMH_PTS,MATCH(N164,LMH_KEY,0)),0),IFERROR(INDEX(LMH_PTS,MATCH(O164,LMH_KEY,0)),0),IFERROR(INDEX(LMH_PTS,MATCH(P164,LMH_KEY,0)),0)),""))</f>
        <v>0.157894736842105</v>
      </c>
      <c r="V164" s="74">
        <f>IF(O164="","",IFERROR(INDEX(LMH_PTS,MATCH(O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W164" s="74">
        <f>IF(P164="","",IFERROR(INDEX(LMH_PTS,MATCH(P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X164" s="44" t="n"/>
      <c r="Y164" s="38" t="inlineStr">
        <is>
          <t>iFile|Sales|Account Executive – POD Lead|B1|B-IC</t>
        </is>
      </c>
    </row>
    <row r="165" ht="18" customHeight="1">
      <c r="A165" s="28" t="inlineStr">
        <is>
          <t>iFile</t>
        </is>
      </c>
      <c r="B165" s="29" t="inlineStr">
        <is>
          <t>Sales</t>
        </is>
      </c>
      <c r="C165" s="72" t="inlineStr">
        <is>
          <t>B1</t>
        </is>
      </c>
      <c r="D165" s="29" t="inlineStr">
        <is>
          <t>Band B · Specialist / Manager</t>
        </is>
      </c>
      <c r="E165" s="29" t="inlineStr">
        <is>
          <t>Pre-Sales Specialist</t>
        </is>
      </c>
      <c r="F165" s="29" t="inlineStr">
        <is>
          <t>Band B · Specialist / POD Lead</t>
        </is>
      </c>
      <c r="G165" s="29" t="inlineStr">
        <is>
          <t>Sales &amp; Business Development</t>
        </is>
      </c>
      <c r="H165" s="29" t="n">
        <v>1</v>
      </c>
      <c r="I165" s="29" t="inlineStr">
        <is>
          <t>Devam Khatri</t>
        </is>
      </c>
      <c r="J165" s="34" t="str">
        <f>IFERROR(INDEX(RBD_C,MATCH("Sales &amp; Business Development|B1|B-IC",RBD_KEY,0)),"M")</f>
        <v>H</v>
      </c>
      <c r="K165" s="35" t="str">
        <f>IFERROR(INDEX(RBD_Au,MATCH("Sales &amp; Business Development|B1|B-IC",RBD_KEY,0)),"M")</f>
        <v>M</v>
      </c>
      <c r="L165" s="35" t="str">
        <f>IFERROR(INDEX(RBD_Ac,MATCH("Sales &amp; Business Development|B1|B-IC",RBD_KEY,0)),"M")</f>
        <v>L</v>
      </c>
      <c r="M165" s="35" t="str">
        <f>IFERROR(INDEX(RBD_L,MATCH("Sales &amp; Business Development|B1|B-IC",RBD_KEY,0)),"M")</f>
        <v>L</v>
      </c>
      <c r="N165" s="35" t="str">
        <f>IFERROR(INDEX(RBD_BI,MATCH("Sales &amp; Business Development|B1|B-IC",RBD_KEY,0)),"M")</f>
        <v>M</v>
      </c>
      <c r="O165" s="35" t="str">
        <f>IFERROR(INDEX(RBD_Exp,MATCH("Sales &amp; Business Development|B1|B-IC",RBD_KEY,0)),"M")</f>
        <v>L</v>
      </c>
      <c r="P165" s="35" t="str">
        <f>IFERROR(INDEX(RBD_Edu,MATCH("Sales &amp; Business Development|B1|B-IC",RBD_KEY,0)),"M")</f>
        <v>L</v>
      </c>
      <c r="Q165" s="73">
        <f>IF(J165="","",IFERROR(INDEX(LMH_PTS,MATCH(J165,LMH_KEY,0))/SUM(IFERROR(INDEX(LMH_PTS,MATCH(J165,LMH_KEY,0)),0),IFERROR(INDEX(LMH_PTS,MATCH(K165,LMH_KEY,0)),0),IFERROR(INDEX(LMH_PTS,MATCH(L165,LMH_KEY,0)),0),IFERROR(INDEX(LMH_PTS,MATCH(M165,LMH_KEY,0)),0),IFERROR(INDEX(LMH_PTS,MATCH(N165,LMH_KEY,0)),0),IFERROR(INDEX(LMH_PTS,MATCH(O165,LMH_KEY,0)),0),IFERROR(INDEX(LMH_PTS,MATCH(P165,LMH_KEY,0)),0)),""))</f>
        <v>0.473684210526316</v>
      </c>
      <c r="R165" s="74">
        <f>IF(K165="","",IFERROR(INDEX(LMH_PTS,MATCH(K165,LMH_KEY,0))/SUM(IFERROR(INDEX(LMH_PTS,MATCH(J165,LMH_KEY,0)),0),IFERROR(INDEX(LMH_PTS,MATCH(K165,LMH_KEY,0)),0),IFERROR(INDEX(LMH_PTS,MATCH(L165,LMH_KEY,0)),0),IFERROR(INDEX(LMH_PTS,MATCH(M165,LMH_KEY,0)),0),IFERROR(INDEX(LMH_PTS,MATCH(N165,LMH_KEY,0)),0),IFERROR(INDEX(LMH_PTS,MATCH(O165,LMH_KEY,0)),0),IFERROR(INDEX(LMH_PTS,MATCH(P165,LMH_KEY,0)),0)),""))</f>
        <v>0.157894736842105</v>
      </c>
      <c r="S165" s="74">
        <f>IF(L165="","",IFERROR(INDEX(LMH_PTS,MATCH(L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T165" s="74">
        <f>IF(M165="","",IFERROR(INDEX(LMH_PTS,MATCH(M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U165" s="74">
        <f>IF(N165="","",IFERROR(INDEX(LMH_PTS,MATCH(N165,LMH_KEY,0))/SUM(IFERROR(INDEX(LMH_PTS,MATCH(J165,LMH_KEY,0)),0),IFERROR(INDEX(LMH_PTS,MATCH(K165,LMH_KEY,0)),0),IFERROR(INDEX(LMH_PTS,MATCH(L165,LMH_KEY,0)),0),IFERROR(INDEX(LMH_PTS,MATCH(M165,LMH_KEY,0)),0),IFERROR(INDEX(LMH_PTS,MATCH(N165,LMH_KEY,0)),0),IFERROR(INDEX(LMH_PTS,MATCH(O165,LMH_KEY,0)),0),IFERROR(INDEX(LMH_PTS,MATCH(P165,LMH_KEY,0)),0)),""))</f>
        <v>0.157894736842105</v>
      </c>
      <c r="V165" s="74">
        <f>IF(O165="","",IFERROR(INDEX(LMH_PTS,MATCH(O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W165" s="74">
        <f>IF(P165="","",IFERROR(INDEX(LMH_PTS,MATCH(P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X165" s="44" t="n"/>
      <c r="Y165" s="38" t="inlineStr">
        <is>
          <t>iFile|Sales|Pre-Sales Specialist|B1|B-IC</t>
        </is>
      </c>
    </row>
    <row r="166" ht="28" customHeight="1">
      <c r="A166" s="28" t="inlineStr">
        <is>
          <t>iFile</t>
        </is>
      </c>
      <c r="B166" s="29" t="inlineStr">
        <is>
          <t>Sales</t>
        </is>
      </c>
      <c r="C166" s="75" t="inlineStr">
        <is>
          <t>A1</t>
        </is>
      </c>
      <c r="D166" s="29" t="inlineStr">
        <is>
          <t>Band A · Practitioner</t>
        </is>
      </c>
      <c r="E166" s="29" t="inlineStr">
        <is>
          <t>Intern – Application &amp; Product Support</t>
        </is>
      </c>
      <c r="F166" s="29" t="inlineStr">
        <is>
          <t>Band A · all tracks</t>
        </is>
      </c>
      <c r="G166" s="29" t="inlineStr">
        <is>
          <t>Customer Success &amp; Support</t>
        </is>
      </c>
      <c r="H166" s="29" t="n">
        <v>1</v>
      </c>
      <c r="I166" s="29" t="inlineStr">
        <is>
          <t>Anushka Chaturvedi</t>
        </is>
      </c>
      <c r="J166" s="34" t="str">
        <f>IFERROR(INDEX(RBD_C,MATCH("Customer Success &amp; Support|A1|A",RBD_KEY,0)),"M")</f>
        <v>H</v>
      </c>
      <c r="K166" s="35" t="str">
        <f>IFERROR(INDEX(RBD_Au,MATCH("Customer Success &amp; Support|A1|A",RBD_KEY,0)),"M")</f>
        <v>M</v>
      </c>
      <c r="L166" s="35" t="str">
        <f>IFERROR(INDEX(RBD_Ac,MATCH("Customer Success &amp; Support|A1|A",RBD_KEY,0)),"M")</f>
        <v>M</v>
      </c>
      <c r="M166" s="35" t="str">
        <f>IFERROR(INDEX(RBD_L,MATCH("Customer Success &amp; Support|A1|A",RBD_KEY,0)),"M")</f>
        <v>L</v>
      </c>
      <c r="N166" s="35" t="str">
        <f>IFERROR(INDEX(RBD_BI,MATCH("Customer Success &amp; Support|A1|A",RBD_KEY,0)),"M")</f>
        <v>M</v>
      </c>
      <c r="O166" s="35" t="str">
        <f>IFERROR(INDEX(RBD_Exp,MATCH("Customer Success &amp; Support|A1|A",RBD_KEY,0)),"M")</f>
        <v>L</v>
      </c>
      <c r="P166" s="35" t="str">
        <f>IFERROR(INDEX(RBD_Edu,MATCH("Customer Success &amp; Support|A1|A",RBD_KEY,0)),"M")</f>
        <v>L</v>
      </c>
      <c r="Q166" s="73">
        <f>IF(J166="","",IFERROR(INDEX(LMH_PTS,MATCH(J166,LMH_KEY,0))/SUM(IFERROR(INDEX(LMH_PTS,MATCH(J166,LMH_KEY,0)),0),IFERROR(INDEX(LMH_PTS,MATCH(K166,LMH_KEY,0)),0),IFERROR(INDEX(LMH_PTS,MATCH(L166,LMH_KEY,0)),0),IFERROR(INDEX(LMH_PTS,MATCH(M166,LMH_KEY,0)),0),IFERROR(INDEX(LMH_PTS,MATCH(N166,LMH_KEY,0)),0),IFERROR(INDEX(LMH_PTS,MATCH(O166,LMH_KEY,0)),0),IFERROR(INDEX(LMH_PTS,MATCH(P166,LMH_KEY,0)),0)),""))</f>
        <v>0.428571428571429</v>
      </c>
      <c r="R166" s="74">
        <f>IF(K166="","",IFERROR(INDEX(LMH_PTS,MATCH(K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S166" s="74">
        <f>IF(L166="","",IFERROR(INDEX(LMH_PTS,MATCH(L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T166" s="74">
        <f>IF(M166="","",IFERROR(INDEX(LMH_PTS,MATCH(M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U166" s="74">
        <f>IF(N166="","",IFERROR(INDEX(LMH_PTS,MATCH(N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V166" s="74">
        <f>IF(O166="","",IFERROR(INDEX(LMH_PTS,MATCH(O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W166" s="74">
        <f>IF(P166="","",IFERROR(INDEX(LMH_PTS,MATCH(P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X166" s="44" t="n"/>
      <c r="Y166" s="38" t="inlineStr">
        <is>
          <t>iFile|Sales|Intern – Application &amp; Product Support|A1|A</t>
        </is>
      </c>
    </row>
    <row r="167" ht="28" customHeight="1">
      <c r="A167" s="28" t="inlineStr">
        <is>
          <t>iFile</t>
        </is>
      </c>
      <c r="B167" s="29" t="inlineStr">
        <is>
          <t>Sales</t>
        </is>
      </c>
      <c r="C167" s="76" t="inlineStr">
        <is>
          <t>X2</t>
        </is>
      </c>
      <c r="D167" s="29" t="inlineStr">
        <is>
          <t>Band X · Consultant</t>
        </is>
      </c>
      <c r="E167" s="29" t="inlineStr">
        <is>
          <t>Consultant – Enterprise Sales &amp; Account Management</t>
        </is>
      </c>
      <c r="F167" s="29" t="inlineStr">
        <is>
          <t>Consultant</t>
        </is>
      </c>
      <c r="G167" s="29" t="inlineStr">
        <is>
          <t>Sales &amp; Business Development</t>
        </is>
      </c>
      <c r="H167" s="29" t="n">
        <v>1</v>
      </c>
      <c r="I167" s="29" t="inlineStr">
        <is>
          <t>Rajesh Nair</t>
        </is>
      </c>
      <c r="J167" s="34" t="n"/>
      <c r="K167" s="35" t="n"/>
      <c r="L167" s="35" t="n"/>
      <c r="M167" s="35" t="n"/>
      <c r="N167" s="35" t="n"/>
      <c r="O167" s="35" t="n"/>
      <c r="P167" s="35" t="n"/>
      <c r="Q167" s="73" t="str">
        <f>IF(J167="","",IFERROR(INDEX(LMH_PTS,MATCH(J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R167" s="74" t="str">
        <f>IF(K167="","",IFERROR(INDEX(LMH_PTS,MATCH(K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S167" s="74" t="str">
        <f>IF(L167="","",IFERROR(INDEX(LMH_PTS,MATCH(L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T167" s="74" t="str">
        <f>IF(M167="","",IFERROR(INDEX(LMH_PTS,MATCH(M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U167" s="74" t="str">
        <f>IF(N167="","",IFERROR(INDEX(LMH_PTS,MATCH(N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V167" s="74" t="str">
        <f>IF(O167="","",IFERROR(INDEX(LMH_PTS,MATCH(O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W167" s="74" t="str">
        <f>IF(P167="","",IFERROR(INDEX(LMH_PTS,MATCH(P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X167" s="44" t="n"/>
      <c r="Y167" s="38" t="inlineStr">
        <is>
          <t>iFile|Sales|Consultant – Enterprise Sales &amp; Account Management|X2|X</t>
        </is>
      </c>
    </row>
    <row r="168" ht="28" customHeight="1">
      <c r="A168" s="28" t="inlineStr">
        <is>
          <t>iFile</t>
        </is>
      </c>
      <c r="B168" s="29" t="inlineStr">
        <is>
          <t>Sales</t>
        </is>
      </c>
      <c r="C168" s="76" t="inlineStr">
        <is>
          <t>X3</t>
        </is>
      </c>
      <c r="D168" s="29" t="inlineStr">
        <is>
          <t>Band X · Consultant</t>
        </is>
      </c>
      <c r="E168" s="29" t="inlineStr">
        <is>
          <t>Senior Consultant – Enterprise Leadership</t>
        </is>
      </c>
      <c r="F168" s="29" t="inlineStr">
        <is>
          <t>Consultant</t>
        </is>
      </c>
      <c r="G168" s="29" t="inlineStr">
        <is>
          <t>Executive Leadership</t>
        </is>
      </c>
      <c r="H168" s="29" t="n">
        <v>1</v>
      </c>
      <c r="I168" s="29" t="inlineStr">
        <is>
          <t>Anand Padmanabhan</t>
        </is>
      </c>
      <c r="J168" s="34" t="n"/>
      <c r="K168" s="35" t="n"/>
      <c r="L168" s="35" t="n"/>
      <c r="M168" s="35" t="n"/>
      <c r="N168" s="35" t="n"/>
      <c r="O168" s="35" t="n"/>
      <c r="P168" s="35" t="n"/>
      <c r="Q168" s="73" t="str">
        <f>IF(J168="","",IFERROR(INDEX(LMH_PTS,MATCH(J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R168" s="74" t="str">
        <f>IF(K168="","",IFERROR(INDEX(LMH_PTS,MATCH(K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S168" s="74" t="str">
        <f>IF(L168="","",IFERROR(INDEX(LMH_PTS,MATCH(L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T168" s="74" t="str">
        <f>IF(M168="","",IFERROR(INDEX(LMH_PTS,MATCH(M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U168" s="74" t="str">
        <f>IF(N168="","",IFERROR(INDEX(LMH_PTS,MATCH(N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V168" s="74" t="str">
        <f>IF(O168="","",IFERROR(INDEX(LMH_PTS,MATCH(O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W168" s="74" t="str">
        <f>IF(P168="","",IFERROR(INDEX(LMH_PTS,MATCH(P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X168" s="44" t="n"/>
      <c r="Y168" s="38" t="inlineStr">
        <is>
          <t>iFile|Sales|Senior Consultant – Enterprise Leadership|X3|X</t>
        </is>
      </c>
    </row>
    <row r="169" ht="18" customHeight="1">
      <c r="A169" s="28" t="inlineStr">
        <is>
          <t>iFile</t>
        </is>
      </c>
      <c r="B169" s="71" t="inlineStr">
        <is>
          <t>Support</t>
        </is>
      </c>
      <c r="C169" s="72" t="inlineStr">
        <is>
          <t>B1</t>
        </is>
      </c>
      <c r="D169" s="29" t="inlineStr">
        <is>
          <t>Band B · Specialist / Manager</t>
        </is>
      </c>
      <c r="E169" s="29" t="inlineStr">
        <is>
          <t>Support Specialist</t>
        </is>
      </c>
      <c r="F169" s="29" t="inlineStr">
        <is>
          <t>Band B · Specialist / POD Lead</t>
        </is>
      </c>
      <c r="G169" s="29" t="inlineStr">
        <is>
          <t>Customer Success &amp; Support</t>
        </is>
      </c>
      <c r="H169" s="29" t="n">
        <v>2</v>
      </c>
      <c r="I169" s="29" t="inlineStr">
        <is>
          <t>Shraddha Gawali, Vijay Sakpal</t>
        </is>
      </c>
      <c r="J169" s="34" t="str">
        <f>IFERROR(INDEX(RBD_C,MATCH("Customer Success &amp; Support|B1|B-IC",RBD_KEY,0)),"M")</f>
        <v>H</v>
      </c>
      <c r="K169" s="35" t="str">
        <f>IFERROR(INDEX(RBD_Au,MATCH("Customer Success &amp; Support|B1|B-IC",RBD_KEY,0)),"M")</f>
        <v>M</v>
      </c>
      <c r="L169" s="35" t="str">
        <f>IFERROR(INDEX(RBD_Ac,MATCH("Customer Success &amp; Support|B1|B-IC",RBD_KEY,0)),"M")</f>
        <v>M</v>
      </c>
      <c r="M169" s="35" t="str">
        <f>IFERROR(INDEX(RBD_L,MATCH("Customer Success &amp; Support|B1|B-IC",RBD_KEY,0)),"M")</f>
        <v>L</v>
      </c>
      <c r="N169" s="35" t="str">
        <f>IFERROR(INDEX(RBD_BI,MATCH("Customer Success &amp; Support|B1|B-IC",RBD_KEY,0)),"M")</f>
        <v>M</v>
      </c>
      <c r="O169" s="35" t="str">
        <f>IFERROR(INDEX(RBD_Exp,MATCH("Customer Success &amp; Support|B1|B-IC",RBD_KEY,0)),"M")</f>
        <v>L</v>
      </c>
      <c r="P169" s="35" t="str">
        <f>IFERROR(INDEX(RBD_Edu,MATCH("Customer Success &amp; Support|B1|B-IC",RBD_KEY,0)),"M")</f>
        <v>L</v>
      </c>
      <c r="Q169" s="73">
        <f>IF(J169="","",IFERROR(INDEX(LMH_PTS,MATCH(J169,LMH_KEY,0))/SUM(IFERROR(INDEX(LMH_PTS,MATCH(J169,LMH_KEY,0)),0),IFERROR(INDEX(LMH_PTS,MATCH(K169,LMH_KEY,0)),0),IFERROR(INDEX(LMH_PTS,MATCH(L169,LMH_KEY,0)),0),IFERROR(INDEX(LMH_PTS,MATCH(M169,LMH_KEY,0)),0),IFERROR(INDEX(LMH_PTS,MATCH(N169,LMH_KEY,0)),0),IFERROR(INDEX(LMH_PTS,MATCH(O169,LMH_KEY,0)),0),IFERROR(INDEX(LMH_PTS,MATCH(P169,LMH_KEY,0)),0)),""))</f>
        <v>0.428571428571429</v>
      </c>
      <c r="R169" s="74">
        <f>IF(K169="","",IFERROR(INDEX(LMH_PTS,MATCH(K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S169" s="74">
        <f>IF(L169="","",IFERROR(INDEX(LMH_PTS,MATCH(L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T169" s="74">
        <f>IF(M169="","",IFERROR(INDEX(LMH_PTS,MATCH(M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U169" s="74">
        <f>IF(N169="","",IFERROR(INDEX(LMH_PTS,MATCH(N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V169" s="74">
        <f>IF(O169="","",IFERROR(INDEX(LMH_PTS,MATCH(O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W169" s="74">
        <f>IF(P169="","",IFERROR(INDEX(LMH_PTS,MATCH(P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X169" s="44" t="n"/>
      <c r="Y169" s="38" t="inlineStr">
        <is>
          <t>iFile|Support|Support Specialist|B1|B-IC</t>
        </is>
      </c>
    </row>
    <row r="170" ht="65.5" customHeight="1">
      <c r="A170" s="28" t="inlineStr">
        <is>
          <t>iFile</t>
        </is>
      </c>
      <c r="B170" s="29" t="inlineStr">
        <is>
          <t>Support</t>
        </is>
      </c>
      <c r="C170" s="75" t="inlineStr">
        <is>
          <t>A3</t>
        </is>
      </c>
      <c r="D170" s="29" t="inlineStr">
        <is>
          <t>Band A · Practitioner</t>
        </is>
      </c>
      <c r="E170" s="29" t="inlineStr">
        <is>
          <t>Senior Support Executive</t>
        </is>
      </c>
      <c r="F170" s="29" t="inlineStr">
        <is>
          <t>Band A · all tracks</t>
        </is>
      </c>
      <c r="G170" s="29" t="inlineStr">
        <is>
          <t>Customer Success &amp; Support</t>
        </is>
      </c>
      <c r="H170" s="29" t="n">
        <v>8</v>
      </c>
      <c r="I170" s="29" t="inlineStr">
        <is>
          <t>Bhagyashree Bauskar, Dipeeka Yewale, Manohar Golbane, Prajakta Mandhare, Jyoti Patil, Shreya Shinde, Varsha Kambale, Sayed Ibrahim</t>
        </is>
      </c>
      <c r="J170" s="34" t="str">
        <f>IFERROR(INDEX(RBD_C,MATCH("Customer Success &amp; Support|A3|A",RBD_KEY,0)),"M")</f>
        <v>H</v>
      </c>
      <c r="K170" s="35" t="str">
        <f>IFERROR(INDEX(RBD_Au,MATCH("Customer Success &amp; Support|A3|A",RBD_KEY,0)),"M")</f>
        <v>M</v>
      </c>
      <c r="L170" s="35" t="str">
        <f>IFERROR(INDEX(RBD_Ac,MATCH("Customer Success &amp; Support|A3|A",RBD_KEY,0)),"M")</f>
        <v>M</v>
      </c>
      <c r="M170" s="35" t="str">
        <f>IFERROR(INDEX(RBD_L,MATCH("Customer Success &amp; Support|A3|A",RBD_KEY,0)),"M")</f>
        <v>L</v>
      </c>
      <c r="N170" s="35" t="str">
        <f>IFERROR(INDEX(RBD_BI,MATCH("Customer Success &amp; Support|A3|A",RBD_KEY,0)),"M")</f>
        <v>M</v>
      </c>
      <c r="O170" s="35" t="str">
        <f>IFERROR(INDEX(RBD_Exp,MATCH("Customer Success &amp; Support|A3|A",RBD_KEY,0)),"M")</f>
        <v>L</v>
      </c>
      <c r="P170" s="35" t="str">
        <f>IFERROR(INDEX(RBD_Edu,MATCH("Customer Success &amp; Support|A3|A",RBD_KEY,0)),"M")</f>
        <v>L</v>
      </c>
      <c r="Q170" s="73">
        <f>IF(J170="","",IFERROR(INDEX(LMH_PTS,MATCH(J170,LMH_KEY,0))/SUM(IFERROR(INDEX(LMH_PTS,MATCH(J170,LMH_KEY,0)),0),IFERROR(INDEX(LMH_PTS,MATCH(K170,LMH_KEY,0)),0),IFERROR(INDEX(LMH_PTS,MATCH(L170,LMH_KEY,0)),0),IFERROR(INDEX(LMH_PTS,MATCH(M170,LMH_KEY,0)),0),IFERROR(INDEX(LMH_PTS,MATCH(N170,LMH_KEY,0)),0),IFERROR(INDEX(LMH_PTS,MATCH(O170,LMH_KEY,0)),0),IFERROR(INDEX(LMH_PTS,MATCH(P170,LMH_KEY,0)),0)),""))</f>
        <v>0.428571428571429</v>
      </c>
      <c r="R170" s="74">
        <f>IF(K170="","",IFERROR(INDEX(LMH_PTS,MATCH(K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S170" s="74">
        <f>IF(L170="","",IFERROR(INDEX(LMH_PTS,MATCH(L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T170" s="74">
        <f>IF(M170="","",IFERROR(INDEX(LMH_PTS,MATCH(M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U170" s="74">
        <f>IF(N170="","",IFERROR(INDEX(LMH_PTS,MATCH(N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V170" s="74">
        <f>IF(O170="","",IFERROR(INDEX(LMH_PTS,MATCH(O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W170" s="74">
        <f>IF(P170="","",IFERROR(INDEX(LMH_PTS,MATCH(P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X170" s="44" t="n"/>
      <c r="Y170" s="38" t="inlineStr">
        <is>
          <t>iFile|Support|Senior Support Executive|A3|A</t>
        </is>
      </c>
    </row>
    <row r="171" ht="18" customHeight="1">
      <c r="A171" s="28" t="inlineStr">
        <is>
          <t>iFile</t>
        </is>
      </c>
      <c r="B171" s="29" t="inlineStr">
        <is>
          <t>Support</t>
        </is>
      </c>
      <c r="C171" s="75" t="inlineStr">
        <is>
          <t>A2</t>
        </is>
      </c>
      <c r="D171" s="29" t="inlineStr">
        <is>
          <t>Band A · Practitioner</t>
        </is>
      </c>
      <c r="E171" s="29" t="inlineStr">
        <is>
          <t>Support Executive</t>
        </is>
      </c>
      <c r="F171" s="29" t="inlineStr">
        <is>
          <t>Band A · all tracks</t>
        </is>
      </c>
      <c r="G171" s="29" t="inlineStr">
        <is>
          <t>Customer Success &amp; Support</t>
        </is>
      </c>
      <c r="H171" s="29" t="n">
        <v>1</v>
      </c>
      <c r="I171" s="29" t="inlineStr">
        <is>
          <t>Uzma Shaikh</t>
        </is>
      </c>
      <c r="J171" s="34" t="str">
        <f>IFERROR(INDEX(RBD_C,MATCH("Customer Success &amp; Support|A2|A",RBD_KEY,0)),"M")</f>
        <v>H</v>
      </c>
      <c r="K171" s="35" t="str">
        <f>IFERROR(INDEX(RBD_Au,MATCH("Customer Success &amp; Support|A2|A",RBD_KEY,0)),"M")</f>
        <v>M</v>
      </c>
      <c r="L171" s="35" t="str">
        <f>IFERROR(INDEX(RBD_Ac,MATCH("Customer Success &amp; Support|A2|A",RBD_KEY,0)),"M")</f>
        <v>M</v>
      </c>
      <c r="M171" s="35" t="str">
        <f>IFERROR(INDEX(RBD_L,MATCH("Customer Success &amp; Support|A2|A",RBD_KEY,0)),"M")</f>
        <v>L</v>
      </c>
      <c r="N171" s="35" t="str">
        <f>IFERROR(INDEX(RBD_BI,MATCH("Customer Success &amp; Support|A2|A",RBD_KEY,0)),"M")</f>
        <v>M</v>
      </c>
      <c r="O171" s="35" t="str">
        <f>IFERROR(INDEX(RBD_Exp,MATCH("Customer Success &amp; Support|A2|A",RBD_KEY,0)),"M")</f>
        <v>L</v>
      </c>
      <c r="P171" s="35" t="str">
        <f>IFERROR(INDEX(RBD_Edu,MATCH("Customer Success &amp; Support|A2|A",RBD_KEY,0)),"M")</f>
        <v>L</v>
      </c>
      <c r="Q171" s="73">
        <f>IF(J171="","",IFERROR(INDEX(LMH_PTS,MATCH(J171,LMH_KEY,0))/SUM(IFERROR(INDEX(LMH_PTS,MATCH(J171,LMH_KEY,0)),0),IFERROR(INDEX(LMH_PTS,MATCH(K171,LMH_KEY,0)),0),IFERROR(INDEX(LMH_PTS,MATCH(L171,LMH_KEY,0)),0),IFERROR(INDEX(LMH_PTS,MATCH(M171,LMH_KEY,0)),0),IFERROR(INDEX(LMH_PTS,MATCH(N171,LMH_KEY,0)),0),IFERROR(INDEX(LMH_PTS,MATCH(O171,LMH_KEY,0)),0),IFERROR(INDEX(LMH_PTS,MATCH(P171,LMH_KEY,0)),0)),""))</f>
        <v>0.428571428571429</v>
      </c>
      <c r="R171" s="74">
        <f>IF(K171="","",IFERROR(INDEX(LMH_PTS,MATCH(K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S171" s="74">
        <f>IF(L171="","",IFERROR(INDEX(LMH_PTS,MATCH(L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T171" s="74">
        <f>IF(M171="","",IFERROR(INDEX(LMH_PTS,MATCH(M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U171" s="74">
        <f>IF(N171="","",IFERROR(INDEX(LMH_PTS,MATCH(N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V171" s="74">
        <f>IF(O171="","",IFERROR(INDEX(LMH_PTS,MATCH(O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W171" s="74">
        <f>IF(P171="","",IFERROR(INDEX(LMH_PTS,MATCH(P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X171" s="44" t="n"/>
      <c r="Y171" s="38" t="inlineStr">
        <is>
          <t>iFile|Support|Support Executive|A2|A</t>
        </is>
      </c>
    </row>
    <row r="172" ht="18" customHeight="1">
      <c r="A172" s="28" t="inlineStr">
        <is>
          <t>iFile</t>
        </is>
      </c>
      <c r="B172" s="71" t="inlineStr">
        <is>
          <t>Technology</t>
        </is>
      </c>
      <c r="C172" s="78" t="inlineStr">
        <is>
          <t>C2</t>
        </is>
      </c>
      <c r="D172" s="29" t="inlineStr">
        <is>
          <t>Band C · Principal / Head</t>
        </is>
      </c>
      <c r="E172" s="29" t="inlineStr">
        <is>
          <t>Head – Delivery</t>
        </is>
      </c>
      <c r="F172" s="29" t="inlineStr">
        <is>
          <t>Band C · Head / manager</t>
        </is>
      </c>
      <c r="G172" s="29" t="inlineStr">
        <is>
          <t>Executive Leadership</t>
        </is>
      </c>
      <c r="H172" s="29" t="n">
        <v>1</v>
      </c>
      <c r="I172" s="29" t="inlineStr">
        <is>
          <t>Pradip Dey</t>
        </is>
      </c>
      <c r="J172" s="34" t="str">
        <f>IFERROR(INDEX(RBD_C,MATCH("Executive Leadership|C2|C-M",RBD_KEY,0)),"M")</f>
        <v>H</v>
      </c>
      <c r="K172" s="35" t="str">
        <f>IFERROR(INDEX(RBD_Au,MATCH("Executive Leadership|C2|C-M",RBD_KEY,0)),"M")</f>
        <v>M</v>
      </c>
      <c r="L172" s="35" t="str">
        <f>IFERROR(INDEX(RBD_Ac,MATCH("Executive Leadership|C2|C-M",RBD_KEY,0)),"M")</f>
        <v>M</v>
      </c>
      <c r="M172" s="35" t="str">
        <f>IFERROR(INDEX(RBD_L,MATCH("Executive Leadership|C2|C-M",RBD_KEY,0)),"M")</f>
        <v>M</v>
      </c>
      <c r="N172" s="35" t="str">
        <f>IFERROR(INDEX(RBD_BI,MATCH("Executive Leadership|C2|C-M",RBD_KEY,0)),"M")</f>
        <v>L</v>
      </c>
      <c r="O172" s="35" t="str">
        <f>IFERROR(INDEX(RBD_Exp,MATCH("Executive Leadership|C2|C-M",RBD_KEY,0)),"M")</f>
        <v>L</v>
      </c>
      <c r="P172" s="35" t="str">
        <f>IFERROR(INDEX(RBD_Edu,MATCH("Executive Leadership|C2|C-M",RBD_KEY,0)),"M")</f>
        <v>L</v>
      </c>
      <c r="Q172" s="73">
        <f>IF(J172="","",IFERROR(INDEX(LMH_PTS,MATCH(J172,LMH_KEY,0))/SUM(IFERROR(INDEX(LMH_PTS,MATCH(J172,LMH_KEY,0)),0),IFERROR(INDEX(LMH_PTS,MATCH(K172,LMH_KEY,0)),0),IFERROR(INDEX(LMH_PTS,MATCH(L172,LMH_KEY,0)),0),IFERROR(INDEX(LMH_PTS,MATCH(M172,LMH_KEY,0)),0),IFERROR(INDEX(LMH_PTS,MATCH(N172,LMH_KEY,0)),0),IFERROR(INDEX(LMH_PTS,MATCH(O172,LMH_KEY,0)),0),IFERROR(INDEX(LMH_PTS,MATCH(P172,LMH_KEY,0)),0)),""))</f>
        <v>0.428571428571429</v>
      </c>
      <c r="R172" s="74">
        <f>IF(K172="","",IFERROR(INDEX(LMH_PTS,MATCH(K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S172" s="74">
        <f>IF(L172="","",IFERROR(INDEX(LMH_PTS,MATCH(L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T172" s="74">
        <f>IF(M172="","",IFERROR(INDEX(LMH_PTS,MATCH(M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U172" s="74">
        <f>IF(N172="","",IFERROR(INDEX(LMH_PTS,MATCH(N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V172" s="74">
        <f>IF(O172="","",IFERROR(INDEX(LMH_PTS,MATCH(O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W172" s="74">
        <f>IF(P172="","",IFERROR(INDEX(LMH_PTS,MATCH(P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X172" s="44" t="n"/>
      <c r="Y172" s="38" t="inlineStr">
        <is>
          <t>iFile|Technology|Head – Delivery|C2|C-M</t>
        </is>
      </c>
    </row>
    <row r="173" ht="40.5" customHeight="1">
      <c r="A173" s="28" t="inlineStr">
        <is>
          <t>iFile</t>
        </is>
      </c>
      <c r="B173" s="29" t="inlineStr">
        <is>
          <t>Technology</t>
        </is>
      </c>
      <c r="C173" s="80" t="inlineStr">
        <is>
          <t>B+</t>
        </is>
      </c>
      <c r="D173" s="29" t="inlineStr">
        <is>
          <t>B+ · Player-Coach</t>
        </is>
      </c>
      <c r="E173" s="29" t="inlineStr">
        <is>
          <t>Practice Lead – Project &amp; Program Delivery · Player-Coach</t>
        </is>
      </c>
      <c r="F173" s="29" t="inlineStr">
        <is>
          <t>B+ · Player-Coach</t>
        </is>
      </c>
      <c r="G173" s="29" t="inlineStr">
        <is>
          <t>Project &amp; Program Management</t>
        </is>
      </c>
      <c r="H173" s="29" t="n">
        <v>1</v>
      </c>
      <c r="I173" s="29" t="inlineStr">
        <is>
          <t>Izharuddin Shaikh</t>
        </is>
      </c>
      <c r="J173" s="34" t="str">
        <f>IFERROR(INDEX(RBD_C,MATCH("Project &amp; Program Management|B+|B+",RBD_KEY,0)),"M")</f>
        <v>H</v>
      </c>
      <c r="K173" s="35" t="str">
        <f>IFERROR(INDEX(RBD_Au,MATCH("Project &amp; Program Management|B+|B+",RBD_KEY,0)),"M")</f>
        <v>M</v>
      </c>
      <c r="L173" s="35" t="str">
        <f>IFERROR(INDEX(RBD_Ac,MATCH("Project &amp; Program Management|B+|B+",RBD_KEY,0)),"M")</f>
        <v>L</v>
      </c>
      <c r="M173" s="35" t="str">
        <f>IFERROR(INDEX(RBD_L,MATCH("Project &amp; Program Management|B+|B+",RBD_KEY,0)),"M")</f>
        <v>M</v>
      </c>
      <c r="N173" s="35" t="str">
        <f>IFERROR(INDEX(RBD_BI,MATCH("Project &amp; Program Management|B+|B+",RBD_KEY,0)),"M")</f>
        <v>L</v>
      </c>
      <c r="O173" s="35" t="str">
        <f>IFERROR(INDEX(RBD_Exp,MATCH("Project &amp; Program Management|B+|B+",RBD_KEY,0)),"M")</f>
        <v>L</v>
      </c>
      <c r="P173" s="35" t="str">
        <f>IFERROR(INDEX(RBD_Edu,MATCH("Project &amp; Program Management|B+|B+",RBD_KEY,0)),"M")</f>
        <v>L</v>
      </c>
      <c r="Q173" s="73">
        <f>IF(J173="","",IFERROR(INDEX(LMH_PTS,MATCH(J173,LMH_KEY,0))/SUM(IFERROR(INDEX(LMH_PTS,MATCH(J173,LMH_KEY,0)),0),IFERROR(INDEX(LMH_PTS,MATCH(K173,LMH_KEY,0)),0),IFERROR(INDEX(LMH_PTS,MATCH(L173,LMH_KEY,0)),0),IFERROR(INDEX(LMH_PTS,MATCH(M173,LMH_KEY,0)),0),IFERROR(INDEX(LMH_PTS,MATCH(N173,LMH_KEY,0)),0),IFERROR(INDEX(LMH_PTS,MATCH(O173,LMH_KEY,0)),0),IFERROR(INDEX(LMH_PTS,MATCH(P173,LMH_KEY,0)),0)),""))</f>
        <v>0.473684210526316</v>
      </c>
      <c r="R173" s="74">
        <f>IF(K173="","",IFERROR(INDEX(LMH_PTS,MATCH(K173,LMH_KEY,0))/SUM(IFERROR(INDEX(LMH_PTS,MATCH(J173,LMH_KEY,0)),0),IFERROR(INDEX(LMH_PTS,MATCH(K173,LMH_KEY,0)),0),IFERROR(INDEX(LMH_PTS,MATCH(L173,LMH_KEY,0)),0),IFERROR(INDEX(LMH_PTS,MATCH(M173,LMH_KEY,0)),0),IFERROR(INDEX(LMH_PTS,MATCH(N173,LMH_KEY,0)),0),IFERROR(INDEX(LMH_PTS,MATCH(O173,LMH_KEY,0)),0),IFERROR(INDEX(LMH_PTS,MATCH(P173,LMH_KEY,0)),0)),""))</f>
        <v>0.157894736842105</v>
      </c>
      <c r="S173" s="74">
        <f>IF(L173="","",IFERROR(INDEX(LMH_PTS,MATCH(L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T173" s="74">
        <f>IF(M173="","",IFERROR(INDEX(LMH_PTS,MATCH(M173,LMH_KEY,0))/SUM(IFERROR(INDEX(LMH_PTS,MATCH(J173,LMH_KEY,0)),0),IFERROR(INDEX(LMH_PTS,MATCH(K173,LMH_KEY,0)),0),IFERROR(INDEX(LMH_PTS,MATCH(L173,LMH_KEY,0)),0),IFERROR(INDEX(LMH_PTS,MATCH(M173,LMH_KEY,0)),0),IFERROR(INDEX(LMH_PTS,MATCH(N173,LMH_KEY,0)),0),IFERROR(INDEX(LMH_PTS,MATCH(O173,LMH_KEY,0)),0),IFERROR(INDEX(LMH_PTS,MATCH(P173,LMH_KEY,0)),0)),""))</f>
        <v>0.157894736842105</v>
      </c>
      <c r="U173" s="74">
        <f>IF(N173="","",IFERROR(INDEX(LMH_PTS,MATCH(N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V173" s="74">
        <f>IF(O173="","",IFERROR(INDEX(LMH_PTS,MATCH(O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W173" s="74">
        <f>IF(P173="","",IFERROR(INDEX(LMH_PTS,MATCH(P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X173" s="44" t="n"/>
      <c r="Y173" s="38" t="inlineStr">
        <is>
          <t>iFile|Technology|Practice Lead – Project &amp; Program Delivery · Player-Coach|B+|B+</t>
        </is>
      </c>
    </row>
    <row r="174" ht="40.5" customHeight="1">
      <c r="A174" s="28" t="inlineStr">
        <is>
          <t>iFile</t>
        </is>
      </c>
      <c r="B174" s="29" t="inlineStr">
        <is>
          <t>Technology</t>
        </is>
      </c>
      <c r="C174" s="80" t="inlineStr">
        <is>
          <t>B+</t>
        </is>
      </c>
      <c r="D174" s="29" t="inlineStr">
        <is>
          <t>B+ · Player-Coach</t>
        </is>
      </c>
      <c r="E174" s="29" t="inlineStr">
        <is>
          <t>Practice Lead – Solution &amp; Technical Architecture · Player-Coach</t>
        </is>
      </c>
      <c r="F174" s="29" t="inlineStr">
        <is>
          <t>B+ · Player-Coach</t>
        </is>
      </c>
      <c r="G174" s="29" t="inlineStr">
        <is>
          <t>Engineering &amp; Architecture</t>
        </is>
      </c>
      <c r="H174" s="29" t="n">
        <v>4</v>
      </c>
      <c r="I174" s="29" t="inlineStr">
        <is>
          <t>Brij Kishor Singh, Hemant Trivedi, Pushpendra Singh, Suman Kumar</t>
        </is>
      </c>
      <c r="J174" s="34" t="str">
        <f>IFERROR(INDEX(RBD_C,MATCH("Engineering &amp; Architecture|B+|B+",RBD_KEY,0)),"M")</f>
        <v>H</v>
      </c>
      <c r="K174" s="35" t="str">
        <f>IFERROR(INDEX(RBD_Au,MATCH("Engineering &amp; Architecture|B+|B+",RBD_KEY,0)),"M")</f>
        <v>M</v>
      </c>
      <c r="L174" s="35" t="str">
        <f>IFERROR(INDEX(RBD_Ac,MATCH("Engineering &amp; Architecture|B+|B+",RBD_KEY,0)),"M")</f>
        <v>L</v>
      </c>
      <c r="M174" s="35" t="str">
        <f>IFERROR(INDEX(RBD_L,MATCH("Engineering &amp; Architecture|B+|B+",RBD_KEY,0)),"M")</f>
        <v>M</v>
      </c>
      <c r="N174" s="35" t="str">
        <f>IFERROR(INDEX(RBD_BI,MATCH("Engineering &amp; Architecture|B+|B+",RBD_KEY,0)),"M")</f>
        <v>L</v>
      </c>
      <c r="O174" s="35" t="str">
        <f>IFERROR(INDEX(RBD_Exp,MATCH("Engineering &amp; Architecture|B+|B+",RBD_KEY,0)),"M")</f>
        <v>L</v>
      </c>
      <c r="P174" s="35" t="str">
        <f>IFERROR(INDEX(RBD_Edu,MATCH("Engineering &amp; Architecture|B+|B+",RBD_KEY,0)),"M")</f>
        <v>L</v>
      </c>
      <c r="Q174" s="73">
        <f>IF(J174="","",IFERROR(INDEX(LMH_PTS,MATCH(J174,LMH_KEY,0))/SUM(IFERROR(INDEX(LMH_PTS,MATCH(J174,LMH_KEY,0)),0),IFERROR(INDEX(LMH_PTS,MATCH(K174,LMH_KEY,0)),0),IFERROR(INDEX(LMH_PTS,MATCH(L174,LMH_KEY,0)),0),IFERROR(INDEX(LMH_PTS,MATCH(M174,LMH_KEY,0)),0),IFERROR(INDEX(LMH_PTS,MATCH(N174,LMH_KEY,0)),0),IFERROR(INDEX(LMH_PTS,MATCH(O174,LMH_KEY,0)),0),IFERROR(INDEX(LMH_PTS,MATCH(P174,LMH_KEY,0)),0)),""))</f>
        <v>0.473684210526316</v>
      </c>
      <c r="R174" s="74">
        <f>IF(K174="","",IFERROR(INDEX(LMH_PTS,MATCH(K174,LMH_KEY,0))/SUM(IFERROR(INDEX(LMH_PTS,MATCH(J174,LMH_KEY,0)),0),IFERROR(INDEX(LMH_PTS,MATCH(K174,LMH_KEY,0)),0),IFERROR(INDEX(LMH_PTS,MATCH(L174,LMH_KEY,0)),0),IFERROR(INDEX(LMH_PTS,MATCH(M174,LMH_KEY,0)),0),IFERROR(INDEX(LMH_PTS,MATCH(N174,LMH_KEY,0)),0),IFERROR(INDEX(LMH_PTS,MATCH(O174,LMH_KEY,0)),0),IFERROR(INDEX(LMH_PTS,MATCH(P174,LMH_KEY,0)),0)),""))</f>
        <v>0.157894736842105</v>
      </c>
      <c r="S174" s="74">
        <f>IF(L174="","",IFERROR(INDEX(LMH_PTS,MATCH(L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T174" s="74">
        <f>IF(M174="","",IFERROR(INDEX(LMH_PTS,MATCH(M174,LMH_KEY,0))/SUM(IFERROR(INDEX(LMH_PTS,MATCH(J174,LMH_KEY,0)),0),IFERROR(INDEX(LMH_PTS,MATCH(K174,LMH_KEY,0)),0),IFERROR(INDEX(LMH_PTS,MATCH(L174,LMH_KEY,0)),0),IFERROR(INDEX(LMH_PTS,MATCH(M174,LMH_KEY,0)),0),IFERROR(INDEX(LMH_PTS,MATCH(N174,LMH_KEY,0)),0),IFERROR(INDEX(LMH_PTS,MATCH(O174,LMH_KEY,0)),0),IFERROR(INDEX(LMH_PTS,MATCH(P174,LMH_KEY,0)),0)),""))</f>
        <v>0.157894736842105</v>
      </c>
      <c r="U174" s="74">
        <f>IF(N174="","",IFERROR(INDEX(LMH_PTS,MATCH(N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V174" s="74">
        <f>IF(O174="","",IFERROR(INDEX(LMH_PTS,MATCH(O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W174" s="74">
        <f>IF(P174="","",IFERROR(INDEX(LMH_PTS,MATCH(P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X174" s="44" t="n"/>
      <c r="Y174" s="38" t="inlineStr">
        <is>
          <t>iFile|Technology|Practice Lead – Solution &amp; Technical Architecture · Player-Coach|B+|B+</t>
        </is>
      </c>
    </row>
    <row r="175" ht="28" customHeight="1">
      <c r="A175" s="28" t="inlineStr">
        <is>
          <t>iFile</t>
        </is>
      </c>
      <c r="B175" s="29" t="inlineStr">
        <is>
          <t>Technology</t>
        </is>
      </c>
      <c r="C175" s="72" t="inlineStr">
        <is>
          <t>B3</t>
        </is>
      </c>
      <c r="D175" s="29" t="inlineStr">
        <is>
          <t>Band B · Specialist / Manager</t>
        </is>
      </c>
      <c r="E175" s="29" t="inlineStr">
        <is>
          <t>Associate Technical Architect</t>
        </is>
      </c>
      <c r="F175" s="29" t="inlineStr">
        <is>
          <t>Band B · Specialist / POD Lead</t>
        </is>
      </c>
      <c r="G175" s="29" t="inlineStr">
        <is>
          <t>Engineering &amp; Architecture</t>
        </is>
      </c>
      <c r="H175" s="29" t="n">
        <v>1</v>
      </c>
      <c r="I175" s="29" t="inlineStr">
        <is>
          <t>Virendra Kumar Ray</t>
        </is>
      </c>
      <c r="J175" s="34" t="str">
        <f>IFERROR(INDEX(RBD_C,MATCH("Engineering &amp; Architecture|B3|B-IC",RBD_KEY,0)),"M")</f>
        <v>H</v>
      </c>
      <c r="K175" s="35" t="str">
        <f>IFERROR(INDEX(RBD_Au,MATCH("Engineering &amp; Architecture|B3|B-IC",RBD_KEY,0)),"M")</f>
        <v>M</v>
      </c>
      <c r="L175" s="35" t="str">
        <f>IFERROR(INDEX(RBD_Ac,MATCH("Engineering &amp; Architecture|B3|B-IC",RBD_KEY,0)),"M")</f>
        <v>L</v>
      </c>
      <c r="M175" s="35" t="str">
        <f>IFERROR(INDEX(RBD_L,MATCH("Engineering &amp; Architecture|B3|B-IC",RBD_KEY,0)),"M")</f>
        <v>L</v>
      </c>
      <c r="N175" s="35" t="str">
        <f>IFERROR(INDEX(RBD_BI,MATCH("Engineering &amp; Architecture|B3|B-IC",RBD_KEY,0)),"M")</f>
        <v>L</v>
      </c>
      <c r="O175" s="35" t="str">
        <f>IFERROR(INDEX(RBD_Exp,MATCH("Engineering &amp; Architecture|B3|B-IC",RBD_KEY,0)),"M")</f>
        <v>L</v>
      </c>
      <c r="P175" s="35" t="str">
        <f>IFERROR(INDEX(RBD_Edu,MATCH("Engineering &amp; Architecture|B3|B-IC",RBD_KEY,0)),"M")</f>
        <v>L</v>
      </c>
      <c r="Q175" s="73">
        <f>IF(J175="","",IFERROR(INDEX(LMH_PTS,MATCH(J175,LMH_KEY,0))/SUM(IFERROR(INDEX(LMH_PTS,MATCH(J175,LMH_KEY,0)),0),IFERROR(INDEX(LMH_PTS,MATCH(K175,LMH_KEY,0)),0),IFERROR(INDEX(LMH_PTS,MATCH(L175,LMH_KEY,0)),0),IFERROR(INDEX(LMH_PTS,MATCH(M175,LMH_KEY,0)),0),IFERROR(INDEX(LMH_PTS,MATCH(N175,LMH_KEY,0)),0),IFERROR(INDEX(LMH_PTS,MATCH(O175,LMH_KEY,0)),0),IFERROR(INDEX(LMH_PTS,MATCH(P175,LMH_KEY,0)),0)),""))</f>
        <v>0.529411764705882</v>
      </c>
      <c r="R175" s="74">
        <f>IF(K175="","",IFERROR(INDEX(LMH_PTS,MATCH(K175,LMH_KEY,0))/SUM(IFERROR(INDEX(LMH_PTS,MATCH(J175,LMH_KEY,0)),0),IFERROR(INDEX(LMH_PTS,MATCH(K175,LMH_KEY,0)),0),IFERROR(INDEX(LMH_PTS,MATCH(L175,LMH_KEY,0)),0),IFERROR(INDEX(LMH_PTS,MATCH(M175,LMH_KEY,0)),0),IFERROR(INDEX(LMH_PTS,MATCH(N175,LMH_KEY,0)),0),IFERROR(INDEX(LMH_PTS,MATCH(O175,LMH_KEY,0)),0),IFERROR(INDEX(LMH_PTS,MATCH(P175,LMH_KEY,0)),0)),""))</f>
        <v>0.176470588235294</v>
      </c>
      <c r="S175" s="74">
        <f>IF(L175="","",IFERROR(INDEX(LMH_PTS,MATCH(L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T175" s="74">
        <f>IF(M175="","",IFERROR(INDEX(LMH_PTS,MATCH(M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U175" s="74">
        <f>IF(N175="","",IFERROR(INDEX(LMH_PTS,MATCH(N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V175" s="74">
        <f>IF(O175="","",IFERROR(INDEX(LMH_PTS,MATCH(O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W175" s="74">
        <f>IF(P175="","",IFERROR(INDEX(LMH_PTS,MATCH(P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X175" s="44" t="n"/>
      <c r="Y175" s="38" t="inlineStr">
        <is>
          <t>iFile|Technology|Associate Technical Architect|B3|B-IC</t>
        </is>
      </c>
    </row>
    <row r="176" ht="18" customHeight="1">
      <c r="A176" s="28" t="inlineStr">
        <is>
          <t>iFile</t>
        </is>
      </c>
      <c r="B176" s="29" t="inlineStr">
        <is>
          <t>Technology</t>
        </is>
      </c>
      <c r="C176" s="72" t="inlineStr">
        <is>
          <t>B3</t>
        </is>
      </c>
      <c r="D176" s="29" t="inlineStr">
        <is>
          <t>Band B · Specialist / Manager</t>
        </is>
      </c>
      <c r="E176" s="29" t="inlineStr">
        <is>
          <t>Program Manager</t>
        </is>
      </c>
      <c r="F176" s="29" t="inlineStr">
        <is>
          <t>Band B · Specialist / POD Lead</t>
        </is>
      </c>
      <c r="G176" s="29" t="inlineStr">
        <is>
          <t>Project &amp; Program Management</t>
        </is>
      </c>
      <c r="H176" s="29" t="n">
        <v>1</v>
      </c>
      <c r="I176" s="29" t="inlineStr">
        <is>
          <t>Tarun Kumar Mittal</t>
        </is>
      </c>
      <c r="J176" s="34" t="str">
        <f>IFERROR(INDEX(RBD_C,MATCH("Project &amp; Program Management|B3|B-IC",RBD_KEY,0)),"M")</f>
        <v>H</v>
      </c>
      <c r="K176" s="35" t="str">
        <f>IFERROR(INDEX(RBD_Au,MATCH("Project &amp; Program Management|B3|B-IC",RBD_KEY,0)),"M")</f>
        <v>M</v>
      </c>
      <c r="L176" s="35" t="str">
        <f>IFERROR(INDEX(RBD_Ac,MATCH("Project &amp; Program Management|B3|B-IC",RBD_KEY,0)),"M")</f>
        <v>L</v>
      </c>
      <c r="M176" s="35" t="str">
        <f>IFERROR(INDEX(RBD_L,MATCH("Project &amp; Program Management|B3|B-IC",RBD_KEY,0)),"M")</f>
        <v>L</v>
      </c>
      <c r="N176" s="35" t="str">
        <f>IFERROR(INDEX(RBD_BI,MATCH("Project &amp; Program Management|B3|B-IC",RBD_KEY,0)),"M")</f>
        <v>L</v>
      </c>
      <c r="O176" s="35" t="str">
        <f>IFERROR(INDEX(RBD_Exp,MATCH("Project &amp; Program Management|B3|B-IC",RBD_KEY,0)),"M")</f>
        <v>L</v>
      </c>
      <c r="P176" s="35" t="str">
        <f>IFERROR(INDEX(RBD_Edu,MATCH("Project &amp; Program Management|B3|B-IC",RBD_KEY,0)),"M")</f>
        <v>L</v>
      </c>
      <c r="Q176" s="73">
        <f>IF(J176="","",IFERROR(INDEX(LMH_PTS,MATCH(J176,LMH_KEY,0))/SUM(IFERROR(INDEX(LMH_PTS,MATCH(J176,LMH_KEY,0)),0),IFERROR(INDEX(LMH_PTS,MATCH(K176,LMH_KEY,0)),0),IFERROR(INDEX(LMH_PTS,MATCH(L176,LMH_KEY,0)),0),IFERROR(INDEX(LMH_PTS,MATCH(M176,LMH_KEY,0)),0),IFERROR(INDEX(LMH_PTS,MATCH(N176,LMH_KEY,0)),0),IFERROR(INDEX(LMH_PTS,MATCH(O176,LMH_KEY,0)),0),IFERROR(INDEX(LMH_PTS,MATCH(P176,LMH_KEY,0)),0)),""))</f>
        <v>0.529411764705882</v>
      </c>
      <c r="R176" s="74">
        <f>IF(K176="","",IFERROR(INDEX(LMH_PTS,MATCH(K176,LMH_KEY,0))/SUM(IFERROR(INDEX(LMH_PTS,MATCH(J176,LMH_KEY,0)),0),IFERROR(INDEX(LMH_PTS,MATCH(K176,LMH_KEY,0)),0),IFERROR(INDEX(LMH_PTS,MATCH(L176,LMH_KEY,0)),0),IFERROR(INDEX(LMH_PTS,MATCH(M176,LMH_KEY,0)),0),IFERROR(INDEX(LMH_PTS,MATCH(N176,LMH_KEY,0)),0),IFERROR(INDEX(LMH_PTS,MATCH(O176,LMH_KEY,0)),0),IFERROR(INDEX(LMH_PTS,MATCH(P176,LMH_KEY,0)),0)),""))</f>
        <v>0.176470588235294</v>
      </c>
      <c r="S176" s="74">
        <f>IF(L176="","",IFERROR(INDEX(LMH_PTS,MATCH(L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T176" s="74">
        <f>IF(M176="","",IFERROR(INDEX(LMH_PTS,MATCH(M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U176" s="74">
        <f>IF(N176="","",IFERROR(INDEX(LMH_PTS,MATCH(N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V176" s="74">
        <f>IF(O176="","",IFERROR(INDEX(LMH_PTS,MATCH(O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W176" s="74">
        <f>IF(P176="","",IFERROR(INDEX(LMH_PTS,MATCH(P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X176" s="44" t="n"/>
      <c r="Y176" s="38" t="inlineStr">
        <is>
          <t>iFile|Technology|Program Manager|B3|B-IC</t>
        </is>
      </c>
    </row>
    <row r="177" ht="28" customHeight="1">
      <c r="A177" s="28" t="inlineStr">
        <is>
          <t>iFile</t>
        </is>
      </c>
      <c r="B177" s="29" t="inlineStr">
        <is>
          <t>Technology</t>
        </is>
      </c>
      <c r="C177" s="72" t="inlineStr">
        <is>
          <t>B3</t>
        </is>
      </c>
      <c r="D177" s="29" t="inlineStr">
        <is>
          <t>Band B · Specialist / Manager</t>
        </is>
      </c>
      <c r="E177" s="29" t="inlineStr">
        <is>
          <t>Technical Architect</t>
        </is>
      </c>
      <c r="F177" s="29" t="inlineStr">
        <is>
          <t>Band B · Specialist / POD Lead</t>
        </is>
      </c>
      <c r="G177" s="29" t="inlineStr">
        <is>
          <t>Engineering &amp; Architecture</t>
        </is>
      </c>
      <c r="H177" s="29" t="n">
        <v>2</v>
      </c>
      <c r="I177" s="29" t="inlineStr">
        <is>
          <t>Sharanagouda Patil, Giridhar Singh</t>
        </is>
      </c>
      <c r="J177" s="34" t="str">
        <f>IFERROR(INDEX(RBD_C,MATCH("Engineering &amp; Architecture|B3|B-IC",RBD_KEY,0)),"M")</f>
        <v>H</v>
      </c>
      <c r="K177" s="35" t="str">
        <f>IFERROR(INDEX(RBD_Au,MATCH("Engineering &amp; Architecture|B3|B-IC",RBD_KEY,0)),"M")</f>
        <v>M</v>
      </c>
      <c r="L177" s="35" t="str">
        <f>IFERROR(INDEX(RBD_Ac,MATCH("Engineering &amp; Architecture|B3|B-IC",RBD_KEY,0)),"M")</f>
        <v>L</v>
      </c>
      <c r="M177" s="35" t="str">
        <f>IFERROR(INDEX(RBD_L,MATCH("Engineering &amp; Architecture|B3|B-IC",RBD_KEY,0)),"M")</f>
        <v>L</v>
      </c>
      <c r="N177" s="35" t="str">
        <f>IFERROR(INDEX(RBD_BI,MATCH("Engineering &amp; Architecture|B3|B-IC",RBD_KEY,0)),"M")</f>
        <v>L</v>
      </c>
      <c r="O177" s="35" t="str">
        <f>IFERROR(INDEX(RBD_Exp,MATCH("Engineering &amp; Architecture|B3|B-IC",RBD_KEY,0)),"M")</f>
        <v>L</v>
      </c>
      <c r="P177" s="35" t="str">
        <f>IFERROR(INDEX(RBD_Edu,MATCH("Engineering &amp; Architecture|B3|B-IC",RBD_KEY,0)),"M")</f>
        <v>L</v>
      </c>
      <c r="Q177" s="73">
        <f>IF(J177="","",IFERROR(INDEX(LMH_PTS,MATCH(J177,LMH_KEY,0))/SUM(IFERROR(INDEX(LMH_PTS,MATCH(J177,LMH_KEY,0)),0),IFERROR(INDEX(LMH_PTS,MATCH(K177,LMH_KEY,0)),0),IFERROR(INDEX(LMH_PTS,MATCH(L177,LMH_KEY,0)),0),IFERROR(INDEX(LMH_PTS,MATCH(M177,LMH_KEY,0)),0),IFERROR(INDEX(LMH_PTS,MATCH(N177,LMH_KEY,0)),0),IFERROR(INDEX(LMH_PTS,MATCH(O177,LMH_KEY,0)),0),IFERROR(INDEX(LMH_PTS,MATCH(P177,LMH_KEY,0)),0)),""))</f>
        <v>0.529411764705882</v>
      </c>
      <c r="R177" s="74">
        <f>IF(K177="","",IFERROR(INDEX(LMH_PTS,MATCH(K177,LMH_KEY,0))/SUM(IFERROR(INDEX(LMH_PTS,MATCH(J177,LMH_KEY,0)),0),IFERROR(INDEX(LMH_PTS,MATCH(K177,LMH_KEY,0)),0),IFERROR(INDEX(LMH_PTS,MATCH(L177,LMH_KEY,0)),0),IFERROR(INDEX(LMH_PTS,MATCH(M177,LMH_KEY,0)),0),IFERROR(INDEX(LMH_PTS,MATCH(N177,LMH_KEY,0)),0),IFERROR(INDEX(LMH_PTS,MATCH(O177,LMH_KEY,0)),0),IFERROR(INDEX(LMH_PTS,MATCH(P177,LMH_KEY,0)),0)),""))</f>
        <v>0.176470588235294</v>
      </c>
      <c r="S177" s="74">
        <f>IF(L177="","",IFERROR(INDEX(LMH_PTS,MATCH(L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T177" s="74">
        <f>IF(M177="","",IFERROR(INDEX(LMH_PTS,MATCH(M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U177" s="74">
        <f>IF(N177="","",IFERROR(INDEX(LMH_PTS,MATCH(N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V177" s="74">
        <f>IF(O177="","",IFERROR(INDEX(LMH_PTS,MATCH(O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W177" s="74">
        <f>IF(P177="","",IFERROR(INDEX(LMH_PTS,MATCH(P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X177" s="44" t="n"/>
      <c r="Y177" s="38" t="inlineStr">
        <is>
          <t>iFile|Technology|Technical Architect|B3|B-IC</t>
        </is>
      </c>
    </row>
    <row r="178" ht="28" customHeight="1">
      <c r="A178" s="28" t="inlineStr">
        <is>
          <t>iFile</t>
        </is>
      </c>
      <c r="B178" s="29" t="inlineStr">
        <is>
          <t>Technology</t>
        </is>
      </c>
      <c r="C178" s="72" t="inlineStr">
        <is>
          <t>B2</t>
        </is>
      </c>
      <c r="D178" s="29" t="inlineStr">
        <is>
          <t>Band B · Specialist / Manager</t>
        </is>
      </c>
      <c r="E178" s="29" t="inlineStr">
        <is>
          <t>Delivery Manager</t>
        </is>
      </c>
      <c r="F178" s="29" t="inlineStr">
        <is>
          <t>Band B · People Manager</t>
        </is>
      </c>
      <c r="G178" s="29" t="inlineStr">
        <is>
          <t>Project &amp; Program Management</t>
        </is>
      </c>
      <c r="H178" s="29" t="n">
        <v>4</v>
      </c>
      <c r="I178" s="29" t="inlineStr">
        <is>
          <t>Kimaya Mundlye, Yunus Patel, Nikhil Nalawade, Sandeep Dwivedi</t>
        </is>
      </c>
      <c r="J178" s="34" t="str">
        <f>IFERROR(INDEX(RBD_C,MATCH("Project &amp; Program Management|B2|B-M",RBD_KEY,0)),"M")</f>
        <v>H</v>
      </c>
      <c r="K178" s="35" t="str">
        <f>IFERROR(INDEX(RBD_Au,MATCH("Project &amp; Program Management|B2|B-M",RBD_KEY,0)),"M")</f>
        <v>M</v>
      </c>
      <c r="L178" s="35" t="str">
        <f>IFERROR(INDEX(RBD_Ac,MATCH("Project &amp; Program Management|B2|B-M",RBD_KEY,0)),"M")</f>
        <v>L</v>
      </c>
      <c r="M178" s="35" t="str">
        <f>IFERROR(INDEX(RBD_L,MATCH("Project &amp; Program Management|B2|B-M",RBD_KEY,0)),"M")</f>
        <v>M</v>
      </c>
      <c r="N178" s="35" t="str">
        <f>IFERROR(INDEX(RBD_BI,MATCH("Project &amp; Program Management|B2|B-M",RBD_KEY,0)),"M")</f>
        <v>L</v>
      </c>
      <c r="O178" s="35" t="str">
        <f>IFERROR(INDEX(RBD_Exp,MATCH("Project &amp; Program Management|B2|B-M",RBD_KEY,0)),"M")</f>
        <v>L</v>
      </c>
      <c r="P178" s="35" t="str">
        <f>IFERROR(INDEX(RBD_Edu,MATCH("Project &amp; Program Management|B2|B-M",RBD_KEY,0)),"M")</f>
        <v>L</v>
      </c>
      <c r="Q178" s="73">
        <f>IF(J178="","",IFERROR(INDEX(LMH_PTS,MATCH(J178,LMH_KEY,0))/SUM(IFERROR(INDEX(LMH_PTS,MATCH(J178,LMH_KEY,0)),0),IFERROR(INDEX(LMH_PTS,MATCH(K178,LMH_KEY,0)),0),IFERROR(INDEX(LMH_PTS,MATCH(L178,LMH_KEY,0)),0),IFERROR(INDEX(LMH_PTS,MATCH(M178,LMH_KEY,0)),0),IFERROR(INDEX(LMH_PTS,MATCH(N178,LMH_KEY,0)),0),IFERROR(INDEX(LMH_PTS,MATCH(O178,LMH_KEY,0)),0),IFERROR(INDEX(LMH_PTS,MATCH(P178,LMH_KEY,0)),0)),""))</f>
        <v>0.473684210526316</v>
      </c>
      <c r="R178" s="74">
        <f>IF(K178="","",IFERROR(INDEX(LMH_PTS,MATCH(K178,LMH_KEY,0))/SUM(IFERROR(INDEX(LMH_PTS,MATCH(J178,LMH_KEY,0)),0),IFERROR(INDEX(LMH_PTS,MATCH(K178,LMH_KEY,0)),0),IFERROR(INDEX(LMH_PTS,MATCH(L178,LMH_KEY,0)),0),IFERROR(INDEX(LMH_PTS,MATCH(M178,LMH_KEY,0)),0),IFERROR(INDEX(LMH_PTS,MATCH(N178,LMH_KEY,0)),0),IFERROR(INDEX(LMH_PTS,MATCH(O178,LMH_KEY,0)),0),IFERROR(INDEX(LMH_PTS,MATCH(P178,LMH_KEY,0)),0)),""))</f>
        <v>0.157894736842105</v>
      </c>
      <c r="S178" s="74">
        <f>IF(L178="","",IFERROR(INDEX(LMH_PTS,MATCH(L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T178" s="74">
        <f>IF(M178="","",IFERROR(INDEX(LMH_PTS,MATCH(M178,LMH_KEY,0))/SUM(IFERROR(INDEX(LMH_PTS,MATCH(J178,LMH_KEY,0)),0),IFERROR(INDEX(LMH_PTS,MATCH(K178,LMH_KEY,0)),0),IFERROR(INDEX(LMH_PTS,MATCH(L178,LMH_KEY,0)),0),IFERROR(INDEX(LMH_PTS,MATCH(M178,LMH_KEY,0)),0),IFERROR(INDEX(LMH_PTS,MATCH(N178,LMH_KEY,0)),0),IFERROR(INDEX(LMH_PTS,MATCH(O178,LMH_KEY,0)),0),IFERROR(INDEX(LMH_PTS,MATCH(P178,LMH_KEY,0)),0)),""))</f>
        <v>0.157894736842105</v>
      </c>
      <c r="U178" s="74">
        <f>IF(N178="","",IFERROR(INDEX(LMH_PTS,MATCH(N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V178" s="74">
        <f>IF(O178="","",IFERROR(INDEX(LMH_PTS,MATCH(O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W178" s="74">
        <f>IF(P178="","",IFERROR(INDEX(LMH_PTS,MATCH(P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X178" s="44" t="n"/>
      <c r="Y178" s="38" t="inlineStr">
        <is>
          <t>iFile|Technology|Delivery Manager|B2|B-M</t>
        </is>
      </c>
    </row>
    <row r="179" ht="18" customHeight="1">
      <c r="A179" s="28" t="inlineStr">
        <is>
          <t>iFile</t>
        </is>
      </c>
      <c r="B179" s="29" t="inlineStr">
        <is>
          <t>Technology</t>
        </is>
      </c>
      <c r="C179" s="72" t="inlineStr">
        <is>
          <t>B2</t>
        </is>
      </c>
      <c r="D179" s="29" t="inlineStr">
        <is>
          <t>Band B · Specialist / Manager</t>
        </is>
      </c>
      <c r="E179" s="29" t="inlineStr">
        <is>
          <t>Engineering Manager</t>
        </is>
      </c>
      <c r="F179" s="29" t="inlineStr">
        <is>
          <t>Band B · People Manager</t>
        </is>
      </c>
      <c r="G179" s="29" t="inlineStr">
        <is>
          <t>Engineering &amp; Development</t>
        </is>
      </c>
      <c r="H179" s="29" t="n">
        <v>1</v>
      </c>
      <c r="I179" s="29" t="inlineStr">
        <is>
          <t>Sagar Jadhav</t>
        </is>
      </c>
      <c r="J179" s="34" t="str">
        <f>IFERROR(INDEX(RBD_C,MATCH("Engineering &amp; Development|B2|B-M",RBD_KEY,0)),"M")</f>
        <v>H</v>
      </c>
      <c r="K179" s="35" t="str">
        <f>IFERROR(INDEX(RBD_Au,MATCH("Engineering &amp; Development|B2|B-M",RBD_KEY,0)),"M")</f>
        <v>M</v>
      </c>
      <c r="L179" s="35" t="str">
        <f>IFERROR(INDEX(RBD_Ac,MATCH("Engineering &amp; Development|B2|B-M",RBD_KEY,0)),"M")</f>
        <v>L</v>
      </c>
      <c r="M179" s="35" t="str">
        <f>IFERROR(INDEX(RBD_L,MATCH("Engineering &amp; Development|B2|B-M",RBD_KEY,0)),"M")</f>
        <v>M</v>
      </c>
      <c r="N179" s="35" t="str">
        <f>IFERROR(INDEX(RBD_BI,MATCH("Engineering &amp; Development|B2|B-M",RBD_KEY,0)),"M")</f>
        <v>L</v>
      </c>
      <c r="O179" s="35" t="str">
        <f>IFERROR(INDEX(RBD_Exp,MATCH("Engineering &amp; Development|B2|B-M",RBD_KEY,0)),"M")</f>
        <v>L</v>
      </c>
      <c r="P179" s="35" t="str">
        <f>IFERROR(INDEX(RBD_Edu,MATCH("Engineering &amp; Development|B2|B-M",RBD_KEY,0)),"M")</f>
        <v>L</v>
      </c>
      <c r="Q179" s="73">
        <f>IF(J179="","",IFERROR(INDEX(LMH_PTS,MATCH(J179,LMH_KEY,0))/SUM(IFERROR(INDEX(LMH_PTS,MATCH(J179,LMH_KEY,0)),0),IFERROR(INDEX(LMH_PTS,MATCH(K179,LMH_KEY,0)),0),IFERROR(INDEX(LMH_PTS,MATCH(L179,LMH_KEY,0)),0),IFERROR(INDEX(LMH_PTS,MATCH(M179,LMH_KEY,0)),0),IFERROR(INDEX(LMH_PTS,MATCH(N179,LMH_KEY,0)),0),IFERROR(INDEX(LMH_PTS,MATCH(O179,LMH_KEY,0)),0),IFERROR(INDEX(LMH_PTS,MATCH(P179,LMH_KEY,0)),0)),""))</f>
        <v>0.473684210526316</v>
      </c>
      <c r="R179" s="74">
        <f>IF(K179="","",IFERROR(INDEX(LMH_PTS,MATCH(K179,LMH_KEY,0))/SUM(IFERROR(INDEX(LMH_PTS,MATCH(J179,LMH_KEY,0)),0),IFERROR(INDEX(LMH_PTS,MATCH(K179,LMH_KEY,0)),0),IFERROR(INDEX(LMH_PTS,MATCH(L179,LMH_KEY,0)),0),IFERROR(INDEX(LMH_PTS,MATCH(M179,LMH_KEY,0)),0),IFERROR(INDEX(LMH_PTS,MATCH(N179,LMH_KEY,0)),0),IFERROR(INDEX(LMH_PTS,MATCH(O179,LMH_KEY,0)),0),IFERROR(INDEX(LMH_PTS,MATCH(P179,LMH_KEY,0)),0)),""))</f>
        <v>0.157894736842105</v>
      </c>
      <c r="S179" s="74">
        <f>IF(L179="","",IFERROR(INDEX(LMH_PTS,MATCH(L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T179" s="74">
        <f>IF(M179="","",IFERROR(INDEX(LMH_PTS,MATCH(M179,LMH_KEY,0))/SUM(IFERROR(INDEX(LMH_PTS,MATCH(J179,LMH_KEY,0)),0),IFERROR(INDEX(LMH_PTS,MATCH(K179,LMH_KEY,0)),0),IFERROR(INDEX(LMH_PTS,MATCH(L179,LMH_KEY,0)),0),IFERROR(INDEX(LMH_PTS,MATCH(M179,LMH_KEY,0)),0),IFERROR(INDEX(LMH_PTS,MATCH(N179,LMH_KEY,0)),0),IFERROR(INDEX(LMH_PTS,MATCH(O179,LMH_KEY,0)),0),IFERROR(INDEX(LMH_PTS,MATCH(P179,LMH_KEY,0)),0)),""))</f>
        <v>0.157894736842105</v>
      </c>
      <c r="U179" s="74">
        <f>IF(N179="","",IFERROR(INDEX(LMH_PTS,MATCH(N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V179" s="74">
        <f>IF(O179="","",IFERROR(INDEX(LMH_PTS,MATCH(O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W179" s="74">
        <f>IF(P179="","",IFERROR(INDEX(LMH_PTS,MATCH(P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X179" s="44" t="n"/>
      <c r="Y179" s="38" t="inlineStr">
        <is>
          <t>iFile|Technology|Engineering Manager|B2|B-M</t>
        </is>
      </c>
    </row>
    <row r="180" ht="18" customHeight="1">
      <c r="A180" s="28" t="inlineStr">
        <is>
          <t>iFile</t>
        </is>
      </c>
      <c r="B180" s="29" t="inlineStr">
        <is>
          <t>Technology</t>
        </is>
      </c>
      <c r="C180" s="72" t="inlineStr">
        <is>
          <t>B2</t>
        </is>
      </c>
      <c r="D180" s="29" t="inlineStr">
        <is>
          <t>Band B · Specialist / Manager</t>
        </is>
      </c>
      <c r="E180" s="29" t="inlineStr">
        <is>
          <t>Lead Software Engineer</t>
        </is>
      </c>
      <c r="F180" s="29" t="inlineStr">
        <is>
          <t>Band B · Specialist / POD Lead</t>
        </is>
      </c>
      <c r="G180" s="29" t="inlineStr">
        <is>
          <t>Engineering &amp; Development</t>
        </is>
      </c>
      <c r="H180" s="29" t="n">
        <v>2</v>
      </c>
      <c r="I180" s="29" t="inlineStr">
        <is>
          <t>Himanshu Pawar, Prasad Gavhane</t>
        </is>
      </c>
      <c r="J180" s="34" t="str">
        <f>IFERROR(INDEX(RBD_C,MATCH("Engineering &amp; Development|B2|B-IC",RBD_KEY,0)),"M")</f>
        <v>H</v>
      </c>
      <c r="K180" s="35" t="str">
        <f>IFERROR(INDEX(RBD_Au,MATCH("Engineering &amp; Development|B2|B-IC",RBD_KEY,0)),"M")</f>
        <v>M</v>
      </c>
      <c r="L180" s="35" t="str">
        <f>IFERROR(INDEX(RBD_Ac,MATCH("Engineering &amp; Development|B2|B-IC",RBD_KEY,0)),"M")</f>
        <v>L</v>
      </c>
      <c r="M180" s="35" t="str">
        <f>IFERROR(INDEX(RBD_L,MATCH("Engineering &amp; Development|B2|B-IC",RBD_KEY,0)),"M")</f>
        <v>L</v>
      </c>
      <c r="N180" s="35" t="str">
        <f>IFERROR(INDEX(RBD_BI,MATCH("Engineering &amp; Development|B2|B-IC",RBD_KEY,0)),"M")</f>
        <v>L</v>
      </c>
      <c r="O180" s="35" t="str">
        <f>IFERROR(INDEX(RBD_Exp,MATCH("Engineering &amp; Development|B2|B-IC",RBD_KEY,0)),"M")</f>
        <v>L</v>
      </c>
      <c r="P180" s="35" t="str">
        <f>IFERROR(INDEX(RBD_Edu,MATCH("Engineering &amp; Development|B2|B-IC",RBD_KEY,0)),"M")</f>
        <v>L</v>
      </c>
      <c r="Q180" s="73">
        <f>IF(J180="","",IFERROR(INDEX(LMH_PTS,MATCH(J180,LMH_KEY,0))/SUM(IFERROR(INDEX(LMH_PTS,MATCH(J180,LMH_KEY,0)),0),IFERROR(INDEX(LMH_PTS,MATCH(K180,LMH_KEY,0)),0),IFERROR(INDEX(LMH_PTS,MATCH(L180,LMH_KEY,0)),0),IFERROR(INDEX(LMH_PTS,MATCH(M180,LMH_KEY,0)),0),IFERROR(INDEX(LMH_PTS,MATCH(N180,LMH_KEY,0)),0),IFERROR(INDEX(LMH_PTS,MATCH(O180,LMH_KEY,0)),0),IFERROR(INDEX(LMH_PTS,MATCH(P180,LMH_KEY,0)),0)),""))</f>
        <v>0.529411764705882</v>
      </c>
      <c r="R180" s="74">
        <f>IF(K180="","",IFERROR(INDEX(LMH_PTS,MATCH(K180,LMH_KEY,0))/SUM(IFERROR(INDEX(LMH_PTS,MATCH(J180,LMH_KEY,0)),0),IFERROR(INDEX(LMH_PTS,MATCH(K180,LMH_KEY,0)),0),IFERROR(INDEX(LMH_PTS,MATCH(L180,LMH_KEY,0)),0),IFERROR(INDEX(LMH_PTS,MATCH(M180,LMH_KEY,0)),0),IFERROR(INDEX(LMH_PTS,MATCH(N180,LMH_KEY,0)),0),IFERROR(INDEX(LMH_PTS,MATCH(O180,LMH_KEY,0)),0),IFERROR(INDEX(LMH_PTS,MATCH(P180,LMH_KEY,0)),0)),""))</f>
        <v>0.176470588235294</v>
      </c>
      <c r="S180" s="74">
        <f>IF(L180="","",IFERROR(INDEX(LMH_PTS,MATCH(L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T180" s="74">
        <f>IF(M180="","",IFERROR(INDEX(LMH_PTS,MATCH(M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U180" s="74">
        <f>IF(N180="","",IFERROR(INDEX(LMH_PTS,MATCH(N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V180" s="74">
        <f>IF(O180="","",IFERROR(INDEX(LMH_PTS,MATCH(O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W180" s="74">
        <f>IF(P180="","",IFERROR(INDEX(LMH_PTS,MATCH(P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X180" s="44" t="n"/>
      <c r="Y180" s="38" t="inlineStr">
        <is>
          <t>iFile|Technology|Lead Software Engineer|B2|B-IC</t>
        </is>
      </c>
    </row>
    <row r="181" ht="28" customHeight="1">
      <c r="A181" s="28" t="inlineStr">
        <is>
          <t>iFile</t>
        </is>
      </c>
      <c r="B181" s="29" t="inlineStr">
        <is>
          <t>Technology</t>
        </is>
      </c>
      <c r="C181" s="72" t="inlineStr">
        <is>
          <t>B2</t>
        </is>
      </c>
      <c r="D181" s="29" t="inlineStr">
        <is>
          <t>Band B · Specialist / Manager</t>
        </is>
      </c>
      <c r="E181" s="29" t="inlineStr">
        <is>
          <t>Lead Software Engineer – POD Lead</t>
        </is>
      </c>
      <c r="F181" s="29" t="inlineStr">
        <is>
          <t>Band B · Specialist / POD Lead</t>
        </is>
      </c>
      <c r="G181" s="29" t="inlineStr">
        <is>
          <t>Engineering &amp; Development</t>
        </is>
      </c>
      <c r="H181" s="29" t="n">
        <v>1</v>
      </c>
      <c r="I181" s="29" t="inlineStr">
        <is>
          <t>Alwina Shaikh</t>
        </is>
      </c>
      <c r="J181" s="34" t="str">
        <f>IFERROR(INDEX(RBD_C,MATCH("Engineering &amp; Development|B2|B-IC",RBD_KEY,0)),"M")</f>
        <v>H</v>
      </c>
      <c r="K181" s="35" t="str">
        <f>IFERROR(INDEX(RBD_Au,MATCH("Engineering &amp; Development|B2|B-IC",RBD_KEY,0)),"M")</f>
        <v>M</v>
      </c>
      <c r="L181" s="35" t="str">
        <f>IFERROR(INDEX(RBD_Ac,MATCH("Engineering &amp; Development|B2|B-IC",RBD_KEY,0)),"M")</f>
        <v>L</v>
      </c>
      <c r="M181" s="35" t="str">
        <f>IFERROR(INDEX(RBD_L,MATCH("Engineering &amp; Development|B2|B-IC",RBD_KEY,0)),"M")</f>
        <v>L</v>
      </c>
      <c r="N181" s="35" t="str">
        <f>IFERROR(INDEX(RBD_BI,MATCH("Engineering &amp; Development|B2|B-IC",RBD_KEY,0)),"M")</f>
        <v>L</v>
      </c>
      <c r="O181" s="35" t="str">
        <f>IFERROR(INDEX(RBD_Exp,MATCH("Engineering &amp; Development|B2|B-IC",RBD_KEY,0)),"M")</f>
        <v>L</v>
      </c>
      <c r="P181" s="35" t="str">
        <f>IFERROR(INDEX(RBD_Edu,MATCH("Engineering &amp; Development|B2|B-IC",RBD_KEY,0)),"M")</f>
        <v>L</v>
      </c>
      <c r="Q181" s="73">
        <f>IF(J181="","",IFERROR(INDEX(LMH_PTS,MATCH(J181,LMH_KEY,0))/SUM(IFERROR(INDEX(LMH_PTS,MATCH(J181,LMH_KEY,0)),0),IFERROR(INDEX(LMH_PTS,MATCH(K181,LMH_KEY,0)),0),IFERROR(INDEX(LMH_PTS,MATCH(L181,LMH_KEY,0)),0),IFERROR(INDEX(LMH_PTS,MATCH(M181,LMH_KEY,0)),0),IFERROR(INDEX(LMH_PTS,MATCH(N181,LMH_KEY,0)),0),IFERROR(INDEX(LMH_PTS,MATCH(O181,LMH_KEY,0)),0),IFERROR(INDEX(LMH_PTS,MATCH(P181,LMH_KEY,0)),0)),""))</f>
        <v>0.529411764705882</v>
      </c>
      <c r="R181" s="74">
        <f>IF(K181="","",IFERROR(INDEX(LMH_PTS,MATCH(K181,LMH_KEY,0))/SUM(IFERROR(INDEX(LMH_PTS,MATCH(J181,LMH_KEY,0)),0),IFERROR(INDEX(LMH_PTS,MATCH(K181,LMH_KEY,0)),0),IFERROR(INDEX(LMH_PTS,MATCH(L181,LMH_KEY,0)),0),IFERROR(INDEX(LMH_PTS,MATCH(M181,LMH_KEY,0)),0),IFERROR(INDEX(LMH_PTS,MATCH(N181,LMH_KEY,0)),0),IFERROR(INDEX(LMH_PTS,MATCH(O181,LMH_KEY,0)),0),IFERROR(INDEX(LMH_PTS,MATCH(P181,LMH_KEY,0)),0)),""))</f>
        <v>0.176470588235294</v>
      </c>
      <c r="S181" s="74">
        <f>IF(L181="","",IFERROR(INDEX(LMH_PTS,MATCH(L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T181" s="74">
        <f>IF(M181="","",IFERROR(INDEX(LMH_PTS,MATCH(M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U181" s="74">
        <f>IF(N181="","",IFERROR(INDEX(LMH_PTS,MATCH(N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V181" s="74">
        <f>IF(O181="","",IFERROR(INDEX(LMH_PTS,MATCH(O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W181" s="74">
        <f>IF(P181="","",IFERROR(INDEX(LMH_PTS,MATCH(P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X181" s="44" t="n"/>
      <c r="Y181" s="38" t="inlineStr">
        <is>
          <t>iFile|Technology|Lead Software Engineer – POD Lead|B2|B-IC</t>
        </is>
      </c>
    </row>
    <row r="182" ht="18" customHeight="1">
      <c r="A182" s="28" t="inlineStr">
        <is>
          <t>iFile</t>
        </is>
      </c>
      <c r="B182" s="29" t="inlineStr">
        <is>
          <t>Technology</t>
        </is>
      </c>
      <c r="C182" s="72" t="inlineStr">
        <is>
          <t>B2</t>
        </is>
      </c>
      <c r="D182" s="29" t="inlineStr">
        <is>
          <t>Band B · Specialist / Manager</t>
        </is>
      </c>
      <c r="E182" s="29" t="inlineStr">
        <is>
          <t>Project Manager</t>
        </is>
      </c>
      <c r="F182" s="29" t="inlineStr">
        <is>
          <t>Band B · Specialist / POD Lead</t>
        </is>
      </c>
      <c r="G182" s="29" t="inlineStr">
        <is>
          <t>Project &amp; Program Management</t>
        </is>
      </c>
      <c r="H182" s="29" t="n">
        <v>1</v>
      </c>
      <c r="I182" s="29" t="inlineStr">
        <is>
          <t>Deepa Vaman Shinde</t>
        </is>
      </c>
      <c r="J182" s="34" t="str">
        <f>IFERROR(INDEX(RBD_C,MATCH("Project &amp; Program Management|B2|B-IC",RBD_KEY,0)),"M")</f>
        <v>H</v>
      </c>
      <c r="K182" s="35" t="str">
        <f>IFERROR(INDEX(RBD_Au,MATCH("Project &amp; Program Management|B2|B-IC",RBD_KEY,0)),"M")</f>
        <v>M</v>
      </c>
      <c r="L182" s="35" t="str">
        <f>IFERROR(INDEX(RBD_Ac,MATCH("Project &amp; Program Management|B2|B-IC",RBD_KEY,0)),"M")</f>
        <v>L</v>
      </c>
      <c r="M182" s="35" t="str">
        <f>IFERROR(INDEX(RBD_L,MATCH("Project &amp; Program Management|B2|B-IC",RBD_KEY,0)),"M")</f>
        <v>L</v>
      </c>
      <c r="N182" s="35" t="str">
        <f>IFERROR(INDEX(RBD_BI,MATCH("Project &amp; Program Management|B2|B-IC",RBD_KEY,0)),"M")</f>
        <v>L</v>
      </c>
      <c r="O182" s="35" t="str">
        <f>IFERROR(INDEX(RBD_Exp,MATCH("Project &amp; Program Management|B2|B-IC",RBD_KEY,0)),"M")</f>
        <v>L</v>
      </c>
      <c r="P182" s="35" t="str">
        <f>IFERROR(INDEX(RBD_Edu,MATCH("Project &amp; Program Management|B2|B-IC",RBD_KEY,0)),"M")</f>
        <v>L</v>
      </c>
      <c r="Q182" s="73">
        <f>IF(J182="","",IFERROR(INDEX(LMH_PTS,MATCH(J182,LMH_KEY,0))/SUM(IFERROR(INDEX(LMH_PTS,MATCH(J182,LMH_KEY,0)),0),IFERROR(INDEX(LMH_PTS,MATCH(K182,LMH_KEY,0)),0),IFERROR(INDEX(LMH_PTS,MATCH(L182,LMH_KEY,0)),0),IFERROR(INDEX(LMH_PTS,MATCH(M182,LMH_KEY,0)),0),IFERROR(INDEX(LMH_PTS,MATCH(N182,LMH_KEY,0)),0),IFERROR(INDEX(LMH_PTS,MATCH(O182,LMH_KEY,0)),0),IFERROR(INDEX(LMH_PTS,MATCH(P182,LMH_KEY,0)),0)),""))</f>
        <v>0.529411764705882</v>
      </c>
      <c r="R182" s="74">
        <f>IF(K182="","",IFERROR(INDEX(LMH_PTS,MATCH(K182,LMH_KEY,0))/SUM(IFERROR(INDEX(LMH_PTS,MATCH(J182,LMH_KEY,0)),0),IFERROR(INDEX(LMH_PTS,MATCH(K182,LMH_KEY,0)),0),IFERROR(INDEX(LMH_PTS,MATCH(L182,LMH_KEY,0)),0),IFERROR(INDEX(LMH_PTS,MATCH(M182,LMH_KEY,0)),0),IFERROR(INDEX(LMH_PTS,MATCH(N182,LMH_KEY,0)),0),IFERROR(INDEX(LMH_PTS,MATCH(O182,LMH_KEY,0)),0),IFERROR(INDEX(LMH_PTS,MATCH(P182,LMH_KEY,0)),0)),""))</f>
        <v>0.176470588235294</v>
      </c>
      <c r="S182" s="74">
        <f>IF(L182="","",IFERROR(INDEX(LMH_PTS,MATCH(L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T182" s="74">
        <f>IF(M182="","",IFERROR(INDEX(LMH_PTS,MATCH(M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U182" s="74">
        <f>IF(N182="","",IFERROR(INDEX(LMH_PTS,MATCH(N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V182" s="74">
        <f>IF(O182="","",IFERROR(INDEX(LMH_PTS,MATCH(O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W182" s="74">
        <f>IF(P182="","",IFERROR(INDEX(LMH_PTS,MATCH(P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X182" s="44" t="n"/>
      <c r="Y182" s="38" t="inlineStr">
        <is>
          <t>iFile|Technology|Project Manager|B2|B-IC</t>
        </is>
      </c>
    </row>
    <row r="183" ht="18" customHeight="1">
      <c r="A183" s="28" t="inlineStr">
        <is>
          <t>iFile</t>
        </is>
      </c>
      <c r="B183" s="29" t="inlineStr">
        <is>
          <t>Technology</t>
        </is>
      </c>
      <c r="C183" s="72" t="inlineStr">
        <is>
          <t>B2</t>
        </is>
      </c>
      <c r="D183" s="29" t="inlineStr">
        <is>
          <t>Band B · Specialist / Manager</t>
        </is>
      </c>
      <c r="E183" s="29" t="inlineStr">
        <is>
          <t>Project Manager</t>
        </is>
      </c>
      <c r="F183" s="29" t="inlineStr">
        <is>
          <t>Band B · People Manager</t>
        </is>
      </c>
      <c r="G183" s="29" t="inlineStr">
        <is>
          <t>Project &amp; Program Management</t>
        </is>
      </c>
      <c r="H183" s="29" t="n">
        <v>2</v>
      </c>
      <c r="I183" s="29" t="inlineStr">
        <is>
          <t>Jailesh Bhadra, Saurabh Kadam</t>
        </is>
      </c>
      <c r="J183" s="34" t="str">
        <f>IFERROR(INDEX(RBD_C,MATCH("Project &amp; Program Management|B2|B-M",RBD_KEY,0)),"M")</f>
        <v>H</v>
      </c>
      <c r="K183" s="35" t="str">
        <f>IFERROR(INDEX(RBD_Au,MATCH("Project &amp; Program Management|B2|B-M",RBD_KEY,0)),"M")</f>
        <v>M</v>
      </c>
      <c r="L183" s="35" t="str">
        <f>IFERROR(INDEX(RBD_Ac,MATCH("Project &amp; Program Management|B2|B-M",RBD_KEY,0)),"M")</f>
        <v>L</v>
      </c>
      <c r="M183" s="35" t="str">
        <f>IFERROR(INDEX(RBD_L,MATCH("Project &amp; Program Management|B2|B-M",RBD_KEY,0)),"M")</f>
        <v>M</v>
      </c>
      <c r="N183" s="35" t="str">
        <f>IFERROR(INDEX(RBD_BI,MATCH("Project &amp; Program Management|B2|B-M",RBD_KEY,0)),"M")</f>
        <v>L</v>
      </c>
      <c r="O183" s="35" t="str">
        <f>IFERROR(INDEX(RBD_Exp,MATCH("Project &amp; Program Management|B2|B-M",RBD_KEY,0)),"M")</f>
        <v>L</v>
      </c>
      <c r="P183" s="35" t="str">
        <f>IFERROR(INDEX(RBD_Edu,MATCH("Project &amp; Program Management|B2|B-M",RBD_KEY,0)),"M")</f>
        <v>L</v>
      </c>
      <c r="Q183" s="73">
        <f>IF(J183="","",IFERROR(INDEX(LMH_PTS,MATCH(J183,LMH_KEY,0))/SUM(IFERROR(INDEX(LMH_PTS,MATCH(J183,LMH_KEY,0)),0),IFERROR(INDEX(LMH_PTS,MATCH(K183,LMH_KEY,0)),0),IFERROR(INDEX(LMH_PTS,MATCH(L183,LMH_KEY,0)),0),IFERROR(INDEX(LMH_PTS,MATCH(M183,LMH_KEY,0)),0),IFERROR(INDEX(LMH_PTS,MATCH(N183,LMH_KEY,0)),0),IFERROR(INDEX(LMH_PTS,MATCH(O183,LMH_KEY,0)),0),IFERROR(INDEX(LMH_PTS,MATCH(P183,LMH_KEY,0)),0)),""))</f>
        <v>0.473684210526316</v>
      </c>
      <c r="R183" s="74">
        <f>IF(K183="","",IFERROR(INDEX(LMH_PTS,MATCH(K183,LMH_KEY,0))/SUM(IFERROR(INDEX(LMH_PTS,MATCH(J183,LMH_KEY,0)),0),IFERROR(INDEX(LMH_PTS,MATCH(K183,LMH_KEY,0)),0),IFERROR(INDEX(LMH_PTS,MATCH(L183,LMH_KEY,0)),0),IFERROR(INDEX(LMH_PTS,MATCH(M183,LMH_KEY,0)),0),IFERROR(INDEX(LMH_PTS,MATCH(N183,LMH_KEY,0)),0),IFERROR(INDEX(LMH_PTS,MATCH(O183,LMH_KEY,0)),0),IFERROR(INDEX(LMH_PTS,MATCH(P183,LMH_KEY,0)),0)),""))</f>
        <v>0.157894736842105</v>
      </c>
      <c r="S183" s="74">
        <f>IF(L183="","",IFERROR(INDEX(LMH_PTS,MATCH(L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T183" s="74">
        <f>IF(M183="","",IFERROR(INDEX(LMH_PTS,MATCH(M183,LMH_KEY,0))/SUM(IFERROR(INDEX(LMH_PTS,MATCH(J183,LMH_KEY,0)),0),IFERROR(INDEX(LMH_PTS,MATCH(K183,LMH_KEY,0)),0),IFERROR(INDEX(LMH_PTS,MATCH(L183,LMH_KEY,0)),0),IFERROR(INDEX(LMH_PTS,MATCH(M183,LMH_KEY,0)),0),IFERROR(INDEX(LMH_PTS,MATCH(N183,LMH_KEY,0)),0),IFERROR(INDEX(LMH_PTS,MATCH(O183,LMH_KEY,0)),0),IFERROR(INDEX(LMH_PTS,MATCH(P183,LMH_KEY,0)),0)),""))</f>
        <v>0.157894736842105</v>
      </c>
      <c r="U183" s="74">
        <f>IF(N183="","",IFERROR(INDEX(LMH_PTS,MATCH(N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V183" s="74">
        <f>IF(O183="","",IFERROR(INDEX(LMH_PTS,MATCH(O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W183" s="74">
        <f>IF(P183="","",IFERROR(INDEX(LMH_PTS,MATCH(P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X183" s="44" t="n"/>
      <c r="Y183" s="38" t="inlineStr">
        <is>
          <t>iFile|Technology|Project Manager|B2|B-M</t>
        </is>
      </c>
    </row>
    <row r="184" ht="18" customHeight="1">
      <c r="A184" s="28" t="inlineStr">
        <is>
          <t>iFile</t>
        </is>
      </c>
      <c r="B184" s="29" t="inlineStr">
        <is>
          <t>Technology</t>
        </is>
      </c>
      <c r="C184" s="72" t="inlineStr">
        <is>
          <t>B2</t>
        </is>
      </c>
      <c r="D184" s="29" t="inlineStr">
        <is>
          <t>Band B · Specialist / Manager</t>
        </is>
      </c>
      <c r="E184" s="29" t="inlineStr">
        <is>
          <t>Senior Technical Specialist</t>
        </is>
      </c>
      <c r="F184" s="29" t="inlineStr">
        <is>
          <t>Band B · Specialist / POD Lead</t>
        </is>
      </c>
      <c r="G184" s="29" t="inlineStr">
        <is>
          <t>Engineering &amp; Development</t>
        </is>
      </c>
      <c r="H184" s="29" t="n">
        <v>1</v>
      </c>
      <c r="I184" s="29" t="inlineStr">
        <is>
          <t>Monisha Ubriani</t>
        </is>
      </c>
      <c r="J184" s="34" t="str">
        <f>IFERROR(INDEX(RBD_C,MATCH("Engineering &amp; Development|B2|B-IC",RBD_KEY,0)),"M")</f>
        <v>H</v>
      </c>
      <c r="K184" s="35" t="str">
        <f>IFERROR(INDEX(RBD_Au,MATCH("Engineering &amp; Development|B2|B-IC",RBD_KEY,0)),"M")</f>
        <v>M</v>
      </c>
      <c r="L184" s="35" t="str">
        <f>IFERROR(INDEX(RBD_Ac,MATCH("Engineering &amp; Development|B2|B-IC",RBD_KEY,0)),"M")</f>
        <v>L</v>
      </c>
      <c r="M184" s="35" t="str">
        <f>IFERROR(INDEX(RBD_L,MATCH("Engineering &amp; Development|B2|B-IC",RBD_KEY,0)),"M")</f>
        <v>L</v>
      </c>
      <c r="N184" s="35" t="str">
        <f>IFERROR(INDEX(RBD_BI,MATCH("Engineering &amp; Development|B2|B-IC",RBD_KEY,0)),"M")</f>
        <v>L</v>
      </c>
      <c r="O184" s="35" t="str">
        <f>IFERROR(INDEX(RBD_Exp,MATCH("Engineering &amp; Development|B2|B-IC",RBD_KEY,0)),"M")</f>
        <v>L</v>
      </c>
      <c r="P184" s="35" t="str">
        <f>IFERROR(INDEX(RBD_Edu,MATCH("Engineering &amp; Development|B2|B-IC",RBD_KEY,0)),"M")</f>
        <v>L</v>
      </c>
      <c r="Q184" s="73">
        <f>IF(J184="","",IFERROR(INDEX(LMH_PTS,MATCH(J184,LMH_KEY,0))/SUM(IFERROR(INDEX(LMH_PTS,MATCH(J184,LMH_KEY,0)),0),IFERROR(INDEX(LMH_PTS,MATCH(K184,LMH_KEY,0)),0),IFERROR(INDEX(LMH_PTS,MATCH(L184,LMH_KEY,0)),0),IFERROR(INDEX(LMH_PTS,MATCH(M184,LMH_KEY,0)),0),IFERROR(INDEX(LMH_PTS,MATCH(N184,LMH_KEY,0)),0),IFERROR(INDEX(LMH_PTS,MATCH(O184,LMH_KEY,0)),0),IFERROR(INDEX(LMH_PTS,MATCH(P184,LMH_KEY,0)),0)),""))</f>
        <v>0.529411764705882</v>
      </c>
      <c r="R184" s="74">
        <f>IF(K184="","",IFERROR(INDEX(LMH_PTS,MATCH(K184,LMH_KEY,0))/SUM(IFERROR(INDEX(LMH_PTS,MATCH(J184,LMH_KEY,0)),0),IFERROR(INDEX(LMH_PTS,MATCH(K184,LMH_KEY,0)),0),IFERROR(INDEX(LMH_PTS,MATCH(L184,LMH_KEY,0)),0),IFERROR(INDEX(LMH_PTS,MATCH(M184,LMH_KEY,0)),0),IFERROR(INDEX(LMH_PTS,MATCH(N184,LMH_KEY,0)),0),IFERROR(INDEX(LMH_PTS,MATCH(O184,LMH_KEY,0)),0),IFERROR(INDEX(LMH_PTS,MATCH(P184,LMH_KEY,0)),0)),""))</f>
        <v>0.176470588235294</v>
      </c>
      <c r="S184" s="74">
        <f>IF(L184="","",IFERROR(INDEX(LMH_PTS,MATCH(L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T184" s="74">
        <f>IF(M184="","",IFERROR(INDEX(LMH_PTS,MATCH(M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U184" s="74">
        <f>IF(N184="","",IFERROR(INDEX(LMH_PTS,MATCH(N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V184" s="74">
        <f>IF(O184="","",IFERROR(INDEX(LMH_PTS,MATCH(O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W184" s="74">
        <f>IF(P184="","",IFERROR(INDEX(LMH_PTS,MATCH(P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X184" s="44" t="n"/>
      <c r="Y184" s="38" t="inlineStr">
        <is>
          <t>iFile|Technology|Senior Technical Specialist|B2|B-IC</t>
        </is>
      </c>
    </row>
    <row r="185" ht="28" customHeight="1">
      <c r="A185" s="28" t="inlineStr">
        <is>
          <t>iFile</t>
        </is>
      </c>
      <c r="B185" s="29" t="inlineStr">
        <is>
          <t>Technology</t>
        </is>
      </c>
      <c r="C185" s="72" t="inlineStr">
        <is>
          <t>B2</t>
        </is>
      </c>
      <c r="D185" s="29" t="inlineStr">
        <is>
          <t>Band B · Specialist / Manager</t>
        </is>
      </c>
      <c r="E185" s="29" t="inlineStr">
        <is>
          <t>Senior Technical Specialist – POD Lead</t>
        </is>
      </c>
      <c r="F185" s="29" t="inlineStr">
        <is>
          <t>Band B · Specialist / POD Lead</t>
        </is>
      </c>
      <c r="G185" s="29" t="inlineStr">
        <is>
          <t>Engineering &amp; Development</t>
        </is>
      </c>
      <c r="H185" s="29" t="n">
        <v>1</v>
      </c>
      <c r="I185" s="29" t="inlineStr">
        <is>
          <t>Anup Salve</t>
        </is>
      </c>
      <c r="J185" s="34" t="str">
        <f>IFERROR(INDEX(RBD_C,MATCH("Engineering &amp; Development|B2|B-IC",RBD_KEY,0)),"M")</f>
        <v>H</v>
      </c>
      <c r="K185" s="35" t="str">
        <f>IFERROR(INDEX(RBD_Au,MATCH("Engineering &amp; Development|B2|B-IC",RBD_KEY,0)),"M")</f>
        <v>M</v>
      </c>
      <c r="L185" s="35" t="str">
        <f>IFERROR(INDEX(RBD_Ac,MATCH("Engineering &amp; Development|B2|B-IC",RBD_KEY,0)),"M")</f>
        <v>L</v>
      </c>
      <c r="M185" s="35" t="str">
        <f>IFERROR(INDEX(RBD_L,MATCH("Engineering &amp; Development|B2|B-IC",RBD_KEY,0)),"M")</f>
        <v>L</v>
      </c>
      <c r="N185" s="35" t="str">
        <f>IFERROR(INDEX(RBD_BI,MATCH("Engineering &amp; Development|B2|B-IC",RBD_KEY,0)),"M")</f>
        <v>L</v>
      </c>
      <c r="O185" s="35" t="str">
        <f>IFERROR(INDEX(RBD_Exp,MATCH("Engineering &amp; Development|B2|B-IC",RBD_KEY,0)),"M")</f>
        <v>L</v>
      </c>
      <c r="P185" s="35" t="str">
        <f>IFERROR(INDEX(RBD_Edu,MATCH("Engineering &amp; Development|B2|B-IC",RBD_KEY,0)),"M")</f>
        <v>L</v>
      </c>
      <c r="Q185" s="73">
        <f>IF(J185="","",IFERROR(INDEX(LMH_PTS,MATCH(J185,LMH_KEY,0))/SUM(IFERROR(INDEX(LMH_PTS,MATCH(J185,LMH_KEY,0)),0),IFERROR(INDEX(LMH_PTS,MATCH(K185,LMH_KEY,0)),0),IFERROR(INDEX(LMH_PTS,MATCH(L185,LMH_KEY,0)),0),IFERROR(INDEX(LMH_PTS,MATCH(M185,LMH_KEY,0)),0),IFERROR(INDEX(LMH_PTS,MATCH(N185,LMH_KEY,0)),0),IFERROR(INDEX(LMH_PTS,MATCH(O185,LMH_KEY,0)),0),IFERROR(INDEX(LMH_PTS,MATCH(P185,LMH_KEY,0)),0)),""))</f>
        <v>0.529411764705882</v>
      </c>
      <c r="R185" s="74">
        <f>IF(K185="","",IFERROR(INDEX(LMH_PTS,MATCH(K185,LMH_KEY,0))/SUM(IFERROR(INDEX(LMH_PTS,MATCH(J185,LMH_KEY,0)),0),IFERROR(INDEX(LMH_PTS,MATCH(K185,LMH_KEY,0)),0),IFERROR(INDEX(LMH_PTS,MATCH(L185,LMH_KEY,0)),0),IFERROR(INDEX(LMH_PTS,MATCH(M185,LMH_KEY,0)),0),IFERROR(INDEX(LMH_PTS,MATCH(N185,LMH_KEY,0)),0),IFERROR(INDEX(LMH_PTS,MATCH(O185,LMH_KEY,0)),0),IFERROR(INDEX(LMH_PTS,MATCH(P185,LMH_KEY,0)),0)),""))</f>
        <v>0.176470588235294</v>
      </c>
      <c r="S185" s="74">
        <f>IF(L185="","",IFERROR(INDEX(LMH_PTS,MATCH(L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T185" s="74">
        <f>IF(M185="","",IFERROR(INDEX(LMH_PTS,MATCH(M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U185" s="74">
        <f>IF(N185="","",IFERROR(INDEX(LMH_PTS,MATCH(N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V185" s="74">
        <f>IF(O185="","",IFERROR(INDEX(LMH_PTS,MATCH(O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W185" s="74">
        <f>IF(P185="","",IFERROR(INDEX(LMH_PTS,MATCH(P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X185" s="44" t="n"/>
      <c r="Y185" s="38" t="inlineStr">
        <is>
          <t>iFile|Technology|Senior Technical Specialist – POD Lead|B2|B-IC</t>
        </is>
      </c>
    </row>
    <row r="186" ht="18" customHeight="1">
      <c r="A186" s="28" t="inlineStr">
        <is>
          <t>iFile</t>
        </is>
      </c>
      <c r="B186" s="29" t="inlineStr">
        <is>
          <t>Technology</t>
        </is>
      </c>
      <c r="C186" s="72" t="inlineStr">
        <is>
          <t>B1</t>
        </is>
      </c>
      <c r="D186" s="29" t="inlineStr">
        <is>
          <t>Band B · Specialist / Manager</t>
        </is>
      </c>
      <c r="E186" s="29" t="inlineStr">
        <is>
          <t>AI/ML Specialist – POD Lead</t>
        </is>
      </c>
      <c r="F186" s="29" t="inlineStr">
        <is>
          <t>Band B · Specialist / POD Lead</t>
        </is>
      </c>
      <c r="G186" s="29" t="inlineStr">
        <is>
          <t>Engineering &amp; Development</t>
        </is>
      </c>
      <c r="H186" s="29" t="n">
        <v>1</v>
      </c>
      <c r="I186" s="29" t="inlineStr">
        <is>
          <t>Prabhakar Mhadse</t>
        </is>
      </c>
      <c r="J186" s="34" t="str">
        <f>IFERROR(INDEX(RBD_C,MATCH("Engineering &amp; Development|B1|B-IC",RBD_KEY,0)),"M")</f>
        <v>H</v>
      </c>
      <c r="K186" s="35" t="str">
        <f>IFERROR(INDEX(RBD_Au,MATCH("Engineering &amp; Development|B1|B-IC",RBD_KEY,0)),"M")</f>
        <v>M</v>
      </c>
      <c r="L186" s="35" t="str">
        <f>IFERROR(INDEX(RBD_Ac,MATCH("Engineering &amp; Development|B1|B-IC",RBD_KEY,0)),"M")</f>
        <v>L</v>
      </c>
      <c r="M186" s="35" t="str">
        <f>IFERROR(INDEX(RBD_L,MATCH("Engineering &amp; Development|B1|B-IC",RBD_KEY,0)),"M")</f>
        <v>L</v>
      </c>
      <c r="N186" s="35" t="str">
        <f>IFERROR(INDEX(RBD_BI,MATCH("Engineering &amp; Development|B1|B-IC",RBD_KEY,0)),"M")</f>
        <v>L</v>
      </c>
      <c r="O186" s="35" t="str">
        <f>IFERROR(INDEX(RBD_Exp,MATCH("Engineering &amp; Development|B1|B-IC",RBD_KEY,0)),"M")</f>
        <v>L</v>
      </c>
      <c r="P186" s="35" t="str">
        <f>IFERROR(INDEX(RBD_Edu,MATCH("Engineering &amp; Development|B1|B-IC",RBD_KEY,0)),"M")</f>
        <v>L</v>
      </c>
      <c r="Q186" s="73">
        <f>IF(J186="","",IFERROR(INDEX(LMH_PTS,MATCH(J186,LMH_KEY,0))/SUM(IFERROR(INDEX(LMH_PTS,MATCH(J186,LMH_KEY,0)),0),IFERROR(INDEX(LMH_PTS,MATCH(K186,LMH_KEY,0)),0),IFERROR(INDEX(LMH_PTS,MATCH(L186,LMH_KEY,0)),0),IFERROR(INDEX(LMH_PTS,MATCH(M186,LMH_KEY,0)),0),IFERROR(INDEX(LMH_PTS,MATCH(N186,LMH_KEY,0)),0),IFERROR(INDEX(LMH_PTS,MATCH(O186,LMH_KEY,0)),0),IFERROR(INDEX(LMH_PTS,MATCH(P186,LMH_KEY,0)),0)),""))</f>
        <v>0.529411764705882</v>
      </c>
      <c r="R186" s="74">
        <f>IF(K186="","",IFERROR(INDEX(LMH_PTS,MATCH(K186,LMH_KEY,0))/SUM(IFERROR(INDEX(LMH_PTS,MATCH(J186,LMH_KEY,0)),0),IFERROR(INDEX(LMH_PTS,MATCH(K186,LMH_KEY,0)),0),IFERROR(INDEX(LMH_PTS,MATCH(L186,LMH_KEY,0)),0),IFERROR(INDEX(LMH_PTS,MATCH(M186,LMH_KEY,0)),0),IFERROR(INDEX(LMH_PTS,MATCH(N186,LMH_KEY,0)),0),IFERROR(INDEX(LMH_PTS,MATCH(O186,LMH_KEY,0)),0),IFERROR(INDEX(LMH_PTS,MATCH(P186,LMH_KEY,0)),0)),""))</f>
        <v>0.176470588235294</v>
      </c>
      <c r="S186" s="74">
        <f>IF(L186="","",IFERROR(INDEX(LMH_PTS,MATCH(L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T186" s="74">
        <f>IF(M186="","",IFERROR(INDEX(LMH_PTS,MATCH(M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U186" s="74">
        <f>IF(N186="","",IFERROR(INDEX(LMH_PTS,MATCH(N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V186" s="74">
        <f>IF(O186="","",IFERROR(INDEX(LMH_PTS,MATCH(O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W186" s="74">
        <f>IF(P186="","",IFERROR(INDEX(LMH_PTS,MATCH(P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X186" s="44" t="n"/>
      <c r="Y186" s="38" t="inlineStr">
        <is>
          <t>iFile|Technology|AI/ML Specialist – POD Lead|B1|B-IC</t>
        </is>
      </c>
    </row>
    <row r="187" ht="18" customHeight="1">
      <c r="A187" s="28" t="inlineStr">
        <is>
          <t>iFile</t>
        </is>
      </c>
      <c r="B187" s="29" t="inlineStr">
        <is>
          <t>Technology</t>
        </is>
      </c>
      <c r="C187" s="72" t="inlineStr">
        <is>
          <t>B1</t>
        </is>
      </c>
      <c r="D187" s="29" t="inlineStr">
        <is>
          <t>Band B · Specialist / Manager</t>
        </is>
      </c>
      <c r="E187" s="29" t="inlineStr">
        <is>
          <t>Associate Project Manager</t>
        </is>
      </c>
      <c r="F187" s="29" t="inlineStr">
        <is>
          <t>Band B · Specialist / POD Lead</t>
        </is>
      </c>
      <c r="G187" s="29" t="inlineStr">
        <is>
          <t>Project &amp; Program Management</t>
        </is>
      </c>
      <c r="H187" s="29" t="n">
        <v>1</v>
      </c>
      <c r="I187" s="29" t="inlineStr">
        <is>
          <t>Aayushi Sharma</t>
        </is>
      </c>
      <c r="J187" s="34" t="str">
        <f>IFERROR(INDEX(RBD_C,MATCH("Project &amp; Program Management|B1|B-IC",RBD_KEY,0)),"M")</f>
        <v>H</v>
      </c>
      <c r="K187" s="35" t="str">
        <f>IFERROR(INDEX(RBD_Au,MATCH("Project &amp; Program Management|B1|B-IC",RBD_KEY,0)),"M")</f>
        <v>M</v>
      </c>
      <c r="L187" s="35" t="str">
        <f>IFERROR(INDEX(RBD_Ac,MATCH("Project &amp; Program Management|B1|B-IC",RBD_KEY,0)),"M")</f>
        <v>L</v>
      </c>
      <c r="M187" s="35" t="str">
        <f>IFERROR(INDEX(RBD_L,MATCH("Project &amp; Program Management|B1|B-IC",RBD_KEY,0)),"M")</f>
        <v>L</v>
      </c>
      <c r="N187" s="35" t="str">
        <f>IFERROR(INDEX(RBD_BI,MATCH("Project &amp; Program Management|B1|B-IC",RBD_KEY,0)),"M")</f>
        <v>L</v>
      </c>
      <c r="O187" s="35" t="str">
        <f>IFERROR(INDEX(RBD_Exp,MATCH("Project &amp; Program Management|B1|B-IC",RBD_KEY,0)),"M")</f>
        <v>L</v>
      </c>
      <c r="P187" s="35" t="str">
        <f>IFERROR(INDEX(RBD_Edu,MATCH("Project &amp; Program Management|B1|B-IC",RBD_KEY,0)),"M")</f>
        <v>L</v>
      </c>
      <c r="Q187" s="73">
        <f>IF(J187="","",IFERROR(INDEX(LMH_PTS,MATCH(J187,LMH_KEY,0))/SUM(IFERROR(INDEX(LMH_PTS,MATCH(J187,LMH_KEY,0)),0),IFERROR(INDEX(LMH_PTS,MATCH(K187,LMH_KEY,0)),0),IFERROR(INDEX(LMH_PTS,MATCH(L187,LMH_KEY,0)),0),IFERROR(INDEX(LMH_PTS,MATCH(M187,LMH_KEY,0)),0),IFERROR(INDEX(LMH_PTS,MATCH(N187,LMH_KEY,0)),0),IFERROR(INDEX(LMH_PTS,MATCH(O187,LMH_KEY,0)),0),IFERROR(INDEX(LMH_PTS,MATCH(P187,LMH_KEY,0)),0)),""))</f>
        <v>0.529411764705882</v>
      </c>
      <c r="R187" s="74">
        <f>IF(K187="","",IFERROR(INDEX(LMH_PTS,MATCH(K187,LMH_KEY,0))/SUM(IFERROR(INDEX(LMH_PTS,MATCH(J187,LMH_KEY,0)),0),IFERROR(INDEX(LMH_PTS,MATCH(K187,LMH_KEY,0)),0),IFERROR(INDEX(LMH_PTS,MATCH(L187,LMH_KEY,0)),0),IFERROR(INDEX(LMH_PTS,MATCH(M187,LMH_KEY,0)),0),IFERROR(INDEX(LMH_PTS,MATCH(N187,LMH_KEY,0)),0),IFERROR(INDEX(LMH_PTS,MATCH(O187,LMH_KEY,0)),0),IFERROR(INDEX(LMH_PTS,MATCH(P187,LMH_KEY,0)),0)),""))</f>
        <v>0.176470588235294</v>
      </c>
      <c r="S187" s="74">
        <f>IF(L187="","",IFERROR(INDEX(LMH_PTS,MATCH(L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T187" s="74">
        <f>IF(M187="","",IFERROR(INDEX(LMH_PTS,MATCH(M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U187" s="74">
        <f>IF(N187="","",IFERROR(INDEX(LMH_PTS,MATCH(N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V187" s="74">
        <f>IF(O187="","",IFERROR(INDEX(LMH_PTS,MATCH(O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W187" s="74">
        <f>IF(P187="","",IFERROR(INDEX(LMH_PTS,MATCH(P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X187" s="44" t="n"/>
      <c r="Y187" s="38" t="inlineStr">
        <is>
          <t>iFile|Technology|Associate Project Manager|B1|B-IC</t>
        </is>
      </c>
    </row>
    <row r="188" ht="28" customHeight="1">
      <c r="A188" s="28" t="inlineStr">
        <is>
          <t>iFile</t>
        </is>
      </c>
      <c r="B188" s="29" t="inlineStr">
        <is>
          <t>Technology</t>
        </is>
      </c>
      <c r="C188" s="72" t="inlineStr">
        <is>
          <t>B1</t>
        </is>
      </c>
      <c r="D188" s="29" t="inlineStr">
        <is>
          <t>Band B · Specialist / Manager</t>
        </is>
      </c>
      <c r="E188" s="29" t="inlineStr">
        <is>
          <t>Associate Project Manager – POD Lead</t>
        </is>
      </c>
      <c r="F188" s="29" t="inlineStr">
        <is>
          <t>Band B · Specialist / POD Lead</t>
        </is>
      </c>
      <c r="G188" s="29" t="inlineStr">
        <is>
          <t>Project &amp; Program Management</t>
        </is>
      </c>
      <c r="H188" s="29" t="n">
        <v>1</v>
      </c>
      <c r="I188" s="29" t="inlineStr">
        <is>
          <t>Jerigan Gracias</t>
        </is>
      </c>
      <c r="J188" s="34" t="str">
        <f>IFERROR(INDEX(RBD_C,MATCH("Project &amp; Program Management|B1|B-IC",RBD_KEY,0)),"M")</f>
        <v>H</v>
      </c>
      <c r="K188" s="35" t="str">
        <f>IFERROR(INDEX(RBD_Au,MATCH("Project &amp; Program Management|B1|B-IC",RBD_KEY,0)),"M")</f>
        <v>M</v>
      </c>
      <c r="L188" s="35" t="str">
        <f>IFERROR(INDEX(RBD_Ac,MATCH("Project &amp; Program Management|B1|B-IC",RBD_KEY,0)),"M")</f>
        <v>L</v>
      </c>
      <c r="M188" s="35" t="str">
        <f>IFERROR(INDEX(RBD_L,MATCH("Project &amp; Program Management|B1|B-IC",RBD_KEY,0)),"M")</f>
        <v>L</v>
      </c>
      <c r="N188" s="35" t="str">
        <f>IFERROR(INDEX(RBD_BI,MATCH("Project &amp; Program Management|B1|B-IC",RBD_KEY,0)),"M")</f>
        <v>L</v>
      </c>
      <c r="O188" s="35" t="str">
        <f>IFERROR(INDEX(RBD_Exp,MATCH("Project &amp; Program Management|B1|B-IC",RBD_KEY,0)),"M")</f>
        <v>L</v>
      </c>
      <c r="P188" s="35" t="str">
        <f>IFERROR(INDEX(RBD_Edu,MATCH("Project &amp; Program Management|B1|B-IC",RBD_KEY,0)),"M")</f>
        <v>L</v>
      </c>
      <c r="Q188" s="73">
        <f>IF(J188="","",IFERROR(INDEX(LMH_PTS,MATCH(J188,LMH_KEY,0))/SUM(IFERROR(INDEX(LMH_PTS,MATCH(J188,LMH_KEY,0)),0),IFERROR(INDEX(LMH_PTS,MATCH(K188,LMH_KEY,0)),0),IFERROR(INDEX(LMH_PTS,MATCH(L188,LMH_KEY,0)),0),IFERROR(INDEX(LMH_PTS,MATCH(M188,LMH_KEY,0)),0),IFERROR(INDEX(LMH_PTS,MATCH(N188,LMH_KEY,0)),0),IFERROR(INDEX(LMH_PTS,MATCH(O188,LMH_KEY,0)),0),IFERROR(INDEX(LMH_PTS,MATCH(P188,LMH_KEY,0)),0)),""))</f>
        <v>0.529411764705882</v>
      </c>
      <c r="R188" s="74">
        <f>IF(K188="","",IFERROR(INDEX(LMH_PTS,MATCH(K188,LMH_KEY,0))/SUM(IFERROR(INDEX(LMH_PTS,MATCH(J188,LMH_KEY,0)),0),IFERROR(INDEX(LMH_PTS,MATCH(K188,LMH_KEY,0)),0),IFERROR(INDEX(LMH_PTS,MATCH(L188,LMH_KEY,0)),0),IFERROR(INDEX(LMH_PTS,MATCH(M188,LMH_KEY,0)),0),IFERROR(INDEX(LMH_PTS,MATCH(N188,LMH_KEY,0)),0),IFERROR(INDEX(LMH_PTS,MATCH(O188,LMH_KEY,0)),0),IFERROR(INDEX(LMH_PTS,MATCH(P188,LMH_KEY,0)),0)),""))</f>
        <v>0.176470588235294</v>
      </c>
      <c r="S188" s="74">
        <f>IF(L188="","",IFERROR(INDEX(LMH_PTS,MATCH(L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T188" s="74">
        <f>IF(M188="","",IFERROR(INDEX(LMH_PTS,MATCH(M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U188" s="74">
        <f>IF(N188="","",IFERROR(INDEX(LMH_PTS,MATCH(N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V188" s="74">
        <f>IF(O188="","",IFERROR(INDEX(LMH_PTS,MATCH(O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W188" s="74">
        <f>IF(P188="","",IFERROR(INDEX(LMH_PTS,MATCH(P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X188" s="44" t="n"/>
      <c r="Y188" s="38" t="inlineStr">
        <is>
          <t>iFile|Technology|Associate Project Manager – POD Lead|B1|B-IC</t>
        </is>
      </c>
    </row>
    <row r="189" ht="28" customHeight="1">
      <c r="A189" s="28" t="inlineStr">
        <is>
          <t>iFile</t>
        </is>
      </c>
      <c r="B189" s="29" t="inlineStr">
        <is>
          <t>Technology</t>
        </is>
      </c>
      <c r="C189" s="72" t="inlineStr">
        <is>
          <t>B1</t>
        </is>
      </c>
      <c r="D189" s="29" t="inlineStr">
        <is>
          <t>Band B · Specialist / Manager</t>
        </is>
      </c>
      <c r="E189" s="29" t="inlineStr">
        <is>
          <t>Associate Technical Architect – POD Lead</t>
        </is>
      </c>
      <c r="F189" s="29" t="inlineStr">
        <is>
          <t>Band B · Specialist / POD Lead</t>
        </is>
      </c>
      <c r="G189" s="29" t="inlineStr">
        <is>
          <t>Engineering &amp; Architecture</t>
        </is>
      </c>
      <c r="H189" s="29" t="n">
        <v>1</v>
      </c>
      <c r="I189" s="29" t="inlineStr">
        <is>
          <t>Shiveshdhar Dubey</t>
        </is>
      </c>
      <c r="J189" s="34" t="str">
        <f>IFERROR(INDEX(RBD_C,MATCH("Engineering &amp; Architecture|B1|B-IC",RBD_KEY,0)),"M")</f>
        <v>H</v>
      </c>
      <c r="K189" s="35" t="str">
        <f>IFERROR(INDEX(RBD_Au,MATCH("Engineering &amp; Architecture|B1|B-IC",RBD_KEY,0)),"M")</f>
        <v>M</v>
      </c>
      <c r="L189" s="35" t="str">
        <f>IFERROR(INDEX(RBD_Ac,MATCH("Engineering &amp; Architecture|B1|B-IC",RBD_KEY,0)),"M")</f>
        <v>L</v>
      </c>
      <c r="M189" s="35" t="str">
        <f>IFERROR(INDEX(RBD_L,MATCH("Engineering &amp; Architecture|B1|B-IC",RBD_KEY,0)),"M")</f>
        <v>L</v>
      </c>
      <c r="N189" s="35" t="str">
        <f>IFERROR(INDEX(RBD_BI,MATCH("Engineering &amp; Architecture|B1|B-IC",RBD_KEY,0)),"M")</f>
        <v>L</v>
      </c>
      <c r="O189" s="35" t="str">
        <f>IFERROR(INDEX(RBD_Exp,MATCH("Engineering &amp; Architecture|B1|B-IC",RBD_KEY,0)),"M")</f>
        <v>L</v>
      </c>
      <c r="P189" s="35" t="str">
        <f>IFERROR(INDEX(RBD_Edu,MATCH("Engineering &amp; Architecture|B1|B-IC",RBD_KEY,0)),"M")</f>
        <v>L</v>
      </c>
      <c r="Q189" s="73">
        <f>IF(J189="","",IFERROR(INDEX(LMH_PTS,MATCH(J189,LMH_KEY,0))/SUM(IFERROR(INDEX(LMH_PTS,MATCH(J189,LMH_KEY,0)),0),IFERROR(INDEX(LMH_PTS,MATCH(K189,LMH_KEY,0)),0),IFERROR(INDEX(LMH_PTS,MATCH(L189,LMH_KEY,0)),0),IFERROR(INDEX(LMH_PTS,MATCH(M189,LMH_KEY,0)),0),IFERROR(INDEX(LMH_PTS,MATCH(N189,LMH_KEY,0)),0),IFERROR(INDEX(LMH_PTS,MATCH(O189,LMH_KEY,0)),0),IFERROR(INDEX(LMH_PTS,MATCH(P189,LMH_KEY,0)),0)),""))</f>
        <v>0.529411764705882</v>
      </c>
      <c r="R189" s="74">
        <f>IF(K189="","",IFERROR(INDEX(LMH_PTS,MATCH(K189,LMH_KEY,0))/SUM(IFERROR(INDEX(LMH_PTS,MATCH(J189,LMH_KEY,0)),0),IFERROR(INDEX(LMH_PTS,MATCH(K189,LMH_KEY,0)),0),IFERROR(INDEX(LMH_PTS,MATCH(L189,LMH_KEY,0)),0),IFERROR(INDEX(LMH_PTS,MATCH(M189,LMH_KEY,0)),0),IFERROR(INDEX(LMH_PTS,MATCH(N189,LMH_KEY,0)),0),IFERROR(INDEX(LMH_PTS,MATCH(O189,LMH_KEY,0)),0),IFERROR(INDEX(LMH_PTS,MATCH(P189,LMH_KEY,0)),0)),""))</f>
        <v>0.176470588235294</v>
      </c>
      <c r="S189" s="74">
        <f>IF(L189="","",IFERROR(INDEX(LMH_PTS,MATCH(L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T189" s="74">
        <f>IF(M189="","",IFERROR(INDEX(LMH_PTS,MATCH(M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U189" s="74">
        <f>IF(N189="","",IFERROR(INDEX(LMH_PTS,MATCH(N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V189" s="74">
        <f>IF(O189="","",IFERROR(INDEX(LMH_PTS,MATCH(O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W189" s="74">
        <f>IF(P189="","",IFERROR(INDEX(LMH_PTS,MATCH(P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X189" s="44" t="n"/>
      <c r="Y189" s="38" t="inlineStr">
        <is>
          <t>iFile|Technology|Associate Technical Architect – POD Lead|B1|B-IC</t>
        </is>
      </c>
    </row>
    <row r="190" ht="28" customHeight="1">
      <c r="A190" s="28" t="inlineStr">
        <is>
          <t>iFile</t>
        </is>
      </c>
      <c r="B190" s="29" t="inlineStr">
        <is>
          <t>Technology</t>
        </is>
      </c>
      <c r="C190" s="72" t="inlineStr">
        <is>
          <t>B1</t>
        </is>
      </c>
      <c r="D190" s="29" t="inlineStr">
        <is>
          <t>Band B · Specialist / Manager</t>
        </is>
      </c>
      <c r="E190" s="29" t="inlineStr">
        <is>
          <t>Business Analysis Specialist</t>
        </is>
      </c>
      <c r="F190" s="29" t="inlineStr">
        <is>
          <t>Band B · Specialist / POD Lead</t>
        </is>
      </c>
      <c r="G190" s="29" t="inlineStr">
        <is>
          <t>Business Analysis</t>
        </is>
      </c>
      <c r="H190" s="29" t="n">
        <v>2</v>
      </c>
      <c r="I190" s="29" t="inlineStr">
        <is>
          <t>Abhishek Hegde, Tumpa Deb</t>
        </is>
      </c>
      <c r="J190" s="34" t="str">
        <f>IFERROR(INDEX(RBD_C,MATCH("Business Analysis|B1|B-IC",RBD_KEY,0)),"M")</f>
        <v>H</v>
      </c>
      <c r="K190" s="35" t="str">
        <f>IFERROR(INDEX(RBD_Au,MATCH("Business Analysis|B1|B-IC",RBD_KEY,0)),"M")</f>
        <v>M</v>
      </c>
      <c r="L190" s="35" t="str">
        <f>IFERROR(INDEX(RBD_Ac,MATCH("Business Analysis|B1|B-IC",RBD_KEY,0)),"M")</f>
        <v>L</v>
      </c>
      <c r="M190" s="35" t="str">
        <f>IFERROR(INDEX(RBD_L,MATCH("Business Analysis|B1|B-IC",RBD_KEY,0)),"M")</f>
        <v>L</v>
      </c>
      <c r="N190" s="35" t="str">
        <f>IFERROR(INDEX(RBD_BI,MATCH("Business Analysis|B1|B-IC",RBD_KEY,0)),"M")</f>
        <v>L</v>
      </c>
      <c r="O190" s="35" t="str">
        <f>IFERROR(INDEX(RBD_Exp,MATCH("Business Analysis|B1|B-IC",RBD_KEY,0)),"M")</f>
        <v>L</v>
      </c>
      <c r="P190" s="35" t="str">
        <f>IFERROR(INDEX(RBD_Edu,MATCH("Business Analysis|B1|B-IC",RBD_KEY,0)),"M")</f>
        <v>L</v>
      </c>
      <c r="Q190" s="73">
        <f>IF(J190="","",IFERROR(INDEX(LMH_PTS,MATCH(J190,LMH_KEY,0))/SUM(IFERROR(INDEX(LMH_PTS,MATCH(J190,LMH_KEY,0)),0),IFERROR(INDEX(LMH_PTS,MATCH(K190,LMH_KEY,0)),0),IFERROR(INDEX(LMH_PTS,MATCH(L190,LMH_KEY,0)),0),IFERROR(INDEX(LMH_PTS,MATCH(M190,LMH_KEY,0)),0),IFERROR(INDEX(LMH_PTS,MATCH(N190,LMH_KEY,0)),0),IFERROR(INDEX(LMH_PTS,MATCH(O190,LMH_KEY,0)),0),IFERROR(INDEX(LMH_PTS,MATCH(P190,LMH_KEY,0)),0)),""))</f>
        <v>0.529411764705882</v>
      </c>
      <c r="R190" s="74">
        <f>IF(K190="","",IFERROR(INDEX(LMH_PTS,MATCH(K190,LMH_KEY,0))/SUM(IFERROR(INDEX(LMH_PTS,MATCH(J190,LMH_KEY,0)),0),IFERROR(INDEX(LMH_PTS,MATCH(K190,LMH_KEY,0)),0),IFERROR(INDEX(LMH_PTS,MATCH(L190,LMH_KEY,0)),0),IFERROR(INDEX(LMH_PTS,MATCH(M190,LMH_KEY,0)),0),IFERROR(INDEX(LMH_PTS,MATCH(N190,LMH_KEY,0)),0),IFERROR(INDEX(LMH_PTS,MATCH(O190,LMH_KEY,0)),0),IFERROR(INDEX(LMH_PTS,MATCH(P190,LMH_KEY,0)),0)),""))</f>
        <v>0.176470588235294</v>
      </c>
      <c r="S190" s="74">
        <f>IF(L190="","",IFERROR(INDEX(LMH_PTS,MATCH(L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T190" s="74">
        <f>IF(M190="","",IFERROR(INDEX(LMH_PTS,MATCH(M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U190" s="74">
        <f>IF(N190="","",IFERROR(INDEX(LMH_PTS,MATCH(N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V190" s="74">
        <f>IF(O190="","",IFERROR(INDEX(LMH_PTS,MATCH(O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W190" s="74">
        <f>IF(P190="","",IFERROR(INDEX(LMH_PTS,MATCH(P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X190" s="44" t="n"/>
      <c r="Y190" s="38" t="inlineStr">
        <is>
          <t>iFile|Technology|Business Analysis Specialist|B1|B-IC</t>
        </is>
      </c>
    </row>
    <row r="191" ht="18" customHeight="1">
      <c r="A191" s="28" t="inlineStr">
        <is>
          <t>iFile</t>
        </is>
      </c>
      <c r="B191" s="29" t="inlineStr">
        <is>
          <t>Technology</t>
        </is>
      </c>
      <c r="C191" s="72" t="inlineStr">
        <is>
          <t>B1</t>
        </is>
      </c>
      <c r="D191" s="29" t="inlineStr">
        <is>
          <t>Band B · Specialist / Manager</t>
        </is>
      </c>
      <c r="E191" s="29" t="inlineStr">
        <is>
          <t>Engineering Manager</t>
        </is>
      </c>
      <c r="F191" s="29" t="inlineStr">
        <is>
          <t>Band B · People Manager</t>
        </is>
      </c>
      <c r="G191" s="29" t="inlineStr">
        <is>
          <t>Engineering &amp; Development</t>
        </is>
      </c>
      <c r="H191" s="29" t="n">
        <v>1</v>
      </c>
      <c r="I191" s="29" t="inlineStr">
        <is>
          <t>Amruta Kadam</t>
        </is>
      </c>
      <c r="J191" s="34" t="str">
        <f>IFERROR(INDEX(RBD_C,MATCH("Engineering &amp; Development|B1|B-M",RBD_KEY,0)),"M")</f>
        <v>H</v>
      </c>
      <c r="K191" s="35" t="str">
        <f>IFERROR(INDEX(RBD_Au,MATCH("Engineering &amp; Development|B1|B-M",RBD_KEY,0)),"M")</f>
        <v>M</v>
      </c>
      <c r="L191" s="35" t="str">
        <f>IFERROR(INDEX(RBD_Ac,MATCH("Engineering &amp; Development|B1|B-M",RBD_KEY,0)),"M")</f>
        <v>L</v>
      </c>
      <c r="M191" s="35" t="str">
        <f>IFERROR(INDEX(RBD_L,MATCH("Engineering &amp; Development|B1|B-M",RBD_KEY,0)),"M")</f>
        <v>M</v>
      </c>
      <c r="N191" s="35" t="str">
        <f>IFERROR(INDEX(RBD_BI,MATCH("Engineering &amp; Development|B1|B-M",RBD_KEY,0)),"M")</f>
        <v>L</v>
      </c>
      <c r="O191" s="35" t="str">
        <f>IFERROR(INDEX(RBD_Exp,MATCH("Engineering &amp; Development|B1|B-M",RBD_KEY,0)),"M")</f>
        <v>L</v>
      </c>
      <c r="P191" s="35" t="str">
        <f>IFERROR(INDEX(RBD_Edu,MATCH("Engineering &amp; Development|B1|B-M",RBD_KEY,0)),"M")</f>
        <v>L</v>
      </c>
      <c r="Q191" s="73">
        <f>IF(J191="","",IFERROR(INDEX(LMH_PTS,MATCH(J191,LMH_KEY,0))/SUM(IFERROR(INDEX(LMH_PTS,MATCH(J191,LMH_KEY,0)),0),IFERROR(INDEX(LMH_PTS,MATCH(K191,LMH_KEY,0)),0),IFERROR(INDEX(LMH_PTS,MATCH(L191,LMH_KEY,0)),0),IFERROR(INDEX(LMH_PTS,MATCH(M191,LMH_KEY,0)),0),IFERROR(INDEX(LMH_PTS,MATCH(N191,LMH_KEY,0)),0),IFERROR(INDEX(LMH_PTS,MATCH(O191,LMH_KEY,0)),0),IFERROR(INDEX(LMH_PTS,MATCH(P191,LMH_KEY,0)),0)),""))</f>
        <v>0.473684210526316</v>
      </c>
      <c r="R191" s="74">
        <f>IF(K191="","",IFERROR(INDEX(LMH_PTS,MATCH(K191,LMH_KEY,0))/SUM(IFERROR(INDEX(LMH_PTS,MATCH(J191,LMH_KEY,0)),0),IFERROR(INDEX(LMH_PTS,MATCH(K191,LMH_KEY,0)),0),IFERROR(INDEX(LMH_PTS,MATCH(L191,LMH_KEY,0)),0),IFERROR(INDEX(LMH_PTS,MATCH(M191,LMH_KEY,0)),0),IFERROR(INDEX(LMH_PTS,MATCH(N191,LMH_KEY,0)),0),IFERROR(INDEX(LMH_PTS,MATCH(O191,LMH_KEY,0)),0),IFERROR(INDEX(LMH_PTS,MATCH(P191,LMH_KEY,0)),0)),""))</f>
        <v>0.157894736842105</v>
      </c>
      <c r="S191" s="74">
        <f>IF(L191="","",IFERROR(INDEX(LMH_PTS,MATCH(L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T191" s="74">
        <f>IF(M191="","",IFERROR(INDEX(LMH_PTS,MATCH(M191,LMH_KEY,0))/SUM(IFERROR(INDEX(LMH_PTS,MATCH(J191,LMH_KEY,0)),0),IFERROR(INDEX(LMH_PTS,MATCH(K191,LMH_KEY,0)),0),IFERROR(INDEX(LMH_PTS,MATCH(L191,LMH_KEY,0)),0),IFERROR(INDEX(LMH_PTS,MATCH(M191,LMH_KEY,0)),0),IFERROR(INDEX(LMH_PTS,MATCH(N191,LMH_KEY,0)),0),IFERROR(INDEX(LMH_PTS,MATCH(O191,LMH_KEY,0)),0),IFERROR(INDEX(LMH_PTS,MATCH(P191,LMH_KEY,0)),0)),""))</f>
        <v>0.157894736842105</v>
      </c>
      <c r="U191" s="74">
        <f>IF(N191="","",IFERROR(INDEX(LMH_PTS,MATCH(N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V191" s="74">
        <f>IF(O191="","",IFERROR(INDEX(LMH_PTS,MATCH(O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W191" s="74">
        <f>IF(P191="","",IFERROR(INDEX(LMH_PTS,MATCH(P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X191" s="44" t="n"/>
      <c r="Y191" s="38" t="inlineStr">
        <is>
          <t>iFile|Technology|Engineering Manager|B1|B-M</t>
        </is>
      </c>
    </row>
    <row r="192" ht="28" customHeight="1">
      <c r="A192" s="28" t="inlineStr">
        <is>
          <t>iFile</t>
        </is>
      </c>
      <c r="B192" s="29" t="inlineStr">
        <is>
          <t>Technology</t>
        </is>
      </c>
      <c r="C192" s="72" t="inlineStr">
        <is>
          <t>B1</t>
        </is>
      </c>
      <c r="D192" s="29" t="inlineStr">
        <is>
          <t>Band B · Specialist / Manager</t>
        </is>
      </c>
      <c r="E192" s="29" t="inlineStr">
        <is>
          <t>Lead Software Engineer</t>
        </is>
      </c>
      <c r="F192" s="29" t="inlineStr">
        <is>
          <t>Band B · Specialist / POD Lead</t>
        </is>
      </c>
      <c r="G192" s="29" t="inlineStr">
        <is>
          <t>Engineering &amp; Development</t>
        </is>
      </c>
      <c r="H192" s="29" t="n">
        <v>2</v>
      </c>
      <c r="I192" s="29" t="inlineStr">
        <is>
          <t>Deepa Karmarkar, Prathmesh Ramdas Sutar</t>
        </is>
      </c>
      <c r="J192" s="34" t="str">
        <f>IFERROR(INDEX(RBD_C,MATCH("Engineering &amp; Development|B1|B-IC",RBD_KEY,0)),"M")</f>
        <v>H</v>
      </c>
      <c r="K192" s="35" t="str">
        <f>IFERROR(INDEX(RBD_Au,MATCH("Engineering &amp; Development|B1|B-IC",RBD_KEY,0)),"M")</f>
        <v>M</v>
      </c>
      <c r="L192" s="35" t="str">
        <f>IFERROR(INDEX(RBD_Ac,MATCH("Engineering &amp; Development|B1|B-IC",RBD_KEY,0)),"M")</f>
        <v>L</v>
      </c>
      <c r="M192" s="35" t="str">
        <f>IFERROR(INDEX(RBD_L,MATCH("Engineering &amp; Development|B1|B-IC",RBD_KEY,0)),"M")</f>
        <v>L</v>
      </c>
      <c r="N192" s="35" t="str">
        <f>IFERROR(INDEX(RBD_BI,MATCH("Engineering &amp; Development|B1|B-IC",RBD_KEY,0)),"M")</f>
        <v>L</v>
      </c>
      <c r="O192" s="35" t="str">
        <f>IFERROR(INDEX(RBD_Exp,MATCH("Engineering &amp; Development|B1|B-IC",RBD_KEY,0)),"M")</f>
        <v>L</v>
      </c>
      <c r="P192" s="35" t="str">
        <f>IFERROR(INDEX(RBD_Edu,MATCH("Engineering &amp; Development|B1|B-IC",RBD_KEY,0)),"M")</f>
        <v>L</v>
      </c>
      <c r="Q192" s="73">
        <f>IF(J192="","",IFERROR(INDEX(LMH_PTS,MATCH(J192,LMH_KEY,0))/SUM(IFERROR(INDEX(LMH_PTS,MATCH(J192,LMH_KEY,0)),0),IFERROR(INDEX(LMH_PTS,MATCH(K192,LMH_KEY,0)),0),IFERROR(INDEX(LMH_PTS,MATCH(L192,LMH_KEY,0)),0),IFERROR(INDEX(LMH_PTS,MATCH(M192,LMH_KEY,0)),0),IFERROR(INDEX(LMH_PTS,MATCH(N192,LMH_KEY,0)),0),IFERROR(INDEX(LMH_PTS,MATCH(O192,LMH_KEY,0)),0),IFERROR(INDEX(LMH_PTS,MATCH(P192,LMH_KEY,0)),0)),""))</f>
        <v>0.529411764705882</v>
      </c>
      <c r="R192" s="74">
        <f>IF(K192="","",IFERROR(INDEX(LMH_PTS,MATCH(K192,LMH_KEY,0))/SUM(IFERROR(INDEX(LMH_PTS,MATCH(J192,LMH_KEY,0)),0),IFERROR(INDEX(LMH_PTS,MATCH(K192,LMH_KEY,0)),0),IFERROR(INDEX(LMH_PTS,MATCH(L192,LMH_KEY,0)),0),IFERROR(INDEX(LMH_PTS,MATCH(M192,LMH_KEY,0)),0),IFERROR(INDEX(LMH_PTS,MATCH(N192,LMH_KEY,0)),0),IFERROR(INDEX(LMH_PTS,MATCH(O192,LMH_KEY,0)),0),IFERROR(INDEX(LMH_PTS,MATCH(P192,LMH_KEY,0)),0)),""))</f>
        <v>0.176470588235294</v>
      </c>
      <c r="S192" s="74">
        <f>IF(L192="","",IFERROR(INDEX(LMH_PTS,MATCH(L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T192" s="74">
        <f>IF(M192="","",IFERROR(INDEX(LMH_PTS,MATCH(M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U192" s="74">
        <f>IF(N192="","",IFERROR(INDEX(LMH_PTS,MATCH(N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V192" s="74">
        <f>IF(O192="","",IFERROR(INDEX(LMH_PTS,MATCH(O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W192" s="74">
        <f>IF(P192="","",IFERROR(INDEX(LMH_PTS,MATCH(P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X192" s="44" t="n"/>
      <c r="Y192" s="38" t="inlineStr">
        <is>
          <t>iFile|Technology|Lead Software Engineer|B1|B-IC</t>
        </is>
      </c>
    </row>
    <row r="193" ht="28" customHeight="1">
      <c r="A193" s="28" t="inlineStr">
        <is>
          <t>iFile</t>
        </is>
      </c>
      <c r="B193" s="29" t="inlineStr">
        <is>
          <t>Technology</t>
        </is>
      </c>
      <c r="C193" s="72" t="inlineStr">
        <is>
          <t>B1</t>
        </is>
      </c>
      <c r="D193" s="29" t="inlineStr">
        <is>
          <t>Band B · Specialist / Manager</t>
        </is>
      </c>
      <c r="E193" s="29" t="inlineStr">
        <is>
          <t>Lead Software Engineer – POD Lead</t>
        </is>
      </c>
      <c r="F193" s="29" t="inlineStr">
        <is>
          <t>Band B · Specialist / POD Lead</t>
        </is>
      </c>
      <c r="G193" s="29" t="inlineStr">
        <is>
          <t>Engineering &amp; Development</t>
        </is>
      </c>
      <c r="H193" s="29" t="n">
        <v>1</v>
      </c>
      <c r="I193" s="29" t="inlineStr">
        <is>
          <t>Ravikant Karmoju</t>
        </is>
      </c>
      <c r="J193" s="34" t="str">
        <f>IFERROR(INDEX(RBD_C,MATCH("Engineering &amp; Development|B1|B-IC",RBD_KEY,0)),"M")</f>
        <v>H</v>
      </c>
      <c r="K193" s="35" t="str">
        <f>IFERROR(INDEX(RBD_Au,MATCH("Engineering &amp; Development|B1|B-IC",RBD_KEY,0)),"M")</f>
        <v>M</v>
      </c>
      <c r="L193" s="35" t="str">
        <f>IFERROR(INDEX(RBD_Ac,MATCH("Engineering &amp; Development|B1|B-IC",RBD_KEY,0)),"M")</f>
        <v>L</v>
      </c>
      <c r="M193" s="35" t="str">
        <f>IFERROR(INDEX(RBD_L,MATCH("Engineering &amp; Development|B1|B-IC",RBD_KEY,0)),"M")</f>
        <v>L</v>
      </c>
      <c r="N193" s="35" t="str">
        <f>IFERROR(INDEX(RBD_BI,MATCH("Engineering &amp; Development|B1|B-IC",RBD_KEY,0)),"M")</f>
        <v>L</v>
      </c>
      <c r="O193" s="35" t="str">
        <f>IFERROR(INDEX(RBD_Exp,MATCH("Engineering &amp; Development|B1|B-IC",RBD_KEY,0)),"M")</f>
        <v>L</v>
      </c>
      <c r="P193" s="35" t="str">
        <f>IFERROR(INDEX(RBD_Edu,MATCH("Engineering &amp; Development|B1|B-IC",RBD_KEY,0)),"M")</f>
        <v>L</v>
      </c>
      <c r="Q193" s="73">
        <f>IF(J193="","",IFERROR(INDEX(LMH_PTS,MATCH(J193,LMH_KEY,0))/SUM(IFERROR(INDEX(LMH_PTS,MATCH(J193,LMH_KEY,0)),0),IFERROR(INDEX(LMH_PTS,MATCH(K193,LMH_KEY,0)),0),IFERROR(INDEX(LMH_PTS,MATCH(L193,LMH_KEY,0)),0),IFERROR(INDEX(LMH_PTS,MATCH(M193,LMH_KEY,0)),0),IFERROR(INDEX(LMH_PTS,MATCH(N193,LMH_KEY,0)),0),IFERROR(INDEX(LMH_PTS,MATCH(O193,LMH_KEY,0)),0),IFERROR(INDEX(LMH_PTS,MATCH(P193,LMH_KEY,0)),0)),""))</f>
        <v>0.529411764705882</v>
      </c>
      <c r="R193" s="74">
        <f>IF(K193="","",IFERROR(INDEX(LMH_PTS,MATCH(K193,LMH_KEY,0))/SUM(IFERROR(INDEX(LMH_PTS,MATCH(J193,LMH_KEY,0)),0),IFERROR(INDEX(LMH_PTS,MATCH(K193,LMH_KEY,0)),0),IFERROR(INDEX(LMH_PTS,MATCH(L193,LMH_KEY,0)),0),IFERROR(INDEX(LMH_PTS,MATCH(M193,LMH_KEY,0)),0),IFERROR(INDEX(LMH_PTS,MATCH(N193,LMH_KEY,0)),0),IFERROR(INDEX(LMH_PTS,MATCH(O193,LMH_KEY,0)),0),IFERROR(INDEX(LMH_PTS,MATCH(P193,LMH_KEY,0)),0)),""))</f>
        <v>0.176470588235294</v>
      </c>
      <c r="S193" s="74">
        <f>IF(L193="","",IFERROR(INDEX(LMH_PTS,MATCH(L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T193" s="74">
        <f>IF(M193="","",IFERROR(INDEX(LMH_PTS,MATCH(M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U193" s="74">
        <f>IF(N193="","",IFERROR(INDEX(LMH_PTS,MATCH(N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V193" s="74">
        <f>IF(O193="","",IFERROR(INDEX(LMH_PTS,MATCH(O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W193" s="74">
        <f>IF(P193="","",IFERROR(INDEX(LMH_PTS,MATCH(P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X193" s="44" t="n"/>
      <c r="Y193" s="38" t="inlineStr">
        <is>
          <t>iFile|Technology|Lead Software Engineer – POD Lead|B1|B-IC</t>
        </is>
      </c>
    </row>
    <row r="194" ht="18" customHeight="1">
      <c r="A194" s="28" t="inlineStr">
        <is>
          <t>iFile</t>
        </is>
      </c>
      <c r="B194" s="29" t="inlineStr">
        <is>
          <t>Technology</t>
        </is>
      </c>
      <c r="C194" s="72" t="inlineStr">
        <is>
          <t>B1</t>
        </is>
      </c>
      <c r="D194" s="29" t="inlineStr">
        <is>
          <t>Band B · Specialist / Manager</t>
        </is>
      </c>
      <c r="E194" s="29" t="inlineStr">
        <is>
          <t>Project Manager – POD Lead</t>
        </is>
      </c>
      <c r="F194" s="29" t="inlineStr">
        <is>
          <t>Band B · Specialist / POD Lead</t>
        </is>
      </c>
      <c r="G194" s="29" t="inlineStr">
        <is>
          <t>Project &amp; Program Management</t>
        </is>
      </c>
      <c r="H194" s="29" t="n">
        <v>1</v>
      </c>
      <c r="I194" s="29" t="inlineStr">
        <is>
          <t>Nivedita Wagh</t>
        </is>
      </c>
      <c r="J194" s="34" t="str">
        <f>IFERROR(INDEX(RBD_C,MATCH("Project &amp; Program Management|B1|B-IC",RBD_KEY,0)),"M")</f>
        <v>H</v>
      </c>
      <c r="K194" s="35" t="str">
        <f>IFERROR(INDEX(RBD_Au,MATCH("Project &amp; Program Management|B1|B-IC",RBD_KEY,0)),"M")</f>
        <v>M</v>
      </c>
      <c r="L194" s="35" t="str">
        <f>IFERROR(INDEX(RBD_Ac,MATCH("Project &amp; Program Management|B1|B-IC",RBD_KEY,0)),"M")</f>
        <v>L</v>
      </c>
      <c r="M194" s="35" t="str">
        <f>IFERROR(INDEX(RBD_L,MATCH("Project &amp; Program Management|B1|B-IC",RBD_KEY,0)),"M")</f>
        <v>L</v>
      </c>
      <c r="N194" s="35" t="str">
        <f>IFERROR(INDEX(RBD_BI,MATCH("Project &amp; Program Management|B1|B-IC",RBD_KEY,0)),"M")</f>
        <v>L</v>
      </c>
      <c r="O194" s="35" t="str">
        <f>IFERROR(INDEX(RBD_Exp,MATCH("Project &amp; Program Management|B1|B-IC",RBD_KEY,0)),"M")</f>
        <v>L</v>
      </c>
      <c r="P194" s="35" t="str">
        <f>IFERROR(INDEX(RBD_Edu,MATCH("Project &amp; Program Management|B1|B-IC",RBD_KEY,0)),"M")</f>
        <v>L</v>
      </c>
      <c r="Q194" s="73">
        <f>IF(J194="","",IFERROR(INDEX(LMH_PTS,MATCH(J194,LMH_KEY,0))/SUM(IFERROR(INDEX(LMH_PTS,MATCH(J194,LMH_KEY,0)),0),IFERROR(INDEX(LMH_PTS,MATCH(K194,LMH_KEY,0)),0),IFERROR(INDEX(LMH_PTS,MATCH(L194,LMH_KEY,0)),0),IFERROR(INDEX(LMH_PTS,MATCH(M194,LMH_KEY,0)),0),IFERROR(INDEX(LMH_PTS,MATCH(N194,LMH_KEY,0)),0),IFERROR(INDEX(LMH_PTS,MATCH(O194,LMH_KEY,0)),0),IFERROR(INDEX(LMH_PTS,MATCH(P194,LMH_KEY,0)),0)),""))</f>
        <v>0.529411764705882</v>
      </c>
      <c r="R194" s="74">
        <f>IF(K194="","",IFERROR(INDEX(LMH_PTS,MATCH(K194,LMH_KEY,0))/SUM(IFERROR(INDEX(LMH_PTS,MATCH(J194,LMH_KEY,0)),0),IFERROR(INDEX(LMH_PTS,MATCH(K194,LMH_KEY,0)),0),IFERROR(INDEX(LMH_PTS,MATCH(L194,LMH_KEY,0)),0),IFERROR(INDEX(LMH_PTS,MATCH(M194,LMH_KEY,0)),0),IFERROR(INDEX(LMH_PTS,MATCH(N194,LMH_KEY,0)),0),IFERROR(INDEX(LMH_PTS,MATCH(O194,LMH_KEY,0)),0),IFERROR(INDEX(LMH_PTS,MATCH(P194,LMH_KEY,0)),0)),""))</f>
        <v>0.176470588235294</v>
      </c>
      <c r="S194" s="74">
        <f>IF(L194="","",IFERROR(INDEX(LMH_PTS,MATCH(L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T194" s="74">
        <f>IF(M194="","",IFERROR(INDEX(LMH_PTS,MATCH(M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U194" s="74">
        <f>IF(N194="","",IFERROR(INDEX(LMH_PTS,MATCH(N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V194" s="74">
        <f>IF(O194="","",IFERROR(INDEX(LMH_PTS,MATCH(O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W194" s="74">
        <f>IF(P194="","",IFERROR(INDEX(LMH_PTS,MATCH(P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X194" s="44" t="n"/>
      <c r="Y194" s="38" t="inlineStr">
        <is>
          <t>iFile|Technology|Project Manager – POD Lead|B1|B-IC</t>
        </is>
      </c>
    </row>
    <row r="195" ht="18" customHeight="1">
      <c r="A195" s="28" t="inlineStr">
        <is>
          <t>iFile</t>
        </is>
      </c>
      <c r="B195" s="29" t="inlineStr">
        <is>
          <t>Technology</t>
        </is>
      </c>
      <c r="C195" s="72" t="inlineStr">
        <is>
          <t>B1</t>
        </is>
      </c>
      <c r="D195" s="29" t="inlineStr">
        <is>
          <t>Band B · Specialist / Manager</t>
        </is>
      </c>
      <c r="E195" s="29" t="inlineStr">
        <is>
          <t>Senior Business Analyst</t>
        </is>
      </c>
      <c r="F195" s="29" t="inlineStr">
        <is>
          <t>Band B · Specialist / POD Lead</t>
        </is>
      </c>
      <c r="G195" s="29" t="inlineStr">
        <is>
          <t>Business Analysis</t>
        </is>
      </c>
      <c r="H195" s="29" t="n">
        <v>1</v>
      </c>
      <c r="I195" s="29" t="inlineStr">
        <is>
          <t>Srikant Mishra</t>
        </is>
      </c>
      <c r="J195" s="34" t="str">
        <f>IFERROR(INDEX(RBD_C,MATCH("Business Analysis|B1|B-IC",RBD_KEY,0)),"M")</f>
        <v>H</v>
      </c>
      <c r="K195" s="35" t="str">
        <f>IFERROR(INDEX(RBD_Au,MATCH("Business Analysis|B1|B-IC",RBD_KEY,0)),"M")</f>
        <v>M</v>
      </c>
      <c r="L195" s="35" t="str">
        <f>IFERROR(INDEX(RBD_Ac,MATCH("Business Analysis|B1|B-IC",RBD_KEY,0)),"M")</f>
        <v>L</v>
      </c>
      <c r="M195" s="35" t="str">
        <f>IFERROR(INDEX(RBD_L,MATCH("Business Analysis|B1|B-IC",RBD_KEY,0)),"M")</f>
        <v>L</v>
      </c>
      <c r="N195" s="35" t="str">
        <f>IFERROR(INDEX(RBD_BI,MATCH("Business Analysis|B1|B-IC",RBD_KEY,0)),"M")</f>
        <v>L</v>
      </c>
      <c r="O195" s="35" t="str">
        <f>IFERROR(INDEX(RBD_Exp,MATCH("Business Analysis|B1|B-IC",RBD_KEY,0)),"M")</f>
        <v>L</v>
      </c>
      <c r="P195" s="35" t="str">
        <f>IFERROR(INDEX(RBD_Edu,MATCH("Business Analysis|B1|B-IC",RBD_KEY,0)),"M")</f>
        <v>L</v>
      </c>
      <c r="Q195" s="73">
        <f>IF(J195="","",IFERROR(INDEX(LMH_PTS,MATCH(J195,LMH_KEY,0))/SUM(IFERROR(INDEX(LMH_PTS,MATCH(J195,LMH_KEY,0)),0),IFERROR(INDEX(LMH_PTS,MATCH(K195,LMH_KEY,0)),0),IFERROR(INDEX(LMH_PTS,MATCH(L195,LMH_KEY,0)),0),IFERROR(INDEX(LMH_PTS,MATCH(M195,LMH_KEY,0)),0),IFERROR(INDEX(LMH_PTS,MATCH(N195,LMH_KEY,0)),0),IFERROR(INDEX(LMH_PTS,MATCH(O195,LMH_KEY,0)),0),IFERROR(INDEX(LMH_PTS,MATCH(P195,LMH_KEY,0)),0)),""))</f>
        <v>0.529411764705882</v>
      </c>
      <c r="R195" s="74">
        <f>IF(K195="","",IFERROR(INDEX(LMH_PTS,MATCH(K195,LMH_KEY,0))/SUM(IFERROR(INDEX(LMH_PTS,MATCH(J195,LMH_KEY,0)),0),IFERROR(INDEX(LMH_PTS,MATCH(K195,LMH_KEY,0)),0),IFERROR(INDEX(LMH_PTS,MATCH(L195,LMH_KEY,0)),0),IFERROR(INDEX(LMH_PTS,MATCH(M195,LMH_KEY,0)),0),IFERROR(INDEX(LMH_PTS,MATCH(N195,LMH_KEY,0)),0),IFERROR(INDEX(LMH_PTS,MATCH(O195,LMH_KEY,0)),0),IFERROR(INDEX(LMH_PTS,MATCH(P195,LMH_KEY,0)),0)),""))</f>
        <v>0.176470588235294</v>
      </c>
      <c r="S195" s="74">
        <f>IF(L195="","",IFERROR(INDEX(LMH_PTS,MATCH(L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T195" s="74">
        <f>IF(M195="","",IFERROR(INDEX(LMH_PTS,MATCH(M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U195" s="74">
        <f>IF(N195="","",IFERROR(INDEX(LMH_PTS,MATCH(N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V195" s="74">
        <f>IF(O195="","",IFERROR(INDEX(LMH_PTS,MATCH(O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W195" s="74">
        <f>IF(P195="","",IFERROR(INDEX(LMH_PTS,MATCH(P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X195" s="44" t="n"/>
      <c r="Y195" s="38" t="inlineStr">
        <is>
          <t>iFile|Technology|Senior Business Analyst|B1|B-IC</t>
        </is>
      </c>
    </row>
    <row r="196" ht="28" customHeight="1">
      <c r="A196" s="28" t="inlineStr">
        <is>
          <t>iFile</t>
        </is>
      </c>
      <c r="B196" s="29" t="inlineStr">
        <is>
          <t>Technology</t>
        </is>
      </c>
      <c r="C196" s="72" t="inlineStr">
        <is>
          <t>B1</t>
        </is>
      </c>
      <c r="D196" s="29" t="inlineStr">
        <is>
          <t>Band B · Specialist / Manager</t>
        </is>
      </c>
      <c r="E196" s="29" t="inlineStr">
        <is>
          <t>Senior Technical Specialist – POD Lead</t>
        </is>
      </c>
      <c r="F196" s="29" t="inlineStr">
        <is>
          <t>Band B · Specialist / POD Lead</t>
        </is>
      </c>
      <c r="G196" s="29" t="inlineStr">
        <is>
          <t>Engineering &amp; Development</t>
        </is>
      </c>
      <c r="H196" s="29" t="n">
        <v>3</v>
      </c>
      <c r="I196" s="29" t="inlineStr">
        <is>
          <t>Manish Chouhan, Arpit Pagaria, Bhavana Thakare</t>
        </is>
      </c>
      <c r="J196" s="34" t="str">
        <f>IFERROR(INDEX(RBD_C,MATCH("Engineering &amp; Development|B1|B-IC",RBD_KEY,0)),"M")</f>
        <v>H</v>
      </c>
      <c r="K196" s="35" t="str">
        <f>IFERROR(INDEX(RBD_Au,MATCH("Engineering &amp; Development|B1|B-IC",RBD_KEY,0)),"M")</f>
        <v>M</v>
      </c>
      <c r="L196" s="35" t="str">
        <f>IFERROR(INDEX(RBD_Ac,MATCH("Engineering &amp; Development|B1|B-IC",RBD_KEY,0)),"M")</f>
        <v>L</v>
      </c>
      <c r="M196" s="35" t="str">
        <f>IFERROR(INDEX(RBD_L,MATCH("Engineering &amp; Development|B1|B-IC",RBD_KEY,0)),"M")</f>
        <v>L</v>
      </c>
      <c r="N196" s="35" t="str">
        <f>IFERROR(INDEX(RBD_BI,MATCH("Engineering &amp; Development|B1|B-IC",RBD_KEY,0)),"M")</f>
        <v>L</v>
      </c>
      <c r="O196" s="35" t="str">
        <f>IFERROR(INDEX(RBD_Exp,MATCH("Engineering &amp; Development|B1|B-IC",RBD_KEY,0)),"M")</f>
        <v>L</v>
      </c>
      <c r="P196" s="35" t="str">
        <f>IFERROR(INDEX(RBD_Edu,MATCH("Engineering &amp; Development|B1|B-IC",RBD_KEY,0)),"M")</f>
        <v>L</v>
      </c>
      <c r="Q196" s="73">
        <f>IF(J196="","",IFERROR(INDEX(LMH_PTS,MATCH(J196,LMH_KEY,0))/SUM(IFERROR(INDEX(LMH_PTS,MATCH(J196,LMH_KEY,0)),0),IFERROR(INDEX(LMH_PTS,MATCH(K196,LMH_KEY,0)),0),IFERROR(INDEX(LMH_PTS,MATCH(L196,LMH_KEY,0)),0),IFERROR(INDEX(LMH_PTS,MATCH(M196,LMH_KEY,0)),0),IFERROR(INDEX(LMH_PTS,MATCH(N196,LMH_KEY,0)),0),IFERROR(INDEX(LMH_PTS,MATCH(O196,LMH_KEY,0)),0),IFERROR(INDEX(LMH_PTS,MATCH(P196,LMH_KEY,0)),0)),""))</f>
        <v>0.529411764705882</v>
      </c>
      <c r="R196" s="74">
        <f>IF(K196="","",IFERROR(INDEX(LMH_PTS,MATCH(K196,LMH_KEY,0))/SUM(IFERROR(INDEX(LMH_PTS,MATCH(J196,LMH_KEY,0)),0),IFERROR(INDEX(LMH_PTS,MATCH(K196,LMH_KEY,0)),0),IFERROR(INDEX(LMH_PTS,MATCH(L196,LMH_KEY,0)),0),IFERROR(INDEX(LMH_PTS,MATCH(M196,LMH_KEY,0)),0),IFERROR(INDEX(LMH_PTS,MATCH(N196,LMH_KEY,0)),0),IFERROR(INDEX(LMH_PTS,MATCH(O196,LMH_KEY,0)),0),IFERROR(INDEX(LMH_PTS,MATCH(P196,LMH_KEY,0)),0)),""))</f>
        <v>0.176470588235294</v>
      </c>
      <c r="S196" s="74">
        <f>IF(L196="","",IFERROR(INDEX(LMH_PTS,MATCH(L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T196" s="74">
        <f>IF(M196="","",IFERROR(INDEX(LMH_PTS,MATCH(M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U196" s="74">
        <f>IF(N196="","",IFERROR(INDEX(LMH_PTS,MATCH(N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V196" s="74">
        <f>IF(O196="","",IFERROR(INDEX(LMH_PTS,MATCH(O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W196" s="74">
        <f>IF(P196="","",IFERROR(INDEX(LMH_PTS,MATCH(P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X196" s="44" t="n"/>
      <c r="Y196" s="38" t="inlineStr">
        <is>
          <t>iFile|Technology|Senior Technical Specialist – POD Lead|B1|B-IC</t>
        </is>
      </c>
    </row>
    <row r="197" ht="28" customHeight="1">
      <c r="A197" s="28" t="inlineStr">
        <is>
          <t>iFile</t>
        </is>
      </c>
      <c r="B197" s="29" t="inlineStr">
        <is>
          <t>Technology</t>
        </is>
      </c>
      <c r="C197" s="72" t="inlineStr">
        <is>
          <t>B1</t>
        </is>
      </c>
      <c r="D197" s="29" t="inlineStr">
        <is>
          <t>Band B · Specialist / Manager</t>
        </is>
      </c>
      <c r="E197" s="29" t="inlineStr">
        <is>
          <t>Team Lead – Business Analysis</t>
        </is>
      </c>
      <c r="F197" s="29" t="inlineStr">
        <is>
          <t>Band B · People Manager</t>
        </is>
      </c>
      <c r="G197" s="29" t="inlineStr">
        <is>
          <t>Business Analysis</t>
        </is>
      </c>
      <c r="H197" s="29" t="n">
        <v>1</v>
      </c>
      <c r="I197" s="29" t="inlineStr">
        <is>
          <t>Shruti Patil</t>
        </is>
      </c>
      <c r="J197" s="34" t="str">
        <f>IFERROR(INDEX(RBD_C,MATCH("Business Analysis|B1|B-M",RBD_KEY,0)),"M")</f>
        <v>H</v>
      </c>
      <c r="K197" s="35" t="str">
        <f>IFERROR(INDEX(RBD_Au,MATCH("Business Analysis|B1|B-M",RBD_KEY,0)),"M")</f>
        <v>M</v>
      </c>
      <c r="L197" s="35" t="str">
        <f>IFERROR(INDEX(RBD_Ac,MATCH("Business Analysis|B1|B-M",RBD_KEY,0)),"M")</f>
        <v>L</v>
      </c>
      <c r="M197" s="35" t="str">
        <f>IFERROR(INDEX(RBD_L,MATCH("Business Analysis|B1|B-M",RBD_KEY,0)),"M")</f>
        <v>M</v>
      </c>
      <c r="N197" s="35" t="str">
        <f>IFERROR(INDEX(RBD_BI,MATCH("Business Analysis|B1|B-M",RBD_KEY,0)),"M")</f>
        <v>L</v>
      </c>
      <c r="O197" s="35" t="str">
        <f>IFERROR(INDEX(RBD_Exp,MATCH("Business Analysis|B1|B-M",RBD_KEY,0)),"M")</f>
        <v>L</v>
      </c>
      <c r="P197" s="35" t="str">
        <f>IFERROR(INDEX(RBD_Edu,MATCH("Business Analysis|B1|B-M",RBD_KEY,0)),"M")</f>
        <v>L</v>
      </c>
      <c r="Q197" s="73">
        <f>IF(J197="","",IFERROR(INDEX(LMH_PTS,MATCH(J197,LMH_KEY,0))/SUM(IFERROR(INDEX(LMH_PTS,MATCH(J197,LMH_KEY,0)),0),IFERROR(INDEX(LMH_PTS,MATCH(K197,LMH_KEY,0)),0),IFERROR(INDEX(LMH_PTS,MATCH(L197,LMH_KEY,0)),0),IFERROR(INDEX(LMH_PTS,MATCH(M197,LMH_KEY,0)),0),IFERROR(INDEX(LMH_PTS,MATCH(N197,LMH_KEY,0)),0),IFERROR(INDEX(LMH_PTS,MATCH(O197,LMH_KEY,0)),0),IFERROR(INDEX(LMH_PTS,MATCH(P197,LMH_KEY,0)),0)),""))</f>
        <v>0.473684210526316</v>
      </c>
      <c r="R197" s="74">
        <f>IF(K197="","",IFERROR(INDEX(LMH_PTS,MATCH(K197,LMH_KEY,0))/SUM(IFERROR(INDEX(LMH_PTS,MATCH(J197,LMH_KEY,0)),0),IFERROR(INDEX(LMH_PTS,MATCH(K197,LMH_KEY,0)),0),IFERROR(INDEX(LMH_PTS,MATCH(L197,LMH_KEY,0)),0),IFERROR(INDEX(LMH_PTS,MATCH(M197,LMH_KEY,0)),0),IFERROR(INDEX(LMH_PTS,MATCH(N197,LMH_KEY,0)),0),IFERROR(INDEX(LMH_PTS,MATCH(O197,LMH_KEY,0)),0),IFERROR(INDEX(LMH_PTS,MATCH(P197,LMH_KEY,0)),0)),""))</f>
        <v>0.157894736842105</v>
      </c>
      <c r="S197" s="74">
        <f>IF(L197="","",IFERROR(INDEX(LMH_PTS,MATCH(L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T197" s="74">
        <f>IF(M197="","",IFERROR(INDEX(LMH_PTS,MATCH(M197,LMH_KEY,0))/SUM(IFERROR(INDEX(LMH_PTS,MATCH(J197,LMH_KEY,0)),0),IFERROR(INDEX(LMH_PTS,MATCH(K197,LMH_KEY,0)),0),IFERROR(INDEX(LMH_PTS,MATCH(L197,LMH_KEY,0)),0),IFERROR(INDEX(LMH_PTS,MATCH(M197,LMH_KEY,0)),0),IFERROR(INDEX(LMH_PTS,MATCH(N197,LMH_KEY,0)),0),IFERROR(INDEX(LMH_PTS,MATCH(O197,LMH_KEY,0)),0),IFERROR(INDEX(LMH_PTS,MATCH(P197,LMH_KEY,0)),0)),""))</f>
        <v>0.157894736842105</v>
      </c>
      <c r="U197" s="74">
        <f>IF(N197="","",IFERROR(INDEX(LMH_PTS,MATCH(N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V197" s="74">
        <f>IF(O197="","",IFERROR(INDEX(LMH_PTS,MATCH(O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W197" s="74">
        <f>IF(P197="","",IFERROR(INDEX(LMH_PTS,MATCH(P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X197" s="44" t="n"/>
      <c r="Y197" s="38" t="inlineStr">
        <is>
          <t>iFile|Technology|Team Lead – Business Analysis|B1|B-M</t>
        </is>
      </c>
    </row>
    <row r="198" ht="18" customHeight="1">
      <c r="A198" s="28" t="inlineStr">
        <is>
          <t>iFile</t>
        </is>
      </c>
      <c r="B198" s="29" t="inlineStr">
        <is>
          <t>Technology</t>
        </is>
      </c>
      <c r="C198" s="72" t="inlineStr">
        <is>
          <t>B1</t>
        </is>
      </c>
      <c r="D198" s="29" t="inlineStr">
        <is>
          <t>Band B · Specialist / Manager</t>
        </is>
      </c>
      <c r="E198" s="29" t="inlineStr">
        <is>
          <t>Technical Specialist</t>
        </is>
      </c>
      <c r="F198" s="29" t="inlineStr">
        <is>
          <t>Band B · Specialist / POD Lead</t>
        </is>
      </c>
      <c r="G198" s="29" t="inlineStr">
        <is>
          <t>Engineering &amp; Development</t>
        </is>
      </c>
      <c r="H198" s="29" t="n">
        <v>2</v>
      </c>
      <c r="I198" s="29" t="inlineStr">
        <is>
          <t>Sarvesh Yadav, Vikash Gupta</t>
        </is>
      </c>
      <c r="J198" s="34" t="str">
        <f>IFERROR(INDEX(RBD_C,MATCH("Engineering &amp; Development|B1|B-IC",RBD_KEY,0)),"M")</f>
        <v>H</v>
      </c>
      <c r="K198" s="35" t="str">
        <f>IFERROR(INDEX(RBD_Au,MATCH("Engineering &amp; Development|B1|B-IC",RBD_KEY,0)),"M")</f>
        <v>M</v>
      </c>
      <c r="L198" s="35" t="str">
        <f>IFERROR(INDEX(RBD_Ac,MATCH("Engineering &amp; Development|B1|B-IC",RBD_KEY,0)),"M")</f>
        <v>L</v>
      </c>
      <c r="M198" s="35" t="str">
        <f>IFERROR(INDEX(RBD_L,MATCH("Engineering &amp; Development|B1|B-IC",RBD_KEY,0)),"M")</f>
        <v>L</v>
      </c>
      <c r="N198" s="35" t="str">
        <f>IFERROR(INDEX(RBD_BI,MATCH("Engineering &amp; Development|B1|B-IC",RBD_KEY,0)),"M")</f>
        <v>L</v>
      </c>
      <c r="O198" s="35" t="str">
        <f>IFERROR(INDEX(RBD_Exp,MATCH("Engineering &amp; Development|B1|B-IC",RBD_KEY,0)),"M")</f>
        <v>L</v>
      </c>
      <c r="P198" s="35" t="str">
        <f>IFERROR(INDEX(RBD_Edu,MATCH("Engineering &amp; Development|B1|B-IC",RBD_KEY,0)),"M")</f>
        <v>L</v>
      </c>
      <c r="Q198" s="73">
        <f>IF(J198="","",IFERROR(INDEX(LMH_PTS,MATCH(J198,LMH_KEY,0))/SUM(IFERROR(INDEX(LMH_PTS,MATCH(J198,LMH_KEY,0)),0),IFERROR(INDEX(LMH_PTS,MATCH(K198,LMH_KEY,0)),0),IFERROR(INDEX(LMH_PTS,MATCH(L198,LMH_KEY,0)),0),IFERROR(INDEX(LMH_PTS,MATCH(M198,LMH_KEY,0)),0),IFERROR(INDEX(LMH_PTS,MATCH(N198,LMH_KEY,0)),0),IFERROR(INDEX(LMH_PTS,MATCH(O198,LMH_KEY,0)),0),IFERROR(INDEX(LMH_PTS,MATCH(P198,LMH_KEY,0)),0)),""))</f>
        <v>0.529411764705882</v>
      </c>
      <c r="R198" s="74">
        <f>IF(K198="","",IFERROR(INDEX(LMH_PTS,MATCH(K198,LMH_KEY,0))/SUM(IFERROR(INDEX(LMH_PTS,MATCH(J198,LMH_KEY,0)),0),IFERROR(INDEX(LMH_PTS,MATCH(K198,LMH_KEY,0)),0),IFERROR(INDEX(LMH_PTS,MATCH(L198,LMH_KEY,0)),0),IFERROR(INDEX(LMH_PTS,MATCH(M198,LMH_KEY,0)),0),IFERROR(INDEX(LMH_PTS,MATCH(N198,LMH_KEY,0)),0),IFERROR(INDEX(LMH_PTS,MATCH(O198,LMH_KEY,0)),0),IFERROR(INDEX(LMH_PTS,MATCH(P198,LMH_KEY,0)),0)),""))</f>
        <v>0.176470588235294</v>
      </c>
      <c r="S198" s="74">
        <f>IF(L198="","",IFERROR(INDEX(LMH_PTS,MATCH(L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T198" s="74">
        <f>IF(M198="","",IFERROR(INDEX(LMH_PTS,MATCH(M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U198" s="74">
        <f>IF(N198="","",IFERROR(INDEX(LMH_PTS,MATCH(N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V198" s="74">
        <f>IF(O198="","",IFERROR(INDEX(LMH_PTS,MATCH(O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W198" s="74">
        <f>IF(P198="","",IFERROR(INDEX(LMH_PTS,MATCH(P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X198" s="44" t="n"/>
      <c r="Y198" s="38" t="inlineStr">
        <is>
          <t>iFile|Technology|Technical Specialist|B1|B-IC</t>
        </is>
      </c>
    </row>
    <row r="199" ht="40.5" customHeight="1">
      <c r="A199" s="28" t="inlineStr">
        <is>
          <t>iFile</t>
        </is>
      </c>
      <c r="B199" s="29" t="inlineStr">
        <is>
          <t>Technology</t>
        </is>
      </c>
      <c r="C199" s="72" t="inlineStr">
        <is>
          <t>B1</t>
        </is>
      </c>
      <c r="D199" s="29" t="inlineStr">
        <is>
          <t>Band B · Specialist / Manager</t>
        </is>
      </c>
      <c r="E199" s="29" t="inlineStr">
        <is>
          <t>Technical Specialist – POD Lead</t>
        </is>
      </c>
      <c r="F199" s="29" t="inlineStr">
        <is>
          <t>Band B · Specialist / POD Lead</t>
        </is>
      </c>
      <c r="G199" s="29" t="inlineStr">
        <is>
          <t>Engineering &amp; Development</t>
        </is>
      </c>
      <c r="H199" s="29" t="n">
        <v>5</v>
      </c>
      <c r="I199" s="29" t="inlineStr">
        <is>
          <t>Paresh Patil, Rajneesh Patel, Pradnya Mhatre, Pragati Raskar, Vivek Shinde</t>
        </is>
      </c>
      <c r="J199" s="34" t="str">
        <f>IFERROR(INDEX(RBD_C,MATCH("Engineering &amp; Development|B1|B-IC",RBD_KEY,0)),"M")</f>
        <v>H</v>
      </c>
      <c r="K199" s="35" t="str">
        <f>IFERROR(INDEX(RBD_Au,MATCH("Engineering &amp; Development|B1|B-IC",RBD_KEY,0)),"M")</f>
        <v>M</v>
      </c>
      <c r="L199" s="35" t="str">
        <f>IFERROR(INDEX(RBD_Ac,MATCH("Engineering &amp; Development|B1|B-IC",RBD_KEY,0)),"M")</f>
        <v>L</v>
      </c>
      <c r="M199" s="35" t="str">
        <f>IFERROR(INDEX(RBD_L,MATCH("Engineering &amp; Development|B1|B-IC",RBD_KEY,0)),"M")</f>
        <v>L</v>
      </c>
      <c r="N199" s="35" t="str">
        <f>IFERROR(INDEX(RBD_BI,MATCH("Engineering &amp; Development|B1|B-IC",RBD_KEY,0)),"M")</f>
        <v>L</v>
      </c>
      <c r="O199" s="35" t="str">
        <f>IFERROR(INDEX(RBD_Exp,MATCH("Engineering &amp; Development|B1|B-IC",RBD_KEY,0)),"M")</f>
        <v>L</v>
      </c>
      <c r="P199" s="35" t="str">
        <f>IFERROR(INDEX(RBD_Edu,MATCH("Engineering &amp; Development|B1|B-IC",RBD_KEY,0)),"M")</f>
        <v>L</v>
      </c>
      <c r="Q199" s="73">
        <f>IF(J199="","",IFERROR(INDEX(LMH_PTS,MATCH(J199,LMH_KEY,0))/SUM(IFERROR(INDEX(LMH_PTS,MATCH(J199,LMH_KEY,0)),0),IFERROR(INDEX(LMH_PTS,MATCH(K199,LMH_KEY,0)),0),IFERROR(INDEX(LMH_PTS,MATCH(L199,LMH_KEY,0)),0),IFERROR(INDEX(LMH_PTS,MATCH(M199,LMH_KEY,0)),0),IFERROR(INDEX(LMH_PTS,MATCH(N199,LMH_KEY,0)),0),IFERROR(INDEX(LMH_PTS,MATCH(O199,LMH_KEY,0)),0),IFERROR(INDEX(LMH_PTS,MATCH(P199,LMH_KEY,0)),0)),""))</f>
        <v>0.529411764705882</v>
      </c>
      <c r="R199" s="74">
        <f>IF(K199="","",IFERROR(INDEX(LMH_PTS,MATCH(K199,LMH_KEY,0))/SUM(IFERROR(INDEX(LMH_PTS,MATCH(J199,LMH_KEY,0)),0),IFERROR(INDEX(LMH_PTS,MATCH(K199,LMH_KEY,0)),0),IFERROR(INDEX(LMH_PTS,MATCH(L199,LMH_KEY,0)),0),IFERROR(INDEX(LMH_PTS,MATCH(M199,LMH_KEY,0)),0),IFERROR(INDEX(LMH_PTS,MATCH(N199,LMH_KEY,0)),0),IFERROR(INDEX(LMH_PTS,MATCH(O199,LMH_KEY,0)),0),IFERROR(INDEX(LMH_PTS,MATCH(P199,LMH_KEY,0)),0)),""))</f>
        <v>0.176470588235294</v>
      </c>
      <c r="S199" s="74">
        <f>IF(L199="","",IFERROR(INDEX(LMH_PTS,MATCH(L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T199" s="74">
        <f>IF(M199="","",IFERROR(INDEX(LMH_PTS,MATCH(M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U199" s="74">
        <f>IF(N199="","",IFERROR(INDEX(LMH_PTS,MATCH(N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V199" s="74">
        <f>IF(O199="","",IFERROR(INDEX(LMH_PTS,MATCH(O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W199" s="74">
        <f>IF(P199="","",IFERROR(INDEX(LMH_PTS,MATCH(P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X199" s="44" t="n"/>
      <c r="Y199" s="38" t="inlineStr">
        <is>
          <t>iFile|Technology|Technical Specialist – POD Lead|B1|B-IC</t>
        </is>
      </c>
    </row>
    <row r="200" ht="18" customHeight="1">
      <c r="A200" s="28" t="inlineStr">
        <is>
          <t>iFile</t>
        </is>
      </c>
      <c r="B200" s="29" t="inlineStr">
        <is>
          <t>Technology</t>
        </is>
      </c>
      <c r="C200" s="75" t="inlineStr">
        <is>
          <t>A3</t>
        </is>
      </c>
      <c r="D200" s="29" t="inlineStr">
        <is>
          <t>Band A · Practitioner</t>
        </is>
      </c>
      <c r="E200" s="29" t="inlineStr">
        <is>
          <t>Database Specialist</t>
        </is>
      </c>
      <c r="F200" s="29" t="inlineStr">
        <is>
          <t>Band A · all tracks</t>
        </is>
      </c>
      <c r="G200" s="29" t="inlineStr">
        <is>
          <t>Engineering &amp; Development</t>
        </is>
      </c>
      <c r="H200" s="29" t="n">
        <v>1</v>
      </c>
      <c r="I200" s="29" t="inlineStr">
        <is>
          <t>Chaitanya Vadagabhaktula</t>
        </is>
      </c>
      <c r="J200" s="34" t="str">
        <f>IFERROR(INDEX(RBD_C,MATCH("Engineering &amp; Development|A3|A",RBD_KEY,0)),"M")</f>
        <v>H</v>
      </c>
      <c r="K200" s="35" t="str">
        <f>IFERROR(INDEX(RBD_Au,MATCH("Engineering &amp; Development|A3|A",RBD_KEY,0)),"M")</f>
        <v>M</v>
      </c>
      <c r="L200" s="35" t="str">
        <f>IFERROR(INDEX(RBD_Ac,MATCH("Engineering &amp; Development|A3|A",RBD_KEY,0)),"M")</f>
        <v>L</v>
      </c>
      <c r="M200" s="35" t="str">
        <f>IFERROR(INDEX(RBD_L,MATCH("Engineering &amp; Development|A3|A",RBD_KEY,0)),"M")</f>
        <v>L</v>
      </c>
      <c r="N200" s="35" t="str">
        <f>IFERROR(INDEX(RBD_BI,MATCH("Engineering &amp; Development|A3|A",RBD_KEY,0)),"M")</f>
        <v>L</v>
      </c>
      <c r="O200" s="35" t="str">
        <f>IFERROR(INDEX(RBD_Exp,MATCH("Engineering &amp; Development|A3|A",RBD_KEY,0)),"M")</f>
        <v>L</v>
      </c>
      <c r="P200" s="35" t="str">
        <f>IFERROR(INDEX(RBD_Edu,MATCH("Engineering &amp; Development|A3|A",RBD_KEY,0)),"M")</f>
        <v>L</v>
      </c>
      <c r="Q200" s="73">
        <f>IF(J200="","",IFERROR(INDEX(LMH_PTS,MATCH(J200,LMH_KEY,0))/SUM(IFERROR(INDEX(LMH_PTS,MATCH(J200,LMH_KEY,0)),0),IFERROR(INDEX(LMH_PTS,MATCH(K200,LMH_KEY,0)),0),IFERROR(INDEX(LMH_PTS,MATCH(L200,LMH_KEY,0)),0),IFERROR(INDEX(LMH_PTS,MATCH(M200,LMH_KEY,0)),0),IFERROR(INDEX(LMH_PTS,MATCH(N200,LMH_KEY,0)),0),IFERROR(INDEX(LMH_PTS,MATCH(O200,LMH_KEY,0)),0),IFERROR(INDEX(LMH_PTS,MATCH(P200,LMH_KEY,0)),0)),""))</f>
        <v>0.529411764705882</v>
      </c>
      <c r="R200" s="74">
        <f>IF(K200="","",IFERROR(INDEX(LMH_PTS,MATCH(K200,LMH_KEY,0))/SUM(IFERROR(INDEX(LMH_PTS,MATCH(J200,LMH_KEY,0)),0),IFERROR(INDEX(LMH_PTS,MATCH(K200,LMH_KEY,0)),0),IFERROR(INDEX(LMH_PTS,MATCH(L200,LMH_KEY,0)),0),IFERROR(INDEX(LMH_PTS,MATCH(M200,LMH_KEY,0)),0),IFERROR(INDEX(LMH_PTS,MATCH(N200,LMH_KEY,0)),0),IFERROR(INDEX(LMH_PTS,MATCH(O200,LMH_KEY,0)),0),IFERROR(INDEX(LMH_PTS,MATCH(P200,LMH_KEY,0)),0)),""))</f>
        <v>0.176470588235294</v>
      </c>
      <c r="S200" s="74">
        <f>IF(L200="","",IFERROR(INDEX(LMH_PTS,MATCH(L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T200" s="74">
        <f>IF(M200="","",IFERROR(INDEX(LMH_PTS,MATCH(M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U200" s="74">
        <f>IF(N200="","",IFERROR(INDEX(LMH_PTS,MATCH(N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V200" s="74">
        <f>IF(O200="","",IFERROR(INDEX(LMH_PTS,MATCH(O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W200" s="74">
        <f>IF(P200="","",IFERROR(INDEX(LMH_PTS,MATCH(P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X200" s="44" t="n"/>
      <c r="Y200" s="38" t="inlineStr">
        <is>
          <t>iFile|Technology|Database Specialist|A3|A</t>
        </is>
      </c>
    </row>
    <row r="201" ht="18" customHeight="1">
      <c r="A201" s="28" t="inlineStr">
        <is>
          <t>iFile</t>
        </is>
      </c>
      <c r="B201" s="29" t="inlineStr">
        <is>
          <t>Technology</t>
        </is>
      </c>
      <c r="C201" s="75" t="inlineStr">
        <is>
          <t>A3</t>
        </is>
      </c>
      <c r="D201" s="29" t="inlineStr">
        <is>
          <t>Band A · Practitioner</t>
        </is>
      </c>
      <c r="E201" s="29" t="inlineStr">
        <is>
          <t>Senior AI/ML Engineer</t>
        </is>
      </c>
      <c r="F201" s="29" t="inlineStr">
        <is>
          <t>Band A · all tracks</t>
        </is>
      </c>
      <c r="G201" s="29" t="inlineStr">
        <is>
          <t>Engineering &amp; Development</t>
        </is>
      </c>
      <c r="H201" s="29" t="n">
        <v>2</v>
      </c>
      <c r="I201" s="29" t="inlineStr">
        <is>
          <t>Saurabh Padalkar, Yash Chikane</t>
        </is>
      </c>
      <c r="J201" s="34" t="str">
        <f>IFERROR(INDEX(RBD_C,MATCH("Engineering &amp; Development|A3|A",RBD_KEY,0)),"M")</f>
        <v>H</v>
      </c>
      <c r="K201" s="35" t="str">
        <f>IFERROR(INDEX(RBD_Au,MATCH("Engineering &amp; Development|A3|A",RBD_KEY,0)),"M")</f>
        <v>M</v>
      </c>
      <c r="L201" s="35" t="str">
        <f>IFERROR(INDEX(RBD_Ac,MATCH("Engineering &amp; Development|A3|A",RBD_KEY,0)),"M")</f>
        <v>L</v>
      </c>
      <c r="M201" s="35" t="str">
        <f>IFERROR(INDEX(RBD_L,MATCH("Engineering &amp; Development|A3|A",RBD_KEY,0)),"M")</f>
        <v>L</v>
      </c>
      <c r="N201" s="35" t="str">
        <f>IFERROR(INDEX(RBD_BI,MATCH("Engineering &amp; Development|A3|A",RBD_KEY,0)),"M")</f>
        <v>L</v>
      </c>
      <c r="O201" s="35" t="str">
        <f>IFERROR(INDEX(RBD_Exp,MATCH("Engineering &amp; Development|A3|A",RBD_KEY,0)),"M")</f>
        <v>L</v>
      </c>
      <c r="P201" s="35" t="str">
        <f>IFERROR(INDEX(RBD_Edu,MATCH("Engineering &amp; Development|A3|A",RBD_KEY,0)),"M")</f>
        <v>L</v>
      </c>
      <c r="Q201" s="73">
        <f>IF(J201="","",IFERROR(INDEX(LMH_PTS,MATCH(J201,LMH_KEY,0))/SUM(IFERROR(INDEX(LMH_PTS,MATCH(J201,LMH_KEY,0)),0),IFERROR(INDEX(LMH_PTS,MATCH(K201,LMH_KEY,0)),0),IFERROR(INDEX(LMH_PTS,MATCH(L201,LMH_KEY,0)),0),IFERROR(INDEX(LMH_PTS,MATCH(M201,LMH_KEY,0)),0),IFERROR(INDEX(LMH_PTS,MATCH(N201,LMH_KEY,0)),0),IFERROR(INDEX(LMH_PTS,MATCH(O201,LMH_KEY,0)),0),IFERROR(INDEX(LMH_PTS,MATCH(P201,LMH_KEY,0)),0)),""))</f>
        <v>0.529411764705882</v>
      </c>
      <c r="R201" s="74">
        <f>IF(K201="","",IFERROR(INDEX(LMH_PTS,MATCH(K201,LMH_KEY,0))/SUM(IFERROR(INDEX(LMH_PTS,MATCH(J201,LMH_KEY,0)),0),IFERROR(INDEX(LMH_PTS,MATCH(K201,LMH_KEY,0)),0),IFERROR(INDEX(LMH_PTS,MATCH(L201,LMH_KEY,0)),0),IFERROR(INDEX(LMH_PTS,MATCH(M201,LMH_KEY,0)),0),IFERROR(INDEX(LMH_PTS,MATCH(N201,LMH_KEY,0)),0),IFERROR(INDEX(LMH_PTS,MATCH(O201,LMH_KEY,0)),0),IFERROR(INDEX(LMH_PTS,MATCH(P201,LMH_KEY,0)),0)),""))</f>
        <v>0.176470588235294</v>
      </c>
      <c r="S201" s="74">
        <f>IF(L201="","",IFERROR(INDEX(LMH_PTS,MATCH(L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T201" s="74">
        <f>IF(M201="","",IFERROR(INDEX(LMH_PTS,MATCH(M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U201" s="74">
        <f>IF(N201="","",IFERROR(INDEX(LMH_PTS,MATCH(N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V201" s="74">
        <f>IF(O201="","",IFERROR(INDEX(LMH_PTS,MATCH(O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W201" s="74">
        <f>IF(P201="","",IFERROR(INDEX(LMH_PTS,MATCH(P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X201" s="44" t="n"/>
      <c r="Y201" s="38" t="inlineStr">
        <is>
          <t>iFile|Technology|Senior AI/ML Engineer|A3|A</t>
        </is>
      </c>
    </row>
    <row r="202" ht="28" customHeight="1">
      <c r="A202" s="28" t="inlineStr">
        <is>
          <t>iFile</t>
        </is>
      </c>
      <c r="B202" s="29" t="inlineStr">
        <is>
          <t>Technology</t>
        </is>
      </c>
      <c r="C202" s="75" t="inlineStr">
        <is>
          <t>A3</t>
        </is>
      </c>
      <c r="D202" s="29" t="inlineStr">
        <is>
          <t>Band A · Practitioner</t>
        </is>
      </c>
      <c r="E202" s="29" t="inlineStr">
        <is>
          <t>Senior Business Analyst</t>
        </is>
      </c>
      <c r="F202" s="29" t="inlineStr">
        <is>
          <t>Band A · all tracks</t>
        </is>
      </c>
      <c r="G202" s="29" t="inlineStr">
        <is>
          <t>Business Analysis</t>
        </is>
      </c>
      <c r="H202" s="29" t="n">
        <v>4</v>
      </c>
      <c r="I202" s="29" t="inlineStr">
        <is>
          <t>Neha Singh, Prajakta Chavan, Angitha A, Ankita Karale</t>
        </is>
      </c>
      <c r="J202" s="34" t="str">
        <f>IFERROR(INDEX(RBD_C,MATCH("Business Analysis|A3|A",RBD_KEY,0)),"M")</f>
        <v>H</v>
      </c>
      <c r="K202" s="35" t="str">
        <f>IFERROR(INDEX(RBD_Au,MATCH("Business Analysis|A3|A",RBD_KEY,0)),"M")</f>
        <v>M</v>
      </c>
      <c r="L202" s="35" t="str">
        <f>IFERROR(INDEX(RBD_Ac,MATCH("Business Analysis|A3|A",RBD_KEY,0)),"M")</f>
        <v>L</v>
      </c>
      <c r="M202" s="35" t="str">
        <f>IFERROR(INDEX(RBD_L,MATCH("Business Analysis|A3|A",RBD_KEY,0)),"M")</f>
        <v>L</v>
      </c>
      <c r="N202" s="35" t="str">
        <f>IFERROR(INDEX(RBD_BI,MATCH("Business Analysis|A3|A",RBD_KEY,0)),"M")</f>
        <v>L</v>
      </c>
      <c r="O202" s="35" t="str">
        <f>IFERROR(INDEX(RBD_Exp,MATCH("Business Analysis|A3|A",RBD_KEY,0)),"M")</f>
        <v>L</v>
      </c>
      <c r="P202" s="35" t="str">
        <f>IFERROR(INDEX(RBD_Edu,MATCH("Business Analysis|A3|A",RBD_KEY,0)),"M")</f>
        <v>L</v>
      </c>
      <c r="Q202" s="73">
        <f>IF(J202="","",IFERROR(INDEX(LMH_PTS,MATCH(J202,LMH_KEY,0))/SUM(IFERROR(INDEX(LMH_PTS,MATCH(J202,LMH_KEY,0)),0),IFERROR(INDEX(LMH_PTS,MATCH(K202,LMH_KEY,0)),0),IFERROR(INDEX(LMH_PTS,MATCH(L202,LMH_KEY,0)),0),IFERROR(INDEX(LMH_PTS,MATCH(M202,LMH_KEY,0)),0),IFERROR(INDEX(LMH_PTS,MATCH(N202,LMH_KEY,0)),0),IFERROR(INDEX(LMH_PTS,MATCH(O202,LMH_KEY,0)),0),IFERROR(INDEX(LMH_PTS,MATCH(P202,LMH_KEY,0)),0)),""))</f>
        <v>0.529411764705882</v>
      </c>
      <c r="R202" s="74">
        <f>IF(K202="","",IFERROR(INDEX(LMH_PTS,MATCH(K202,LMH_KEY,0))/SUM(IFERROR(INDEX(LMH_PTS,MATCH(J202,LMH_KEY,0)),0),IFERROR(INDEX(LMH_PTS,MATCH(K202,LMH_KEY,0)),0),IFERROR(INDEX(LMH_PTS,MATCH(L202,LMH_KEY,0)),0),IFERROR(INDEX(LMH_PTS,MATCH(M202,LMH_KEY,0)),0),IFERROR(INDEX(LMH_PTS,MATCH(N202,LMH_KEY,0)),0),IFERROR(INDEX(LMH_PTS,MATCH(O202,LMH_KEY,0)),0),IFERROR(INDEX(LMH_PTS,MATCH(P202,LMH_KEY,0)),0)),""))</f>
        <v>0.176470588235294</v>
      </c>
      <c r="S202" s="74">
        <f>IF(L202="","",IFERROR(INDEX(LMH_PTS,MATCH(L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T202" s="74">
        <f>IF(M202="","",IFERROR(INDEX(LMH_PTS,MATCH(M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U202" s="74">
        <f>IF(N202="","",IFERROR(INDEX(LMH_PTS,MATCH(N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V202" s="74">
        <f>IF(O202="","",IFERROR(INDEX(LMH_PTS,MATCH(O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W202" s="74">
        <f>IF(P202="","",IFERROR(INDEX(LMH_PTS,MATCH(P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X202" s="44" t="n"/>
      <c r="Y202" s="38" t="inlineStr">
        <is>
          <t>iFile|Technology|Senior Business Analyst|A3|A</t>
        </is>
      </c>
    </row>
    <row r="203" ht="18" customHeight="1">
      <c r="A203" s="28" t="inlineStr">
        <is>
          <t>iFile</t>
        </is>
      </c>
      <c r="B203" s="29" t="inlineStr">
        <is>
          <t>Technology</t>
        </is>
      </c>
      <c r="C203" s="75" t="inlineStr">
        <is>
          <t>A3</t>
        </is>
      </c>
      <c r="D203" s="29" t="inlineStr">
        <is>
          <t>Band A · Practitioner</t>
        </is>
      </c>
      <c r="E203" s="29" t="inlineStr">
        <is>
          <t>Senior Database Engineer</t>
        </is>
      </c>
      <c r="F203" s="29" t="inlineStr">
        <is>
          <t>Band A · all tracks</t>
        </is>
      </c>
      <c r="G203" s="29" t="inlineStr">
        <is>
          <t>Engineering &amp; Development</t>
        </is>
      </c>
      <c r="H203" s="29" t="n">
        <v>2</v>
      </c>
      <c r="I203" s="29" t="inlineStr">
        <is>
          <t>Yash Raj, Akbar Basha</t>
        </is>
      </c>
      <c r="J203" s="34" t="str">
        <f>IFERROR(INDEX(RBD_C,MATCH("Engineering &amp; Development|A3|A",RBD_KEY,0)),"M")</f>
        <v>H</v>
      </c>
      <c r="K203" s="35" t="str">
        <f>IFERROR(INDEX(RBD_Au,MATCH("Engineering &amp; Development|A3|A",RBD_KEY,0)),"M")</f>
        <v>M</v>
      </c>
      <c r="L203" s="35" t="str">
        <f>IFERROR(INDEX(RBD_Ac,MATCH("Engineering &amp; Development|A3|A",RBD_KEY,0)),"M")</f>
        <v>L</v>
      </c>
      <c r="M203" s="35" t="str">
        <f>IFERROR(INDEX(RBD_L,MATCH("Engineering &amp; Development|A3|A",RBD_KEY,0)),"M")</f>
        <v>L</v>
      </c>
      <c r="N203" s="35" t="str">
        <f>IFERROR(INDEX(RBD_BI,MATCH("Engineering &amp; Development|A3|A",RBD_KEY,0)),"M")</f>
        <v>L</v>
      </c>
      <c r="O203" s="35" t="str">
        <f>IFERROR(INDEX(RBD_Exp,MATCH("Engineering &amp; Development|A3|A",RBD_KEY,0)),"M")</f>
        <v>L</v>
      </c>
      <c r="P203" s="35" t="str">
        <f>IFERROR(INDEX(RBD_Edu,MATCH("Engineering &amp; Development|A3|A",RBD_KEY,0)),"M")</f>
        <v>L</v>
      </c>
      <c r="Q203" s="73">
        <f>IF(J203="","",IFERROR(INDEX(LMH_PTS,MATCH(J203,LMH_KEY,0))/SUM(IFERROR(INDEX(LMH_PTS,MATCH(J203,LMH_KEY,0)),0),IFERROR(INDEX(LMH_PTS,MATCH(K203,LMH_KEY,0)),0),IFERROR(INDEX(LMH_PTS,MATCH(L203,LMH_KEY,0)),0),IFERROR(INDEX(LMH_PTS,MATCH(M203,LMH_KEY,0)),0),IFERROR(INDEX(LMH_PTS,MATCH(N203,LMH_KEY,0)),0),IFERROR(INDEX(LMH_PTS,MATCH(O203,LMH_KEY,0)),0),IFERROR(INDEX(LMH_PTS,MATCH(P203,LMH_KEY,0)),0)),""))</f>
        <v>0.529411764705882</v>
      </c>
      <c r="R203" s="74">
        <f>IF(K203="","",IFERROR(INDEX(LMH_PTS,MATCH(K203,LMH_KEY,0))/SUM(IFERROR(INDEX(LMH_PTS,MATCH(J203,LMH_KEY,0)),0),IFERROR(INDEX(LMH_PTS,MATCH(K203,LMH_KEY,0)),0),IFERROR(INDEX(LMH_PTS,MATCH(L203,LMH_KEY,0)),0),IFERROR(INDEX(LMH_PTS,MATCH(M203,LMH_KEY,0)),0),IFERROR(INDEX(LMH_PTS,MATCH(N203,LMH_KEY,0)),0),IFERROR(INDEX(LMH_PTS,MATCH(O203,LMH_KEY,0)),0),IFERROR(INDEX(LMH_PTS,MATCH(P203,LMH_KEY,0)),0)),""))</f>
        <v>0.176470588235294</v>
      </c>
      <c r="S203" s="74">
        <f>IF(L203="","",IFERROR(INDEX(LMH_PTS,MATCH(L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T203" s="74">
        <f>IF(M203="","",IFERROR(INDEX(LMH_PTS,MATCH(M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U203" s="74">
        <f>IF(N203="","",IFERROR(INDEX(LMH_PTS,MATCH(N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V203" s="74">
        <f>IF(O203="","",IFERROR(INDEX(LMH_PTS,MATCH(O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W203" s="74">
        <f>IF(P203="","",IFERROR(INDEX(LMH_PTS,MATCH(P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X203" s="44" t="n"/>
      <c r="Y203" s="38" t="inlineStr">
        <is>
          <t>iFile|Technology|Senior Database Engineer|A3|A</t>
        </is>
      </c>
    </row>
    <row r="204" ht="18" customHeight="1">
      <c r="A204" s="28" t="inlineStr">
        <is>
          <t>iFile</t>
        </is>
      </c>
      <c r="B204" s="29" t="inlineStr">
        <is>
          <t>Technology</t>
        </is>
      </c>
      <c r="C204" s="75" t="inlineStr">
        <is>
          <t>A3</t>
        </is>
      </c>
      <c r="D204" s="29" t="inlineStr">
        <is>
          <t>Band A · Practitioner</t>
        </is>
      </c>
      <c r="E204" s="29" t="inlineStr">
        <is>
          <t>Senior DevOps Engineer</t>
        </is>
      </c>
      <c r="F204" s="29" t="inlineStr">
        <is>
          <t>Band A · all tracks</t>
        </is>
      </c>
      <c r="G204" s="29" t="inlineStr">
        <is>
          <t>Engineering &amp; Development</t>
        </is>
      </c>
      <c r="H204" s="29" t="n">
        <v>1</v>
      </c>
      <c r="I204" s="29" t="inlineStr">
        <is>
          <t>Akhilesh Gore</t>
        </is>
      </c>
      <c r="J204" s="34" t="str">
        <f>IFERROR(INDEX(RBD_C,MATCH("Engineering &amp; Development|A3|A",RBD_KEY,0)),"M")</f>
        <v>H</v>
      </c>
      <c r="K204" s="35" t="str">
        <f>IFERROR(INDEX(RBD_Au,MATCH("Engineering &amp; Development|A3|A",RBD_KEY,0)),"M")</f>
        <v>M</v>
      </c>
      <c r="L204" s="35" t="str">
        <f>IFERROR(INDEX(RBD_Ac,MATCH("Engineering &amp; Development|A3|A",RBD_KEY,0)),"M")</f>
        <v>L</v>
      </c>
      <c r="M204" s="35" t="str">
        <f>IFERROR(INDEX(RBD_L,MATCH("Engineering &amp; Development|A3|A",RBD_KEY,0)),"M")</f>
        <v>L</v>
      </c>
      <c r="N204" s="35" t="str">
        <f>IFERROR(INDEX(RBD_BI,MATCH("Engineering &amp; Development|A3|A",RBD_KEY,0)),"M")</f>
        <v>L</v>
      </c>
      <c r="O204" s="35" t="str">
        <f>IFERROR(INDEX(RBD_Exp,MATCH("Engineering &amp; Development|A3|A",RBD_KEY,0)),"M")</f>
        <v>L</v>
      </c>
      <c r="P204" s="35" t="str">
        <f>IFERROR(INDEX(RBD_Edu,MATCH("Engineering &amp; Development|A3|A",RBD_KEY,0)),"M")</f>
        <v>L</v>
      </c>
      <c r="Q204" s="73">
        <f>IF(J204="","",IFERROR(INDEX(LMH_PTS,MATCH(J204,LMH_KEY,0))/SUM(IFERROR(INDEX(LMH_PTS,MATCH(J204,LMH_KEY,0)),0),IFERROR(INDEX(LMH_PTS,MATCH(K204,LMH_KEY,0)),0),IFERROR(INDEX(LMH_PTS,MATCH(L204,LMH_KEY,0)),0),IFERROR(INDEX(LMH_PTS,MATCH(M204,LMH_KEY,0)),0),IFERROR(INDEX(LMH_PTS,MATCH(N204,LMH_KEY,0)),0),IFERROR(INDEX(LMH_PTS,MATCH(O204,LMH_KEY,0)),0),IFERROR(INDEX(LMH_PTS,MATCH(P204,LMH_KEY,0)),0)),""))</f>
        <v>0.529411764705882</v>
      </c>
      <c r="R204" s="74">
        <f>IF(K204="","",IFERROR(INDEX(LMH_PTS,MATCH(K204,LMH_KEY,0))/SUM(IFERROR(INDEX(LMH_PTS,MATCH(J204,LMH_KEY,0)),0),IFERROR(INDEX(LMH_PTS,MATCH(K204,LMH_KEY,0)),0),IFERROR(INDEX(LMH_PTS,MATCH(L204,LMH_KEY,0)),0),IFERROR(INDEX(LMH_PTS,MATCH(M204,LMH_KEY,0)),0),IFERROR(INDEX(LMH_PTS,MATCH(N204,LMH_KEY,0)),0),IFERROR(INDEX(LMH_PTS,MATCH(O204,LMH_KEY,0)),0),IFERROR(INDEX(LMH_PTS,MATCH(P204,LMH_KEY,0)),0)),""))</f>
        <v>0.176470588235294</v>
      </c>
      <c r="S204" s="74">
        <f>IF(L204="","",IFERROR(INDEX(LMH_PTS,MATCH(L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T204" s="74">
        <f>IF(M204="","",IFERROR(INDEX(LMH_PTS,MATCH(M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U204" s="74">
        <f>IF(N204="","",IFERROR(INDEX(LMH_PTS,MATCH(N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V204" s="74">
        <f>IF(O204="","",IFERROR(INDEX(LMH_PTS,MATCH(O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W204" s="74">
        <f>IF(P204="","",IFERROR(INDEX(LMH_PTS,MATCH(P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X204" s="44" t="n"/>
      <c r="Y204" s="38" t="inlineStr">
        <is>
          <t>iFile|Technology|Senior DevOps Engineer|A3|A</t>
        </is>
      </c>
    </row>
    <row r="205" ht="120" customHeight="1">
      <c r="A205" s="28" t="inlineStr">
        <is>
          <t>iFile</t>
        </is>
      </c>
      <c r="B205" s="29" t="inlineStr">
        <is>
          <t>Technology</t>
        </is>
      </c>
      <c r="C205" s="75" t="inlineStr">
        <is>
          <t>A3</t>
        </is>
      </c>
      <c r="D205" s="29" t="inlineStr">
        <is>
          <t>Band A · Practitioner</t>
        </is>
      </c>
      <c r="E205" s="29" t="inlineStr">
        <is>
          <t>Senior Software Engineer</t>
        </is>
      </c>
      <c r="F205" s="29" t="inlineStr">
        <is>
          <t>Band A · all tracks</t>
        </is>
      </c>
      <c r="G205" s="29" t="inlineStr">
        <is>
          <t>Engineering &amp; Development</t>
        </is>
      </c>
      <c r="H205" s="29" t="n">
        <v>39</v>
      </c>
      <c r="I205" s="29" t="inlineStr">
        <is>
          <t>Hemalatha Visamsetti, Shubhangi Vaidya, Devkumar Nishad, Prajwal Chitode, Abhishek Patil, Kunal Sanjay Prasad, Pranay Usatkar, Harshal Chaudhari, Priyadarshini Naidu, Ritesh Gadekar, Mukesh Babulal Suthar, Abhishek Kadam, Govind Chidrawar, Siddharth Dhone, Nilesh Mohite, Sadhna Sahu, Sagar Soni, Sonal Bagul, Swati Patil, Rudransh Nemade, Saikiran Rowlo, Sandeep Mehta, Aaqib Ahmad, Ajay Chauhan, Amiz Azad, Balram Mahato, Gaurav Ghare, Khelendra Pratap Singh, Mahtab Shah, Pankaj Sharma, Saurabh Jaykumar Wanjari, Shubham Shrikhande, Viranchi Suresh Bhure, Amol Pawar, Harshal Wadode, Chetan Yerpude, Sahil Chavan, Shubham Mhadgut, Sourav Moharana</t>
        </is>
      </c>
      <c r="J205" s="34" t="str">
        <f>IFERROR(INDEX(RBD_C,MATCH("Engineering &amp; Development|A3|A",RBD_KEY,0)),"M")</f>
        <v>H</v>
      </c>
      <c r="K205" s="35" t="str">
        <f>IFERROR(INDEX(RBD_Au,MATCH("Engineering &amp; Development|A3|A",RBD_KEY,0)),"M")</f>
        <v>M</v>
      </c>
      <c r="L205" s="35" t="str">
        <f>IFERROR(INDEX(RBD_Ac,MATCH("Engineering &amp; Development|A3|A",RBD_KEY,0)),"M")</f>
        <v>L</v>
      </c>
      <c r="M205" s="35" t="str">
        <f>IFERROR(INDEX(RBD_L,MATCH("Engineering &amp; Development|A3|A",RBD_KEY,0)),"M")</f>
        <v>L</v>
      </c>
      <c r="N205" s="35" t="str">
        <f>IFERROR(INDEX(RBD_BI,MATCH("Engineering &amp; Development|A3|A",RBD_KEY,0)),"M")</f>
        <v>L</v>
      </c>
      <c r="O205" s="35" t="str">
        <f>IFERROR(INDEX(RBD_Exp,MATCH("Engineering &amp; Development|A3|A",RBD_KEY,0)),"M")</f>
        <v>L</v>
      </c>
      <c r="P205" s="35" t="str">
        <f>IFERROR(INDEX(RBD_Edu,MATCH("Engineering &amp; Development|A3|A",RBD_KEY,0)),"M")</f>
        <v>L</v>
      </c>
      <c r="Q205" s="73">
        <f>IF(J205="","",IFERROR(INDEX(LMH_PTS,MATCH(J205,LMH_KEY,0))/SUM(IFERROR(INDEX(LMH_PTS,MATCH(J205,LMH_KEY,0)),0),IFERROR(INDEX(LMH_PTS,MATCH(K205,LMH_KEY,0)),0),IFERROR(INDEX(LMH_PTS,MATCH(L205,LMH_KEY,0)),0),IFERROR(INDEX(LMH_PTS,MATCH(M205,LMH_KEY,0)),0),IFERROR(INDEX(LMH_PTS,MATCH(N205,LMH_KEY,0)),0),IFERROR(INDEX(LMH_PTS,MATCH(O205,LMH_KEY,0)),0),IFERROR(INDEX(LMH_PTS,MATCH(P205,LMH_KEY,0)),0)),""))</f>
        <v>0.529411764705882</v>
      </c>
      <c r="R205" s="74">
        <f>IF(K205="","",IFERROR(INDEX(LMH_PTS,MATCH(K205,LMH_KEY,0))/SUM(IFERROR(INDEX(LMH_PTS,MATCH(J205,LMH_KEY,0)),0),IFERROR(INDEX(LMH_PTS,MATCH(K205,LMH_KEY,0)),0),IFERROR(INDEX(LMH_PTS,MATCH(L205,LMH_KEY,0)),0),IFERROR(INDEX(LMH_PTS,MATCH(M205,LMH_KEY,0)),0),IFERROR(INDEX(LMH_PTS,MATCH(N205,LMH_KEY,0)),0),IFERROR(INDEX(LMH_PTS,MATCH(O205,LMH_KEY,0)),0),IFERROR(INDEX(LMH_PTS,MATCH(P205,LMH_KEY,0)),0)),""))</f>
        <v>0.176470588235294</v>
      </c>
      <c r="S205" s="74">
        <f>IF(L205="","",IFERROR(INDEX(LMH_PTS,MATCH(L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T205" s="74">
        <f>IF(M205="","",IFERROR(INDEX(LMH_PTS,MATCH(M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U205" s="74">
        <f>IF(N205="","",IFERROR(INDEX(LMH_PTS,MATCH(N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V205" s="74">
        <f>IF(O205="","",IFERROR(INDEX(LMH_PTS,MATCH(O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W205" s="74">
        <f>IF(P205="","",IFERROR(INDEX(LMH_PTS,MATCH(P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X205" s="44" t="n"/>
      <c r="Y205" s="38" t="inlineStr">
        <is>
          <t>iFile|Technology|Senior Software Engineer|A3|A</t>
        </is>
      </c>
    </row>
    <row r="206" ht="40.5" customHeight="1">
      <c r="A206" s="28" t="inlineStr">
        <is>
          <t>iFile</t>
        </is>
      </c>
      <c r="B206" s="29" t="inlineStr">
        <is>
          <t>Technology</t>
        </is>
      </c>
      <c r="C206" s="75" t="inlineStr">
        <is>
          <t>A3</t>
        </is>
      </c>
      <c r="D206" s="29" t="inlineStr">
        <is>
          <t>Band A · Practitioner</t>
        </is>
      </c>
      <c r="E206" s="29" t="inlineStr">
        <is>
          <t>Senior UI Developer</t>
        </is>
      </c>
      <c r="F206" s="29" t="inlineStr">
        <is>
          <t>Band A · all tracks</t>
        </is>
      </c>
      <c r="G206" s="29" t="inlineStr">
        <is>
          <t>Engineering &amp; Development</t>
        </is>
      </c>
      <c r="H206" s="29" t="n">
        <v>4</v>
      </c>
      <c r="I206" s="29" t="inlineStr">
        <is>
          <t>Shritesh Aher, Shubham Yadav, Ghanshyam L Desale, Rajshree Bhosale</t>
        </is>
      </c>
      <c r="J206" s="34" t="str">
        <f>IFERROR(INDEX(RBD_C,MATCH("Engineering &amp; Development|A3|A",RBD_KEY,0)),"M")</f>
        <v>H</v>
      </c>
      <c r="K206" s="35" t="str">
        <f>IFERROR(INDEX(RBD_Au,MATCH("Engineering &amp; Development|A3|A",RBD_KEY,0)),"M")</f>
        <v>M</v>
      </c>
      <c r="L206" s="35" t="str">
        <f>IFERROR(INDEX(RBD_Ac,MATCH("Engineering &amp; Development|A3|A",RBD_KEY,0)),"M")</f>
        <v>L</v>
      </c>
      <c r="M206" s="35" t="str">
        <f>IFERROR(INDEX(RBD_L,MATCH("Engineering &amp; Development|A3|A",RBD_KEY,0)),"M")</f>
        <v>L</v>
      </c>
      <c r="N206" s="35" t="str">
        <f>IFERROR(INDEX(RBD_BI,MATCH("Engineering &amp; Development|A3|A",RBD_KEY,0)),"M")</f>
        <v>L</v>
      </c>
      <c r="O206" s="35" t="str">
        <f>IFERROR(INDEX(RBD_Exp,MATCH("Engineering &amp; Development|A3|A",RBD_KEY,0)),"M")</f>
        <v>L</v>
      </c>
      <c r="P206" s="35" t="str">
        <f>IFERROR(INDEX(RBD_Edu,MATCH("Engineering &amp; Development|A3|A",RBD_KEY,0)),"M")</f>
        <v>L</v>
      </c>
      <c r="Q206" s="73">
        <f>IF(J206="","",IFERROR(INDEX(LMH_PTS,MATCH(J206,LMH_KEY,0))/SUM(IFERROR(INDEX(LMH_PTS,MATCH(J206,LMH_KEY,0)),0),IFERROR(INDEX(LMH_PTS,MATCH(K206,LMH_KEY,0)),0),IFERROR(INDEX(LMH_PTS,MATCH(L206,LMH_KEY,0)),0),IFERROR(INDEX(LMH_PTS,MATCH(M206,LMH_KEY,0)),0),IFERROR(INDEX(LMH_PTS,MATCH(N206,LMH_KEY,0)),0),IFERROR(INDEX(LMH_PTS,MATCH(O206,LMH_KEY,0)),0),IFERROR(INDEX(LMH_PTS,MATCH(P206,LMH_KEY,0)),0)),""))</f>
        <v>0.529411764705882</v>
      </c>
      <c r="R206" s="74">
        <f>IF(K206="","",IFERROR(INDEX(LMH_PTS,MATCH(K206,LMH_KEY,0))/SUM(IFERROR(INDEX(LMH_PTS,MATCH(J206,LMH_KEY,0)),0),IFERROR(INDEX(LMH_PTS,MATCH(K206,LMH_KEY,0)),0),IFERROR(INDEX(LMH_PTS,MATCH(L206,LMH_KEY,0)),0),IFERROR(INDEX(LMH_PTS,MATCH(M206,LMH_KEY,0)),0),IFERROR(INDEX(LMH_PTS,MATCH(N206,LMH_KEY,0)),0),IFERROR(INDEX(LMH_PTS,MATCH(O206,LMH_KEY,0)),0),IFERROR(INDEX(LMH_PTS,MATCH(P206,LMH_KEY,0)),0)),""))</f>
        <v>0.176470588235294</v>
      </c>
      <c r="S206" s="74">
        <f>IF(L206="","",IFERROR(INDEX(LMH_PTS,MATCH(L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T206" s="74">
        <f>IF(M206="","",IFERROR(INDEX(LMH_PTS,MATCH(M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U206" s="74">
        <f>IF(N206="","",IFERROR(INDEX(LMH_PTS,MATCH(N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V206" s="74">
        <f>IF(O206="","",IFERROR(INDEX(LMH_PTS,MATCH(O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W206" s="74">
        <f>IF(P206="","",IFERROR(INDEX(LMH_PTS,MATCH(P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X206" s="44" t="n"/>
      <c r="Y206" s="38" t="inlineStr">
        <is>
          <t>iFile|Technology|Senior UI Developer|A3|A</t>
        </is>
      </c>
    </row>
    <row r="207" ht="28" customHeight="1">
      <c r="A207" s="28" t="inlineStr">
        <is>
          <t>iFile</t>
        </is>
      </c>
      <c r="B207" s="29" t="inlineStr">
        <is>
          <t>Technology</t>
        </is>
      </c>
      <c r="C207" s="75" t="inlineStr">
        <is>
          <t>A3</t>
        </is>
      </c>
      <c r="D207" s="29" t="inlineStr">
        <is>
          <t>Band A · Practitioner</t>
        </is>
      </c>
      <c r="E207" s="29" t="inlineStr">
        <is>
          <t>Technical Specialist</t>
        </is>
      </c>
      <c r="F207" s="29" t="inlineStr">
        <is>
          <t>Band A · all tracks</t>
        </is>
      </c>
      <c r="G207" s="29" t="inlineStr">
        <is>
          <t>Engineering &amp; Development</t>
        </is>
      </c>
      <c r="H207" s="29" t="n">
        <v>3</v>
      </c>
      <c r="I207" s="29" t="inlineStr">
        <is>
          <t>Arun Kumar, Ateef Ansari, Anilkumar Aarumughan</t>
        </is>
      </c>
      <c r="J207" s="34" t="str">
        <f>IFERROR(INDEX(RBD_C,MATCH("Engineering &amp; Development|A3|A",RBD_KEY,0)),"M")</f>
        <v>H</v>
      </c>
      <c r="K207" s="35" t="str">
        <f>IFERROR(INDEX(RBD_Au,MATCH("Engineering &amp; Development|A3|A",RBD_KEY,0)),"M")</f>
        <v>M</v>
      </c>
      <c r="L207" s="35" t="str">
        <f>IFERROR(INDEX(RBD_Ac,MATCH("Engineering &amp; Development|A3|A",RBD_KEY,0)),"M")</f>
        <v>L</v>
      </c>
      <c r="M207" s="35" t="str">
        <f>IFERROR(INDEX(RBD_L,MATCH("Engineering &amp; Development|A3|A",RBD_KEY,0)),"M")</f>
        <v>L</v>
      </c>
      <c r="N207" s="35" t="str">
        <f>IFERROR(INDEX(RBD_BI,MATCH("Engineering &amp; Development|A3|A",RBD_KEY,0)),"M")</f>
        <v>L</v>
      </c>
      <c r="O207" s="35" t="str">
        <f>IFERROR(INDEX(RBD_Exp,MATCH("Engineering &amp; Development|A3|A",RBD_KEY,0)),"M")</f>
        <v>L</v>
      </c>
      <c r="P207" s="35" t="str">
        <f>IFERROR(INDEX(RBD_Edu,MATCH("Engineering &amp; Development|A3|A",RBD_KEY,0)),"M")</f>
        <v>L</v>
      </c>
      <c r="Q207" s="73">
        <f>IF(J207="","",IFERROR(INDEX(LMH_PTS,MATCH(J207,LMH_KEY,0))/SUM(IFERROR(INDEX(LMH_PTS,MATCH(J207,LMH_KEY,0)),0),IFERROR(INDEX(LMH_PTS,MATCH(K207,LMH_KEY,0)),0),IFERROR(INDEX(LMH_PTS,MATCH(L207,LMH_KEY,0)),0),IFERROR(INDEX(LMH_PTS,MATCH(M207,LMH_KEY,0)),0),IFERROR(INDEX(LMH_PTS,MATCH(N207,LMH_KEY,0)),0),IFERROR(INDEX(LMH_PTS,MATCH(O207,LMH_KEY,0)),0),IFERROR(INDEX(LMH_PTS,MATCH(P207,LMH_KEY,0)),0)),""))</f>
        <v>0.529411764705882</v>
      </c>
      <c r="R207" s="74">
        <f>IF(K207="","",IFERROR(INDEX(LMH_PTS,MATCH(K207,LMH_KEY,0))/SUM(IFERROR(INDEX(LMH_PTS,MATCH(J207,LMH_KEY,0)),0),IFERROR(INDEX(LMH_PTS,MATCH(K207,LMH_KEY,0)),0),IFERROR(INDEX(LMH_PTS,MATCH(L207,LMH_KEY,0)),0),IFERROR(INDEX(LMH_PTS,MATCH(M207,LMH_KEY,0)),0),IFERROR(INDEX(LMH_PTS,MATCH(N207,LMH_KEY,0)),0),IFERROR(INDEX(LMH_PTS,MATCH(O207,LMH_KEY,0)),0),IFERROR(INDEX(LMH_PTS,MATCH(P207,LMH_KEY,0)),0)),""))</f>
        <v>0.176470588235294</v>
      </c>
      <c r="S207" s="74">
        <f>IF(L207="","",IFERROR(INDEX(LMH_PTS,MATCH(L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T207" s="74">
        <f>IF(M207="","",IFERROR(INDEX(LMH_PTS,MATCH(M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U207" s="74">
        <f>IF(N207="","",IFERROR(INDEX(LMH_PTS,MATCH(N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V207" s="74">
        <f>IF(O207="","",IFERROR(INDEX(LMH_PTS,MATCH(O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W207" s="74">
        <f>IF(P207="","",IFERROR(INDEX(LMH_PTS,MATCH(P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X207" s="44" t="n"/>
      <c r="Y207" s="38" t="inlineStr">
        <is>
          <t>iFile|Technology|Technical Specialist|A3|A</t>
        </is>
      </c>
    </row>
    <row r="208" ht="18" customHeight="1">
      <c r="A208" s="28" t="inlineStr">
        <is>
          <t>iFile</t>
        </is>
      </c>
      <c r="B208" s="29" t="inlineStr">
        <is>
          <t>Technology</t>
        </is>
      </c>
      <c r="C208" s="75" t="inlineStr">
        <is>
          <t>A2</t>
        </is>
      </c>
      <c r="D208" s="29" t="inlineStr">
        <is>
          <t>Band A · Practitioner</t>
        </is>
      </c>
      <c r="E208" s="29" t="inlineStr">
        <is>
          <t>AI/ML Engineer</t>
        </is>
      </c>
      <c r="F208" s="29" t="inlineStr">
        <is>
          <t>Band A · all tracks</t>
        </is>
      </c>
      <c r="G208" s="29" t="inlineStr">
        <is>
          <t>Engineering &amp; Development</t>
        </is>
      </c>
      <c r="H208" s="29" t="n">
        <v>1</v>
      </c>
      <c r="I208" s="29" t="inlineStr">
        <is>
          <t>Soham Narsinge</t>
        </is>
      </c>
      <c r="J208" s="34" t="str">
        <f>IFERROR(INDEX(RBD_C,MATCH("Engineering &amp; Development|A2|A",RBD_KEY,0)),"M")</f>
        <v>H</v>
      </c>
      <c r="K208" s="35" t="str">
        <f>IFERROR(INDEX(RBD_Au,MATCH("Engineering &amp; Development|A2|A",RBD_KEY,0)),"M")</f>
        <v>M</v>
      </c>
      <c r="L208" s="35" t="str">
        <f>IFERROR(INDEX(RBD_Ac,MATCH("Engineering &amp; Development|A2|A",RBD_KEY,0)),"M")</f>
        <v>L</v>
      </c>
      <c r="M208" s="35" t="str">
        <f>IFERROR(INDEX(RBD_L,MATCH("Engineering &amp; Development|A2|A",RBD_KEY,0)),"M")</f>
        <v>L</v>
      </c>
      <c r="N208" s="35" t="str">
        <f>IFERROR(INDEX(RBD_BI,MATCH("Engineering &amp; Development|A2|A",RBD_KEY,0)),"M")</f>
        <v>L</v>
      </c>
      <c r="O208" s="35" t="str">
        <f>IFERROR(INDEX(RBD_Exp,MATCH("Engineering &amp; Development|A2|A",RBD_KEY,0)),"M")</f>
        <v>L</v>
      </c>
      <c r="P208" s="35" t="str">
        <f>IFERROR(INDEX(RBD_Edu,MATCH("Engineering &amp; Development|A2|A",RBD_KEY,0)),"M")</f>
        <v>L</v>
      </c>
      <c r="Q208" s="73">
        <f>IF(J208="","",IFERROR(INDEX(LMH_PTS,MATCH(J208,LMH_KEY,0))/SUM(IFERROR(INDEX(LMH_PTS,MATCH(J208,LMH_KEY,0)),0),IFERROR(INDEX(LMH_PTS,MATCH(K208,LMH_KEY,0)),0),IFERROR(INDEX(LMH_PTS,MATCH(L208,LMH_KEY,0)),0),IFERROR(INDEX(LMH_PTS,MATCH(M208,LMH_KEY,0)),0),IFERROR(INDEX(LMH_PTS,MATCH(N208,LMH_KEY,0)),0),IFERROR(INDEX(LMH_PTS,MATCH(O208,LMH_KEY,0)),0),IFERROR(INDEX(LMH_PTS,MATCH(P208,LMH_KEY,0)),0)),""))</f>
        <v>0.529411764705882</v>
      </c>
      <c r="R208" s="74">
        <f>IF(K208="","",IFERROR(INDEX(LMH_PTS,MATCH(K208,LMH_KEY,0))/SUM(IFERROR(INDEX(LMH_PTS,MATCH(J208,LMH_KEY,0)),0),IFERROR(INDEX(LMH_PTS,MATCH(K208,LMH_KEY,0)),0),IFERROR(INDEX(LMH_PTS,MATCH(L208,LMH_KEY,0)),0),IFERROR(INDEX(LMH_PTS,MATCH(M208,LMH_KEY,0)),0),IFERROR(INDEX(LMH_PTS,MATCH(N208,LMH_KEY,0)),0),IFERROR(INDEX(LMH_PTS,MATCH(O208,LMH_KEY,0)),0),IFERROR(INDEX(LMH_PTS,MATCH(P208,LMH_KEY,0)),0)),""))</f>
        <v>0.176470588235294</v>
      </c>
      <c r="S208" s="74">
        <f>IF(L208="","",IFERROR(INDEX(LMH_PTS,MATCH(L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T208" s="74">
        <f>IF(M208="","",IFERROR(INDEX(LMH_PTS,MATCH(M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U208" s="74">
        <f>IF(N208="","",IFERROR(INDEX(LMH_PTS,MATCH(N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V208" s="74">
        <f>IF(O208="","",IFERROR(INDEX(LMH_PTS,MATCH(O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W208" s="74">
        <f>IF(P208="","",IFERROR(INDEX(LMH_PTS,MATCH(P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X208" s="44" t="n"/>
      <c r="Y208" s="38" t="inlineStr">
        <is>
          <t>iFile|Technology|AI/ML Engineer|A2|A</t>
        </is>
      </c>
    </row>
    <row r="209" ht="28" customHeight="1">
      <c r="A209" s="28" t="inlineStr">
        <is>
          <t>iFile</t>
        </is>
      </c>
      <c r="B209" s="29" t="inlineStr">
        <is>
          <t>Technology</t>
        </is>
      </c>
      <c r="C209" s="75" t="inlineStr">
        <is>
          <t>A2</t>
        </is>
      </c>
      <c r="D209" s="29" t="inlineStr">
        <is>
          <t>Band A · Practitioner</t>
        </is>
      </c>
      <c r="E209" s="29" t="inlineStr">
        <is>
          <t>Business Analysis Specialist</t>
        </is>
      </c>
      <c r="F209" s="29" t="inlineStr">
        <is>
          <t>Band A · all tracks</t>
        </is>
      </c>
      <c r="G209" s="29" t="inlineStr">
        <is>
          <t>Business Analysis</t>
        </is>
      </c>
      <c r="H209" s="29" t="n">
        <v>1</v>
      </c>
      <c r="I209" s="29" t="inlineStr">
        <is>
          <t>Chetan Galande</t>
        </is>
      </c>
      <c r="J209" s="34" t="str">
        <f>IFERROR(INDEX(RBD_C,MATCH("Business Analysis|A2|A",RBD_KEY,0)),"M")</f>
        <v>H</v>
      </c>
      <c r="K209" s="35" t="str">
        <f>IFERROR(INDEX(RBD_Au,MATCH("Business Analysis|A2|A",RBD_KEY,0)),"M")</f>
        <v>M</v>
      </c>
      <c r="L209" s="35" t="str">
        <f>IFERROR(INDEX(RBD_Ac,MATCH("Business Analysis|A2|A",RBD_KEY,0)),"M")</f>
        <v>L</v>
      </c>
      <c r="M209" s="35" t="str">
        <f>IFERROR(INDEX(RBD_L,MATCH("Business Analysis|A2|A",RBD_KEY,0)),"M")</f>
        <v>L</v>
      </c>
      <c r="N209" s="35" t="str">
        <f>IFERROR(INDEX(RBD_BI,MATCH("Business Analysis|A2|A",RBD_KEY,0)),"M")</f>
        <v>L</v>
      </c>
      <c r="O209" s="35" t="str">
        <f>IFERROR(INDEX(RBD_Exp,MATCH("Business Analysis|A2|A",RBD_KEY,0)),"M")</f>
        <v>L</v>
      </c>
      <c r="P209" s="35" t="str">
        <f>IFERROR(INDEX(RBD_Edu,MATCH("Business Analysis|A2|A",RBD_KEY,0)),"M")</f>
        <v>L</v>
      </c>
      <c r="Q209" s="73">
        <f>IF(J209="","",IFERROR(INDEX(LMH_PTS,MATCH(J209,LMH_KEY,0))/SUM(IFERROR(INDEX(LMH_PTS,MATCH(J209,LMH_KEY,0)),0),IFERROR(INDEX(LMH_PTS,MATCH(K209,LMH_KEY,0)),0),IFERROR(INDEX(LMH_PTS,MATCH(L209,LMH_KEY,0)),0),IFERROR(INDEX(LMH_PTS,MATCH(M209,LMH_KEY,0)),0),IFERROR(INDEX(LMH_PTS,MATCH(N209,LMH_KEY,0)),0),IFERROR(INDEX(LMH_PTS,MATCH(O209,LMH_KEY,0)),0),IFERROR(INDEX(LMH_PTS,MATCH(P209,LMH_KEY,0)),0)),""))</f>
        <v>0.529411764705882</v>
      </c>
      <c r="R209" s="74">
        <f>IF(K209="","",IFERROR(INDEX(LMH_PTS,MATCH(K209,LMH_KEY,0))/SUM(IFERROR(INDEX(LMH_PTS,MATCH(J209,LMH_KEY,0)),0),IFERROR(INDEX(LMH_PTS,MATCH(K209,LMH_KEY,0)),0),IFERROR(INDEX(LMH_PTS,MATCH(L209,LMH_KEY,0)),0),IFERROR(INDEX(LMH_PTS,MATCH(M209,LMH_KEY,0)),0),IFERROR(INDEX(LMH_PTS,MATCH(N209,LMH_KEY,0)),0),IFERROR(INDEX(LMH_PTS,MATCH(O209,LMH_KEY,0)),0),IFERROR(INDEX(LMH_PTS,MATCH(P209,LMH_KEY,0)),0)),""))</f>
        <v>0.176470588235294</v>
      </c>
      <c r="S209" s="74">
        <f>IF(L209="","",IFERROR(INDEX(LMH_PTS,MATCH(L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T209" s="74">
        <f>IF(M209="","",IFERROR(INDEX(LMH_PTS,MATCH(M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U209" s="74">
        <f>IF(N209="","",IFERROR(INDEX(LMH_PTS,MATCH(N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V209" s="74">
        <f>IF(O209="","",IFERROR(INDEX(LMH_PTS,MATCH(O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W209" s="74">
        <f>IF(P209="","",IFERROR(INDEX(LMH_PTS,MATCH(P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X209" s="44" t="n"/>
      <c r="Y209" s="38" t="inlineStr">
        <is>
          <t>iFile|Technology|Business Analysis Specialist|A2|A</t>
        </is>
      </c>
    </row>
    <row r="210" ht="18" customHeight="1">
      <c r="A210" s="28" t="inlineStr">
        <is>
          <t>iFile</t>
        </is>
      </c>
      <c r="B210" s="29" t="inlineStr">
        <is>
          <t>Technology</t>
        </is>
      </c>
      <c r="C210" s="75" t="inlineStr">
        <is>
          <t>A2</t>
        </is>
      </c>
      <c r="D210" s="29" t="inlineStr">
        <is>
          <t>Band A · Practitioner</t>
        </is>
      </c>
      <c r="E210" s="29" t="inlineStr">
        <is>
          <t>Business Analyst</t>
        </is>
      </c>
      <c r="F210" s="29" t="inlineStr">
        <is>
          <t>Band A · all tracks</t>
        </is>
      </c>
      <c r="G210" s="29" t="inlineStr">
        <is>
          <t>Business Analysis</t>
        </is>
      </c>
      <c r="H210" s="29" t="n">
        <v>1</v>
      </c>
      <c r="I210" s="29" t="inlineStr">
        <is>
          <t>Tanishq Gupta</t>
        </is>
      </c>
      <c r="J210" s="34" t="str">
        <f>IFERROR(INDEX(RBD_C,MATCH("Business Analysis|A2|A",RBD_KEY,0)),"M")</f>
        <v>H</v>
      </c>
      <c r="K210" s="35" t="str">
        <f>IFERROR(INDEX(RBD_Au,MATCH("Business Analysis|A2|A",RBD_KEY,0)),"M")</f>
        <v>M</v>
      </c>
      <c r="L210" s="35" t="str">
        <f>IFERROR(INDEX(RBD_Ac,MATCH("Business Analysis|A2|A",RBD_KEY,0)),"M")</f>
        <v>L</v>
      </c>
      <c r="M210" s="35" t="str">
        <f>IFERROR(INDEX(RBD_L,MATCH("Business Analysis|A2|A",RBD_KEY,0)),"M")</f>
        <v>L</v>
      </c>
      <c r="N210" s="35" t="str">
        <f>IFERROR(INDEX(RBD_BI,MATCH("Business Analysis|A2|A",RBD_KEY,0)),"M")</f>
        <v>L</v>
      </c>
      <c r="O210" s="35" t="str">
        <f>IFERROR(INDEX(RBD_Exp,MATCH("Business Analysis|A2|A",RBD_KEY,0)),"M")</f>
        <v>L</v>
      </c>
      <c r="P210" s="35" t="str">
        <f>IFERROR(INDEX(RBD_Edu,MATCH("Business Analysis|A2|A",RBD_KEY,0)),"M")</f>
        <v>L</v>
      </c>
      <c r="Q210" s="73">
        <f>IF(J210="","",IFERROR(INDEX(LMH_PTS,MATCH(J210,LMH_KEY,0))/SUM(IFERROR(INDEX(LMH_PTS,MATCH(J210,LMH_KEY,0)),0),IFERROR(INDEX(LMH_PTS,MATCH(K210,LMH_KEY,0)),0),IFERROR(INDEX(LMH_PTS,MATCH(L210,LMH_KEY,0)),0),IFERROR(INDEX(LMH_PTS,MATCH(M210,LMH_KEY,0)),0),IFERROR(INDEX(LMH_PTS,MATCH(N210,LMH_KEY,0)),0),IFERROR(INDEX(LMH_PTS,MATCH(O210,LMH_KEY,0)),0),IFERROR(INDEX(LMH_PTS,MATCH(P210,LMH_KEY,0)),0)),""))</f>
        <v>0.529411764705882</v>
      </c>
      <c r="R210" s="74">
        <f>IF(K210="","",IFERROR(INDEX(LMH_PTS,MATCH(K210,LMH_KEY,0))/SUM(IFERROR(INDEX(LMH_PTS,MATCH(J210,LMH_KEY,0)),0),IFERROR(INDEX(LMH_PTS,MATCH(K210,LMH_KEY,0)),0),IFERROR(INDEX(LMH_PTS,MATCH(L210,LMH_KEY,0)),0),IFERROR(INDEX(LMH_PTS,MATCH(M210,LMH_KEY,0)),0),IFERROR(INDEX(LMH_PTS,MATCH(N210,LMH_KEY,0)),0),IFERROR(INDEX(LMH_PTS,MATCH(O210,LMH_KEY,0)),0),IFERROR(INDEX(LMH_PTS,MATCH(P210,LMH_KEY,0)),0)),""))</f>
        <v>0.176470588235294</v>
      </c>
      <c r="S210" s="74">
        <f>IF(L210="","",IFERROR(INDEX(LMH_PTS,MATCH(L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T210" s="74">
        <f>IF(M210="","",IFERROR(INDEX(LMH_PTS,MATCH(M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U210" s="74">
        <f>IF(N210="","",IFERROR(INDEX(LMH_PTS,MATCH(N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V210" s="74">
        <f>IF(O210="","",IFERROR(INDEX(LMH_PTS,MATCH(O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W210" s="74">
        <f>IF(P210="","",IFERROR(INDEX(LMH_PTS,MATCH(P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X210" s="44" t="n"/>
      <c r="Y210" s="38" t="inlineStr">
        <is>
          <t>iFile|Technology|Business Analyst|A2|A</t>
        </is>
      </c>
    </row>
    <row r="211" ht="18" customHeight="1">
      <c r="A211" s="28" t="inlineStr">
        <is>
          <t>iFile</t>
        </is>
      </c>
      <c r="B211" s="29" t="inlineStr">
        <is>
          <t>Technology</t>
        </is>
      </c>
      <c r="C211" s="75" t="inlineStr">
        <is>
          <t>A2</t>
        </is>
      </c>
      <c r="D211" s="29" t="inlineStr">
        <is>
          <t>Band A · Practitioner</t>
        </is>
      </c>
      <c r="E211" s="29" t="inlineStr">
        <is>
          <t>Senior Business Analyst</t>
        </is>
      </c>
      <c r="F211" s="29" t="inlineStr">
        <is>
          <t>Band A · all tracks</t>
        </is>
      </c>
      <c r="G211" s="29" t="inlineStr">
        <is>
          <t>Business Analysis</t>
        </is>
      </c>
      <c r="H211" s="29" t="n">
        <v>2</v>
      </c>
      <c r="I211" s="29" t="inlineStr">
        <is>
          <t>Darshit Vora, Saurabh Dutta</t>
        </is>
      </c>
      <c r="J211" s="34" t="str">
        <f>IFERROR(INDEX(RBD_C,MATCH("Business Analysis|A2|A",RBD_KEY,0)),"M")</f>
        <v>H</v>
      </c>
      <c r="K211" s="35" t="str">
        <f>IFERROR(INDEX(RBD_Au,MATCH("Business Analysis|A2|A",RBD_KEY,0)),"M")</f>
        <v>M</v>
      </c>
      <c r="L211" s="35" t="str">
        <f>IFERROR(INDEX(RBD_Ac,MATCH("Business Analysis|A2|A",RBD_KEY,0)),"M")</f>
        <v>L</v>
      </c>
      <c r="M211" s="35" t="str">
        <f>IFERROR(INDEX(RBD_L,MATCH("Business Analysis|A2|A",RBD_KEY,0)),"M")</f>
        <v>L</v>
      </c>
      <c r="N211" s="35" t="str">
        <f>IFERROR(INDEX(RBD_BI,MATCH("Business Analysis|A2|A",RBD_KEY,0)),"M")</f>
        <v>L</v>
      </c>
      <c r="O211" s="35" t="str">
        <f>IFERROR(INDEX(RBD_Exp,MATCH("Business Analysis|A2|A",RBD_KEY,0)),"M")</f>
        <v>L</v>
      </c>
      <c r="P211" s="35" t="str">
        <f>IFERROR(INDEX(RBD_Edu,MATCH("Business Analysis|A2|A",RBD_KEY,0)),"M")</f>
        <v>L</v>
      </c>
      <c r="Q211" s="73">
        <f>IF(J211="","",IFERROR(INDEX(LMH_PTS,MATCH(J211,LMH_KEY,0))/SUM(IFERROR(INDEX(LMH_PTS,MATCH(J211,LMH_KEY,0)),0),IFERROR(INDEX(LMH_PTS,MATCH(K211,LMH_KEY,0)),0),IFERROR(INDEX(LMH_PTS,MATCH(L211,LMH_KEY,0)),0),IFERROR(INDEX(LMH_PTS,MATCH(M211,LMH_KEY,0)),0),IFERROR(INDEX(LMH_PTS,MATCH(N211,LMH_KEY,0)),0),IFERROR(INDEX(LMH_PTS,MATCH(O211,LMH_KEY,0)),0),IFERROR(INDEX(LMH_PTS,MATCH(P211,LMH_KEY,0)),0)),""))</f>
        <v>0.529411764705882</v>
      </c>
      <c r="R211" s="74">
        <f>IF(K211="","",IFERROR(INDEX(LMH_PTS,MATCH(K211,LMH_KEY,0))/SUM(IFERROR(INDEX(LMH_PTS,MATCH(J211,LMH_KEY,0)),0),IFERROR(INDEX(LMH_PTS,MATCH(K211,LMH_KEY,0)),0),IFERROR(INDEX(LMH_PTS,MATCH(L211,LMH_KEY,0)),0),IFERROR(INDEX(LMH_PTS,MATCH(M211,LMH_KEY,0)),0),IFERROR(INDEX(LMH_PTS,MATCH(N211,LMH_KEY,0)),0),IFERROR(INDEX(LMH_PTS,MATCH(O211,LMH_KEY,0)),0),IFERROR(INDEX(LMH_PTS,MATCH(P211,LMH_KEY,0)),0)),""))</f>
        <v>0.176470588235294</v>
      </c>
      <c r="S211" s="74">
        <f>IF(L211="","",IFERROR(INDEX(LMH_PTS,MATCH(L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T211" s="74">
        <f>IF(M211="","",IFERROR(INDEX(LMH_PTS,MATCH(M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U211" s="74">
        <f>IF(N211="","",IFERROR(INDEX(LMH_PTS,MATCH(N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V211" s="74">
        <f>IF(O211="","",IFERROR(INDEX(LMH_PTS,MATCH(O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W211" s="74">
        <f>IF(P211="","",IFERROR(INDEX(LMH_PTS,MATCH(P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X211" s="44" t="n"/>
      <c r="Y211" s="38" t="inlineStr">
        <is>
          <t>iFile|Technology|Senior Business Analyst|A2|A</t>
        </is>
      </c>
    </row>
    <row r="212" ht="53" customHeight="1">
      <c r="A212" s="28" t="inlineStr">
        <is>
          <t>iFile</t>
        </is>
      </c>
      <c r="B212" s="29" t="inlineStr">
        <is>
          <t>Technology</t>
        </is>
      </c>
      <c r="C212" s="75" t="inlineStr">
        <is>
          <t>A2</t>
        </is>
      </c>
      <c r="D212" s="29" t="inlineStr">
        <is>
          <t>Band A · Practitioner</t>
        </is>
      </c>
      <c r="E212" s="29" t="inlineStr">
        <is>
          <t>Software Engineer</t>
        </is>
      </c>
      <c r="F212" s="29" t="inlineStr">
        <is>
          <t>Band A · all tracks</t>
        </is>
      </c>
      <c r="G212" s="29" t="inlineStr">
        <is>
          <t>Engineering &amp; Development</t>
        </is>
      </c>
      <c r="H212" s="29" t="n">
        <v>7</v>
      </c>
      <c r="I212" s="29" t="inlineStr">
        <is>
          <t>Subham Chakrabertty, Shubham Nimse, Chetna Vijay Nile, Hemant Sakunde, Aquib Shah, Chirag Suryawanshi, Tanay Hisariya</t>
        </is>
      </c>
      <c r="J212" s="34" t="str">
        <f>IFERROR(INDEX(RBD_C,MATCH("Engineering &amp; Development|A2|A",RBD_KEY,0)),"M")</f>
        <v>H</v>
      </c>
      <c r="K212" s="35" t="str">
        <f>IFERROR(INDEX(RBD_Au,MATCH("Engineering &amp; Development|A2|A",RBD_KEY,0)),"M")</f>
        <v>M</v>
      </c>
      <c r="L212" s="35" t="str">
        <f>IFERROR(INDEX(RBD_Ac,MATCH("Engineering &amp; Development|A2|A",RBD_KEY,0)),"M")</f>
        <v>L</v>
      </c>
      <c r="M212" s="35" t="str">
        <f>IFERROR(INDEX(RBD_L,MATCH("Engineering &amp; Development|A2|A",RBD_KEY,0)),"M")</f>
        <v>L</v>
      </c>
      <c r="N212" s="35" t="str">
        <f>IFERROR(INDEX(RBD_BI,MATCH("Engineering &amp; Development|A2|A",RBD_KEY,0)),"M")</f>
        <v>L</v>
      </c>
      <c r="O212" s="35" t="str">
        <f>IFERROR(INDEX(RBD_Exp,MATCH("Engineering &amp; Development|A2|A",RBD_KEY,0)),"M")</f>
        <v>L</v>
      </c>
      <c r="P212" s="35" t="str">
        <f>IFERROR(INDEX(RBD_Edu,MATCH("Engineering &amp; Development|A2|A",RBD_KEY,0)),"M")</f>
        <v>L</v>
      </c>
      <c r="Q212" s="73">
        <f>IF(J212="","",IFERROR(INDEX(LMH_PTS,MATCH(J212,LMH_KEY,0))/SUM(IFERROR(INDEX(LMH_PTS,MATCH(J212,LMH_KEY,0)),0),IFERROR(INDEX(LMH_PTS,MATCH(K212,LMH_KEY,0)),0),IFERROR(INDEX(LMH_PTS,MATCH(L212,LMH_KEY,0)),0),IFERROR(INDEX(LMH_PTS,MATCH(M212,LMH_KEY,0)),0),IFERROR(INDEX(LMH_PTS,MATCH(N212,LMH_KEY,0)),0),IFERROR(INDEX(LMH_PTS,MATCH(O212,LMH_KEY,0)),0),IFERROR(INDEX(LMH_PTS,MATCH(P212,LMH_KEY,0)),0)),""))</f>
        <v>0.529411764705882</v>
      </c>
      <c r="R212" s="74">
        <f>IF(K212="","",IFERROR(INDEX(LMH_PTS,MATCH(K212,LMH_KEY,0))/SUM(IFERROR(INDEX(LMH_PTS,MATCH(J212,LMH_KEY,0)),0),IFERROR(INDEX(LMH_PTS,MATCH(K212,LMH_KEY,0)),0),IFERROR(INDEX(LMH_PTS,MATCH(L212,LMH_KEY,0)),0),IFERROR(INDEX(LMH_PTS,MATCH(M212,LMH_KEY,0)),0),IFERROR(INDEX(LMH_PTS,MATCH(N212,LMH_KEY,0)),0),IFERROR(INDEX(LMH_PTS,MATCH(O212,LMH_KEY,0)),0),IFERROR(INDEX(LMH_PTS,MATCH(P212,LMH_KEY,0)),0)),""))</f>
        <v>0.176470588235294</v>
      </c>
      <c r="S212" s="74">
        <f>IF(L212="","",IFERROR(INDEX(LMH_PTS,MATCH(L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T212" s="74">
        <f>IF(M212="","",IFERROR(INDEX(LMH_PTS,MATCH(M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U212" s="74">
        <f>IF(N212="","",IFERROR(INDEX(LMH_PTS,MATCH(N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V212" s="74">
        <f>IF(O212="","",IFERROR(INDEX(LMH_PTS,MATCH(O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W212" s="74">
        <f>IF(P212="","",IFERROR(INDEX(LMH_PTS,MATCH(P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X212" s="44" t="n"/>
      <c r="Y212" s="38" t="inlineStr">
        <is>
          <t>iFile|Technology|Software Engineer|A2|A</t>
        </is>
      </c>
    </row>
    <row r="213" ht="40.5" customHeight="1">
      <c r="A213" s="28" t="inlineStr">
        <is>
          <t>iFile</t>
        </is>
      </c>
      <c r="B213" s="29" t="inlineStr">
        <is>
          <t>Technology</t>
        </is>
      </c>
      <c r="C213" s="75" t="inlineStr">
        <is>
          <t>A2</t>
        </is>
      </c>
      <c r="D213" s="29" t="inlineStr">
        <is>
          <t>Band A · Practitioner</t>
        </is>
      </c>
      <c r="E213" s="29" t="inlineStr">
        <is>
          <t>UI Developer</t>
        </is>
      </c>
      <c r="F213" s="29" t="inlineStr">
        <is>
          <t>Band A · all tracks</t>
        </is>
      </c>
      <c r="G213" s="29" t="inlineStr">
        <is>
          <t>Engineering &amp; Development</t>
        </is>
      </c>
      <c r="H213" s="29" t="n">
        <v>5</v>
      </c>
      <c r="I213" s="29" t="inlineStr">
        <is>
          <t>Rajeev Gupta, Anurag Gupta, Chandani Gusain, Faisal Pathan, Lalita Dixit</t>
        </is>
      </c>
      <c r="J213" s="34" t="str">
        <f>IFERROR(INDEX(RBD_C,MATCH("Engineering &amp; Development|A2|A",RBD_KEY,0)),"M")</f>
        <v>H</v>
      </c>
      <c r="K213" s="35" t="str">
        <f>IFERROR(INDEX(RBD_Au,MATCH("Engineering &amp; Development|A2|A",RBD_KEY,0)),"M")</f>
        <v>M</v>
      </c>
      <c r="L213" s="35" t="str">
        <f>IFERROR(INDEX(RBD_Ac,MATCH("Engineering &amp; Development|A2|A",RBD_KEY,0)),"M")</f>
        <v>L</v>
      </c>
      <c r="M213" s="35" t="str">
        <f>IFERROR(INDEX(RBD_L,MATCH("Engineering &amp; Development|A2|A",RBD_KEY,0)),"M")</f>
        <v>L</v>
      </c>
      <c r="N213" s="35" t="str">
        <f>IFERROR(INDEX(RBD_BI,MATCH("Engineering &amp; Development|A2|A",RBD_KEY,0)),"M")</f>
        <v>L</v>
      </c>
      <c r="O213" s="35" t="str">
        <f>IFERROR(INDEX(RBD_Exp,MATCH("Engineering &amp; Development|A2|A",RBD_KEY,0)),"M")</f>
        <v>L</v>
      </c>
      <c r="P213" s="35" t="str">
        <f>IFERROR(INDEX(RBD_Edu,MATCH("Engineering &amp; Development|A2|A",RBD_KEY,0)),"M")</f>
        <v>L</v>
      </c>
      <c r="Q213" s="73">
        <f>IF(J213="","",IFERROR(INDEX(LMH_PTS,MATCH(J213,LMH_KEY,0))/SUM(IFERROR(INDEX(LMH_PTS,MATCH(J213,LMH_KEY,0)),0),IFERROR(INDEX(LMH_PTS,MATCH(K213,LMH_KEY,0)),0),IFERROR(INDEX(LMH_PTS,MATCH(L213,LMH_KEY,0)),0),IFERROR(INDEX(LMH_PTS,MATCH(M213,LMH_KEY,0)),0),IFERROR(INDEX(LMH_PTS,MATCH(N213,LMH_KEY,0)),0),IFERROR(INDEX(LMH_PTS,MATCH(O213,LMH_KEY,0)),0),IFERROR(INDEX(LMH_PTS,MATCH(P213,LMH_KEY,0)),0)),""))</f>
        <v>0.529411764705882</v>
      </c>
      <c r="R213" s="74">
        <f>IF(K213="","",IFERROR(INDEX(LMH_PTS,MATCH(K213,LMH_KEY,0))/SUM(IFERROR(INDEX(LMH_PTS,MATCH(J213,LMH_KEY,0)),0),IFERROR(INDEX(LMH_PTS,MATCH(K213,LMH_KEY,0)),0),IFERROR(INDEX(LMH_PTS,MATCH(L213,LMH_KEY,0)),0),IFERROR(INDEX(LMH_PTS,MATCH(M213,LMH_KEY,0)),0),IFERROR(INDEX(LMH_PTS,MATCH(N213,LMH_KEY,0)),0),IFERROR(INDEX(LMH_PTS,MATCH(O213,LMH_KEY,0)),0),IFERROR(INDEX(LMH_PTS,MATCH(P213,LMH_KEY,0)),0)),""))</f>
        <v>0.176470588235294</v>
      </c>
      <c r="S213" s="74">
        <f>IF(L213="","",IFERROR(INDEX(LMH_PTS,MATCH(L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T213" s="74">
        <f>IF(M213="","",IFERROR(INDEX(LMH_PTS,MATCH(M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U213" s="74">
        <f>IF(N213="","",IFERROR(INDEX(LMH_PTS,MATCH(N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V213" s="74">
        <f>IF(O213="","",IFERROR(INDEX(LMH_PTS,MATCH(O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W213" s="74">
        <f>IF(P213="","",IFERROR(INDEX(LMH_PTS,MATCH(P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X213" s="44" t="n"/>
      <c r="Y213" s="38" t="inlineStr">
        <is>
          <t>iFile|Technology|UI Developer|A2|A</t>
        </is>
      </c>
    </row>
    <row r="214" ht="28" customHeight="1">
      <c r="A214" s="28" t="inlineStr">
        <is>
          <t>iFile</t>
        </is>
      </c>
      <c r="B214" s="29" t="inlineStr">
        <is>
          <t>Technology</t>
        </is>
      </c>
      <c r="C214" s="75" t="inlineStr">
        <is>
          <t>A1</t>
        </is>
      </c>
      <c r="D214" s="29" t="inlineStr">
        <is>
          <t>Band A · Practitioner</t>
        </is>
      </c>
      <c r="E214" s="29" t="inlineStr">
        <is>
          <t>Intern – Front-End / UI Development</t>
        </is>
      </c>
      <c r="F214" s="29" t="inlineStr">
        <is>
          <t>Band A · all tracks</t>
        </is>
      </c>
      <c r="G214" s="29" t="inlineStr">
        <is>
          <t>Engineering &amp; Development</t>
        </is>
      </c>
      <c r="H214" s="29" t="n">
        <v>1</v>
      </c>
      <c r="I214" s="29" t="inlineStr">
        <is>
          <t>Pradnya Shindhe</t>
        </is>
      </c>
      <c r="J214" s="34" t="str">
        <f>IFERROR(INDEX(RBD_C,MATCH("Engineering &amp; Development|A1|A",RBD_KEY,0)),"M")</f>
        <v>H</v>
      </c>
      <c r="K214" s="35" t="str">
        <f>IFERROR(INDEX(RBD_Au,MATCH("Engineering &amp; Development|A1|A",RBD_KEY,0)),"M")</f>
        <v>M</v>
      </c>
      <c r="L214" s="35" t="str">
        <f>IFERROR(INDEX(RBD_Ac,MATCH("Engineering &amp; Development|A1|A",RBD_KEY,0)),"M")</f>
        <v>L</v>
      </c>
      <c r="M214" s="35" t="str">
        <f>IFERROR(INDEX(RBD_L,MATCH("Engineering &amp; Development|A1|A",RBD_KEY,0)),"M")</f>
        <v>L</v>
      </c>
      <c r="N214" s="35" t="str">
        <f>IFERROR(INDEX(RBD_BI,MATCH("Engineering &amp; Development|A1|A",RBD_KEY,0)),"M")</f>
        <v>L</v>
      </c>
      <c r="O214" s="35" t="str">
        <f>IFERROR(INDEX(RBD_Exp,MATCH("Engineering &amp; Development|A1|A",RBD_KEY,0)),"M")</f>
        <v>L</v>
      </c>
      <c r="P214" s="35" t="str">
        <f>IFERROR(INDEX(RBD_Edu,MATCH("Engineering &amp; Development|A1|A",RBD_KEY,0)),"M")</f>
        <v>L</v>
      </c>
      <c r="Q214" s="73">
        <f>IF(J214="","",IFERROR(INDEX(LMH_PTS,MATCH(J214,LMH_KEY,0))/SUM(IFERROR(INDEX(LMH_PTS,MATCH(J214,LMH_KEY,0)),0),IFERROR(INDEX(LMH_PTS,MATCH(K214,LMH_KEY,0)),0),IFERROR(INDEX(LMH_PTS,MATCH(L214,LMH_KEY,0)),0),IFERROR(INDEX(LMH_PTS,MATCH(M214,LMH_KEY,0)),0),IFERROR(INDEX(LMH_PTS,MATCH(N214,LMH_KEY,0)),0),IFERROR(INDEX(LMH_PTS,MATCH(O214,LMH_KEY,0)),0),IFERROR(INDEX(LMH_PTS,MATCH(P214,LMH_KEY,0)),0)),""))</f>
        <v>0.529411764705882</v>
      </c>
      <c r="R214" s="74">
        <f>IF(K214="","",IFERROR(INDEX(LMH_PTS,MATCH(K214,LMH_KEY,0))/SUM(IFERROR(INDEX(LMH_PTS,MATCH(J214,LMH_KEY,0)),0),IFERROR(INDEX(LMH_PTS,MATCH(K214,LMH_KEY,0)),0),IFERROR(INDEX(LMH_PTS,MATCH(L214,LMH_KEY,0)),0),IFERROR(INDEX(LMH_PTS,MATCH(M214,LMH_KEY,0)),0),IFERROR(INDEX(LMH_PTS,MATCH(N214,LMH_KEY,0)),0),IFERROR(INDEX(LMH_PTS,MATCH(O214,LMH_KEY,0)),0),IFERROR(INDEX(LMH_PTS,MATCH(P214,LMH_KEY,0)),0)),""))</f>
        <v>0.176470588235294</v>
      </c>
      <c r="S214" s="74">
        <f>IF(L214="","",IFERROR(INDEX(LMH_PTS,MATCH(L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T214" s="74">
        <f>IF(M214="","",IFERROR(INDEX(LMH_PTS,MATCH(M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U214" s="74">
        <f>IF(N214="","",IFERROR(INDEX(LMH_PTS,MATCH(N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V214" s="74">
        <f>IF(O214="","",IFERROR(INDEX(LMH_PTS,MATCH(O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W214" s="74">
        <f>IF(P214="","",IFERROR(INDEX(LMH_PTS,MATCH(P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X214" s="44" t="n"/>
      <c r="Y214" s="38" t="inlineStr">
        <is>
          <t>iFile|Technology|Intern – Front-End / UI Development|A1|A</t>
        </is>
      </c>
    </row>
    <row r="215" ht="28" customHeight="1">
      <c r="A215" s="28" t="inlineStr">
        <is>
          <t>iFile</t>
        </is>
      </c>
      <c r="B215" s="29" t="inlineStr">
        <is>
          <t>Technology</t>
        </is>
      </c>
      <c r="C215" s="75" t="inlineStr">
        <is>
          <t>A1</t>
        </is>
      </c>
      <c r="D215" s="29" t="inlineStr">
        <is>
          <t>Band A · Practitioner</t>
        </is>
      </c>
      <c r="E215" s="29" t="inlineStr">
        <is>
          <t>Intern – Software Development</t>
        </is>
      </c>
      <c r="F215" s="29" t="inlineStr">
        <is>
          <t>Band A · all tracks</t>
        </is>
      </c>
      <c r="G215" s="29" t="inlineStr">
        <is>
          <t>Engineering &amp; Development</t>
        </is>
      </c>
      <c r="H215" s="29" t="n">
        <v>1</v>
      </c>
      <c r="I215" s="29" t="inlineStr">
        <is>
          <t>Samiksha Sawant</t>
        </is>
      </c>
      <c r="J215" s="34" t="str">
        <f>IFERROR(INDEX(RBD_C,MATCH("Engineering &amp; Development|A1|A",RBD_KEY,0)),"M")</f>
        <v>H</v>
      </c>
      <c r="K215" s="35" t="str">
        <f>IFERROR(INDEX(RBD_Au,MATCH("Engineering &amp; Development|A1|A",RBD_KEY,0)),"M")</f>
        <v>M</v>
      </c>
      <c r="L215" s="35" t="str">
        <f>IFERROR(INDEX(RBD_Ac,MATCH("Engineering &amp; Development|A1|A",RBD_KEY,0)),"M")</f>
        <v>L</v>
      </c>
      <c r="M215" s="35" t="str">
        <f>IFERROR(INDEX(RBD_L,MATCH("Engineering &amp; Development|A1|A",RBD_KEY,0)),"M")</f>
        <v>L</v>
      </c>
      <c r="N215" s="35" t="str">
        <f>IFERROR(INDEX(RBD_BI,MATCH("Engineering &amp; Development|A1|A",RBD_KEY,0)),"M")</f>
        <v>L</v>
      </c>
      <c r="O215" s="35" t="str">
        <f>IFERROR(INDEX(RBD_Exp,MATCH("Engineering &amp; Development|A1|A",RBD_KEY,0)),"M")</f>
        <v>L</v>
      </c>
      <c r="P215" s="35" t="str">
        <f>IFERROR(INDEX(RBD_Edu,MATCH("Engineering &amp; Development|A1|A",RBD_KEY,0)),"M")</f>
        <v>L</v>
      </c>
      <c r="Q215" s="73">
        <f>IF(J215="","",IFERROR(INDEX(LMH_PTS,MATCH(J215,LMH_KEY,0))/SUM(IFERROR(INDEX(LMH_PTS,MATCH(J215,LMH_KEY,0)),0),IFERROR(INDEX(LMH_PTS,MATCH(K215,LMH_KEY,0)),0),IFERROR(INDEX(LMH_PTS,MATCH(L215,LMH_KEY,0)),0),IFERROR(INDEX(LMH_PTS,MATCH(M215,LMH_KEY,0)),0),IFERROR(INDEX(LMH_PTS,MATCH(N215,LMH_KEY,0)),0),IFERROR(INDEX(LMH_PTS,MATCH(O215,LMH_KEY,0)),0),IFERROR(INDEX(LMH_PTS,MATCH(P215,LMH_KEY,0)),0)),""))</f>
        <v>0.529411764705882</v>
      </c>
      <c r="R215" s="74">
        <f>IF(K215="","",IFERROR(INDEX(LMH_PTS,MATCH(K215,LMH_KEY,0))/SUM(IFERROR(INDEX(LMH_PTS,MATCH(J215,LMH_KEY,0)),0),IFERROR(INDEX(LMH_PTS,MATCH(K215,LMH_KEY,0)),0),IFERROR(INDEX(LMH_PTS,MATCH(L215,LMH_KEY,0)),0),IFERROR(INDEX(LMH_PTS,MATCH(M215,LMH_KEY,0)),0),IFERROR(INDEX(LMH_PTS,MATCH(N215,LMH_KEY,0)),0),IFERROR(INDEX(LMH_PTS,MATCH(O215,LMH_KEY,0)),0),IFERROR(INDEX(LMH_PTS,MATCH(P215,LMH_KEY,0)),0)),""))</f>
        <v>0.176470588235294</v>
      </c>
      <c r="S215" s="74">
        <f>IF(L215="","",IFERROR(INDEX(LMH_PTS,MATCH(L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T215" s="74">
        <f>IF(M215="","",IFERROR(INDEX(LMH_PTS,MATCH(M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U215" s="74">
        <f>IF(N215="","",IFERROR(INDEX(LMH_PTS,MATCH(N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V215" s="74">
        <f>IF(O215="","",IFERROR(INDEX(LMH_PTS,MATCH(O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W215" s="74">
        <f>IF(P215="","",IFERROR(INDEX(LMH_PTS,MATCH(P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X215" s="44" t="n"/>
      <c r="Y215" s="38" t="inlineStr">
        <is>
          <t>iFile|Technology|Intern – Software Development|A1|A</t>
        </is>
      </c>
    </row>
    <row r="216" ht="18" customHeight="1">
      <c r="A216" s="28" t="inlineStr">
        <is>
          <t>iFile</t>
        </is>
      </c>
      <c r="B216" s="29" t="inlineStr">
        <is>
          <t>Technology</t>
        </is>
      </c>
      <c r="C216" s="75" t="inlineStr">
        <is>
          <t>A1</t>
        </is>
      </c>
      <c r="D216" s="29" t="inlineStr">
        <is>
          <t>Band A · Practitioner</t>
        </is>
      </c>
      <c r="E216" s="29" t="inlineStr">
        <is>
          <t>Trainee AI/ML Engineer</t>
        </is>
      </c>
      <c r="F216" s="29" t="inlineStr">
        <is>
          <t>Band A · all tracks</t>
        </is>
      </c>
      <c r="G216" s="29" t="inlineStr">
        <is>
          <t>Engineering &amp; Development</t>
        </is>
      </c>
      <c r="H216" s="29" t="n">
        <v>1</v>
      </c>
      <c r="I216" s="29" t="inlineStr">
        <is>
          <t>Vinay Gajula</t>
        </is>
      </c>
      <c r="J216" s="34" t="str">
        <f>IFERROR(INDEX(RBD_C,MATCH("Engineering &amp; Development|A1|A",RBD_KEY,0)),"M")</f>
        <v>H</v>
      </c>
      <c r="K216" s="35" t="str">
        <f>IFERROR(INDEX(RBD_Au,MATCH("Engineering &amp; Development|A1|A",RBD_KEY,0)),"M")</f>
        <v>M</v>
      </c>
      <c r="L216" s="35" t="str">
        <f>IFERROR(INDEX(RBD_Ac,MATCH("Engineering &amp; Development|A1|A",RBD_KEY,0)),"M")</f>
        <v>L</v>
      </c>
      <c r="M216" s="35" t="str">
        <f>IFERROR(INDEX(RBD_L,MATCH("Engineering &amp; Development|A1|A",RBD_KEY,0)),"M")</f>
        <v>L</v>
      </c>
      <c r="N216" s="35" t="str">
        <f>IFERROR(INDEX(RBD_BI,MATCH("Engineering &amp; Development|A1|A",RBD_KEY,0)),"M")</f>
        <v>L</v>
      </c>
      <c r="O216" s="35" t="str">
        <f>IFERROR(INDEX(RBD_Exp,MATCH("Engineering &amp; Development|A1|A",RBD_KEY,0)),"M")</f>
        <v>L</v>
      </c>
      <c r="P216" s="35" t="str">
        <f>IFERROR(INDEX(RBD_Edu,MATCH("Engineering &amp; Development|A1|A",RBD_KEY,0)),"M")</f>
        <v>L</v>
      </c>
      <c r="Q216" s="73">
        <f>IF(J216="","",IFERROR(INDEX(LMH_PTS,MATCH(J216,LMH_KEY,0))/SUM(IFERROR(INDEX(LMH_PTS,MATCH(J216,LMH_KEY,0)),0),IFERROR(INDEX(LMH_PTS,MATCH(K216,LMH_KEY,0)),0),IFERROR(INDEX(LMH_PTS,MATCH(L216,LMH_KEY,0)),0),IFERROR(INDEX(LMH_PTS,MATCH(M216,LMH_KEY,0)),0),IFERROR(INDEX(LMH_PTS,MATCH(N216,LMH_KEY,0)),0),IFERROR(INDEX(LMH_PTS,MATCH(O216,LMH_KEY,0)),0),IFERROR(INDEX(LMH_PTS,MATCH(P216,LMH_KEY,0)),0)),""))</f>
        <v>0.529411764705882</v>
      </c>
      <c r="R216" s="74">
        <f>IF(K216="","",IFERROR(INDEX(LMH_PTS,MATCH(K216,LMH_KEY,0))/SUM(IFERROR(INDEX(LMH_PTS,MATCH(J216,LMH_KEY,0)),0),IFERROR(INDEX(LMH_PTS,MATCH(K216,LMH_KEY,0)),0),IFERROR(INDEX(LMH_PTS,MATCH(L216,LMH_KEY,0)),0),IFERROR(INDEX(LMH_PTS,MATCH(M216,LMH_KEY,0)),0),IFERROR(INDEX(LMH_PTS,MATCH(N216,LMH_KEY,0)),0),IFERROR(INDEX(LMH_PTS,MATCH(O216,LMH_KEY,0)),0),IFERROR(INDEX(LMH_PTS,MATCH(P216,LMH_KEY,0)),0)),""))</f>
        <v>0.176470588235294</v>
      </c>
      <c r="S216" s="74">
        <f>IF(L216="","",IFERROR(INDEX(LMH_PTS,MATCH(L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T216" s="74">
        <f>IF(M216="","",IFERROR(INDEX(LMH_PTS,MATCH(M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U216" s="74">
        <f>IF(N216="","",IFERROR(INDEX(LMH_PTS,MATCH(N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V216" s="74">
        <f>IF(O216="","",IFERROR(INDEX(LMH_PTS,MATCH(O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W216" s="74">
        <f>IF(P216="","",IFERROR(INDEX(LMH_PTS,MATCH(P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X216" s="44" t="n"/>
      <c r="Y216" s="38" t="inlineStr">
        <is>
          <t>iFile|Technology|Trainee AI/ML Engineer|A1|A</t>
        </is>
      </c>
    </row>
    <row r="217" ht="18" customHeight="1">
      <c r="A217" s="28" t="inlineStr">
        <is>
          <t>iFile</t>
        </is>
      </c>
      <c r="B217" s="29" t="inlineStr">
        <is>
          <t>Technology</t>
        </is>
      </c>
      <c r="C217" s="75" t="inlineStr">
        <is>
          <t>A1</t>
        </is>
      </c>
      <c r="D217" s="29" t="inlineStr">
        <is>
          <t>Band A · Practitioner</t>
        </is>
      </c>
      <c r="E217" s="29" t="inlineStr">
        <is>
          <t>Trainee Business Analyst</t>
        </is>
      </c>
      <c r="F217" s="29" t="inlineStr">
        <is>
          <t>Band A · all tracks</t>
        </is>
      </c>
      <c r="G217" s="29" t="inlineStr">
        <is>
          <t>Business Analysis</t>
        </is>
      </c>
      <c r="H217" s="29" t="n">
        <v>1</v>
      </c>
      <c r="I217" s="29" t="inlineStr">
        <is>
          <t>Parmesh Vala</t>
        </is>
      </c>
      <c r="J217" s="34" t="str">
        <f>IFERROR(INDEX(RBD_C,MATCH("Business Analysis|A1|A",RBD_KEY,0)),"M")</f>
        <v>H</v>
      </c>
      <c r="K217" s="35" t="str">
        <f>IFERROR(INDEX(RBD_Au,MATCH("Business Analysis|A1|A",RBD_KEY,0)),"M")</f>
        <v>M</v>
      </c>
      <c r="L217" s="35" t="str">
        <f>IFERROR(INDEX(RBD_Ac,MATCH("Business Analysis|A1|A",RBD_KEY,0)),"M")</f>
        <v>L</v>
      </c>
      <c r="M217" s="35" t="str">
        <f>IFERROR(INDEX(RBD_L,MATCH("Business Analysis|A1|A",RBD_KEY,0)),"M")</f>
        <v>L</v>
      </c>
      <c r="N217" s="35" t="str">
        <f>IFERROR(INDEX(RBD_BI,MATCH("Business Analysis|A1|A",RBD_KEY,0)),"M")</f>
        <v>L</v>
      </c>
      <c r="O217" s="35" t="str">
        <f>IFERROR(INDEX(RBD_Exp,MATCH("Business Analysis|A1|A",RBD_KEY,0)),"M")</f>
        <v>L</v>
      </c>
      <c r="P217" s="35" t="str">
        <f>IFERROR(INDEX(RBD_Edu,MATCH("Business Analysis|A1|A",RBD_KEY,0)),"M")</f>
        <v>L</v>
      </c>
      <c r="Q217" s="73">
        <f>IF(J217="","",IFERROR(INDEX(LMH_PTS,MATCH(J217,LMH_KEY,0))/SUM(IFERROR(INDEX(LMH_PTS,MATCH(J217,LMH_KEY,0)),0),IFERROR(INDEX(LMH_PTS,MATCH(K217,LMH_KEY,0)),0),IFERROR(INDEX(LMH_PTS,MATCH(L217,LMH_KEY,0)),0),IFERROR(INDEX(LMH_PTS,MATCH(M217,LMH_KEY,0)),0),IFERROR(INDEX(LMH_PTS,MATCH(N217,LMH_KEY,0)),0),IFERROR(INDEX(LMH_PTS,MATCH(O217,LMH_KEY,0)),0),IFERROR(INDEX(LMH_PTS,MATCH(P217,LMH_KEY,0)),0)),""))</f>
        <v>0.529411764705882</v>
      </c>
      <c r="R217" s="74">
        <f>IF(K217="","",IFERROR(INDEX(LMH_PTS,MATCH(K217,LMH_KEY,0))/SUM(IFERROR(INDEX(LMH_PTS,MATCH(J217,LMH_KEY,0)),0),IFERROR(INDEX(LMH_PTS,MATCH(K217,LMH_KEY,0)),0),IFERROR(INDEX(LMH_PTS,MATCH(L217,LMH_KEY,0)),0),IFERROR(INDEX(LMH_PTS,MATCH(M217,LMH_KEY,0)),0),IFERROR(INDEX(LMH_PTS,MATCH(N217,LMH_KEY,0)),0),IFERROR(INDEX(LMH_PTS,MATCH(O217,LMH_KEY,0)),0),IFERROR(INDEX(LMH_PTS,MATCH(P217,LMH_KEY,0)),0)),""))</f>
        <v>0.176470588235294</v>
      </c>
      <c r="S217" s="74">
        <f>IF(L217="","",IFERROR(INDEX(LMH_PTS,MATCH(L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T217" s="74">
        <f>IF(M217="","",IFERROR(INDEX(LMH_PTS,MATCH(M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U217" s="74">
        <f>IF(N217="","",IFERROR(INDEX(LMH_PTS,MATCH(N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V217" s="74">
        <f>IF(O217="","",IFERROR(INDEX(LMH_PTS,MATCH(O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W217" s="74">
        <f>IF(P217="","",IFERROR(INDEX(LMH_PTS,MATCH(P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X217" s="44" t="n"/>
      <c r="Y217" s="38" t="inlineStr">
        <is>
          <t>iFile|Technology|Trainee Business Analyst|A1|A</t>
        </is>
      </c>
    </row>
    <row r="218" ht="28" customHeight="1">
      <c r="A218" s="28" t="inlineStr">
        <is>
          <t>iFile</t>
        </is>
      </c>
      <c r="B218" s="29" t="inlineStr">
        <is>
          <t>Technology</t>
        </is>
      </c>
      <c r="C218" s="75" t="inlineStr">
        <is>
          <t>A1</t>
        </is>
      </c>
      <c r="D218" s="29" t="inlineStr">
        <is>
          <t>Band A · Practitioner</t>
        </is>
      </c>
      <c r="E218" s="29" t="inlineStr">
        <is>
          <t>Trainee Software Engineer</t>
        </is>
      </c>
      <c r="F218" s="29" t="inlineStr">
        <is>
          <t>Band A · all tracks</t>
        </is>
      </c>
      <c r="G218" s="29" t="inlineStr">
        <is>
          <t>Engineering &amp; Development</t>
        </is>
      </c>
      <c r="H218" s="29" t="n">
        <v>3</v>
      </c>
      <c r="I218" s="29" t="inlineStr">
        <is>
          <t>Mayuresh Raghunath Mahale, Rushikesh Shrikhande, Amaan Ullah</t>
        </is>
      </c>
      <c r="J218" s="34" t="str">
        <f>IFERROR(INDEX(RBD_C,MATCH("Engineering &amp; Development|A1|A",RBD_KEY,0)),"M")</f>
        <v>H</v>
      </c>
      <c r="K218" s="35" t="str">
        <f>IFERROR(INDEX(RBD_Au,MATCH("Engineering &amp; Development|A1|A",RBD_KEY,0)),"M")</f>
        <v>M</v>
      </c>
      <c r="L218" s="35" t="str">
        <f>IFERROR(INDEX(RBD_Ac,MATCH("Engineering &amp; Development|A1|A",RBD_KEY,0)),"M")</f>
        <v>L</v>
      </c>
      <c r="M218" s="35" t="str">
        <f>IFERROR(INDEX(RBD_L,MATCH("Engineering &amp; Development|A1|A",RBD_KEY,0)),"M")</f>
        <v>L</v>
      </c>
      <c r="N218" s="35" t="str">
        <f>IFERROR(INDEX(RBD_BI,MATCH("Engineering &amp; Development|A1|A",RBD_KEY,0)),"M")</f>
        <v>L</v>
      </c>
      <c r="O218" s="35" t="str">
        <f>IFERROR(INDEX(RBD_Exp,MATCH("Engineering &amp; Development|A1|A",RBD_KEY,0)),"M")</f>
        <v>L</v>
      </c>
      <c r="P218" s="35" t="str">
        <f>IFERROR(INDEX(RBD_Edu,MATCH("Engineering &amp; Development|A1|A",RBD_KEY,0)),"M")</f>
        <v>L</v>
      </c>
      <c r="Q218" s="73">
        <f>IF(J218="","",IFERROR(INDEX(LMH_PTS,MATCH(J218,LMH_KEY,0))/SUM(IFERROR(INDEX(LMH_PTS,MATCH(J218,LMH_KEY,0)),0),IFERROR(INDEX(LMH_PTS,MATCH(K218,LMH_KEY,0)),0),IFERROR(INDEX(LMH_PTS,MATCH(L218,LMH_KEY,0)),0),IFERROR(INDEX(LMH_PTS,MATCH(M218,LMH_KEY,0)),0),IFERROR(INDEX(LMH_PTS,MATCH(N218,LMH_KEY,0)),0),IFERROR(INDEX(LMH_PTS,MATCH(O218,LMH_KEY,0)),0),IFERROR(INDEX(LMH_PTS,MATCH(P218,LMH_KEY,0)),0)),""))</f>
        <v>0.529411764705882</v>
      </c>
      <c r="R218" s="74">
        <f>IF(K218="","",IFERROR(INDEX(LMH_PTS,MATCH(K218,LMH_KEY,0))/SUM(IFERROR(INDEX(LMH_PTS,MATCH(J218,LMH_KEY,0)),0),IFERROR(INDEX(LMH_PTS,MATCH(K218,LMH_KEY,0)),0),IFERROR(INDEX(LMH_PTS,MATCH(L218,LMH_KEY,0)),0),IFERROR(INDEX(LMH_PTS,MATCH(M218,LMH_KEY,0)),0),IFERROR(INDEX(LMH_PTS,MATCH(N218,LMH_KEY,0)),0),IFERROR(INDEX(LMH_PTS,MATCH(O218,LMH_KEY,0)),0),IFERROR(INDEX(LMH_PTS,MATCH(P218,LMH_KEY,0)),0)),""))</f>
        <v>0.176470588235294</v>
      </c>
      <c r="S218" s="74">
        <f>IF(L218="","",IFERROR(INDEX(LMH_PTS,MATCH(L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T218" s="74">
        <f>IF(M218="","",IFERROR(INDEX(LMH_PTS,MATCH(M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U218" s="74">
        <f>IF(N218="","",IFERROR(INDEX(LMH_PTS,MATCH(N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V218" s="74">
        <f>IF(O218="","",IFERROR(INDEX(LMH_PTS,MATCH(O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W218" s="74">
        <f>IF(P218="","",IFERROR(INDEX(LMH_PTS,MATCH(P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X218" s="44" t="n"/>
      <c r="Y218" s="38" t="inlineStr">
        <is>
          <t>iFile|Technology|Trainee Software Engineer|A1|A</t>
        </is>
      </c>
    </row>
    <row r="219" ht="90.5" customHeight="1">
      <c r="A219" s="28" t="inlineStr">
        <is>
          <t>iFile</t>
        </is>
      </c>
      <c r="B219" s="29" t="inlineStr">
        <is>
          <t>Technology</t>
        </is>
      </c>
      <c r="C219" s="76" t="inlineStr">
        <is>
          <t>X1</t>
        </is>
      </c>
      <c r="D219" s="29" t="inlineStr">
        <is>
          <t>Band X · Consultant</t>
        </is>
      </c>
      <c r="E219" s="29" t="inlineStr">
        <is>
          <t>Associate Consultant – Software Development</t>
        </is>
      </c>
      <c r="F219" s="29" t="inlineStr">
        <is>
          <t>Consultant</t>
        </is>
      </c>
      <c r="G219" s="29" t="inlineStr">
        <is>
          <t>Engineering &amp; Development</t>
        </is>
      </c>
      <c r="H219" s="29" t="n">
        <v>13</v>
      </c>
      <c r="I219" s="29" t="inlineStr">
        <is>
          <t>Aloke Chatterjee, Bhumika Viroja, Dhruv Patel, Dinesh Choudhary, Falguni, Hardikraja, Jay Kalariya, Nilimesh Baruah, Peshal Jha, Poonam Rajput, Shifa Salheen, Snnehasis Debyans, Vivek Kumar Singh</t>
        </is>
      </c>
      <c r="J219" s="34" t="n"/>
      <c r="K219" s="35" t="n"/>
      <c r="L219" s="35" t="n"/>
      <c r="M219" s="35" t="n"/>
      <c r="N219" s="35" t="n"/>
      <c r="O219" s="35" t="n"/>
      <c r="P219" s="35" t="n"/>
      <c r="Q219" s="73" t="str">
        <f>IF(J219="","",IFERROR(INDEX(LMH_PTS,MATCH(J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R219" s="74" t="str">
        <f>IF(K219="","",IFERROR(INDEX(LMH_PTS,MATCH(K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S219" s="74" t="str">
        <f>IF(L219="","",IFERROR(INDEX(LMH_PTS,MATCH(L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T219" s="74" t="str">
        <f>IF(M219="","",IFERROR(INDEX(LMH_PTS,MATCH(M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U219" s="74" t="str">
        <f>IF(N219="","",IFERROR(INDEX(LMH_PTS,MATCH(N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V219" s="74" t="str">
        <f>IF(O219="","",IFERROR(INDEX(LMH_PTS,MATCH(O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W219" s="74" t="str">
        <f>IF(P219="","",IFERROR(INDEX(LMH_PTS,MATCH(P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X219" s="44" t="n"/>
      <c r="Y219" s="38" t="inlineStr">
        <is>
          <t>iFile|Technology|Associate Consultant – Software Development|X1|X</t>
        </is>
      </c>
    </row>
    <row r="220" ht="18" customHeight="1">
      <c r="A220" s="28" t="inlineStr">
        <is>
          <t>iFile</t>
        </is>
      </c>
      <c r="B220" s="71" t="inlineStr">
        <is>
          <t>XBRL Consulting</t>
        </is>
      </c>
      <c r="C220" s="78" t="inlineStr">
        <is>
          <t>C2</t>
        </is>
      </c>
      <c r="D220" s="29" t="inlineStr">
        <is>
          <t>Band C · Principal / Head</t>
        </is>
      </c>
      <c r="E220" s="29" t="inlineStr">
        <is>
          <t>Head – Consulting</t>
        </is>
      </c>
      <c r="F220" s="29" t="inlineStr">
        <is>
          <t>Band C · Head / manager</t>
        </is>
      </c>
      <c r="G220" s="29" t="inlineStr">
        <is>
          <t>Executive Leadership</t>
        </is>
      </c>
      <c r="H220" s="29" t="n">
        <v>1</v>
      </c>
      <c r="I220" s="29" t="inlineStr">
        <is>
          <t>Rahul Dhamne</t>
        </is>
      </c>
      <c r="J220" s="34" t="str">
        <f>IFERROR(INDEX(RBD_C,MATCH("Executive Leadership|C2|C-M",RBD_KEY,0)),"M")</f>
        <v>H</v>
      </c>
      <c r="K220" s="35" t="str">
        <f>IFERROR(INDEX(RBD_Au,MATCH("Executive Leadership|C2|C-M",RBD_KEY,0)),"M")</f>
        <v>M</v>
      </c>
      <c r="L220" s="35" t="str">
        <f>IFERROR(INDEX(RBD_Ac,MATCH("Executive Leadership|C2|C-M",RBD_KEY,0)),"M")</f>
        <v>M</v>
      </c>
      <c r="M220" s="35" t="str">
        <f>IFERROR(INDEX(RBD_L,MATCH("Executive Leadership|C2|C-M",RBD_KEY,0)),"M")</f>
        <v>M</v>
      </c>
      <c r="N220" s="35" t="str">
        <f>IFERROR(INDEX(RBD_BI,MATCH("Executive Leadership|C2|C-M",RBD_KEY,0)),"M")</f>
        <v>L</v>
      </c>
      <c r="O220" s="35" t="str">
        <f>IFERROR(INDEX(RBD_Exp,MATCH("Executive Leadership|C2|C-M",RBD_KEY,0)),"M")</f>
        <v>L</v>
      </c>
      <c r="P220" s="35" t="str">
        <f>IFERROR(INDEX(RBD_Edu,MATCH("Executive Leadership|C2|C-M",RBD_KEY,0)),"M")</f>
        <v>L</v>
      </c>
      <c r="Q220" s="73">
        <f>IF(J220="","",IFERROR(INDEX(LMH_PTS,MATCH(J220,LMH_KEY,0))/SUM(IFERROR(INDEX(LMH_PTS,MATCH(J220,LMH_KEY,0)),0),IFERROR(INDEX(LMH_PTS,MATCH(K220,LMH_KEY,0)),0),IFERROR(INDEX(LMH_PTS,MATCH(L220,LMH_KEY,0)),0),IFERROR(INDEX(LMH_PTS,MATCH(M220,LMH_KEY,0)),0),IFERROR(INDEX(LMH_PTS,MATCH(N220,LMH_KEY,0)),0),IFERROR(INDEX(LMH_PTS,MATCH(O220,LMH_KEY,0)),0),IFERROR(INDEX(LMH_PTS,MATCH(P220,LMH_KEY,0)),0)),""))</f>
        <v>0.428571428571429</v>
      </c>
      <c r="R220" s="74">
        <f>IF(K220="","",IFERROR(INDEX(LMH_PTS,MATCH(K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S220" s="74">
        <f>IF(L220="","",IFERROR(INDEX(LMH_PTS,MATCH(L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T220" s="74">
        <f>IF(M220="","",IFERROR(INDEX(LMH_PTS,MATCH(M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U220" s="74">
        <f>IF(N220="","",IFERROR(INDEX(LMH_PTS,MATCH(N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V220" s="74">
        <f>IF(O220="","",IFERROR(INDEX(LMH_PTS,MATCH(O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W220" s="74">
        <f>IF(P220="","",IFERROR(INDEX(LMH_PTS,MATCH(P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X220" s="44" t="n"/>
      <c r="Y220" s="38" t="inlineStr">
        <is>
          <t>iFile|XBRL Consulting|Head – Consulting|C2|C-M</t>
        </is>
      </c>
    </row>
    <row r="221" ht="28" customHeight="1">
      <c r="A221" s="28" t="inlineStr">
        <is>
          <t>iFile</t>
        </is>
      </c>
      <c r="B221" s="29" t="inlineStr">
        <is>
          <t>XBRL Consulting</t>
        </is>
      </c>
      <c r="C221" s="72" t="inlineStr">
        <is>
          <t>B2</t>
        </is>
      </c>
      <c r="D221" s="29" t="inlineStr">
        <is>
          <t>Band B · Specialist / Manager</t>
        </is>
      </c>
      <c r="E221" s="29" t="inlineStr">
        <is>
          <t>Manager – Taxonomy Consulting</t>
        </is>
      </c>
      <c r="F221" s="29" t="inlineStr">
        <is>
          <t>Band B · People Manager</t>
        </is>
      </c>
      <c r="G221" s="29" t="inlineStr">
        <is>
          <t>Consulting &amp; Professional Services</t>
        </is>
      </c>
      <c r="H221" s="29" t="n">
        <v>1</v>
      </c>
      <c r="I221" s="29" t="inlineStr">
        <is>
          <t>Sujeet Rathod</t>
        </is>
      </c>
      <c r="J221" s="34" t="str">
        <f>IFERROR(INDEX(RBD_C,MATCH("Consulting &amp; Professional Services|B2|B-M",RBD_KEY,0)),"M")</f>
        <v>H</v>
      </c>
      <c r="K221" s="35" t="str">
        <f>IFERROR(INDEX(RBD_Au,MATCH("Consulting &amp; Professional Services|B2|B-M",RBD_KEY,0)),"M")</f>
        <v>M</v>
      </c>
      <c r="L221" s="35" t="str">
        <f>IFERROR(INDEX(RBD_Ac,MATCH("Consulting &amp; Professional Services|B2|B-M",RBD_KEY,0)),"M")</f>
        <v>M</v>
      </c>
      <c r="M221" s="35" t="str">
        <f>IFERROR(INDEX(RBD_L,MATCH("Consulting &amp; Professional Services|B2|B-M",RBD_KEY,0)),"M")</f>
        <v>M</v>
      </c>
      <c r="N221" s="35" t="str">
        <f>IFERROR(INDEX(RBD_BI,MATCH("Consulting &amp; Professional Services|B2|B-M",RBD_KEY,0)),"M")</f>
        <v>L</v>
      </c>
      <c r="O221" s="35" t="str">
        <f>IFERROR(INDEX(RBD_Exp,MATCH("Consulting &amp; Professional Services|B2|B-M",RBD_KEY,0)),"M")</f>
        <v>L</v>
      </c>
      <c r="P221" s="35" t="str">
        <f>IFERROR(INDEX(RBD_Edu,MATCH("Consulting &amp; Professional Services|B2|B-M",RBD_KEY,0)),"M")</f>
        <v>L</v>
      </c>
      <c r="Q221" s="73">
        <f>IF(J221="","",IFERROR(INDEX(LMH_PTS,MATCH(J221,LMH_KEY,0))/SUM(IFERROR(INDEX(LMH_PTS,MATCH(J221,LMH_KEY,0)),0),IFERROR(INDEX(LMH_PTS,MATCH(K221,LMH_KEY,0)),0),IFERROR(INDEX(LMH_PTS,MATCH(L221,LMH_KEY,0)),0),IFERROR(INDEX(LMH_PTS,MATCH(M221,LMH_KEY,0)),0),IFERROR(INDEX(LMH_PTS,MATCH(N221,LMH_KEY,0)),0),IFERROR(INDEX(LMH_PTS,MATCH(O221,LMH_KEY,0)),0),IFERROR(INDEX(LMH_PTS,MATCH(P221,LMH_KEY,0)),0)),""))</f>
        <v>0.428571428571429</v>
      </c>
      <c r="R221" s="74">
        <f>IF(K221="","",IFERROR(INDEX(LMH_PTS,MATCH(K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S221" s="74">
        <f>IF(L221="","",IFERROR(INDEX(LMH_PTS,MATCH(L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T221" s="74">
        <f>IF(M221="","",IFERROR(INDEX(LMH_PTS,MATCH(M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U221" s="74">
        <f>IF(N221="","",IFERROR(INDEX(LMH_PTS,MATCH(N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V221" s="74">
        <f>IF(O221="","",IFERROR(INDEX(LMH_PTS,MATCH(O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W221" s="74">
        <f>IF(P221="","",IFERROR(INDEX(LMH_PTS,MATCH(P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X221" s="44" t="n"/>
      <c r="Y221" s="38" t="inlineStr">
        <is>
          <t>iFile|XBRL Consulting|Manager – Taxonomy Consulting|B2|B-M</t>
        </is>
      </c>
    </row>
    <row r="222" ht="28" customHeight="1">
      <c r="A222" s="28" t="inlineStr">
        <is>
          <t>iFile</t>
        </is>
      </c>
      <c r="B222" s="29" t="inlineStr">
        <is>
          <t>XBRL Consulting</t>
        </is>
      </c>
      <c r="C222" s="72" t="inlineStr">
        <is>
          <t>B2</t>
        </is>
      </c>
      <c r="D222" s="29" t="inlineStr">
        <is>
          <t>Band B · Specialist / Manager</t>
        </is>
      </c>
      <c r="E222" s="29" t="inlineStr">
        <is>
          <t>Senior Manager – Taxonomy Consulting</t>
        </is>
      </c>
      <c r="F222" s="29" t="inlineStr">
        <is>
          <t>Band B · People Manager</t>
        </is>
      </c>
      <c r="G222" s="29" t="inlineStr">
        <is>
          <t>Consulting &amp; Professional Services</t>
        </is>
      </c>
      <c r="H222" s="29" t="n">
        <v>1</v>
      </c>
      <c r="I222" s="29" t="inlineStr">
        <is>
          <t>Shraddha Bagul</t>
        </is>
      </c>
      <c r="J222" s="34" t="str">
        <f>IFERROR(INDEX(RBD_C,MATCH("Consulting &amp; Professional Services|B2|B-M",RBD_KEY,0)),"M")</f>
        <v>H</v>
      </c>
      <c r="K222" s="35" t="str">
        <f>IFERROR(INDEX(RBD_Au,MATCH("Consulting &amp; Professional Services|B2|B-M",RBD_KEY,0)),"M")</f>
        <v>M</v>
      </c>
      <c r="L222" s="35" t="str">
        <f>IFERROR(INDEX(RBD_Ac,MATCH("Consulting &amp; Professional Services|B2|B-M",RBD_KEY,0)),"M")</f>
        <v>M</v>
      </c>
      <c r="M222" s="35" t="str">
        <f>IFERROR(INDEX(RBD_L,MATCH("Consulting &amp; Professional Services|B2|B-M",RBD_KEY,0)),"M")</f>
        <v>M</v>
      </c>
      <c r="N222" s="35" t="str">
        <f>IFERROR(INDEX(RBD_BI,MATCH("Consulting &amp; Professional Services|B2|B-M",RBD_KEY,0)),"M")</f>
        <v>L</v>
      </c>
      <c r="O222" s="35" t="str">
        <f>IFERROR(INDEX(RBD_Exp,MATCH("Consulting &amp; Professional Services|B2|B-M",RBD_KEY,0)),"M")</f>
        <v>L</v>
      </c>
      <c r="P222" s="35" t="str">
        <f>IFERROR(INDEX(RBD_Edu,MATCH("Consulting &amp; Professional Services|B2|B-M",RBD_KEY,0)),"M")</f>
        <v>L</v>
      </c>
      <c r="Q222" s="73">
        <f>IF(J222="","",IFERROR(INDEX(LMH_PTS,MATCH(J222,LMH_KEY,0))/SUM(IFERROR(INDEX(LMH_PTS,MATCH(J222,LMH_KEY,0)),0),IFERROR(INDEX(LMH_PTS,MATCH(K222,LMH_KEY,0)),0),IFERROR(INDEX(LMH_PTS,MATCH(L222,LMH_KEY,0)),0),IFERROR(INDEX(LMH_PTS,MATCH(M222,LMH_KEY,0)),0),IFERROR(INDEX(LMH_PTS,MATCH(N222,LMH_KEY,0)),0),IFERROR(INDEX(LMH_PTS,MATCH(O222,LMH_KEY,0)),0),IFERROR(INDEX(LMH_PTS,MATCH(P222,LMH_KEY,0)),0)),""))</f>
        <v>0.428571428571429</v>
      </c>
      <c r="R222" s="74">
        <f>IF(K222="","",IFERROR(INDEX(LMH_PTS,MATCH(K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S222" s="74">
        <f>IF(L222="","",IFERROR(INDEX(LMH_PTS,MATCH(L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T222" s="74">
        <f>IF(M222="","",IFERROR(INDEX(LMH_PTS,MATCH(M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U222" s="74">
        <f>IF(N222="","",IFERROR(INDEX(LMH_PTS,MATCH(N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V222" s="74">
        <f>IF(O222="","",IFERROR(INDEX(LMH_PTS,MATCH(O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W222" s="74">
        <f>IF(P222="","",IFERROR(INDEX(LMH_PTS,MATCH(P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X222" s="44" t="n"/>
      <c r="Y222" s="38" t="inlineStr">
        <is>
          <t>iFile|XBRL Consulting|Senior Manager – Taxonomy Consulting|B2|B-M</t>
        </is>
      </c>
    </row>
    <row r="223" ht="28" customHeight="1">
      <c r="A223" s="28" t="inlineStr">
        <is>
          <t>iFile</t>
        </is>
      </c>
      <c r="B223" s="29" t="inlineStr">
        <is>
          <t>XBRL Consulting</t>
        </is>
      </c>
      <c r="C223" s="72" t="inlineStr">
        <is>
          <t>B2</t>
        </is>
      </c>
      <c r="D223" s="29" t="inlineStr">
        <is>
          <t>Band B · Specialist / Manager</t>
        </is>
      </c>
      <c r="E223" s="29" t="inlineStr">
        <is>
          <t>Senior Taxonomy Specialist</t>
        </is>
      </c>
      <c r="F223" s="29" t="inlineStr">
        <is>
          <t>Band B · Specialist / POD Lead</t>
        </is>
      </c>
      <c r="G223" s="29" t="inlineStr">
        <is>
          <t>Consulting &amp; Professional Services</t>
        </is>
      </c>
      <c r="H223" s="29" t="n">
        <v>3</v>
      </c>
      <c r="I223" s="29" t="inlineStr">
        <is>
          <t>Akshay Jain, Kulanand Rupani, Vishram Modak</t>
        </is>
      </c>
      <c r="J223" s="34" t="str">
        <f>IFERROR(INDEX(RBD_C,MATCH("Consulting &amp; Professional Services|B2|B-IC",RBD_KEY,0)),"M")</f>
        <v>H</v>
      </c>
      <c r="K223" s="35" t="str">
        <f>IFERROR(INDEX(RBD_Au,MATCH("Consulting &amp; Professional Services|B2|B-IC",RBD_KEY,0)),"M")</f>
        <v>M</v>
      </c>
      <c r="L223" s="35" t="str">
        <f>IFERROR(INDEX(RBD_Ac,MATCH("Consulting &amp; Professional Services|B2|B-IC",RBD_KEY,0)),"M")</f>
        <v>M</v>
      </c>
      <c r="M223" s="35" t="str">
        <f>IFERROR(INDEX(RBD_L,MATCH("Consulting &amp; Professional Services|B2|B-IC",RBD_KEY,0)),"M")</f>
        <v>L</v>
      </c>
      <c r="N223" s="35" t="str">
        <f>IFERROR(INDEX(RBD_BI,MATCH("Consulting &amp; Professional Services|B2|B-IC",RBD_KEY,0)),"M")</f>
        <v>L</v>
      </c>
      <c r="O223" s="35" t="str">
        <f>IFERROR(INDEX(RBD_Exp,MATCH("Consulting &amp; Professional Services|B2|B-IC",RBD_KEY,0)),"M")</f>
        <v>L</v>
      </c>
      <c r="P223" s="35" t="str">
        <f>IFERROR(INDEX(RBD_Edu,MATCH("Consulting &amp; Professional Services|B2|B-IC",RBD_KEY,0)),"M")</f>
        <v>L</v>
      </c>
      <c r="Q223" s="73">
        <f>IF(J223="","",IFERROR(INDEX(LMH_PTS,MATCH(J223,LMH_KEY,0))/SUM(IFERROR(INDEX(LMH_PTS,MATCH(J223,LMH_KEY,0)),0),IFERROR(INDEX(LMH_PTS,MATCH(K223,LMH_KEY,0)),0),IFERROR(INDEX(LMH_PTS,MATCH(L223,LMH_KEY,0)),0),IFERROR(INDEX(LMH_PTS,MATCH(M223,LMH_KEY,0)),0),IFERROR(INDEX(LMH_PTS,MATCH(N223,LMH_KEY,0)),0),IFERROR(INDEX(LMH_PTS,MATCH(O223,LMH_KEY,0)),0),IFERROR(INDEX(LMH_PTS,MATCH(P223,LMH_KEY,0)),0)),""))</f>
        <v>0.473684210526316</v>
      </c>
      <c r="R223" s="74">
        <f>IF(K223="","",IFERROR(INDEX(LMH_PTS,MATCH(K223,LMH_KEY,0))/SUM(IFERROR(INDEX(LMH_PTS,MATCH(J223,LMH_KEY,0)),0),IFERROR(INDEX(LMH_PTS,MATCH(K223,LMH_KEY,0)),0),IFERROR(INDEX(LMH_PTS,MATCH(L223,LMH_KEY,0)),0),IFERROR(INDEX(LMH_PTS,MATCH(M223,LMH_KEY,0)),0),IFERROR(INDEX(LMH_PTS,MATCH(N223,LMH_KEY,0)),0),IFERROR(INDEX(LMH_PTS,MATCH(O223,LMH_KEY,0)),0),IFERROR(INDEX(LMH_PTS,MATCH(P223,LMH_KEY,0)),0)),""))</f>
        <v>0.157894736842105</v>
      </c>
      <c r="S223" s="74">
        <f>IF(L223="","",IFERROR(INDEX(LMH_PTS,MATCH(L223,LMH_KEY,0))/SUM(IFERROR(INDEX(LMH_PTS,MATCH(J223,LMH_KEY,0)),0),IFERROR(INDEX(LMH_PTS,MATCH(K223,LMH_KEY,0)),0),IFERROR(INDEX(LMH_PTS,MATCH(L223,LMH_KEY,0)),0),IFERROR(INDEX(LMH_PTS,MATCH(M223,LMH_KEY,0)),0),IFERROR(INDEX(LMH_PTS,MATCH(N223,LMH_KEY,0)),0),IFERROR(INDEX(LMH_PTS,MATCH(O223,LMH_KEY,0)),0),IFERROR(INDEX(LMH_PTS,MATCH(P223,LMH_KEY,0)),0)),""))</f>
        <v>0.157894736842105</v>
      </c>
      <c r="T223" s="74">
        <f>IF(M223="","",IFERROR(INDEX(LMH_PTS,MATCH(M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U223" s="74">
        <f>IF(N223="","",IFERROR(INDEX(LMH_PTS,MATCH(N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V223" s="74">
        <f>IF(O223="","",IFERROR(INDEX(LMH_PTS,MATCH(O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W223" s="74">
        <f>IF(P223="","",IFERROR(INDEX(LMH_PTS,MATCH(P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X223" s="44" t="n"/>
      <c r="Y223" s="38" t="inlineStr">
        <is>
          <t>iFile|XBRL Consulting|Senior Taxonomy Specialist|B2|B-IC</t>
        </is>
      </c>
    </row>
    <row r="224" ht="18" customHeight="1">
      <c r="A224" s="28" t="inlineStr">
        <is>
          <t>iFile</t>
        </is>
      </c>
      <c r="B224" s="29" t="inlineStr">
        <is>
          <t>XBRL Consulting</t>
        </is>
      </c>
      <c r="C224" s="72" t="inlineStr">
        <is>
          <t>B1</t>
        </is>
      </c>
      <c r="D224" s="29" t="inlineStr">
        <is>
          <t>Band B · Specialist / Manager</t>
        </is>
      </c>
      <c r="E224" s="29" t="inlineStr">
        <is>
          <t>Senior Taxonomy Specialist</t>
        </is>
      </c>
      <c r="F224" s="29" t="inlineStr">
        <is>
          <t>Band B · Specialist / POD Lead</t>
        </is>
      </c>
      <c r="G224" s="29" t="inlineStr">
        <is>
          <t>Consulting &amp; Professional Services</t>
        </is>
      </c>
      <c r="H224" s="29" t="n">
        <v>1</v>
      </c>
      <c r="I224" s="29" t="inlineStr">
        <is>
          <t>Anirudh Singh Bartwal</t>
        </is>
      </c>
      <c r="J224" s="34" t="str">
        <f>IFERROR(INDEX(RBD_C,MATCH("Consulting &amp; Professional Services|B1|B-IC",RBD_KEY,0)),"M")</f>
        <v>H</v>
      </c>
      <c r="K224" s="35" t="str">
        <f>IFERROR(INDEX(RBD_Au,MATCH("Consulting &amp; Professional Services|B1|B-IC",RBD_KEY,0)),"M")</f>
        <v>M</v>
      </c>
      <c r="L224" s="35" t="str">
        <f>IFERROR(INDEX(RBD_Ac,MATCH("Consulting &amp; Professional Services|B1|B-IC",RBD_KEY,0)),"M")</f>
        <v>M</v>
      </c>
      <c r="M224" s="35" t="str">
        <f>IFERROR(INDEX(RBD_L,MATCH("Consulting &amp; Professional Services|B1|B-IC",RBD_KEY,0)),"M")</f>
        <v>L</v>
      </c>
      <c r="N224" s="35" t="str">
        <f>IFERROR(INDEX(RBD_BI,MATCH("Consulting &amp; Professional Services|B1|B-IC",RBD_KEY,0)),"M")</f>
        <v>L</v>
      </c>
      <c r="O224" s="35" t="str">
        <f>IFERROR(INDEX(RBD_Exp,MATCH("Consulting &amp; Professional Services|B1|B-IC",RBD_KEY,0)),"M")</f>
        <v>L</v>
      </c>
      <c r="P224" s="35" t="str">
        <f>IFERROR(INDEX(RBD_Edu,MATCH("Consulting &amp; Professional Services|B1|B-IC",RBD_KEY,0)),"M")</f>
        <v>L</v>
      </c>
      <c r="Q224" s="73">
        <f>IF(J224="","",IFERROR(INDEX(LMH_PTS,MATCH(J224,LMH_KEY,0))/SUM(IFERROR(INDEX(LMH_PTS,MATCH(J224,LMH_KEY,0)),0),IFERROR(INDEX(LMH_PTS,MATCH(K224,LMH_KEY,0)),0),IFERROR(INDEX(LMH_PTS,MATCH(L224,LMH_KEY,0)),0),IFERROR(INDEX(LMH_PTS,MATCH(M224,LMH_KEY,0)),0),IFERROR(INDEX(LMH_PTS,MATCH(N224,LMH_KEY,0)),0),IFERROR(INDEX(LMH_PTS,MATCH(O224,LMH_KEY,0)),0),IFERROR(INDEX(LMH_PTS,MATCH(P224,LMH_KEY,0)),0)),""))</f>
        <v>0.473684210526316</v>
      </c>
      <c r="R224" s="74">
        <f>IF(K224="","",IFERROR(INDEX(LMH_PTS,MATCH(K224,LMH_KEY,0))/SUM(IFERROR(INDEX(LMH_PTS,MATCH(J224,LMH_KEY,0)),0),IFERROR(INDEX(LMH_PTS,MATCH(K224,LMH_KEY,0)),0),IFERROR(INDEX(LMH_PTS,MATCH(L224,LMH_KEY,0)),0),IFERROR(INDEX(LMH_PTS,MATCH(M224,LMH_KEY,0)),0),IFERROR(INDEX(LMH_PTS,MATCH(N224,LMH_KEY,0)),0),IFERROR(INDEX(LMH_PTS,MATCH(O224,LMH_KEY,0)),0),IFERROR(INDEX(LMH_PTS,MATCH(P224,LMH_KEY,0)),0)),""))</f>
        <v>0.157894736842105</v>
      </c>
      <c r="S224" s="74">
        <f>IF(L224="","",IFERROR(INDEX(LMH_PTS,MATCH(L224,LMH_KEY,0))/SUM(IFERROR(INDEX(LMH_PTS,MATCH(J224,LMH_KEY,0)),0),IFERROR(INDEX(LMH_PTS,MATCH(K224,LMH_KEY,0)),0),IFERROR(INDEX(LMH_PTS,MATCH(L224,LMH_KEY,0)),0),IFERROR(INDEX(LMH_PTS,MATCH(M224,LMH_KEY,0)),0),IFERROR(INDEX(LMH_PTS,MATCH(N224,LMH_KEY,0)),0),IFERROR(INDEX(LMH_PTS,MATCH(O224,LMH_KEY,0)),0),IFERROR(INDEX(LMH_PTS,MATCH(P224,LMH_KEY,0)),0)),""))</f>
        <v>0.157894736842105</v>
      </c>
      <c r="T224" s="74">
        <f>IF(M224="","",IFERROR(INDEX(LMH_PTS,MATCH(M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U224" s="74">
        <f>IF(N224="","",IFERROR(INDEX(LMH_PTS,MATCH(N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V224" s="74">
        <f>IF(O224="","",IFERROR(INDEX(LMH_PTS,MATCH(O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W224" s="74">
        <f>IF(P224="","",IFERROR(INDEX(LMH_PTS,MATCH(P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X224" s="44" t="n"/>
      <c r="Y224" s="38" t="inlineStr">
        <is>
          <t>iFile|XBRL Consulting|Senior Taxonomy Specialist|B1|B-IC</t>
        </is>
      </c>
    </row>
    <row r="225" ht="28" customHeight="1">
      <c r="A225" s="28" t="inlineStr">
        <is>
          <t>iFile</t>
        </is>
      </c>
      <c r="B225" s="29" t="inlineStr">
        <is>
          <t>XBRL Consulting</t>
        </is>
      </c>
      <c r="C225" s="72" t="inlineStr">
        <is>
          <t>B1</t>
        </is>
      </c>
      <c r="D225" s="29" t="inlineStr">
        <is>
          <t>Band B · Specialist / Manager</t>
        </is>
      </c>
      <c r="E225" s="29" t="inlineStr">
        <is>
          <t>Taxonomy Specialist</t>
        </is>
      </c>
      <c r="F225" s="29" t="inlineStr">
        <is>
          <t>Band B · Specialist / POD Lead</t>
        </is>
      </c>
      <c r="G225" s="29" t="inlineStr">
        <is>
          <t>Consulting &amp; Professional Services</t>
        </is>
      </c>
      <c r="H225" s="29" t="n">
        <v>2</v>
      </c>
      <c r="I225" s="29" t="inlineStr">
        <is>
          <t>Prashant Ramakant Wagh, Shrinidhi Shetty</t>
        </is>
      </c>
      <c r="J225" s="34" t="str">
        <f>IFERROR(INDEX(RBD_C,MATCH("Consulting &amp; Professional Services|B1|B-IC",RBD_KEY,0)),"M")</f>
        <v>H</v>
      </c>
      <c r="K225" s="35" t="str">
        <f>IFERROR(INDEX(RBD_Au,MATCH("Consulting &amp; Professional Services|B1|B-IC",RBD_KEY,0)),"M")</f>
        <v>M</v>
      </c>
      <c r="L225" s="35" t="str">
        <f>IFERROR(INDEX(RBD_Ac,MATCH("Consulting &amp; Professional Services|B1|B-IC",RBD_KEY,0)),"M")</f>
        <v>M</v>
      </c>
      <c r="M225" s="35" t="str">
        <f>IFERROR(INDEX(RBD_L,MATCH("Consulting &amp; Professional Services|B1|B-IC",RBD_KEY,0)),"M")</f>
        <v>L</v>
      </c>
      <c r="N225" s="35" t="str">
        <f>IFERROR(INDEX(RBD_BI,MATCH("Consulting &amp; Professional Services|B1|B-IC",RBD_KEY,0)),"M")</f>
        <v>L</v>
      </c>
      <c r="O225" s="35" t="str">
        <f>IFERROR(INDEX(RBD_Exp,MATCH("Consulting &amp; Professional Services|B1|B-IC",RBD_KEY,0)),"M")</f>
        <v>L</v>
      </c>
      <c r="P225" s="35" t="str">
        <f>IFERROR(INDEX(RBD_Edu,MATCH("Consulting &amp; Professional Services|B1|B-IC",RBD_KEY,0)),"M")</f>
        <v>L</v>
      </c>
      <c r="Q225" s="73">
        <f>IF(J225="","",IFERROR(INDEX(LMH_PTS,MATCH(J225,LMH_KEY,0))/SUM(IFERROR(INDEX(LMH_PTS,MATCH(J225,LMH_KEY,0)),0),IFERROR(INDEX(LMH_PTS,MATCH(K225,LMH_KEY,0)),0),IFERROR(INDEX(LMH_PTS,MATCH(L225,LMH_KEY,0)),0),IFERROR(INDEX(LMH_PTS,MATCH(M225,LMH_KEY,0)),0),IFERROR(INDEX(LMH_PTS,MATCH(N225,LMH_KEY,0)),0),IFERROR(INDEX(LMH_PTS,MATCH(O225,LMH_KEY,0)),0),IFERROR(INDEX(LMH_PTS,MATCH(P225,LMH_KEY,0)),0)),""))</f>
        <v>0.473684210526316</v>
      </c>
      <c r="R225" s="74">
        <f>IF(K225="","",IFERROR(INDEX(LMH_PTS,MATCH(K225,LMH_KEY,0))/SUM(IFERROR(INDEX(LMH_PTS,MATCH(J225,LMH_KEY,0)),0),IFERROR(INDEX(LMH_PTS,MATCH(K225,LMH_KEY,0)),0),IFERROR(INDEX(LMH_PTS,MATCH(L225,LMH_KEY,0)),0),IFERROR(INDEX(LMH_PTS,MATCH(M225,LMH_KEY,0)),0),IFERROR(INDEX(LMH_PTS,MATCH(N225,LMH_KEY,0)),0),IFERROR(INDEX(LMH_PTS,MATCH(O225,LMH_KEY,0)),0),IFERROR(INDEX(LMH_PTS,MATCH(P225,LMH_KEY,0)),0)),""))</f>
        <v>0.157894736842105</v>
      </c>
      <c r="S225" s="74">
        <f>IF(L225="","",IFERROR(INDEX(LMH_PTS,MATCH(L225,LMH_KEY,0))/SUM(IFERROR(INDEX(LMH_PTS,MATCH(J225,LMH_KEY,0)),0),IFERROR(INDEX(LMH_PTS,MATCH(K225,LMH_KEY,0)),0),IFERROR(INDEX(LMH_PTS,MATCH(L225,LMH_KEY,0)),0),IFERROR(INDEX(LMH_PTS,MATCH(M225,LMH_KEY,0)),0),IFERROR(INDEX(LMH_PTS,MATCH(N225,LMH_KEY,0)),0),IFERROR(INDEX(LMH_PTS,MATCH(O225,LMH_KEY,0)),0),IFERROR(INDEX(LMH_PTS,MATCH(P225,LMH_KEY,0)),0)),""))</f>
        <v>0.157894736842105</v>
      </c>
      <c r="T225" s="74">
        <f>IF(M225="","",IFERROR(INDEX(LMH_PTS,MATCH(M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U225" s="74">
        <f>IF(N225="","",IFERROR(INDEX(LMH_PTS,MATCH(N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V225" s="74">
        <f>IF(O225="","",IFERROR(INDEX(LMH_PTS,MATCH(O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W225" s="74">
        <f>IF(P225="","",IFERROR(INDEX(LMH_PTS,MATCH(P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X225" s="44" t="n"/>
      <c r="Y225" s="38" t="inlineStr">
        <is>
          <t>iFile|XBRL Consulting|Taxonomy Specialist|B1|B-IC</t>
        </is>
      </c>
    </row>
    <row r="226" ht="28" customHeight="1">
      <c r="A226" s="28" t="inlineStr">
        <is>
          <t>iFile</t>
        </is>
      </c>
      <c r="B226" s="29" t="inlineStr">
        <is>
          <t>XBRL Consulting</t>
        </is>
      </c>
      <c r="C226" s="75" t="inlineStr">
        <is>
          <t>A3</t>
        </is>
      </c>
      <c r="D226" s="29" t="inlineStr">
        <is>
          <t>Band A · Practitioner</t>
        </is>
      </c>
      <c r="E226" s="29" t="inlineStr">
        <is>
          <t>Senior Financial Analyst</t>
        </is>
      </c>
      <c r="F226" s="29" t="inlineStr">
        <is>
          <t>Band A · all tracks</t>
        </is>
      </c>
      <c r="G226" s="29" t="inlineStr">
        <is>
          <t>Consulting &amp; Professional Services</t>
        </is>
      </c>
      <c r="H226" s="29" t="n">
        <v>3</v>
      </c>
      <c r="I226" s="29" t="inlineStr">
        <is>
          <t>Mayuri Ashok Mhetar, Musaf Shaikh, Tuku Deb</t>
        </is>
      </c>
      <c r="J226" s="34" t="str">
        <f>IFERROR(INDEX(RBD_C,MATCH("Consulting &amp; Professional Services|A3|A",RBD_KEY,0)),"M")</f>
        <v>H</v>
      </c>
      <c r="K226" s="35" t="str">
        <f>IFERROR(INDEX(RBD_Au,MATCH("Consulting &amp; Professional Services|A3|A",RBD_KEY,0)),"M")</f>
        <v>M</v>
      </c>
      <c r="L226" s="35" t="str">
        <f>IFERROR(INDEX(RBD_Ac,MATCH("Consulting &amp; Professional Services|A3|A",RBD_KEY,0)),"M")</f>
        <v>M</v>
      </c>
      <c r="M226" s="35" t="str">
        <f>IFERROR(INDEX(RBD_L,MATCH("Consulting &amp; Professional Services|A3|A",RBD_KEY,0)),"M")</f>
        <v>L</v>
      </c>
      <c r="N226" s="35" t="str">
        <f>IFERROR(INDEX(RBD_BI,MATCH("Consulting &amp; Professional Services|A3|A",RBD_KEY,0)),"M")</f>
        <v>L</v>
      </c>
      <c r="O226" s="35" t="str">
        <f>IFERROR(INDEX(RBD_Exp,MATCH("Consulting &amp; Professional Services|A3|A",RBD_KEY,0)),"M")</f>
        <v>L</v>
      </c>
      <c r="P226" s="35" t="str">
        <f>IFERROR(INDEX(RBD_Edu,MATCH("Consulting &amp; Professional Services|A3|A",RBD_KEY,0)),"M")</f>
        <v>L</v>
      </c>
      <c r="Q226" s="73">
        <f>IF(J226="","",IFERROR(INDEX(LMH_PTS,MATCH(J226,LMH_KEY,0))/SUM(IFERROR(INDEX(LMH_PTS,MATCH(J226,LMH_KEY,0)),0),IFERROR(INDEX(LMH_PTS,MATCH(K226,LMH_KEY,0)),0),IFERROR(INDEX(LMH_PTS,MATCH(L226,LMH_KEY,0)),0),IFERROR(INDEX(LMH_PTS,MATCH(M226,LMH_KEY,0)),0),IFERROR(INDEX(LMH_PTS,MATCH(N226,LMH_KEY,0)),0),IFERROR(INDEX(LMH_PTS,MATCH(O226,LMH_KEY,0)),0),IFERROR(INDEX(LMH_PTS,MATCH(P226,LMH_KEY,0)),0)),""))</f>
        <v>0.473684210526316</v>
      </c>
      <c r="R226" s="74">
        <f>IF(K226="","",IFERROR(INDEX(LMH_PTS,MATCH(K226,LMH_KEY,0))/SUM(IFERROR(INDEX(LMH_PTS,MATCH(J226,LMH_KEY,0)),0),IFERROR(INDEX(LMH_PTS,MATCH(K226,LMH_KEY,0)),0),IFERROR(INDEX(LMH_PTS,MATCH(L226,LMH_KEY,0)),0),IFERROR(INDEX(LMH_PTS,MATCH(M226,LMH_KEY,0)),0),IFERROR(INDEX(LMH_PTS,MATCH(N226,LMH_KEY,0)),0),IFERROR(INDEX(LMH_PTS,MATCH(O226,LMH_KEY,0)),0),IFERROR(INDEX(LMH_PTS,MATCH(P226,LMH_KEY,0)),0)),""))</f>
        <v>0.157894736842105</v>
      </c>
      <c r="S226" s="74">
        <f>IF(L226="","",IFERROR(INDEX(LMH_PTS,MATCH(L226,LMH_KEY,0))/SUM(IFERROR(INDEX(LMH_PTS,MATCH(J226,LMH_KEY,0)),0),IFERROR(INDEX(LMH_PTS,MATCH(K226,LMH_KEY,0)),0),IFERROR(INDEX(LMH_PTS,MATCH(L226,LMH_KEY,0)),0),IFERROR(INDEX(LMH_PTS,MATCH(M226,LMH_KEY,0)),0),IFERROR(INDEX(LMH_PTS,MATCH(N226,LMH_KEY,0)),0),IFERROR(INDEX(LMH_PTS,MATCH(O226,LMH_KEY,0)),0),IFERROR(INDEX(LMH_PTS,MATCH(P226,LMH_KEY,0)),0)),""))</f>
        <v>0.157894736842105</v>
      </c>
      <c r="T226" s="74">
        <f>IF(M226="","",IFERROR(INDEX(LMH_PTS,MATCH(M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U226" s="74">
        <f>IF(N226="","",IFERROR(INDEX(LMH_PTS,MATCH(N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V226" s="74">
        <f>IF(O226="","",IFERROR(INDEX(LMH_PTS,MATCH(O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W226" s="74">
        <f>IF(P226="","",IFERROR(INDEX(LMH_PTS,MATCH(P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X226" s="44" t="n"/>
      <c r="Y226" s="38" t="inlineStr">
        <is>
          <t>iFile|XBRL Consulting|Senior Financial Analyst|A3|A</t>
        </is>
      </c>
    </row>
    <row r="227" ht="90.5" customHeight="1">
      <c r="A227" s="28" t="inlineStr">
        <is>
          <t>iFile</t>
        </is>
      </c>
      <c r="B227" s="29" t="inlineStr">
        <is>
          <t>XBRL Consulting</t>
        </is>
      </c>
      <c r="C227" s="75" t="inlineStr">
        <is>
          <t>A3</t>
        </is>
      </c>
      <c r="D227" s="29" t="inlineStr">
        <is>
          <t>Band A · Practitioner</t>
        </is>
      </c>
      <c r="E227" s="29" t="inlineStr">
        <is>
          <t>Senior Taxonomy Analyst</t>
        </is>
      </c>
      <c r="F227" s="29" t="inlineStr">
        <is>
          <t>Band A · all tracks</t>
        </is>
      </c>
      <c r="G227" s="29" t="inlineStr">
        <is>
          <t>Consulting &amp; Professional Services</t>
        </is>
      </c>
      <c r="H227" s="29" t="n">
        <v>12</v>
      </c>
      <c r="I227" s="29" t="inlineStr">
        <is>
          <t>Pawan Khot, Pranali Khanavkar, Unnati Kamble, Bhushan Patkar, Isheekka Gupta, Prasad Chavan, Shashank Poipkar, Bhagyashree Kamble, Bhakti Gosavi, Neha Periwal, Surekha Ghadigaonkar, Yogesh Patil</t>
        </is>
      </c>
      <c r="J227" s="34" t="str">
        <f>IFERROR(INDEX(RBD_C,MATCH("Consulting &amp; Professional Services|A3|A",RBD_KEY,0)),"M")</f>
        <v>H</v>
      </c>
      <c r="K227" s="35" t="str">
        <f>IFERROR(INDEX(RBD_Au,MATCH("Consulting &amp; Professional Services|A3|A",RBD_KEY,0)),"M")</f>
        <v>M</v>
      </c>
      <c r="L227" s="35" t="str">
        <f>IFERROR(INDEX(RBD_Ac,MATCH("Consulting &amp; Professional Services|A3|A",RBD_KEY,0)),"M")</f>
        <v>M</v>
      </c>
      <c r="M227" s="35" t="str">
        <f>IFERROR(INDEX(RBD_L,MATCH("Consulting &amp; Professional Services|A3|A",RBD_KEY,0)),"M")</f>
        <v>L</v>
      </c>
      <c r="N227" s="35" t="str">
        <f>IFERROR(INDEX(RBD_BI,MATCH("Consulting &amp; Professional Services|A3|A",RBD_KEY,0)),"M")</f>
        <v>L</v>
      </c>
      <c r="O227" s="35" t="str">
        <f>IFERROR(INDEX(RBD_Exp,MATCH("Consulting &amp; Professional Services|A3|A",RBD_KEY,0)),"M")</f>
        <v>L</v>
      </c>
      <c r="P227" s="35" t="str">
        <f>IFERROR(INDEX(RBD_Edu,MATCH("Consulting &amp; Professional Services|A3|A",RBD_KEY,0)),"M")</f>
        <v>L</v>
      </c>
      <c r="Q227" s="73">
        <f>IF(J227="","",IFERROR(INDEX(LMH_PTS,MATCH(J227,LMH_KEY,0))/SUM(IFERROR(INDEX(LMH_PTS,MATCH(J227,LMH_KEY,0)),0),IFERROR(INDEX(LMH_PTS,MATCH(K227,LMH_KEY,0)),0),IFERROR(INDEX(LMH_PTS,MATCH(L227,LMH_KEY,0)),0),IFERROR(INDEX(LMH_PTS,MATCH(M227,LMH_KEY,0)),0),IFERROR(INDEX(LMH_PTS,MATCH(N227,LMH_KEY,0)),0),IFERROR(INDEX(LMH_PTS,MATCH(O227,LMH_KEY,0)),0),IFERROR(INDEX(LMH_PTS,MATCH(P227,LMH_KEY,0)),0)),""))</f>
        <v>0.473684210526316</v>
      </c>
      <c r="R227" s="74">
        <f>IF(K227="","",IFERROR(INDEX(LMH_PTS,MATCH(K227,LMH_KEY,0))/SUM(IFERROR(INDEX(LMH_PTS,MATCH(J227,LMH_KEY,0)),0),IFERROR(INDEX(LMH_PTS,MATCH(K227,LMH_KEY,0)),0),IFERROR(INDEX(LMH_PTS,MATCH(L227,LMH_KEY,0)),0),IFERROR(INDEX(LMH_PTS,MATCH(M227,LMH_KEY,0)),0),IFERROR(INDEX(LMH_PTS,MATCH(N227,LMH_KEY,0)),0),IFERROR(INDEX(LMH_PTS,MATCH(O227,LMH_KEY,0)),0),IFERROR(INDEX(LMH_PTS,MATCH(P227,LMH_KEY,0)),0)),""))</f>
        <v>0.157894736842105</v>
      </c>
      <c r="S227" s="74">
        <f>IF(L227="","",IFERROR(INDEX(LMH_PTS,MATCH(L227,LMH_KEY,0))/SUM(IFERROR(INDEX(LMH_PTS,MATCH(J227,LMH_KEY,0)),0),IFERROR(INDEX(LMH_PTS,MATCH(K227,LMH_KEY,0)),0),IFERROR(INDEX(LMH_PTS,MATCH(L227,LMH_KEY,0)),0),IFERROR(INDEX(LMH_PTS,MATCH(M227,LMH_KEY,0)),0),IFERROR(INDEX(LMH_PTS,MATCH(N227,LMH_KEY,0)),0),IFERROR(INDEX(LMH_PTS,MATCH(O227,LMH_KEY,0)),0),IFERROR(INDEX(LMH_PTS,MATCH(P227,LMH_KEY,0)),0)),""))</f>
        <v>0.157894736842105</v>
      </c>
      <c r="T227" s="74">
        <f>IF(M227="","",IFERROR(INDEX(LMH_PTS,MATCH(M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U227" s="74">
        <f>IF(N227="","",IFERROR(INDEX(LMH_PTS,MATCH(N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V227" s="74">
        <f>IF(O227="","",IFERROR(INDEX(LMH_PTS,MATCH(O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W227" s="74">
        <f>IF(P227="","",IFERROR(INDEX(LMH_PTS,MATCH(P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X227" s="44" t="n"/>
      <c r="Y227" s="38" t="inlineStr">
        <is>
          <t>iFile|XBRL Consulting|Senior Taxonomy Analyst|A3|A</t>
        </is>
      </c>
    </row>
    <row r="228" ht="28" customHeight="1">
      <c r="A228" s="28" t="inlineStr">
        <is>
          <t>iFile</t>
        </is>
      </c>
      <c r="B228" s="29" t="inlineStr">
        <is>
          <t>XBRL Consulting</t>
        </is>
      </c>
      <c r="C228" s="75" t="inlineStr">
        <is>
          <t>A3</t>
        </is>
      </c>
      <c r="D228" s="29" t="inlineStr">
        <is>
          <t>Band A · Practitioner</t>
        </is>
      </c>
      <c r="E228" s="29" t="inlineStr">
        <is>
          <t>Taxonomy Specialist</t>
        </is>
      </c>
      <c r="F228" s="29" t="inlineStr">
        <is>
          <t>Band A · all tracks</t>
        </is>
      </c>
      <c r="G228" s="29" t="inlineStr">
        <is>
          <t>Consulting &amp; Professional Services</t>
        </is>
      </c>
      <c r="H228" s="29" t="n">
        <v>2</v>
      </c>
      <c r="I228" s="29" t="inlineStr">
        <is>
          <t>Vaishnavi Deshpande, Kalyani Sunil Nagap</t>
        </is>
      </c>
      <c r="J228" s="34" t="str">
        <f>IFERROR(INDEX(RBD_C,MATCH("Consulting &amp; Professional Services|A3|A",RBD_KEY,0)),"M")</f>
        <v>H</v>
      </c>
      <c r="K228" s="35" t="str">
        <f>IFERROR(INDEX(RBD_Au,MATCH("Consulting &amp; Professional Services|A3|A",RBD_KEY,0)),"M")</f>
        <v>M</v>
      </c>
      <c r="L228" s="35" t="str">
        <f>IFERROR(INDEX(RBD_Ac,MATCH("Consulting &amp; Professional Services|A3|A",RBD_KEY,0)),"M")</f>
        <v>M</v>
      </c>
      <c r="M228" s="35" t="str">
        <f>IFERROR(INDEX(RBD_L,MATCH("Consulting &amp; Professional Services|A3|A",RBD_KEY,0)),"M")</f>
        <v>L</v>
      </c>
      <c r="N228" s="35" t="str">
        <f>IFERROR(INDEX(RBD_BI,MATCH("Consulting &amp; Professional Services|A3|A",RBD_KEY,0)),"M")</f>
        <v>L</v>
      </c>
      <c r="O228" s="35" t="str">
        <f>IFERROR(INDEX(RBD_Exp,MATCH("Consulting &amp; Professional Services|A3|A",RBD_KEY,0)),"M")</f>
        <v>L</v>
      </c>
      <c r="P228" s="35" t="str">
        <f>IFERROR(INDEX(RBD_Edu,MATCH("Consulting &amp; Professional Services|A3|A",RBD_KEY,0)),"M")</f>
        <v>L</v>
      </c>
      <c r="Q228" s="73">
        <f>IF(J228="","",IFERROR(INDEX(LMH_PTS,MATCH(J228,LMH_KEY,0))/SUM(IFERROR(INDEX(LMH_PTS,MATCH(J228,LMH_KEY,0)),0),IFERROR(INDEX(LMH_PTS,MATCH(K228,LMH_KEY,0)),0),IFERROR(INDEX(LMH_PTS,MATCH(L228,LMH_KEY,0)),0),IFERROR(INDEX(LMH_PTS,MATCH(M228,LMH_KEY,0)),0),IFERROR(INDEX(LMH_PTS,MATCH(N228,LMH_KEY,0)),0),IFERROR(INDEX(LMH_PTS,MATCH(O228,LMH_KEY,0)),0),IFERROR(INDEX(LMH_PTS,MATCH(P228,LMH_KEY,0)),0)),""))</f>
        <v>0.473684210526316</v>
      </c>
      <c r="R228" s="74">
        <f>IF(K228="","",IFERROR(INDEX(LMH_PTS,MATCH(K228,LMH_KEY,0))/SUM(IFERROR(INDEX(LMH_PTS,MATCH(J228,LMH_KEY,0)),0),IFERROR(INDEX(LMH_PTS,MATCH(K228,LMH_KEY,0)),0),IFERROR(INDEX(LMH_PTS,MATCH(L228,LMH_KEY,0)),0),IFERROR(INDEX(LMH_PTS,MATCH(M228,LMH_KEY,0)),0),IFERROR(INDEX(LMH_PTS,MATCH(N228,LMH_KEY,0)),0),IFERROR(INDEX(LMH_PTS,MATCH(O228,LMH_KEY,0)),0),IFERROR(INDEX(LMH_PTS,MATCH(P228,LMH_KEY,0)),0)),""))</f>
        <v>0.157894736842105</v>
      </c>
      <c r="S228" s="74">
        <f>IF(L228="","",IFERROR(INDEX(LMH_PTS,MATCH(L228,LMH_KEY,0))/SUM(IFERROR(INDEX(LMH_PTS,MATCH(J228,LMH_KEY,0)),0),IFERROR(INDEX(LMH_PTS,MATCH(K228,LMH_KEY,0)),0),IFERROR(INDEX(LMH_PTS,MATCH(L228,LMH_KEY,0)),0),IFERROR(INDEX(LMH_PTS,MATCH(M228,LMH_KEY,0)),0),IFERROR(INDEX(LMH_PTS,MATCH(N228,LMH_KEY,0)),0),IFERROR(INDEX(LMH_PTS,MATCH(O228,LMH_KEY,0)),0),IFERROR(INDEX(LMH_PTS,MATCH(P228,LMH_KEY,0)),0)),""))</f>
        <v>0.157894736842105</v>
      </c>
      <c r="T228" s="74">
        <f>IF(M228="","",IFERROR(INDEX(LMH_PTS,MATCH(M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U228" s="74">
        <f>IF(N228="","",IFERROR(INDEX(LMH_PTS,MATCH(N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V228" s="74">
        <f>IF(O228="","",IFERROR(INDEX(LMH_PTS,MATCH(O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W228" s="74">
        <f>IF(P228="","",IFERROR(INDEX(LMH_PTS,MATCH(P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X228" s="44" t="n"/>
      <c r="Y228" s="38" t="inlineStr">
        <is>
          <t>iFile|XBRL Consulting|Taxonomy Specialist|A3|A</t>
        </is>
      </c>
    </row>
    <row r="229" ht="40.5" customHeight="1">
      <c r="A229" s="28" t="inlineStr">
        <is>
          <t>iFile</t>
        </is>
      </c>
      <c r="B229" s="29" t="inlineStr">
        <is>
          <t>XBRL Consulting</t>
        </is>
      </c>
      <c r="C229" s="75" t="inlineStr">
        <is>
          <t>A2</t>
        </is>
      </c>
      <c r="D229" s="29" t="inlineStr">
        <is>
          <t>Band A · Practitioner</t>
        </is>
      </c>
      <c r="E229" s="29" t="inlineStr">
        <is>
          <t>Financial Analyst</t>
        </is>
      </c>
      <c r="F229" s="29" t="inlineStr">
        <is>
          <t>Band A · all tracks</t>
        </is>
      </c>
      <c r="G229" s="29" t="inlineStr">
        <is>
          <t>Consulting &amp; Professional Services</t>
        </is>
      </c>
      <c r="H229" s="29" t="n">
        <v>3</v>
      </c>
      <c r="I229" s="29" t="inlineStr">
        <is>
          <t>Bhanu Vardhan Nelly, Prajakta Athalye, Rinku Pukharam Choudhary</t>
        </is>
      </c>
      <c r="J229" s="34" t="str">
        <f>IFERROR(INDEX(RBD_C,MATCH("Consulting &amp; Professional Services|A2|A",RBD_KEY,0)),"M")</f>
        <v>H</v>
      </c>
      <c r="K229" s="35" t="str">
        <f>IFERROR(INDEX(RBD_Au,MATCH("Consulting &amp; Professional Services|A2|A",RBD_KEY,0)),"M")</f>
        <v>M</v>
      </c>
      <c r="L229" s="35" t="str">
        <f>IFERROR(INDEX(RBD_Ac,MATCH("Consulting &amp; Professional Services|A2|A",RBD_KEY,0)),"M")</f>
        <v>M</v>
      </c>
      <c r="M229" s="35" t="str">
        <f>IFERROR(INDEX(RBD_L,MATCH("Consulting &amp; Professional Services|A2|A",RBD_KEY,0)),"M")</f>
        <v>L</v>
      </c>
      <c r="N229" s="35" t="str">
        <f>IFERROR(INDEX(RBD_BI,MATCH("Consulting &amp; Professional Services|A2|A",RBD_KEY,0)),"M")</f>
        <v>L</v>
      </c>
      <c r="O229" s="35" t="str">
        <f>IFERROR(INDEX(RBD_Exp,MATCH("Consulting &amp; Professional Services|A2|A",RBD_KEY,0)),"M")</f>
        <v>L</v>
      </c>
      <c r="P229" s="35" t="str">
        <f>IFERROR(INDEX(RBD_Edu,MATCH("Consulting &amp; Professional Services|A2|A",RBD_KEY,0)),"M")</f>
        <v>L</v>
      </c>
      <c r="Q229" s="73">
        <f>IF(J229="","",IFERROR(INDEX(LMH_PTS,MATCH(J229,LMH_KEY,0))/SUM(IFERROR(INDEX(LMH_PTS,MATCH(J229,LMH_KEY,0)),0),IFERROR(INDEX(LMH_PTS,MATCH(K229,LMH_KEY,0)),0),IFERROR(INDEX(LMH_PTS,MATCH(L229,LMH_KEY,0)),0),IFERROR(INDEX(LMH_PTS,MATCH(M229,LMH_KEY,0)),0),IFERROR(INDEX(LMH_PTS,MATCH(N229,LMH_KEY,0)),0),IFERROR(INDEX(LMH_PTS,MATCH(O229,LMH_KEY,0)),0),IFERROR(INDEX(LMH_PTS,MATCH(P229,LMH_KEY,0)),0)),""))</f>
        <v>0.473684210526316</v>
      </c>
      <c r="R229" s="74">
        <f>IF(K229="","",IFERROR(INDEX(LMH_PTS,MATCH(K229,LMH_KEY,0))/SUM(IFERROR(INDEX(LMH_PTS,MATCH(J229,LMH_KEY,0)),0),IFERROR(INDEX(LMH_PTS,MATCH(K229,LMH_KEY,0)),0),IFERROR(INDEX(LMH_PTS,MATCH(L229,LMH_KEY,0)),0),IFERROR(INDEX(LMH_PTS,MATCH(M229,LMH_KEY,0)),0),IFERROR(INDEX(LMH_PTS,MATCH(N229,LMH_KEY,0)),0),IFERROR(INDEX(LMH_PTS,MATCH(O229,LMH_KEY,0)),0),IFERROR(INDEX(LMH_PTS,MATCH(P229,LMH_KEY,0)),0)),""))</f>
        <v>0.157894736842105</v>
      </c>
      <c r="S229" s="74">
        <f>IF(L229="","",IFERROR(INDEX(LMH_PTS,MATCH(L229,LMH_KEY,0))/SUM(IFERROR(INDEX(LMH_PTS,MATCH(J229,LMH_KEY,0)),0),IFERROR(INDEX(LMH_PTS,MATCH(K229,LMH_KEY,0)),0),IFERROR(INDEX(LMH_PTS,MATCH(L229,LMH_KEY,0)),0),IFERROR(INDEX(LMH_PTS,MATCH(M229,LMH_KEY,0)),0),IFERROR(INDEX(LMH_PTS,MATCH(N229,LMH_KEY,0)),0),IFERROR(INDEX(LMH_PTS,MATCH(O229,LMH_KEY,0)),0),IFERROR(INDEX(LMH_PTS,MATCH(P229,LMH_KEY,0)),0)),""))</f>
        <v>0.157894736842105</v>
      </c>
      <c r="T229" s="74">
        <f>IF(M229="","",IFERROR(INDEX(LMH_PTS,MATCH(M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U229" s="74">
        <f>IF(N229="","",IFERROR(INDEX(LMH_PTS,MATCH(N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V229" s="74">
        <f>IF(O229="","",IFERROR(INDEX(LMH_PTS,MATCH(O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W229" s="74">
        <f>IF(P229="","",IFERROR(INDEX(LMH_PTS,MATCH(P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X229" s="44" t="n"/>
      <c r="Y229" s="38" t="inlineStr">
        <is>
          <t>iFile|XBRL Consulting|Financial Analyst|A2|A</t>
        </is>
      </c>
    </row>
    <row r="230" ht="18" customHeight="1">
      <c r="A230" s="28" t="inlineStr">
        <is>
          <t>iFile</t>
        </is>
      </c>
      <c r="B230" s="29" t="inlineStr">
        <is>
          <t>XBRL Consulting</t>
        </is>
      </c>
      <c r="C230" s="75" t="inlineStr">
        <is>
          <t>A2</t>
        </is>
      </c>
      <c r="D230" s="29" t="inlineStr">
        <is>
          <t>Band A · Practitioner</t>
        </is>
      </c>
      <c r="E230" s="29" t="inlineStr">
        <is>
          <t>Taxonomy Analyst</t>
        </is>
      </c>
      <c r="F230" s="29" t="inlineStr">
        <is>
          <t>Band A · all tracks</t>
        </is>
      </c>
      <c r="G230" s="29" t="inlineStr">
        <is>
          <t>Consulting &amp; Professional Services</t>
        </is>
      </c>
      <c r="H230" s="29" t="n">
        <v>2</v>
      </c>
      <c r="I230" s="29" t="inlineStr">
        <is>
          <t>Omkar Parab, Prabhash Rajput</t>
        </is>
      </c>
      <c r="J230" s="34" t="str">
        <f>IFERROR(INDEX(RBD_C,MATCH("Consulting &amp; Professional Services|A2|A",RBD_KEY,0)),"M")</f>
        <v>H</v>
      </c>
      <c r="K230" s="35" t="str">
        <f>IFERROR(INDEX(RBD_Au,MATCH("Consulting &amp; Professional Services|A2|A",RBD_KEY,0)),"M")</f>
        <v>M</v>
      </c>
      <c r="L230" s="35" t="str">
        <f>IFERROR(INDEX(RBD_Ac,MATCH("Consulting &amp; Professional Services|A2|A",RBD_KEY,0)),"M")</f>
        <v>M</v>
      </c>
      <c r="M230" s="35" t="str">
        <f>IFERROR(INDEX(RBD_L,MATCH("Consulting &amp; Professional Services|A2|A",RBD_KEY,0)),"M")</f>
        <v>L</v>
      </c>
      <c r="N230" s="35" t="str">
        <f>IFERROR(INDEX(RBD_BI,MATCH("Consulting &amp; Professional Services|A2|A",RBD_KEY,0)),"M")</f>
        <v>L</v>
      </c>
      <c r="O230" s="35" t="str">
        <f>IFERROR(INDEX(RBD_Exp,MATCH("Consulting &amp; Professional Services|A2|A",RBD_KEY,0)),"M")</f>
        <v>L</v>
      </c>
      <c r="P230" s="35" t="str">
        <f>IFERROR(INDEX(RBD_Edu,MATCH("Consulting &amp; Professional Services|A2|A",RBD_KEY,0)),"M")</f>
        <v>L</v>
      </c>
      <c r="Q230" s="73">
        <f>IF(J230="","",IFERROR(INDEX(LMH_PTS,MATCH(J230,LMH_KEY,0))/SUM(IFERROR(INDEX(LMH_PTS,MATCH(J230,LMH_KEY,0)),0),IFERROR(INDEX(LMH_PTS,MATCH(K230,LMH_KEY,0)),0),IFERROR(INDEX(LMH_PTS,MATCH(L230,LMH_KEY,0)),0),IFERROR(INDEX(LMH_PTS,MATCH(M230,LMH_KEY,0)),0),IFERROR(INDEX(LMH_PTS,MATCH(N230,LMH_KEY,0)),0),IFERROR(INDEX(LMH_PTS,MATCH(O230,LMH_KEY,0)),0),IFERROR(INDEX(LMH_PTS,MATCH(P230,LMH_KEY,0)),0)),""))</f>
        <v>0.473684210526316</v>
      </c>
      <c r="R230" s="74">
        <f>IF(K230="","",IFERROR(INDEX(LMH_PTS,MATCH(K230,LMH_KEY,0))/SUM(IFERROR(INDEX(LMH_PTS,MATCH(J230,LMH_KEY,0)),0),IFERROR(INDEX(LMH_PTS,MATCH(K230,LMH_KEY,0)),0),IFERROR(INDEX(LMH_PTS,MATCH(L230,LMH_KEY,0)),0),IFERROR(INDEX(LMH_PTS,MATCH(M230,LMH_KEY,0)),0),IFERROR(INDEX(LMH_PTS,MATCH(N230,LMH_KEY,0)),0),IFERROR(INDEX(LMH_PTS,MATCH(O230,LMH_KEY,0)),0),IFERROR(INDEX(LMH_PTS,MATCH(P230,LMH_KEY,0)),0)),""))</f>
        <v>0.157894736842105</v>
      </c>
      <c r="S230" s="74">
        <f>IF(L230="","",IFERROR(INDEX(LMH_PTS,MATCH(L230,LMH_KEY,0))/SUM(IFERROR(INDEX(LMH_PTS,MATCH(J230,LMH_KEY,0)),0),IFERROR(INDEX(LMH_PTS,MATCH(K230,LMH_KEY,0)),0),IFERROR(INDEX(LMH_PTS,MATCH(L230,LMH_KEY,0)),0),IFERROR(INDEX(LMH_PTS,MATCH(M230,LMH_KEY,0)),0),IFERROR(INDEX(LMH_PTS,MATCH(N230,LMH_KEY,0)),0),IFERROR(INDEX(LMH_PTS,MATCH(O230,LMH_KEY,0)),0),IFERROR(INDEX(LMH_PTS,MATCH(P230,LMH_KEY,0)),0)),""))</f>
        <v>0.157894736842105</v>
      </c>
      <c r="T230" s="74">
        <f>IF(M230="","",IFERROR(INDEX(LMH_PTS,MATCH(M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U230" s="74">
        <f>IF(N230="","",IFERROR(INDEX(LMH_PTS,MATCH(N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V230" s="74">
        <f>IF(O230="","",IFERROR(INDEX(LMH_PTS,MATCH(O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W230" s="74">
        <f>IF(P230="","",IFERROR(INDEX(LMH_PTS,MATCH(P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X230" s="44" t="n"/>
      <c r="Y230" s="38" t="inlineStr">
        <is>
          <t>iFile|XBRL Consulting|Taxonomy Analyst|A2|A</t>
        </is>
      </c>
    </row>
    <row r="231" ht="40.5" customHeight="1">
      <c r="A231" s="28" t="inlineStr">
        <is>
          <t>iFile</t>
        </is>
      </c>
      <c r="B231" s="29" t="inlineStr">
        <is>
          <t>XBRL Consulting</t>
        </is>
      </c>
      <c r="C231" s="76" t="inlineStr">
        <is>
          <t>X1</t>
        </is>
      </c>
      <c r="D231" s="29" t="inlineStr">
        <is>
          <t>Band X · Consultant</t>
        </is>
      </c>
      <c r="E231" s="29" t="inlineStr">
        <is>
          <t>Associate Consultant – Taxonomy Design &amp; Regulatory Consulting</t>
        </is>
      </c>
      <c r="F231" s="29" t="inlineStr">
        <is>
          <t>Consultant</t>
        </is>
      </c>
      <c r="G231" s="29" t="inlineStr">
        <is>
          <t>Consulting &amp; Professional Services</t>
        </is>
      </c>
      <c r="H231" s="29" t="n">
        <v>1</v>
      </c>
      <c r="I231" s="29" t="inlineStr">
        <is>
          <t>Sunita Joshi</t>
        </is>
      </c>
      <c r="J231" s="34" t="n"/>
      <c r="K231" s="35" t="n"/>
      <c r="L231" s="35" t="n"/>
      <c r="M231" s="35" t="n"/>
      <c r="N231" s="35" t="n"/>
      <c r="O231" s="35" t="n"/>
      <c r="P231" s="35" t="n"/>
      <c r="Q231" s="73" t="str">
        <f>IF(J231="","",IFERROR(INDEX(LMH_PTS,MATCH(J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R231" s="74" t="str">
        <f>IF(K231="","",IFERROR(INDEX(LMH_PTS,MATCH(K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S231" s="74" t="str">
        <f>IF(L231="","",IFERROR(INDEX(LMH_PTS,MATCH(L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T231" s="74" t="str">
        <f>IF(M231="","",IFERROR(INDEX(LMH_PTS,MATCH(M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U231" s="74" t="str">
        <f>IF(N231="","",IFERROR(INDEX(LMH_PTS,MATCH(N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V231" s="74" t="str">
        <f>IF(O231="","",IFERROR(INDEX(LMH_PTS,MATCH(O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W231" s="74" t="str">
        <f>IF(P231="","",IFERROR(INDEX(LMH_PTS,MATCH(P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X231" s="44" t="n"/>
      <c r="Y231" s="38" t="inlineStr">
        <is>
          <t>iFile|XBRL Consulting|Associate Consultant – Taxonomy Design &amp; Regulatory Consulting|X1|X</t>
        </is>
      </c>
    </row>
    <row r="232" ht="18" customHeight="1">
      <c r="A232" s="28" t="inlineStr">
        <is>
          <t>iDEAL</t>
        </is>
      </c>
      <c r="B232" s="71" t="inlineStr">
        <is>
          <t>Marketing</t>
        </is>
      </c>
      <c r="C232" s="75" t="inlineStr">
        <is>
          <t>A2</t>
        </is>
      </c>
      <c r="D232" s="29" t="inlineStr">
        <is>
          <t>Band A · Practitioner</t>
        </is>
      </c>
      <c r="E232" s="29" t="inlineStr">
        <is>
          <t>Content Marketing Associate</t>
        </is>
      </c>
      <c r="F232" s="29" t="inlineStr">
        <is>
          <t>Band A · all tracks</t>
        </is>
      </c>
      <c r="G232" s="29" t="inlineStr">
        <is>
          <t>Marketing &amp; Communications</t>
        </is>
      </c>
      <c r="H232" s="29" t="n">
        <v>1</v>
      </c>
      <c r="I232" s="29" t="inlineStr">
        <is>
          <t>Muskan Jain</t>
        </is>
      </c>
      <c r="J232" s="34" t="str">
        <f>IFERROR(INDEX(RBD_C,MATCH("Marketing &amp; Communications|A2|A",RBD_KEY,0)),"M")</f>
        <v>H</v>
      </c>
      <c r="K232" s="35" t="str">
        <f>IFERROR(INDEX(RBD_Au,MATCH("Marketing &amp; Communications|A2|A",RBD_KEY,0)),"M")</f>
        <v>M</v>
      </c>
      <c r="L232" s="35" t="str">
        <f>IFERROR(INDEX(RBD_Ac,MATCH("Marketing &amp; Communications|A2|A",RBD_KEY,0)),"M")</f>
        <v>L</v>
      </c>
      <c r="M232" s="35" t="str">
        <f>IFERROR(INDEX(RBD_L,MATCH("Marketing &amp; Communications|A2|A",RBD_KEY,0)),"M")</f>
        <v>L</v>
      </c>
      <c r="N232" s="35" t="str">
        <f>IFERROR(INDEX(RBD_BI,MATCH("Marketing &amp; Communications|A2|A",RBD_KEY,0)),"M")</f>
        <v>M</v>
      </c>
      <c r="O232" s="35" t="str">
        <f>IFERROR(INDEX(RBD_Exp,MATCH("Marketing &amp; Communications|A2|A",RBD_KEY,0)),"M")</f>
        <v>L</v>
      </c>
      <c r="P232" s="35" t="str">
        <f>IFERROR(INDEX(RBD_Edu,MATCH("Marketing &amp; Communications|A2|A",RBD_KEY,0)),"M")</f>
        <v>L</v>
      </c>
      <c r="Q232" s="73">
        <f>IF(J232="","",IFERROR(INDEX(LMH_PTS,MATCH(J232,LMH_KEY,0))/SUM(IFERROR(INDEX(LMH_PTS,MATCH(J232,LMH_KEY,0)),0),IFERROR(INDEX(LMH_PTS,MATCH(K232,LMH_KEY,0)),0),IFERROR(INDEX(LMH_PTS,MATCH(L232,LMH_KEY,0)),0),IFERROR(INDEX(LMH_PTS,MATCH(M232,LMH_KEY,0)),0),IFERROR(INDEX(LMH_PTS,MATCH(N232,LMH_KEY,0)),0),IFERROR(INDEX(LMH_PTS,MATCH(O232,LMH_KEY,0)),0),IFERROR(INDEX(LMH_PTS,MATCH(P232,LMH_KEY,0)),0)),""))</f>
        <v>0.473684210526316</v>
      </c>
      <c r="R232" s="74">
        <f>IF(K232="","",IFERROR(INDEX(LMH_PTS,MATCH(K232,LMH_KEY,0))/SUM(IFERROR(INDEX(LMH_PTS,MATCH(J232,LMH_KEY,0)),0),IFERROR(INDEX(LMH_PTS,MATCH(K232,LMH_KEY,0)),0),IFERROR(INDEX(LMH_PTS,MATCH(L232,LMH_KEY,0)),0),IFERROR(INDEX(LMH_PTS,MATCH(M232,LMH_KEY,0)),0),IFERROR(INDEX(LMH_PTS,MATCH(N232,LMH_KEY,0)),0),IFERROR(INDEX(LMH_PTS,MATCH(O232,LMH_KEY,0)),0),IFERROR(INDEX(LMH_PTS,MATCH(P232,LMH_KEY,0)),0)),""))</f>
        <v>0.157894736842105</v>
      </c>
      <c r="S232" s="74">
        <f>IF(L232="","",IFERROR(INDEX(LMH_PTS,MATCH(L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T232" s="74">
        <f>IF(M232="","",IFERROR(INDEX(LMH_PTS,MATCH(M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U232" s="74">
        <f>IF(N232="","",IFERROR(INDEX(LMH_PTS,MATCH(N232,LMH_KEY,0))/SUM(IFERROR(INDEX(LMH_PTS,MATCH(J232,LMH_KEY,0)),0),IFERROR(INDEX(LMH_PTS,MATCH(K232,LMH_KEY,0)),0),IFERROR(INDEX(LMH_PTS,MATCH(L232,LMH_KEY,0)),0),IFERROR(INDEX(LMH_PTS,MATCH(M232,LMH_KEY,0)),0),IFERROR(INDEX(LMH_PTS,MATCH(N232,LMH_KEY,0)),0),IFERROR(INDEX(LMH_PTS,MATCH(O232,LMH_KEY,0)),0),IFERROR(INDEX(LMH_PTS,MATCH(P232,LMH_KEY,0)),0)),""))</f>
        <v>0.157894736842105</v>
      </c>
      <c r="V232" s="74">
        <f>IF(O232="","",IFERROR(INDEX(LMH_PTS,MATCH(O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W232" s="74">
        <f>IF(P232="","",IFERROR(INDEX(LMH_PTS,MATCH(P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X232" s="44" t="n"/>
      <c r="Y232" s="38" t="inlineStr">
        <is>
          <t>iDEAL|Marketing|Content Marketing Associate|A2|A</t>
        </is>
      </c>
    </row>
    <row r="233" ht="28" customHeight="1">
      <c r="A233" s="28" t="inlineStr">
        <is>
          <t>iDEAL</t>
        </is>
      </c>
      <c r="B233" s="71" t="inlineStr">
        <is>
          <t>Product Management</t>
        </is>
      </c>
      <c r="C233" s="72" t="inlineStr">
        <is>
          <t>B2</t>
        </is>
      </c>
      <c r="D233" s="29" t="inlineStr">
        <is>
          <t>Band B · Specialist / Manager</t>
        </is>
      </c>
      <c r="E233" s="29" t="inlineStr">
        <is>
          <t>Product Manager</t>
        </is>
      </c>
      <c r="F233" s="29" t="inlineStr">
        <is>
          <t>Band B · People Manager</t>
        </is>
      </c>
      <c r="G233" s="29" t="inlineStr">
        <is>
          <t>Product Management</t>
        </is>
      </c>
      <c r="H233" s="29" t="n">
        <v>2</v>
      </c>
      <c r="I233" s="29" t="inlineStr">
        <is>
          <t>Dnyaneshwar Daund, Yuvraj Kharchane</t>
        </is>
      </c>
      <c r="J233" s="34" t="str">
        <f>IFERROR(INDEX(RBD_C,MATCH("Product Management|B2|B-M",RBD_KEY,0)),"M")</f>
        <v>H</v>
      </c>
      <c r="K233" s="35" t="str">
        <f>IFERROR(INDEX(RBD_Au,MATCH("Product Management|B2|B-M",RBD_KEY,0)),"M")</f>
        <v>M</v>
      </c>
      <c r="L233" s="35" t="str">
        <f>IFERROR(INDEX(RBD_Ac,MATCH("Product Management|B2|B-M",RBD_KEY,0)),"M")</f>
        <v>M</v>
      </c>
      <c r="M233" s="35" t="str">
        <f>IFERROR(INDEX(RBD_L,MATCH("Product Management|B2|B-M",RBD_KEY,0)),"M")</f>
        <v>M</v>
      </c>
      <c r="N233" s="35" t="str">
        <f>IFERROR(INDEX(RBD_BI,MATCH("Product Management|B2|B-M",RBD_KEY,0)),"M")</f>
        <v>L</v>
      </c>
      <c r="O233" s="35" t="str">
        <f>IFERROR(INDEX(RBD_Exp,MATCH("Product Management|B2|B-M",RBD_KEY,0)),"M")</f>
        <v>L</v>
      </c>
      <c r="P233" s="35" t="str">
        <f>IFERROR(INDEX(RBD_Edu,MATCH("Product Management|B2|B-M",RBD_KEY,0)),"M")</f>
        <v>L</v>
      </c>
      <c r="Q233" s="73">
        <f>IF(J233="","",IFERROR(INDEX(LMH_PTS,MATCH(J233,LMH_KEY,0))/SUM(IFERROR(INDEX(LMH_PTS,MATCH(J233,LMH_KEY,0)),0),IFERROR(INDEX(LMH_PTS,MATCH(K233,LMH_KEY,0)),0),IFERROR(INDEX(LMH_PTS,MATCH(L233,LMH_KEY,0)),0),IFERROR(INDEX(LMH_PTS,MATCH(M233,LMH_KEY,0)),0),IFERROR(INDEX(LMH_PTS,MATCH(N233,LMH_KEY,0)),0),IFERROR(INDEX(LMH_PTS,MATCH(O233,LMH_KEY,0)),0),IFERROR(INDEX(LMH_PTS,MATCH(P233,LMH_KEY,0)),0)),""))</f>
        <v>0.428571428571429</v>
      </c>
      <c r="R233" s="74">
        <f>IF(K233="","",IFERROR(INDEX(LMH_PTS,MATCH(K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S233" s="74">
        <f>IF(L233="","",IFERROR(INDEX(LMH_PTS,MATCH(L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T233" s="74">
        <f>IF(M233="","",IFERROR(INDEX(LMH_PTS,MATCH(M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U233" s="74">
        <f>IF(N233="","",IFERROR(INDEX(LMH_PTS,MATCH(N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V233" s="74">
        <f>IF(O233="","",IFERROR(INDEX(LMH_PTS,MATCH(O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W233" s="74">
        <f>IF(P233="","",IFERROR(INDEX(LMH_PTS,MATCH(P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X233" s="44" t="n"/>
      <c r="Y233" s="38" t="inlineStr">
        <is>
          <t>iDEAL|Product Management|Product Manager|B2|B-M</t>
        </is>
      </c>
    </row>
    <row r="234" ht="18" customHeight="1">
      <c r="A234" s="28" t="inlineStr">
        <is>
          <t>iDEAL</t>
        </is>
      </c>
      <c r="B234" s="29" t="inlineStr">
        <is>
          <t>Product Management</t>
        </is>
      </c>
      <c r="C234" s="75" t="inlineStr">
        <is>
          <t>A3</t>
        </is>
      </c>
      <c r="D234" s="29" t="inlineStr">
        <is>
          <t>Band A · Practitioner</t>
        </is>
      </c>
      <c r="E234" s="29" t="inlineStr">
        <is>
          <t>Senior Product Analyst</t>
        </is>
      </c>
      <c r="F234" s="29" t="inlineStr">
        <is>
          <t>Band A · all tracks</t>
        </is>
      </c>
      <c r="G234" s="29" t="inlineStr">
        <is>
          <t>Product Management</t>
        </is>
      </c>
      <c r="H234" s="29" t="n">
        <v>1</v>
      </c>
      <c r="I234" s="29" t="inlineStr">
        <is>
          <t>Srijith Menon</t>
        </is>
      </c>
      <c r="J234" s="34" t="str">
        <f>IFERROR(INDEX(RBD_C,MATCH("Product Management|A3|A",RBD_KEY,0)),"M")</f>
        <v>H</v>
      </c>
      <c r="K234" s="35" t="str">
        <f>IFERROR(INDEX(RBD_Au,MATCH("Product Management|A3|A",RBD_KEY,0)),"M")</f>
        <v>M</v>
      </c>
      <c r="L234" s="35" t="str">
        <f>IFERROR(INDEX(RBD_Ac,MATCH("Product Management|A3|A",RBD_KEY,0)),"M")</f>
        <v>M</v>
      </c>
      <c r="M234" s="35" t="str">
        <f>IFERROR(INDEX(RBD_L,MATCH("Product Management|A3|A",RBD_KEY,0)),"M")</f>
        <v>L</v>
      </c>
      <c r="N234" s="35" t="str">
        <f>IFERROR(INDEX(RBD_BI,MATCH("Product Management|A3|A",RBD_KEY,0)),"M")</f>
        <v>L</v>
      </c>
      <c r="O234" s="35" t="str">
        <f>IFERROR(INDEX(RBD_Exp,MATCH("Product Management|A3|A",RBD_KEY,0)),"M")</f>
        <v>L</v>
      </c>
      <c r="P234" s="35" t="str">
        <f>IFERROR(INDEX(RBD_Edu,MATCH("Product Management|A3|A",RBD_KEY,0)),"M")</f>
        <v>L</v>
      </c>
      <c r="Q234" s="73">
        <f>IF(J234="","",IFERROR(INDEX(LMH_PTS,MATCH(J234,LMH_KEY,0))/SUM(IFERROR(INDEX(LMH_PTS,MATCH(J234,LMH_KEY,0)),0),IFERROR(INDEX(LMH_PTS,MATCH(K234,LMH_KEY,0)),0),IFERROR(INDEX(LMH_PTS,MATCH(L234,LMH_KEY,0)),0),IFERROR(INDEX(LMH_PTS,MATCH(M234,LMH_KEY,0)),0),IFERROR(INDEX(LMH_PTS,MATCH(N234,LMH_KEY,0)),0),IFERROR(INDEX(LMH_PTS,MATCH(O234,LMH_KEY,0)),0),IFERROR(INDEX(LMH_PTS,MATCH(P234,LMH_KEY,0)),0)),""))</f>
        <v>0.473684210526316</v>
      </c>
      <c r="R234" s="74">
        <f>IF(K234="","",IFERROR(INDEX(LMH_PTS,MATCH(K234,LMH_KEY,0))/SUM(IFERROR(INDEX(LMH_PTS,MATCH(J234,LMH_KEY,0)),0),IFERROR(INDEX(LMH_PTS,MATCH(K234,LMH_KEY,0)),0),IFERROR(INDEX(LMH_PTS,MATCH(L234,LMH_KEY,0)),0),IFERROR(INDEX(LMH_PTS,MATCH(M234,LMH_KEY,0)),0),IFERROR(INDEX(LMH_PTS,MATCH(N234,LMH_KEY,0)),0),IFERROR(INDEX(LMH_PTS,MATCH(O234,LMH_KEY,0)),0),IFERROR(INDEX(LMH_PTS,MATCH(P234,LMH_KEY,0)),0)),""))</f>
        <v>0.157894736842105</v>
      </c>
      <c r="S234" s="74">
        <f>IF(L234="","",IFERROR(INDEX(LMH_PTS,MATCH(L234,LMH_KEY,0))/SUM(IFERROR(INDEX(LMH_PTS,MATCH(J234,LMH_KEY,0)),0),IFERROR(INDEX(LMH_PTS,MATCH(K234,LMH_KEY,0)),0),IFERROR(INDEX(LMH_PTS,MATCH(L234,LMH_KEY,0)),0),IFERROR(INDEX(LMH_PTS,MATCH(M234,LMH_KEY,0)),0),IFERROR(INDEX(LMH_PTS,MATCH(N234,LMH_KEY,0)),0),IFERROR(INDEX(LMH_PTS,MATCH(O234,LMH_KEY,0)),0),IFERROR(INDEX(LMH_PTS,MATCH(P234,LMH_KEY,0)),0)),""))</f>
        <v>0.157894736842105</v>
      </c>
      <c r="T234" s="74">
        <f>IF(M234="","",IFERROR(INDEX(LMH_PTS,MATCH(M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U234" s="74">
        <f>IF(N234="","",IFERROR(INDEX(LMH_PTS,MATCH(N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V234" s="74">
        <f>IF(O234="","",IFERROR(INDEX(LMH_PTS,MATCH(O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W234" s="74">
        <f>IF(P234="","",IFERROR(INDEX(LMH_PTS,MATCH(P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X234" s="44" t="n"/>
      <c r="Y234" s="38" t="inlineStr">
        <is>
          <t>iDEAL|Product Management|Senior Product Analyst|A3|A</t>
        </is>
      </c>
    </row>
    <row r="235" ht="18" customHeight="1">
      <c r="A235" s="28" t="inlineStr">
        <is>
          <t>iDEAL</t>
        </is>
      </c>
      <c r="B235" s="71" t="inlineStr">
        <is>
          <t>Quality Assurance</t>
        </is>
      </c>
      <c r="C235" s="72" t="inlineStr">
        <is>
          <t>B1</t>
        </is>
      </c>
      <c r="D235" s="29" t="inlineStr">
        <is>
          <t>Band B · Specialist / Manager</t>
        </is>
      </c>
      <c r="E235" s="29" t="inlineStr">
        <is>
          <t>QA Manager</t>
        </is>
      </c>
      <c r="F235" s="29" t="inlineStr">
        <is>
          <t>Band B · People Manager</t>
        </is>
      </c>
      <c r="G235" s="29" t="inlineStr">
        <is>
          <t>Quality Assurance</t>
        </is>
      </c>
      <c r="H235" s="29" t="n">
        <v>1</v>
      </c>
      <c r="I235" s="29" t="inlineStr">
        <is>
          <t>Reena Gotal</t>
        </is>
      </c>
      <c r="J235" s="34" t="str">
        <f>IFERROR(INDEX(RBD_C,MATCH("Quality Assurance|B1|B-M",RBD_KEY,0)),"M")</f>
        <v>H</v>
      </c>
      <c r="K235" s="35" t="str">
        <f>IFERROR(INDEX(RBD_Au,MATCH("Quality Assurance|B1|B-M",RBD_KEY,0)),"M")</f>
        <v>M</v>
      </c>
      <c r="L235" s="35" t="str">
        <f>IFERROR(INDEX(RBD_Ac,MATCH("Quality Assurance|B1|B-M",RBD_KEY,0)),"M")</f>
        <v>L</v>
      </c>
      <c r="M235" s="35" t="str">
        <f>IFERROR(INDEX(RBD_L,MATCH("Quality Assurance|B1|B-M",RBD_KEY,0)),"M")</f>
        <v>M</v>
      </c>
      <c r="N235" s="35" t="str">
        <f>IFERROR(INDEX(RBD_BI,MATCH("Quality Assurance|B1|B-M",RBD_KEY,0)),"M")</f>
        <v>L</v>
      </c>
      <c r="O235" s="35" t="str">
        <f>IFERROR(INDEX(RBD_Exp,MATCH("Quality Assurance|B1|B-M",RBD_KEY,0)),"M")</f>
        <v>L</v>
      </c>
      <c r="P235" s="35" t="str">
        <f>IFERROR(INDEX(RBD_Edu,MATCH("Quality Assurance|B1|B-M",RBD_KEY,0)),"M")</f>
        <v>L</v>
      </c>
      <c r="Q235" s="73">
        <f>IF(J235="","",IFERROR(INDEX(LMH_PTS,MATCH(J235,LMH_KEY,0))/SUM(IFERROR(INDEX(LMH_PTS,MATCH(J235,LMH_KEY,0)),0),IFERROR(INDEX(LMH_PTS,MATCH(K235,LMH_KEY,0)),0),IFERROR(INDEX(LMH_PTS,MATCH(L235,LMH_KEY,0)),0),IFERROR(INDEX(LMH_PTS,MATCH(M235,LMH_KEY,0)),0),IFERROR(INDEX(LMH_PTS,MATCH(N235,LMH_KEY,0)),0),IFERROR(INDEX(LMH_PTS,MATCH(O235,LMH_KEY,0)),0),IFERROR(INDEX(LMH_PTS,MATCH(P235,LMH_KEY,0)),0)),""))</f>
        <v>0.473684210526316</v>
      </c>
      <c r="R235" s="74">
        <f>IF(K235="","",IFERROR(INDEX(LMH_PTS,MATCH(K235,LMH_KEY,0))/SUM(IFERROR(INDEX(LMH_PTS,MATCH(J235,LMH_KEY,0)),0),IFERROR(INDEX(LMH_PTS,MATCH(K235,LMH_KEY,0)),0),IFERROR(INDEX(LMH_PTS,MATCH(L235,LMH_KEY,0)),0),IFERROR(INDEX(LMH_PTS,MATCH(M235,LMH_KEY,0)),0),IFERROR(INDEX(LMH_PTS,MATCH(N235,LMH_KEY,0)),0),IFERROR(INDEX(LMH_PTS,MATCH(O235,LMH_KEY,0)),0),IFERROR(INDEX(LMH_PTS,MATCH(P235,LMH_KEY,0)),0)),""))</f>
        <v>0.157894736842105</v>
      </c>
      <c r="S235" s="74">
        <f>IF(L235="","",IFERROR(INDEX(LMH_PTS,MATCH(L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T235" s="74">
        <f>IF(M235="","",IFERROR(INDEX(LMH_PTS,MATCH(M235,LMH_KEY,0))/SUM(IFERROR(INDEX(LMH_PTS,MATCH(J235,LMH_KEY,0)),0),IFERROR(INDEX(LMH_PTS,MATCH(K235,LMH_KEY,0)),0),IFERROR(INDEX(LMH_PTS,MATCH(L235,LMH_KEY,0)),0),IFERROR(INDEX(LMH_PTS,MATCH(M235,LMH_KEY,0)),0),IFERROR(INDEX(LMH_PTS,MATCH(N235,LMH_KEY,0)),0),IFERROR(INDEX(LMH_PTS,MATCH(O235,LMH_KEY,0)),0),IFERROR(INDEX(LMH_PTS,MATCH(P235,LMH_KEY,0)),0)),""))</f>
        <v>0.157894736842105</v>
      </c>
      <c r="U235" s="74">
        <f>IF(N235="","",IFERROR(INDEX(LMH_PTS,MATCH(N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V235" s="74">
        <f>IF(O235="","",IFERROR(INDEX(LMH_PTS,MATCH(O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W235" s="74">
        <f>IF(P235="","",IFERROR(INDEX(LMH_PTS,MATCH(P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X235" s="44" t="n"/>
      <c r="Y235" s="38" t="inlineStr">
        <is>
          <t>iDEAL|Quality Assurance|QA Manager|B1|B-M</t>
        </is>
      </c>
    </row>
    <row r="236" ht="28" customHeight="1">
      <c r="A236" s="28" t="inlineStr">
        <is>
          <t>iDEAL</t>
        </is>
      </c>
      <c r="B236" s="29" t="inlineStr">
        <is>
          <t>Quality Assurance</t>
        </is>
      </c>
      <c r="C236" s="75" t="inlineStr">
        <is>
          <t>A3</t>
        </is>
      </c>
      <c r="D236" s="29" t="inlineStr">
        <is>
          <t>Band A · Practitioner</t>
        </is>
      </c>
      <c r="E236" s="29" t="inlineStr">
        <is>
          <t>Senior QA Automation Engineer</t>
        </is>
      </c>
      <c r="F236" s="29" t="inlineStr">
        <is>
          <t>Band A · all tracks</t>
        </is>
      </c>
      <c r="G236" s="29" t="inlineStr">
        <is>
          <t>Quality Assurance</t>
        </is>
      </c>
      <c r="H236" s="29" t="n">
        <v>3</v>
      </c>
      <c r="I236" s="29" t="inlineStr">
        <is>
          <t>Atharv Ravindra Bokade, Shubham Kamble, Tulasiram Chand</t>
        </is>
      </c>
      <c r="J236" s="34" t="str">
        <f>IFERROR(INDEX(RBD_C,MATCH("Quality Assurance|A3|A",RBD_KEY,0)),"M")</f>
        <v>H</v>
      </c>
      <c r="K236" s="35" t="str">
        <f>IFERROR(INDEX(RBD_Au,MATCH("Quality Assurance|A3|A",RBD_KEY,0)),"M")</f>
        <v>M</v>
      </c>
      <c r="L236" s="35" t="str">
        <f>IFERROR(INDEX(RBD_Ac,MATCH("Quality Assurance|A3|A",RBD_KEY,0)),"M")</f>
        <v>L</v>
      </c>
      <c r="M236" s="35" t="str">
        <f>IFERROR(INDEX(RBD_L,MATCH("Quality Assurance|A3|A",RBD_KEY,0)),"M")</f>
        <v>L</v>
      </c>
      <c r="N236" s="35" t="str">
        <f>IFERROR(INDEX(RBD_BI,MATCH("Quality Assurance|A3|A",RBD_KEY,0)),"M")</f>
        <v>L</v>
      </c>
      <c r="O236" s="35" t="str">
        <f>IFERROR(INDEX(RBD_Exp,MATCH("Quality Assurance|A3|A",RBD_KEY,0)),"M")</f>
        <v>L</v>
      </c>
      <c r="P236" s="35" t="str">
        <f>IFERROR(INDEX(RBD_Edu,MATCH("Quality Assurance|A3|A",RBD_KEY,0)),"M")</f>
        <v>L</v>
      </c>
      <c r="Q236" s="73">
        <f>IF(J236="","",IFERROR(INDEX(LMH_PTS,MATCH(J236,LMH_KEY,0))/SUM(IFERROR(INDEX(LMH_PTS,MATCH(J236,LMH_KEY,0)),0),IFERROR(INDEX(LMH_PTS,MATCH(K236,LMH_KEY,0)),0),IFERROR(INDEX(LMH_PTS,MATCH(L236,LMH_KEY,0)),0),IFERROR(INDEX(LMH_PTS,MATCH(M236,LMH_KEY,0)),0),IFERROR(INDEX(LMH_PTS,MATCH(N236,LMH_KEY,0)),0),IFERROR(INDEX(LMH_PTS,MATCH(O236,LMH_KEY,0)),0),IFERROR(INDEX(LMH_PTS,MATCH(P236,LMH_KEY,0)),0)),""))</f>
        <v>0.529411764705882</v>
      </c>
      <c r="R236" s="74">
        <f>IF(K236="","",IFERROR(INDEX(LMH_PTS,MATCH(K236,LMH_KEY,0))/SUM(IFERROR(INDEX(LMH_PTS,MATCH(J236,LMH_KEY,0)),0),IFERROR(INDEX(LMH_PTS,MATCH(K236,LMH_KEY,0)),0),IFERROR(INDEX(LMH_PTS,MATCH(L236,LMH_KEY,0)),0),IFERROR(INDEX(LMH_PTS,MATCH(M236,LMH_KEY,0)),0),IFERROR(INDEX(LMH_PTS,MATCH(N236,LMH_KEY,0)),0),IFERROR(INDEX(LMH_PTS,MATCH(O236,LMH_KEY,0)),0),IFERROR(INDEX(LMH_PTS,MATCH(P236,LMH_KEY,0)),0)),""))</f>
        <v>0.176470588235294</v>
      </c>
      <c r="S236" s="74">
        <f>IF(L236="","",IFERROR(INDEX(LMH_PTS,MATCH(L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T236" s="74">
        <f>IF(M236="","",IFERROR(INDEX(LMH_PTS,MATCH(M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U236" s="74">
        <f>IF(N236="","",IFERROR(INDEX(LMH_PTS,MATCH(N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V236" s="74">
        <f>IF(O236="","",IFERROR(INDEX(LMH_PTS,MATCH(O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W236" s="74">
        <f>IF(P236="","",IFERROR(INDEX(LMH_PTS,MATCH(P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X236" s="44" t="n"/>
      <c r="Y236" s="38" t="inlineStr">
        <is>
          <t>iDEAL|Quality Assurance|Senior QA Automation Engineer|A3|A</t>
        </is>
      </c>
    </row>
    <row r="237" ht="18" customHeight="1">
      <c r="A237" s="28" t="inlineStr">
        <is>
          <t>iDEAL</t>
        </is>
      </c>
      <c r="B237" s="29" t="inlineStr">
        <is>
          <t>Quality Assurance</t>
        </is>
      </c>
      <c r="C237" s="75" t="inlineStr">
        <is>
          <t>A3</t>
        </is>
      </c>
      <c r="D237" s="29" t="inlineStr">
        <is>
          <t>Band A · Practitioner</t>
        </is>
      </c>
      <c r="E237" s="29" t="inlineStr">
        <is>
          <t>Senior QA Engineer</t>
        </is>
      </c>
      <c r="F237" s="29" t="inlineStr">
        <is>
          <t>Band A · all tracks</t>
        </is>
      </c>
      <c r="G237" s="29" t="inlineStr">
        <is>
          <t>Quality Assurance</t>
        </is>
      </c>
      <c r="H237" s="29" t="n">
        <v>1</v>
      </c>
      <c r="I237" s="29" t="inlineStr">
        <is>
          <t>Rohan Kailas Aher</t>
        </is>
      </c>
      <c r="J237" s="34" t="str">
        <f>IFERROR(INDEX(RBD_C,MATCH("Quality Assurance|A3|A",RBD_KEY,0)),"M")</f>
        <v>H</v>
      </c>
      <c r="K237" s="35" t="str">
        <f>IFERROR(INDEX(RBD_Au,MATCH("Quality Assurance|A3|A",RBD_KEY,0)),"M")</f>
        <v>M</v>
      </c>
      <c r="L237" s="35" t="str">
        <f>IFERROR(INDEX(RBD_Ac,MATCH("Quality Assurance|A3|A",RBD_KEY,0)),"M")</f>
        <v>L</v>
      </c>
      <c r="M237" s="35" t="str">
        <f>IFERROR(INDEX(RBD_L,MATCH("Quality Assurance|A3|A",RBD_KEY,0)),"M")</f>
        <v>L</v>
      </c>
      <c r="N237" s="35" t="str">
        <f>IFERROR(INDEX(RBD_BI,MATCH("Quality Assurance|A3|A",RBD_KEY,0)),"M")</f>
        <v>L</v>
      </c>
      <c r="O237" s="35" t="str">
        <f>IFERROR(INDEX(RBD_Exp,MATCH("Quality Assurance|A3|A",RBD_KEY,0)),"M")</f>
        <v>L</v>
      </c>
      <c r="P237" s="35" t="str">
        <f>IFERROR(INDEX(RBD_Edu,MATCH("Quality Assurance|A3|A",RBD_KEY,0)),"M")</f>
        <v>L</v>
      </c>
      <c r="Q237" s="73">
        <f>IF(J237="","",IFERROR(INDEX(LMH_PTS,MATCH(J237,LMH_KEY,0))/SUM(IFERROR(INDEX(LMH_PTS,MATCH(J237,LMH_KEY,0)),0),IFERROR(INDEX(LMH_PTS,MATCH(K237,LMH_KEY,0)),0),IFERROR(INDEX(LMH_PTS,MATCH(L237,LMH_KEY,0)),0),IFERROR(INDEX(LMH_PTS,MATCH(M237,LMH_KEY,0)),0),IFERROR(INDEX(LMH_PTS,MATCH(N237,LMH_KEY,0)),0),IFERROR(INDEX(LMH_PTS,MATCH(O237,LMH_KEY,0)),0),IFERROR(INDEX(LMH_PTS,MATCH(P237,LMH_KEY,0)),0)),""))</f>
        <v>0.529411764705882</v>
      </c>
      <c r="R237" s="74">
        <f>IF(K237="","",IFERROR(INDEX(LMH_PTS,MATCH(K237,LMH_KEY,0))/SUM(IFERROR(INDEX(LMH_PTS,MATCH(J237,LMH_KEY,0)),0),IFERROR(INDEX(LMH_PTS,MATCH(K237,LMH_KEY,0)),0),IFERROR(INDEX(LMH_PTS,MATCH(L237,LMH_KEY,0)),0),IFERROR(INDEX(LMH_PTS,MATCH(M237,LMH_KEY,0)),0),IFERROR(INDEX(LMH_PTS,MATCH(N237,LMH_KEY,0)),0),IFERROR(INDEX(LMH_PTS,MATCH(O237,LMH_KEY,0)),0),IFERROR(INDEX(LMH_PTS,MATCH(P237,LMH_KEY,0)),0)),""))</f>
        <v>0.176470588235294</v>
      </c>
      <c r="S237" s="74">
        <f>IF(L237="","",IFERROR(INDEX(LMH_PTS,MATCH(L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T237" s="74">
        <f>IF(M237="","",IFERROR(INDEX(LMH_PTS,MATCH(M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U237" s="74">
        <f>IF(N237="","",IFERROR(INDEX(LMH_PTS,MATCH(N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V237" s="74">
        <f>IF(O237="","",IFERROR(INDEX(LMH_PTS,MATCH(O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W237" s="74">
        <f>IF(P237="","",IFERROR(INDEX(LMH_PTS,MATCH(P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X237" s="44" t="n"/>
      <c r="Y237" s="38" t="inlineStr">
        <is>
          <t>iDEAL|Quality Assurance|Senior QA Engineer|A3|A</t>
        </is>
      </c>
    </row>
    <row r="238" ht="18" customHeight="1">
      <c r="A238" s="28" t="inlineStr">
        <is>
          <t>iDEAL</t>
        </is>
      </c>
      <c r="B238" s="71" t="inlineStr">
        <is>
          <t>Sales</t>
        </is>
      </c>
      <c r="C238" s="72" t="inlineStr">
        <is>
          <t>B2</t>
        </is>
      </c>
      <c r="D238" s="29" t="inlineStr">
        <is>
          <t>Band B · Specialist / Manager</t>
        </is>
      </c>
      <c r="E238" s="29" t="inlineStr">
        <is>
          <t>Senior Account Executive</t>
        </is>
      </c>
      <c r="F238" s="29" t="inlineStr">
        <is>
          <t>Band B · Specialist / POD Lead</t>
        </is>
      </c>
      <c r="G238" s="29" t="inlineStr">
        <is>
          <t>Sales &amp; Business Development</t>
        </is>
      </c>
      <c r="H238" s="29" t="n">
        <v>1</v>
      </c>
      <c r="I238" s="29" t="inlineStr">
        <is>
          <t>Rohit Patil</t>
        </is>
      </c>
      <c r="J238" s="34" t="str">
        <f>IFERROR(INDEX(RBD_C,MATCH("Sales &amp; Business Development|B2|B-IC",RBD_KEY,0)),"M")</f>
        <v>H</v>
      </c>
      <c r="K238" s="35" t="str">
        <f>IFERROR(INDEX(RBD_Au,MATCH("Sales &amp; Business Development|B2|B-IC",RBD_KEY,0)),"M")</f>
        <v>M</v>
      </c>
      <c r="L238" s="35" t="str">
        <f>IFERROR(INDEX(RBD_Ac,MATCH("Sales &amp; Business Development|B2|B-IC",RBD_KEY,0)),"M")</f>
        <v>L</v>
      </c>
      <c r="M238" s="35" t="str">
        <f>IFERROR(INDEX(RBD_L,MATCH("Sales &amp; Business Development|B2|B-IC",RBD_KEY,0)),"M")</f>
        <v>L</v>
      </c>
      <c r="N238" s="35" t="str">
        <f>IFERROR(INDEX(RBD_BI,MATCH("Sales &amp; Business Development|B2|B-IC",RBD_KEY,0)),"M")</f>
        <v>M</v>
      </c>
      <c r="O238" s="35" t="str">
        <f>IFERROR(INDEX(RBD_Exp,MATCH("Sales &amp; Business Development|B2|B-IC",RBD_KEY,0)),"M")</f>
        <v>L</v>
      </c>
      <c r="P238" s="35" t="str">
        <f>IFERROR(INDEX(RBD_Edu,MATCH("Sales &amp; Business Development|B2|B-IC",RBD_KEY,0)),"M")</f>
        <v>L</v>
      </c>
      <c r="Q238" s="73">
        <f>IF(J238="","",IFERROR(INDEX(LMH_PTS,MATCH(J238,LMH_KEY,0))/SUM(IFERROR(INDEX(LMH_PTS,MATCH(J238,LMH_KEY,0)),0),IFERROR(INDEX(LMH_PTS,MATCH(K238,LMH_KEY,0)),0),IFERROR(INDEX(LMH_PTS,MATCH(L238,LMH_KEY,0)),0),IFERROR(INDEX(LMH_PTS,MATCH(M238,LMH_KEY,0)),0),IFERROR(INDEX(LMH_PTS,MATCH(N238,LMH_KEY,0)),0),IFERROR(INDEX(LMH_PTS,MATCH(O238,LMH_KEY,0)),0),IFERROR(INDEX(LMH_PTS,MATCH(P238,LMH_KEY,0)),0)),""))</f>
        <v>0.473684210526316</v>
      </c>
      <c r="R238" s="74">
        <f>IF(K238="","",IFERROR(INDEX(LMH_PTS,MATCH(K238,LMH_KEY,0))/SUM(IFERROR(INDEX(LMH_PTS,MATCH(J238,LMH_KEY,0)),0),IFERROR(INDEX(LMH_PTS,MATCH(K238,LMH_KEY,0)),0),IFERROR(INDEX(LMH_PTS,MATCH(L238,LMH_KEY,0)),0),IFERROR(INDEX(LMH_PTS,MATCH(M238,LMH_KEY,0)),0),IFERROR(INDEX(LMH_PTS,MATCH(N238,LMH_KEY,0)),0),IFERROR(INDEX(LMH_PTS,MATCH(O238,LMH_KEY,0)),0),IFERROR(INDEX(LMH_PTS,MATCH(P238,LMH_KEY,0)),0)),""))</f>
        <v>0.157894736842105</v>
      </c>
      <c r="S238" s="74">
        <f>IF(L238="","",IFERROR(INDEX(LMH_PTS,MATCH(L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T238" s="74">
        <f>IF(M238="","",IFERROR(INDEX(LMH_PTS,MATCH(M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U238" s="74">
        <f>IF(N238="","",IFERROR(INDEX(LMH_PTS,MATCH(N238,LMH_KEY,0))/SUM(IFERROR(INDEX(LMH_PTS,MATCH(J238,LMH_KEY,0)),0),IFERROR(INDEX(LMH_PTS,MATCH(K238,LMH_KEY,0)),0),IFERROR(INDEX(LMH_PTS,MATCH(L238,LMH_KEY,0)),0),IFERROR(INDEX(LMH_PTS,MATCH(M238,LMH_KEY,0)),0),IFERROR(INDEX(LMH_PTS,MATCH(N238,LMH_KEY,0)),0),IFERROR(INDEX(LMH_PTS,MATCH(O238,LMH_KEY,0)),0),IFERROR(INDEX(LMH_PTS,MATCH(P238,LMH_KEY,0)),0)),""))</f>
        <v>0.157894736842105</v>
      </c>
      <c r="V238" s="74">
        <f>IF(O238="","",IFERROR(INDEX(LMH_PTS,MATCH(O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W238" s="74">
        <f>IF(P238="","",IFERROR(INDEX(LMH_PTS,MATCH(P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X238" s="44" t="n"/>
      <c r="Y238" s="38" t="inlineStr">
        <is>
          <t>iDEAL|Sales|Senior Account Executive|B2|B-IC</t>
        </is>
      </c>
    </row>
    <row r="239" ht="18" customHeight="1">
      <c r="A239" s="28" t="inlineStr">
        <is>
          <t>iDEAL</t>
        </is>
      </c>
      <c r="B239" s="29" t="inlineStr">
        <is>
          <t>Sales</t>
        </is>
      </c>
      <c r="C239" s="75" t="inlineStr">
        <is>
          <t>A3</t>
        </is>
      </c>
      <c r="D239" s="29" t="inlineStr">
        <is>
          <t>Band A · Practitioner</t>
        </is>
      </c>
      <c r="E239" s="29" t="inlineStr">
        <is>
          <t>Account Executive</t>
        </is>
      </c>
      <c r="F239" s="29" t="inlineStr">
        <is>
          <t>Band A · all tracks</t>
        </is>
      </c>
      <c r="G239" s="29" t="inlineStr">
        <is>
          <t>Sales &amp; Business Development</t>
        </is>
      </c>
      <c r="H239" s="29" t="n">
        <v>1</v>
      </c>
      <c r="I239" s="29" t="inlineStr">
        <is>
          <t>Deepali Barai</t>
        </is>
      </c>
      <c r="J239" s="34" t="str">
        <f>IFERROR(INDEX(RBD_C,MATCH("Sales &amp; Business Development|A3|A",RBD_KEY,0)),"M")</f>
        <v>H</v>
      </c>
      <c r="K239" s="35" t="str">
        <f>IFERROR(INDEX(RBD_Au,MATCH("Sales &amp; Business Development|A3|A",RBD_KEY,0)),"M")</f>
        <v>M</v>
      </c>
      <c r="L239" s="35" t="str">
        <f>IFERROR(INDEX(RBD_Ac,MATCH("Sales &amp; Business Development|A3|A",RBD_KEY,0)),"M")</f>
        <v>L</v>
      </c>
      <c r="M239" s="35" t="str">
        <f>IFERROR(INDEX(RBD_L,MATCH("Sales &amp; Business Development|A3|A",RBD_KEY,0)),"M")</f>
        <v>L</v>
      </c>
      <c r="N239" s="35" t="str">
        <f>IFERROR(INDEX(RBD_BI,MATCH("Sales &amp; Business Development|A3|A",RBD_KEY,0)),"M")</f>
        <v>M</v>
      </c>
      <c r="O239" s="35" t="str">
        <f>IFERROR(INDEX(RBD_Exp,MATCH("Sales &amp; Business Development|A3|A",RBD_KEY,0)),"M")</f>
        <v>L</v>
      </c>
      <c r="P239" s="35" t="str">
        <f>IFERROR(INDEX(RBD_Edu,MATCH("Sales &amp; Business Development|A3|A",RBD_KEY,0)),"M")</f>
        <v>L</v>
      </c>
      <c r="Q239" s="73">
        <f>IF(J239="","",IFERROR(INDEX(LMH_PTS,MATCH(J239,LMH_KEY,0))/SUM(IFERROR(INDEX(LMH_PTS,MATCH(J239,LMH_KEY,0)),0),IFERROR(INDEX(LMH_PTS,MATCH(K239,LMH_KEY,0)),0),IFERROR(INDEX(LMH_PTS,MATCH(L239,LMH_KEY,0)),0),IFERROR(INDEX(LMH_PTS,MATCH(M239,LMH_KEY,0)),0),IFERROR(INDEX(LMH_PTS,MATCH(N239,LMH_KEY,0)),0),IFERROR(INDEX(LMH_PTS,MATCH(O239,LMH_KEY,0)),0),IFERROR(INDEX(LMH_PTS,MATCH(P239,LMH_KEY,0)),0)),""))</f>
        <v>0.473684210526316</v>
      </c>
      <c r="R239" s="74">
        <f>IF(K239="","",IFERROR(INDEX(LMH_PTS,MATCH(K239,LMH_KEY,0))/SUM(IFERROR(INDEX(LMH_PTS,MATCH(J239,LMH_KEY,0)),0),IFERROR(INDEX(LMH_PTS,MATCH(K239,LMH_KEY,0)),0),IFERROR(INDEX(LMH_PTS,MATCH(L239,LMH_KEY,0)),0),IFERROR(INDEX(LMH_PTS,MATCH(M239,LMH_KEY,0)),0),IFERROR(INDEX(LMH_PTS,MATCH(N239,LMH_KEY,0)),0),IFERROR(INDEX(LMH_PTS,MATCH(O239,LMH_KEY,0)),0),IFERROR(INDEX(LMH_PTS,MATCH(P239,LMH_KEY,0)),0)),""))</f>
        <v>0.157894736842105</v>
      </c>
      <c r="S239" s="74">
        <f>IF(L239="","",IFERROR(INDEX(LMH_PTS,MATCH(L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T239" s="74">
        <f>IF(M239="","",IFERROR(INDEX(LMH_PTS,MATCH(M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U239" s="74">
        <f>IF(N239="","",IFERROR(INDEX(LMH_PTS,MATCH(N239,LMH_KEY,0))/SUM(IFERROR(INDEX(LMH_PTS,MATCH(J239,LMH_KEY,0)),0),IFERROR(INDEX(LMH_PTS,MATCH(K239,LMH_KEY,0)),0),IFERROR(INDEX(LMH_PTS,MATCH(L239,LMH_KEY,0)),0),IFERROR(INDEX(LMH_PTS,MATCH(M239,LMH_KEY,0)),0),IFERROR(INDEX(LMH_PTS,MATCH(N239,LMH_KEY,0)),0),IFERROR(INDEX(LMH_PTS,MATCH(O239,LMH_KEY,0)),0),IFERROR(INDEX(LMH_PTS,MATCH(P239,LMH_KEY,0)),0)),""))</f>
        <v>0.157894736842105</v>
      </c>
      <c r="V239" s="74">
        <f>IF(O239="","",IFERROR(INDEX(LMH_PTS,MATCH(O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W239" s="74">
        <f>IF(P239="","",IFERROR(INDEX(LMH_PTS,MATCH(P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X239" s="44" t="n"/>
      <c r="Y239" s="38" t="inlineStr">
        <is>
          <t>iDEAL|Sales|Account Executive|A3|A</t>
        </is>
      </c>
    </row>
    <row r="240" ht="18" customHeight="1">
      <c r="A240" s="28" t="inlineStr">
        <is>
          <t>iDEAL</t>
        </is>
      </c>
      <c r="B240" s="29" t="inlineStr">
        <is>
          <t>Sales</t>
        </is>
      </c>
      <c r="C240" s="75" t="inlineStr">
        <is>
          <t>A3</t>
        </is>
      </c>
      <c r="D240" s="29" t="inlineStr">
        <is>
          <t>Band A · Practitioner</t>
        </is>
      </c>
      <c r="E240" s="29" t="inlineStr">
        <is>
          <t>Senior Alliances Executive</t>
        </is>
      </c>
      <c r="F240" s="29" t="inlineStr">
        <is>
          <t>Band A · all tracks</t>
        </is>
      </c>
      <c r="G240" s="29" t="inlineStr">
        <is>
          <t>Sales &amp; Business Development</t>
        </is>
      </c>
      <c r="H240" s="29" t="n">
        <v>1</v>
      </c>
      <c r="I240" s="29" t="inlineStr">
        <is>
          <t>Shreya Sharma</t>
        </is>
      </c>
      <c r="J240" s="34" t="str">
        <f>IFERROR(INDEX(RBD_C,MATCH("Sales &amp; Business Development|A3|A",RBD_KEY,0)),"M")</f>
        <v>H</v>
      </c>
      <c r="K240" s="35" t="str">
        <f>IFERROR(INDEX(RBD_Au,MATCH("Sales &amp; Business Development|A3|A",RBD_KEY,0)),"M")</f>
        <v>M</v>
      </c>
      <c r="L240" s="35" t="str">
        <f>IFERROR(INDEX(RBD_Ac,MATCH("Sales &amp; Business Development|A3|A",RBD_KEY,0)),"M")</f>
        <v>L</v>
      </c>
      <c r="M240" s="35" t="str">
        <f>IFERROR(INDEX(RBD_L,MATCH("Sales &amp; Business Development|A3|A",RBD_KEY,0)),"M")</f>
        <v>L</v>
      </c>
      <c r="N240" s="35" t="str">
        <f>IFERROR(INDEX(RBD_BI,MATCH("Sales &amp; Business Development|A3|A",RBD_KEY,0)),"M")</f>
        <v>M</v>
      </c>
      <c r="O240" s="35" t="str">
        <f>IFERROR(INDEX(RBD_Exp,MATCH("Sales &amp; Business Development|A3|A",RBD_KEY,0)),"M")</f>
        <v>L</v>
      </c>
      <c r="P240" s="35" t="str">
        <f>IFERROR(INDEX(RBD_Edu,MATCH("Sales &amp; Business Development|A3|A",RBD_KEY,0)),"M")</f>
        <v>L</v>
      </c>
      <c r="Q240" s="73">
        <f>IF(J240="","",IFERROR(INDEX(LMH_PTS,MATCH(J240,LMH_KEY,0))/SUM(IFERROR(INDEX(LMH_PTS,MATCH(J240,LMH_KEY,0)),0),IFERROR(INDEX(LMH_PTS,MATCH(K240,LMH_KEY,0)),0),IFERROR(INDEX(LMH_PTS,MATCH(L240,LMH_KEY,0)),0),IFERROR(INDEX(LMH_PTS,MATCH(M240,LMH_KEY,0)),0),IFERROR(INDEX(LMH_PTS,MATCH(N240,LMH_KEY,0)),0),IFERROR(INDEX(LMH_PTS,MATCH(O240,LMH_KEY,0)),0),IFERROR(INDEX(LMH_PTS,MATCH(P240,LMH_KEY,0)),0)),""))</f>
        <v>0.473684210526316</v>
      </c>
      <c r="R240" s="74">
        <f>IF(K240="","",IFERROR(INDEX(LMH_PTS,MATCH(K240,LMH_KEY,0))/SUM(IFERROR(INDEX(LMH_PTS,MATCH(J240,LMH_KEY,0)),0),IFERROR(INDEX(LMH_PTS,MATCH(K240,LMH_KEY,0)),0),IFERROR(INDEX(LMH_PTS,MATCH(L240,LMH_KEY,0)),0),IFERROR(INDEX(LMH_PTS,MATCH(M240,LMH_KEY,0)),0),IFERROR(INDEX(LMH_PTS,MATCH(N240,LMH_KEY,0)),0),IFERROR(INDEX(LMH_PTS,MATCH(O240,LMH_KEY,0)),0),IFERROR(INDEX(LMH_PTS,MATCH(P240,LMH_KEY,0)),0)),""))</f>
        <v>0.157894736842105</v>
      </c>
      <c r="S240" s="74">
        <f>IF(L240="","",IFERROR(INDEX(LMH_PTS,MATCH(L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T240" s="74">
        <f>IF(M240="","",IFERROR(INDEX(LMH_PTS,MATCH(M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U240" s="74">
        <f>IF(N240="","",IFERROR(INDEX(LMH_PTS,MATCH(N240,LMH_KEY,0))/SUM(IFERROR(INDEX(LMH_PTS,MATCH(J240,LMH_KEY,0)),0),IFERROR(INDEX(LMH_PTS,MATCH(K240,LMH_KEY,0)),0),IFERROR(INDEX(LMH_PTS,MATCH(L240,LMH_KEY,0)),0),IFERROR(INDEX(LMH_PTS,MATCH(M240,LMH_KEY,0)),0),IFERROR(INDEX(LMH_PTS,MATCH(N240,LMH_KEY,0)),0),IFERROR(INDEX(LMH_PTS,MATCH(O240,LMH_KEY,0)),0),IFERROR(INDEX(LMH_PTS,MATCH(P240,LMH_KEY,0)),0)),""))</f>
        <v>0.157894736842105</v>
      </c>
      <c r="V240" s="74">
        <f>IF(O240="","",IFERROR(INDEX(LMH_PTS,MATCH(O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W240" s="74">
        <f>IF(P240="","",IFERROR(INDEX(LMH_PTS,MATCH(P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X240" s="44" t="n"/>
      <c r="Y240" s="38" t="inlineStr">
        <is>
          <t>iDEAL|Sales|Senior Alliances Executive|A3|A</t>
        </is>
      </c>
    </row>
    <row r="241" ht="28" customHeight="1">
      <c r="A241" s="28" t="inlineStr">
        <is>
          <t>iDEAL</t>
        </is>
      </c>
      <c r="B241" s="29" t="inlineStr">
        <is>
          <t>Sales</t>
        </is>
      </c>
      <c r="C241" s="75" t="inlineStr">
        <is>
          <t>A1</t>
        </is>
      </c>
      <c r="D241" s="29" t="inlineStr">
        <is>
          <t>Band A · Practitioner</t>
        </is>
      </c>
      <c r="E241" s="29" t="inlineStr">
        <is>
          <t>Intern – Application &amp; Product Support</t>
        </is>
      </c>
      <c r="F241" s="29" t="inlineStr">
        <is>
          <t>Band A · all tracks</t>
        </is>
      </c>
      <c r="G241" s="29" t="inlineStr">
        <is>
          <t>Customer Success &amp; Support</t>
        </is>
      </c>
      <c r="H241" s="29" t="n">
        <v>1</v>
      </c>
      <c r="I241" s="29" t="inlineStr">
        <is>
          <t>Nehal Bohra</t>
        </is>
      </c>
      <c r="J241" s="34" t="str">
        <f>IFERROR(INDEX(RBD_C,MATCH("Customer Success &amp; Support|A1|A",RBD_KEY,0)),"M")</f>
        <v>H</v>
      </c>
      <c r="K241" s="35" t="str">
        <f>IFERROR(INDEX(RBD_Au,MATCH("Customer Success &amp; Support|A1|A",RBD_KEY,0)),"M")</f>
        <v>M</v>
      </c>
      <c r="L241" s="35" t="str">
        <f>IFERROR(INDEX(RBD_Ac,MATCH("Customer Success &amp; Support|A1|A",RBD_KEY,0)),"M")</f>
        <v>M</v>
      </c>
      <c r="M241" s="35" t="str">
        <f>IFERROR(INDEX(RBD_L,MATCH("Customer Success &amp; Support|A1|A",RBD_KEY,0)),"M")</f>
        <v>L</v>
      </c>
      <c r="N241" s="35" t="str">
        <f>IFERROR(INDEX(RBD_BI,MATCH("Customer Success &amp; Support|A1|A",RBD_KEY,0)),"M")</f>
        <v>M</v>
      </c>
      <c r="O241" s="35" t="str">
        <f>IFERROR(INDEX(RBD_Exp,MATCH("Customer Success &amp; Support|A1|A",RBD_KEY,0)),"M")</f>
        <v>L</v>
      </c>
      <c r="P241" s="35" t="str">
        <f>IFERROR(INDEX(RBD_Edu,MATCH("Customer Success &amp; Support|A1|A",RBD_KEY,0)),"M")</f>
        <v>L</v>
      </c>
      <c r="Q241" s="73">
        <f>IF(J241="","",IFERROR(INDEX(LMH_PTS,MATCH(J241,LMH_KEY,0))/SUM(IFERROR(INDEX(LMH_PTS,MATCH(J241,LMH_KEY,0)),0),IFERROR(INDEX(LMH_PTS,MATCH(K241,LMH_KEY,0)),0),IFERROR(INDEX(LMH_PTS,MATCH(L241,LMH_KEY,0)),0),IFERROR(INDEX(LMH_PTS,MATCH(M241,LMH_KEY,0)),0),IFERROR(INDEX(LMH_PTS,MATCH(N241,LMH_KEY,0)),0),IFERROR(INDEX(LMH_PTS,MATCH(O241,LMH_KEY,0)),0),IFERROR(INDEX(LMH_PTS,MATCH(P241,LMH_KEY,0)),0)),""))</f>
        <v>0.428571428571429</v>
      </c>
      <c r="R241" s="74">
        <f>IF(K241="","",IFERROR(INDEX(LMH_PTS,MATCH(K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S241" s="74">
        <f>IF(L241="","",IFERROR(INDEX(LMH_PTS,MATCH(L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T241" s="74">
        <f>IF(M241="","",IFERROR(INDEX(LMH_PTS,MATCH(M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U241" s="74">
        <f>IF(N241="","",IFERROR(INDEX(LMH_PTS,MATCH(N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V241" s="74">
        <f>IF(O241="","",IFERROR(INDEX(LMH_PTS,MATCH(O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W241" s="74">
        <f>IF(P241="","",IFERROR(INDEX(LMH_PTS,MATCH(P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X241" s="44" t="n"/>
      <c r="Y241" s="38" t="inlineStr">
        <is>
          <t>iDEAL|Sales|Intern – Application &amp; Product Support|A1|A</t>
        </is>
      </c>
    </row>
    <row r="242" ht="40.5" customHeight="1">
      <c r="A242" s="28" t="inlineStr">
        <is>
          <t>iDEAL</t>
        </is>
      </c>
      <c r="B242" s="71" t="inlineStr">
        <is>
          <t>Technology</t>
        </is>
      </c>
      <c r="C242" s="80" t="inlineStr">
        <is>
          <t>B+</t>
        </is>
      </c>
      <c r="D242" s="29" t="inlineStr">
        <is>
          <t>B+ · Player-Coach</t>
        </is>
      </c>
      <c r="E242" s="29" t="inlineStr">
        <is>
          <t>Practice Lead – Solution &amp; Technical Architecture · Player-Coach</t>
        </is>
      </c>
      <c r="F242" s="29" t="inlineStr">
        <is>
          <t>B+ · Player-Coach</t>
        </is>
      </c>
      <c r="G242" s="29" t="inlineStr">
        <is>
          <t>Engineering &amp; Architecture</t>
        </is>
      </c>
      <c r="H242" s="29" t="n">
        <v>1</v>
      </c>
      <c r="I242" s="29" t="inlineStr">
        <is>
          <t>Jitendra Kumar</t>
        </is>
      </c>
      <c r="J242" s="34" t="str">
        <f>IFERROR(INDEX(RBD_C,MATCH("Engineering &amp; Architecture|B+|B+",RBD_KEY,0)),"M")</f>
        <v>H</v>
      </c>
      <c r="K242" s="35" t="str">
        <f>IFERROR(INDEX(RBD_Au,MATCH("Engineering &amp; Architecture|B+|B+",RBD_KEY,0)),"M")</f>
        <v>M</v>
      </c>
      <c r="L242" s="35" t="str">
        <f>IFERROR(INDEX(RBD_Ac,MATCH("Engineering &amp; Architecture|B+|B+",RBD_KEY,0)),"M")</f>
        <v>L</v>
      </c>
      <c r="M242" s="35" t="str">
        <f>IFERROR(INDEX(RBD_L,MATCH("Engineering &amp; Architecture|B+|B+",RBD_KEY,0)),"M")</f>
        <v>M</v>
      </c>
      <c r="N242" s="35" t="str">
        <f>IFERROR(INDEX(RBD_BI,MATCH("Engineering &amp; Architecture|B+|B+",RBD_KEY,0)),"M")</f>
        <v>L</v>
      </c>
      <c r="O242" s="35" t="str">
        <f>IFERROR(INDEX(RBD_Exp,MATCH("Engineering &amp; Architecture|B+|B+",RBD_KEY,0)),"M")</f>
        <v>L</v>
      </c>
      <c r="P242" s="35" t="str">
        <f>IFERROR(INDEX(RBD_Edu,MATCH("Engineering &amp; Architecture|B+|B+",RBD_KEY,0)),"M")</f>
        <v>L</v>
      </c>
      <c r="Q242" s="73">
        <f>IF(J242="","",IFERROR(INDEX(LMH_PTS,MATCH(J242,LMH_KEY,0))/SUM(IFERROR(INDEX(LMH_PTS,MATCH(J242,LMH_KEY,0)),0),IFERROR(INDEX(LMH_PTS,MATCH(K242,LMH_KEY,0)),0),IFERROR(INDEX(LMH_PTS,MATCH(L242,LMH_KEY,0)),0),IFERROR(INDEX(LMH_PTS,MATCH(M242,LMH_KEY,0)),0),IFERROR(INDEX(LMH_PTS,MATCH(N242,LMH_KEY,0)),0),IFERROR(INDEX(LMH_PTS,MATCH(O242,LMH_KEY,0)),0),IFERROR(INDEX(LMH_PTS,MATCH(P242,LMH_KEY,0)),0)),""))</f>
        <v>0.473684210526316</v>
      </c>
      <c r="R242" s="74">
        <f>IF(K242="","",IFERROR(INDEX(LMH_PTS,MATCH(K242,LMH_KEY,0))/SUM(IFERROR(INDEX(LMH_PTS,MATCH(J242,LMH_KEY,0)),0),IFERROR(INDEX(LMH_PTS,MATCH(K242,LMH_KEY,0)),0),IFERROR(INDEX(LMH_PTS,MATCH(L242,LMH_KEY,0)),0),IFERROR(INDEX(LMH_PTS,MATCH(M242,LMH_KEY,0)),0),IFERROR(INDEX(LMH_PTS,MATCH(N242,LMH_KEY,0)),0),IFERROR(INDEX(LMH_PTS,MATCH(O242,LMH_KEY,0)),0),IFERROR(INDEX(LMH_PTS,MATCH(P242,LMH_KEY,0)),0)),""))</f>
        <v>0.157894736842105</v>
      </c>
      <c r="S242" s="74">
        <f>IF(L242="","",IFERROR(INDEX(LMH_PTS,MATCH(L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T242" s="74">
        <f>IF(M242="","",IFERROR(INDEX(LMH_PTS,MATCH(M242,LMH_KEY,0))/SUM(IFERROR(INDEX(LMH_PTS,MATCH(J242,LMH_KEY,0)),0),IFERROR(INDEX(LMH_PTS,MATCH(K242,LMH_KEY,0)),0),IFERROR(INDEX(LMH_PTS,MATCH(L242,LMH_KEY,0)),0),IFERROR(INDEX(LMH_PTS,MATCH(M242,LMH_KEY,0)),0),IFERROR(INDEX(LMH_PTS,MATCH(N242,LMH_KEY,0)),0),IFERROR(INDEX(LMH_PTS,MATCH(O242,LMH_KEY,0)),0),IFERROR(INDEX(LMH_PTS,MATCH(P242,LMH_KEY,0)),0)),""))</f>
        <v>0.157894736842105</v>
      </c>
      <c r="U242" s="74">
        <f>IF(N242="","",IFERROR(INDEX(LMH_PTS,MATCH(N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V242" s="74">
        <f>IF(O242="","",IFERROR(INDEX(LMH_PTS,MATCH(O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W242" s="74">
        <f>IF(P242="","",IFERROR(INDEX(LMH_PTS,MATCH(P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X242" s="44" t="n"/>
      <c r="Y242" s="38" t="inlineStr">
        <is>
          <t>iDEAL|Technology|Practice Lead – Solution &amp; Technical Architecture · Player-Coach|B+|B+</t>
        </is>
      </c>
    </row>
    <row r="243" ht="18" customHeight="1">
      <c r="A243" s="28" t="inlineStr">
        <is>
          <t>iDEAL</t>
        </is>
      </c>
      <c r="B243" s="29" t="inlineStr">
        <is>
          <t>Technology</t>
        </is>
      </c>
      <c r="C243" s="72" t="inlineStr">
        <is>
          <t>B3</t>
        </is>
      </c>
      <c r="D243" s="29" t="inlineStr">
        <is>
          <t>Band B · Specialist / Manager</t>
        </is>
      </c>
      <c r="E243" s="29" t="inlineStr">
        <is>
          <t>Lead Software Engineer</t>
        </is>
      </c>
      <c r="F243" s="29" t="inlineStr">
        <is>
          <t>Band B · Specialist / POD Lead</t>
        </is>
      </c>
      <c r="G243" s="29" t="inlineStr">
        <is>
          <t>Engineering &amp; Development</t>
        </is>
      </c>
      <c r="H243" s="29" t="n">
        <v>1</v>
      </c>
      <c r="I243" s="29" t="inlineStr">
        <is>
          <t>Ravi Ranjan</t>
        </is>
      </c>
      <c r="J243" s="34" t="str">
        <f>IFERROR(INDEX(RBD_C,MATCH("Engineering &amp; Development|B3|B-IC",RBD_KEY,0)),"M")</f>
        <v>H</v>
      </c>
      <c r="K243" s="35" t="str">
        <f>IFERROR(INDEX(RBD_Au,MATCH("Engineering &amp; Development|B3|B-IC",RBD_KEY,0)),"M")</f>
        <v>M</v>
      </c>
      <c r="L243" s="35" t="str">
        <f>IFERROR(INDEX(RBD_Ac,MATCH("Engineering &amp; Development|B3|B-IC",RBD_KEY,0)),"M")</f>
        <v>L</v>
      </c>
      <c r="M243" s="35" t="str">
        <f>IFERROR(INDEX(RBD_L,MATCH("Engineering &amp; Development|B3|B-IC",RBD_KEY,0)),"M")</f>
        <v>L</v>
      </c>
      <c r="N243" s="35" t="str">
        <f>IFERROR(INDEX(RBD_BI,MATCH("Engineering &amp; Development|B3|B-IC",RBD_KEY,0)),"M")</f>
        <v>L</v>
      </c>
      <c r="O243" s="35" t="str">
        <f>IFERROR(INDEX(RBD_Exp,MATCH("Engineering &amp; Development|B3|B-IC",RBD_KEY,0)),"M")</f>
        <v>L</v>
      </c>
      <c r="P243" s="35" t="str">
        <f>IFERROR(INDEX(RBD_Edu,MATCH("Engineering &amp; Development|B3|B-IC",RBD_KEY,0)),"M")</f>
        <v>L</v>
      </c>
      <c r="Q243" s="73">
        <f>IF(J243="","",IFERROR(INDEX(LMH_PTS,MATCH(J243,LMH_KEY,0))/SUM(IFERROR(INDEX(LMH_PTS,MATCH(J243,LMH_KEY,0)),0),IFERROR(INDEX(LMH_PTS,MATCH(K243,LMH_KEY,0)),0),IFERROR(INDEX(LMH_PTS,MATCH(L243,LMH_KEY,0)),0),IFERROR(INDEX(LMH_PTS,MATCH(M243,LMH_KEY,0)),0),IFERROR(INDEX(LMH_PTS,MATCH(N243,LMH_KEY,0)),0),IFERROR(INDEX(LMH_PTS,MATCH(O243,LMH_KEY,0)),0),IFERROR(INDEX(LMH_PTS,MATCH(P243,LMH_KEY,0)),0)),""))</f>
        <v>0.529411764705882</v>
      </c>
      <c r="R243" s="74">
        <f>IF(K243="","",IFERROR(INDEX(LMH_PTS,MATCH(K243,LMH_KEY,0))/SUM(IFERROR(INDEX(LMH_PTS,MATCH(J243,LMH_KEY,0)),0),IFERROR(INDEX(LMH_PTS,MATCH(K243,LMH_KEY,0)),0),IFERROR(INDEX(LMH_PTS,MATCH(L243,LMH_KEY,0)),0),IFERROR(INDEX(LMH_PTS,MATCH(M243,LMH_KEY,0)),0),IFERROR(INDEX(LMH_PTS,MATCH(N243,LMH_KEY,0)),0),IFERROR(INDEX(LMH_PTS,MATCH(O243,LMH_KEY,0)),0),IFERROR(INDEX(LMH_PTS,MATCH(P243,LMH_KEY,0)),0)),""))</f>
        <v>0.176470588235294</v>
      </c>
      <c r="S243" s="74">
        <f>IF(L243="","",IFERROR(INDEX(LMH_PTS,MATCH(L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T243" s="74">
        <f>IF(M243="","",IFERROR(INDEX(LMH_PTS,MATCH(M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U243" s="74">
        <f>IF(N243="","",IFERROR(INDEX(LMH_PTS,MATCH(N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V243" s="74">
        <f>IF(O243="","",IFERROR(INDEX(LMH_PTS,MATCH(O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W243" s="74">
        <f>IF(P243="","",IFERROR(INDEX(LMH_PTS,MATCH(P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X243" s="44" t="n"/>
      <c r="Y243" s="38" t="inlineStr">
        <is>
          <t>iDEAL|Technology|Lead Software Engineer|B3|B-IC</t>
        </is>
      </c>
    </row>
    <row r="244" ht="18" customHeight="1">
      <c r="A244" s="28" t="inlineStr">
        <is>
          <t>iDEAL</t>
        </is>
      </c>
      <c r="B244" s="29" t="inlineStr">
        <is>
          <t>Technology</t>
        </is>
      </c>
      <c r="C244" s="72" t="inlineStr">
        <is>
          <t>B1</t>
        </is>
      </c>
      <c r="D244" s="29" t="inlineStr">
        <is>
          <t>Band B · Specialist / Manager</t>
        </is>
      </c>
      <c r="E244" s="29" t="inlineStr">
        <is>
          <t>Associate Project Manager</t>
        </is>
      </c>
      <c r="F244" s="29" t="inlineStr">
        <is>
          <t>Band B · Specialist / POD Lead</t>
        </is>
      </c>
      <c r="G244" s="29" t="inlineStr">
        <is>
          <t>Project &amp; Program Management</t>
        </is>
      </c>
      <c r="H244" s="29" t="n">
        <v>1</v>
      </c>
      <c r="I244" s="29" t="inlineStr">
        <is>
          <t>Anand Usakoyal</t>
        </is>
      </c>
      <c r="J244" s="34" t="str">
        <f>IFERROR(INDEX(RBD_C,MATCH("Project &amp; Program Management|B1|B-IC",RBD_KEY,0)),"M")</f>
        <v>H</v>
      </c>
      <c r="K244" s="35" t="str">
        <f>IFERROR(INDEX(RBD_Au,MATCH("Project &amp; Program Management|B1|B-IC",RBD_KEY,0)),"M")</f>
        <v>M</v>
      </c>
      <c r="L244" s="35" t="str">
        <f>IFERROR(INDEX(RBD_Ac,MATCH("Project &amp; Program Management|B1|B-IC",RBD_KEY,0)),"M")</f>
        <v>L</v>
      </c>
      <c r="M244" s="35" t="str">
        <f>IFERROR(INDEX(RBD_L,MATCH("Project &amp; Program Management|B1|B-IC",RBD_KEY,0)),"M")</f>
        <v>L</v>
      </c>
      <c r="N244" s="35" t="str">
        <f>IFERROR(INDEX(RBD_BI,MATCH("Project &amp; Program Management|B1|B-IC",RBD_KEY,0)),"M")</f>
        <v>L</v>
      </c>
      <c r="O244" s="35" t="str">
        <f>IFERROR(INDEX(RBD_Exp,MATCH("Project &amp; Program Management|B1|B-IC",RBD_KEY,0)),"M")</f>
        <v>L</v>
      </c>
      <c r="P244" s="35" t="str">
        <f>IFERROR(INDEX(RBD_Edu,MATCH("Project &amp; Program Management|B1|B-IC",RBD_KEY,0)),"M")</f>
        <v>L</v>
      </c>
      <c r="Q244" s="73">
        <f>IF(J244="","",IFERROR(INDEX(LMH_PTS,MATCH(J244,LMH_KEY,0))/SUM(IFERROR(INDEX(LMH_PTS,MATCH(J244,LMH_KEY,0)),0),IFERROR(INDEX(LMH_PTS,MATCH(K244,LMH_KEY,0)),0),IFERROR(INDEX(LMH_PTS,MATCH(L244,LMH_KEY,0)),0),IFERROR(INDEX(LMH_PTS,MATCH(M244,LMH_KEY,0)),0),IFERROR(INDEX(LMH_PTS,MATCH(N244,LMH_KEY,0)),0),IFERROR(INDEX(LMH_PTS,MATCH(O244,LMH_KEY,0)),0),IFERROR(INDEX(LMH_PTS,MATCH(P244,LMH_KEY,0)),0)),""))</f>
        <v>0.529411764705882</v>
      </c>
      <c r="R244" s="74">
        <f>IF(K244="","",IFERROR(INDEX(LMH_PTS,MATCH(K244,LMH_KEY,0))/SUM(IFERROR(INDEX(LMH_PTS,MATCH(J244,LMH_KEY,0)),0),IFERROR(INDEX(LMH_PTS,MATCH(K244,LMH_KEY,0)),0),IFERROR(INDEX(LMH_PTS,MATCH(L244,LMH_KEY,0)),0),IFERROR(INDEX(LMH_PTS,MATCH(M244,LMH_KEY,0)),0),IFERROR(INDEX(LMH_PTS,MATCH(N244,LMH_KEY,0)),0),IFERROR(INDEX(LMH_PTS,MATCH(O244,LMH_KEY,0)),0),IFERROR(INDEX(LMH_PTS,MATCH(P244,LMH_KEY,0)),0)),""))</f>
        <v>0.176470588235294</v>
      </c>
      <c r="S244" s="74">
        <f>IF(L244="","",IFERROR(INDEX(LMH_PTS,MATCH(L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T244" s="74">
        <f>IF(M244="","",IFERROR(INDEX(LMH_PTS,MATCH(M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U244" s="74">
        <f>IF(N244="","",IFERROR(INDEX(LMH_PTS,MATCH(N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V244" s="74">
        <f>IF(O244="","",IFERROR(INDEX(LMH_PTS,MATCH(O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W244" s="74">
        <f>IF(P244="","",IFERROR(INDEX(LMH_PTS,MATCH(P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X244" s="44" t="n"/>
      <c r="Y244" s="38" t="inlineStr">
        <is>
          <t>iDEAL|Technology|Associate Project Manager|B1|B-IC</t>
        </is>
      </c>
    </row>
    <row r="245" ht="28" customHeight="1">
      <c r="A245" s="28" t="inlineStr">
        <is>
          <t>iDEAL</t>
        </is>
      </c>
      <c r="B245" s="29" t="inlineStr">
        <is>
          <t>Technology</t>
        </is>
      </c>
      <c r="C245" s="72" t="inlineStr">
        <is>
          <t>B1</t>
        </is>
      </c>
      <c r="D245" s="29" t="inlineStr">
        <is>
          <t>Band B · Specialist / Manager</t>
        </is>
      </c>
      <c r="E245" s="29" t="inlineStr">
        <is>
          <t>Business Analysis Specialist</t>
        </is>
      </c>
      <c r="F245" s="29" t="inlineStr">
        <is>
          <t>Band B · Specialist / POD Lead</t>
        </is>
      </c>
      <c r="G245" s="29" t="inlineStr">
        <is>
          <t>Business Analysis</t>
        </is>
      </c>
      <c r="H245" s="29" t="n">
        <v>2</v>
      </c>
      <c r="I245" s="29" t="inlineStr">
        <is>
          <t>Anand Shinde, Kailash Sahu</t>
        </is>
      </c>
      <c r="J245" s="34" t="str">
        <f>IFERROR(INDEX(RBD_C,MATCH("Business Analysis|B1|B-IC",RBD_KEY,0)),"M")</f>
        <v>H</v>
      </c>
      <c r="K245" s="35" t="str">
        <f>IFERROR(INDEX(RBD_Au,MATCH("Business Analysis|B1|B-IC",RBD_KEY,0)),"M")</f>
        <v>M</v>
      </c>
      <c r="L245" s="35" t="str">
        <f>IFERROR(INDEX(RBD_Ac,MATCH("Business Analysis|B1|B-IC",RBD_KEY,0)),"M")</f>
        <v>L</v>
      </c>
      <c r="M245" s="35" t="str">
        <f>IFERROR(INDEX(RBD_L,MATCH("Business Analysis|B1|B-IC",RBD_KEY,0)),"M")</f>
        <v>L</v>
      </c>
      <c r="N245" s="35" t="str">
        <f>IFERROR(INDEX(RBD_BI,MATCH("Business Analysis|B1|B-IC",RBD_KEY,0)),"M")</f>
        <v>L</v>
      </c>
      <c r="O245" s="35" t="str">
        <f>IFERROR(INDEX(RBD_Exp,MATCH("Business Analysis|B1|B-IC",RBD_KEY,0)),"M")</f>
        <v>L</v>
      </c>
      <c r="P245" s="35" t="str">
        <f>IFERROR(INDEX(RBD_Edu,MATCH("Business Analysis|B1|B-IC",RBD_KEY,0)),"M")</f>
        <v>L</v>
      </c>
      <c r="Q245" s="73">
        <f>IF(J245="","",IFERROR(INDEX(LMH_PTS,MATCH(J245,LMH_KEY,0))/SUM(IFERROR(INDEX(LMH_PTS,MATCH(J245,LMH_KEY,0)),0),IFERROR(INDEX(LMH_PTS,MATCH(K245,LMH_KEY,0)),0),IFERROR(INDEX(LMH_PTS,MATCH(L245,LMH_KEY,0)),0),IFERROR(INDEX(LMH_PTS,MATCH(M245,LMH_KEY,0)),0),IFERROR(INDEX(LMH_PTS,MATCH(N245,LMH_KEY,0)),0),IFERROR(INDEX(LMH_PTS,MATCH(O245,LMH_KEY,0)),0),IFERROR(INDEX(LMH_PTS,MATCH(P245,LMH_KEY,0)),0)),""))</f>
        <v>0.529411764705882</v>
      </c>
      <c r="R245" s="74">
        <f>IF(K245="","",IFERROR(INDEX(LMH_PTS,MATCH(K245,LMH_KEY,0))/SUM(IFERROR(INDEX(LMH_PTS,MATCH(J245,LMH_KEY,0)),0),IFERROR(INDEX(LMH_PTS,MATCH(K245,LMH_KEY,0)),0),IFERROR(INDEX(LMH_PTS,MATCH(L245,LMH_KEY,0)),0),IFERROR(INDEX(LMH_PTS,MATCH(M245,LMH_KEY,0)),0),IFERROR(INDEX(LMH_PTS,MATCH(N245,LMH_KEY,0)),0),IFERROR(INDEX(LMH_PTS,MATCH(O245,LMH_KEY,0)),0),IFERROR(INDEX(LMH_PTS,MATCH(P245,LMH_KEY,0)),0)),""))</f>
        <v>0.176470588235294</v>
      </c>
      <c r="S245" s="74">
        <f>IF(L245="","",IFERROR(INDEX(LMH_PTS,MATCH(L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T245" s="74">
        <f>IF(M245="","",IFERROR(INDEX(LMH_PTS,MATCH(M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U245" s="74">
        <f>IF(N245="","",IFERROR(INDEX(LMH_PTS,MATCH(N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V245" s="74">
        <f>IF(O245="","",IFERROR(INDEX(LMH_PTS,MATCH(O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W245" s="74">
        <f>IF(P245="","",IFERROR(INDEX(LMH_PTS,MATCH(P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X245" s="44" t="n"/>
      <c r="Y245" s="38" t="inlineStr">
        <is>
          <t>iDEAL|Technology|Business Analysis Specialist|B1|B-IC</t>
        </is>
      </c>
    </row>
    <row r="246" ht="28" customHeight="1">
      <c r="A246" s="28" t="inlineStr">
        <is>
          <t>iDEAL</t>
        </is>
      </c>
      <c r="B246" s="29" t="inlineStr">
        <is>
          <t>Technology</t>
        </is>
      </c>
      <c r="C246" s="72" t="inlineStr">
        <is>
          <t>B1</t>
        </is>
      </c>
      <c r="D246" s="29" t="inlineStr">
        <is>
          <t>Band B · Specialist / Manager</t>
        </is>
      </c>
      <c r="E246" s="29" t="inlineStr">
        <is>
          <t>Business Analysis Specialist – POD Lead</t>
        </is>
      </c>
      <c r="F246" s="29" t="inlineStr">
        <is>
          <t>Band B · Specialist / POD Lead</t>
        </is>
      </c>
      <c r="G246" s="29" t="inlineStr">
        <is>
          <t>Business Analysis</t>
        </is>
      </c>
      <c r="H246" s="29" t="n">
        <v>1</v>
      </c>
      <c r="I246" s="29" t="inlineStr">
        <is>
          <t>Phuzel Siddiqui</t>
        </is>
      </c>
      <c r="J246" s="34" t="str">
        <f>IFERROR(INDEX(RBD_C,MATCH("Business Analysis|B1|B-IC",RBD_KEY,0)),"M")</f>
        <v>H</v>
      </c>
      <c r="K246" s="35" t="str">
        <f>IFERROR(INDEX(RBD_Au,MATCH("Business Analysis|B1|B-IC",RBD_KEY,0)),"M")</f>
        <v>M</v>
      </c>
      <c r="L246" s="35" t="str">
        <f>IFERROR(INDEX(RBD_Ac,MATCH("Business Analysis|B1|B-IC",RBD_KEY,0)),"M")</f>
        <v>L</v>
      </c>
      <c r="M246" s="35" t="str">
        <f>IFERROR(INDEX(RBD_L,MATCH("Business Analysis|B1|B-IC",RBD_KEY,0)),"M")</f>
        <v>L</v>
      </c>
      <c r="N246" s="35" t="str">
        <f>IFERROR(INDEX(RBD_BI,MATCH("Business Analysis|B1|B-IC",RBD_KEY,0)),"M")</f>
        <v>L</v>
      </c>
      <c r="O246" s="35" t="str">
        <f>IFERROR(INDEX(RBD_Exp,MATCH("Business Analysis|B1|B-IC",RBD_KEY,0)),"M")</f>
        <v>L</v>
      </c>
      <c r="P246" s="35" t="str">
        <f>IFERROR(INDEX(RBD_Edu,MATCH("Business Analysis|B1|B-IC",RBD_KEY,0)),"M")</f>
        <v>L</v>
      </c>
      <c r="Q246" s="73">
        <f>IF(J246="","",IFERROR(INDEX(LMH_PTS,MATCH(J246,LMH_KEY,0))/SUM(IFERROR(INDEX(LMH_PTS,MATCH(J246,LMH_KEY,0)),0),IFERROR(INDEX(LMH_PTS,MATCH(K246,LMH_KEY,0)),0),IFERROR(INDEX(LMH_PTS,MATCH(L246,LMH_KEY,0)),0),IFERROR(INDEX(LMH_PTS,MATCH(M246,LMH_KEY,0)),0),IFERROR(INDEX(LMH_PTS,MATCH(N246,LMH_KEY,0)),0),IFERROR(INDEX(LMH_PTS,MATCH(O246,LMH_KEY,0)),0),IFERROR(INDEX(LMH_PTS,MATCH(P246,LMH_KEY,0)),0)),""))</f>
        <v>0.529411764705882</v>
      </c>
      <c r="R246" s="74">
        <f>IF(K246="","",IFERROR(INDEX(LMH_PTS,MATCH(K246,LMH_KEY,0))/SUM(IFERROR(INDEX(LMH_PTS,MATCH(J246,LMH_KEY,0)),0),IFERROR(INDEX(LMH_PTS,MATCH(K246,LMH_KEY,0)),0),IFERROR(INDEX(LMH_PTS,MATCH(L246,LMH_KEY,0)),0),IFERROR(INDEX(LMH_PTS,MATCH(M246,LMH_KEY,0)),0),IFERROR(INDEX(LMH_PTS,MATCH(N246,LMH_KEY,0)),0),IFERROR(INDEX(LMH_PTS,MATCH(O246,LMH_KEY,0)),0),IFERROR(INDEX(LMH_PTS,MATCH(P246,LMH_KEY,0)),0)),""))</f>
        <v>0.176470588235294</v>
      </c>
      <c r="S246" s="74">
        <f>IF(L246="","",IFERROR(INDEX(LMH_PTS,MATCH(L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T246" s="74">
        <f>IF(M246="","",IFERROR(INDEX(LMH_PTS,MATCH(M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U246" s="74">
        <f>IF(N246="","",IFERROR(INDEX(LMH_PTS,MATCH(N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V246" s="74">
        <f>IF(O246="","",IFERROR(INDEX(LMH_PTS,MATCH(O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W246" s="74">
        <f>IF(P246="","",IFERROR(INDEX(LMH_PTS,MATCH(P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X246" s="44" t="n"/>
      <c r="Y246" s="38" t="inlineStr">
        <is>
          <t>iDEAL|Technology|Business Analysis Specialist – POD Lead|B1|B-IC</t>
        </is>
      </c>
    </row>
    <row r="247" ht="28" customHeight="1">
      <c r="A247" s="28" t="inlineStr">
        <is>
          <t>iDEAL</t>
        </is>
      </c>
      <c r="B247" s="29" t="inlineStr">
        <is>
          <t>Technology</t>
        </is>
      </c>
      <c r="C247" s="72" t="inlineStr">
        <is>
          <t>B1</t>
        </is>
      </c>
      <c r="D247" s="29" t="inlineStr">
        <is>
          <t>Band B · Specialist / Manager</t>
        </is>
      </c>
      <c r="E247" s="29" t="inlineStr">
        <is>
          <t>Database Specialist – POD Lead</t>
        </is>
      </c>
      <c r="F247" s="29" t="inlineStr">
        <is>
          <t>Band B · Specialist / POD Lead</t>
        </is>
      </c>
      <c r="G247" s="29" t="inlineStr">
        <is>
          <t>Engineering &amp; Development</t>
        </is>
      </c>
      <c r="H247" s="29" t="n">
        <v>1</v>
      </c>
      <c r="I247" s="29" t="inlineStr">
        <is>
          <t>Jignasha Sawla</t>
        </is>
      </c>
      <c r="J247" s="34" t="str">
        <f>IFERROR(INDEX(RBD_C,MATCH("Engineering &amp; Development|B1|B-IC",RBD_KEY,0)),"M")</f>
        <v>H</v>
      </c>
      <c r="K247" s="35" t="str">
        <f>IFERROR(INDEX(RBD_Au,MATCH("Engineering &amp; Development|B1|B-IC",RBD_KEY,0)),"M")</f>
        <v>M</v>
      </c>
      <c r="L247" s="35" t="str">
        <f>IFERROR(INDEX(RBD_Ac,MATCH("Engineering &amp; Development|B1|B-IC",RBD_KEY,0)),"M")</f>
        <v>L</v>
      </c>
      <c r="M247" s="35" t="str">
        <f>IFERROR(INDEX(RBD_L,MATCH("Engineering &amp; Development|B1|B-IC",RBD_KEY,0)),"M")</f>
        <v>L</v>
      </c>
      <c r="N247" s="35" t="str">
        <f>IFERROR(INDEX(RBD_BI,MATCH("Engineering &amp; Development|B1|B-IC",RBD_KEY,0)),"M")</f>
        <v>L</v>
      </c>
      <c r="O247" s="35" t="str">
        <f>IFERROR(INDEX(RBD_Exp,MATCH("Engineering &amp; Development|B1|B-IC",RBD_KEY,0)),"M")</f>
        <v>L</v>
      </c>
      <c r="P247" s="35" t="str">
        <f>IFERROR(INDEX(RBD_Edu,MATCH("Engineering &amp; Development|B1|B-IC",RBD_KEY,0)),"M")</f>
        <v>L</v>
      </c>
      <c r="Q247" s="73">
        <f>IF(J247="","",IFERROR(INDEX(LMH_PTS,MATCH(J247,LMH_KEY,0))/SUM(IFERROR(INDEX(LMH_PTS,MATCH(J247,LMH_KEY,0)),0),IFERROR(INDEX(LMH_PTS,MATCH(K247,LMH_KEY,0)),0),IFERROR(INDEX(LMH_PTS,MATCH(L247,LMH_KEY,0)),0),IFERROR(INDEX(LMH_PTS,MATCH(M247,LMH_KEY,0)),0),IFERROR(INDEX(LMH_PTS,MATCH(N247,LMH_KEY,0)),0),IFERROR(INDEX(LMH_PTS,MATCH(O247,LMH_KEY,0)),0),IFERROR(INDEX(LMH_PTS,MATCH(P247,LMH_KEY,0)),0)),""))</f>
        <v>0.529411764705882</v>
      </c>
      <c r="R247" s="74">
        <f>IF(K247="","",IFERROR(INDEX(LMH_PTS,MATCH(K247,LMH_KEY,0))/SUM(IFERROR(INDEX(LMH_PTS,MATCH(J247,LMH_KEY,0)),0),IFERROR(INDEX(LMH_PTS,MATCH(K247,LMH_KEY,0)),0),IFERROR(INDEX(LMH_PTS,MATCH(L247,LMH_KEY,0)),0),IFERROR(INDEX(LMH_PTS,MATCH(M247,LMH_KEY,0)),0),IFERROR(INDEX(LMH_PTS,MATCH(N247,LMH_KEY,0)),0),IFERROR(INDEX(LMH_PTS,MATCH(O247,LMH_KEY,0)),0),IFERROR(INDEX(LMH_PTS,MATCH(P247,LMH_KEY,0)),0)),""))</f>
        <v>0.176470588235294</v>
      </c>
      <c r="S247" s="74">
        <f>IF(L247="","",IFERROR(INDEX(LMH_PTS,MATCH(L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T247" s="74">
        <f>IF(M247="","",IFERROR(INDEX(LMH_PTS,MATCH(M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U247" s="74">
        <f>IF(N247="","",IFERROR(INDEX(LMH_PTS,MATCH(N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V247" s="74">
        <f>IF(O247="","",IFERROR(INDEX(LMH_PTS,MATCH(O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W247" s="74">
        <f>IF(P247="","",IFERROR(INDEX(LMH_PTS,MATCH(P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X247" s="44" t="n"/>
      <c r="Y247" s="38" t="inlineStr">
        <is>
          <t>iDEAL|Technology|Database Specialist – POD Lead|B1|B-IC</t>
        </is>
      </c>
    </row>
    <row r="248" ht="28" customHeight="1">
      <c r="A248" s="28" t="inlineStr">
        <is>
          <t>iDEAL</t>
        </is>
      </c>
      <c r="B248" s="29" t="inlineStr">
        <is>
          <t>Technology</t>
        </is>
      </c>
      <c r="C248" s="72" t="inlineStr">
        <is>
          <t>B1</t>
        </is>
      </c>
      <c r="D248" s="29" t="inlineStr">
        <is>
          <t>Band B · Specialist / Manager</t>
        </is>
      </c>
      <c r="E248" s="29" t="inlineStr">
        <is>
          <t>Senior Business Analysis Specialist</t>
        </is>
      </c>
      <c r="F248" s="29" t="inlineStr">
        <is>
          <t>Band B · Specialist / POD Lead</t>
        </is>
      </c>
      <c r="G248" s="29" t="inlineStr">
        <is>
          <t>Business Analysis</t>
        </is>
      </c>
      <c r="H248" s="29" t="n">
        <v>1</v>
      </c>
      <c r="I248" s="29" t="inlineStr">
        <is>
          <t>Vishal Pingle</t>
        </is>
      </c>
      <c r="J248" s="34" t="str">
        <f>IFERROR(INDEX(RBD_C,MATCH("Business Analysis|B1|B-IC",RBD_KEY,0)),"M")</f>
        <v>H</v>
      </c>
      <c r="K248" s="35" t="str">
        <f>IFERROR(INDEX(RBD_Au,MATCH("Business Analysis|B1|B-IC",RBD_KEY,0)),"M")</f>
        <v>M</v>
      </c>
      <c r="L248" s="35" t="str">
        <f>IFERROR(INDEX(RBD_Ac,MATCH("Business Analysis|B1|B-IC",RBD_KEY,0)),"M")</f>
        <v>L</v>
      </c>
      <c r="M248" s="35" t="str">
        <f>IFERROR(INDEX(RBD_L,MATCH("Business Analysis|B1|B-IC",RBD_KEY,0)),"M")</f>
        <v>L</v>
      </c>
      <c r="N248" s="35" t="str">
        <f>IFERROR(INDEX(RBD_BI,MATCH("Business Analysis|B1|B-IC",RBD_KEY,0)),"M")</f>
        <v>L</v>
      </c>
      <c r="O248" s="35" t="str">
        <f>IFERROR(INDEX(RBD_Exp,MATCH("Business Analysis|B1|B-IC",RBD_KEY,0)),"M")</f>
        <v>L</v>
      </c>
      <c r="P248" s="35" t="str">
        <f>IFERROR(INDEX(RBD_Edu,MATCH("Business Analysis|B1|B-IC",RBD_KEY,0)),"M")</f>
        <v>L</v>
      </c>
      <c r="Q248" s="73">
        <f>IF(J248="","",IFERROR(INDEX(LMH_PTS,MATCH(J248,LMH_KEY,0))/SUM(IFERROR(INDEX(LMH_PTS,MATCH(J248,LMH_KEY,0)),0),IFERROR(INDEX(LMH_PTS,MATCH(K248,LMH_KEY,0)),0),IFERROR(INDEX(LMH_PTS,MATCH(L248,LMH_KEY,0)),0),IFERROR(INDEX(LMH_PTS,MATCH(M248,LMH_KEY,0)),0),IFERROR(INDEX(LMH_PTS,MATCH(N248,LMH_KEY,0)),0),IFERROR(INDEX(LMH_PTS,MATCH(O248,LMH_KEY,0)),0),IFERROR(INDEX(LMH_PTS,MATCH(P248,LMH_KEY,0)),0)),""))</f>
        <v>0.529411764705882</v>
      </c>
      <c r="R248" s="74">
        <f>IF(K248="","",IFERROR(INDEX(LMH_PTS,MATCH(K248,LMH_KEY,0))/SUM(IFERROR(INDEX(LMH_PTS,MATCH(J248,LMH_KEY,0)),0),IFERROR(INDEX(LMH_PTS,MATCH(K248,LMH_KEY,0)),0),IFERROR(INDEX(LMH_PTS,MATCH(L248,LMH_KEY,0)),0),IFERROR(INDEX(LMH_PTS,MATCH(M248,LMH_KEY,0)),0),IFERROR(INDEX(LMH_PTS,MATCH(N248,LMH_KEY,0)),0),IFERROR(INDEX(LMH_PTS,MATCH(O248,LMH_KEY,0)),0),IFERROR(INDEX(LMH_PTS,MATCH(P248,LMH_KEY,0)),0)),""))</f>
        <v>0.176470588235294</v>
      </c>
      <c r="S248" s="74">
        <f>IF(L248="","",IFERROR(INDEX(LMH_PTS,MATCH(L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T248" s="74">
        <f>IF(M248="","",IFERROR(INDEX(LMH_PTS,MATCH(M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U248" s="74">
        <f>IF(N248="","",IFERROR(INDEX(LMH_PTS,MATCH(N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V248" s="74">
        <f>IF(O248="","",IFERROR(INDEX(LMH_PTS,MATCH(O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W248" s="74">
        <f>IF(P248="","",IFERROR(INDEX(LMH_PTS,MATCH(P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X248" s="44" t="n"/>
      <c r="Y248" s="38" t="inlineStr">
        <is>
          <t>iDEAL|Technology|Senior Business Analysis Specialist|B1|B-IC</t>
        </is>
      </c>
    </row>
    <row r="249" ht="28" customHeight="1">
      <c r="A249" s="28" t="inlineStr">
        <is>
          <t>iDEAL</t>
        </is>
      </c>
      <c r="B249" s="29" t="inlineStr">
        <is>
          <t>Technology</t>
        </is>
      </c>
      <c r="C249" s="72" t="inlineStr">
        <is>
          <t>B1</t>
        </is>
      </c>
      <c r="D249" s="29" t="inlineStr">
        <is>
          <t>Band B · Specialist / Manager</t>
        </is>
      </c>
      <c r="E249" s="29" t="inlineStr">
        <is>
          <t>Team Lead – Business Analysis</t>
        </is>
      </c>
      <c r="F249" s="29" t="inlineStr">
        <is>
          <t>Band B · People Manager</t>
        </is>
      </c>
      <c r="G249" s="29" t="inlineStr">
        <is>
          <t>Business Analysis</t>
        </is>
      </c>
      <c r="H249" s="29" t="n">
        <v>1</v>
      </c>
      <c r="I249" s="29" t="inlineStr">
        <is>
          <t>Aroosa Ghole</t>
        </is>
      </c>
      <c r="J249" s="34" t="str">
        <f>IFERROR(INDEX(RBD_C,MATCH("Business Analysis|B1|B-M",RBD_KEY,0)),"M")</f>
        <v>H</v>
      </c>
      <c r="K249" s="35" t="str">
        <f>IFERROR(INDEX(RBD_Au,MATCH("Business Analysis|B1|B-M",RBD_KEY,0)),"M")</f>
        <v>M</v>
      </c>
      <c r="L249" s="35" t="str">
        <f>IFERROR(INDEX(RBD_Ac,MATCH("Business Analysis|B1|B-M",RBD_KEY,0)),"M")</f>
        <v>L</v>
      </c>
      <c r="M249" s="35" t="str">
        <f>IFERROR(INDEX(RBD_L,MATCH("Business Analysis|B1|B-M",RBD_KEY,0)),"M")</f>
        <v>M</v>
      </c>
      <c r="N249" s="35" t="str">
        <f>IFERROR(INDEX(RBD_BI,MATCH("Business Analysis|B1|B-M",RBD_KEY,0)),"M")</f>
        <v>L</v>
      </c>
      <c r="O249" s="35" t="str">
        <f>IFERROR(INDEX(RBD_Exp,MATCH("Business Analysis|B1|B-M",RBD_KEY,0)),"M")</f>
        <v>L</v>
      </c>
      <c r="P249" s="35" t="str">
        <f>IFERROR(INDEX(RBD_Edu,MATCH("Business Analysis|B1|B-M",RBD_KEY,0)),"M")</f>
        <v>L</v>
      </c>
      <c r="Q249" s="73">
        <f>IF(J249="","",IFERROR(INDEX(LMH_PTS,MATCH(J249,LMH_KEY,0))/SUM(IFERROR(INDEX(LMH_PTS,MATCH(J249,LMH_KEY,0)),0),IFERROR(INDEX(LMH_PTS,MATCH(K249,LMH_KEY,0)),0),IFERROR(INDEX(LMH_PTS,MATCH(L249,LMH_KEY,0)),0),IFERROR(INDEX(LMH_PTS,MATCH(M249,LMH_KEY,0)),0),IFERROR(INDEX(LMH_PTS,MATCH(N249,LMH_KEY,0)),0),IFERROR(INDEX(LMH_PTS,MATCH(O249,LMH_KEY,0)),0),IFERROR(INDEX(LMH_PTS,MATCH(P249,LMH_KEY,0)),0)),""))</f>
        <v>0.473684210526316</v>
      </c>
      <c r="R249" s="74">
        <f>IF(K249="","",IFERROR(INDEX(LMH_PTS,MATCH(K249,LMH_KEY,0))/SUM(IFERROR(INDEX(LMH_PTS,MATCH(J249,LMH_KEY,0)),0),IFERROR(INDEX(LMH_PTS,MATCH(K249,LMH_KEY,0)),0),IFERROR(INDEX(LMH_PTS,MATCH(L249,LMH_KEY,0)),0),IFERROR(INDEX(LMH_PTS,MATCH(M249,LMH_KEY,0)),0),IFERROR(INDEX(LMH_PTS,MATCH(N249,LMH_KEY,0)),0),IFERROR(INDEX(LMH_PTS,MATCH(O249,LMH_KEY,0)),0),IFERROR(INDEX(LMH_PTS,MATCH(P249,LMH_KEY,0)),0)),""))</f>
        <v>0.157894736842105</v>
      </c>
      <c r="S249" s="74">
        <f>IF(L249="","",IFERROR(INDEX(LMH_PTS,MATCH(L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T249" s="74">
        <f>IF(M249="","",IFERROR(INDEX(LMH_PTS,MATCH(M249,LMH_KEY,0))/SUM(IFERROR(INDEX(LMH_PTS,MATCH(J249,LMH_KEY,0)),0),IFERROR(INDEX(LMH_PTS,MATCH(K249,LMH_KEY,0)),0),IFERROR(INDEX(LMH_PTS,MATCH(L249,LMH_KEY,0)),0),IFERROR(INDEX(LMH_PTS,MATCH(M249,LMH_KEY,0)),0),IFERROR(INDEX(LMH_PTS,MATCH(N249,LMH_KEY,0)),0),IFERROR(INDEX(LMH_PTS,MATCH(O249,LMH_KEY,0)),0),IFERROR(INDEX(LMH_PTS,MATCH(P249,LMH_KEY,0)),0)),""))</f>
        <v>0.157894736842105</v>
      </c>
      <c r="U249" s="74">
        <f>IF(N249="","",IFERROR(INDEX(LMH_PTS,MATCH(N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V249" s="74">
        <f>IF(O249="","",IFERROR(INDEX(LMH_PTS,MATCH(O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W249" s="74">
        <f>IF(P249="","",IFERROR(INDEX(LMH_PTS,MATCH(P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X249" s="44" t="n"/>
      <c r="Y249" s="38" t="inlineStr">
        <is>
          <t>iDEAL|Technology|Team Lead – Business Analysis|B1|B-M</t>
        </is>
      </c>
    </row>
    <row r="250" ht="65.5" customHeight="1">
      <c r="A250" s="28" t="inlineStr">
        <is>
          <t>iDEAL</t>
        </is>
      </c>
      <c r="B250" s="29" t="inlineStr">
        <is>
          <t>Technology</t>
        </is>
      </c>
      <c r="C250" s="75" t="inlineStr">
        <is>
          <t>A3</t>
        </is>
      </c>
      <c r="D250" s="29" t="inlineStr">
        <is>
          <t>Band A · Practitioner</t>
        </is>
      </c>
      <c r="E250" s="29" t="inlineStr">
        <is>
          <t>Senior Business Analyst</t>
        </is>
      </c>
      <c r="F250" s="29" t="inlineStr">
        <is>
          <t>Band A · all tracks</t>
        </is>
      </c>
      <c r="G250" s="29" t="inlineStr">
        <is>
          <t>Business Analysis</t>
        </is>
      </c>
      <c r="H250" s="29" t="n">
        <v>8</v>
      </c>
      <c r="I250" s="29" t="inlineStr">
        <is>
          <t>Nilam Anandrao Kadam, Silky Agarwal, Vidyasagar Reddy, Anishaa Mahesh Kukreja, Neetu Rani Paul, Shivani Mishra, Mohin Patel, Vivek Kumar</t>
        </is>
      </c>
      <c r="J250" s="34" t="str">
        <f>IFERROR(INDEX(RBD_C,MATCH("Business Analysis|A3|A",RBD_KEY,0)),"M")</f>
        <v>H</v>
      </c>
      <c r="K250" s="35" t="str">
        <f>IFERROR(INDEX(RBD_Au,MATCH("Business Analysis|A3|A",RBD_KEY,0)),"M")</f>
        <v>M</v>
      </c>
      <c r="L250" s="35" t="str">
        <f>IFERROR(INDEX(RBD_Ac,MATCH("Business Analysis|A3|A",RBD_KEY,0)),"M")</f>
        <v>L</v>
      </c>
      <c r="M250" s="35" t="str">
        <f>IFERROR(INDEX(RBD_L,MATCH("Business Analysis|A3|A",RBD_KEY,0)),"M")</f>
        <v>L</v>
      </c>
      <c r="N250" s="35" t="str">
        <f>IFERROR(INDEX(RBD_BI,MATCH("Business Analysis|A3|A",RBD_KEY,0)),"M")</f>
        <v>L</v>
      </c>
      <c r="O250" s="35" t="str">
        <f>IFERROR(INDEX(RBD_Exp,MATCH("Business Analysis|A3|A",RBD_KEY,0)),"M")</f>
        <v>L</v>
      </c>
      <c r="P250" s="35" t="str">
        <f>IFERROR(INDEX(RBD_Edu,MATCH("Business Analysis|A3|A",RBD_KEY,0)),"M")</f>
        <v>L</v>
      </c>
      <c r="Q250" s="73">
        <f>IF(J250="","",IFERROR(INDEX(LMH_PTS,MATCH(J250,LMH_KEY,0))/SUM(IFERROR(INDEX(LMH_PTS,MATCH(J250,LMH_KEY,0)),0),IFERROR(INDEX(LMH_PTS,MATCH(K250,LMH_KEY,0)),0),IFERROR(INDEX(LMH_PTS,MATCH(L250,LMH_KEY,0)),0),IFERROR(INDEX(LMH_PTS,MATCH(M250,LMH_KEY,0)),0),IFERROR(INDEX(LMH_PTS,MATCH(N250,LMH_KEY,0)),0),IFERROR(INDEX(LMH_PTS,MATCH(O250,LMH_KEY,0)),0),IFERROR(INDEX(LMH_PTS,MATCH(P250,LMH_KEY,0)),0)),""))</f>
        <v>0.529411764705882</v>
      </c>
      <c r="R250" s="74">
        <f>IF(K250="","",IFERROR(INDEX(LMH_PTS,MATCH(K250,LMH_KEY,0))/SUM(IFERROR(INDEX(LMH_PTS,MATCH(J250,LMH_KEY,0)),0),IFERROR(INDEX(LMH_PTS,MATCH(K250,LMH_KEY,0)),0),IFERROR(INDEX(LMH_PTS,MATCH(L250,LMH_KEY,0)),0),IFERROR(INDEX(LMH_PTS,MATCH(M250,LMH_KEY,0)),0),IFERROR(INDEX(LMH_PTS,MATCH(N250,LMH_KEY,0)),0),IFERROR(INDEX(LMH_PTS,MATCH(O250,LMH_KEY,0)),0),IFERROR(INDEX(LMH_PTS,MATCH(P250,LMH_KEY,0)),0)),""))</f>
        <v>0.176470588235294</v>
      </c>
      <c r="S250" s="74">
        <f>IF(L250="","",IFERROR(INDEX(LMH_PTS,MATCH(L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T250" s="74">
        <f>IF(M250="","",IFERROR(INDEX(LMH_PTS,MATCH(M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U250" s="74">
        <f>IF(N250="","",IFERROR(INDEX(LMH_PTS,MATCH(N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V250" s="74">
        <f>IF(O250="","",IFERROR(INDEX(LMH_PTS,MATCH(O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W250" s="74">
        <f>IF(P250="","",IFERROR(INDEX(LMH_PTS,MATCH(P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X250" s="44" t="n"/>
      <c r="Y250" s="38" t="inlineStr">
        <is>
          <t>iDEAL|Technology|Senior Business Analyst|A3|A</t>
        </is>
      </c>
    </row>
    <row r="251" ht="28" customHeight="1">
      <c r="A251" s="28" t="inlineStr">
        <is>
          <t>iDEAL</t>
        </is>
      </c>
      <c r="B251" s="29" t="inlineStr">
        <is>
          <t>Technology</t>
        </is>
      </c>
      <c r="C251" s="75" t="inlineStr">
        <is>
          <t>A3</t>
        </is>
      </c>
      <c r="D251" s="29" t="inlineStr">
        <is>
          <t>Band A · Practitioner</t>
        </is>
      </c>
      <c r="E251" s="29" t="inlineStr">
        <is>
          <t>Senior Database Engineer</t>
        </is>
      </c>
      <c r="F251" s="29" t="inlineStr">
        <is>
          <t>Band A · all tracks</t>
        </is>
      </c>
      <c r="G251" s="29" t="inlineStr">
        <is>
          <t>Engineering &amp; Development</t>
        </is>
      </c>
      <c r="H251" s="29" t="n">
        <v>3</v>
      </c>
      <c r="I251" s="29" t="inlineStr">
        <is>
          <t>Prasad Bhoite, H Marenna, Tushar Kadu Nimbolkar</t>
        </is>
      </c>
      <c r="J251" s="34" t="str">
        <f>IFERROR(INDEX(RBD_C,MATCH("Engineering &amp; Development|A3|A",RBD_KEY,0)),"M")</f>
        <v>H</v>
      </c>
      <c r="K251" s="35" t="str">
        <f>IFERROR(INDEX(RBD_Au,MATCH("Engineering &amp; Development|A3|A",RBD_KEY,0)),"M")</f>
        <v>M</v>
      </c>
      <c r="L251" s="35" t="str">
        <f>IFERROR(INDEX(RBD_Ac,MATCH("Engineering &amp; Development|A3|A",RBD_KEY,0)),"M")</f>
        <v>L</v>
      </c>
      <c r="M251" s="35" t="str">
        <f>IFERROR(INDEX(RBD_L,MATCH("Engineering &amp; Development|A3|A",RBD_KEY,0)),"M")</f>
        <v>L</v>
      </c>
      <c r="N251" s="35" t="str">
        <f>IFERROR(INDEX(RBD_BI,MATCH("Engineering &amp; Development|A3|A",RBD_KEY,0)),"M")</f>
        <v>L</v>
      </c>
      <c r="O251" s="35" t="str">
        <f>IFERROR(INDEX(RBD_Exp,MATCH("Engineering &amp; Development|A3|A",RBD_KEY,0)),"M")</f>
        <v>L</v>
      </c>
      <c r="P251" s="35" t="str">
        <f>IFERROR(INDEX(RBD_Edu,MATCH("Engineering &amp; Development|A3|A",RBD_KEY,0)),"M")</f>
        <v>L</v>
      </c>
      <c r="Q251" s="73">
        <f>IF(J251="","",IFERROR(INDEX(LMH_PTS,MATCH(J251,LMH_KEY,0))/SUM(IFERROR(INDEX(LMH_PTS,MATCH(J251,LMH_KEY,0)),0),IFERROR(INDEX(LMH_PTS,MATCH(K251,LMH_KEY,0)),0),IFERROR(INDEX(LMH_PTS,MATCH(L251,LMH_KEY,0)),0),IFERROR(INDEX(LMH_PTS,MATCH(M251,LMH_KEY,0)),0),IFERROR(INDEX(LMH_PTS,MATCH(N251,LMH_KEY,0)),0),IFERROR(INDEX(LMH_PTS,MATCH(O251,LMH_KEY,0)),0),IFERROR(INDEX(LMH_PTS,MATCH(P251,LMH_KEY,0)),0)),""))</f>
        <v>0.529411764705882</v>
      </c>
      <c r="R251" s="74">
        <f>IF(K251="","",IFERROR(INDEX(LMH_PTS,MATCH(K251,LMH_KEY,0))/SUM(IFERROR(INDEX(LMH_PTS,MATCH(J251,LMH_KEY,0)),0),IFERROR(INDEX(LMH_PTS,MATCH(K251,LMH_KEY,0)),0),IFERROR(INDEX(LMH_PTS,MATCH(L251,LMH_KEY,0)),0),IFERROR(INDEX(LMH_PTS,MATCH(M251,LMH_KEY,0)),0),IFERROR(INDEX(LMH_PTS,MATCH(N251,LMH_KEY,0)),0),IFERROR(INDEX(LMH_PTS,MATCH(O251,LMH_KEY,0)),0),IFERROR(INDEX(LMH_PTS,MATCH(P251,LMH_KEY,0)),0)),""))</f>
        <v>0.176470588235294</v>
      </c>
      <c r="S251" s="74">
        <f>IF(L251="","",IFERROR(INDEX(LMH_PTS,MATCH(L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T251" s="74">
        <f>IF(M251="","",IFERROR(INDEX(LMH_PTS,MATCH(M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U251" s="74">
        <f>IF(N251="","",IFERROR(INDEX(LMH_PTS,MATCH(N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V251" s="74">
        <f>IF(O251="","",IFERROR(INDEX(LMH_PTS,MATCH(O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W251" s="74">
        <f>IF(P251="","",IFERROR(INDEX(LMH_PTS,MATCH(P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X251" s="44" t="n"/>
      <c r="Y251" s="38" t="inlineStr">
        <is>
          <t>iDEAL|Technology|Senior Database Engineer|A3|A</t>
        </is>
      </c>
    </row>
    <row r="252" ht="40.5" customHeight="1">
      <c r="A252" s="28" t="inlineStr">
        <is>
          <t>iDEAL</t>
        </is>
      </c>
      <c r="B252" s="29" t="inlineStr">
        <is>
          <t>Technology</t>
        </is>
      </c>
      <c r="C252" s="75" t="inlineStr">
        <is>
          <t>A3</t>
        </is>
      </c>
      <c r="D252" s="29" t="inlineStr">
        <is>
          <t>Band A · Practitioner</t>
        </is>
      </c>
      <c r="E252" s="29" t="inlineStr">
        <is>
          <t>Senior Software Engineer</t>
        </is>
      </c>
      <c r="F252" s="29" t="inlineStr">
        <is>
          <t>Band A · all tracks</t>
        </is>
      </c>
      <c r="G252" s="29" t="inlineStr">
        <is>
          <t>Engineering &amp; Development</t>
        </is>
      </c>
      <c r="H252" s="29" t="n">
        <v>5</v>
      </c>
      <c r="I252" s="29" t="inlineStr">
        <is>
          <t>Akshata Sabale, Pratik Ekhande, Swapnil Shirke, Vaibhav Govind Gahat, Varsha Patil</t>
        </is>
      </c>
      <c r="J252" s="34" t="str">
        <f>IFERROR(INDEX(RBD_C,MATCH("Engineering &amp; Development|A3|A",RBD_KEY,0)),"M")</f>
        <v>H</v>
      </c>
      <c r="K252" s="35" t="str">
        <f>IFERROR(INDEX(RBD_Au,MATCH("Engineering &amp; Development|A3|A",RBD_KEY,0)),"M")</f>
        <v>M</v>
      </c>
      <c r="L252" s="35" t="str">
        <f>IFERROR(INDEX(RBD_Ac,MATCH("Engineering &amp; Development|A3|A",RBD_KEY,0)),"M")</f>
        <v>L</v>
      </c>
      <c r="M252" s="35" t="str">
        <f>IFERROR(INDEX(RBD_L,MATCH("Engineering &amp; Development|A3|A",RBD_KEY,0)),"M")</f>
        <v>L</v>
      </c>
      <c r="N252" s="35" t="str">
        <f>IFERROR(INDEX(RBD_BI,MATCH("Engineering &amp; Development|A3|A",RBD_KEY,0)),"M")</f>
        <v>L</v>
      </c>
      <c r="O252" s="35" t="str">
        <f>IFERROR(INDEX(RBD_Exp,MATCH("Engineering &amp; Development|A3|A",RBD_KEY,0)),"M")</f>
        <v>L</v>
      </c>
      <c r="P252" s="35" t="str">
        <f>IFERROR(INDEX(RBD_Edu,MATCH("Engineering &amp; Development|A3|A",RBD_KEY,0)),"M")</f>
        <v>L</v>
      </c>
      <c r="Q252" s="73">
        <f>IF(J252="","",IFERROR(INDEX(LMH_PTS,MATCH(J252,LMH_KEY,0))/SUM(IFERROR(INDEX(LMH_PTS,MATCH(J252,LMH_KEY,0)),0),IFERROR(INDEX(LMH_PTS,MATCH(K252,LMH_KEY,0)),0),IFERROR(INDEX(LMH_PTS,MATCH(L252,LMH_KEY,0)),0),IFERROR(INDEX(LMH_PTS,MATCH(M252,LMH_KEY,0)),0),IFERROR(INDEX(LMH_PTS,MATCH(N252,LMH_KEY,0)),0),IFERROR(INDEX(LMH_PTS,MATCH(O252,LMH_KEY,0)),0),IFERROR(INDEX(LMH_PTS,MATCH(P252,LMH_KEY,0)),0)),""))</f>
        <v>0.529411764705882</v>
      </c>
      <c r="R252" s="74">
        <f>IF(K252="","",IFERROR(INDEX(LMH_PTS,MATCH(K252,LMH_KEY,0))/SUM(IFERROR(INDEX(LMH_PTS,MATCH(J252,LMH_KEY,0)),0),IFERROR(INDEX(LMH_PTS,MATCH(K252,LMH_KEY,0)),0),IFERROR(INDEX(LMH_PTS,MATCH(L252,LMH_KEY,0)),0),IFERROR(INDEX(LMH_PTS,MATCH(M252,LMH_KEY,0)),0),IFERROR(INDEX(LMH_PTS,MATCH(N252,LMH_KEY,0)),0),IFERROR(INDEX(LMH_PTS,MATCH(O252,LMH_KEY,0)),0),IFERROR(INDEX(LMH_PTS,MATCH(P252,LMH_KEY,0)),0)),""))</f>
        <v>0.176470588235294</v>
      </c>
      <c r="S252" s="74">
        <f>IF(L252="","",IFERROR(INDEX(LMH_PTS,MATCH(L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T252" s="74">
        <f>IF(M252="","",IFERROR(INDEX(LMH_PTS,MATCH(M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U252" s="74">
        <f>IF(N252="","",IFERROR(INDEX(LMH_PTS,MATCH(N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V252" s="74">
        <f>IF(O252="","",IFERROR(INDEX(LMH_PTS,MATCH(O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W252" s="74">
        <f>IF(P252="","",IFERROR(INDEX(LMH_PTS,MATCH(P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X252" s="44" t="n"/>
      <c r="Y252" s="38" t="inlineStr">
        <is>
          <t>iDEAL|Technology|Senior Software Engineer|A3|A</t>
        </is>
      </c>
    </row>
    <row r="253" ht="18" customHeight="1">
      <c r="A253" s="28" t="inlineStr">
        <is>
          <t>iDEAL</t>
        </is>
      </c>
      <c r="B253" s="29" t="inlineStr">
        <is>
          <t>Technology</t>
        </is>
      </c>
      <c r="C253" s="75" t="inlineStr">
        <is>
          <t>A3</t>
        </is>
      </c>
      <c r="D253" s="29" t="inlineStr">
        <is>
          <t>Band A · Practitioner</t>
        </is>
      </c>
      <c r="E253" s="29" t="inlineStr">
        <is>
          <t>Senior Support Executive</t>
        </is>
      </c>
      <c r="F253" s="29" t="inlineStr">
        <is>
          <t>Band A · all tracks</t>
        </is>
      </c>
      <c r="G253" s="29" t="inlineStr">
        <is>
          <t>Customer Success &amp; Support</t>
        </is>
      </c>
      <c r="H253" s="29" t="n">
        <v>1</v>
      </c>
      <c r="I253" s="29" t="inlineStr">
        <is>
          <t>Nidhi Kulkarni</t>
        </is>
      </c>
      <c r="J253" s="34" t="str">
        <f>IFERROR(INDEX(RBD_C,MATCH("Customer Success &amp; Support|A3|A",RBD_KEY,0)),"M")</f>
        <v>H</v>
      </c>
      <c r="K253" s="35" t="str">
        <f>IFERROR(INDEX(RBD_Au,MATCH("Customer Success &amp; Support|A3|A",RBD_KEY,0)),"M")</f>
        <v>M</v>
      </c>
      <c r="L253" s="35" t="str">
        <f>IFERROR(INDEX(RBD_Ac,MATCH("Customer Success &amp; Support|A3|A",RBD_KEY,0)),"M")</f>
        <v>M</v>
      </c>
      <c r="M253" s="35" t="str">
        <f>IFERROR(INDEX(RBD_L,MATCH("Customer Success &amp; Support|A3|A",RBD_KEY,0)),"M")</f>
        <v>L</v>
      </c>
      <c r="N253" s="35" t="str">
        <f>IFERROR(INDEX(RBD_BI,MATCH("Customer Success &amp; Support|A3|A",RBD_KEY,0)),"M")</f>
        <v>M</v>
      </c>
      <c r="O253" s="35" t="str">
        <f>IFERROR(INDEX(RBD_Exp,MATCH("Customer Success &amp; Support|A3|A",RBD_KEY,0)),"M")</f>
        <v>L</v>
      </c>
      <c r="P253" s="35" t="str">
        <f>IFERROR(INDEX(RBD_Edu,MATCH("Customer Success &amp; Support|A3|A",RBD_KEY,0)),"M")</f>
        <v>L</v>
      </c>
      <c r="Q253" s="73">
        <f>IF(J253="","",IFERROR(INDEX(LMH_PTS,MATCH(J253,LMH_KEY,0))/SUM(IFERROR(INDEX(LMH_PTS,MATCH(J253,LMH_KEY,0)),0),IFERROR(INDEX(LMH_PTS,MATCH(K253,LMH_KEY,0)),0),IFERROR(INDEX(LMH_PTS,MATCH(L253,LMH_KEY,0)),0),IFERROR(INDEX(LMH_PTS,MATCH(M253,LMH_KEY,0)),0),IFERROR(INDEX(LMH_PTS,MATCH(N253,LMH_KEY,0)),0),IFERROR(INDEX(LMH_PTS,MATCH(O253,LMH_KEY,0)),0),IFERROR(INDEX(LMH_PTS,MATCH(P253,LMH_KEY,0)),0)),""))</f>
        <v>0.428571428571429</v>
      </c>
      <c r="R253" s="74">
        <f>IF(K253="","",IFERROR(INDEX(LMH_PTS,MATCH(K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S253" s="74">
        <f>IF(L253="","",IFERROR(INDEX(LMH_PTS,MATCH(L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T253" s="74">
        <f>IF(M253="","",IFERROR(INDEX(LMH_PTS,MATCH(M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U253" s="74">
        <f>IF(N253="","",IFERROR(INDEX(LMH_PTS,MATCH(N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V253" s="74">
        <f>IF(O253="","",IFERROR(INDEX(LMH_PTS,MATCH(O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W253" s="74">
        <f>IF(P253="","",IFERROR(INDEX(LMH_PTS,MATCH(P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X253" s="44" t="n"/>
      <c r="Y253" s="38" t="inlineStr">
        <is>
          <t>iDEAL|Technology|Senior Support Executive|A3|A</t>
        </is>
      </c>
    </row>
    <row r="254" ht="18" customHeight="1">
      <c r="A254" s="28" t="inlineStr">
        <is>
          <t>iDEAL</t>
        </is>
      </c>
      <c r="B254" s="29" t="inlineStr">
        <is>
          <t>Technology</t>
        </is>
      </c>
      <c r="C254" s="75" t="inlineStr">
        <is>
          <t>A3</t>
        </is>
      </c>
      <c r="D254" s="29" t="inlineStr">
        <is>
          <t>Band A · Practitioner</t>
        </is>
      </c>
      <c r="E254" s="29" t="inlineStr">
        <is>
          <t>Support Specialist</t>
        </is>
      </c>
      <c r="F254" s="29" t="inlineStr">
        <is>
          <t>Band A · all tracks</t>
        </is>
      </c>
      <c r="G254" s="29" t="inlineStr">
        <is>
          <t>Customer Success &amp; Support</t>
        </is>
      </c>
      <c r="H254" s="29" t="n">
        <v>1</v>
      </c>
      <c r="I254" s="29" t="inlineStr">
        <is>
          <t>Shreekanth Samala</t>
        </is>
      </c>
      <c r="J254" s="34" t="str">
        <f>IFERROR(INDEX(RBD_C,MATCH("Customer Success &amp; Support|A3|A",RBD_KEY,0)),"M")</f>
        <v>H</v>
      </c>
      <c r="K254" s="35" t="str">
        <f>IFERROR(INDEX(RBD_Au,MATCH("Customer Success &amp; Support|A3|A",RBD_KEY,0)),"M")</f>
        <v>M</v>
      </c>
      <c r="L254" s="35" t="str">
        <f>IFERROR(INDEX(RBD_Ac,MATCH("Customer Success &amp; Support|A3|A",RBD_KEY,0)),"M")</f>
        <v>M</v>
      </c>
      <c r="M254" s="35" t="str">
        <f>IFERROR(INDEX(RBD_L,MATCH("Customer Success &amp; Support|A3|A",RBD_KEY,0)),"M")</f>
        <v>L</v>
      </c>
      <c r="N254" s="35" t="str">
        <f>IFERROR(INDEX(RBD_BI,MATCH("Customer Success &amp; Support|A3|A",RBD_KEY,0)),"M")</f>
        <v>M</v>
      </c>
      <c r="O254" s="35" t="str">
        <f>IFERROR(INDEX(RBD_Exp,MATCH("Customer Success &amp; Support|A3|A",RBD_KEY,0)),"M")</f>
        <v>L</v>
      </c>
      <c r="P254" s="35" t="str">
        <f>IFERROR(INDEX(RBD_Edu,MATCH("Customer Success &amp; Support|A3|A",RBD_KEY,0)),"M")</f>
        <v>L</v>
      </c>
      <c r="Q254" s="73">
        <f>IF(J254="","",IFERROR(INDEX(LMH_PTS,MATCH(J254,LMH_KEY,0))/SUM(IFERROR(INDEX(LMH_PTS,MATCH(J254,LMH_KEY,0)),0),IFERROR(INDEX(LMH_PTS,MATCH(K254,LMH_KEY,0)),0),IFERROR(INDEX(LMH_PTS,MATCH(L254,LMH_KEY,0)),0),IFERROR(INDEX(LMH_PTS,MATCH(M254,LMH_KEY,0)),0),IFERROR(INDEX(LMH_PTS,MATCH(N254,LMH_KEY,0)),0),IFERROR(INDEX(LMH_PTS,MATCH(O254,LMH_KEY,0)),0),IFERROR(INDEX(LMH_PTS,MATCH(P254,LMH_KEY,0)),0)),""))</f>
        <v>0.428571428571429</v>
      </c>
      <c r="R254" s="74">
        <f>IF(K254="","",IFERROR(INDEX(LMH_PTS,MATCH(K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S254" s="74">
        <f>IF(L254="","",IFERROR(INDEX(LMH_PTS,MATCH(L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T254" s="74">
        <f>IF(M254="","",IFERROR(INDEX(LMH_PTS,MATCH(M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U254" s="74">
        <f>IF(N254="","",IFERROR(INDEX(LMH_PTS,MATCH(N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V254" s="74">
        <f>IF(O254="","",IFERROR(INDEX(LMH_PTS,MATCH(O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W254" s="74">
        <f>IF(P254="","",IFERROR(INDEX(LMH_PTS,MATCH(P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X254" s="44" t="n"/>
      <c r="Y254" s="38" t="inlineStr">
        <is>
          <t>iDEAL|Technology|Support Specialist|A3|A</t>
        </is>
      </c>
    </row>
    <row r="255" ht="18" customHeight="1">
      <c r="A255" s="28" t="inlineStr">
        <is>
          <t>iDEAL</t>
        </is>
      </c>
      <c r="B255" s="29" t="inlineStr">
        <is>
          <t>Technology</t>
        </is>
      </c>
      <c r="C255" s="75" t="inlineStr">
        <is>
          <t>A3</t>
        </is>
      </c>
      <c r="D255" s="29" t="inlineStr">
        <is>
          <t>Band A · Practitioner</t>
        </is>
      </c>
      <c r="E255" s="29" t="inlineStr">
        <is>
          <t>Technical Specialist</t>
        </is>
      </c>
      <c r="F255" s="29" t="inlineStr">
        <is>
          <t>Band A · all tracks</t>
        </is>
      </c>
      <c r="G255" s="29" t="inlineStr">
        <is>
          <t>Engineering &amp; Development</t>
        </is>
      </c>
      <c r="H255" s="29" t="n">
        <v>1</v>
      </c>
      <c r="I255" s="29" t="inlineStr">
        <is>
          <t>Jay Gudhka</t>
        </is>
      </c>
      <c r="J255" s="34" t="str">
        <f>IFERROR(INDEX(RBD_C,MATCH("Engineering &amp; Development|A3|A",RBD_KEY,0)),"M")</f>
        <v>H</v>
      </c>
      <c r="K255" s="35" t="str">
        <f>IFERROR(INDEX(RBD_Au,MATCH("Engineering &amp; Development|A3|A",RBD_KEY,0)),"M")</f>
        <v>M</v>
      </c>
      <c r="L255" s="35" t="str">
        <f>IFERROR(INDEX(RBD_Ac,MATCH("Engineering &amp; Development|A3|A",RBD_KEY,0)),"M")</f>
        <v>L</v>
      </c>
      <c r="M255" s="35" t="str">
        <f>IFERROR(INDEX(RBD_L,MATCH("Engineering &amp; Development|A3|A",RBD_KEY,0)),"M")</f>
        <v>L</v>
      </c>
      <c r="N255" s="35" t="str">
        <f>IFERROR(INDEX(RBD_BI,MATCH("Engineering &amp; Development|A3|A",RBD_KEY,0)),"M")</f>
        <v>L</v>
      </c>
      <c r="O255" s="35" t="str">
        <f>IFERROR(INDEX(RBD_Exp,MATCH("Engineering &amp; Development|A3|A",RBD_KEY,0)),"M")</f>
        <v>L</v>
      </c>
      <c r="P255" s="35" t="str">
        <f>IFERROR(INDEX(RBD_Edu,MATCH("Engineering &amp; Development|A3|A",RBD_KEY,0)),"M")</f>
        <v>L</v>
      </c>
      <c r="Q255" s="73">
        <f>IF(J255="","",IFERROR(INDEX(LMH_PTS,MATCH(J255,LMH_KEY,0))/SUM(IFERROR(INDEX(LMH_PTS,MATCH(J255,LMH_KEY,0)),0),IFERROR(INDEX(LMH_PTS,MATCH(K255,LMH_KEY,0)),0),IFERROR(INDEX(LMH_PTS,MATCH(L255,LMH_KEY,0)),0),IFERROR(INDEX(LMH_PTS,MATCH(M255,LMH_KEY,0)),0),IFERROR(INDEX(LMH_PTS,MATCH(N255,LMH_KEY,0)),0),IFERROR(INDEX(LMH_PTS,MATCH(O255,LMH_KEY,0)),0),IFERROR(INDEX(LMH_PTS,MATCH(P255,LMH_KEY,0)),0)),""))</f>
        <v>0.529411764705882</v>
      </c>
      <c r="R255" s="74">
        <f>IF(K255="","",IFERROR(INDEX(LMH_PTS,MATCH(K255,LMH_KEY,0))/SUM(IFERROR(INDEX(LMH_PTS,MATCH(J255,LMH_KEY,0)),0),IFERROR(INDEX(LMH_PTS,MATCH(K255,LMH_KEY,0)),0),IFERROR(INDEX(LMH_PTS,MATCH(L255,LMH_KEY,0)),0),IFERROR(INDEX(LMH_PTS,MATCH(M255,LMH_KEY,0)),0),IFERROR(INDEX(LMH_PTS,MATCH(N255,LMH_KEY,0)),0),IFERROR(INDEX(LMH_PTS,MATCH(O255,LMH_KEY,0)),0),IFERROR(INDEX(LMH_PTS,MATCH(P255,LMH_KEY,0)),0)),""))</f>
        <v>0.176470588235294</v>
      </c>
      <c r="S255" s="74">
        <f>IF(L255="","",IFERROR(INDEX(LMH_PTS,MATCH(L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T255" s="74">
        <f>IF(M255="","",IFERROR(INDEX(LMH_PTS,MATCH(M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U255" s="74">
        <f>IF(N255="","",IFERROR(INDEX(LMH_PTS,MATCH(N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V255" s="74">
        <f>IF(O255="","",IFERROR(INDEX(LMH_PTS,MATCH(O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W255" s="74">
        <f>IF(P255="","",IFERROR(INDEX(LMH_PTS,MATCH(P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X255" s="44" t="n"/>
      <c r="Y255" s="38" t="inlineStr">
        <is>
          <t>iDEAL|Technology|Technical Specialist|A3|A</t>
        </is>
      </c>
    </row>
    <row r="256" ht="28" customHeight="1">
      <c r="A256" s="28" t="inlineStr">
        <is>
          <t>iDEAL</t>
        </is>
      </c>
      <c r="B256" s="29" t="inlineStr">
        <is>
          <t>Technology</t>
        </is>
      </c>
      <c r="C256" s="75" t="inlineStr">
        <is>
          <t>A2</t>
        </is>
      </c>
      <c r="D256" s="29" t="inlineStr">
        <is>
          <t>Band A · Practitioner</t>
        </is>
      </c>
      <c r="E256" s="29" t="inlineStr">
        <is>
          <t>Software Engineer</t>
        </is>
      </c>
      <c r="F256" s="29" t="inlineStr">
        <is>
          <t>Band A · all tracks</t>
        </is>
      </c>
      <c r="G256" s="29" t="inlineStr">
        <is>
          <t>Engineering &amp; Development</t>
        </is>
      </c>
      <c r="H256" s="29" t="n">
        <v>2</v>
      </c>
      <c r="I256" s="29" t="inlineStr">
        <is>
          <t>Abhay Pandey, Sumeet Laxman Kurdia</t>
        </is>
      </c>
      <c r="J256" s="34" t="str">
        <f>IFERROR(INDEX(RBD_C,MATCH("Engineering &amp; Development|A2|A",RBD_KEY,0)),"M")</f>
        <v>H</v>
      </c>
      <c r="K256" s="35" t="str">
        <f>IFERROR(INDEX(RBD_Au,MATCH("Engineering &amp; Development|A2|A",RBD_KEY,0)),"M")</f>
        <v>M</v>
      </c>
      <c r="L256" s="35" t="str">
        <f>IFERROR(INDEX(RBD_Ac,MATCH("Engineering &amp; Development|A2|A",RBD_KEY,0)),"M")</f>
        <v>L</v>
      </c>
      <c r="M256" s="35" t="str">
        <f>IFERROR(INDEX(RBD_L,MATCH("Engineering &amp; Development|A2|A",RBD_KEY,0)),"M")</f>
        <v>L</v>
      </c>
      <c r="N256" s="35" t="str">
        <f>IFERROR(INDEX(RBD_BI,MATCH("Engineering &amp; Development|A2|A",RBD_KEY,0)),"M")</f>
        <v>L</v>
      </c>
      <c r="O256" s="35" t="str">
        <f>IFERROR(INDEX(RBD_Exp,MATCH("Engineering &amp; Development|A2|A",RBD_KEY,0)),"M")</f>
        <v>L</v>
      </c>
      <c r="P256" s="35" t="str">
        <f>IFERROR(INDEX(RBD_Edu,MATCH("Engineering &amp; Development|A2|A",RBD_KEY,0)),"M")</f>
        <v>L</v>
      </c>
      <c r="Q256" s="73">
        <f>IF(J256="","",IFERROR(INDEX(LMH_PTS,MATCH(J256,LMH_KEY,0))/SUM(IFERROR(INDEX(LMH_PTS,MATCH(J256,LMH_KEY,0)),0),IFERROR(INDEX(LMH_PTS,MATCH(K256,LMH_KEY,0)),0),IFERROR(INDEX(LMH_PTS,MATCH(L256,LMH_KEY,0)),0),IFERROR(INDEX(LMH_PTS,MATCH(M256,LMH_KEY,0)),0),IFERROR(INDEX(LMH_PTS,MATCH(N256,LMH_KEY,0)),0),IFERROR(INDEX(LMH_PTS,MATCH(O256,LMH_KEY,0)),0),IFERROR(INDEX(LMH_PTS,MATCH(P256,LMH_KEY,0)),0)),""))</f>
        <v>0.529411764705882</v>
      </c>
      <c r="R256" s="74">
        <f>IF(K256="","",IFERROR(INDEX(LMH_PTS,MATCH(K256,LMH_KEY,0))/SUM(IFERROR(INDEX(LMH_PTS,MATCH(J256,LMH_KEY,0)),0),IFERROR(INDEX(LMH_PTS,MATCH(K256,LMH_KEY,0)),0),IFERROR(INDEX(LMH_PTS,MATCH(L256,LMH_KEY,0)),0),IFERROR(INDEX(LMH_PTS,MATCH(M256,LMH_KEY,0)),0),IFERROR(INDEX(LMH_PTS,MATCH(N256,LMH_KEY,0)),0),IFERROR(INDEX(LMH_PTS,MATCH(O256,LMH_KEY,0)),0),IFERROR(INDEX(LMH_PTS,MATCH(P256,LMH_KEY,0)),0)),""))</f>
        <v>0.176470588235294</v>
      </c>
      <c r="S256" s="74">
        <f>IF(L256="","",IFERROR(INDEX(LMH_PTS,MATCH(L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T256" s="74">
        <f>IF(M256="","",IFERROR(INDEX(LMH_PTS,MATCH(M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U256" s="74">
        <f>IF(N256="","",IFERROR(INDEX(LMH_PTS,MATCH(N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V256" s="74">
        <f>IF(O256="","",IFERROR(INDEX(LMH_PTS,MATCH(O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W256" s="74">
        <f>IF(P256="","",IFERROR(INDEX(LMH_PTS,MATCH(P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X256" s="44" t="n"/>
      <c r="Y256" s="38" t="inlineStr">
        <is>
          <t>iDEAL|Technology|Software Engineer|A2|A</t>
        </is>
      </c>
    </row>
    <row r="257" ht="18" customHeight="1">
      <c r="A257" s="28" t="inlineStr">
        <is>
          <t>iDEAL</t>
        </is>
      </c>
      <c r="B257" s="29" t="inlineStr">
        <is>
          <t>Technology</t>
        </is>
      </c>
      <c r="C257" s="75" t="inlineStr">
        <is>
          <t>A2</t>
        </is>
      </c>
      <c r="D257" s="29" t="inlineStr">
        <is>
          <t>Band A · Practitioner</t>
        </is>
      </c>
      <c r="E257" s="29" t="inlineStr">
        <is>
          <t>Support Executive</t>
        </is>
      </c>
      <c r="F257" s="29" t="inlineStr">
        <is>
          <t>Band A · all tracks</t>
        </is>
      </c>
      <c r="G257" s="29" t="inlineStr">
        <is>
          <t>Customer Success &amp; Support</t>
        </is>
      </c>
      <c r="H257" s="29" t="n">
        <v>1</v>
      </c>
      <c r="I257" s="29" t="inlineStr">
        <is>
          <t>Hemand Thayil</t>
        </is>
      </c>
      <c r="J257" s="34" t="str">
        <f>IFERROR(INDEX(RBD_C,MATCH("Customer Success &amp; Support|A2|A",RBD_KEY,0)),"M")</f>
        <v>H</v>
      </c>
      <c r="K257" s="35" t="str">
        <f>IFERROR(INDEX(RBD_Au,MATCH("Customer Success &amp; Support|A2|A",RBD_KEY,0)),"M")</f>
        <v>M</v>
      </c>
      <c r="L257" s="35" t="str">
        <f>IFERROR(INDEX(RBD_Ac,MATCH("Customer Success &amp; Support|A2|A",RBD_KEY,0)),"M")</f>
        <v>M</v>
      </c>
      <c r="M257" s="35" t="str">
        <f>IFERROR(INDEX(RBD_L,MATCH("Customer Success &amp; Support|A2|A",RBD_KEY,0)),"M")</f>
        <v>L</v>
      </c>
      <c r="N257" s="35" t="str">
        <f>IFERROR(INDEX(RBD_BI,MATCH("Customer Success &amp; Support|A2|A",RBD_KEY,0)),"M")</f>
        <v>M</v>
      </c>
      <c r="O257" s="35" t="str">
        <f>IFERROR(INDEX(RBD_Exp,MATCH("Customer Success &amp; Support|A2|A",RBD_KEY,0)),"M")</f>
        <v>L</v>
      </c>
      <c r="P257" s="35" t="str">
        <f>IFERROR(INDEX(RBD_Edu,MATCH("Customer Success &amp; Support|A2|A",RBD_KEY,0)),"M")</f>
        <v>L</v>
      </c>
      <c r="Q257" s="73">
        <f>IF(J257="","",IFERROR(INDEX(LMH_PTS,MATCH(J257,LMH_KEY,0))/SUM(IFERROR(INDEX(LMH_PTS,MATCH(J257,LMH_KEY,0)),0),IFERROR(INDEX(LMH_PTS,MATCH(K257,LMH_KEY,0)),0),IFERROR(INDEX(LMH_PTS,MATCH(L257,LMH_KEY,0)),0),IFERROR(INDEX(LMH_PTS,MATCH(M257,LMH_KEY,0)),0),IFERROR(INDEX(LMH_PTS,MATCH(N257,LMH_KEY,0)),0),IFERROR(INDEX(LMH_PTS,MATCH(O257,LMH_KEY,0)),0),IFERROR(INDEX(LMH_PTS,MATCH(P257,LMH_KEY,0)),0)),""))</f>
        <v>0.428571428571429</v>
      </c>
      <c r="R257" s="74">
        <f>IF(K257="","",IFERROR(INDEX(LMH_PTS,MATCH(K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S257" s="74">
        <f>IF(L257="","",IFERROR(INDEX(LMH_PTS,MATCH(L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T257" s="74">
        <f>IF(M257="","",IFERROR(INDEX(LMH_PTS,MATCH(M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U257" s="74">
        <f>IF(N257="","",IFERROR(INDEX(LMH_PTS,MATCH(N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V257" s="74">
        <f>IF(O257="","",IFERROR(INDEX(LMH_PTS,MATCH(O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W257" s="74">
        <f>IF(P257="","",IFERROR(INDEX(LMH_PTS,MATCH(P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X257" s="44" t="n"/>
      <c r="Y257" s="38" t="inlineStr">
        <is>
          <t>iDEAL|Technology|Support Executive|A2|A</t>
        </is>
      </c>
    </row>
    <row r="258" ht="28" customHeight="1">
      <c r="A258" s="28" t="inlineStr">
        <is>
          <t>iDEAL</t>
        </is>
      </c>
      <c r="B258" s="29" t="inlineStr">
        <is>
          <t>Technology</t>
        </is>
      </c>
      <c r="C258" s="75" t="inlineStr">
        <is>
          <t>A1</t>
        </is>
      </c>
      <c r="D258" s="29" t="inlineStr">
        <is>
          <t>Band A · Practitioner</t>
        </is>
      </c>
      <c r="E258" s="29" t="inlineStr">
        <is>
          <t>Trainee Software Engineer</t>
        </is>
      </c>
      <c r="F258" s="29" t="inlineStr">
        <is>
          <t>Band A · all tracks</t>
        </is>
      </c>
      <c r="G258" s="29" t="inlineStr">
        <is>
          <t>Engineering &amp; Development</t>
        </is>
      </c>
      <c r="H258" s="29" t="n">
        <v>2</v>
      </c>
      <c r="I258" s="29" t="inlineStr">
        <is>
          <t>Atharv Sameer Shevade, Vinayak Dadasaheb Suryawanshi</t>
        </is>
      </c>
      <c r="J258" s="34" t="str">
        <f>IFERROR(INDEX(RBD_C,MATCH("Engineering &amp; Development|A1|A",RBD_KEY,0)),"M")</f>
        <v>H</v>
      </c>
      <c r="K258" s="35" t="str">
        <f>IFERROR(INDEX(RBD_Au,MATCH("Engineering &amp; Development|A1|A",RBD_KEY,0)),"M")</f>
        <v>M</v>
      </c>
      <c r="L258" s="35" t="str">
        <f>IFERROR(INDEX(RBD_Ac,MATCH("Engineering &amp; Development|A1|A",RBD_KEY,0)),"M")</f>
        <v>L</v>
      </c>
      <c r="M258" s="35" t="str">
        <f>IFERROR(INDEX(RBD_L,MATCH("Engineering &amp; Development|A1|A",RBD_KEY,0)),"M")</f>
        <v>L</v>
      </c>
      <c r="N258" s="35" t="str">
        <f>IFERROR(INDEX(RBD_BI,MATCH("Engineering &amp; Development|A1|A",RBD_KEY,0)),"M")</f>
        <v>L</v>
      </c>
      <c r="O258" s="35" t="str">
        <f>IFERROR(INDEX(RBD_Exp,MATCH("Engineering &amp; Development|A1|A",RBD_KEY,0)),"M")</f>
        <v>L</v>
      </c>
      <c r="P258" s="35" t="str">
        <f>IFERROR(INDEX(RBD_Edu,MATCH("Engineering &amp; Development|A1|A",RBD_KEY,0)),"M")</f>
        <v>L</v>
      </c>
      <c r="Q258" s="73">
        <f>IF(J258="","",IFERROR(INDEX(LMH_PTS,MATCH(J258,LMH_KEY,0))/SUM(IFERROR(INDEX(LMH_PTS,MATCH(J258,LMH_KEY,0)),0),IFERROR(INDEX(LMH_PTS,MATCH(K258,LMH_KEY,0)),0),IFERROR(INDEX(LMH_PTS,MATCH(L258,LMH_KEY,0)),0),IFERROR(INDEX(LMH_PTS,MATCH(M258,LMH_KEY,0)),0),IFERROR(INDEX(LMH_PTS,MATCH(N258,LMH_KEY,0)),0),IFERROR(INDEX(LMH_PTS,MATCH(O258,LMH_KEY,0)),0),IFERROR(INDEX(LMH_PTS,MATCH(P258,LMH_KEY,0)),0)),""))</f>
        <v>0.529411764705882</v>
      </c>
      <c r="R258" s="74">
        <f>IF(K258="","",IFERROR(INDEX(LMH_PTS,MATCH(K258,LMH_KEY,0))/SUM(IFERROR(INDEX(LMH_PTS,MATCH(J258,LMH_KEY,0)),0),IFERROR(INDEX(LMH_PTS,MATCH(K258,LMH_KEY,0)),0),IFERROR(INDEX(LMH_PTS,MATCH(L258,LMH_KEY,0)),0),IFERROR(INDEX(LMH_PTS,MATCH(M258,LMH_KEY,0)),0),IFERROR(INDEX(LMH_PTS,MATCH(N258,LMH_KEY,0)),0),IFERROR(INDEX(LMH_PTS,MATCH(O258,LMH_KEY,0)),0),IFERROR(INDEX(LMH_PTS,MATCH(P258,LMH_KEY,0)),0)),""))</f>
        <v>0.176470588235294</v>
      </c>
      <c r="S258" s="74">
        <f>IF(L258="","",IFERROR(INDEX(LMH_PTS,MATCH(L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T258" s="74">
        <f>IF(M258="","",IFERROR(INDEX(LMH_PTS,MATCH(M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U258" s="74">
        <f>IF(N258="","",IFERROR(INDEX(LMH_PTS,MATCH(N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V258" s="74">
        <f>IF(O258="","",IFERROR(INDEX(LMH_PTS,MATCH(O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W258" s="74">
        <f>IF(P258="","",IFERROR(INDEX(LMH_PTS,MATCH(P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X258" s="44" t="n"/>
      <c r="Y258" s="38" t="inlineStr">
        <is>
          <t>iDEAL|Technology|Trainee Software Engineer|A1|A</t>
        </is>
      </c>
    </row>
    <row r="259" ht="18" customHeight="1">
      <c r="A259" s="28" t="inlineStr">
        <is>
          <t>iDEAL</t>
        </is>
      </c>
      <c r="B259" s="71" t="inlineStr">
        <is>
          <t>iDEAL Business Head</t>
        </is>
      </c>
      <c r="C259" s="78" t="inlineStr">
        <is>
          <t>C2</t>
        </is>
      </c>
      <c r="D259" s="29" t="inlineStr">
        <is>
          <t>Band C · Principal / Head</t>
        </is>
      </c>
      <c r="E259" s="29" t="inlineStr">
        <is>
          <t>Business Head – iDEAL</t>
        </is>
      </c>
      <c r="F259" s="29" t="inlineStr">
        <is>
          <t>Band C · Head / manager</t>
        </is>
      </c>
      <c r="G259" s="29" t="inlineStr">
        <is>
          <t>Executive Leadership</t>
        </is>
      </c>
      <c r="H259" s="29" t="n">
        <v>1</v>
      </c>
      <c r="I259" s="29" t="inlineStr">
        <is>
          <t>Hemant Karale</t>
        </is>
      </c>
      <c r="J259" s="34" t="str">
        <f>IFERROR(INDEX(RBD_C,MATCH("Executive Leadership|C2|C-M",RBD_KEY,0)),"M")</f>
        <v>H</v>
      </c>
      <c r="K259" s="35" t="str">
        <f>IFERROR(INDEX(RBD_Au,MATCH("Executive Leadership|C2|C-M",RBD_KEY,0)),"M")</f>
        <v>M</v>
      </c>
      <c r="L259" s="35" t="str">
        <f>IFERROR(INDEX(RBD_Ac,MATCH("Executive Leadership|C2|C-M",RBD_KEY,0)),"M")</f>
        <v>M</v>
      </c>
      <c r="M259" s="35" t="str">
        <f>IFERROR(INDEX(RBD_L,MATCH("Executive Leadership|C2|C-M",RBD_KEY,0)),"M")</f>
        <v>M</v>
      </c>
      <c r="N259" s="35" t="str">
        <f>IFERROR(INDEX(RBD_BI,MATCH("Executive Leadership|C2|C-M",RBD_KEY,0)),"M")</f>
        <v>L</v>
      </c>
      <c r="O259" s="35" t="str">
        <f>IFERROR(INDEX(RBD_Exp,MATCH("Executive Leadership|C2|C-M",RBD_KEY,0)),"M")</f>
        <v>L</v>
      </c>
      <c r="P259" s="35" t="str">
        <f>IFERROR(INDEX(RBD_Edu,MATCH("Executive Leadership|C2|C-M",RBD_KEY,0)),"M")</f>
        <v>L</v>
      </c>
      <c r="Q259" s="73">
        <f>IF(J259="","",IFERROR(INDEX(LMH_PTS,MATCH(J259,LMH_KEY,0))/SUM(IFERROR(INDEX(LMH_PTS,MATCH(J259,LMH_KEY,0)),0),IFERROR(INDEX(LMH_PTS,MATCH(K259,LMH_KEY,0)),0),IFERROR(INDEX(LMH_PTS,MATCH(L259,LMH_KEY,0)),0),IFERROR(INDEX(LMH_PTS,MATCH(M259,LMH_KEY,0)),0),IFERROR(INDEX(LMH_PTS,MATCH(N259,LMH_KEY,0)),0),IFERROR(INDEX(LMH_PTS,MATCH(O259,LMH_KEY,0)),0),IFERROR(INDEX(LMH_PTS,MATCH(P259,LMH_KEY,0)),0)),""))</f>
        <v>0.428571428571429</v>
      </c>
      <c r="R259" s="74">
        <f>IF(K259="","",IFERROR(INDEX(LMH_PTS,MATCH(K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S259" s="74">
        <f>IF(L259="","",IFERROR(INDEX(LMH_PTS,MATCH(L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T259" s="74">
        <f>IF(M259="","",IFERROR(INDEX(LMH_PTS,MATCH(M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U259" s="74">
        <f>IF(N259="","",IFERROR(INDEX(LMH_PTS,MATCH(N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V259" s="74">
        <f>IF(O259="","",IFERROR(INDEX(LMH_PTS,MATCH(O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W259" s="74">
        <f>IF(P259="","",IFERROR(INDEX(LMH_PTS,MATCH(P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X259" s="44" t="n"/>
      <c r="Y259" s="38" t="inlineStr">
        <is>
          <t>iDEAL|iDEAL Business Head|Business Head – iDEAL|C2|C-M</t>
        </is>
      </c>
    </row>
    <row r="260" ht="18" customHeight="1">
      <c r="A260" s="28" t="inlineStr">
        <is>
          <t>Datatech</t>
        </is>
      </c>
      <c r="B260" s="71" t="inlineStr">
        <is>
          <t>Datatech - Outreach</t>
        </is>
      </c>
      <c r="C260" s="72" t="inlineStr">
        <is>
          <t>B2</t>
        </is>
      </c>
      <c r="D260" s="29" t="inlineStr">
        <is>
          <t>Band B · Specialist / Manager</t>
        </is>
      </c>
      <c r="E260" s="29" t="inlineStr">
        <is>
          <t>Program Manager – Outreach</t>
        </is>
      </c>
      <c r="F260" s="29" t="inlineStr">
        <is>
          <t>Band B · People Manager</t>
        </is>
      </c>
      <c r="G260" s="29" t="inlineStr">
        <is>
          <t>Sales &amp; Business Development</t>
        </is>
      </c>
      <c r="H260" s="29" t="n">
        <v>1</v>
      </c>
      <c r="I260" s="29" t="inlineStr">
        <is>
          <t>Raghin Nair</t>
        </is>
      </c>
      <c r="J260" s="34" t="str">
        <f>IFERROR(INDEX(RBD_C,MATCH("Sales &amp; Business Development|B2|B-M",RBD_KEY,0)),"M")</f>
        <v>H</v>
      </c>
      <c r="K260" s="35" t="str">
        <f>IFERROR(INDEX(RBD_Au,MATCH("Sales &amp; Business Development|B2|B-M",RBD_KEY,0)),"M")</f>
        <v>M</v>
      </c>
      <c r="L260" s="35" t="str">
        <f>IFERROR(INDEX(RBD_Ac,MATCH("Sales &amp; Business Development|B2|B-M",RBD_KEY,0)),"M")</f>
        <v>L</v>
      </c>
      <c r="M260" s="35" t="str">
        <f>IFERROR(INDEX(RBD_L,MATCH("Sales &amp; Business Development|B2|B-M",RBD_KEY,0)),"M")</f>
        <v>M</v>
      </c>
      <c r="N260" s="35" t="str">
        <f>IFERROR(INDEX(RBD_BI,MATCH("Sales &amp; Business Development|B2|B-M",RBD_KEY,0)),"M")</f>
        <v>M</v>
      </c>
      <c r="O260" s="35" t="str">
        <f>IFERROR(INDEX(RBD_Exp,MATCH("Sales &amp; Business Development|B2|B-M",RBD_KEY,0)),"M")</f>
        <v>L</v>
      </c>
      <c r="P260" s="35" t="str">
        <f>IFERROR(INDEX(RBD_Edu,MATCH("Sales &amp; Business Development|B2|B-M",RBD_KEY,0)),"M")</f>
        <v>L</v>
      </c>
      <c r="Q260" s="73">
        <f>IF(J260="","",IFERROR(INDEX(LMH_PTS,MATCH(J260,LMH_KEY,0))/SUM(IFERROR(INDEX(LMH_PTS,MATCH(J260,LMH_KEY,0)),0),IFERROR(INDEX(LMH_PTS,MATCH(K260,LMH_KEY,0)),0),IFERROR(INDEX(LMH_PTS,MATCH(L260,LMH_KEY,0)),0),IFERROR(INDEX(LMH_PTS,MATCH(M260,LMH_KEY,0)),0),IFERROR(INDEX(LMH_PTS,MATCH(N260,LMH_KEY,0)),0),IFERROR(INDEX(LMH_PTS,MATCH(O260,LMH_KEY,0)),0),IFERROR(INDEX(LMH_PTS,MATCH(P260,LMH_KEY,0)),0)),""))</f>
        <v>0.428571428571429</v>
      </c>
      <c r="R260" s="74">
        <f>IF(K260="","",IFERROR(INDEX(LMH_PTS,MATCH(K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S260" s="74">
        <f>IF(L260="","",IFERROR(INDEX(LMH_PTS,MATCH(L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T260" s="74">
        <f>IF(M260="","",IFERROR(INDEX(LMH_PTS,MATCH(M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U260" s="74">
        <f>IF(N260="","",IFERROR(INDEX(LMH_PTS,MATCH(N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V260" s="74">
        <f>IF(O260="","",IFERROR(INDEX(LMH_PTS,MATCH(O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W260" s="74">
        <f>IF(P260="","",IFERROR(INDEX(LMH_PTS,MATCH(P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X260" s="44" t="n"/>
      <c r="Y260" s="38" t="inlineStr">
        <is>
          <t>Datatech|Datatech - Outreach|Program Manager – Outreach|B2|B-M</t>
        </is>
      </c>
    </row>
    <row r="261" ht="28" customHeight="1">
      <c r="A261" s="28" t="inlineStr">
        <is>
          <t>Datatech</t>
        </is>
      </c>
      <c r="B261" s="29" t="inlineStr">
        <is>
          <t>Datatech - Outreach</t>
        </is>
      </c>
      <c r="C261" s="72" t="inlineStr">
        <is>
          <t>B1</t>
        </is>
      </c>
      <c r="D261" s="29" t="inlineStr">
        <is>
          <t>Band B · Specialist / Manager</t>
        </is>
      </c>
      <c r="E261" s="29" t="inlineStr">
        <is>
          <t>Senior Program Specialist – POD Lead</t>
        </is>
      </c>
      <c r="F261" s="29" t="inlineStr">
        <is>
          <t>Band B · Specialist / POD Lead</t>
        </is>
      </c>
      <c r="G261" s="29" t="inlineStr">
        <is>
          <t>Sales &amp; Business Development</t>
        </is>
      </c>
      <c r="H261" s="29" t="n">
        <v>1</v>
      </c>
      <c r="I261" s="29" t="inlineStr">
        <is>
          <t>Jeevan Khokale</t>
        </is>
      </c>
      <c r="J261" s="34" t="str">
        <f>IFERROR(INDEX(RBD_C,MATCH("Sales &amp; Business Development|B1|B-IC",RBD_KEY,0)),"M")</f>
        <v>H</v>
      </c>
      <c r="K261" s="35" t="str">
        <f>IFERROR(INDEX(RBD_Au,MATCH("Sales &amp; Business Development|B1|B-IC",RBD_KEY,0)),"M")</f>
        <v>M</v>
      </c>
      <c r="L261" s="35" t="str">
        <f>IFERROR(INDEX(RBD_Ac,MATCH("Sales &amp; Business Development|B1|B-IC",RBD_KEY,0)),"M")</f>
        <v>L</v>
      </c>
      <c r="M261" s="35" t="str">
        <f>IFERROR(INDEX(RBD_L,MATCH("Sales &amp; Business Development|B1|B-IC",RBD_KEY,0)),"M")</f>
        <v>L</v>
      </c>
      <c r="N261" s="35" t="str">
        <f>IFERROR(INDEX(RBD_BI,MATCH("Sales &amp; Business Development|B1|B-IC",RBD_KEY,0)),"M")</f>
        <v>M</v>
      </c>
      <c r="O261" s="35" t="str">
        <f>IFERROR(INDEX(RBD_Exp,MATCH("Sales &amp; Business Development|B1|B-IC",RBD_KEY,0)),"M")</f>
        <v>L</v>
      </c>
      <c r="P261" s="35" t="str">
        <f>IFERROR(INDEX(RBD_Edu,MATCH("Sales &amp; Business Development|B1|B-IC",RBD_KEY,0)),"M")</f>
        <v>L</v>
      </c>
      <c r="Q261" s="73">
        <f>IF(J261="","",IFERROR(INDEX(LMH_PTS,MATCH(J261,LMH_KEY,0))/SUM(IFERROR(INDEX(LMH_PTS,MATCH(J261,LMH_KEY,0)),0),IFERROR(INDEX(LMH_PTS,MATCH(K261,LMH_KEY,0)),0),IFERROR(INDEX(LMH_PTS,MATCH(L261,LMH_KEY,0)),0),IFERROR(INDEX(LMH_PTS,MATCH(M261,LMH_KEY,0)),0),IFERROR(INDEX(LMH_PTS,MATCH(N261,LMH_KEY,0)),0),IFERROR(INDEX(LMH_PTS,MATCH(O261,LMH_KEY,0)),0),IFERROR(INDEX(LMH_PTS,MATCH(P261,LMH_KEY,0)),0)),""))</f>
        <v>0.473684210526316</v>
      </c>
      <c r="R261" s="74">
        <f>IF(K261="","",IFERROR(INDEX(LMH_PTS,MATCH(K261,LMH_KEY,0))/SUM(IFERROR(INDEX(LMH_PTS,MATCH(J261,LMH_KEY,0)),0),IFERROR(INDEX(LMH_PTS,MATCH(K261,LMH_KEY,0)),0),IFERROR(INDEX(LMH_PTS,MATCH(L261,LMH_KEY,0)),0),IFERROR(INDEX(LMH_PTS,MATCH(M261,LMH_KEY,0)),0),IFERROR(INDEX(LMH_PTS,MATCH(N261,LMH_KEY,0)),0),IFERROR(INDEX(LMH_PTS,MATCH(O261,LMH_KEY,0)),0),IFERROR(INDEX(LMH_PTS,MATCH(P261,LMH_KEY,0)),0)),""))</f>
        <v>0.157894736842105</v>
      </c>
      <c r="S261" s="74">
        <f>IF(L261="","",IFERROR(INDEX(LMH_PTS,MATCH(L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T261" s="74">
        <f>IF(M261="","",IFERROR(INDEX(LMH_PTS,MATCH(M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U261" s="74">
        <f>IF(N261="","",IFERROR(INDEX(LMH_PTS,MATCH(N261,LMH_KEY,0))/SUM(IFERROR(INDEX(LMH_PTS,MATCH(J261,LMH_KEY,0)),0),IFERROR(INDEX(LMH_PTS,MATCH(K261,LMH_KEY,0)),0),IFERROR(INDEX(LMH_PTS,MATCH(L261,LMH_KEY,0)),0),IFERROR(INDEX(LMH_PTS,MATCH(M261,LMH_KEY,0)),0),IFERROR(INDEX(LMH_PTS,MATCH(N261,LMH_KEY,0)),0),IFERROR(INDEX(LMH_PTS,MATCH(O261,LMH_KEY,0)),0),IFERROR(INDEX(LMH_PTS,MATCH(P261,LMH_KEY,0)),0)),""))</f>
        <v>0.157894736842105</v>
      </c>
      <c r="V261" s="74">
        <f>IF(O261="","",IFERROR(INDEX(LMH_PTS,MATCH(O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W261" s="74">
        <f>IF(P261="","",IFERROR(INDEX(LMH_PTS,MATCH(P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X261" s="44" t="n"/>
      <c r="Y261" s="38" t="inlineStr">
        <is>
          <t>Datatech|Datatech - Outreach|Senior Program Specialist – POD Lead|B1|B-IC</t>
        </is>
      </c>
    </row>
    <row r="262" ht="40.5" customHeight="1">
      <c r="A262" s="28" t="inlineStr">
        <is>
          <t>Datatech</t>
        </is>
      </c>
      <c r="B262" s="29" t="inlineStr">
        <is>
          <t>Datatech - Outreach</t>
        </is>
      </c>
      <c r="C262" s="75" t="inlineStr">
        <is>
          <t>A3</t>
        </is>
      </c>
      <c r="D262" s="29" t="inlineStr">
        <is>
          <t>Band A · Practitioner</t>
        </is>
      </c>
      <c r="E262" s="29" t="inlineStr">
        <is>
          <t>Senior Program Executive</t>
        </is>
      </c>
      <c r="F262" s="29" t="inlineStr">
        <is>
          <t>Band A · all tracks</t>
        </is>
      </c>
      <c r="G262" s="29" t="inlineStr">
        <is>
          <t>Sales &amp; Business Development</t>
        </is>
      </c>
      <c r="H262" s="29" t="n">
        <v>3</v>
      </c>
      <c r="I262" s="29" t="inlineStr">
        <is>
          <t>Lakshmikantha RN, Bharati Durgaprasad Paranjape, Nalini Niranjan Damisetti</t>
        </is>
      </c>
      <c r="J262" s="34" t="str">
        <f>IFERROR(INDEX(RBD_C,MATCH("Sales &amp; Business Development|A3|A",RBD_KEY,0)),"M")</f>
        <v>H</v>
      </c>
      <c r="K262" s="35" t="str">
        <f>IFERROR(INDEX(RBD_Au,MATCH("Sales &amp; Business Development|A3|A",RBD_KEY,0)),"M")</f>
        <v>M</v>
      </c>
      <c r="L262" s="35" t="str">
        <f>IFERROR(INDEX(RBD_Ac,MATCH("Sales &amp; Business Development|A3|A",RBD_KEY,0)),"M")</f>
        <v>L</v>
      </c>
      <c r="M262" s="35" t="str">
        <f>IFERROR(INDEX(RBD_L,MATCH("Sales &amp; Business Development|A3|A",RBD_KEY,0)),"M")</f>
        <v>L</v>
      </c>
      <c r="N262" s="35" t="str">
        <f>IFERROR(INDEX(RBD_BI,MATCH("Sales &amp; Business Development|A3|A",RBD_KEY,0)),"M")</f>
        <v>M</v>
      </c>
      <c r="O262" s="35" t="str">
        <f>IFERROR(INDEX(RBD_Exp,MATCH("Sales &amp; Business Development|A3|A",RBD_KEY,0)),"M")</f>
        <v>L</v>
      </c>
      <c r="P262" s="35" t="str">
        <f>IFERROR(INDEX(RBD_Edu,MATCH("Sales &amp; Business Development|A3|A",RBD_KEY,0)),"M")</f>
        <v>L</v>
      </c>
      <c r="Q262" s="73">
        <f>IF(J262="","",IFERROR(INDEX(LMH_PTS,MATCH(J262,LMH_KEY,0))/SUM(IFERROR(INDEX(LMH_PTS,MATCH(J262,LMH_KEY,0)),0),IFERROR(INDEX(LMH_PTS,MATCH(K262,LMH_KEY,0)),0),IFERROR(INDEX(LMH_PTS,MATCH(L262,LMH_KEY,0)),0),IFERROR(INDEX(LMH_PTS,MATCH(M262,LMH_KEY,0)),0),IFERROR(INDEX(LMH_PTS,MATCH(N262,LMH_KEY,0)),0),IFERROR(INDEX(LMH_PTS,MATCH(O262,LMH_KEY,0)),0),IFERROR(INDEX(LMH_PTS,MATCH(P262,LMH_KEY,0)),0)),""))</f>
        <v>0.473684210526316</v>
      </c>
      <c r="R262" s="74">
        <f>IF(K262="","",IFERROR(INDEX(LMH_PTS,MATCH(K262,LMH_KEY,0))/SUM(IFERROR(INDEX(LMH_PTS,MATCH(J262,LMH_KEY,0)),0),IFERROR(INDEX(LMH_PTS,MATCH(K262,LMH_KEY,0)),0),IFERROR(INDEX(LMH_PTS,MATCH(L262,LMH_KEY,0)),0),IFERROR(INDEX(LMH_PTS,MATCH(M262,LMH_KEY,0)),0),IFERROR(INDEX(LMH_PTS,MATCH(N262,LMH_KEY,0)),0),IFERROR(INDEX(LMH_PTS,MATCH(O262,LMH_KEY,0)),0),IFERROR(INDEX(LMH_PTS,MATCH(P262,LMH_KEY,0)),0)),""))</f>
        <v>0.157894736842105</v>
      </c>
      <c r="S262" s="74">
        <f>IF(L262="","",IFERROR(INDEX(LMH_PTS,MATCH(L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T262" s="74">
        <f>IF(M262="","",IFERROR(INDEX(LMH_PTS,MATCH(M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U262" s="74">
        <f>IF(N262="","",IFERROR(INDEX(LMH_PTS,MATCH(N262,LMH_KEY,0))/SUM(IFERROR(INDEX(LMH_PTS,MATCH(J262,LMH_KEY,0)),0),IFERROR(INDEX(LMH_PTS,MATCH(K262,LMH_KEY,0)),0),IFERROR(INDEX(LMH_PTS,MATCH(L262,LMH_KEY,0)),0),IFERROR(INDEX(LMH_PTS,MATCH(M262,LMH_KEY,0)),0),IFERROR(INDEX(LMH_PTS,MATCH(N262,LMH_KEY,0)),0),IFERROR(INDEX(LMH_PTS,MATCH(O262,LMH_KEY,0)),0),IFERROR(INDEX(LMH_PTS,MATCH(P262,LMH_KEY,0)),0)),""))</f>
        <v>0.157894736842105</v>
      </c>
      <c r="V262" s="74">
        <f>IF(O262="","",IFERROR(INDEX(LMH_PTS,MATCH(O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W262" s="74">
        <f>IF(P262="","",IFERROR(INDEX(LMH_PTS,MATCH(P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X262" s="44" t="n"/>
      <c r="Y262" s="38" t="inlineStr">
        <is>
          <t>Datatech|Datatech - Outreach|Senior Program Executive|A3|A</t>
        </is>
      </c>
    </row>
    <row r="263" ht="18" customHeight="1">
      <c r="A263" s="28" t="inlineStr">
        <is>
          <t>Datatech</t>
        </is>
      </c>
      <c r="B263" s="29" t="inlineStr">
        <is>
          <t>Datatech - Outreach</t>
        </is>
      </c>
      <c r="C263" s="75" t="inlineStr">
        <is>
          <t>A2</t>
        </is>
      </c>
      <c r="D263" s="29" t="inlineStr">
        <is>
          <t>Band A · Practitioner</t>
        </is>
      </c>
      <c r="E263" s="29" t="inlineStr">
        <is>
          <t>MIS Associate</t>
        </is>
      </c>
      <c r="F263" s="29" t="inlineStr">
        <is>
          <t>Band A · all tracks</t>
        </is>
      </c>
      <c r="G263" s="29" t="inlineStr">
        <is>
          <t>Data &amp; Analytics</t>
        </is>
      </c>
      <c r="H263" s="29" t="n">
        <v>1</v>
      </c>
      <c r="I263" s="29" t="inlineStr">
        <is>
          <t>Sameeksha More</t>
        </is>
      </c>
      <c r="J263" s="34" t="str">
        <f>IFERROR(INDEX(RBD_C,MATCH("Data &amp; Analytics|A2|A",RBD_KEY,0)),"M")</f>
        <v>H</v>
      </c>
      <c r="K263" s="35" t="str">
        <f>IFERROR(INDEX(RBD_Au,MATCH("Data &amp; Analytics|A2|A",RBD_KEY,0)),"M")</f>
        <v>M</v>
      </c>
      <c r="L263" s="35" t="str">
        <f>IFERROR(INDEX(RBD_Ac,MATCH("Data &amp; Analytics|A2|A",RBD_KEY,0)),"M")</f>
        <v>M</v>
      </c>
      <c r="M263" s="35" t="str">
        <f>IFERROR(INDEX(RBD_L,MATCH("Data &amp; Analytics|A2|A",RBD_KEY,0)),"M")</f>
        <v>L</v>
      </c>
      <c r="N263" s="35" t="str">
        <f>IFERROR(INDEX(RBD_BI,MATCH("Data &amp; Analytics|A2|A",RBD_KEY,0)),"M")</f>
        <v>L</v>
      </c>
      <c r="O263" s="35" t="str">
        <f>IFERROR(INDEX(RBD_Exp,MATCH("Data &amp; Analytics|A2|A",RBD_KEY,0)),"M")</f>
        <v>L</v>
      </c>
      <c r="P263" s="35" t="str">
        <f>IFERROR(INDEX(RBD_Edu,MATCH("Data &amp; Analytics|A2|A",RBD_KEY,0)),"M")</f>
        <v>L</v>
      </c>
      <c r="Q263" s="73">
        <f>IF(J263="","",IFERROR(INDEX(LMH_PTS,MATCH(J263,LMH_KEY,0))/SUM(IFERROR(INDEX(LMH_PTS,MATCH(J263,LMH_KEY,0)),0),IFERROR(INDEX(LMH_PTS,MATCH(K263,LMH_KEY,0)),0),IFERROR(INDEX(LMH_PTS,MATCH(L263,LMH_KEY,0)),0),IFERROR(INDEX(LMH_PTS,MATCH(M263,LMH_KEY,0)),0),IFERROR(INDEX(LMH_PTS,MATCH(N263,LMH_KEY,0)),0),IFERROR(INDEX(LMH_PTS,MATCH(O263,LMH_KEY,0)),0),IFERROR(INDEX(LMH_PTS,MATCH(P263,LMH_KEY,0)),0)),""))</f>
        <v>0.473684210526316</v>
      </c>
      <c r="R263" s="74">
        <f>IF(K263="","",IFERROR(INDEX(LMH_PTS,MATCH(K263,LMH_KEY,0))/SUM(IFERROR(INDEX(LMH_PTS,MATCH(J263,LMH_KEY,0)),0),IFERROR(INDEX(LMH_PTS,MATCH(K263,LMH_KEY,0)),0),IFERROR(INDEX(LMH_PTS,MATCH(L263,LMH_KEY,0)),0),IFERROR(INDEX(LMH_PTS,MATCH(M263,LMH_KEY,0)),0),IFERROR(INDEX(LMH_PTS,MATCH(N263,LMH_KEY,0)),0),IFERROR(INDEX(LMH_PTS,MATCH(O263,LMH_KEY,0)),0),IFERROR(INDEX(LMH_PTS,MATCH(P263,LMH_KEY,0)),0)),""))</f>
        <v>0.157894736842105</v>
      </c>
      <c r="S263" s="74">
        <f>IF(L263="","",IFERROR(INDEX(LMH_PTS,MATCH(L263,LMH_KEY,0))/SUM(IFERROR(INDEX(LMH_PTS,MATCH(J263,LMH_KEY,0)),0),IFERROR(INDEX(LMH_PTS,MATCH(K263,LMH_KEY,0)),0),IFERROR(INDEX(LMH_PTS,MATCH(L263,LMH_KEY,0)),0),IFERROR(INDEX(LMH_PTS,MATCH(M263,LMH_KEY,0)),0),IFERROR(INDEX(LMH_PTS,MATCH(N263,LMH_KEY,0)),0),IFERROR(INDEX(LMH_PTS,MATCH(O263,LMH_KEY,0)),0),IFERROR(INDEX(LMH_PTS,MATCH(P263,LMH_KEY,0)),0)),""))</f>
        <v>0.157894736842105</v>
      </c>
      <c r="T263" s="74">
        <f>IF(M263="","",IFERROR(INDEX(LMH_PTS,MATCH(M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U263" s="74">
        <f>IF(N263="","",IFERROR(INDEX(LMH_PTS,MATCH(N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V263" s="74">
        <f>IF(O263="","",IFERROR(INDEX(LMH_PTS,MATCH(O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W263" s="74">
        <f>IF(P263="","",IFERROR(INDEX(LMH_PTS,MATCH(P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X263" s="44" t="n"/>
      <c r="Y263" s="38" t="inlineStr">
        <is>
          <t>Datatech|Datatech - Outreach|MIS Associate|A2|A</t>
        </is>
      </c>
    </row>
    <row r="264" ht="18" customHeight="1">
      <c r="A264" s="28" t="inlineStr">
        <is>
          <t>Datatech</t>
        </is>
      </c>
      <c r="B264" s="29" t="inlineStr">
        <is>
          <t>Datatech - Outreach</t>
        </is>
      </c>
      <c r="C264" s="75" t="inlineStr">
        <is>
          <t>A2</t>
        </is>
      </c>
      <c r="D264" s="29" t="inlineStr">
        <is>
          <t>Band A · Practitioner</t>
        </is>
      </c>
      <c r="E264" s="29" t="inlineStr">
        <is>
          <t>Program Executive</t>
        </is>
      </c>
      <c r="F264" s="29" t="inlineStr">
        <is>
          <t>Band A · all tracks</t>
        </is>
      </c>
      <c r="G264" s="29" t="inlineStr">
        <is>
          <t>Sales &amp; Business Development</t>
        </is>
      </c>
      <c r="H264" s="29" t="n">
        <v>2</v>
      </c>
      <c r="I264" s="29" t="inlineStr">
        <is>
          <t>Jothi Pillai, Vaibhav Dukare</t>
        </is>
      </c>
      <c r="J264" s="34" t="str">
        <f>IFERROR(INDEX(RBD_C,MATCH("Sales &amp; Business Development|A2|A",RBD_KEY,0)),"M")</f>
        <v>H</v>
      </c>
      <c r="K264" s="35" t="str">
        <f>IFERROR(INDEX(RBD_Au,MATCH("Sales &amp; Business Development|A2|A",RBD_KEY,0)),"M")</f>
        <v>M</v>
      </c>
      <c r="L264" s="35" t="str">
        <f>IFERROR(INDEX(RBD_Ac,MATCH("Sales &amp; Business Development|A2|A",RBD_KEY,0)),"M")</f>
        <v>L</v>
      </c>
      <c r="M264" s="35" t="str">
        <f>IFERROR(INDEX(RBD_L,MATCH("Sales &amp; Business Development|A2|A",RBD_KEY,0)),"M")</f>
        <v>L</v>
      </c>
      <c r="N264" s="35" t="str">
        <f>IFERROR(INDEX(RBD_BI,MATCH("Sales &amp; Business Development|A2|A",RBD_KEY,0)),"M")</f>
        <v>M</v>
      </c>
      <c r="O264" s="35" t="str">
        <f>IFERROR(INDEX(RBD_Exp,MATCH("Sales &amp; Business Development|A2|A",RBD_KEY,0)),"M")</f>
        <v>L</v>
      </c>
      <c r="P264" s="35" t="str">
        <f>IFERROR(INDEX(RBD_Edu,MATCH("Sales &amp; Business Development|A2|A",RBD_KEY,0)),"M")</f>
        <v>L</v>
      </c>
      <c r="Q264" s="73">
        <f>IF(J264="","",IFERROR(INDEX(LMH_PTS,MATCH(J264,LMH_KEY,0))/SUM(IFERROR(INDEX(LMH_PTS,MATCH(J264,LMH_KEY,0)),0),IFERROR(INDEX(LMH_PTS,MATCH(K264,LMH_KEY,0)),0),IFERROR(INDEX(LMH_PTS,MATCH(L264,LMH_KEY,0)),0),IFERROR(INDEX(LMH_PTS,MATCH(M264,LMH_KEY,0)),0),IFERROR(INDEX(LMH_PTS,MATCH(N264,LMH_KEY,0)),0),IFERROR(INDEX(LMH_PTS,MATCH(O264,LMH_KEY,0)),0),IFERROR(INDEX(LMH_PTS,MATCH(P264,LMH_KEY,0)),0)),""))</f>
        <v>0.473684210526316</v>
      </c>
      <c r="R264" s="74">
        <f>IF(K264="","",IFERROR(INDEX(LMH_PTS,MATCH(K264,LMH_KEY,0))/SUM(IFERROR(INDEX(LMH_PTS,MATCH(J264,LMH_KEY,0)),0),IFERROR(INDEX(LMH_PTS,MATCH(K264,LMH_KEY,0)),0),IFERROR(INDEX(LMH_PTS,MATCH(L264,LMH_KEY,0)),0),IFERROR(INDEX(LMH_PTS,MATCH(M264,LMH_KEY,0)),0),IFERROR(INDEX(LMH_PTS,MATCH(N264,LMH_KEY,0)),0),IFERROR(INDEX(LMH_PTS,MATCH(O264,LMH_KEY,0)),0),IFERROR(INDEX(LMH_PTS,MATCH(P264,LMH_KEY,0)),0)),""))</f>
        <v>0.157894736842105</v>
      </c>
      <c r="S264" s="74">
        <f>IF(L264="","",IFERROR(INDEX(LMH_PTS,MATCH(L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T264" s="74">
        <f>IF(M264="","",IFERROR(INDEX(LMH_PTS,MATCH(M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U264" s="74">
        <f>IF(N264="","",IFERROR(INDEX(LMH_PTS,MATCH(N264,LMH_KEY,0))/SUM(IFERROR(INDEX(LMH_PTS,MATCH(J264,LMH_KEY,0)),0),IFERROR(INDEX(LMH_PTS,MATCH(K264,LMH_KEY,0)),0),IFERROR(INDEX(LMH_PTS,MATCH(L264,LMH_KEY,0)),0),IFERROR(INDEX(LMH_PTS,MATCH(M264,LMH_KEY,0)),0),IFERROR(INDEX(LMH_PTS,MATCH(N264,LMH_KEY,0)),0),IFERROR(INDEX(LMH_PTS,MATCH(O264,LMH_KEY,0)),0),IFERROR(INDEX(LMH_PTS,MATCH(P264,LMH_KEY,0)),0)),""))</f>
        <v>0.157894736842105</v>
      </c>
      <c r="V264" s="74">
        <f>IF(O264="","",IFERROR(INDEX(LMH_PTS,MATCH(O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W264" s="74">
        <f>IF(P264="","",IFERROR(INDEX(LMH_PTS,MATCH(P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X264" s="44" t="n"/>
      <c r="Y264" s="38" t="inlineStr">
        <is>
          <t>Datatech|Datatech - Outreach|Program Executive|A2|A</t>
        </is>
      </c>
    </row>
    <row r="265" ht="18" customHeight="1">
      <c r="A265" s="28" t="inlineStr">
        <is>
          <t>Datatech</t>
        </is>
      </c>
      <c r="B265" s="71" t="inlineStr">
        <is>
          <t>Datatech Business Head</t>
        </is>
      </c>
      <c r="C265" s="79" t="inlineStr">
        <is>
          <t>D2</t>
        </is>
      </c>
      <c r="D265" s="29" t="inlineStr">
        <is>
          <t>Band D · Business leadership</t>
        </is>
      </c>
      <c r="E265" s="29" t="inlineStr">
        <is>
          <t>Business Head – DataTech</t>
        </is>
      </c>
      <c r="F265" s="29" t="inlineStr">
        <is>
          <t>Bands D–E · Leadership</t>
        </is>
      </c>
      <c r="G265" s="29" t="inlineStr">
        <is>
          <t>Executive Leadership</t>
        </is>
      </c>
      <c r="H265" s="29" t="n">
        <v>1</v>
      </c>
      <c r="I265" s="29" t="inlineStr">
        <is>
          <t>Shilpa Dhobale</t>
        </is>
      </c>
      <c r="J265" s="34" t="str">
        <f>IFERROR(INDEX(RBD_C,MATCH("Executive Leadership|D2|DE",RBD_KEY,0)),"M")</f>
        <v>H</v>
      </c>
      <c r="K265" s="35" t="str">
        <f>IFERROR(INDEX(RBD_Au,MATCH("Executive Leadership|D2|DE",RBD_KEY,0)),"M")</f>
        <v>M</v>
      </c>
      <c r="L265" s="35" t="str">
        <f>IFERROR(INDEX(RBD_Ac,MATCH("Executive Leadership|D2|DE",RBD_KEY,0)),"M")</f>
        <v>M</v>
      </c>
      <c r="M265" s="35" t="str">
        <f>IFERROR(INDEX(RBD_L,MATCH("Executive Leadership|D2|DE",RBD_KEY,0)),"M")</f>
        <v>M</v>
      </c>
      <c r="N265" s="35" t="str">
        <f>IFERROR(INDEX(RBD_BI,MATCH("Executive Leadership|D2|DE",RBD_KEY,0)),"M")</f>
        <v>L</v>
      </c>
      <c r="O265" s="35" t="str">
        <f>IFERROR(INDEX(RBD_Exp,MATCH("Executive Leadership|D2|DE",RBD_KEY,0)),"M")</f>
        <v>L</v>
      </c>
      <c r="P265" s="35" t="str">
        <f>IFERROR(INDEX(RBD_Edu,MATCH("Executive Leadership|D2|DE",RBD_KEY,0)),"M")</f>
        <v>L</v>
      </c>
      <c r="Q265" s="73">
        <f>IF(J265="","",IFERROR(INDEX(LMH_PTS,MATCH(J265,LMH_KEY,0))/SUM(IFERROR(INDEX(LMH_PTS,MATCH(J265,LMH_KEY,0)),0),IFERROR(INDEX(LMH_PTS,MATCH(K265,LMH_KEY,0)),0),IFERROR(INDEX(LMH_PTS,MATCH(L265,LMH_KEY,0)),0),IFERROR(INDEX(LMH_PTS,MATCH(M265,LMH_KEY,0)),0),IFERROR(INDEX(LMH_PTS,MATCH(N265,LMH_KEY,0)),0),IFERROR(INDEX(LMH_PTS,MATCH(O265,LMH_KEY,0)),0),IFERROR(INDEX(LMH_PTS,MATCH(P265,LMH_KEY,0)),0)),""))</f>
        <v>0.428571428571429</v>
      </c>
      <c r="R265" s="74">
        <f>IF(K265="","",IFERROR(INDEX(LMH_PTS,MATCH(K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S265" s="74">
        <f>IF(L265="","",IFERROR(INDEX(LMH_PTS,MATCH(L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T265" s="74">
        <f>IF(M265="","",IFERROR(INDEX(LMH_PTS,MATCH(M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U265" s="74">
        <f>IF(N265="","",IFERROR(INDEX(LMH_PTS,MATCH(N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V265" s="74">
        <f>IF(O265="","",IFERROR(INDEX(LMH_PTS,MATCH(O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W265" s="74">
        <f>IF(P265="","",IFERROR(INDEX(LMH_PTS,MATCH(P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X265" s="44" t="n"/>
      <c r="Y265" s="38" t="inlineStr">
        <is>
          <t>Datatech|Datatech Business Head|Business Head – DataTech|D2|DE</t>
        </is>
      </c>
    </row>
    <row r="266" ht="28" customHeight="1">
      <c r="A266" s="28" t="inlineStr">
        <is>
          <t>Datatech</t>
        </is>
      </c>
      <c r="B266" s="71" t="inlineStr">
        <is>
          <t>Marketing</t>
        </is>
      </c>
      <c r="C266" s="72" t="inlineStr">
        <is>
          <t>B2</t>
        </is>
      </c>
      <c r="D266" s="29" t="inlineStr">
        <is>
          <t>Band B · Specialist / Manager</t>
        </is>
      </c>
      <c r="E266" s="29" t="inlineStr">
        <is>
          <t>Marketing Specialist – POD Lead</t>
        </is>
      </c>
      <c r="F266" s="29" t="inlineStr">
        <is>
          <t>Band B · Specialist / POD Lead</t>
        </is>
      </c>
      <c r="G266" s="29" t="inlineStr">
        <is>
          <t>Marketing &amp; Communications</t>
        </is>
      </c>
      <c r="H266" s="29" t="n">
        <v>1</v>
      </c>
      <c r="I266" s="29" t="inlineStr">
        <is>
          <t>Ankita Pathak</t>
        </is>
      </c>
      <c r="J266" s="34" t="str">
        <f>IFERROR(INDEX(RBD_C,MATCH("Marketing &amp; Communications|B2|B-IC",RBD_KEY,0)),"M")</f>
        <v>H</v>
      </c>
      <c r="K266" s="35" t="str">
        <f>IFERROR(INDEX(RBD_Au,MATCH("Marketing &amp; Communications|B2|B-IC",RBD_KEY,0)),"M")</f>
        <v>M</v>
      </c>
      <c r="L266" s="35" t="str">
        <f>IFERROR(INDEX(RBD_Ac,MATCH("Marketing &amp; Communications|B2|B-IC",RBD_KEY,0)),"M")</f>
        <v>L</v>
      </c>
      <c r="M266" s="35" t="str">
        <f>IFERROR(INDEX(RBD_L,MATCH("Marketing &amp; Communications|B2|B-IC",RBD_KEY,0)),"M")</f>
        <v>L</v>
      </c>
      <c r="N266" s="35" t="str">
        <f>IFERROR(INDEX(RBD_BI,MATCH("Marketing &amp; Communications|B2|B-IC",RBD_KEY,0)),"M")</f>
        <v>M</v>
      </c>
      <c r="O266" s="35" t="str">
        <f>IFERROR(INDEX(RBD_Exp,MATCH("Marketing &amp; Communications|B2|B-IC",RBD_KEY,0)),"M")</f>
        <v>L</v>
      </c>
      <c r="P266" s="35" t="str">
        <f>IFERROR(INDEX(RBD_Edu,MATCH("Marketing &amp; Communications|B2|B-IC",RBD_KEY,0)),"M")</f>
        <v>L</v>
      </c>
      <c r="Q266" s="73">
        <f>IF(J266="","",IFERROR(INDEX(LMH_PTS,MATCH(J266,LMH_KEY,0))/SUM(IFERROR(INDEX(LMH_PTS,MATCH(J266,LMH_KEY,0)),0),IFERROR(INDEX(LMH_PTS,MATCH(K266,LMH_KEY,0)),0),IFERROR(INDEX(LMH_PTS,MATCH(L266,LMH_KEY,0)),0),IFERROR(INDEX(LMH_PTS,MATCH(M266,LMH_KEY,0)),0),IFERROR(INDEX(LMH_PTS,MATCH(N266,LMH_KEY,0)),0),IFERROR(INDEX(LMH_PTS,MATCH(O266,LMH_KEY,0)),0),IFERROR(INDEX(LMH_PTS,MATCH(P266,LMH_KEY,0)),0)),""))</f>
        <v>0.473684210526316</v>
      </c>
      <c r="R266" s="74">
        <f>IF(K266="","",IFERROR(INDEX(LMH_PTS,MATCH(K266,LMH_KEY,0))/SUM(IFERROR(INDEX(LMH_PTS,MATCH(J266,LMH_KEY,0)),0),IFERROR(INDEX(LMH_PTS,MATCH(K266,LMH_KEY,0)),0),IFERROR(INDEX(LMH_PTS,MATCH(L266,LMH_KEY,0)),0),IFERROR(INDEX(LMH_PTS,MATCH(M266,LMH_KEY,0)),0),IFERROR(INDEX(LMH_PTS,MATCH(N266,LMH_KEY,0)),0),IFERROR(INDEX(LMH_PTS,MATCH(O266,LMH_KEY,0)),0),IFERROR(INDEX(LMH_PTS,MATCH(P266,LMH_KEY,0)),0)),""))</f>
        <v>0.157894736842105</v>
      </c>
      <c r="S266" s="74">
        <f>IF(L266="","",IFERROR(INDEX(LMH_PTS,MATCH(L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T266" s="74">
        <f>IF(M266="","",IFERROR(INDEX(LMH_PTS,MATCH(M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U266" s="74">
        <f>IF(N266="","",IFERROR(INDEX(LMH_PTS,MATCH(N266,LMH_KEY,0))/SUM(IFERROR(INDEX(LMH_PTS,MATCH(J266,LMH_KEY,0)),0),IFERROR(INDEX(LMH_PTS,MATCH(K266,LMH_KEY,0)),0),IFERROR(INDEX(LMH_PTS,MATCH(L266,LMH_KEY,0)),0),IFERROR(INDEX(LMH_PTS,MATCH(M266,LMH_KEY,0)),0),IFERROR(INDEX(LMH_PTS,MATCH(N266,LMH_KEY,0)),0),IFERROR(INDEX(LMH_PTS,MATCH(O266,LMH_KEY,0)),0),IFERROR(INDEX(LMH_PTS,MATCH(P266,LMH_KEY,0)),0)),""))</f>
        <v>0.157894736842105</v>
      </c>
      <c r="V266" s="74">
        <f>IF(O266="","",IFERROR(INDEX(LMH_PTS,MATCH(O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W266" s="74">
        <f>IF(P266="","",IFERROR(INDEX(LMH_PTS,MATCH(P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X266" s="44" t="n"/>
      <c r="Y266" s="38" t="inlineStr">
        <is>
          <t>Datatech|Marketing|Marketing Specialist – POD Lead|B2|B-IC</t>
        </is>
      </c>
    </row>
    <row r="267" ht="28" customHeight="1">
      <c r="A267" s="28" t="inlineStr">
        <is>
          <t>Datatech</t>
        </is>
      </c>
      <c r="B267" s="29" t="inlineStr">
        <is>
          <t>Marketing</t>
        </is>
      </c>
      <c r="C267" s="75" t="inlineStr">
        <is>
          <t>A3</t>
        </is>
      </c>
      <c r="D267" s="29" t="inlineStr">
        <is>
          <t>Band A · Practitioner</t>
        </is>
      </c>
      <c r="E267" s="29" t="inlineStr">
        <is>
          <t>Senior Content Marketing Associate</t>
        </is>
      </c>
      <c r="F267" s="29" t="inlineStr">
        <is>
          <t>Band A · all tracks</t>
        </is>
      </c>
      <c r="G267" s="29" t="inlineStr">
        <is>
          <t>Marketing &amp; Communications</t>
        </is>
      </c>
      <c r="H267" s="29" t="n">
        <v>1</v>
      </c>
      <c r="I267" s="29" t="inlineStr">
        <is>
          <t>Vasundhara Lella</t>
        </is>
      </c>
      <c r="J267" s="34" t="str">
        <f>IFERROR(INDEX(RBD_C,MATCH("Marketing &amp; Communications|A3|A",RBD_KEY,0)),"M")</f>
        <v>H</v>
      </c>
      <c r="K267" s="35" t="str">
        <f>IFERROR(INDEX(RBD_Au,MATCH("Marketing &amp; Communications|A3|A",RBD_KEY,0)),"M")</f>
        <v>M</v>
      </c>
      <c r="L267" s="35" t="str">
        <f>IFERROR(INDEX(RBD_Ac,MATCH("Marketing &amp; Communications|A3|A",RBD_KEY,0)),"M")</f>
        <v>L</v>
      </c>
      <c r="M267" s="35" t="str">
        <f>IFERROR(INDEX(RBD_L,MATCH("Marketing &amp; Communications|A3|A",RBD_KEY,0)),"M")</f>
        <v>L</v>
      </c>
      <c r="N267" s="35" t="str">
        <f>IFERROR(INDEX(RBD_BI,MATCH("Marketing &amp; Communications|A3|A",RBD_KEY,0)),"M")</f>
        <v>M</v>
      </c>
      <c r="O267" s="35" t="str">
        <f>IFERROR(INDEX(RBD_Exp,MATCH("Marketing &amp; Communications|A3|A",RBD_KEY,0)),"M")</f>
        <v>L</v>
      </c>
      <c r="P267" s="35" t="str">
        <f>IFERROR(INDEX(RBD_Edu,MATCH("Marketing &amp; Communications|A3|A",RBD_KEY,0)),"M")</f>
        <v>L</v>
      </c>
      <c r="Q267" s="73">
        <f>IF(J267="","",IFERROR(INDEX(LMH_PTS,MATCH(J267,LMH_KEY,0))/SUM(IFERROR(INDEX(LMH_PTS,MATCH(J267,LMH_KEY,0)),0),IFERROR(INDEX(LMH_PTS,MATCH(K267,LMH_KEY,0)),0),IFERROR(INDEX(LMH_PTS,MATCH(L267,LMH_KEY,0)),0),IFERROR(INDEX(LMH_PTS,MATCH(M267,LMH_KEY,0)),0),IFERROR(INDEX(LMH_PTS,MATCH(N267,LMH_KEY,0)),0),IFERROR(INDEX(LMH_PTS,MATCH(O267,LMH_KEY,0)),0),IFERROR(INDEX(LMH_PTS,MATCH(P267,LMH_KEY,0)),0)),""))</f>
        <v>0.473684210526316</v>
      </c>
      <c r="R267" s="74">
        <f>IF(K267="","",IFERROR(INDEX(LMH_PTS,MATCH(K267,LMH_KEY,0))/SUM(IFERROR(INDEX(LMH_PTS,MATCH(J267,LMH_KEY,0)),0),IFERROR(INDEX(LMH_PTS,MATCH(K267,LMH_KEY,0)),0),IFERROR(INDEX(LMH_PTS,MATCH(L267,LMH_KEY,0)),0),IFERROR(INDEX(LMH_PTS,MATCH(M267,LMH_KEY,0)),0),IFERROR(INDEX(LMH_PTS,MATCH(N267,LMH_KEY,0)),0),IFERROR(INDEX(LMH_PTS,MATCH(O267,LMH_KEY,0)),0),IFERROR(INDEX(LMH_PTS,MATCH(P267,LMH_KEY,0)),0)),""))</f>
        <v>0.157894736842105</v>
      </c>
      <c r="S267" s="74">
        <f>IF(L267="","",IFERROR(INDEX(LMH_PTS,MATCH(L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T267" s="74">
        <f>IF(M267="","",IFERROR(INDEX(LMH_PTS,MATCH(M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U267" s="74">
        <f>IF(N267="","",IFERROR(INDEX(LMH_PTS,MATCH(N267,LMH_KEY,0))/SUM(IFERROR(INDEX(LMH_PTS,MATCH(J267,LMH_KEY,0)),0),IFERROR(INDEX(LMH_PTS,MATCH(K267,LMH_KEY,0)),0),IFERROR(INDEX(LMH_PTS,MATCH(L267,LMH_KEY,0)),0),IFERROR(INDEX(LMH_PTS,MATCH(M267,LMH_KEY,0)),0),IFERROR(INDEX(LMH_PTS,MATCH(N267,LMH_KEY,0)),0),IFERROR(INDEX(LMH_PTS,MATCH(O267,LMH_KEY,0)),0),IFERROR(INDEX(LMH_PTS,MATCH(P267,LMH_KEY,0)),0)),""))</f>
        <v>0.157894736842105</v>
      </c>
      <c r="V267" s="74">
        <f>IF(O267="","",IFERROR(INDEX(LMH_PTS,MATCH(O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W267" s="74">
        <f>IF(P267="","",IFERROR(INDEX(LMH_PTS,MATCH(P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X267" s="44" t="n"/>
      <c r="Y267" s="38" t="inlineStr">
        <is>
          <t>Datatech|Marketing|Senior Content Marketing Associate|A3|A</t>
        </is>
      </c>
    </row>
    <row r="268" ht="28" customHeight="1">
      <c r="A268" s="28" t="inlineStr">
        <is>
          <t>Datatech</t>
        </is>
      </c>
      <c r="B268" s="29" t="inlineStr">
        <is>
          <t>Marketing</t>
        </is>
      </c>
      <c r="C268" s="75" t="inlineStr">
        <is>
          <t>A3</t>
        </is>
      </c>
      <c r="D268" s="29" t="inlineStr">
        <is>
          <t>Band A · Practitioner</t>
        </is>
      </c>
      <c r="E268" s="29" t="inlineStr">
        <is>
          <t>Senior Digital Marketing Associate</t>
        </is>
      </c>
      <c r="F268" s="29" t="inlineStr">
        <is>
          <t>Band A · all tracks</t>
        </is>
      </c>
      <c r="G268" s="29" t="inlineStr">
        <is>
          <t>Marketing &amp; Communications</t>
        </is>
      </c>
      <c r="H268" s="29" t="n">
        <v>1</v>
      </c>
      <c r="I268" s="29" t="inlineStr">
        <is>
          <t>Lalit Subhash Dhamale</t>
        </is>
      </c>
      <c r="J268" s="34" t="str">
        <f>IFERROR(INDEX(RBD_C,MATCH("Marketing &amp; Communications|A3|A",RBD_KEY,0)),"M")</f>
        <v>H</v>
      </c>
      <c r="K268" s="35" t="str">
        <f>IFERROR(INDEX(RBD_Au,MATCH("Marketing &amp; Communications|A3|A",RBD_KEY,0)),"M")</f>
        <v>M</v>
      </c>
      <c r="L268" s="35" t="str">
        <f>IFERROR(INDEX(RBD_Ac,MATCH("Marketing &amp; Communications|A3|A",RBD_KEY,0)),"M")</f>
        <v>L</v>
      </c>
      <c r="M268" s="35" t="str">
        <f>IFERROR(INDEX(RBD_L,MATCH("Marketing &amp; Communications|A3|A",RBD_KEY,0)),"M")</f>
        <v>L</v>
      </c>
      <c r="N268" s="35" t="str">
        <f>IFERROR(INDEX(RBD_BI,MATCH("Marketing &amp; Communications|A3|A",RBD_KEY,0)),"M")</f>
        <v>M</v>
      </c>
      <c r="O268" s="35" t="str">
        <f>IFERROR(INDEX(RBD_Exp,MATCH("Marketing &amp; Communications|A3|A",RBD_KEY,0)),"M")</f>
        <v>L</v>
      </c>
      <c r="P268" s="35" t="str">
        <f>IFERROR(INDEX(RBD_Edu,MATCH("Marketing &amp; Communications|A3|A",RBD_KEY,0)),"M")</f>
        <v>L</v>
      </c>
      <c r="Q268" s="73">
        <f>IF(J268="","",IFERROR(INDEX(LMH_PTS,MATCH(J268,LMH_KEY,0))/SUM(IFERROR(INDEX(LMH_PTS,MATCH(J268,LMH_KEY,0)),0),IFERROR(INDEX(LMH_PTS,MATCH(K268,LMH_KEY,0)),0),IFERROR(INDEX(LMH_PTS,MATCH(L268,LMH_KEY,0)),0),IFERROR(INDEX(LMH_PTS,MATCH(M268,LMH_KEY,0)),0),IFERROR(INDEX(LMH_PTS,MATCH(N268,LMH_KEY,0)),0),IFERROR(INDEX(LMH_PTS,MATCH(O268,LMH_KEY,0)),0),IFERROR(INDEX(LMH_PTS,MATCH(P268,LMH_KEY,0)),0)),""))</f>
        <v>0.473684210526316</v>
      </c>
      <c r="R268" s="74">
        <f>IF(K268="","",IFERROR(INDEX(LMH_PTS,MATCH(K268,LMH_KEY,0))/SUM(IFERROR(INDEX(LMH_PTS,MATCH(J268,LMH_KEY,0)),0),IFERROR(INDEX(LMH_PTS,MATCH(K268,LMH_KEY,0)),0),IFERROR(INDEX(LMH_PTS,MATCH(L268,LMH_KEY,0)),0),IFERROR(INDEX(LMH_PTS,MATCH(M268,LMH_KEY,0)),0),IFERROR(INDEX(LMH_PTS,MATCH(N268,LMH_KEY,0)),0),IFERROR(INDEX(LMH_PTS,MATCH(O268,LMH_KEY,0)),0),IFERROR(INDEX(LMH_PTS,MATCH(P268,LMH_KEY,0)),0)),""))</f>
        <v>0.157894736842105</v>
      </c>
      <c r="S268" s="74">
        <f>IF(L268="","",IFERROR(INDEX(LMH_PTS,MATCH(L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T268" s="74">
        <f>IF(M268="","",IFERROR(INDEX(LMH_PTS,MATCH(M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U268" s="74">
        <f>IF(N268="","",IFERROR(INDEX(LMH_PTS,MATCH(N268,LMH_KEY,0))/SUM(IFERROR(INDEX(LMH_PTS,MATCH(J268,LMH_KEY,0)),0),IFERROR(INDEX(LMH_PTS,MATCH(K268,LMH_KEY,0)),0),IFERROR(INDEX(LMH_PTS,MATCH(L268,LMH_KEY,0)),0),IFERROR(INDEX(LMH_PTS,MATCH(M268,LMH_KEY,0)),0),IFERROR(INDEX(LMH_PTS,MATCH(N268,LMH_KEY,0)),0),IFERROR(INDEX(LMH_PTS,MATCH(O268,LMH_KEY,0)),0),IFERROR(INDEX(LMH_PTS,MATCH(P268,LMH_KEY,0)),0)),""))</f>
        <v>0.157894736842105</v>
      </c>
      <c r="V268" s="74">
        <f>IF(O268="","",IFERROR(INDEX(LMH_PTS,MATCH(O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W268" s="74">
        <f>IF(P268="","",IFERROR(INDEX(LMH_PTS,MATCH(P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X268" s="44" t="n"/>
      <c r="Y268" s="38" t="inlineStr">
        <is>
          <t>Datatech|Marketing|Senior Digital Marketing Associate|A3|A</t>
        </is>
      </c>
    </row>
    <row r="269" ht="18" customHeight="1">
      <c r="A269" s="28" t="inlineStr">
        <is>
          <t>Datatech</t>
        </is>
      </c>
      <c r="B269" s="29" t="inlineStr">
        <is>
          <t>Marketing</t>
        </is>
      </c>
      <c r="C269" s="75" t="inlineStr">
        <is>
          <t>A2</t>
        </is>
      </c>
      <c r="D269" s="29" t="inlineStr">
        <is>
          <t>Band A · Practitioner</t>
        </is>
      </c>
      <c r="E269" s="29" t="inlineStr">
        <is>
          <t>Designer</t>
        </is>
      </c>
      <c r="F269" s="29" t="inlineStr">
        <is>
          <t>Band A · all tracks</t>
        </is>
      </c>
      <c r="G269" s="29" t="inlineStr">
        <is>
          <t>Design &amp; Creative</t>
        </is>
      </c>
      <c r="H269" s="29" t="n">
        <v>1</v>
      </c>
      <c r="I269" s="29" t="inlineStr">
        <is>
          <t>Vaishnavi Dhuri</t>
        </is>
      </c>
      <c r="J269" s="34" t="str">
        <f>IFERROR(INDEX(RBD_C,MATCH("Design &amp; Creative|A2|A",RBD_KEY,0)),"M")</f>
        <v>H</v>
      </c>
      <c r="K269" s="35" t="str">
        <f>IFERROR(INDEX(RBD_Au,MATCH("Design &amp; Creative|A2|A",RBD_KEY,0)),"M")</f>
        <v>M</v>
      </c>
      <c r="L269" s="35" t="str">
        <f>IFERROR(INDEX(RBD_Ac,MATCH("Design &amp; Creative|A2|A",RBD_KEY,0)),"M")</f>
        <v>L</v>
      </c>
      <c r="M269" s="35" t="str">
        <f>IFERROR(INDEX(RBD_L,MATCH("Design &amp; Creative|A2|A",RBD_KEY,0)),"M")</f>
        <v>L</v>
      </c>
      <c r="N269" s="35" t="str">
        <f>IFERROR(INDEX(RBD_BI,MATCH("Design &amp; Creative|A2|A",RBD_KEY,0)),"M")</f>
        <v>M</v>
      </c>
      <c r="O269" s="35" t="str">
        <f>IFERROR(INDEX(RBD_Exp,MATCH("Design &amp; Creative|A2|A",RBD_KEY,0)),"M")</f>
        <v>L</v>
      </c>
      <c r="P269" s="35" t="str">
        <f>IFERROR(INDEX(RBD_Edu,MATCH("Design &amp; Creative|A2|A",RBD_KEY,0)),"M")</f>
        <v>L</v>
      </c>
      <c r="Q269" s="73">
        <f>IF(J269="","",IFERROR(INDEX(LMH_PTS,MATCH(J269,LMH_KEY,0))/SUM(IFERROR(INDEX(LMH_PTS,MATCH(J269,LMH_KEY,0)),0),IFERROR(INDEX(LMH_PTS,MATCH(K269,LMH_KEY,0)),0),IFERROR(INDEX(LMH_PTS,MATCH(L269,LMH_KEY,0)),0),IFERROR(INDEX(LMH_PTS,MATCH(M269,LMH_KEY,0)),0),IFERROR(INDEX(LMH_PTS,MATCH(N269,LMH_KEY,0)),0),IFERROR(INDEX(LMH_PTS,MATCH(O269,LMH_KEY,0)),0),IFERROR(INDEX(LMH_PTS,MATCH(P269,LMH_KEY,0)),0)),""))</f>
        <v>0.473684210526316</v>
      </c>
      <c r="R269" s="74">
        <f>IF(K269="","",IFERROR(INDEX(LMH_PTS,MATCH(K269,LMH_KEY,0))/SUM(IFERROR(INDEX(LMH_PTS,MATCH(J269,LMH_KEY,0)),0),IFERROR(INDEX(LMH_PTS,MATCH(K269,LMH_KEY,0)),0),IFERROR(INDEX(LMH_PTS,MATCH(L269,LMH_KEY,0)),0),IFERROR(INDEX(LMH_PTS,MATCH(M269,LMH_KEY,0)),0),IFERROR(INDEX(LMH_PTS,MATCH(N269,LMH_KEY,0)),0),IFERROR(INDEX(LMH_PTS,MATCH(O269,LMH_KEY,0)),0),IFERROR(INDEX(LMH_PTS,MATCH(P269,LMH_KEY,0)),0)),""))</f>
        <v>0.157894736842105</v>
      </c>
      <c r="S269" s="74">
        <f>IF(L269="","",IFERROR(INDEX(LMH_PTS,MATCH(L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T269" s="74">
        <f>IF(M269="","",IFERROR(INDEX(LMH_PTS,MATCH(M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U269" s="74">
        <f>IF(N269="","",IFERROR(INDEX(LMH_PTS,MATCH(N269,LMH_KEY,0))/SUM(IFERROR(INDEX(LMH_PTS,MATCH(J269,LMH_KEY,0)),0),IFERROR(INDEX(LMH_PTS,MATCH(K269,LMH_KEY,0)),0),IFERROR(INDEX(LMH_PTS,MATCH(L269,LMH_KEY,0)),0),IFERROR(INDEX(LMH_PTS,MATCH(M269,LMH_KEY,0)),0),IFERROR(INDEX(LMH_PTS,MATCH(N269,LMH_KEY,0)),0),IFERROR(INDEX(LMH_PTS,MATCH(O269,LMH_KEY,0)),0),IFERROR(INDEX(LMH_PTS,MATCH(P269,LMH_KEY,0)),0)),""))</f>
        <v>0.157894736842105</v>
      </c>
      <c r="V269" s="74">
        <f>IF(O269="","",IFERROR(INDEX(LMH_PTS,MATCH(O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W269" s="74">
        <f>IF(P269="","",IFERROR(INDEX(LMH_PTS,MATCH(P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X269" s="44" t="n"/>
      <c r="Y269" s="38" t="inlineStr">
        <is>
          <t>Datatech|Marketing|Designer|A2|A</t>
        </is>
      </c>
    </row>
    <row r="270" ht="40.5" customHeight="1">
      <c r="A270" s="28" t="inlineStr">
        <is>
          <t>Datatech</t>
        </is>
      </c>
      <c r="B270" s="29" t="inlineStr">
        <is>
          <t>Marketing</t>
        </is>
      </c>
      <c r="C270" s="76" t="inlineStr">
        <is>
          <t>X1</t>
        </is>
      </c>
      <c r="D270" s="29" t="inlineStr">
        <is>
          <t>Band X · Consultant</t>
        </is>
      </c>
      <c r="E270" s="29" t="inlineStr">
        <is>
          <t>Associate Consultant – Demand Generation, Brand &amp; Events</t>
        </is>
      </c>
      <c r="F270" s="29" t="inlineStr">
        <is>
          <t>Consultant</t>
        </is>
      </c>
      <c r="G270" s="29" t="inlineStr">
        <is>
          <t>Marketing &amp; Communications</t>
        </is>
      </c>
      <c r="H270" s="29" t="n">
        <v>1</v>
      </c>
      <c r="I270" s="29" t="inlineStr">
        <is>
          <t>R Indumathi</t>
        </is>
      </c>
      <c r="J270" s="34" t="n"/>
      <c r="K270" s="35" t="n"/>
      <c r="L270" s="35" t="n"/>
      <c r="M270" s="35" t="n"/>
      <c r="N270" s="35" t="n"/>
      <c r="O270" s="35" t="n"/>
      <c r="P270" s="35" t="n"/>
      <c r="Q270" s="73" t="str">
        <f>IF(J270="","",IFERROR(INDEX(LMH_PTS,MATCH(J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R270" s="74" t="str">
        <f>IF(K270="","",IFERROR(INDEX(LMH_PTS,MATCH(K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S270" s="74" t="str">
        <f>IF(L270="","",IFERROR(INDEX(LMH_PTS,MATCH(L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T270" s="74" t="str">
        <f>IF(M270="","",IFERROR(INDEX(LMH_PTS,MATCH(M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U270" s="74" t="str">
        <f>IF(N270="","",IFERROR(INDEX(LMH_PTS,MATCH(N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V270" s="74" t="str">
        <f>IF(O270="","",IFERROR(INDEX(LMH_PTS,MATCH(O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W270" s="74" t="str">
        <f>IF(P270="","",IFERROR(INDEX(LMH_PTS,MATCH(P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X270" s="44" t="n"/>
      <c r="Y270" s="38" t="inlineStr">
        <is>
          <t>Datatech|Marketing|Associate Consultant – Demand Generation, Brand &amp; Events|X1|X</t>
        </is>
      </c>
    </row>
    <row r="271" ht="28" customHeight="1">
      <c r="A271" s="28" t="inlineStr">
        <is>
          <t>Datatech</t>
        </is>
      </c>
      <c r="B271" s="71" t="inlineStr">
        <is>
          <t>Not provided · HRIS</t>
        </is>
      </c>
      <c r="C271" s="76" t="inlineStr">
        <is>
          <t>X1</t>
        </is>
      </c>
      <c r="D271" s="29" t="inlineStr">
        <is>
          <t>Band X · Consultant</t>
        </is>
      </c>
      <c r="E271" s="29" t="inlineStr">
        <is>
          <t>Associate Consultant – Software Development</t>
        </is>
      </c>
      <c r="F271" s="29" t="inlineStr">
        <is>
          <t>Consultant</t>
        </is>
      </c>
      <c r="G271" s="29" t="inlineStr">
        <is>
          <t>Unassigned</t>
        </is>
      </c>
      <c r="H271" s="29" t="n">
        <v>2</v>
      </c>
      <c r="I271" s="29" t="inlineStr">
        <is>
          <t>Arindam Bose, Shweta Vijay</t>
        </is>
      </c>
      <c r="J271" s="34" t="n"/>
      <c r="K271" s="35" t="n"/>
      <c r="L271" s="35" t="n"/>
      <c r="M271" s="35" t="n"/>
      <c r="N271" s="35" t="n"/>
      <c r="O271" s="35" t="n"/>
      <c r="P271" s="35" t="n"/>
      <c r="Q271" s="73" t="str">
        <f>IF(J271="","",IFERROR(INDEX(LMH_PTS,MATCH(J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R271" s="74" t="str">
        <f>IF(K271="","",IFERROR(INDEX(LMH_PTS,MATCH(K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S271" s="74" t="str">
        <f>IF(L271="","",IFERROR(INDEX(LMH_PTS,MATCH(L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T271" s="74" t="str">
        <f>IF(M271="","",IFERROR(INDEX(LMH_PTS,MATCH(M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U271" s="74" t="str">
        <f>IF(N271="","",IFERROR(INDEX(LMH_PTS,MATCH(N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V271" s="74" t="str">
        <f>IF(O271="","",IFERROR(INDEX(LMH_PTS,MATCH(O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W271" s="74" t="str">
        <f>IF(P271="","",IFERROR(INDEX(LMH_PTS,MATCH(P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X271" s="44" t="n"/>
      <c r="Y271" s="38" t="inlineStr">
        <is>
          <t>Datatech|Not provided · HRIS|Associate Consultant – Software Development|X1|X</t>
        </is>
      </c>
    </row>
    <row r="272" ht="18" customHeight="1">
      <c r="A272" s="28" t="inlineStr">
        <is>
          <t>Datatech</t>
        </is>
      </c>
      <c r="B272" s="71" t="inlineStr">
        <is>
          <t>Product Management</t>
        </is>
      </c>
      <c r="C272" s="72" t="inlineStr">
        <is>
          <t>B2</t>
        </is>
      </c>
      <c r="D272" s="29" t="inlineStr">
        <is>
          <t>Band B · Specialist / Manager</t>
        </is>
      </c>
      <c r="E272" s="29" t="inlineStr">
        <is>
          <t>Product Manager</t>
        </is>
      </c>
      <c r="F272" s="29" t="inlineStr">
        <is>
          <t>Band B · People Manager</t>
        </is>
      </c>
      <c r="G272" s="29" t="inlineStr">
        <is>
          <t>Product Management</t>
        </is>
      </c>
      <c r="H272" s="29" t="n">
        <v>1</v>
      </c>
      <c r="I272" s="29" t="inlineStr">
        <is>
          <t>Nilesh Majumdar</t>
        </is>
      </c>
      <c r="J272" s="34" t="str">
        <f>IFERROR(INDEX(RBD_C,MATCH("Product Management|B2|B-M",RBD_KEY,0)),"M")</f>
        <v>H</v>
      </c>
      <c r="K272" s="35" t="str">
        <f>IFERROR(INDEX(RBD_Au,MATCH("Product Management|B2|B-M",RBD_KEY,0)),"M")</f>
        <v>M</v>
      </c>
      <c r="L272" s="35" t="str">
        <f>IFERROR(INDEX(RBD_Ac,MATCH("Product Management|B2|B-M",RBD_KEY,0)),"M")</f>
        <v>M</v>
      </c>
      <c r="M272" s="35" t="str">
        <f>IFERROR(INDEX(RBD_L,MATCH("Product Management|B2|B-M",RBD_KEY,0)),"M")</f>
        <v>M</v>
      </c>
      <c r="N272" s="35" t="str">
        <f>IFERROR(INDEX(RBD_BI,MATCH("Product Management|B2|B-M",RBD_KEY,0)),"M")</f>
        <v>L</v>
      </c>
      <c r="O272" s="35" t="str">
        <f>IFERROR(INDEX(RBD_Exp,MATCH("Product Management|B2|B-M",RBD_KEY,0)),"M")</f>
        <v>L</v>
      </c>
      <c r="P272" s="35" t="str">
        <f>IFERROR(INDEX(RBD_Edu,MATCH("Product Management|B2|B-M",RBD_KEY,0)),"M")</f>
        <v>L</v>
      </c>
      <c r="Q272" s="73">
        <f>IF(J272="","",IFERROR(INDEX(LMH_PTS,MATCH(J272,LMH_KEY,0))/SUM(IFERROR(INDEX(LMH_PTS,MATCH(J272,LMH_KEY,0)),0),IFERROR(INDEX(LMH_PTS,MATCH(K272,LMH_KEY,0)),0),IFERROR(INDEX(LMH_PTS,MATCH(L272,LMH_KEY,0)),0),IFERROR(INDEX(LMH_PTS,MATCH(M272,LMH_KEY,0)),0),IFERROR(INDEX(LMH_PTS,MATCH(N272,LMH_KEY,0)),0),IFERROR(INDEX(LMH_PTS,MATCH(O272,LMH_KEY,0)),0),IFERROR(INDEX(LMH_PTS,MATCH(P272,LMH_KEY,0)),0)),""))</f>
        <v>0.428571428571429</v>
      </c>
      <c r="R272" s="74">
        <f>IF(K272="","",IFERROR(INDEX(LMH_PTS,MATCH(K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S272" s="74">
        <f>IF(L272="","",IFERROR(INDEX(LMH_PTS,MATCH(L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T272" s="74">
        <f>IF(M272="","",IFERROR(INDEX(LMH_PTS,MATCH(M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U272" s="74">
        <f>IF(N272="","",IFERROR(INDEX(LMH_PTS,MATCH(N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V272" s="74">
        <f>IF(O272="","",IFERROR(INDEX(LMH_PTS,MATCH(O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W272" s="74">
        <f>IF(P272="","",IFERROR(INDEX(LMH_PTS,MATCH(P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X272" s="44" t="n"/>
      <c r="Y272" s="38" t="inlineStr">
        <is>
          <t>Datatech|Product Management|Product Manager|B2|B-M</t>
        </is>
      </c>
    </row>
    <row r="273" ht="18" customHeight="1">
      <c r="A273" s="28" t="inlineStr">
        <is>
          <t>Datatech</t>
        </is>
      </c>
      <c r="B273" s="29" t="inlineStr">
        <is>
          <t>Product Management</t>
        </is>
      </c>
      <c r="C273" s="72" t="inlineStr">
        <is>
          <t>B2</t>
        </is>
      </c>
      <c r="D273" s="29" t="inlineStr">
        <is>
          <t>Band B · Specialist / Manager</t>
        </is>
      </c>
      <c r="E273" s="29" t="inlineStr">
        <is>
          <t>Product Manager</t>
        </is>
      </c>
      <c r="F273" s="29" t="inlineStr">
        <is>
          <t>Band B · Specialist / POD Lead</t>
        </is>
      </c>
      <c r="G273" s="29" t="inlineStr">
        <is>
          <t>Product Management</t>
        </is>
      </c>
      <c r="H273" s="29" t="n">
        <v>1</v>
      </c>
      <c r="I273" s="29" t="inlineStr">
        <is>
          <t>Sachinam Sawant</t>
        </is>
      </c>
      <c r="J273" s="34" t="str">
        <f>IFERROR(INDEX(RBD_C,MATCH("Product Management|B2|B-IC",RBD_KEY,0)),"M")</f>
        <v>H</v>
      </c>
      <c r="K273" s="35" t="str">
        <f>IFERROR(INDEX(RBD_Au,MATCH("Product Management|B2|B-IC",RBD_KEY,0)),"M")</f>
        <v>M</v>
      </c>
      <c r="L273" s="35" t="str">
        <f>IFERROR(INDEX(RBD_Ac,MATCH("Product Management|B2|B-IC",RBD_KEY,0)),"M")</f>
        <v>M</v>
      </c>
      <c r="M273" s="35" t="str">
        <f>IFERROR(INDEX(RBD_L,MATCH("Product Management|B2|B-IC",RBD_KEY,0)),"M")</f>
        <v>L</v>
      </c>
      <c r="N273" s="35" t="str">
        <f>IFERROR(INDEX(RBD_BI,MATCH("Product Management|B2|B-IC",RBD_KEY,0)),"M")</f>
        <v>L</v>
      </c>
      <c r="O273" s="35" t="str">
        <f>IFERROR(INDEX(RBD_Exp,MATCH("Product Management|B2|B-IC",RBD_KEY,0)),"M")</f>
        <v>L</v>
      </c>
      <c r="P273" s="35" t="str">
        <f>IFERROR(INDEX(RBD_Edu,MATCH("Product Management|B2|B-IC",RBD_KEY,0)),"M")</f>
        <v>L</v>
      </c>
      <c r="Q273" s="73">
        <f>IF(J273="","",IFERROR(INDEX(LMH_PTS,MATCH(J273,LMH_KEY,0))/SUM(IFERROR(INDEX(LMH_PTS,MATCH(J273,LMH_KEY,0)),0),IFERROR(INDEX(LMH_PTS,MATCH(K273,LMH_KEY,0)),0),IFERROR(INDEX(LMH_PTS,MATCH(L273,LMH_KEY,0)),0),IFERROR(INDEX(LMH_PTS,MATCH(M273,LMH_KEY,0)),0),IFERROR(INDEX(LMH_PTS,MATCH(N273,LMH_KEY,0)),0),IFERROR(INDEX(LMH_PTS,MATCH(O273,LMH_KEY,0)),0),IFERROR(INDEX(LMH_PTS,MATCH(P273,LMH_KEY,0)),0)),""))</f>
        <v>0.473684210526316</v>
      </c>
      <c r="R273" s="74">
        <f>IF(K273="","",IFERROR(INDEX(LMH_PTS,MATCH(K273,LMH_KEY,0))/SUM(IFERROR(INDEX(LMH_PTS,MATCH(J273,LMH_KEY,0)),0),IFERROR(INDEX(LMH_PTS,MATCH(K273,LMH_KEY,0)),0),IFERROR(INDEX(LMH_PTS,MATCH(L273,LMH_KEY,0)),0),IFERROR(INDEX(LMH_PTS,MATCH(M273,LMH_KEY,0)),0),IFERROR(INDEX(LMH_PTS,MATCH(N273,LMH_KEY,0)),0),IFERROR(INDEX(LMH_PTS,MATCH(O273,LMH_KEY,0)),0),IFERROR(INDEX(LMH_PTS,MATCH(P273,LMH_KEY,0)),0)),""))</f>
        <v>0.157894736842105</v>
      </c>
      <c r="S273" s="74">
        <f>IF(L273="","",IFERROR(INDEX(LMH_PTS,MATCH(L273,LMH_KEY,0))/SUM(IFERROR(INDEX(LMH_PTS,MATCH(J273,LMH_KEY,0)),0),IFERROR(INDEX(LMH_PTS,MATCH(K273,LMH_KEY,0)),0),IFERROR(INDEX(LMH_PTS,MATCH(L273,LMH_KEY,0)),0),IFERROR(INDEX(LMH_PTS,MATCH(M273,LMH_KEY,0)),0),IFERROR(INDEX(LMH_PTS,MATCH(N273,LMH_KEY,0)),0),IFERROR(INDEX(LMH_PTS,MATCH(O273,LMH_KEY,0)),0),IFERROR(INDEX(LMH_PTS,MATCH(P273,LMH_KEY,0)),0)),""))</f>
        <v>0.157894736842105</v>
      </c>
      <c r="T273" s="74">
        <f>IF(M273="","",IFERROR(INDEX(LMH_PTS,MATCH(M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U273" s="74">
        <f>IF(N273="","",IFERROR(INDEX(LMH_PTS,MATCH(N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V273" s="74">
        <f>IF(O273="","",IFERROR(INDEX(LMH_PTS,MATCH(O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W273" s="74">
        <f>IF(P273="","",IFERROR(INDEX(LMH_PTS,MATCH(P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X273" s="44" t="n"/>
      <c r="Y273" s="38" t="inlineStr">
        <is>
          <t>Datatech|Product Management|Product Manager|B2|B-IC</t>
        </is>
      </c>
    </row>
    <row r="274" ht="18" customHeight="1">
      <c r="A274" s="28" t="inlineStr">
        <is>
          <t>Datatech</t>
        </is>
      </c>
      <c r="B274" s="29" t="inlineStr">
        <is>
          <t>Product Management</t>
        </is>
      </c>
      <c r="C274" s="72" t="inlineStr">
        <is>
          <t>B1</t>
        </is>
      </c>
      <c r="D274" s="29" t="inlineStr">
        <is>
          <t>Band B · Specialist / Manager</t>
        </is>
      </c>
      <c r="E274" s="29" t="inlineStr">
        <is>
          <t>Associate Product Manager</t>
        </is>
      </c>
      <c r="F274" s="29" t="inlineStr">
        <is>
          <t>Band B · Specialist / POD Lead</t>
        </is>
      </c>
      <c r="G274" s="29" t="inlineStr">
        <is>
          <t>Product Management</t>
        </is>
      </c>
      <c r="H274" s="29" t="n">
        <v>2</v>
      </c>
      <c r="I274" s="29" t="inlineStr">
        <is>
          <t>Ayushi Maurya, Gaurav Bansal</t>
        </is>
      </c>
      <c r="J274" s="34" t="str">
        <f>IFERROR(INDEX(RBD_C,MATCH("Product Management|B1|B-IC",RBD_KEY,0)),"M")</f>
        <v>H</v>
      </c>
      <c r="K274" s="35" t="str">
        <f>IFERROR(INDEX(RBD_Au,MATCH("Product Management|B1|B-IC",RBD_KEY,0)),"M")</f>
        <v>M</v>
      </c>
      <c r="L274" s="35" t="str">
        <f>IFERROR(INDEX(RBD_Ac,MATCH("Product Management|B1|B-IC",RBD_KEY,0)),"M")</f>
        <v>M</v>
      </c>
      <c r="M274" s="35" t="str">
        <f>IFERROR(INDEX(RBD_L,MATCH("Product Management|B1|B-IC",RBD_KEY,0)),"M")</f>
        <v>L</v>
      </c>
      <c r="N274" s="35" t="str">
        <f>IFERROR(INDEX(RBD_BI,MATCH("Product Management|B1|B-IC",RBD_KEY,0)),"M")</f>
        <v>L</v>
      </c>
      <c r="O274" s="35" t="str">
        <f>IFERROR(INDEX(RBD_Exp,MATCH("Product Management|B1|B-IC",RBD_KEY,0)),"M")</f>
        <v>L</v>
      </c>
      <c r="P274" s="35" t="str">
        <f>IFERROR(INDEX(RBD_Edu,MATCH("Product Management|B1|B-IC",RBD_KEY,0)),"M")</f>
        <v>L</v>
      </c>
      <c r="Q274" s="73">
        <f>IF(J274="","",IFERROR(INDEX(LMH_PTS,MATCH(J274,LMH_KEY,0))/SUM(IFERROR(INDEX(LMH_PTS,MATCH(J274,LMH_KEY,0)),0),IFERROR(INDEX(LMH_PTS,MATCH(K274,LMH_KEY,0)),0),IFERROR(INDEX(LMH_PTS,MATCH(L274,LMH_KEY,0)),0),IFERROR(INDEX(LMH_PTS,MATCH(M274,LMH_KEY,0)),0),IFERROR(INDEX(LMH_PTS,MATCH(N274,LMH_KEY,0)),0),IFERROR(INDEX(LMH_PTS,MATCH(O274,LMH_KEY,0)),0),IFERROR(INDEX(LMH_PTS,MATCH(P274,LMH_KEY,0)),0)),""))</f>
        <v>0.473684210526316</v>
      </c>
      <c r="R274" s="74">
        <f>IF(K274="","",IFERROR(INDEX(LMH_PTS,MATCH(K274,LMH_KEY,0))/SUM(IFERROR(INDEX(LMH_PTS,MATCH(J274,LMH_KEY,0)),0),IFERROR(INDEX(LMH_PTS,MATCH(K274,LMH_KEY,0)),0),IFERROR(INDEX(LMH_PTS,MATCH(L274,LMH_KEY,0)),0),IFERROR(INDEX(LMH_PTS,MATCH(M274,LMH_KEY,0)),0),IFERROR(INDEX(LMH_PTS,MATCH(N274,LMH_KEY,0)),0),IFERROR(INDEX(LMH_PTS,MATCH(O274,LMH_KEY,0)),0),IFERROR(INDEX(LMH_PTS,MATCH(P274,LMH_KEY,0)),0)),""))</f>
        <v>0.157894736842105</v>
      </c>
      <c r="S274" s="74">
        <f>IF(L274="","",IFERROR(INDEX(LMH_PTS,MATCH(L274,LMH_KEY,0))/SUM(IFERROR(INDEX(LMH_PTS,MATCH(J274,LMH_KEY,0)),0),IFERROR(INDEX(LMH_PTS,MATCH(K274,LMH_KEY,0)),0),IFERROR(INDEX(LMH_PTS,MATCH(L274,LMH_KEY,0)),0),IFERROR(INDEX(LMH_PTS,MATCH(M274,LMH_KEY,0)),0),IFERROR(INDEX(LMH_PTS,MATCH(N274,LMH_KEY,0)),0),IFERROR(INDEX(LMH_PTS,MATCH(O274,LMH_KEY,0)),0),IFERROR(INDEX(LMH_PTS,MATCH(P274,LMH_KEY,0)),0)),""))</f>
        <v>0.157894736842105</v>
      </c>
      <c r="T274" s="74">
        <f>IF(M274="","",IFERROR(INDEX(LMH_PTS,MATCH(M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U274" s="74">
        <f>IF(N274="","",IFERROR(INDEX(LMH_PTS,MATCH(N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V274" s="74">
        <f>IF(O274="","",IFERROR(INDEX(LMH_PTS,MATCH(O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W274" s="74">
        <f>IF(P274="","",IFERROR(INDEX(LMH_PTS,MATCH(P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X274" s="44" t="n"/>
      <c r="Y274" s="38" t="inlineStr">
        <is>
          <t>Datatech|Product Management|Associate Product Manager|B1|B-IC</t>
        </is>
      </c>
    </row>
    <row r="275" ht="18" customHeight="1">
      <c r="A275" s="28" t="inlineStr">
        <is>
          <t>Datatech</t>
        </is>
      </c>
      <c r="B275" s="29" t="inlineStr">
        <is>
          <t>Product Management</t>
        </is>
      </c>
      <c r="C275" s="72" t="inlineStr">
        <is>
          <t>B1</t>
        </is>
      </c>
      <c r="D275" s="29" t="inlineStr">
        <is>
          <t>Band B · Specialist / Manager</t>
        </is>
      </c>
      <c r="E275" s="29" t="inlineStr">
        <is>
          <t>Product Manager</t>
        </is>
      </c>
      <c r="F275" s="29" t="inlineStr">
        <is>
          <t>Band B · Specialist / POD Lead</t>
        </is>
      </c>
      <c r="G275" s="29" t="inlineStr">
        <is>
          <t>Product Management</t>
        </is>
      </c>
      <c r="H275" s="29" t="n">
        <v>1</v>
      </c>
      <c r="I275" s="29" t="inlineStr">
        <is>
          <t>Piyush Raj</t>
        </is>
      </c>
      <c r="J275" s="34" t="str">
        <f>IFERROR(INDEX(RBD_C,MATCH("Product Management|B1|B-IC",RBD_KEY,0)),"M")</f>
        <v>H</v>
      </c>
      <c r="K275" s="35" t="str">
        <f>IFERROR(INDEX(RBD_Au,MATCH("Product Management|B1|B-IC",RBD_KEY,0)),"M")</f>
        <v>M</v>
      </c>
      <c r="L275" s="35" t="str">
        <f>IFERROR(INDEX(RBD_Ac,MATCH("Product Management|B1|B-IC",RBD_KEY,0)),"M")</f>
        <v>M</v>
      </c>
      <c r="M275" s="35" t="str">
        <f>IFERROR(INDEX(RBD_L,MATCH("Product Management|B1|B-IC",RBD_KEY,0)),"M")</f>
        <v>L</v>
      </c>
      <c r="N275" s="35" t="str">
        <f>IFERROR(INDEX(RBD_BI,MATCH("Product Management|B1|B-IC",RBD_KEY,0)),"M")</f>
        <v>L</v>
      </c>
      <c r="O275" s="35" t="str">
        <f>IFERROR(INDEX(RBD_Exp,MATCH("Product Management|B1|B-IC",RBD_KEY,0)),"M")</f>
        <v>L</v>
      </c>
      <c r="P275" s="35" t="str">
        <f>IFERROR(INDEX(RBD_Edu,MATCH("Product Management|B1|B-IC",RBD_KEY,0)),"M")</f>
        <v>L</v>
      </c>
      <c r="Q275" s="73">
        <f>IF(J275="","",IFERROR(INDEX(LMH_PTS,MATCH(J275,LMH_KEY,0))/SUM(IFERROR(INDEX(LMH_PTS,MATCH(J275,LMH_KEY,0)),0),IFERROR(INDEX(LMH_PTS,MATCH(K275,LMH_KEY,0)),0),IFERROR(INDEX(LMH_PTS,MATCH(L275,LMH_KEY,0)),0),IFERROR(INDEX(LMH_PTS,MATCH(M275,LMH_KEY,0)),0),IFERROR(INDEX(LMH_PTS,MATCH(N275,LMH_KEY,0)),0),IFERROR(INDEX(LMH_PTS,MATCH(O275,LMH_KEY,0)),0),IFERROR(INDEX(LMH_PTS,MATCH(P275,LMH_KEY,0)),0)),""))</f>
        <v>0.473684210526316</v>
      </c>
      <c r="R275" s="74">
        <f>IF(K275="","",IFERROR(INDEX(LMH_PTS,MATCH(K275,LMH_KEY,0))/SUM(IFERROR(INDEX(LMH_PTS,MATCH(J275,LMH_KEY,0)),0),IFERROR(INDEX(LMH_PTS,MATCH(K275,LMH_KEY,0)),0),IFERROR(INDEX(LMH_PTS,MATCH(L275,LMH_KEY,0)),0),IFERROR(INDEX(LMH_PTS,MATCH(M275,LMH_KEY,0)),0),IFERROR(INDEX(LMH_PTS,MATCH(N275,LMH_KEY,0)),0),IFERROR(INDEX(LMH_PTS,MATCH(O275,LMH_KEY,0)),0),IFERROR(INDEX(LMH_PTS,MATCH(P275,LMH_KEY,0)),0)),""))</f>
        <v>0.157894736842105</v>
      </c>
      <c r="S275" s="74">
        <f>IF(L275="","",IFERROR(INDEX(LMH_PTS,MATCH(L275,LMH_KEY,0))/SUM(IFERROR(INDEX(LMH_PTS,MATCH(J275,LMH_KEY,0)),0),IFERROR(INDEX(LMH_PTS,MATCH(K275,LMH_KEY,0)),0),IFERROR(INDEX(LMH_PTS,MATCH(L275,LMH_KEY,0)),0),IFERROR(INDEX(LMH_PTS,MATCH(M275,LMH_KEY,0)),0),IFERROR(INDEX(LMH_PTS,MATCH(N275,LMH_KEY,0)),0),IFERROR(INDEX(LMH_PTS,MATCH(O275,LMH_KEY,0)),0),IFERROR(INDEX(LMH_PTS,MATCH(P275,LMH_KEY,0)),0)),""))</f>
        <v>0.157894736842105</v>
      </c>
      <c r="T275" s="74">
        <f>IF(M275="","",IFERROR(INDEX(LMH_PTS,MATCH(M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U275" s="74">
        <f>IF(N275="","",IFERROR(INDEX(LMH_PTS,MATCH(N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V275" s="74">
        <f>IF(O275="","",IFERROR(INDEX(LMH_PTS,MATCH(O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W275" s="74">
        <f>IF(P275="","",IFERROR(INDEX(LMH_PTS,MATCH(P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X275" s="44" t="n"/>
      <c r="Y275" s="38" t="inlineStr">
        <is>
          <t>Datatech|Product Management|Product Manager|B1|B-IC</t>
        </is>
      </c>
    </row>
    <row r="276" ht="28" customHeight="1">
      <c r="A276" s="28" t="inlineStr">
        <is>
          <t>Datatech</t>
        </is>
      </c>
      <c r="B276" s="71" t="inlineStr">
        <is>
          <t>Quality Assurance</t>
        </is>
      </c>
      <c r="C276" s="75" t="inlineStr">
        <is>
          <t>A3</t>
        </is>
      </c>
      <c r="D276" s="29" t="inlineStr">
        <is>
          <t>Band A · Practitioner</t>
        </is>
      </c>
      <c r="E276" s="29" t="inlineStr">
        <is>
          <t>Senior QA Automation Engineer</t>
        </is>
      </c>
      <c r="F276" s="29" t="inlineStr">
        <is>
          <t>Band A · all tracks</t>
        </is>
      </c>
      <c r="G276" s="29" t="inlineStr">
        <is>
          <t>Quality Assurance</t>
        </is>
      </c>
      <c r="H276" s="29" t="n">
        <v>1</v>
      </c>
      <c r="I276" s="29" t="inlineStr">
        <is>
          <t>Smita Londhe</t>
        </is>
      </c>
      <c r="J276" s="34" t="str">
        <f>IFERROR(INDEX(RBD_C,MATCH("Quality Assurance|A3|A",RBD_KEY,0)),"M")</f>
        <v>H</v>
      </c>
      <c r="K276" s="35" t="str">
        <f>IFERROR(INDEX(RBD_Au,MATCH("Quality Assurance|A3|A",RBD_KEY,0)),"M")</f>
        <v>M</v>
      </c>
      <c r="L276" s="35" t="str">
        <f>IFERROR(INDEX(RBD_Ac,MATCH("Quality Assurance|A3|A",RBD_KEY,0)),"M")</f>
        <v>L</v>
      </c>
      <c r="M276" s="35" t="str">
        <f>IFERROR(INDEX(RBD_L,MATCH("Quality Assurance|A3|A",RBD_KEY,0)),"M")</f>
        <v>L</v>
      </c>
      <c r="N276" s="35" t="str">
        <f>IFERROR(INDEX(RBD_BI,MATCH("Quality Assurance|A3|A",RBD_KEY,0)),"M")</f>
        <v>L</v>
      </c>
      <c r="O276" s="35" t="str">
        <f>IFERROR(INDEX(RBD_Exp,MATCH("Quality Assurance|A3|A",RBD_KEY,0)),"M")</f>
        <v>L</v>
      </c>
      <c r="P276" s="35" t="str">
        <f>IFERROR(INDEX(RBD_Edu,MATCH("Quality Assurance|A3|A",RBD_KEY,0)),"M")</f>
        <v>L</v>
      </c>
      <c r="Q276" s="73">
        <f>IF(J276="","",IFERROR(INDEX(LMH_PTS,MATCH(J276,LMH_KEY,0))/SUM(IFERROR(INDEX(LMH_PTS,MATCH(J276,LMH_KEY,0)),0),IFERROR(INDEX(LMH_PTS,MATCH(K276,LMH_KEY,0)),0),IFERROR(INDEX(LMH_PTS,MATCH(L276,LMH_KEY,0)),0),IFERROR(INDEX(LMH_PTS,MATCH(M276,LMH_KEY,0)),0),IFERROR(INDEX(LMH_PTS,MATCH(N276,LMH_KEY,0)),0),IFERROR(INDEX(LMH_PTS,MATCH(O276,LMH_KEY,0)),0),IFERROR(INDEX(LMH_PTS,MATCH(P276,LMH_KEY,0)),0)),""))</f>
        <v>0.529411764705882</v>
      </c>
      <c r="R276" s="74">
        <f>IF(K276="","",IFERROR(INDEX(LMH_PTS,MATCH(K276,LMH_KEY,0))/SUM(IFERROR(INDEX(LMH_PTS,MATCH(J276,LMH_KEY,0)),0),IFERROR(INDEX(LMH_PTS,MATCH(K276,LMH_KEY,0)),0),IFERROR(INDEX(LMH_PTS,MATCH(L276,LMH_KEY,0)),0),IFERROR(INDEX(LMH_PTS,MATCH(M276,LMH_KEY,0)),0),IFERROR(INDEX(LMH_PTS,MATCH(N276,LMH_KEY,0)),0),IFERROR(INDEX(LMH_PTS,MATCH(O276,LMH_KEY,0)),0),IFERROR(INDEX(LMH_PTS,MATCH(P276,LMH_KEY,0)),0)),""))</f>
        <v>0.176470588235294</v>
      </c>
      <c r="S276" s="74">
        <f>IF(L276="","",IFERROR(INDEX(LMH_PTS,MATCH(L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T276" s="74">
        <f>IF(M276="","",IFERROR(INDEX(LMH_PTS,MATCH(M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U276" s="74">
        <f>IF(N276="","",IFERROR(INDEX(LMH_PTS,MATCH(N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V276" s="74">
        <f>IF(O276="","",IFERROR(INDEX(LMH_PTS,MATCH(O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W276" s="74">
        <f>IF(P276="","",IFERROR(INDEX(LMH_PTS,MATCH(P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X276" s="44" t="n"/>
      <c r="Y276" s="38" t="inlineStr">
        <is>
          <t>Datatech|Quality Assurance|Senior QA Automation Engineer|A3|A</t>
        </is>
      </c>
    </row>
    <row r="277" ht="18" customHeight="1">
      <c r="A277" s="28" t="inlineStr">
        <is>
          <t>Datatech</t>
        </is>
      </c>
      <c r="B277" s="29" t="inlineStr">
        <is>
          <t>Quality Assurance</t>
        </is>
      </c>
      <c r="C277" s="75" t="inlineStr">
        <is>
          <t>A3</t>
        </is>
      </c>
      <c r="D277" s="29" t="inlineStr">
        <is>
          <t>Band A · Practitioner</t>
        </is>
      </c>
      <c r="E277" s="29" t="inlineStr">
        <is>
          <t>Senior QA Engineer</t>
        </is>
      </c>
      <c r="F277" s="29" t="inlineStr">
        <is>
          <t>Band A · all tracks</t>
        </is>
      </c>
      <c r="G277" s="29" t="inlineStr">
        <is>
          <t>Quality Assurance</t>
        </is>
      </c>
      <c r="H277" s="29" t="n">
        <v>1</v>
      </c>
      <c r="I277" s="29" t="inlineStr">
        <is>
          <t>Supriya Patil</t>
        </is>
      </c>
      <c r="J277" s="34" t="str">
        <f>IFERROR(INDEX(RBD_C,MATCH("Quality Assurance|A3|A",RBD_KEY,0)),"M")</f>
        <v>H</v>
      </c>
      <c r="K277" s="35" t="str">
        <f>IFERROR(INDEX(RBD_Au,MATCH("Quality Assurance|A3|A",RBD_KEY,0)),"M")</f>
        <v>M</v>
      </c>
      <c r="L277" s="35" t="str">
        <f>IFERROR(INDEX(RBD_Ac,MATCH("Quality Assurance|A3|A",RBD_KEY,0)),"M")</f>
        <v>L</v>
      </c>
      <c r="M277" s="35" t="str">
        <f>IFERROR(INDEX(RBD_L,MATCH("Quality Assurance|A3|A",RBD_KEY,0)),"M")</f>
        <v>L</v>
      </c>
      <c r="N277" s="35" t="str">
        <f>IFERROR(INDEX(RBD_BI,MATCH("Quality Assurance|A3|A",RBD_KEY,0)),"M")</f>
        <v>L</v>
      </c>
      <c r="O277" s="35" t="str">
        <f>IFERROR(INDEX(RBD_Exp,MATCH("Quality Assurance|A3|A",RBD_KEY,0)),"M")</f>
        <v>L</v>
      </c>
      <c r="P277" s="35" t="str">
        <f>IFERROR(INDEX(RBD_Edu,MATCH("Quality Assurance|A3|A",RBD_KEY,0)),"M")</f>
        <v>L</v>
      </c>
      <c r="Q277" s="73">
        <f>IF(J277="","",IFERROR(INDEX(LMH_PTS,MATCH(J277,LMH_KEY,0))/SUM(IFERROR(INDEX(LMH_PTS,MATCH(J277,LMH_KEY,0)),0),IFERROR(INDEX(LMH_PTS,MATCH(K277,LMH_KEY,0)),0),IFERROR(INDEX(LMH_PTS,MATCH(L277,LMH_KEY,0)),0),IFERROR(INDEX(LMH_PTS,MATCH(M277,LMH_KEY,0)),0),IFERROR(INDEX(LMH_PTS,MATCH(N277,LMH_KEY,0)),0),IFERROR(INDEX(LMH_PTS,MATCH(O277,LMH_KEY,0)),0),IFERROR(INDEX(LMH_PTS,MATCH(P277,LMH_KEY,0)),0)),""))</f>
        <v>0.529411764705882</v>
      </c>
      <c r="R277" s="74">
        <f>IF(K277="","",IFERROR(INDEX(LMH_PTS,MATCH(K277,LMH_KEY,0))/SUM(IFERROR(INDEX(LMH_PTS,MATCH(J277,LMH_KEY,0)),0),IFERROR(INDEX(LMH_PTS,MATCH(K277,LMH_KEY,0)),0),IFERROR(INDEX(LMH_PTS,MATCH(L277,LMH_KEY,0)),0),IFERROR(INDEX(LMH_PTS,MATCH(M277,LMH_KEY,0)),0),IFERROR(INDEX(LMH_PTS,MATCH(N277,LMH_KEY,0)),0),IFERROR(INDEX(LMH_PTS,MATCH(O277,LMH_KEY,0)),0),IFERROR(INDEX(LMH_PTS,MATCH(P277,LMH_KEY,0)),0)),""))</f>
        <v>0.176470588235294</v>
      </c>
      <c r="S277" s="74">
        <f>IF(L277="","",IFERROR(INDEX(LMH_PTS,MATCH(L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T277" s="74">
        <f>IF(M277="","",IFERROR(INDEX(LMH_PTS,MATCH(M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U277" s="74">
        <f>IF(N277="","",IFERROR(INDEX(LMH_PTS,MATCH(N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V277" s="74">
        <f>IF(O277="","",IFERROR(INDEX(LMH_PTS,MATCH(O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W277" s="74">
        <f>IF(P277="","",IFERROR(INDEX(LMH_PTS,MATCH(P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X277" s="44" t="n"/>
      <c r="Y277" s="38" t="inlineStr">
        <is>
          <t>Datatech|Quality Assurance|Senior QA Engineer|A3|A</t>
        </is>
      </c>
    </row>
    <row r="278" ht="18" customHeight="1">
      <c r="A278" s="28" t="inlineStr">
        <is>
          <t>Datatech</t>
        </is>
      </c>
      <c r="B278" s="71" t="inlineStr">
        <is>
          <t>Sales</t>
        </is>
      </c>
      <c r="C278" s="78" t="inlineStr">
        <is>
          <t>C1</t>
        </is>
      </c>
      <c r="D278" s="29" t="inlineStr">
        <is>
          <t>Band C · Principal / Head</t>
        </is>
      </c>
      <c r="E278" s="29" t="inlineStr">
        <is>
          <t>Principal – Sales</t>
        </is>
      </c>
      <c r="F278" s="29" t="inlineStr">
        <is>
          <t>Band C · Principal specialist</t>
        </is>
      </c>
      <c r="G278" s="29" t="inlineStr">
        <is>
          <t>Sales &amp; Business Development</t>
        </is>
      </c>
      <c r="H278" s="29" t="n">
        <v>1</v>
      </c>
      <c r="I278" s="29" t="inlineStr">
        <is>
          <t>Abhishek Gite</t>
        </is>
      </c>
      <c r="J278" s="34" t="str">
        <f>IFERROR(INDEX(RBD_C,MATCH("Sales &amp; Business Development|C1|C-IC",RBD_KEY,0)),"M")</f>
        <v>H</v>
      </c>
      <c r="K278" s="35" t="str">
        <f>IFERROR(INDEX(RBD_Au,MATCH("Sales &amp; Business Development|C1|C-IC",RBD_KEY,0)),"M")</f>
        <v>M</v>
      </c>
      <c r="L278" s="35" t="str">
        <f>IFERROR(INDEX(RBD_Ac,MATCH("Sales &amp; Business Development|C1|C-IC",RBD_KEY,0)),"M")</f>
        <v>L</v>
      </c>
      <c r="M278" s="35" t="str">
        <f>IFERROR(INDEX(RBD_L,MATCH("Sales &amp; Business Development|C1|C-IC",RBD_KEY,0)),"M")</f>
        <v>L</v>
      </c>
      <c r="N278" s="35" t="str">
        <f>IFERROR(INDEX(RBD_BI,MATCH("Sales &amp; Business Development|C1|C-IC",RBD_KEY,0)),"M")</f>
        <v>M</v>
      </c>
      <c r="O278" s="35" t="str">
        <f>IFERROR(INDEX(RBD_Exp,MATCH("Sales &amp; Business Development|C1|C-IC",RBD_KEY,0)),"M")</f>
        <v>L</v>
      </c>
      <c r="P278" s="35" t="str">
        <f>IFERROR(INDEX(RBD_Edu,MATCH("Sales &amp; Business Development|C1|C-IC",RBD_KEY,0)),"M")</f>
        <v>L</v>
      </c>
      <c r="Q278" s="73">
        <f>IF(J278="","",IFERROR(INDEX(LMH_PTS,MATCH(J278,LMH_KEY,0))/SUM(IFERROR(INDEX(LMH_PTS,MATCH(J278,LMH_KEY,0)),0),IFERROR(INDEX(LMH_PTS,MATCH(K278,LMH_KEY,0)),0),IFERROR(INDEX(LMH_PTS,MATCH(L278,LMH_KEY,0)),0),IFERROR(INDEX(LMH_PTS,MATCH(M278,LMH_KEY,0)),0),IFERROR(INDEX(LMH_PTS,MATCH(N278,LMH_KEY,0)),0),IFERROR(INDEX(LMH_PTS,MATCH(O278,LMH_KEY,0)),0),IFERROR(INDEX(LMH_PTS,MATCH(P278,LMH_KEY,0)),0)),""))</f>
        <v>0.473684210526316</v>
      </c>
      <c r="R278" s="74">
        <f>IF(K278="","",IFERROR(INDEX(LMH_PTS,MATCH(K278,LMH_KEY,0))/SUM(IFERROR(INDEX(LMH_PTS,MATCH(J278,LMH_KEY,0)),0),IFERROR(INDEX(LMH_PTS,MATCH(K278,LMH_KEY,0)),0),IFERROR(INDEX(LMH_PTS,MATCH(L278,LMH_KEY,0)),0),IFERROR(INDEX(LMH_PTS,MATCH(M278,LMH_KEY,0)),0),IFERROR(INDEX(LMH_PTS,MATCH(N278,LMH_KEY,0)),0),IFERROR(INDEX(LMH_PTS,MATCH(O278,LMH_KEY,0)),0),IFERROR(INDEX(LMH_PTS,MATCH(P278,LMH_KEY,0)),0)),""))</f>
        <v>0.157894736842105</v>
      </c>
      <c r="S278" s="74">
        <f>IF(L278="","",IFERROR(INDEX(LMH_PTS,MATCH(L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T278" s="74">
        <f>IF(M278="","",IFERROR(INDEX(LMH_PTS,MATCH(M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U278" s="74">
        <f>IF(N278="","",IFERROR(INDEX(LMH_PTS,MATCH(N278,LMH_KEY,0))/SUM(IFERROR(INDEX(LMH_PTS,MATCH(J278,LMH_KEY,0)),0),IFERROR(INDEX(LMH_PTS,MATCH(K278,LMH_KEY,0)),0),IFERROR(INDEX(LMH_PTS,MATCH(L278,LMH_KEY,0)),0),IFERROR(INDEX(LMH_PTS,MATCH(M278,LMH_KEY,0)),0),IFERROR(INDEX(LMH_PTS,MATCH(N278,LMH_KEY,0)),0),IFERROR(INDEX(LMH_PTS,MATCH(O278,LMH_KEY,0)),0),IFERROR(INDEX(LMH_PTS,MATCH(P278,LMH_KEY,0)),0)),""))</f>
        <v>0.157894736842105</v>
      </c>
      <c r="V278" s="74">
        <f>IF(O278="","",IFERROR(INDEX(LMH_PTS,MATCH(O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W278" s="74">
        <f>IF(P278="","",IFERROR(INDEX(LMH_PTS,MATCH(P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X278" s="44" t="n"/>
      <c r="Y278" s="38" t="inlineStr">
        <is>
          <t>Datatech|Sales|Principal – Sales|C1|C-IC</t>
        </is>
      </c>
    </row>
    <row r="279" ht="18" customHeight="1">
      <c r="A279" s="28" t="inlineStr">
        <is>
          <t>Datatech</t>
        </is>
      </c>
      <c r="B279" s="71" t="inlineStr">
        <is>
          <t>Technology</t>
        </is>
      </c>
      <c r="C279" s="78" t="inlineStr">
        <is>
          <t>C1</t>
        </is>
      </c>
      <c r="D279" s="29" t="inlineStr">
        <is>
          <t>Band C · Principal / Head</t>
        </is>
      </c>
      <c r="E279" s="29" t="inlineStr">
        <is>
          <t>Solution Architect</t>
        </is>
      </c>
      <c r="F279" s="29" t="inlineStr">
        <is>
          <t>Band C · Principal specialist</t>
        </is>
      </c>
      <c r="G279" s="29" t="inlineStr">
        <is>
          <t>Engineering &amp; Architecture</t>
        </is>
      </c>
      <c r="H279" s="29" t="n">
        <v>1</v>
      </c>
      <c r="I279" s="29" t="inlineStr">
        <is>
          <t>Sanghamitra Saxena</t>
        </is>
      </c>
      <c r="J279" s="34" t="str">
        <f>IFERROR(INDEX(RBD_C,MATCH("Engineering &amp; Architecture|C1|C-IC",RBD_KEY,0)),"M")</f>
        <v>H</v>
      </c>
      <c r="K279" s="35" t="str">
        <f>IFERROR(INDEX(RBD_Au,MATCH("Engineering &amp; Architecture|C1|C-IC",RBD_KEY,0)),"M")</f>
        <v>M</v>
      </c>
      <c r="L279" s="35" t="str">
        <f>IFERROR(INDEX(RBD_Ac,MATCH("Engineering &amp; Architecture|C1|C-IC",RBD_KEY,0)),"M")</f>
        <v>L</v>
      </c>
      <c r="M279" s="35" t="str">
        <f>IFERROR(INDEX(RBD_L,MATCH("Engineering &amp; Architecture|C1|C-IC",RBD_KEY,0)),"M")</f>
        <v>L</v>
      </c>
      <c r="N279" s="35" t="str">
        <f>IFERROR(INDEX(RBD_BI,MATCH("Engineering &amp; Architecture|C1|C-IC",RBD_KEY,0)),"M")</f>
        <v>L</v>
      </c>
      <c r="O279" s="35" t="str">
        <f>IFERROR(INDEX(RBD_Exp,MATCH("Engineering &amp; Architecture|C1|C-IC",RBD_KEY,0)),"M")</f>
        <v>L</v>
      </c>
      <c r="P279" s="35" t="str">
        <f>IFERROR(INDEX(RBD_Edu,MATCH("Engineering &amp; Architecture|C1|C-IC",RBD_KEY,0)),"M")</f>
        <v>L</v>
      </c>
      <c r="Q279" s="73">
        <f>IF(J279="","",IFERROR(INDEX(LMH_PTS,MATCH(J279,LMH_KEY,0))/SUM(IFERROR(INDEX(LMH_PTS,MATCH(J279,LMH_KEY,0)),0),IFERROR(INDEX(LMH_PTS,MATCH(K279,LMH_KEY,0)),0),IFERROR(INDEX(LMH_PTS,MATCH(L279,LMH_KEY,0)),0),IFERROR(INDEX(LMH_PTS,MATCH(M279,LMH_KEY,0)),0),IFERROR(INDEX(LMH_PTS,MATCH(N279,LMH_KEY,0)),0),IFERROR(INDEX(LMH_PTS,MATCH(O279,LMH_KEY,0)),0),IFERROR(INDEX(LMH_PTS,MATCH(P279,LMH_KEY,0)),0)),""))</f>
        <v>0.529411764705882</v>
      </c>
      <c r="R279" s="74">
        <f>IF(K279="","",IFERROR(INDEX(LMH_PTS,MATCH(K279,LMH_KEY,0))/SUM(IFERROR(INDEX(LMH_PTS,MATCH(J279,LMH_KEY,0)),0),IFERROR(INDEX(LMH_PTS,MATCH(K279,LMH_KEY,0)),0),IFERROR(INDEX(LMH_PTS,MATCH(L279,LMH_KEY,0)),0),IFERROR(INDEX(LMH_PTS,MATCH(M279,LMH_KEY,0)),0),IFERROR(INDEX(LMH_PTS,MATCH(N279,LMH_KEY,0)),0),IFERROR(INDEX(LMH_PTS,MATCH(O279,LMH_KEY,0)),0),IFERROR(INDEX(LMH_PTS,MATCH(P279,LMH_KEY,0)),0)),""))</f>
        <v>0.176470588235294</v>
      </c>
      <c r="S279" s="74">
        <f>IF(L279="","",IFERROR(INDEX(LMH_PTS,MATCH(L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T279" s="74">
        <f>IF(M279="","",IFERROR(INDEX(LMH_PTS,MATCH(M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U279" s="74">
        <f>IF(N279="","",IFERROR(INDEX(LMH_PTS,MATCH(N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V279" s="74">
        <f>IF(O279="","",IFERROR(INDEX(LMH_PTS,MATCH(O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W279" s="74">
        <f>IF(P279="","",IFERROR(INDEX(LMH_PTS,MATCH(P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X279" s="44" t="n"/>
      <c r="Y279" s="38" t="inlineStr">
        <is>
          <t>Datatech|Technology|Solution Architect|C1|C-IC</t>
        </is>
      </c>
    </row>
    <row r="280" ht="28" customHeight="1">
      <c r="A280" s="28" t="inlineStr">
        <is>
          <t>Datatech</t>
        </is>
      </c>
      <c r="B280" s="29" t="inlineStr">
        <is>
          <t>Technology</t>
        </is>
      </c>
      <c r="C280" s="72" t="inlineStr">
        <is>
          <t>B2</t>
        </is>
      </c>
      <c r="D280" s="29" t="inlineStr">
        <is>
          <t>Band B · Specialist / Manager</t>
        </is>
      </c>
      <c r="E280" s="29" t="inlineStr">
        <is>
          <t>Senior Technical Specialist – POD Lead</t>
        </is>
      </c>
      <c r="F280" s="29" t="inlineStr">
        <is>
          <t>Band B · Specialist / POD Lead</t>
        </is>
      </c>
      <c r="G280" s="29" t="inlineStr">
        <is>
          <t>Engineering &amp; Development</t>
        </is>
      </c>
      <c r="H280" s="29" t="n">
        <v>1</v>
      </c>
      <c r="I280" s="29" t="inlineStr">
        <is>
          <t>Akshay Shetty</t>
        </is>
      </c>
      <c r="J280" s="34" t="str">
        <f>IFERROR(INDEX(RBD_C,MATCH("Engineering &amp; Development|B2|B-IC",RBD_KEY,0)),"M")</f>
        <v>H</v>
      </c>
      <c r="K280" s="35" t="str">
        <f>IFERROR(INDEX(RBD_Au,MATCH("Engineering &amp; Development|B2|B-IC",RBD_KEY,0)),"M")</f>
        <v>M</v>
      </c>
      <c r="L280" s="35" t="str">
        <f>IFERROR(INDEX(RBD_Ac,MATCH("Engineering &amp; Development|B2|B-IC",RBD_KEY,0)),"M")</f>
        <v>L</v>
      </c>
      <c r="M280" s="35" t="str">
        <f>IFERROR(INDEX(RBD_L,MATCH("Engineering &amp; Development|B2|B-IC",RBD_KEY,0)),"M")</f>
        <v>L</v>
      </c>
      <c r="N280" s="35" t="str">
        <f>IFERROR(INDEX(RBD_BI,MATCH("Engineering &amp; Development|B2|B-IC",RBD_KEY,0)),"M")</f>
        <v>L</v>
      </c>
      <c r="O280" s="35" t="str">
        <f>IFERROR(INDEX(RBD_Exp,MATCH("Engineering &amp; Development|B2|B-IC",RBD_KEY,0)),"M")</f>
        <v>L</v>
      </c>
      <c r="P280" s="35" t="str">
        <f>IFERROR(INDEX(RBD_Edu,MATCH("Engineering &amp; Development|B2|B-IC",RBD_KEY,0)),"M")</f>
        <v>L</v>
      </c>
      <c r="Q280" s="73">
        <f>IF(J280="","",IFERROR(INDEX(LMH_PTS,MATCH(J280,LMH_KEY,0))/SUM(IFERROR(INDEX(LMH_PTS,MATCH(J280,LMH_KEY,0)),0),IFERROR(INDEX(LMH_PTS,MATCH(K280,LMH_KEY,0)),0),IFERROR(INDEX(LMH_PTS,MATCH(L280,LMH_KEY,0)),0),IFERROR(INDEX(LMH_PTS,MATCH(M280,LMH_KEY,0)),0),IFERROR(INDEX(LMH_PTS,MATCH(N280,LMH_KEY,0)),0),IFERROR(INDEX(LMH_PTS,MATCH(O280,LMH_KEY,0)),0),IFERROR(INDEX(LMH_PTS,MATCH(P280,LMH_KEY,0)),0)),""))</f>
        <v>0.529411764705882</v>
      </c>
      <c r="R280" s="74">
        <f>IF(K280="","",IFERROR(INDEX(LMH_PTS,MATCH(K280,LMH_KEY,0))/SUM(IFERROR(INDEX(LMH_PTS,MATCH(J280,LMH_KEY,0)),0),IFERROR(INDEX(LMH_PTS,MATCH(K280,LMH_KEY,0)),0),IFERROR(INDEX(LMH_PTS,MATCH(L280,LMH_KEY,0)),0),IFERROR(INDEX(LMH_PTS,MATCH(M280,LMH_KEY,0)),0),IFERROR(INDEX(LMH_PTS,MATCH(N280,LMH_KEY,0)),0),IFERROR(INDEX(LMH_PTS,MATCH(O280,LMH_KEY,0)),0),IFERROR(INDEX(LMH_PTS,MATCH(P280,LMH_KEY,0)),0)),""))</f>
        <v>0.176470588235294</v>
      </c>
      <c r="S280" s="74">
        <f>IF(L280="","",IFERROR(INDEX(LMH_PTS,MATCH(L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T280" s="74">
        <f>IF(M280="","",IFERROR(INDEX(LMH_PTS,MATCH(M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U280" s="74">
        <f>IF(N280="","",IFERROR(INDEX(LMH_PTS,MATCH(N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V280" s="74">
        <f>IF(O280="","",IFERROR(INDEX(LMH_PTS,MATCH(O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W280" s="74">
        <f>IF(P280="","",IFERROR(INDEX(LMH_PTS,MATCH(P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X280" s="44" t="n"/>
      <c r="Y280" s="38" t="inlineStr">
        <is>
          <t>Datatech|Technology|Senior Technical Specialist – POD Lead|B2|B-IC</t>
        </is>
      </c>
    </row>
    <row r="281" ht="18" customHeight="1">
      <c r="A281" s="28" t="inlineStr">
        <is>
          <t>Datatech</t>
        </is>
      </c>
      <c r="B281" s="29" t="inlineStr">
        <is>
          <t>Technology</t>
        </is>
      </c>
      <c r="C281" s="75" t="inlineStr">
        <is>
          <t>A3</t>
        </is>
      </c>
      <c r="D281" s="29" t="inlineStr">
        <is>
          <t>Band A · Practitioner</t>
        </is>
      </c>
      <c r="E281" s="29" t="inlineStr">
        <is>
          <t>Senior Product Designer</t>
        </is>
      </c>
      <c r="F281" s="29" t="inlineStr">
        <is>
          <t>Band A · all tracks</t>
        </is>
      </c>
      <c r="G281" s="29" t="inlineStr">
        <is>
          <t>Design &amp; Creative</t>
        </is>
      </c>
      <c r="H281" s="29" t="n">
        <v>1</v>
      </c>
      <c r="I281" s="29" t="inlineStr">
        <is>
          <t>Utkarsh Sagar Bafana</t>
        </is>
      </c>
      <c r="J281" s="34" t="str">
        <f>IFERROR(INDEX(RBD_C,MATCH("Design &amp; Creative|A3|A",RBD_KEY,0)),"M")</f>
        <v>H</v>
      </c>
      <c r="K281" s="35" t="str">
        <f>IFERROR(INDEX(RBD_Au,MATCH("Design &amp; Creative|A3|A",RBD_KEY,0)),"M")</f>
        <v>M</v>
      </c>
      <c r="L281" s="35" t="str">
        <f>IFERROR(INDEX(RBD_Ac,MATCH("Design &amp; Creative|A3|A",RBD_KEY,0)),"M")</f>
        <v>L</v>
      </c>
      <c r="M281" s="35" t="str">
        <f>IFERROR(INDEX(RBD_L,MATCH("Design &amp; Creative|A3|A",RBD_KEY,0)),"M")</f>
        <v>L</v>
      </c>
      <c r="N281" s="35" t="str">
        <f>IFERROR(INDEX(RBD_BI,MATCH("Design &amp; Creative|A3|A",RBD_KEY,0)),"M")</f>
        <v>M</v>
      </c>
      <c r="O281" s="35" t="str">
        <f>IFERROR(INDEX(RBD_Exp,MATCH("Design &amp; Creative|A3|A",RBD_KEY,0)),"M")</f>
        <v>L</v>
      </c>
      <c r="P281" s="35" t="str">
        <f>IFERROR(INDEX(RBD_Edu,MATCH("Design &amp; Creative|A3|A",RBD_KEY,0)),"M")</f>
        <v>L</v>
      </c>
      <c r="Q281" s="73">
        <f>IF(J281="","",IFERROR(INDEX(LMH_PTS,MATCH(J281,LMH_KEY,0))/SUM(IFERROR(INDEX(LMH_PTS,MATCH(J281,LMH_KEY,0)),0),IFERROR(INDEX(LMH_PTS,MATCH(K281,LMH_KEY,0)),0),IFERROR(INDEX(LMH_PTS,MATCH(L281,LMH_KEY,0)),0),IFERROR(INDEX(LMH_PTS,MATCH(M281,LMH_KEY,0)),0),IFERROR(INDEX(LMH_PTS,MATCH(N281,LMH_KEY,0)),0),IFERROR(INDEX(LMH_PTS,MATCH(O281,LMH_KEY,0)),0),IFERROR(INDEX(LMH_PTS,MATCH(P281,LMH_KEY,0)),0)),""))</f>
        <v>0.473684210526316</v>
      </c>
      <c r="R281" s="74">
        <f>IF(K281="","",IFERROR(INDEX(LMH_PTS,MATCH(K281,LMH_KEY,0))/SUM(IFERROR(INDEX(LMH_PTS,MATCH(J281,LMH_KEY,0)),0),IFERROR(INDEX(LMH_PTS,MATCH(K281,LMH_KEY,0)),0),IFERROR(INDEX(LMH_PTS,MATCH(L281,LMH_KEY,0)),0),IFERROR(INDEX(LMH_PTS,MATCH(M281,LMH_KEY,0)),0),IFERROR(INDEX(LMH_PTS,MATCH(N281,LMH_KEY,0)),0),IFERROR(INDEX(LMH_PTS,MATCH(O281,LMH_KEY,0)),0),IFERROR(INDEX(LMH_PTS,MATCH(P281,LMH_KEY,0)),0)),""))</f>
        <v>0.157894736842105</v>
      </c>
      <c r="S281" s="74">
        <f>IF(L281="","",IFERROR(INDEX(LMH_PTS,MATCH(L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T281" s="74">
        <f>IF(M281="","",IFERROR(INDEX(LMH_PTS,MATCH(M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U281" s="74">
        <f>IF(N281="","",IFERROR(INDEX(LMH_PTS,MATCH(N281,LMH_KEY,0))/SUM(IFERROR(INDEX(LMH_PTS,MATCH(J281,LMH_KEY,0)),0),IFERROR(INDEX(LMH_PTS,MATCH(K281,LMH_KEY,0)),0),IFERROR(INDEX(LMH_PTS,MATCH(L281,LMH_KEY,0)),0),IFERROR(INDEX(LMH_PTS,MATCH(M281,LMH_KEY,0)),0),IFERROR(INDEX(LMH_PTS,MATCH(N281,LMH_KEY,0)),0),IFERROR(INDEX(LMH_PTS,MATCH(O281,LMH_KEY,0)),0),IFERROR(INDEX(LMH_PTS,MATCH(P281,LMH_KEY,0)),0)),""))</f>
        <v>0.157894736842105</v>
      </c>
      <c r="V281" s="74">
        <f>IF(O281="","",IFERROR(INDEX(LMH_PTS,MATCH(O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W281" s="74">
        <f>IF(P281="","",IFERROR(INDEX(LMH_PTS,MATCH(P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X281" s="44" t="n"/>
      <c r="Y281" s="38" t="inlineStr">
        <is>
          <t>Datatech|Technology|Senior Product Designer|A3|A</t>
        </is>
      </c>
    </row>
    <row r="282" ht="28" customHeight="1">
      <c r="A282" s="28" t="inlineStr">
        <is>
          <t>Datatech</t>
        </is>
      </c>
      <c r="B282" s="29" t="inlineStr">
        <is>
          <t>Technology</t>
        </is>
      </c>
      <c r="C282" s="75" t="inlineStr">
        <is>
          <t>A3</t>
        </is>
      </c>
      <c r="D282" s="29" t="inlineStr">
        <is>
          <t>Band A · Practitioner</t>
        </is>
      </c>
      <c r="E282" s="29" t="inlineStr">
        <is>
          <t>Senior Software Engineer</t>
        </is>
      </c>
      <c r="F282" s="29" t="inlineStr">
        <is>
          <t>Band A · all tracks</t>
        </is>
      </c>
      <c r="G282" s="29" t="inlineStr">
        <is>
          <t>Engineering &amp; Development</t>
        </is>
      </c>
      <c r="H282" s="29" t="n">
        <v>2</v>
      </c>
      <c r="I282" s="29" t="inlineStr">
        <is>
          <t>Niraj Santosh Patil, Shivam Dhumal</t>
        </is>
      </c>
      <c r="J282" s="34" t="str">
        <f>IFERROR(INDEX(RBD_C,MATCH("Engineering &amp; Development|A3|A",RBD_KEY,0)),"M")</f>
        <v>H</v>
      </c>
      <c r="K282" s="35" t="str">
        <f>IFERROR(INDEX(RBD_Au,MATCH("Engineering &amp; Development|A3|A",RBD_KEY,0)),"M")</f>
        <v>M</v>
      </c>
      <c r="L282" s="35" t="str">
        <f>IFERROR(INDEX(RBD_Ac,MATCH("Engineering &amp; Development|A3|A",RBD_KEY,0)),"M")</f>
        <v>L</v>
      </c>
      <c r="M282" s="35" t="str">
        <f>IFERROR(INDEX(RBD_L,MATCH("Engineering &amp; Development|A3|A",RBD_KEY,0)),"M")</f>
        <v>L</v>
      </c>
      <c r="N282" s="35" t="str">
        <f>IFERROR(INDEX(RBD_BI,MATCH("Engineering &amp; Development|A3|A",RBD_KEY,0)),"M")</f>
        <v>L</v>
      </c>
      <c r="O282" s="35" t="str">
        <f>IFERROR(INDEX(RBD_Exp,MATCH("Engineering &amp; Development|A3|A",RBD_KEY,0)),"M")</f>
        <v>L</v>
      </c>
      <c r="P282" s="35" t="str">
        <f>IFERROR(INDEX(RBD_Edu,MATCH("Engineering &amp; Development|A3|A",RBD_KEY,0)),"M")</f>
        <v>L</v>
      </c>
      <c r="Q282" s="73">
        <f>IF(J282="","",IFERROR(INDEX(LMH_PTS,MATCH(J282,LMH_KEY,0))/SUM(IFERROR(INDEX(LMH_PTS,MATCH(J282,LMH_KEY,0)),0),IFERROR(INDEX(LMH_PTS,MATCH(K282,LMH_KEY,0)),0),IFERROR(INDEX(LMH_PTS,MATCH(L282,LMH_KEY,0)),0),IFERROR(INDEX(LMH_PTS,MATCH(M282,LMH_KEY,0)),0),IFERROR(INDEX(LMH_PTS,MATCH(N282,LMH_KEY,0)),0),IFERROR(INDEX(LMH_PTS,MATCH(O282,LMH_KEY,0)),0),IFERROR(INDEX(LMH_PTS,MATCH(P282,LMH_KEY,0)),0)),""))</f>
        <v>0.529411764705882</v>
      </c>
      <c r="R282" s="74">
        <f>IF(K282="","",IFERROR(INDEX(LMH_PTS,MATCH(K282,LMH_KEY,0))/SUM(IFERROR(INDEX(LMH_PTS,MATCH(J282,LMH_KEY,0)),0),IFERROR(INDEX(LMH_PTS,MATCH(K282,LMH_KEY,0)),0),IFERROR(INDEX(LMH_PTS,MATCH(L282,LMH_KEY,0)),0),IFERROR(INDEX(LMH_PTS,MATCH(M282,LMH_KEY,0)),0),IFERROR(INDEX(LMH_PTS,MATCH(N282,LMH_KEY,0)),0),IFERROR(INDEX(LMH_PTS,MATCH(O282,LMH_KEY,0)),0),IFERROR(INDEX(LMH_PTS,MATCH(P282,LMH_KEY,0)),0)),""))</f>
        <v>0.176470588235294</v>
      </c>
      <c r="S282" s="74">
        <f>IF(L282="","",IFERROR(INDEX(LMH_PTS,MATCH(L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T282" s="74">
        <f>IF(M282="","",IFERROR(INDEX(LMH_PTS,MATCH(M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U282" s="74">
        <f>IF(N282="","",IFERROR(INDEX(LMH_PTS,MATCH(N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V282" s="74">
        <f>IF(O282="","",IFERROR(INDEX(LMH_PTS,MATCH(O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W282" s="74">
        <f>IF(P282="","",IFERROR(INDEX(LMH_PTS,MATCH(P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X282" s="44" t="n"/>
      <c r="Y282" s="38" t="inlineStr">
        <is>
          <t>Datatech|Technology|Senior Software Engineer|A3|A</t>
        </is>
      </c>
    </row>
    <row r="283" ht="18" customHeight="1">
      <c r="A283" s="28" t="inlineStr">
        <is>
          <t>Datatech</t>
        </is>
      </c>
      <c r="B283" s="29" t="inlineStr">
        <is>
          <t>Technology</t>
        </is>
      </c>
      <c r="C283" s="75" t="inlineStr">
        <is>
          <t>A2</t>
        </is>
      </c>
      <c r="D283" s="29" t="inlineStr">
        <is>
          <t>Band A · Practitioner</t>
        </is>
      </c>
      <c r="E283" s="29" t="inlineStr">
        <is>
          <t>Software Engineer</t>
        </is>
      </c>
      <c r="F283" s="29" t="inlineStr">
        <is>
          <t>Band A · all tracks</t>
        </is>
      </c>
      <c r="G283" s="29" t="inlineStr">
        <is>
          <t>Engineering &amp; Development</t>
        </is>
      </c>
      <c r="H283" s="29" t="n">
        <v>1</v>
      </c>
      <c r="I283" s="29" t="inlineStr">
        <is>
          <t>Krishnadev Arya</t>
        </is>
      </c>
      <c r="J283" s="34" t="str">
        <f>IFERROR(INDEX(RBD_C,MATCH("Engineering &amp; Development|A2|A",RBD_KEY,0)),"M")</f>
        <v>H</v>
      </c>
      <c r="K283" s="35" t="str">
        <f>IFERROR(INDEX(RBD_Au,MATCH("Engineering &amp; Development|A2|A",RBD_KEY,0)),"M")</f>
        <v>M</v>
      </c>
      <c r="L283" s="35" t="str">
        <f>IFERROR(INDEX(RBD_Ac,MATCH("Engineering &amp; Development|A2|A",RBD_KEY,0)),"M")</f>
        <v>L</v>
      </c>
      <c r="M283" s="35" t="str">
        <f>IFERROR(INDEX(RBD_L,MATCH("Engineering &amp; Development|A2|A",RBD_KEY,0)),"M")</f>
        <v>L</v>
      </c>
      <c r="N283" s="35" t="str">
        <f>IFERROR(INDEX(RBD_BI,MATCH("Engineering &amp; Development|A2|A",RBD_KEY,0)),"M")</f>
        <v>L</v>
      </c>
      <c r="O283" s="35" t="str">
        <f>IFERROR(INDEX(RBD_Exp,MATCH("Engineering &amp; Development|A2|A",RBD_KEY,0)),"M")</f>
        <v>L</v>
      </c>
      <c r="P283" s="35" t="str">
        <f>IFERROR(INDEX(RBD_Edu,MATCH("Engineering &amp; Development|A2|A",RBD_KEY,0)),"M")</f>
        <v>L</v>
      </c>
      <c r="Q283" s="73">
        <f>IF(J283="","",IFERROR(INDEX(LMH_PTS,MATCH(J283,LMH_KEY,0))/SUM(IFERROR(INDEX(LMH_PTS,MATCH(J283,LMH_KEY,0)),0),IFERROR(INDEX(LMH_PTS,MATCH(K283,LMH_KEY,0)),0),IFERROR(INDEX(LMH_PTS,MATCH(L283,LMH_KEY,0)),0),IFERROR(INDEX(LMH_PTS,MATCH(M283,LMH_KEY,0)),0),IFERROR(INDEX(LMH_PTS,MATCH(N283,LMH_KEY,0)),0),IFERROR(INDEX(LMH_PTS,MATCH(O283,LMH_KEY,0)),0),IFERROR(INDEX(LMH_PTS,MATCH(P283,LMH_KEY,0)),0)),""))</f>
        <v>0.529411764705882</v>
      </c>
      <c r="R283" s="74">
        <f>IF(K283="","",IFERROR(INDEX(LMH_PTS,MATCH(K283,LMH_KEY,0))/SUM(IFERROR(INDEX(LMH_PTS,MATCH(J283,LMH_KEY,0)),0),IFERROR(INDEX(LMH_PTS,MATCH(K283,LMH_KEY,0)),0),IFERROR(INDEX(LMH_PTS,MATCH(L283,LMH_KEY,0)),0),IFERROR(INDEX(LMH_PTS,MATCH(M283,LMH_KEY,0)),0),IFERROR(INDEX(LMH_PTS,MATCH(N283,LMH_KEY,0)),0),IFERROR(INDEX(LMH_PTS,MATCH(O283,LMH_KEY,0)),0),IFERROR(INDEX(LMH_PTS,MATCH(P283,LMH_KEY,0)),0)),""))</f>
        <v>0.176470588235294</v>
      </c>
      <c r="S283" s="74">
        <f>IF(L283="","",IFERROR(INDEX(LMH_PTS,MATCH(L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T283" s="74">
        <f>IF(M283="","",IFERROR(INDEX(LMH_PTS,MATCH(M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U283" s="74">
        <f>IF(N283="","",IFERROR(INDEX(LMH_PTS,MATCH(N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V283" s="74">
        <f>IF(O283="","",IFERROR(INDEX(LMH_PTS,MATCH(O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W283" s="74">
        <f>IF(P283="","",IFERROR(INDEX(LMH_PTS,MATCH(P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X283" s="44" t="n"/>
      <c r="Y283" s="38" t="inlineStr">
        <is>
          <t>Datatech|Technology|Software Engineer|A2|A</t>
        </is>
      </c>
    </row>
    <row r="284" ht="28" customHeight="1">
      <c r="A284" s="28" t="inlineStr">
        <is>
          <t>Datatech</t>
        </is>
      </c>
      <c r="B284" s="29" t="inlineStr">
        <is>
          <t>Technology</t>
        </is>
      </c>
      <c r="C284" s="75" t="inlineStr">
        <is>
          <t>A1</t>
        </is>
      </c>
      <c r="D284" s="29" t="inlineStr">
        <is>
          <t>Band A · Practitioner</t>
        </is>
      </c>
      <c r="E284" s="29" t="inlineStr">
        <is>
          <t>Intern – Product Operations &amp; Research</t>
        </is>
      </c>
      <c r="F284" s="29" t="inlineStr">
        <is>
          <t>Band A · all tracks</t>
        </is>
      </c>
      <c r="G284" s="29" t="inlineStr">
        <is>
          <t>Product Management</t>
        </is>
      </c>
      <c r="H284" s="29" t="n">
        <v>1</v>
      </c>
      <c r="I284" s="29" t="inlineStr">
        <is>
          <t>Riyanka Dey</t>
        </is>
      </c>
      <c r="J284" s="34" t="str">
        <f>IFERROR(INDEX(RBD_C,MATCH("Product Management|A1|A",RBD_KEY,0)),"M")</f>
        <v>H</v>
      </c>
      <c r="K284" s="35" t="str">
        <f>IFERROR(INDEX(RBD_Au,MATCH("Product Management|A1|A",RBD_KEY,0)),"M")</f>
        <v>M</v>
      </c>
      <c r="L284" s="35" t="str">
        <f>IFERROR(INDEX(RBD_Ac,MATCH("Product Management|A1|A",RBD_KEY,0)),"M")</f>
        <v>M</v>
      </c>
      <c r="M284" s="35" t="str">
        <f>IFERROR(INDEX(RBD_L,MATCH("Product Management|A1|A",RBD_KEY,0)),"M")</f>
        <v>L</v>
      </c>
      <c r="N284" s="35" t="str">
        <f>IFERROR(INDEX(RBD_BI,MATCH("Product Management|A1|A",RBD_KEY,0)),"M")</f>
        <v>L</v>
      </c>
      <c r="O284" s="35" t="str">
        <f>IFERROR(INDEX(RBD_Exp,MATCH("Product Management|A1|A",RBD_KEY,0)),"M")</f>
        <v>L</v>
      </c>
      <c r="P284" s="35" t="str">
        <f>IFERROR(INDEX(RBD_Edu,MATCH("Product Management|A1|A",RBD_KEY,0)),"M")</f>
        <v>L</v>
      </c>
      <c r="Q284" s="73">
        <f>IF(J284="","",IFERROR(INDEX(LMH_PTS,MATCH(J284,LMH_KEY,0))/SUM(IFERROR(INDEX(LMH_PTS,MATCH(J284,LMH_KEY,0)),0),IFERROR(INDEX(LMH_PTS,MATCH(K284,LMH_KEY,0)),0),IFERROR(INDEX(LMH_PTS,MATCH(L284,LMH_KEY,0)),0),IFERROR(INDEX(LMH_PTS,MATCH(M284,LMH_KEY,0)),0),IFERROR(INDEX(LMH_PTS,MATCH(N284,LMH_KEY,0)),0),IFERROR(INDEX(LMH_PTS,MATCH(O284,LMH_KEY,0)),0),IFERROR(INDEX(LMH_PTS,MATCH(P284,LMH_KEY,0)),0)),""))</f>
        <v>0.473684210526316</v>
      </c>
      <c r="R284" s="74">
        <f>IF(K284="","",IFERROR(INDEX(LMH_PTS,MATCH(K284,LMH_KEY,0))/SUM(IFERROR(INDEX(LMH_PTS,MATCH(J284,LMH_KEY,0)),0),IFERROR(INDEX(LMH_PTS,MATCH(K284,LMH_KEY,0)),0),IFERROR(INDEX(LMH_PTS,MATCH(L284,LMH_KEY,0)),0),IFERROR(INDEX(LMH_PTS,MATCH(M284,LMH_KEY,0)),0),IFERROR(INDEX(LMH_PTS,MATCH(N284,LMH_KEY,0)),0),IFERROR(INDEX(LMH_PTS,MATCH(O284,LMH_KEY,0)),0),IFERROR(INDEX(LMH_PTS,MATCH(P284,LMH_KEY,0)),0)),""))</f>
        <v>0.157894736842105</v>
      </c>
      <c r="S284" s="74">
        <f>IF(L284="","",IFERROR(INDEX(LMH_PTS,MATCH(L284,LMH_KEY,0))/SUM(IFERROR(INDEX(LMH_PTS,MATCH(J284,LMH_KEY,0)),0),IFERROR(INDEX(LMH_PTS,MATCH(K284,LMH_KEY,0)),0),IFERROR(INDEX(LMH_PTS,MATCH(L284,LMH_KEY,0)),0),IFERROR(INDEX(LMH_PTS,MATCH(M284,LMH_KEY,0)),0),IFERROR(INDEX(LMH_PTS,MATCH(N284,LMH_KEY,0)),0),IFERROR(INDEX(LMH_PTS,MATCH(O284,LMH_KEY,0)),0),IFERROR(INDEX(LMH_PTS,MATCH(P284,LMH_KEY,0)),0)),""))</f>
        <v>0.157894736842105</v>
      </c>
      <c r="T284" s="74">
        <f>IF(M284="","",IFERROR(INDEX(LMH_PTS,MATCH(M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U284" s="74">
        <f>IF(N284="","",IFERROR(INDEX(LMH_PTS,MATCH(N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V284" s="74">
        <f>IF(O284="","",IFERROR(INDEX(LMH_PTS,MATCH(O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W284" s="74">
        <f>IF(P284="","",IFERROR(INDEX(LMH_PTS,MATCH(P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X284" s="44" t="n"/>
      <c r="Y284" s="38" t="inlineStr">
        <is>
          <t>Datatech|Technology|Intern – Product Operations &amp; Research|A1|A</t>
        </is>
      </c>
    </row>
    <row r="285" ht="28" customHeight="1">
      <c r="A285" s="28" t="inlineStr">
        <is>
          <t>Datatech</t>
        </is>
      </c>
      <c r="B285" s="29" t="inlineStr">
        <is>
          <t>Technology</t>
        </is>
      </c>
      <c r="C285" s="76" t="inlineStr">
        <is>
          <t>X1</t>
        </is>
      </c>
      <c r="D285" s="29" t="inlineStr">
        <is>
          <t>Band X · Consultant</t>
        </is>
      </c>
      <c r="E285" s="29" t="inlineStr">
        <is>
          <t>Associate Consultant – Software Development</t>
        </is>
      </c>
      <c r="F285" s="29" t="inlineStr">
        <is>
          <t>Consultant</t>
        </is>
      </c>
      <c r="G285" s="29" t="inlineStr">
        <is>
          <t>Engineering &amp; Development</t>
        </is>
      </c>
      <c r="H285" s="29" t="n">
        <v>3</v>
      </c>
      <c r="I285" s="29" t="inlineStr">
        <is>
          <t>Sadhan Kumar, Sohel Yadav, Vivek Kumar</t>
        </is>
      </c>
      <c r="J285" s="34" t="n"/>
      <c r="K285" s="35" t="n"/>
      <c r="L285" s="35" t="n"/>
      <c r="M285" s="35" t="n"/>
      <c r="N285" s="35" t="n"/>
      <c r="O285" s="35" t="n"/>
      <c r="P285" s="35" t="n"/>
      <c r="Q285" s="73" t="str">
        <f>IF(J285="","",IFERROR(INDEX(LMH_PTS,MATCH(J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R285" s="74" t="str">
        <f>IF(K285="","",IFERROR(INDEX(LMH_PTS,MATCH(K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S285" s="74" t="str">
        <f>IF(L285="","",IFERROR(INDEX(LMH_PTS,MATCH(L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T285" s="74" t="str">
        <f>IF(M285="","",IFERROR(INDEX(LMH_PTS,MATCH(M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U285" s="74" t="str">
        <f>IF(N285="","",IFERROR(INDEX(LMH_PTS,MATCH(N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V285" s="74" t="str">
        <f>IF(O285="","",IFERROR(INDEX(LMH_PTS,MATCH(O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W285" s="74" t="str">
        <f>IF(P285="","",IFERROR(INDEX(LMH_PTS,MATCH(P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X285" s="44" t="n"/>
      <c r="Y285" s="38" t="inlineStr">
        <is>
          <t>Datatech|Technology|Associate Consultant – Software Development|X1|X</t>
        </is>
      </c>
    </row>
    <row r="286" ht="18" customHeight="1">
      <c r="A286" s="28" t="inlineStr">
        <is>
          <t>Consume</t>
        </is>
      </c>
      <c r="B286" s="71" t="inlineStr">
        <is>
          <t>Digitizing</t>
        </is>
      </c>
      <c r="C286" s="72" t="inlineStr">
        <is>
          <t>B1</t>
        </is>
      </c>
      <c r="D286" s="29" t="inlineStr">
        <is>
          <t>Band B · Specialist / Manager</t>
        </is>
      </c>
      <c r="E286" s="29" t="inlineStr">
        <is>
          <t>Digitization Manager</t>
        </is>
      </c>
      <c r="F286" s="29" t="inlineStr">
        <is>
          <t>Band B · People Manager</t>
        </is>
      </c>
      <c r="G286" s="29" t="inlineStr">
        <is>
          <t>Data Operations &amp; Digitization</t>
        </is>
      </c>
      <c r="H286" s="29" t="n">
        <v>1</v>
      </c>
      <c r="I286" s="29" t="inlineStr">
        <is>
          <t>Shraddha Patil</t>
        </is>
      </c>
      <c r="J286" s="34" t="str">
        <f>IFERROR(INDEX(RBD_C,MATCH("Data Operations &amp; Digitization|B1|B-M",RBD_KEY,0)),"M")</f>
        <v>H</v>
      </c>
      <c r="K286" s="35" t="str">
        <f>IFERROR(INDEX(RBD_Au,MATCH("Data Operations &amp; Digitization|B1|B-M",RBD_KEY,0)),"M")</f>
        <v>M</v>
      </c>
      <c r="L286" s="35" t="str">
        <f>IFERROR(INDEX(RBD_Ac,MATCH("Data Operations &amp; Digitization|B1|B-M",RBD_KEY,0)),"M")</f>
        <v>M</v>
      </c>
      <c r="M286" s="35" t="str">
        <f>IFERROR(INDEX(RBD_L,MATCH("Data Operations &amp; Digitization|B1|B-M",RBD_KEY,0)),"M")</f>
        <v>M</v>
      </c>
      <c r="N286" s="35" t="str">
        <f>IFERROR(INDEX(RBD_BI,MATCH("Data Operations &amp; Digitization|B1|B-M",RBD_KEY,0)),"M")</f>
        <v>L</v>
      </c>
      <c r="O286" s="35" t="str">
        <f>IFERROR(INDEX(RBD_Exp,MATCH("Data Operations &amp; Digitization|B1|B-M",RBD_KEY,0)),"M")</f>
        <v>L</v>
      </c>
      <c r="P286" s="35" t="str">
        <f>IFERROR(INDEX(RBD_Edu,MATCH("Data Operations &amp; Digitization|B1|B-M",RBD_KEY,0)),"M")</f>
        <v>L</v>
      </c>
      <c r="Q286" s="73">
        <f>IF(J286="","",IFERROR(INDEX(LMH_PTS,MATCH(J286,LMH_KEY,0))/SUM(IFERROR(INDEX(LMH_PTS,MATCH(J286,LMH_KEY,0)),0),IFERROR(INDEX(LMH_PTS,MATCH(K286,LMH_KEY,0)),0),IFERROR(INDEX(LMH_PTS,MATCH(L286,LMH_KEY,0)),0),IFERROR(INDEX(LMH_PTS,MATCH(M286,LMH_KEY,0)),0),IFERROR(INDEX(LMH_PTS,MATCH(N286,LMH_KEY,0)),0),IFERROR(INDEX(LMH_PTS,MATCH(O286,LMH_KEY,0)),0),IFERROR(INDEX(LMH_PTS,MATCH(P286,LMH_KEY,0)),0)),""))</f>
        <v>0.428571428571429</v>
      </c>
      <c r="R286" s="74">
        <f>IF(K286="","",IFERROR(INDEX(LMH_PTS,MATCH(K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S286" s="74">
        <f>IF(L286="","",IFERROR(INDEX(LMH_PTS,MATCH(L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T286" s="74">
        <f>IF(M286="","",IFERROR(INDEX(LMH_PTS,MATCH(M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U286" s="74">
        <f>IF(N286="","",IFERROR(INDEX(LMH_PTS,MATCH(N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V286" s="74">
        <f>IF(O286="","",IFERROR(INDEX(LMH_PTS,MATCH(O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W286" s="74">
        <f>IF(P286="","",IFERROR(INDEX(LMH_PTS,MATCH(P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X286" s="44" t="n"/>
      <c r="Y286" s="38" t="inlineStr">
        <is>
          <t>Consume|Digitizing|Digitization Manager|B1|B-M</t>
        </is>
      </c>
    </row>
    <row r="287" ht="18" customHeight="1">
      <c r="A287" s="28" t="inlineStr">
        <is>
          <t>Consume</t>
        </is>
      </c>
      <c r="B287" s="29" t="inlineStr">
        <is>
          <t>Digitizing</t>
        </is>
      </c>
      <c r="C287" s="75" t="inlineStr">
        <is>
          <t>A3</t>
        </is>
      </c>
      <c r="D287" s="29" t="inlineStr">
        <is>
          <t>Band A · Practitioner</t>
        </is>
      </c>
      <c r="E287" s="29" t="inlineStr">
        <is>
          <t>Digitization Specialist</t>
        </is>
      </c>
      <c r="F287" s="29" t="inlineStr">
        <is>
          <t>Band A · all tracks</t>
        </is>
      </c>
      <c r="G287" s="29" t="inlineStr">
        <is>
          <t>Data Operations &amp; Digitization</t>
        </is>
      </c>
      <c r="H287" s="29" t="n">
        <v>1</v>
      </c>
      <c r="I287" s="29" t="inlineStr">
        <is>
          <t>Nitin Bhoir</t>
        </is>
      </c>
      <c r="J287" s="34" t="str">
        <f>IFERROR(INDEX(RBD_C,MATCH("Data Operations &amp; Digitization|A3|A",RBD_KEY,0)),"M")</f>
        <v>H</v>
      </c>
      <c r="K287" s="35" t="str">
        <f>IFERROR(INDEX(RBD_Au,MATCH("Data Operations &amp; Digitization|A3|A",RBD_KEY,0)),"M")</f>
        <v>M</v>
      </c>
      <c r="L287" s="35" t="str">
        <f>IFERROR(INDEX(RBD_Ac,MATCH("Data Operations &amp; Digitization|A3|A",RBD_KEY,0)),"M")</f>
        <v>M</v>
      </c>
      <c r="M287" s="35" t="str">
        <f>IFERROR(INDEX(RBD_L,MATCH("Data Operations &amp; Digitization|A3|A",RBD_KEY,0)),"M")</f>
        <v>L</v>
      </c>
      <c r="N287" s="35" t="str">
        <f>IFERROR(INDEX(RBD_BI,MATCH("Data Operations &amp; Digitization|A3|A",RBD_KEY,0)),"M")</f>
        <v>L</v>
      </c>
      <c r="O287" s="35" t="str">
        <f>IFERROR(INDEX(RBD_Exp,MATCH("Data Operations &amp; Digitization|A3|A",RBD_KEY,0)),"M")</f>
        <v>L</v>
      </c>
      <c r="P287" s="35" t="str">
        <f>IFERROR(INDEX(RBD_Edu,MATCH("Data Operations &amp; Digitization|A3|A",RBD_KEY,0)),"M")</f>
        <v>L</v>
      </c>
      <c r="Q287" s="73">
        <f>IF(J287="","",IFERROR(INDEX(LMH_PTS,MATCH(J287,LMH_KEY,0))/SUM(IFERROR(INDEX(LMH_PTS,MATCH(J287,LMH_KEY,0)),0),IFERROR(INDEX(LMH_PTS,MATCH(K287,LMH_KEY,0)),0),IFERROR(INDEX(LMH_PTS,MATCH(L287,LMH_KEY,0)),0),IFERROR(INDEX(LMH_PTS,MATCH(M287,LMH_KEY,0)),0),IFERROR(INDEX(LMH_PTS,MATCH(N287,LMH_KEY,0)),0),IFERROR(INDEX(LMH_PTS,MATCH(O287,LMH_KEY,0)),0),IFERROR(INDEX(LMH_PTS,MATCH(P287,LMH_KEY,0)),0)),""))</f>
        <v>0.473684210526316</v>
      </c>
      <c r="R287" s="74">
        <f>IF(K287="","",IFERROR(INDEX(LMH_PTS,MATCH(K287,LMH_KEY,0))/SUM(IFERROR(INDEX(LMH_PTS,MATCH(J287,LMH_KEY,0)),0),IFERROR(INDEX(LMH_PTS,MATCH(K287,LMH_KEY,0)),0),IFERROR(INDEX(LMH_PTS,MATCH(L287,LMH_KEY,0)),0),IFERROR(INDEX(LMH_PTS,MATCH(M287,LMH_KEY,0)),0),IFERROR(INDEX(LMH_PTS,MATCH(N287,LMH_KEY,0)),0),IFERROR(INDEX(LMH_PTS,MATCH(O287,LMH_KEY,0)),0),IFERROR(INDEX(LMH_PTS,MATCH(P287,LMH_KEY,0)),0)),""))</f>
        <v>0.157894736842105</v>
      </c>
      <c r="S287" s="74">
        <f>IF(L287="","",IFERROR(INDEX(LMH_PTS,MATCH(L287,LMH_KEY,0))/SUM(IFERROR(INDEX(LMH_PTS,MATCH(J287,LMH_KEY,0)),0),IFERROR(INDEX(LMH_PTS,MATCH(K287,LMH_KEY,0)),0),IFERROR(INDEX(LMH_PTS,MATCH(L287,LMH_KEY,0)),0),IFERROR(INDEX(LMH_PTS,MATCH(M287,LMH_KEY,0)),0),IFERROR(INDEX(LMH_PTS,MATCH(N287,LMH_KEY,0)),0),IFERROR(INDEX(LMH_PTS,MATCH(O287,LMH_KEY,0)),0),IFERROR(INDEX(LMH_PTS,MATCH(P287,LMH_KEY,0)),0)),""))</f>
        <v>0.157894736842105</v>
      </c>
      <c r="T287" s="74">
        <f>IF(M287="","",IFERROR(INDEX(LMH_PTS,MATCH(M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U287" s="74">
        <f>IF(N287="","",IFERROR(INDEX(LMH_PTS,MATCH(N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V287" s="74">
        <f>IF(O287="","",IFERROR(INDEX(LMH_PTS,MATCH(O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W287" s="74">
        <f>IF(P287="","",IFERROR(INDEX(LMH_PTS,MATCH(P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X287" s="44" t="n"/>
      <c r="Y287" s="38" t="inlineStr">
        <is>
          <t>Consume|Digitizing|Digitization Specialist|A3|A</t>
        </is>
      </c>
    </row>
    <row r="288" ht="53" customHeight="1">
      <c r="A288" s="28" t="inlineStr">
        <is>
          <t>Consume</t>
        </is>
      </c>
      <c r="B288" s="29" t="inlineStr">
        <is>
          <t>Digitizing</t>
        </is>
      </c>
      <c r="C288" s="75" t="inlineStr">
        <is>
          <t>A3</t>
        </is>
      </c>
      <c r="D288" s="29" t="inlineStr">
        <is>
          <t>Band A · Practitioner</t>
        </is>
      </c>
      <c r="E288" s="29" t="inlineStr">
        <is>
          <t>Senior Digitization Associate</t>
        </is>
      </c>
      <c r="F288" s="29" t="inlineStr">
        <is>
          <t>Band A · all tracks</t>
        </is>
      </c>
      <c r="G288" s="29" t="inlineStr">
        <is>
          <t>Data Operations &amp; Digitization</t>
        </is>
      </c>
      <c r="H288" s="29" t="n">
        <v>6</v>
      </c>
      <c r="I288" s="29" t="inlineStr">
        <is>
          <t>Aniket Manval, Manish Paithankar, Manoj Ravidas, Manoj Tiwari, Saurav Kamtekar, Snehal Bhavesh Farad</t>
        </is>
      </c>
      <c r="J288" s="34" t="str">
        <f>IFERROR(INDEX(RBD_C,MATCH("Data Operations &amp; Digitization|A3|A",RBD_KEY,0)),"M")</f>
        <v>H</v>
      </c>
      <c r="K288" s="35" t="str">
        <f>IFERROR(INDEX(RBD_Au,MATCH("Data Operations &amp; Digitization|A3|A",RBD_KEY,0)),"M")</f>
        <v>M</v>
      </c>
      <c r="L288" s="35" t="str">
        <f>IFERROR(INDEX(RBD_Ac,MATCH("Data Operations &amp; Digitization|A3|A",RBD_KEY,0)),"M")</f>
        <v>M</v>
      </c>
      <c r="M288" s="35" t="str">
        <f>IFERROR(INDEX(RBD_L,MATCH("Data Operations &amp; Digitization|A3|A",RBD_KEY,0)),"M")</f>
        <v>L</v>
      </c>
      <c r="N288" s="35" t="str">
        <f>IFERROR(INDEX(RBD_BI,MATCH("Data Operations &amp; Digitization|A3|A",RBD_KEY,0)),"M")</f>
        <v>L</v>
      </c>
      <c r="O288" s="35" t="str">
        <f>IFERROR(INDEX(RBD_Exp,MATCH("Data Operations &amp; Digitization|A3|A",RBD_KEY,0)),"M")</f>
        <v>L</v>
      </c>
      <c r="P288" s="35" t="str">
        <f>IFERROR(INDEX(RBD_Edu,MATCH("Data Operations &amp; Digitization|A3|A",RBD_KEY,0)),"M")</f>
        <v>L</v>
      </c>
      <c r="Q288" s="73">
        <f>IF(J288="","",IFERROR(INDEX(LMH_PTS,MATCH(J288,LMH_KEY,0))/SUM(IFERROR(INDEX(LMH_PTS,MATCH(J288,LMH_KEY,0)),0),IFERROR(INDEX(LMH_PTS,MATCH(K288,LMH_KEY,0)),0),IFERROR(INDEX(LMH_PTS,MATCH(L288,LMH_KEY,0)),0),IFERROR(INDEX(LMH_PTS,MATCH(M288,LMH_KEY,0)),0),IFERROR(INDEX(LMH_PTS,MATCH(N288,LMH_KEY,0)),0),IFERROR(INDEX(LMH_PTS,MATCH(O288,LMH_KEY,0)),0),IFERROR(INDEX(LMH_PTS,MATCH(P288,LMH_KEY,0)),0)),""))</f>
        <v>0.473684210526316</v>
      </c>
      <c r="R288" s="74">
        <f>IF(K288="","",IFERROR(INDEX(LMH_PTS,MATCH(K288,LMH_KEY,0))/SUM(IFERROR(INDEX(LMH_PTS,MATCH(J288,LMH_KEY,0)),0),IFERROR(INDEX(LMH_PTS,MATCH(K288,LMH_KEY,0)),0),IFERROR(INDEX(LMH_PTS,MATCH(L288,LMH_KEY,0)),0),IFERROR(INDEX(LMH_PTS,MATCH(M288,LMH_KEY,0)),0),IFERROR(INDEX(LMH_PTS,MATCH(N288,LMH_KEY,0)),0),IFERROR(INDEX(LMH_PTS,MATCH(O288,LMH_KEY,0)),0),IFERROR(INDEX(LMH_PTS,MATCH(P288,LMH_KEY,0)),0)),""))</f>
        <v>0.157894736842105</v>
      </c>
      <c r="S288" s="74">
        <f>IF(L288="","",IFERROR(INDEX(LMH_PTS,MATCH(L288,LMH_KEY,0))/SUM(IFERROR(INDEX(LMH_PTS,MATCH(J288,LMH_KEY,0)),0),IFERROR(INDEX(LMH_PTS,MATCH(K288,LMH_KEY,0)),0),IFERROR(INDEX(LMH_PTS,MATCH(L288,LMH_KEY,0)),0),IFERROR(INDEX(LMH_PTS,MATCH(M288,LMH_KEY,0)),0),IFERROR(INDEX(LMH_PTS,MATCH(N288,LMH_KEY,0)),0),IFERROR(INDEX(LMH_PTS,MATCH(O288,LMH_KEY,0)),0),IFERROR(INDEX(LMH_PTS,MATCH(P288,LMH_KEY,0)),0)),""))</f>
        <v>0.157894736842105</v>
      </c>
      <c r="T288" s="74">
        <f>IF(M288="","",IFERROR(INDEX(LMH_PTS,MATCH(M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U288" s="74">
        <f>IF(N288="","",IFERROR(INDEX(LMH_PTS,MATCH(N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V288" s="74">
        <f>IF(O288="","",IFERROR(INDEX(LMH_PTS,MATCH(O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W288" s="74">
        <f>IF(P288="","",IFERROR(INDEX(LMH_PTS,MATCH(P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X288" s="44" t="n"/>
      <c r="Y288" s="38" t="inlineStr">
        <is>
          <t>Consume|Digitizing|Senior Digitization Associate|A3|A</t>
        </is>
      </c>
    </row>
    <row r="289" ht="18" customHeight="1">
      <c r="A289" s="28" t="inlineStr">
        <is>
          <t>Consume</t>
        </is>
      </c>
      <c r="B289" s="29" t="inlineStr">
        <is>
          <t>Digitizing</t>
        </is>
      </c>
      <c r="C289" s="75" t="inlineStr">
        <is>
          <t>A2</t>
        </is>
      </c>
      <c r="D289" s="29" t="inlineStr">
        <is>
          <t>Band A · Practitioner</t>
        </is>
      </c>
      <c r="E289" s="29" t="inlineStr">
        <is>
          <t>Digitization Associate</t>
        </is>
      </c>
      <c r="F289" s="29" t="inlineStr">
        <is>
          <t>Band A · all tracks</t>
        </is>
      </c>
      <c r="G289" s="29" t="inlineStr">
        <is>
          <t>Data Operations &amp; Digitization</t>
        </is>
      </c>
      <c r="H289" s="29" t="n">
        <v>1</v>
      </c>
      <c r="I289" s="29" t="inlineStr">
        <is>
          <t>Siddhesh Harishchandra Mali</t>
        </is>
      </c>
      <c r="J289" s="34" t="str">
        <f>IFERROR(INDEX(RBD_C,MATCH("Data Operations &amp; Digitization|A2|A",RBD_KEY,0)),"M")</f>
        <v>H</v>
      </c>
      <c r="K289" s="35" t="str">
        <f>IFERROR(INDEX(RBD_Au,MATCH("Data Operations &amp; Digitization|A2|A",RBD_KEY,0)),"M")</f>
        <v>M</v>
      </c>
      <c r="L289" s="35" t="str">
        <f>IFERROR(INDEX(RBD_Ac,MATCH("Data Operations &amp; Digitization|A2|A",RBD_KEY,0)),"M")</f>
        <v>M</v>
      </c>
      <c r="M289" s="35" t="str">
        <f>IFERROR(INDEX(RBD_L,MATCH("Data Operations &amp; Digitization|A2|A",RBD_KEY,0)),"M")</f>
        <v>L</v>
      </c>
      <c r="N289" s="35" t="str">
        <f>IFERROR(INDEX(RBD_BI,MATCH("Data Operations &amp; Digitization|A2|A",RBD_KEY,0)),"M")</f>
        <v>L</v>
      </c>
      <c r="O289" s="35" t="str">
        <f>IFERROR(INDEX(RBD_Exp,MATCH("Data Operations &amp; Digitization|A2|A",RBD_KEY,0)),"M")</f>
        <v>L</v>
      </c>
      <c r="P289" s="35" t="str">
        <f>IFERROR(INDEX(RBD_Edu,MATCH("Data Operations &amp; Digitization|A2|A",RBD_KEY,0)),"M")</f>
        <v>L</v>
      </c>
      <c r="Q289" s="73">
        <f>IF(J289="","",IFERROR(INDEX(LMH_PTS,MATCH(J289,LMH_KEY,0))/SUM(IFERROR(INDEX(LMH_PTS,MATCH(J289,LMH_KEY,0)),0),IFERROR(INDEX(LMH_PTS,MATCH(K289,LMH_KEY,0)),0),IFERROR(INDEX(LMH_PTS,MATCH(L289,LMH_KEY,0)),0),IFERROR(INDEX(LMH_PTS,MATCH(M289,LMH_KEY,0)),0),IFERROR(INDEX(LMH_PTS,MATCH(N289,LMH_KEY,0)),0),IFERROR(INDEX(LMH_PTS,MATCH(O289,LMH_KEY,0)),0),IFERROR(INDEX(LMH_PTS,MATCH(P289,LMH_KEY,0)),0)),""))</f>
        <v>0.473684210526316</v>
      </c>
      <c r="R289" s="74">
        <f>IF(K289="","",IFERROR(INDEX(LMH_PTS,MATCH(K289,LMH_KEY,0))/SUM(IFERROR(INDEX(LMH_PTS,MATCH(J289,LMH_KEY,0)),0),IFERROR(INDEX(LMH_PTS,MATCH(K289,LMH_KEY,0)),0),IFERROR(INDEX(LMH_PTS,MATCH(L289,LMH_KEY,0)),0),IFERROR(INDEX(LMH_PTS,MATCH(M289,LMH_KEY,0)),0),IFERROR(INDEX(LMH_PTS,MATCH(N289,LMH_KEY,0)),0),IFERROR(INDEX(LMH_PTS,MATCH(O289,LMH_KEY,0)),0),IFERROR(INDEX(LMH_PTS,MATCH(P289,LMH_KEY,0)),0)),""))</f>
        <v>0.157894736842105</v>
      </c>
      <c r="S289" s="74">
        <f>IF(L289="","",IFERROR(INDEX(LMH_PTS,MATCH(L289,LMH_KEY,0))/SUM(IFERROR(INDEX(LMH_PTS,MATCH(J289,LMH_KEY,0)),0),IFERROR(INDEX(LMH_PTS,MATCH(K289,LMH_KEY,0)),0),IFERROR(INDEX(LMH_PTS,MATCH(L289,LMH_KEY,0)),0),IFERROR(INDEX(LMH_PTS,MATCH(M289,LMH_KEY,0)),0),IFERROR(INDEX(LMH_PTS,MATCH(N289,LMH_KEY,0)),0),IFERROR(INDEX(LMH_PTS,MATCH(O289,LMH_KEY,0)),0),IFERROR(INDEX(LMH_PTS,MATCH(P289,LMH_KEY,0)),0)),""))</f>
        <v>0.157894736842105</v>
      </c>
      <c r="T289" s="74">
        <f>IF(M289="","",IFERROR(INDEX(LMH_PTS,MATCH(M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U289" s="74">
        <f>IF(N289="","",IFERROR(INDEX(LMH_PTS,MATCH(N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V289" s="74">
        <f>IF(O289="","",IFERROR(INDEX(LMH_PTS,MATCH(O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W289" s="74">
        <f>IF(P289="","",IFERROR(INDEX(LMH_PTS,MATCH(P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X289" s="44" t="n"/>
      <c r="Y289" s="38" t="inlineStr">
        <is>
          <t>Consume|Digitizing|Digitization Associate|A2|A</t>
        </is>
      </c>
    </row>
    <row r="290" ht="18" customHeight="1">
      <c r="A290" s="28" t="inlineStr">
        <is>
          <t>Consume</t>
        </is>
      </c>
      <c r="B290" s="71" t="inlineStr">
        <is>
          <t>India Content</t>
        </is>
      </c>
      <c r="C290" s="72" t="inlineStr">
        <is>
          <t>B2</t>
        </is>
      </c>
      <c r="D290" s="29" t="inlineStr">
        <is>
          <t>Band B · Specialist / Manager</t>
        </is>
      </c>
      <c r="E290" s="29" t="inlineStr">
        <is>
          <t>Data Operations Manager</t>
        </is>
      </c>
      <c r="F290" s="29" t="inlineStr">
        <is>
          <t>Band B · People Manager</t>
        </is>
      </c>
      <c r="G290" s="29" t="inlineStr">
        <is>
          <t>Data &amp; Analytics</t>
        </is>
      </c>
      <c r="H290" s="29" t="n">
        <v>1</v>
      </c>
      <c r="I290" s="29" t="inlineStr">
        <is>
          <t>Gopal Krishna Sahu</t>
        </is>
      </c>
      <c r="J290" s="34" t="str">
        <f>IFERROR(INDEX(RBD_C,MATCH("Data &amp; Analytics|B2|B-M",RBD_KEY,0)),"M")</f>
        <v>H</v>
      </c>
      <c r="K290" s="35" t="str">
        <f>IFERROR(INDEX(RBD_Au,MATCH("Data &amp; Analytics|B2|B-M",RBD_KEY,0)),"M")</f>
        <v>M</v>
      </c>
      <c r="L290" s="35" t="str">
        <f>IFERROR(INDEX(RBD_Ac,MATCH("Data &amp; Analytics|B2|B-M",RBD_KEY,0)),"M")</f>
        <v>M</v>
      </c>
      <c r="M290" s="35" t="str">
        <f>IFERROR(INDEX(RBD_L,MATCH("Data &amp; Analytics|B2|B-M",RBD_KEY,0)),"M")</f>
        <v>M</v>
      </c>
      <c r="N290" s="35" t="str">
        <f>IFERROR(INDEX(RBD_BI,MATCH("Data &amp; Analytics|B2|B-M",RBD_KEY,0)),"M")</f>
        <v>L</v>
      </c>
      <c r="O290" s="35" t="str">
        <f>IFERROR(INDEX(RBD_Exp,MATCH("Data &amp; Analytics|B2|B-M",RBD_KEY,0)),"M")</f>
        <v>L</v>
      </c>
      <c r="P290" s="35" t="str">
        <f>IFERROR(INDEX(RBD_Edu,MATCH("Data &amp; Analytics|B2|B-M",RBD_KEY,0)),"M")</f>
        <v>L</v>
      </c>
      <c r="Q290" s="73">
        <f>IF(J290="","",IFERROR(INDEX(LMH_PTS,MATCH(J290,LMH_KEY,0))/SUM(IFERROR(INDEX(LMH_PTS,MATCH(J290,LMH_KEY,0)),0),IFERROR(INDEX(LMH_PTS,MATCH(K290,LMH_KEY,0)),0),IFERROR(INDEX(LMH_PTS,MATCH(L290,LMH_KEY,0)),0),IFERROR(INDEX(LMH_PTS,MATCH(M290,LMH_KEY,0)),0),IFERROR(INDEX(LMH_PTS,MATCH(N290,LMH_KEY,0)),0),IFERROR(INDEX(LMH_PTS,MATCH(O290,LMH_KEY,0)),0),IFERROR(INDEX(LMH_PTS,MATCH(P290,LMH_KEY,0)),0)),""))</f>
        <v>0.428571428571429</v>
      </c>
      <c r="R290" s="74">
        <f>IF(K290="","",IFERROR(INDEX(LMH_PTS,MATCH(K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S290" s="74">
        <f>IF(L290="","",IFERROR(INDEX(LMH_PTS,MATCH(L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T290" s="74">
        <f>IF(M290="","",IFERROR(INDEX(LMH_PTS,MATCH(M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U290" s="74">
        <f>IF(N290="","",IFERROR(INDEX(LMH_PTS,MATCH(N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V290" s="74">
        <f>IF(O290="","",IFERROR(INDEX(LMH_PTS,MATCH(O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W290" s="74">
        <f>IF(P290="","",IFERROR(INDEX(LMH_PTS,MATCH(P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X290" s="44" t="n"/>
      <c r="Y290" s="38" t="inlineStr">
        <is>
          <t>Consume|India Content|Data Operations Manager|B2|B-M</t>
        </is>
      </c>
    </row>
    <row r="291" ht="18" customHeight="1">
      <c r="A291" s="28" t="inlineStr">
        <is>
          <t>Consume</t>
        </is>
      </c>
      <c r="B291" s="29" t="inlineStr">
        <is>
          <t>India Content</t>
        </is>
      </c>
      <c r="C291" s="72" t="inlineStr">
        <is>
          <t>B1</t>
        </is>
      </c>
      <c r="D291" s="29" t="inlineStr">
        <is>
          <t>Band B · Specialist / Manager</t>
        </is>
      </c>
      <c r="E291" s="29" t="inlineStr">
        <is>
          <t>Data Specialist</t>
        </is>
      </c>
      <c r="F291" s="29" t="inlineStr">
        <is>
          <t>Band B · Specialist / POD Lead</t>
        </is>
      </c>
      <c r="G291" s="29" t="inlineStr">
        <is>
          <t>Data &amp; Analytics</t>
        </is>
      </c>
      <c r="H291" s="29" t="n">
        <v>1</v>
      </c>
      <c r="I291" s="29" t="inlineStr">
        <is>
          <t>Virendra Borkar</t>
        </is>
      </c>
      <c r="J291" s="34" t="str">
        <f>IFERROR(INDEX(RBD_C,MATCH("Data &amp; Analytics|B1|B-IC",RBD_KEY,0)),"M")</f>
        <v>H</v>
      </c>
      <c r="K291" s="35" t="str">
        <f>IFERROR(INDEX(RBD_Au,MATCH("Data &amp; Analytics|B1|B-IC",RBD_KEY,0)),"M")</f>
        <v>M</v>
      </c>
      <c r="L291" s="35" t="str">
        <f>IFERROR(INDEX(RBD_Ac,MATCH("Data &amp; Analytics|B1|B-IC",RBD_KEY,0)),"M")</f>
        <v>M</v>
      </c>
      <c r="M291" s="35" t="str">
        <f>IFERROR(INDEX(RBD_L,MATCH("Data &amp; Analytics|B1|B-IC",RBD_KEY,0)),"M")</f>
        <v>L</v>
      </c>
      <c r="N291" s="35" t="str">
        <f>IFERROR(INDEX(RBD_BI,MATCH("Data &amp; Analytics|B1|B-IC",RBD_KEY,0)),"M")</f>
        <v>L</v>
      </c>
      <c r="O291" s="35" t="str">
        <f>IFERROR(INDEX(RBD_Exp,MATCH("Data &amp; Analytics|B1|B-IC",RBD_KEY,0)),"M")</f>
        <v>L</v>
      </c>
      <c r="P291" s="35" t="str">
        <f>IFERROR(INDEX(RBD_Edu,MATCH("Data &amp; Analytics|B1|B-IC",RBD_KEY,0)),"M")</f>
        <v>L</v>
      </c>
      <c r="Q291" s="73">
        <f>IF(J291="","",IFERROR(INDEX(LMH_PTS,MATCH(J291,LMH_KEY,0))/SUM(IFERROR(INDEX(LMH_PTS,MATCH(J291,LMH_KEY,0)),0),IFERROR(INDEX(LMH_PTS,MATCH(K291,LMH_KEY,0)),0),IFERROR(INDEX(LMH_PTS,MATCH(L291,LMH_KEY,0)),0),IFERROR(INDEX(LMH_PTS,MATCH(M291,LMH_KEY,0)),0),IFERROR(INDEX(LMH_PTS,MATCH(N291,LMH_KEY,0)),0),IFERROR(INDEX(LMH_PTS,MATCH(O291,LMH_KEY,0)),0),IFERROR(INDEX(LMH_PTS,MATCH(P291,LMH_KEY,0)),0)),""))</f>
        <v>0.473684210526316</v>
      </c>
      <c r="R291" s="74">
        <f>IF(K291="","",IFERROR(INDEX(LMH_PTS,MATCH(K291,LMH_KEY,0))/SUM(IFERROR(INDEX(LMH_PTS,MATCH(J291,LMH_KEY,0)),0),IFERROR(INDEX(LMH_PTS,MATCH(K291,LMH_KEY,0)),0),IFERROR(INDEX(LMH_PTS,MATCH(L291,LMH_KEY,0)),0),IFERROR(INDEX(LMH_PTS,MATCH(M291,LMH_KEY,0)),0),IFERROR(INDEX(LMH_PTS,MATCH(N291,LMH_KEY,0)),0),IFERROR(INDEX(LMH_PTS,MATCH(O291,LMH_KEY,0)),0),IFERROR(INDEX(LMH_PTS,MATCH(P291,LMH_KEY,0)),0)),""))</f>
        <v>0.157894736842105</v>
      </c>
      <c r="S291" s="74">
        <f>IF(L291="","",IFERROR(INDEX(LMH_PTS,MATCH(L291,LMH_KEY,0))/SUM(IFERROR(INDEX(LMH_PTS,MATCH(J291,LMH_KEY,0)),0),IFERROR(INDEX(LMH_PTS,MATCH(K291,LMH_KEY,0)),0),IFERROR(INDEX(LMH_PTS,MATCH(L291,LMH_KEY,0)),0),IFERROR(INDEX(LMH_PTS,MATCH(M291,LMH_KEY,0)),0),IFERROR(INDEX(LMH_PTS,MATCH(N291,LMH_KEY,0)),0),IFERROR(INDEX(LMH_PTS,MATCH(O291,LMH_KEY,0)),0),IFERROR(INDEX(LMH_PTS,MATCH(P291,LMH_KEY,0)),0)),""))</f>
        <v>0.157894736842105</v>
      </c>
      <c r="T291" s="74">
        <f>IF(M291="","",IFERROR(INDEX(LMH_PTS,MATCH(M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U291" s="74">
        <f>IF(N291="","",IFERROR(INDEX(LMH_PTS,MATCH(N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V291" s="74">
        <f>IF(O291="","",IFERROR(INDEX(LMH_PTS,MATCH(O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W291" s="74">
        <f>IF(P291="","",IFERROR(INDEX(LMH_PTS,MATCH(P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X291" s="44" t="n"/>
      <c r="Y291" s="38" t="inlineStr">
        <is>
          <t>Consume|India Content|Data Specialist|B1|B-IC</t>
        </is>
      </c>
    </row>
    <row r="292" ht="53" customHeight="1">
      <c r="A292" s="28" t="inlineStr">
        <is>
          <t>Consume</t>
        </is>
      </c>
      <c r="B292" s="29" t="inlineStr">
        <is>
          <t>India Content</t>
        </is>
      </c>
      <c r="C292" s="75" t="inlineStr">
        <is>
          <t>A3</t>
        </is>
      </c>
      <c r="D292" s="29" t="inlineStr">
        <is>
          <t>Band A · Practitioner</t>
        </is>
      </c>
      <c r="E292" s="29" t="inlineStr">
        <is>
          <t>Senior Data Analyst</t>
        </is>
      </c>
      <c r="F292" s="29" t="inlineStr">
        <is>
          <t>Band A · all tracks</t>
        </is>
      </c>
      <c r="G292" s="29" t="inlineStr">
        <is>
          <t>Data &amp; Analytics</t>
        </is>
      </c>
      <c r="H292" s="29" t="n">
        <v>7</v>
      </c>
      <c r="I292" s="29" t="inlineStr">
        <is>
          <t>Akash Dubey, John Mariakulandai, Neelam Kadam, Nishikant Mhatre, Palanikumar Mooppanar, Prashant Shelar, Swapnil Katrat</t>
        </is>
      </c>
      <c r="J292" s="34" t="str">
        <f>IFERROR(INDEX(RBD_C,MATCH("Data &amp; Analytics|A3|A",RBD_KEY,0)),"M")</f>
        <v>H</v>
      </c>
      <c r="K292" s="35" t="str">
        <f>IFERROR(INDEX(RBD_Au,MATCH("Data &amp; Analytics|A3|A",RBD_KEY,0)),"M")</f>
        <v>M</v>
      </c>
      <c r="L292" s="35" t="str">
        <f>IFERROR(INDEX(RBD_Ac,MATCH("Data &amp; Analytics|A3|A",RBD_KEY,0)),"M")</f>
        <v>M</v>
      </c>
      <c r="M292" s="35" t="str">
        <f>IFERROR(INDEX(RBD_L,MATCH("Data &amp; Analytics|A3|A",RBD_KEY,0)),"M")</f>
        <v>L</v>
      </c>
      <c r="N292" s="35" t="str">
        <f>IFERROR(INDEX(RBD_BI,MATCH("Data &amp; Analytics|A3|A",RBD_KEY,0)),"M")</f>
        <v>L</v>
      </c>
      <c r="O292" s="35" t="str">
        <f>IFERROR(INDEX(RBD_Exp,MATCH("Data &amp; Analytics|A3|A",RBD_KEY,0)),"M")</f>
        <v>L</v>
      </c>
      <c r="P292" s="35" t="str">
        <f>IFERROR(INDEX(RBD_Edu,MATCH("Data &amp; Analytics|A3|A",RBD_KEY,0)),"M")</f>
        <v>L</v>
      </c>
      <c r="Q292" s="73">
        <f>IF(J292="","",IFERROR(INDEX(LMH_PTS,MATCH(J292,LMH_KEY,0))/SUM(IFERROR(INDEX(LMH_PTS,MATCH(J292,LMH_KEY,0)),0),IFERROR(INDEX(LMH_PTS,MATCH(K292,LMH_KEY,0)),0),IFERROR(INDEX(LMH_PTS,MATCH(L292,LMH_KEY,0)),0),IFERROR(INDEX(LMH_PTS,MATCH(M292,LMH_KEY,0)),0),IFERROR(INDEX(LMH_PTS,MATCH(N292,LMH_KEY,0)),0),IFERROR(INDEX(LMH_PTS,MATCH(O292,LMH_KEY,0)),0),IFERROR(INDEX(LMH_PTS,MATCH(P292,LMH_KEY,0)),0)),""))</f>
        <v>0.473684210526316</v>
      </c>
      <c r="R292" s="74">
        <f>IF(K292="","",IFERROR(INDEX(LMH_PTS,MATCH(K292,LMH_KEY,0))/SUM(IFERROR(INDEX(LMH_PTS,MATCH(J292,LMH_KEY,0)),0),IFERROR(INDEX(LMH_PTS,MATCH(K292,LMH_KEY,0)),0),IFERROR(INDEX(LMH_PTS,MATCH(L292,LMH_KEY,0)),0),IFERROR(INDEX(LMH_PTS,MATCH(M292,LMH_KEY,0)),0),IFERROR(INDEX(LMH_PTS,MATCH(N292,LMH_KEY,0)),0),IFERROR(INDEX(LMH_PTS,MATCH(O292,LMH_KEY,0)),0),IFERROR(INDEX(LMH_PTS,MATCH(P292,LMH_KEY,0)),0)),""))</f>
        <v>0.157894736842105</v>
      </c>
      <c r="S292" s="74">
        <f>IF(L292="","",IFERROR(INDEX(LMH_PTS,MATCH(L292,LMH_KEY,0))/SUM(IFERROR(INDEX(LMH_PTS,MATCH(J292,LMH_KEY,0)),0),IFERROR(INDEX(LMH_PTS,MATCH(K292,LMH_KEY,0)),0),IFERROR(INDEX(LMH_PTS,MATCH(L292,LMH_KEY,0)),0),IFERROR(INDEX(LMH_PTS,MATCH(M292,LMH_KEY,0)),0),IFERROR(INDEX(LMH_PTS,MATCH(N292,LMH_KEY,0)),0),IFERROR(INDEX(LMH_PTS,MATCH(O292,LMH_KEY,0)),0),IFERROR(INDEX(LMH_PTS,MATCH(P292,LMH_KEY,0)),0)),""))</f>
        <v>0.157894736842105</v>
      </c>
      <c r="T292" s="74">
        <f>IF(M292="","",IFERROR(INDEX(LMH_PTS,MATCH(M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U292" s="74">
        <f>IF(N292="","",IFERROR(INDEX(LMH_PTS,MATCH(N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V292" s="74">
        <f>IF(O292="","",IFERROR(INDEX(LMH_PTS,MATCH(O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W292" s="74">
        <f>IF(P292="","",IFERROR(INDEX(LMH_PTS,MATCH(P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X292" s="44" t="n"/>
      <c r="Y292" s="38" t="inlineStr">
        <is>
          <t>Consume|India Content|Senior Data Analyst|A3|A</t>
        </is>
      </c>
    </row>
    <row r="293" ht="18" customHeight="1">
      <c r="A293" s="28" t="inlineStr">
        <is>
          <t>Consume</t>
        </is>
      </c>
      <c r="B293" s="71" t="inlineStr">
        <is>
          <t>Technology</t>
        </is>
      </c>
      <c r="C293" s="72" t="inlineStr">
        <is>
          <t>B2</t>
        </is>
      </c>
      <c r="D293" s="29" t="inlineStr">
        <is>
          <t>Band B · Specialist / Manager</t>
        </is>
      </c>
      <c r="E293" s="29" t="inlineStr">
        <is>
          <t>Project Manager</t>
        </is>
      </c>
      <c r="F293" s="29" t="inlineStr">
        <is>
          <t>Band B · People Manager</t>
        </is>
      </c>
      <c r="G293" s="29" t="inlineStr">
        <is>
          <t>Project &amp; Program Management</t>
        </is>
      </c>
      <c r="H293" s="29" t="n">
        <v>1</v>
      </c>
      <c r="I293" s="29" t="inlineStr">
        <is>
          <t>Zakiruddin Shaikh</t>
        </is>
      </c>
      <c r="J293" s="34" t="str">
        <f>IFERROR(INDEX(RBD_C,MATCH("Project &amp; Program Management|B2|B-M",RBD_KEY,0)),"M")</f>
        <v>H</v>
      </c>
      <c r="K293" s="35" t="str">
        <f>IFERROR(INDEX(RBD_Au,MATCH("Project &amp; Program Management|B2|B-M",RBD_KEY,0)),"M")</f>
        <v>M</v>
      </c>
      <c r="L293" s="35" t="str">
        <f>IFERROR(INDEX(RBD_Ac,MATCH("Project &amp; Program Management|B2|B-M",RBD_KEY,0)),"M")</f>
        <v>L</v>
      </c>
      <c r="M293" s="35" t="str">
        <f>IFERROR(INDEX(RBD_L,MATCH("Project &amp; Program Management|B2|B-M",RBD_KEY,0)),"M")</f>
        <v>M</v>
      </c>
      <c r="N293" s="35" t="str">
        <f>IFERROR(INDEX(RBD_BI,MATCH("Project &amp; Program Management|B2|B-M",RBD_KEY,0)),"M")</f>
        <v>L</v>
      </c>
      <c r="O293" s="35" t="str">
        <f>IFERROR(INDEX(RBD_Exp,MATCH("Project &amp; Program Management|B2|B-M",RBD_KEY,0)),"M")</f>
        <v>L</v>
      </c>
      <c r="P293" s="35" t="str">
        <f>IFERROR(INDEX(RBD_Edu,MATCH("Project &amp; Program Management|B2|B-M",RBD_KEY,0)),"M")</f>
        <v>L</v>
      </c>
      <c r="Q293" s="73">
        <f>IF(J293="","",IFERROR(INDEX(LMH_PTS,MATCH(J293,LMH_KEY,0))/SUM(IFERROR(INDEX(LMH_PTS,MATCH(J293,LMH_KEY,0)),0),IFERROR(INDEX(LMH_PTS,MATCH(K293,LMH_KEY,0)),0),IFERROR(INDEX(LMH_PTS,MATCH(L293,LMH_KEY,0)),0),IFERROR(INDEX(LMH_PTS,MATCH(M293,LMH_KEY,0)),0),IFERROR(INDEX(LMH_PTS,MATCH(N293,LMH_KEY,0)),0),IFERROR(INDEX(LMH_PTS,MATCH(O293,LMH_KEY,0)),0),IFERROR(INDEX(LMH_PTS,MATCH(P293,LMH_KEY,0)),0)),""))</f>
        <v>0.473684210526316</v>
      </c>
      <c r="R293" s="74">
        <f>IF(K293="","",IFERROR(INDEX(LMH_PTS,MATCH(K293,LMH_KEY,0))/SUM(IFERROR(INDEX(LMH_PTS,MATCH(J293,LMH_KEY,0)),0),IFERROR(INDEX(LMH_PTS,MATCH(K293,LMH_KEY,0)),0),IFERROR(INDEX(LMH_PTS,MATCH(L293,LMH_KEY,0)),0),IFERROR(INDEX(LMH_PTS,MATCH(M293,LMH_KEY,0)),0),IFERROR(INDEX(LMH_PTS,MATCH(N293,LMH_KEY,0)),0),IFERROR(INDEX(LMH_PTS,MATCH(O293,LMH_KEY,0)),0),IFERROR(INDEX(LMH_PTS,MATCH(P293,LMH_KEY,0)),0)),""))</f>
        <v>0.157894736842105</v>
      </c>
      <c r="S293" s="74">
        <f>IF(L293="","",IFERROR(INDEX(LMH_PTS,MATCH(L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T293" s="74">
        <f>IF(M293="","",IFERROR(INDEX(LMH_PTS,MATCH(M293,LMH_KEY,0))/SUM(IFERROR(INDEX(LMH_PTS,MATCH(J293,LMH_KEY,0)),0),IFERROR(INDEX(LMH_PTS,MATCH(K293,LMH_KEY,0)),0),IFERROR(INDEX(LMH_PTS,MATCH(L293,LMH_KEY,0)),0),IFERROR(INDEX(LMH_PTS,MATCH(M293,LMH_KEY,0)),0),IFERROR(INDEX(LMH_PTS,MATCH(N293,LMH_KEY,0)),0),IFERROR(INDEX(LMH_PTS,MATCH(O293,LMH_KEY,0)),0),IFERROR(INDEX(LMH_PTS,MATCH(P293,LMH_KEY,0)),0)),""))</f>
        <v>0.157894736842105</v>
      </c>
      <c r="U293" s="74">
        <f>IF(N293="","",IFERROR(INDEX(LMH_PTS,MATCH(N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V293" s="74">
        <f>IF(O293="","",IFERROR(INDEX(LMH_PTS,MATCH(O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W293" s="74">
        <f>IF(P293="","",IFERROR(INDEX(LMH_PTS,MATCH(P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X293" s="44" t="n"/>
      <c r="Y293" s="38" t="inlineStr">
        <is>
          <t>Consume|Technology|Project Manager|B2|B-M</t>
        </is>
      </c>
    </row>
    <row r="294" ht="18" customHeight="1">
      <c r="A294" s="28" t="inlineStr">
        <is>
          <t>Consume</t>
        </is>
      </c>
      <c r="B294" s="29" t="inlineStr">
        <is>
          <t>Technology</t>
        </is>
      </c>
      <c r="C294" s="72" t="inlineStr">
        <is>
          <t>B1</t>
        </is>
      </c>
      <c r="D294" s="29" t="inlineStr">
        <is>
          <t>Band B · Specialist / Manager</t>
        </is>
      </c>
      <c r="E294" s="29" t="inlineStr">
        <is>
          <t>Lead Software Engineer</t>
        </is>
      </c>
      <c r="F294" s="29" t="inlineStr">
        <is>
          <t>Band B · Specialist / POD Lead</t>
        </is>
      </c>
      <c r="G294" s="29" t="inlineStr">
        <is>
          <t>Engineering &amp; Development</t>
        </is>
      </c>
      <c r="H294" s="29" t="n">
        <v>1</v>
      </c>
      <c r="I294" s="29" t="inlineStr">
        <is>
          <t>Nishant Kohakade</t>
        </is>
      </c>
      <c r="J294" s="34" t="str">
        <f>IFERROR(INDEX(RBD_C,MATCH("Engineering &amp; Development|B1|B-IC",RBD_KEY,0)),"M")</f>
        <v>H</v>
      </c>
      <c r="K294" s="35" t="str">
        <f>IFERROR(INDEX(RBD_Au,MATCH("Engineering &amp; Development|B1|B-IC",RBD_KEY,0)),"M")</f>
        <v>M</v>
      </c>
      <c r="L294" s="35" t="str">
        <f>IFERROR(INDEX(RBD_Ac,MATCH("Engineering &amp; Development|B1|B-IC",RBD_KEY,0)),"M")</f>
        <v>L</v>
      </c>
      <c r="M294" s="35" t="str">
        <f>IFERROR(INDEX(RBD_L,MATCH("Engineering &amp; Development|B1|B-IC",RBD_KEY,0)),"M")</f>
        <v>L</v>
      </c>
      <c r="N294" s="35" t="str">
        <f>IFERROR(INDEX(RBD_BI,MATCH("Engineering &amp; Development|B1|B-IC",RBD_KEY,0)),"M")</f>
        <v>L</v>
      </c>
      <c r="O294" s="35" t="str">
        <f>IFERROR(INDEX(RBD_Exp,MATCH("Engineering &amp; Development|B1|B-IC",RBD_KEY,0)),"M")</f>
        <v>L</v>
      </c>
      <c r="P294" s="35" t="str">
        <f>IFERROR(INDEX(RBD_Edu,MATCH("Engineering &amp; Development|B1|B-IC",RBD_KEY,0)),"M")</f>
        <v>L</v>
      </c>
      <c r="Q294" s="73">
        <f>IF(J294="","",IFERROR(INDEX(LMH_PTS,MATCH(J294,LMH_KEY,0))/SUM(IFERROR(INDEX(LMH_PTS,MATCH(J294,LMH_KEY,0)),0),IFERROR(INDEX(LMH_PTS,MATCH(K294,LMH_KEY,0)),0),IFERROR(INDEX(LMH_PTS,MATCH(L294,LMH_KEY,0)),0),IFERROR(INDEX(LMH_PTS,MATCH(M294,LMH_KEY,0)),0),IFERROR(INDEX(LMH_PTS,MATCH(N294,LMH_KEY,0)),0),IFERROR(INDEX(LMH_PTS,MATCH(O294,LMH_KEY,0)),0),IFERROR(INDEX(LMH_PTS,MATCH(P294,LMH_KEY,0)),0)),""))</f>
        <v>0.529411764705882</v>
      </c>
      <c r="R294" s="74">
        <f>IF(K294="","",IFERROR(INDEX(LMH_PTS,MATCH(K294,LMH_KEY,0))/SUM(IFERROR(INDEX(LMH_PTS,MATCH(J294,LMH_KEY,0)),0),IFERROR(INDEX(LMH_PTS,MATCH(K294,LMH_KEY,0)),0),IFERROR(INDEX(LMH_PTS,MATCH(L294,LMH_KEY,0)),0),IFERROR(INDEX(LMH_PTS,MATCH(M294,LMH_KEY,0)),0),IFERROR(INDEX(LMH_PTS,MATCH(N294,LMH_KEY,0)),0),IFERROR(INDEX(LMH_PTS,MATCH(O294,LMH_KEY,0)),0),IFERROR(INDEX(LMH_PTS,MATCH(P294,LMH_KEY,0)),0)),""))</f>
        <v>0.176470588235294</v>
      </c>
      <c r="S294" s="74">
        <f>IF(L294="","",IFERROR(INDEX(LMH_PTS,MATCH(L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T294" s="74">
        <f>IF(M294="","",IFERROR(INDEX(LMH_PTS,MATCH(M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U294" s="74">
        <f>IF(N294="","",IFERROR(INDEX(LMH_PTS,MATCH(N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V294" s="74">
        <f>IF(O294="","",IFERROR(INDEX(LMH_PTS,MATCH(O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W294" s="74">
        <f>IF(P294="","",IFERROR(INDEX(LMH_PTS,MATCH(P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X294" s="44" t="n"/>
      <c r="Y294" s="38" t="inlineStr">
        <is>
          <t>Consume|Technology|Lead Software Engineer|B1|B-IC</t>
        </is>
      </c>
    </row>
    <row r="295" ht="18" customHeight="1">
      <c r="A295" s="28" t="inlineStr">
        <is>
          <t>Consume</t>
        </is>
      </c>
      <c r="B295" s="29" t="inlineStr">
        <is>
          <t>Technology</t>
        </is>
      </c>
      <c r="C295" s="72" t="inlineStr">
        <is>
          <t>B1</t>
        </is>
      </c>
      <c r="D295" s="29" t="inlineStr">
        <is>
          <t>Band B · Specialist / Manager</t>
        </is>
      </c>
      <c r="E295" s="29" t="inlineStr">
        <is>
          <t>Technical Specialist</t>
        </is>
      </c>
      <c r="F295" s="29" t="inlineStr">
        <is>
          <t>Band B · Specialist / POD Lead</t>
        </is>
      </c>
      <c r="G295" s="29" t="inlineStr">
        <is>
          <t>Engineering &amp; Development</t>
        </is>
      </c>
      <c r="H295" s="29" t="n">
        <v>1</v>
      </c>
      <c r="I295" s="29" t="inlineStr">
        <is>
          <t>Waqar Tarique</t>
        </is>
      </c>
      <c r="J295" s="34" t="str">
        <f>IFERROR(INDEX(RBD_C,MATCH("Engineering &amp; Development|B1|B-IC",RBD_KEY,0)),"M")</f>
        <v>H</v>
      </c>
      <c r="K295" s="35" t="str">
        <f>IFERROR(INDEX(RBD_Au,MATCH("Engineering &amp; Development|B1|B-IC",RBD_KEY,0)),"M")</f>
        <v>M</v>
      </c>
      <c r="L295" s="35" t="str">
        <f>IFERROR(INDEX(RBD_Ac,MATCH("Engineering &amp; Development|B1|B-IC",RBD_KEY,0)),"M")</f>
        <v>L</v>
      </c>
      <c r="M295" s="35" t="str">
        <f>IFERROR(INDEX(RBD_L,MATCH("Engineering &amp; Development|B1|B-IC",RBD_KEY,0)),"M")</f>
        <v>L</v>
      </c>
      <c r="N295" s="35" t="str">
        <f>IFERROR(INDEX(RBD_BI,MATCH("Engineering &amp; Development|B1|B-IC",RBD_KEY,0)),"M")</f>
        <v>L</v>
      </c>
      <c r="O295" s="35" t="str">
        <f>IFERROR(INDEX(RBD_Exp,MATCH("Engineering &amp; Development|B1|B-IC",RBD_KEY,0)),"M")</f>
        <v>L</v>
      </c>
      <c r="P295" s="35" t="str">
        <f>IFERROR(INDEX(RBD_Edu,MATCH("Engineering &amp; Development|B1|B-IC",RBD_KEY,0)),"M")</f>
        <v>L</v>
      </c>
      <c r="Q295" s="73">
        <f>IF(J295="","",IFERROR(INDEX(LMH_PTS,MATCH(J295,LMH_KEY,0))/SUM(IFERROR(INDEX(LMH_PTS,MATCH(J295,LMH_KEY,0)),0),IFERROR(INDEX(LMH_PTS,MATCH(K295,LMH_KEY,0)),0),IFERROR(INDEX(LMH_PTS,MATCH(L295,LMH_KEY,0)),0),IFERROR(INDEX(LMH_PTS,MATCH(M295,LMH_KEY,0)),0),IFERROR(INDEX(LMH_PTS,MATCH(N295,LMH_KEY,0)),0),IFERROR(INDEX(LMH_PTS,MATCH(O295,LMH_KEY,0)),0),IFERROR(INDEX(LMH_PTS,MATCH(P295,LMH_KEY,0)),0)),""))</f>
        <v>0.529411764705882</v>
      </c>
      <c r="R295" s="74">
        <f>IF(K295="","",IFERROR(INDEX(LMH_PTS,MATCH(K295,LMH_KEY,0))/SUM(IFERROR(INDEX(LMH_PTS,MATCH(J295,LMH_KEY,0)),0),IFERROR(INDEX(LMH_PTS,MATCH(K295,LMH_KEY,0)),0),IFERROR(INDEX(LMH_PTS,MATCH(L295,LMH_KEY,0)),0),IFERROR(INDEX(LMH_PTS,MATCH(M295,LMH_KEY,0)),0),IFERROR(INDEX(LMH_PTS,MATCH(N295,LMH_KEY,0)),0),IFERROR(INDEX(LMH_PTS,MATCH(O295,LMH_KEY,0)),0),IFERROR(INDEX(LMH_PTS,MATCH(P295,LMH_KEY,0)),0)),""))</f>
        <v>0.176470588235294</v>
      </c>
      <c r="S295" s="74">
        <f>IF(L295="","",IFERROR(INDEX(LMH_PTS,MATCH(L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T295" s="74">
        <f>IF(M295="","",IFERROR(INDEX(LMH_PTS,MATCH(M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U295" s="74">
        <f>IF(N295="","",IFERROR(INDEX(LMH_PTS,MATCH(N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V295" s="74">
        <f>IF(O295="","",IFERROR(INDEX(LMH_PTS,MATCH(O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W295" s="74">
        <f>IF(P295="","",IFERROR(INDEX(LMH_PTS,MATCH(P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X295" s="44" t="n"/>
      <c r="Y295" s="38" t="inlineStr">
        <is>
          <t>Consume|Technology|Technical Specialist|B1|B-IC</t>
        </is>
      </c>
    </row>
    <row r="296" ht="18" customHeight="1">
      <c r="A296" s="28" t="inlineStr">
        <is>
          <t>Consume</t>
        </is>
      </c>
      <c r="B296" s="29" t="inlineStr">
        <is>
          <t>Technology</t>
        </is>
      </c>
      <c r="C296" s="75" t="inlineStr">
        <is>
          <t>A3</t>
        </is>
      </c>
      <c r="D296" s="29" t="inlineStr">
        <is>
          <t>Band A · Practitioner</t>
        </is>
      </c>
      <c r="E296" s="29" t="inlineStr">
        <is>
          <t>Senior Software Engineer</t>
        </is>
      </c>
      <c r="F296" s="29" t="inlineStr">
        <is>
          <t>Band A · all tracks</t>
        </is>
      </c>
      <c r="G296" s="29" t="inlineStr">
        <is>
          <t>Engineering &amp; Development</t>
        </is>
      </c>
      <c r="H296" s="29" t="n">
        <v>1</v>
      </c>
      <c r="I296" s="29" t="inlineStr">
        <is>
          <t>Safal Gupta</t>
        </is>
      </c>
      <c r="J296" s="34" t="str">
        <f>IFERROR(INDEX(RBD_C,MATCH("Engineering &amp; Development|A3|A",RBD_KEY,0)),"M")</f>
        <v>H</v>
      </c>
      <c r="K296" s="35" t="str">
        <f>IFERROR(INDEX(RBD_Au,MATCH("Engineering &amp; Development|A3|A",RBD_KEY,0)),"M")</f>
        <v>M</v>
      </c>
      <c r="L296" s="35" t="str">
        <f>IFERROR(INDEX(RBD_Ac,MATCH("Engineering &amp; Development|A3|A",RBD_KEY,0)),"M")</f>
        <v>L</v>
      </c>
      <c r="M296" s="35" t="str">
        <f>IFERROR(INDEX(RBD_L,MATCH("Engineering &amp; Development|A3|A",RBD_KEY,0)),"M")</f>
        <v>L</v>
      </c>
      <c r="N296" s="35" t="str">
        <f>IFERROR(INDEX(RBD_BI,MATCH("Engineering &amp; Development|A3|A",RBD_KEY,0)),"M")</f>
        <v>L</v>
      </c>
      <c r="O296" s="35" t="str">
        <f>IFERROR(INDEX(RBD_Exp,MATCH("Engineering &amp; Development|A3|A",RBD_KEY,0)),"M")</f>
        <v>L</v>
      </c>
      <c r="P296" s="35" t="str">
        <f>IFERROR(INDEX(RBD_Edu,MATCH("Engineering &amp; Development|A3|A",RBD_KEY,0)),"M")</f>
        <v>L</v>
      </c>
      <c r="Q296" s="73">
        <f>IF(J296="","",IFERROR(INDEX(LMH_PTS,MATCH(J296,LMH_KEY,0))/SUM(IFERROR(INDEX(LMH_PTS,MATCH(J296,LMH_KEY,0)),0),IFERROR(INDEX(LMH_PTS,MATCH(K296,LMH_KEY,0)),0),IFERROR(INDEX(LMH_PTS,MATCH(L296,LMH_KEY,0)),0),IFERROR(INDEX(LMH_PTS,MATCH(M296,LMH_KEY,0)),0),IFERROR(INDEX(LMH_PTS,MATCH(N296,LMH_KEY,0)),0),IFERROR(INDEX(LMH_PTS,MATCH(O296,LMH_KEY,0)),0),IFERROR(INDEX(LMH_PTS,MATCH(P296,LMH_KEY,0)),0)),""))</f>
        <v>0.529411764705882</v>
      </c>
      <c r="R296" s="74">
        <f>IF(K296="","",IFERROR(INDEX(LMH_PTS,MATCH(K296,LMH_KEY,0))/SUM(IFERROR(INDEX(LMH_PTS,MATCH(J296,LMH_KEY,0)),0),IFERROR(INDEX(LMH_PTS,MATCH(K296,LMH_KEY,0)),0),IFERROR(INDEX(LMH_PTS,MATCH(L296,LMH_KEY,0)),0),IFERROR(INDEX(LMH_PTS,MATCH(M296,LMH_KEY,0)),0),IFERROR(INDEX(LMH_PTS,MATCH(N296,LMH_KEY,0)),0),IFERROR(INDEX(LMH_PTS,MATCH(O296,LMH_KEY,0)),0),IFERROR(INDEX(LMH_PTS,MATCH(P296,LMH_KEY,0)),0)),""))</f>
        <v>0.176470588235294</v>
      </c>
      <c r="S296" s="74">
        <f>IF(L296="","",IFERROR(INDEX(LMH_PTS,MATCH(L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T296" s="74">
        <f>IF(M296="","",IFERROR(INDEX(LMH_PTS,MATCH(M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U296" s="74">
        <f>IF(N296="","",IFERROR(INDEX(LMH_PTS,MATCH(N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V296" s="74">
        <f>IF(O296="","",IFERROR(INDEX(LMH_PTS,MATCH(O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W296" s="74">
        <f>IF(P296="","",IFERROR(INDEX(LMH_PTS,MATCH(P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X296" s="44" t="n"/>
      <c r="Y296" s="38" t="inlineStr">
        <is>
          <t>Consume|Technology|Senior Software Engineer|A3|A</t>
        </is>
      </c>
    </row>
    <row r="297" ht="18" customHeight="1">
      <c r="A297" s="28" t="inlineStr">
        <is>
          <t>Consume</t>
        </is>
      </c>
      <c r="B297" s="29" t="inlineStr">
        <is>
          <t>Technology</t>
        </is>
      </c>
      <c r="C297" s="75" t="inlineStr">
        <is>
          <t>A3</t>
        </is>
      </c>
      <c r="D297" s="29" t="inlineStr">
        <is>
          <t>Band A · Practitioner</t>
        </is>
      </c>
      <c r="E297" s="29" t="inlineStr">
        <is>
          <t>Technical Specialist</t>
        </is>
      </c>
      <c r="F297" s="29" t="inlineStr">
        <is>
          <t>Band A · all tracks</t>
        </is>
      </c>
      <c r="G297" s="29" t="inlineStr">
        <is>
          <t>Engineering &amp; Development</t>
        </is>
      </c>
      <c r="H297" s="29" t="n">
        <v>1</v>
      </c>
      <c r="I297" s="29" t="inlineStr">
        <is>
          <t>Sharad Mane</t>
        </is>
      </c>
      <c r="J297" s="34" t="str">
        <f>IFERROR(INDEX(RBD_C,MATCH("Engineering &amp; Development|A3|A",RBD_KEY,0)),"M")</f>
        <v>H</v>
      </c>
      <c r="K297" s="35" t="str">
        <f>IFERROR(INDEX(RBD_Au,MATCH("Engineering &amp; Development|A3|A",RBD_KEY,0)),"M")</f>
        <v>M</v>
      </c>
      <c r="L297" s="35" t="str">
        <f>IFERROR(INDEX(RBD_Ac,MATCH("Engineering &amp; Development|A3|A",RBD_KEY,0)),"M")</f>
        <v>L</v>
      </c>
      <c r="M297" s="35" t="str">
        <f>IFERROR(INDEX(RBD_L,MATCH("Engineering &amp; Development|A3|A",RBD_KEY,0)),"M")</f>
        <v>L</v>
      </c>
      <c r="N297" s="35" t="str">
        <f>IFERROR(INDEX(RBD_BI,MATCH("Engineering &amp; Development|A3|A",RBD_KEY,0)),"M")</f>
        <v>L</v>
      </c>
      <c r="O297" s="35" t="str">
        <f>IFERROR(INDEX(RBD_Exp,MATCH("Engineering &amp; Development|A3|A",RBD_KEY,0)),"M")</f>
        <v>L</v>
      </c>
      <c r="P297" s="35" t="str">
        <f>IFERROR(INDEX(RBD_Edu,MATCH("Engineering &amp; Development|A3|A",RBD_KEY,0)),"M")</f>
        <v>L</v>
      </c>
      <c r="Q297" s="73">
        <f>IF(J297="","",IFERROR(INDEX(LMH_PTS,MATCH(J297,LMH_KEY,0))/SUM(IFERROR(INDEX(LMH_PTS,MATCH(J297,LMH_KEY,0)),0),IFERROR(INDEX(LMH_PTS,MATCH(K297,LMH_KEY,0)),0),IFERROR(INDEX(LMH_PTS,MATCH(L297,LMH_KEY,0)),0),IFERROR(INDEX(LMH_PTS,MATCH(M297,LMH_KEY,0)),0),IFERROR(INDEX(LMH_PTS,MATCH(N297,LMH_KEY,0)),0),IFERROR(INDEX(LMH_PTS,MATCH(O297,LMH_KEY,0)),0),IFERROR(INDEX(LMH_PTS,MATCH(P297,LMH_KEY,0)),0)),""))</f>
        <v>0.529411764705882</v>
      </c>
      <c r="R297" s="74">
        <f>IF(K297="","",IFERROR(INDEX(LMH_PTS,MATCH(K297,LMH_KEY,0))/SUM(IFERROR(INDEX(LMH_PTS,MATCH(J297,LMH_KEY,0)),0),IFERROR(INDEX(LMH_PTS,MATCH(K297,LMH_KEY,0)),0),IFERROR(INDEX(LMH_PTS,MATCH(L297,LMH_KEY,0)),0),IFERROR(INDEX(LMH_PTS,MATCH(M297,LMH_KEY,0)),0),IFERROR(INDEX(LMH_PTS,MATCH(N297,LMH_KEY,0)),0),IFERROR(INDEX(LMH_PTS,MATCH(O297,LMH_KEY,0)),0),IFERROR(INDEX(LMH_PTS,MATCH(P297,LMH_KEY,0)),0)),""))</f>
        <v>0.176470588235294</v>
      </c>
      <c r="S297" s="74">
        <f>IF(L297="","",IFERROR(INDEX(LMH_PTS,MATCH(L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T297" s="74">
        <f>IF(M297="","",IFERROR(INDEX(LMH_PTS,MATCH(M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U297" s="74">
        <f>IF(N297="","",IFERROR(INDEX(LMH_PTS,MATCH(N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V297" s="74">
        <f>IF(O297="","",IFERROR(INDEX(LMH_PTS,MATCH(O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W297" s="74">
        <f>IF(P297="","",IFERROR(INDEX(LMH_PTS,MATCH(P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X297" s="44" t="n"/>
      <c r="Y297" s="38" t="inlineStr">
        <is>
          <t>Consume|Technology|Technical Specialist|A3|A</t>
        </is>
      </c>
    </row>
  </sheetData>
  <autoFilter ref="A6:Y297"/>
  <mergeCells count="8">
    <mergeCell ref="P4:Q4"/>
    <mergeCell ref="E4:F4"/>
    <mergeCell ref="A4:D4"/>
    <mergeCell ref="A2:N2"/>
    <mergeCell ref="M4:O4"/>
    <mergeCell ref="H4:I4"/>
    <mergeCell ref="K4:L4"/>
    <mergeCell ref="R4:S4"/>
  </mergeCells>
  <dataValidations count="1">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Administration, Legal &amp; Secretarial</t>
        </is>
      </c>
      <c r="O1" s="7" t="inlineStr">
        <is>
          <t>◂ Start</t>
        </is>
      </c>
    </row>
    <row r="2" ht="30" customHeight="1">
      <c r="A2" s="2" t="inlineStr">
        <is>
          <t>What Low, Medium and High mean for each of the seven parameters at every level of Administration, Legal &amp; Secretarial,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Company Secretarial &amp; Legal · Company Secretary – POD Lead</t>
        </is>
      </c>
      <c r="F13" s="34" t="inlineStr">
        <is>
          <t>H</t>
        </is>
      </c>
      <c r="G13" s="84" t="inlineStr">
        <is>
          <t>Works at B3: Sets standards for a practice; cross-team problems</t>
        </is>
      </c>
      <c r="H13" s="84" t="inlineStr">
        <is>
          <t>Ambiguous, cross-product problems · in Administration, Legal &amp; Secretarial: Secretarial · Legal</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Handles statutory filings, board matters, contracts and legal compliance.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Company Secretarial &amp; Legal · Company Secretary – POD Lead</t>
        </is>
      </c>
      <c r="F14" s="34" t="inlineStr">
        <is>
          <t>H</t>
        </is>
      </c>
      <c r="G14" s="84" t="inlineStr">
        <is>
          <t>Works at B3: Sets standards for a practice; cross-team problems</t>
        </is>
      </c>
      <c r="H14" s="84" t="inlineStr">
        <is>
          <t>Ambiguous, cross-product problems · in Administration, Legal &amp; Secretarial: Secretarial · Legal</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Handles statutory filings, board matters, contracts and legal compliance.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Administration &amp; Facilities · Manager – Administration</t>
        </is>
      </c>
      <c r="F18" s="34" t="inlineStr">
        <is>
          <t>H</t>
        </is>
      </c>
      <c r="G18" s="84" t="inlineStr">
        <is>
          <t>Works at B1: Domain specialist work</t>
        </is>
      </c>
      <c r="H18" s="84" t="inlineStr">
        <is>
          <t>Hardest problems in the domain · in Administration, Legal &amp; Secretarial: Administration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Manages travel, facilities, office administration and vendors.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Administration &amp; Facilities · Manager – Administration</t>
        </is>
      </c>
      <c r="F19" s="34" t="inlineStr">
        <is>
          <t>H</t>
        </is>
      </c>
      <c r="G19" s="84" t="inlineStr">
        <is>
          <t>Works at B1: Domain specialist work</t>
        </is>
      </c>
      <c r="H19" s="84" t="inlineStr">
        <is>
          <t>Hardest problems in the domain · in Administration, Legal &amp; Secretarial: Administration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Manages travel, facilities, office administration and vendors.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Administration &amp; Facilities · Senior Administration Executive
Company Secretarial &amp; Legal · Senior Secretarial Executive</t>
        </is>
      </c>
      <c r="F22" s="34" t="inlineStr">
        <is>
          <t>H</t>
        </is>
      </c>
      <c r="G22" s="84" t="inlineStr">
        <is>
          <t>Works at A2: Standard work of the discipline</t>
        </is>
      </c>
      <c r="H22" s="84" t="inlineStr">
        <is>
          <t>Varied and non-standard work; handles exceptions · in Administration, Legal &amp; Secretarial: Administration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Manages travel, facilities, office administration and vendors. At A3: varied work; reviews juniors; go-to for a process.</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Company Secretarial &amp; Legal · Intern – Company Secretarial &amp; Legal</t>
        </is>
      </c>
      <c r="F24" s="34" t="inlineStr">
        <is>
          <t>H</t>
        </is>
      </c>
      <c r="G24" s="84" t="inlineStr">
        <is>
          <t>Not yet at the entry standard · in induction</t>
        </is>
      </c>
      <c r="H24" s="84" t="inlineStr">
        <is>
          <t>Learning; follows worked examples · in Administration, Legal &amp; Secretarial: Secretarial · Legal</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Handles statutory filings, board matters, contracts and legal compliance. At A1: learning the role; all work reviewed.</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Business Analysis</t>
        </is>
      </c>
      <c r="O1" s="7" t="inlineStr">
        <is>
          <t>◂ Start</t>
        </is>
      </c>
    </row>
    <row r="2" ht="30" customHeight="1">
      <c r="A2" s="2" t="inlineStr">
        <is>
          <t>What Low, Medium and High mean for each of the seven parameters at every level of Business Analysis,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Business Analysis · Senior Business Analysis Specialist – POD Lead</t>
        </is>
      </c>
      <c r="F18" s="34" t="inlineStr">
        <is>
          <t>H</t>
        </is>
      </c>
      <c r="G18" s="84" t="inlineStr">
        <is>
          <t>Works at B1: Domain specialist work</t>
        </is>
      </c>
      <c r="H18" s="84" t="inlineStr">
        <is>
          <t>Hardest problems in the domain · in Business Analysis: Business Analysis · Documentation · Requirement analysis · Stakeholder Management · communication · XBRL · Requirement Elicitation · generative AI</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Gathers and documents requirements · BRD/FRD/SRS/user stories, configures solutions and supports UAT and releases.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Business Analysis · Senior Business Analysis Specialist – POD Lead</t>
        </is>
      </c>
      <c r="F19" s="34" t="inlineStr">
        <is>
          <t>H</t>
        </is>
      </c>
      <c r="G19" s="84" t="inlineStr">
        <is>
          <t>Works at B1: Domain specialist work</t>
        </is>
      </c>
      <c r="H19" s="84" t="inlineStr">
        <is>
          <t>Hardest problems in the domain · in Business Analysis: Business Analysis · Documentation · Requirement analysis · Stakeholder Management · communication · XBRL · Requirement Elicitation · generative AI</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Gathers and documents requirements · BRD/FRD/SRS/user stories, configures solutions and supports UAT and releases.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Business Analysis · Business Analysis Specialist · Business Analysis Specialist – POD Lead · Senior Business Analysis Specialist
Business Analysis · Team Lead – Business Analysis</t>
        </is>
      </c>
      <c r="F20" s="34" t="inlineStr">
        <is>
          <t>H</t>
        </is>
      </c>
      <c r="G20" s="84" t="inlineStr">
        <is>
          <t>Works at A3: Varied and non-standard work; handles exceptions</t>
        </is>
      </c>
      <c r="H20" s="84" t="inlineStr">
        <is>
          <t>Domain specialist work · in Business Analysis: Business Analysis</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releases · satisfaction · delivery · assigned · uat · requirement</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Gathers and documents requirements · BRD/FRD/SRS/user stories, configures solutions and supports UAT and releases.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Business Analysis · Business Analysis Specialist · Business Analysis Specialist – POD Lead · Senior Business Analysis Specialist
Business Analysis · Team Lead – Business Analysis</t>
        </is>
      </c>
      <c r="F21" s="34" t="inlineStr">
        <is>
          <t>H</t>
        </is>
      </c>
      <c r="G21" s="84" t="inlineStr">
        <is>
          <t>Works at A3: Varied and non-standard work; handles exceptions</t>
        </is>
      </c>
      <c r="H21" s="84" t="inlineStr">
        <is>
          <t>Domain specialist work · in Business Analysis: Business Analysis</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releases · satisfaction · delivery · assigned · uat · requirement</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Gathers and documents requirements · BRD/FRD/SRS/user stories, configures solutions and supports UAT and releases.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Business Analysis · Senior Business Analyst · Business Analysis Specialist</t>
        </is>
      </c>
      <c r="F22" s="34" t="inlineStr">
        <is>
          <t>H</t>
        </is>
      </c>
      <c r="G22" s="84" t="inlineStr">
        <is>
          <t>Works at A2: Standard work of the discipline</t>
        </is>
      </c>
      <c r="H22" s="84" t="inlineStr">
        <is>
          <t>Varied and non-standard work; handles exceptions · in Business Analysis: Business Analysis · Documentation · Stakeholder management · Requirement analysis · communication · Communication skills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delivery · assigned · uat · project · requests · satisfaction</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Gathers and documents requirements · BRD/FRD/SRS/user stories, configures solutions and supports UAT and releases. At A3: varied work; reviews juniors; go-to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Business Analysis · Business Analyst</t>
        </is>
      </c>
      <c r="F23" s="34" t="inlineStr">
        <is>
          <t>H</t>
        </is>
      </c>
      <c r="G23" s="84" t="inlineStr">
        <is>
          <t>Works at A1: Learning; follows worked examples</t>
        </is>
      </c>
      <c r="H23" s="84" t="inlineStr">
        <is>
          <t>Standard work of the discipline · in Business Analysis: Business Analysis · Documentation · Requirement analysis · Stakeholder Management · communication · XBRL · Requirement Elicitation · generative AI</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Gathers and documents requirements · BRD/FRD/SRS/user stories, configures solutions and supports UAT and releases.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Business Analysis · Trainee Business Analyst</t>
        </is>
      </c>
      <c r="F24" s="34" t="inlineStr">
        <is>
          <t>H</t>
        </is>
      </c>
      <c r="G24" s="84" t="inlineStr">
        <is>
          <t>Not yet at the entry standard · in induction</t>
        </is>
      </c>
      <c r="H24" s="84" t="inlineStr">
        <is>
          <t>Learning; follows worked examples · in Business Analysis: Business Analysis · Documentation · Requirement analysis · Stakeholder Management · communication · XBRL · Requirement Elicitation · generative AI</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Gathers and documents requirements · BRD/FRD/SRS/user stories, configures solutions and supports UAT and releases.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Consulting &amp; Professional Services</t>
        </is>
      </c>
      <c r="O1" s="7" t="inlineStr">
        <is>
          <t>◂ Start</t>
        </is>
      </c>
    </row>
    <row r="2" ht="30" customHeight="1">
      <c r="A2" s="2" t="inlineStr">
        <is>
          <t>What Low, Medium and High mean for each of the seven parameters at every level of Consulting &amp; Professional Services,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Professional Services Leadership · Head – Consulting</t>
        </is>
      </c>
      <c r="F11" s="34" t="inlineStr">
        <is>
          <t>H</t>
        </is>
      </c>
      <c r="G11" s="84" t="inlineStr">
        <is>
          <t>Works at C1: Ambiguous, cross-product problems</t>
        </is>
      </c>
      <c r="H11" s="84" t="inlineStr">
        <is>
          <t>Function-wide or company-wide problems; creates methods and standards · in Consulting &amp; Professional Services: XBRL Domain</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an assisted-services / consulting practice.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Professional Services Leadership · Head – Consulting</t>
        </is>
      </c>
      <c r="F12" s="34" t="inlineStr">
        <is>
          <t>H</t>
        </is>
      </c>
      <c r="G12" s="84" t="inlineStr">
        <is>
          <t>Works at C1: Ambiguous, cross-product problems</t>
        </is>
      </c>
      <c r="H12" s="84" t="inlineStr">
        <is>
          <t>Function-wide or company-wide problems; creates methods and standards · in Consulting &amp; Professional Services: XBRL Domain</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an assisted-services / consulting practice.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Professional Services Leadership · Associate Head – XBRL Assisted Services · Associate Head – Assisted Services</t>
        </is>
      </c>
      <c r="F13" s="34" t="inlineStr">
        <is>
          <t>H</t>
        </is>
      </c>
      <c r="G13" s="84" t="inlineStr">
        <is>
          <t>Works at B3: Sets standards for a practice; cross-team problems</t>
        </is>
      </c>
      <c r="H13" s="84" t="inlineStr">
        <is>
          <t>Ambiguous, cross-product problems · in Consulting &amp; Professional Services: XBRL Domain</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an assisted-services / consulting practice.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Professional Services Leadership · Associate Head – XBRL Assisted Services · Associate Head – Assisted Services</t>
        </is>
      </c>
      <c r="F14" s="34" t="inlineStr">
        <is>
          <t>H</t>
        </is>
      </c>
      <c r="G14" s="84" t="inlineStr">
        <is>
          <t>Works at B3: Sets standards for a practice; cross-team problems</t>
        </is>
      </c>
      <c r="H14" s="84" t="inlineStr">
        <is>
          <t>Ambiguous, cross-product problems · in Consulting &amp; Professional Services: XBRL Domain</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an assisted-services / consulting practice.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Service Delivery Operations · Senior Manager – Service Delivery
Taxonomy Design &amp; Regulatory Consulting · Senior Manager – Taxonomy Consulting · Manager – Taxonomy Consulting
Taxonomy Design &amp; Regulatory Consulting · Senior Taxonomy Specialist
XBRL Tagging, Conversion &amp; Filing · Manager – Assisted Services · Senior Manager – Assisted Services</t>
        </is>
      </c>
      <c r="F18" s="34" t="inlineStr">
        <is>
          <t>H</t>
        </is>
      </c>
      <c r="G18" s="84" t="inlineStr">
        <is>
          <t>Works at B1: Domain specialist work</t>
        </is>
      </c>
      <c r="H18" s="84" t="inlineStr">
        <is>
          <t>Hardest problems in the domain · in Consulting &amp; Professional Services: XBRL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 · KRA themes: Common themes in manager-set KRAs: ifile business · analyst contribute · resolve · domain delivery · serve analyst · milestones on-time</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Allocates work and shifts, tracks deliveries, prepares billing inputs and services MIS. At B2: deep domain expertise, or one team.
Common themes in sub-family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Service Delivery Operations · Senior Manager – Service Delivery
Taxonomy Design &amp; Regulatory Consulting · Senior Manager – Taxonomy Consulting · Manager – Taxonomy Consulting
Taxonomy Design &amp; Regulatory Consulting · Senior Taxonomy Specialist
XBRL Tagging, Conversion &amp; Filing · Manager – Assisted Services · Senior Manager – Assisted Services</t>
        </is>
      </c>
      <c r="F19" s="34" t="inlineStr">
        <is>
          <t>H</t>
        </is>
      </c>
      <c r="G19" s="84" t="inlineStr">
        <is>
          <t>Works at B1: Domain specialist work</t>
        </is>
      </c>
      <c r="H19" s="84" t="inlineStr">
        <is>
          <t>Hardest problems in the domain · in Consulting &amp; Professional Services: XBRL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 · KRA themes: Common themes in manager-set KRAs: ifile business · analyst contribute · resolve · domain delivery · serve analyst · milestones on-time</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Allocates work and shifts, tracks deliveries, prepares billing inputs and services MIS. At B2: deep domain expertise, or one team.
Common themes in sub-family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Service Delivery Operations · Service Delivery Specialist
Taxonomy Design &amp; Regulatory Consulting · Taxonomy Specialist · Senior Taxonomy Specialist
XBRL Tagging, Conversion &amp; Filing · Team Lead – Assisted Services
XBRL Tagging, Conversion &amp; Filing · XBRL Specialist · XBRL Specialist – POD Lead</t>
        </is>
      </c>
      <c r="F20" s="34" t="inlineStr">
        <is>
          <t>H</t>
        </is>
      </c>
      <c r="G20" s="84" t="inlineStr">
        <is>
          <t>Works at A3: Varied and non-standard work; handles exceptions</t>
        </is>
      </c>
      <c r="H20" s="84" t="inlineStr">
        <is>
          <t>Domain specialist work · in Consulting &amp; Professional Services: XBRL Domain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 · KRA themes: Common themes in manager-set KRAs: resolve · business · excel webform · deliver assigned · defect · critical</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Allocates work and shifts, tracks deliveries, prepares billing inputs and services MIS. At B1: a domain / module, or a small team.
Common themes in sub-family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Service Delivery Operations · Service Delivery Specialist
Taxonomy Design &amp; Regulatory Consulting · Taxonomy Specialist · Senior Taxonomy Specialist
XBRL Tagging, Conversion &amp; Filing · Team Lead – Assisted Services
XBRL Tagging, Conversion &amp; Filing · XBRL Specialist · XBRL Specialist – POD Lead</t>
        </is>
      </c>
      <c r="F21" s="34" t="inlineStr">
        <is>
          <t>H</t>
        </is>
      </c>
      <c r="G21" s="84" t="inlineStr">
        <is>
          <t>Works at A3: Varied and non-standard work; handles exceptions</t>
        </is>
      </c>
      <c r="H21" s="84" t="inlineStr">
        <is>
          <t>Domain specialist work · in Consulting &amp; Professional Services: XBRL Domain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 · KRA themes: Common themes in manager-set KRAs: resolve · business · excel webform · deliver assigned · defect · critical</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Allocates work and shifts, tracks deliveries, prepares billing inputs and services MIS. At B1: a domain / module, or a small team.
Common themes in sub-family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Service Delivery Operations · Senior Service Delivery Analyst
Taxonomy Design &amp; Regulatory Consulting · Senior Taxonomy Analyst · Taxonomy Specialist
XBRL Tagging, Conversion &amp; Filing · Senior Financial Analyst · XBRL Specialist</t>
        </is>
      </c>
      <c r="F22" s="34" t="inlineStr">
        <is>
          <t>H</t>
        </is>
      </c>
      <c r="G22" s="84" t="inlineStr">
        <is>
          <t>Works at A2: Standard work of the discipline</t>
        </is>
      </c>
      <c r="H22" s="84" t="inlineStr">
        <is>
          <t>Varied and non-standard work; handles exceptions · in Consulting &amp; Professional Services: XBRL Domain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resolve · defect · deliver · complete · modules · testing</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Allocates work and shifts, tracks deliveries, prepares billing inputs and services MIS. At A3: varied work; reviews juniors; go-to for a process.
Common themes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Taxonomy Design &amp; Regulatory Consulting · Taxonomy Analyst
XBRL Tagging, Conversion &amp; Filing · Financial Analyst</t>
        </is>
      </c>
      <c r="F23" s="34" t="inlineStr">
        <is>
          <t>H</t>
        </is>
      </c>
      <c r="G23" s="84" t="inlineStr">
        <is>
          <t>Works at A1: Learning; follows worked examples</t>
        </is>
      </c>
      <c r="H23" s="84" t="inlineStr">
        <is>
          <t>Standard work of the discipline · in Consulting &amp; Professional Services: XBRL domain · XBRL specifications · analytical skills · Domain knowledge · XBRL · XBRl knowledge · Academic strength</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 · KRA themes: Common themes in manager-set KRAs: complete iris · resolve · cycle full · accuracy targets · maintained · logs document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Designs XBRL/SDMX taxonomies, return templates, validation rules and SRS for regulators; supports implementation and CRs.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Customer Success &amp; Support</t>
        </is>
      </c>
      <c r="O1" s="7" t="inlineStr">
        <is>
          <t>◂ Start</t>
        </is>
      </c>
    </row>
    <row r="2" ht="30" customHeight="1">
      <c r="A2" s="2" t="inlineStr">
        <is>
          <t>What Low, Medium and High mean for each of the seven parameters at every level of Customer Success &amp; Support, and how much each parameter counts · main type of work: Customer support &amp; success.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Customer Success Leadership · Associate Head – Customer Success</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 · purpose: Leads the customer success &amp; support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Customer Success Leadership · Associate Head – Customer Success</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 · purpose: Leads the customer success &amp; support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Application &amp; Product Support · Support Manager
Customer Success &amp; Account Management · Senior Customer Success Specialist · Senior Customer Success Specialist – POD Lead · Customer Success Specialist</t>
        </is>
      </c>
      <c r="F18" s="34" t="inlineStr">
        <is>
          <t>H</t>
        </is>
      </c>
      <c r="G18" s="84" t="inlineStr">
        <is>
          <t>Works at B1: Domain specialist work</t>
        </is>
      </c>
      <c r="H18" s="84" t="inlineStr">
        <is>
          <t>Hardest problems in the domain · in Customer Success &amp; Support: Tech Support · Domain Support · Communication · Domain Knowledge · Business Analysis · Platform knowledge · Sales</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 · purpose: Resolves client product and filing issues, troubleshoots, handles UAT/change requests and escalates to engineering.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Application &amp; Product Support · Support Manager
Customer Success &amp; Account Management · Senior Customer Success Specialist · Senior Customer Success Specialist – POD Lead · Customer Success Specialist</t>
        </is>
      </c>
      <c r="F19" s="34" t="inlineStr">
        <is>
          <t>H</t>
        </is>
      </c>
      <c r="G19" s="84" t="inlineStr">
        <is>
          <t>Works at B1: Domain specialist work</t>
        </is>
      </c>
      <c r="H19" s="84" t="inlineStr">
        <is>
          <t>Hardest problems in the domain · in Customer Success &amp; Support: Tech Support · Domain Support · Communication · Domain Knowledge · Business Analysis · Platform knowledge · Sales</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 · purpose: Resolves client product and filing issues, troubleshoots, handles UAT/change requests and escalates to engineering.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Application &amp; Product Support · Support Specialist · Functional Specialist
Customer Success &amp; Account Management · Senior Customer Success Specialist – POD Lead · Senior Customer Success Specialist
Customer Training &amp; Enablement · Customer Enablement Specialist – POD Lead</t>
        </is>
      </c>
      <c r="F20" s="34" t="inlineStr">
        <is>
          <t>H</t>
        </is>
      </c>
      <c r="G20" s="84" t="inlineStr">
        <is>
          <t>Works at A3: Varied and non-standard work; handles exceptions</t>
        </is>
      </c>
      <c r="H20" s="84" t="inlineStr">
        <is>
          <t>Domain specialist work · in Customer Success &amp; Support: Tech Support</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 · KRA themes: Common themes in manager-set KRAs: accounts · csat · documentation · reduce · drive · keep</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Resolves client product and filing issues, troubleshoots, handles UAT/change requests and escalates to engineering. At B1: a domain / module, or a small team.</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Application &amp; Product Support · Support Specialist · Functional Specialist
Customer Success &amp; Account Management · Senior Customer Success Specialist – POD Lead · Senior Customer Success Specialist
Customer Training &amp; Enablement · Customer Enablement Specialist – POD Lead</t>
        </is>
      </c>
      <c r="F21" s="34" t="inlineStr">
        <is>
          <t>H</t>
        </is>
      </c>
      <c r="G21" s="84" t="inlineStr">
        <is>
          <t>Works at A3: Varied and non-standard work; handles exceptions</t>
        </is>
      </c>
      <c r="H21" s="84" t="inlineStr">
        <is>
          <t>Domain specialist work · in Customer Success &amp; Support: Tech Support</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 · KRA themes: Common themes in manager-set KRAs: accounts · csat · documentation · reduce · drive · keep</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Resolves client product and filing issues, troubleshoots, handles UAT/change requests and escalates to engineering. At B1: a domain / module, or a small team.</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Application &amp; Product Support · Senior Support Executive · Support Specialist
Customer Success &amp; Account Management · Senior Customer Success Executive</t>
        </is>
      </c>
      <c r="F22" s="34" t="inlineStr">
        <is>
          <t>H</t>
        </is>
      </c>
      <c r="G22" s="84" t="inlineStr">
        <is>
          <t>Works at A2: Standard work of the discipline</t>
        </is>
      </c>
      <c r="H22" s="84" t="inlineStr">
        <is>
          <t>Varied and non-standard work; handles exceptions · in Customer Success &amp; Support: Tech Support · Domain Support · Domain Knowledge · Platform knowledge · Business Analysis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resolve · accounts · maintain accurate · accurate up-to-date · escalations owned · tickets/queries sla</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Resolves client product and filing issues, troubleshoots, handles UAT/change requests and escalates to engineering. At A3: varied work; reviews juniors; go-to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Application &amp; Product Support · Support Executive</t>
        </is>
      </c>
      <c r="F23" s="34" t="inlineStr">
        <is>
          <t>H</t>
        </is>
      </c>
      <c r="G23" s="84" t="inlineStr">
        <is>
          <t>Works at A1: Learning; follows worked examples</t>
        </is>
      </c>
      <c r="H23" s="84" t="inlineStr">
        <is>
          <t>Standard work of the discipline · in Customer Success &amp; Support: Tech Support · Domain Support · Communication · Domain Knowledge · Business Analysis · Platform knowledge · Sales</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Resolves client product and filing issues, troubleshoots, handles UAT/change requests and escalates to engineering.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Application &amp; Product Support · Intern – Application &amp; Product Support</t>
        </is>
      </c>
      <c r="F24" s="34" t="inlineStr">
        <is>
          <t>H</t>
        </is>
      </c>
      <c r="G24" s="84" t="inlineStr">
        <is>
          <t>Not yet at the entry standard · in induction</t>
        </is>
      </c>
      <c r="H24" s="84" t="inlineStr">
        <is>
          <t>Learning; follows worked examples · in Customer Success &amp; Support: Tech Support · Domain Support · Communication · Domain Knowledge · Business Analysis · Platform knowledge · Sales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 · purpose: Resolves client product and filing issues, troubleshoots, handles UAT/change requests and escalates to engineering.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Data &amp; Analytics</t>
        </is>
      </c>
      <c r="O1" s="7" t="inlineStr">
        <is>
          <t>◂ Start</t>
        </is>
      </c>
    </row>
    <row r="2" ht="30" customHeight="1">
      <c r="A2" s="2" t="inlineStr">
        <is>
          <t>What Low, Medium and High mean for each of the seven parameters at every level of Data &amp; Analytics,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Financial Data Processing · Data Operations Manager</t>
        </is>
      </c>
      <c r="F18" s="34" t="inlineStr">
        <is>
          <t>H</t>
        </is>
      </c>
      <c r="G18" s="84" t="inlineStr">
        <is>
          <t>Works at B1: Domain specialist work</t>
        </is>
      </c>
      <c r="H18" s="84" t="inlineStr">
        <is>
          <t>Hardest problems in the domain · in Data &amp; Analytics: Data processing · Mutual fund · Data validation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Processes and delivers mutual-fund, scheme and capital-market data feeds and reports. At B2: deep domain expertise, or one team.
Common themes in sub-family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Financial Data Processing · Data Operations Manager</t>
        </is>
      </c>
      <c r="F19" s="34" t="inlineStr">
        <is>
          <t>H</t>
        </is>
      </c>
      <c r="G19" s="84" t="inlineStr">
        <is>
          <t>Works at B1: Domain specialist work</t>
        </is>
      </c>
      <c r="H19" s="84" t="inlineStr">
        <is>
          <t>Hardest problems in the domain · in Data &amp; Analytics: Data processing · Mutual fund · Data validation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Processes and delivers mutual-fund, scheme and capital-market data feeds and reports. At B2: deep domain expertise, or one team.
Common themes in sub-family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Financial Data Processing · Data Specialist</t>
        </is>
      </c>
      <c r="F20" s="34" t="inlineStr">
        <is>
          <t>H</t>
        </is>
      </c>
      <c r="G20" s="84" t="inlineStr">
        <is>
          <t>Works at A3: Varied and non-standard work; handles exceptions</t>
        </is>
      </c>
      <c r="H20" s="84" t="inlineStr">
        <is>
          <t>Domain specialist work · in Data &amp; Analytics: Data processing · Mutual fund · Data validation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Processes and delivers mutual-fund, scheme and capital-market data feeds and reports. At B1: a domain / module, or a small team.
Common themes in sub-family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Financial Data Processing · Data Specialist</t>
        </is>
      </c>
      <c r="F21" s="34" t="inlineStr">
        <is>
          <t>H</t>
        </is>
      </c>
      <c r="G21" s="84" t="inlineStr">
        <is>
          <t>Works at A3: Varied and non-standard work; handles exceptions</t>
        </is>
      </c>
      <c r="H21" s="84" t="inlineStr">
        <is>
          <t>Domain specialist work · in Data &amp; Analytics: Data processing · Mutual fund · Data validation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Processes and delivers mutual-fund, scheme and capital-market data feeds and reports. At B1: a domain / module, or a small team.
Common themes in sub-family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Financial Data Processing · Senior Data Analyst
MIS &amp; Business Reporting · MIS Specialist</t>
        </is>
      </c>
      <c r="F22" s="34" t="inlineStr">
        <is>
          <t>H</t>
        </is>
      </c>
      <c r="G22" s="84" t="inlineStr">
        <is>
          <t>Works at A2: Standard work of the discipline</t>
        </is>
      </c>
      <c r="H22" s="84" t="inlineStr">
        <is>
          <t>Varied and non-standard work; handles exceptions · in Data &amp; Analytics: Data Processing · Data validation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business-day response · manual · contribute · delivery time · provide solutions · complete assigned</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Processes and delivers mutual-fund, scheme and capital-market data feeds and reports. At A3: varied work; reviews juniors; go-to for a process.
Common themes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MIS &amp; Business Reporting · MIS Associate</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Builds MIS, dashboards and revenue/ARR forecasts. At A2: standard work delivered independently.</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Data Operations &amp; Digitization</t>
        </is>
      </c>
      <c r="O1" s="7" t="inlineStr">
        <is>
          <t>◂ Start</t>
        </is>
      </c>
    </row>
    <row r="2" ht="30" customHeight="1">
      <c r="A2" s="2" t="inlineStr">
        <is>
          <t>What Low, Medium and High mean for each of the seven parameters at every level of Data Operations &amp; Digitization,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Digitization Leadership · Associate Head – Digitization</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the data operations &amp; digitization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Digitization Leadership · Associate Head – Digitization</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the data operations &amp; digitization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Document Conversion, Formatting &amp; Web Publishing · Digitization Manager</t>
        </is>
      </c>
      <c r="F18" s="34" t="inlineStr">
        <is>
          <t>H</t>
        </is>
      </c>
      <c r="G18" s="84" t="inlineStr">
        <is>
          <t>Works at B1: Domain specialist work</t>
        </is>
      </c>
      <c r="H18" s="84" t="inlineStr">
        <is>
          <t>Hardest problems in the domain · in Data Operations &amp; Digitization: OCR/Image procesing · attention to detail · quality checking · Excel · timely delivery · HTML · Word · ABYYY Fine Reader</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Converts and formats documents into HTML/PDF/Word to filing or web standards, and publishes content · incl. RBI website.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Document Conversion, Formatting &amp; Web Publishing · Digitization Manager</t>
        </is>
      </c>
      <c r="F19" s="34" t="inlineStr">
        <is>
          <t>H</t>
        </is>
      </c>
      <c r="G19" s="84" t="inlineStr">
        <is>
          <t>Works at B1: Domain specialist work</t>
        </is>
      </c>
      <c r="H19" s="84" t="inlineStr">
        <is>
          <t>Hardest problems in the domain · in Data Operations &amp; Digitization: OCR/Image procesing · attention to detail · quality checking · Excel · timely delivery · HTML · Word · ABYYY Fine Reader</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Converts and formats documents into HTML/PDF/Word to filing or web standards, and publishes content · incl. RBI website.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Document Conversion, Formatting &amp; Web Publishing · Digitization Specialist – POD Lead · Digitization Specialist
Document Conversion, Formatting &amp; Web Publishing · Team Lead – Digitization</t>
        </is>
      </c>
      <c r="F20" s="34" t="inlineStr">
        <is>
          <t>H</t>
        </is>
      </c>
      <c r="G20" s="84" t="inlineStr">
        <is>
          <t>Works at A3: Varied and non-standard work; handles exceptions</t>
        </is>
      </c>
      <c r="H20" s="84" t="inlineStr">
        <is>
          <t>Domain specialist work · in Data Operations &amp; Digitization: OCR/Image procesing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Converts and formats documents into HTML/PDF/Word to filing or web standards, and publishes content · incl. RBI website.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Document Conversion, Formatting &amp; Web Publishing · Digitization Specialist – POD Lead · Digitization Specialist
Document Conversion, Formatting &amp; Web Publishing · Team Lead – Digitization</t>
        </is>
      </c>
      <c r="F21" s="34" t="inlineStr">
        <is>
          <t>H</t>
        </is>
      </c>
      <c r="G21" s="84" t="inlineStr">
        <is>
          <t>Works at A3: Varied and non-standard work; handles exceptions</t>
        </is>
      </c>
      <c r="H21" s="84" t="inlineStr">
        <is>
          <t>Domain specialist work · in Data Operations &amp; Digitization: OCR/Image procesing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Converts and formats documents into HTML/PDF/Word to filing or web standards, and publishes content · incl. RBI website.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Document Conversion, Formatting &amp; Web Publishing · Senior Digitization Associate</t>
        </is>
      </c>
      <c r="F22" s="34" t="inlineStr">
        <is>
          <t>H</t>
        </is>
      </c>
      <c r="G22" s="84" t="inlineStr">
        <is>
          <t>Works at A2: Standard work of the discipline</t>
        </is>
      </c>
      <c r="H22" s="84" t="inlineStr">
        <is>
          <t>Varied and non-standard work; handles exceptions · in Data Operations &amp; Digitization: OCR/Image procesing · attention to detail · Excel · quality checking · HTML · timely delivery · OCR · Word</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Converts and formats documents into HTML/PDF/Word to filing or web standards, and publishes content · incl. RBI website. At A3: varied work; reviews juniors;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Document Conversion, Formatting &amp; Web Publishing · Digitization Associate</t>
        </is>
      </c>
      <c r="F23" s="34" t="inlineStr">
        <is>
          <t>H</t>
        </is>
      </c>
      <c r="G23" s="84" t="inlineStr">
        <is>
          <t>Works at A1: Learning; follows worked examples</t>
        </is>
      </c>
      <c r="H23" s="84" t="inlineStr">
        <is>
          <t>Standard work of the discipline · in Data Operations &amp; Digitization: OCR/Image procesing</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Converts and formats documents into HTML/PDF/Word to filing or web standards, and publishes content · incl. RBI website.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Design &amp; Creative</t>
        </is>
      </c>
      <c r="O1" s="7" t="inlineStr">
        <is>
          <t>◂ Start</t>
        </is>
      </c>
    </row>
    <row r="2" ht="30" customHeight="1">
      <c r="A2" s="2" t="inlineStr">
        <is>
          <t>What Low, Medium and High mean for each of the seven parameters at every level of Design &amp; Creative,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Brand, Graphic &amp; Video Design · Design Specialist – POD Lead</t>
        </is>
      </c>
      <c r="F20" s="34" t="inlineStr">
        <is>
          <t>H</t>
        </is>
      </c>
      <c r="G20" s="84" t="inlineStr">
        <is>
          <t>Works at A3: Varied and non-standard work; handles exceptions</t>
        </is>
      </c>
      <c r="H20" s="84" t="inlineStr">
        <is>
          <t>Domain specialist work · in Design &amp; Creative: Graphic design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Creates brand assets, creatives, decks, motion graphics and video. At B1: a domain / module, or a small team.
Common themes in sub-family holders, all levels'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Brand, Graphic &amp; Video Design · Design Specialist – POD Lead</t>
        </is>
      </c>
      <c r="F21" s="34" t="inlineStr">
        <is>
          <t>H</t>
        </is>
      </c>
      <c r="G21" s="84" t="inlineStr">
        <is>
          <t>Works at A3: Varied and non-standard work; handles exceptions</t>
        </is>
      </c>
      <c r="H21" s="84" t="inlineStr">
        <is>
          <t>Domain specialist work · in Design &amp; Creative: Graphic design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Creates brand assets, creatives, decks, motion graphics and video. At B1: a domain / module, or a small team.
Common themes in sub-family holders, all levels'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Brand, Graphic &amp; Video Design · Senior Designer
UX / UI Design · Senior Product Designer</t>
        </is>
      </c>
      <c r="F22" s="34" t="inlineStr">
        <is>
          <t>H</t>
        </is>
      </c>
      <c r="G22" s="84" t="inlineStr">
        <is>
          <t>Works at A2: Standard work of the discipline</t>
        </is>
      </c>
      <c r="H22" s="84" t="inlineStr">
        <is>
          <t>Varied and non-standard work; handles exceptions · in Design &amp; Creative: Graphic design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Creates brand assets, creatives, decks, motion graphics and video. At A3: varied work; reviews juniors; go-to for a process.
Common themes in sub-family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Brand, Graphic &amp; Video Design · Designer</t>
        </is>
      </c>
      <c r="F23" s="34" t="inlineStr">
        <is>
          <t>H</t>
        </is>
      </c>
      <c r="G23" s="84" t="inlineStr">
        <is>
          <t>Works at A1: Learning; follows worked examples</t>
        </is>
      </c>
      <c r="H23" s="84" t="inlineStr">
        <is>
          <t>Standard work of the discipline · in Design &amp; Creative: Graphic design</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Creates brand assets, creatives, decks, motion graphics and video. At A2: standard work delivered independently.
Common themes in sub-family holders, all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Engineering &amp; Architecture</t>
        </is>
      </c>
      <c r="O1" s="7" t="inlineStr">
        <is>
          <t>◂ Start</t>
        </is>
      </c>
    </row>
    <row r="2" ht="30" customHeight="1">
      <c r="A2" s="2" t="inlineStr">
        <is>
          <t>What Low, Medium and High mean for each of the seven parameters at every level of Engineering &amp; Architecture,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Solution &amp; Technical Architecture · Technical Architect · Solution Architect</t>
        </is>
      </c>
      <c r="F13" s="34" t="inlineStr">
        <is>
          <t>H</t>
        </is>
      </c>
      <c r="G13" s="84" t="inlineStr">
        <is>
          <t>Works at B3: Sets standards for a practice; cross-team problems</t>
        </is>
      </c>
      <c r="H13" s="84" t="inlineStr">
        <is>
          <t>Ambiguous, cross-product problems · in Engineering &amp; Architecture: Java · NET MVC · Spring Boot</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Designs system / solution architecture, integrations and technical standards; guides build teams. At C1: a sub-function, or principal authority across …</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Solution &amp; Technical Architecture · Technical Architect · Solution Architect</t>
        </is>
      </c>
      <c r="F14" s="34" t="inlineStr">
        <is>
          <t>H</t>
        </is>
      </c>
      <c r="G14" s="84" t="inlineStr">
        <is>
          <t>Works at B3: Sets standards for a practice; cross-team problems</t>
        </is>
      </c>
      <c r="H14" s="84" t="inlineStr">
        <is>
          <t>Ambiguous, cross-product problems · in Engineering &amp; Architecture: Java · NET MVC · Spring Boot</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Designs system / solution architecture, integrations and technical standards; guides build teams. At C1: a sub-function, or principal authority across …</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Solution &amp; Technical Architecture · Practice Lead – Solution &amp; Technical Architecture · Player-Coach</t>
        </is>
      </c>
      <c r="F15" s="34" t="inlineStr">
        <is>
          <t>H</t>
        </is>
      </c>
      <c r="G15" s="84" t="inlineStr">
        <is>
          <t>Works at B3: Sets standards for a practice; cross-team problems</t>
        </is>
      </c>
      <c r="H15" s="84" t="inlineStr">
        <is>
          <t>Principal-level problems in own domain; sets technical or quality standards and still builds · in Engineering &amp; Architecture: Java · Spring Boot · NET MVC</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 · KRA themes: Common themes in manager-set KRAs: support · technical · project · completion · develop · year</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 · purpose: Designs system / solution architecture, integrations and technical standards; guides build teams. At B+: a practice or product area: does the hardest hands-on …</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Solution &amp; Technical Architecture · Technical Architect · Associate Technical Architect – POD Lead · Associate Technical Architect</t>
        </is>
      </c>
      <c r="F16" s="34" t="inlineStr">
        <is>
          <t>H</t>
        </is>
      </c>
      <c r="G16" s="84" t="inlineStr">
        <is>
          <t>Works at B2: Hardest problems in the domain</t>
        </is>
      </c>
      <c r="H16" s="84" t="inlineStr">
        <is>
          <t>Sets standards for a practice; cross-team problems · in Engineering &amp; Architecture: Java · NET MVC</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 · KRA themes: Common themes in manager-set KRAs: code · leakage qa/uat · defect · technical · quality · agreed</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Designs system / solution architecture, integrations and technical standards; guides build teams. At B3: a practice, or several teams through team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Solution &amp; Technical Architecture · Technical Architect · Associate Technical Architect – POD Lead · Associate Technical Architect</t>
        </is>
      </c>
      <c r="F17" s="34" t="inlineStr">
        <is>
          <t>H</t>
        </is>
      </c>
      <c r="G17" s="84" t="inlineStr">
        <is>
          <t>Works at B2: Hardest problems in the domain</t>
        </is>
      </c>
      <c r="H17" s="84" t="inlineStr">
        <is>
          <t>Sets standards for a practice; cross-team problems · in Engineering &amp; Architecture: Java · NET MVC</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 · KRA themes: Common themes in manager-set KRAs: code · leakage qa/uat · defect · technical · quality · agreed</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Designs system / solution architecture, integrations and technical standards; guides build teams. At B3: a practice, or several teams through team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Engineering &amp; Development</t>
        </is>
      </c>
      <c r="O1" s="7" t="inlineStr">
        <is>
          <t>◂ Start</t>
        </is>
      </c>
    </row>
    <row r="2" ht="30" customHeight="1">
      <c r="A2" s="2" t="inlineStr">
        <is>
          <t>What Low, Medium and High mean for each of the seven parameters at every level of Engineering &amp; Development,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Engineering Leadership · Head – Product Engineering</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the product engineering organisation.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Engineering Leadership · Head – Product Engineering</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the product engineering organisation.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Application Maintenance &amp; Production Support · Lead Software Engineer
Backend Development · Lead Software Engineer · Lead Software Engineer – POD Lead
Backend Development · Senior Engineering Manager
Full-Stack Development · Lead Software Engineer – POD Lead</t>
        </is>
      </c>
      <c r="F16" s="34" t="inlineStr">
        <is>
          <t>H</t>
        </is>
      </c>
      <c r="G16" s="84" t="inlineStr">
        <is>
          <t>Works at B2: Hardest problems in the domain</t>
        </is>
      </c>
      <c r="H16" s="84" t="inlineStr">
        <is>
          <t>Sets standards for a practice; cross-team problems · in Engineering &amp; Development: NET MVC</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 · KRA themes: Common themes in manager-set KRAs: technical · defect · quality · agreed · deliver · reviews</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Keeps live applications/portals running — production fixes, patches, small enhancements, CRs. At B3: a practice, or several teams through team leads.
Common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Application Maintenance &amp; Production Support · Lead Software Engineer
Backend Development · Lead Software Engineer · Lead Software Engineer – POD Lead
Backend Development · Senior Engineering Manager
Full-Stack Development · Lead Software Engineer – POD Lead</t>
        </is>
      </c>
      <c r="F17" s="34" t="inlineStr">
        <is>
          <t>H</t>
        </is>
      </c>
      <c r="G17" s="84" t="inlineStr">
        <is>
          <t>Works at B2: Hardest problems in the domain</t>
        </is>
      </c>
      <c r="H17" s="84" t="inlineStr">
        <is>
          <t>Sets standards for a practice; cross-team problems · in Engineering &amp; Development: NET MVC</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 · KRA themes: Common themes in manager-set KRAs: technical · defect · quality · agreed · deliver · reviews</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Keeps live applications/portals running — production fixes, patches, small enhancements, CRs. At B3: a practice, or several teams through team leads.
Common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Backend Development · Engineering Manager
Backend Development · Senior Technical Specialist – POD Lead · Lead Software Engineer · Lead Software Engineer – POD Lead · Senior Technical Specialist
Full-Stack Development · Engineering Manager
Full-Stack Development · Lead Software Engineer – POD Lead · Senior Technical Specialist – POD Lead</t>
        </is>
      </c>
      <c r="F18" s="34" t="inlineStr">
        <is>
          <t>H</t>
        </is>
      </c>
      <c r="G18" s="84" t="inlineStr">
        <is>
          <t>Works at B1: Domain specialist work</t>
        </is>
      </c>
      <c r="H18" s="84" t="inlineStr">
        <is>
          <t>Hardest problems in the domain · in Engineering &amp; Development: NET MVC · Java</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 · KRA themes: Common themes in manager-set KRAs: modules · coverage · complete · components · committed · sprint</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Builds back-end services, APIs, processing/validation logic and DB code; fixes defects and delivers change requests.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Backend Development · Engineering Manager
Backend Development · Senior Technical Specialist – POD Lead · Lead Software Engineer · Lead Software Engineer – POD Lead · Senior Technical Specialist
Full-Stack Development · Engineering Manager
Full-Stack Development · Lead Software Engineer – POD Lead · Senior Technical Specialist – POD Lead</t>
        </is>
      </c>
      <c r="F19" s="34" t="inlineStr">
        <is>
          <t>H</t>
        </is>
      </c>
      <c r="G19" s="84" t="inlineStr">
        <is>
          <t>Works at B1: Domain specialist work</t>
        </is>
      </c>
      <c r="H19" s="84" t="inlineStr">
        <is>
          <t>Hardest problems in the domain · in Engineering &amp; Development: NET MVC · Java</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 · KRA themes: Common themes in manager-set KRAs: modules · coverage · complete · components · committed · sprint</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Builds back-end services, APIs, processing/validation logic and DB code; fixes defects and delivers change requests.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AI / ML &amp; GenAI Engineering · AI/ML Specialist – POD Lead
Application Maintenance &amp; Production Support · Technical Specialist
Backend Development · Technical Specialist – POD Lead · Technical Specialist · Senior Technical Specialist – POD Lead
Data Engineering &amp; Database Development · Database Specialist – POD Lead
DevOps &amp; Release Engineering · DevOps Specialist – POD Lead
Front-End / UI Development · UI Specialist – POD Lead
Full-Stack Development · Technical Specialist · Technical Specialist – POD Lead</t>
        </is>
      </c>
      <c r="F20" s="34" t="inlineStr">
        <is>
          <t>H</t>
        </is>
      </c>
      <c r="G20" s="84" t="inlineStr">
        <is>
          <t>Works at A3: Varied and non-standard work; handles exceptions</t>
        </is>
      </c>
      <c r="H20" s="84" t="inlineStr">
        <is>
          <t>Domain specialist work · in Engineering &amp; Development: AI/ML · Python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reduce · production · time · quarterly · incidents resolved · stability critical</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Builds AI/ML and LLM features — auto-tagging, classification, agentic workflows, anomaly detection. At B1: a domain / module, or a small team.
Common themes in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AI / ML &amp; GenAI Engineering · AI/ML Specialist – POD Lead
Application Maintenance &amp; Production Support · Technical Specialist
Backend Development · Technical Specialist – POD Lead · Technical Specialist · Senior Technical Specialist – POD Lead
Data Engineering &amp; Database Development · Database Specialist – POD Lead
DevOps &amp; Release Engineering · DevOps Specialist – POD Lead
Front-End / UI Development · UI Specialist – POD Lead
Full-Stack Development · Technical Specialist · Technical Specialist – POD Lead</t>
        </is>
      </c>
      <c r="F21" s="34" t="inlineStr">
        <is>
          <t>H</t>
        </is>
      </c>
      <c r="G21" s="84" t="inlineStr">
        <is>
          <t>Works at A3: Varied and non-standard work; handles exceptions</t>
        </is>
      </c>
      <c r="H21" s="84" t="inlineStr">
        <is>
          <t>Domain specialist work · in Engineering &amp; Development: AI/ML · Python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reduce · production · time · quarterly · incidents resolved · stability critical</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Builds AI/ML and LLM features — auto-tagging, classification, agentic workflows, anomaly detection. At B1: a domain / module, or a small team.
Common themes in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AI / ML &amp; GenAI Engineering · Senior AI/ML Engineer
Application Maintenance &amp; Production Support · Senior Software Engineer · Technical Specialist
Backend Development · Senior Software Engineer · Technical Specialist
Data Engineering &amp; Database Development · Senior Database Engineer · Database Specialist
DevOps &amp; Release Engineering · Senior DevOps Engineer
Front-End / UI Development · Senior UI Developer
Full-Stack Development · Senior Software Engineer · Technical Specialist</t>
        </is>
      </c>
      <c r="F22" s="34" t="inlineStr">
        <is>
          <t>H</t>
        </is>
      </c>
      <c r="G22" s="84" t="inlineStr">
        <is>
          <t>Works at A2: Standard work of the discipline</t>
        </is>
      </c>
      <c r="H22" s="84" t="inlineStr">
        <is>
          <t>Varied and non-standard work; handles exceptions · in Engineering &amp; Development: AI/ML · Python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considering critical · stories considering · leakage qa/uat · production support · live production · responsibilities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Builds AI/ML and LLM features — auto-tagging, classification, agentic workflows, anomaly detection.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AI / ML &amp; GenAI Engineering · AI/ML Engineer
Backend Development · Software Engineer
Front-End / UI Development · UI Developer
Full-Stack Development · Software Engineer</t>
        </is>
      </c>
      <c r="F23" s="34" t="inlineStr">
        <is>
          <t>H</t>
        </is>
      </c>
      <c r="G23" s="84" t="inlineStr">
        <is>
          <t>Works at A1: Learning; follows worked examples</t>
        </is>
      </c>
      <c r="H23" s="84" t="inlineStr">
        <is>
          <t>Standard work of the discipline · in Engineering &amp; Development: AI/ML</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 · KRA themes: Common themes in manager-set KRAs: improve · deliver · modules · committed · coverage · automated</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Builds AI/ML and LLM features — auto-tagging, classification, agentic workflows, anomaly detection. At A2: standard work delivered independently.
Common themes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AI / ML &amp; GenAI Engineering · Trainee AI/ML Engineer
Backend Development · Trainee Software Engineer · Intern – Software Development
Front-End / UI Development · Intern – Front-End / UI Development
Full-Stack Development · Trainee Software Engineer</t>
        </is>
      </c>
      <c r="F24" s="34" t="inlineStr">
        <is>
          <t>H</t>
        </is>
      </c>
      <c r="G24" s="84" t="inlineStr">
        <is>
          <t>Not yet at the entry standard · in induction</t>
        </is>
      </c>
      <c r="H24" s="84" t="inlineStr">
        <is>
          <t>Learning; follows worked examples · in Engineering &amp; Development: AI/ML · Python</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 · KRA themes: Common themes in manager-set KRAs: code · technical · agreed · deliver · application · maintain</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Builds AI/ML and LLM features — auto-tagging, classification, agentic workflows, anomaly detection. At A1: learning the role; all work reviewed.
Common themes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Executive Leadership</t>
        </is>
      </c>
      <c r="O1" s="7" t="inlineStr">
        <is>
          <t>◂ Start</t>
        </is>
      </c>
    </row>
    <row r="2" ht="30" customHeight="1">
      <c r="A2" s="2" t="inlineStr">
        <is>
          <t>What Low, Medium and High mean for each of the seven parameters at every level of Executive Leadership, and how much each parameter counts · main type of work: General management.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Business Head · Chief Executive Officer
Enterprise Leadership · Chief Executive Officer</t>
        </is>
      </c>
      <c r="F6" s="34" t="inlineStr">
        <is>
          <t>H</t>
        </is>
      </c>
      <c r="G6" s="84" t="inlineStr">
        <is>
          <t>Works at E1: Enterprise-level functional strategy</t>
        </is>
      </c>
      <c r="H6" s="84" t="inlineStr">
        <is>
          <t>Enterprise-wide uncertainty, transformation and external forces · in Executive Leadership: Management · Sales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 · purpose: Sets enterprise strategy; leads the executive team. At E2: the enterprise.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Business Head · Chief Financial Officer
Enterprise Leadership · Chief Revenue Officer · Chief Financial Officer · Chief Operating Officer · Chief Technology Officer</t>
        </is>
      </c>
      <c r="F7" s="34" t="inlineStr">
        <is>
          <t>H</t>
        </is>
      </c>
      <c r="G7" s="84" t="inlineStr">
        <is>
          <t>Works at D2: Portfolio-level strategic, financial and regulatory trade-offs</t>
        </is>
      </c>
      <c r="H7" s="84" t="inlineStr">
        <is>
          <t>Enterprise-level functional strategy · in Executive Leadership: Management · Sales</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 · purpose: Sets enterprise strategy; leads the executive team. At E1: an enterprise-wide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Business &amp; Functional Leadership · Business Head · Business Head – SupTech &amp; Bank-RegTech · Business Head – DataTech
Business Head · Business Head</t>
        </is>
      </c>
      <c r="F8" s="34" t="inlineStr">
        <is>
          <t>H</t>
        </is>
      </c>
      <c r="G8" s="84" t="inlineStr">
        <is>
          <t>Works at D1: Competing strategic, financial and regulatory priorities</t>
        </is>
      </c>
      <c r="H8" s="84" t="inlineStr">
        <is>
          <t>Portfolio-level strategic, financial and regulatory trade-offs · in Executive Leadership: Product Management</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 · purpose: Owns a business line or enterprise function end to end. At D2: several business lines or an executive-scope enterprise function.</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Business &amp; Functional Leadership · Senior Vice President – Customer Experience · Business Head – iDEAL
Business Head · Business Head – iDEAL</t>
        </is>
      </c>
      <c r="F9" s="34" t="inlineStr">
        <is>
          <t>H</t>
        </is>
      </c>
      <c r="G9" s="84" t="inlineStr">
        <is>
          <t>Works at C2: Function-wide or company-wide problems; creates methods and standards</t>
        </is>
      </c>
      <c r="H9" s="84" t="inlineStr">
        <is>
          <t>Competing strategic, financial and regulatory priorities · in Executive Leadership: Product Management</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 · purpose: Owns a business line or enterprise function end to end. At D1: a business line P&amp;L, region or enterprise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Business Head · Head – Consulting</t>
        </is>
      </c>
      <c r="F11" s="34" t="inlineStr">
        <is>
          <t>H</t>
        </is>
      </c>
      <c r="G11" s="84" t="inlineStr">
        <is>
          <t>Works at C1: Ambiguous, cross-product problems</t>
        </is>
      </c>
      <c r="H11" s="84" t="inlineStr">
        <is>
          <t>Function-wide or company-wide problems; creates methods and standards · in Executive Leadership: XBRL Domain</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Heads a department or function: sets its direction, owns its results, budget, people and risk, and speaks for it in the business leadership team.</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Business Head · Head – Consulting</t>
        </is>
      </c>
      <c r="F12" s="34" t="inlineStr">
        <is>
          <t>H</t>
        </is>
      </c>
      <c r="G12" s="84" t="inlineStr">
        <is>
          <t>Works at C1: Ambiguous, cross-product problems</t>
        </is>
      </c>
      <c r="H12" s="84" t="inlineStr">
        <is>
          <t>Function-wide or company-wide problems; creates methods and standards · in Executive Leadership: XBRL Domain</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Heads a department or function: sets its direction, owns its results, budget, people and risk, and speaks for it in the business leadership team.</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Business Head · Associate Head – Assisted Services</t>
        </is>
      </c>
      <c r="F13" s="34" t="inlineStr">
        <is>
          <t>H</t>
        </is>
      </c>
      <c r="G13" s="84" t="inlineStr">
        <is>
          <t>Works at B3: Sets standards for a practice; cross-team problems</t>
        </is>
      </c>
      <c r="H13" s="84" t="inlineStr">
        <is>
          <t>Ambiguous, cross-product problems · in Executive Leadership: • XBRL Domain
• Secretarial · Legal</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Heads a department or function: sets its direction, owns its results, budget, people and risk, and speaks for it in the business leadership team.</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Business Head · Associate Head – Assisted Services</t>
        </is>
      </c>
      <c r="F14" s="34" t="inlineStr">
        <is>
          <t>H</t>
        </is>
      </c>
      <c r="G14" s="84" t="inlineStr">
        <is>
          <t>Works at B3: Sets standards for a practice; cross-team problems</t>
        </is>
      </c>
      <c r="H14" s="84" t="inlineStr">
        <is>
          <t>Ambiguous, cross-product problems · in Executive Leadership: • XBRL Domain
• Secretarial · Legal</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Heads a department or function: sets its direction, owns its results, budget, people and risk, and speaks for it in the business leadership team.</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Finance &amp; Accounts</t>
        </is>
      </c>
      <c r="O1" s="7" t="inlineStr">
        <is>
          <t>◂ Start</t>
        </is>
      </c>
    </row>
    <row r="2" ht="30" customHeight="1">
      <c r="A2" s="2" t="inlineStr">
        <is>
          <t>What Low, Medium and High mean for each of the seven parameters at every level of Finance &amp; Accounts,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Finance Leadership · Associate Head – Admin &amp; Internal Audit · Associate Head – Finance &amp; Accounts</t>
        </is>
      </c>
      <c r="F13" s="34" t="inlineStr">
        <is>
          <t>H</t>
        </is>
      </c>
      <c r="G13" s="84" t="inlineStr">
        <is>
          <t>Works at B3: Sets standards for a practice; cross-team problems</t>
        </is>
      </c>
      <c r="H13" s="84" t="inlineStr">
        <is>
          <t>Ambiguous, cross-product problems · in Finance &amp; Accounts: Accounting</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the finance &amp; accounts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Finance Leadership · Associate Head – Admin &amp; Internal Audit · Associate Head – Finance &amp; Accounts</t>
        </is>
      </c>
      <c r="F14" s="34" t="inlineStr">
        <is>
          <t>H</t>
        </is>
      </c>
      <c r="G14" s="84" t="inlineStr">
        <is>
          <t>Works at B3: Sets standards for a practice; cross-team problems</t>
        </is>
      </c>
      <c r="H14" s="84" t="inlineStr">
        <is>
          <t>Ambiguous, cross-product problems · in Finance &amp; Accounts: Accounting</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the finance &amp; accounts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Financial Reporting, Compliance &amp; Audit · Senior Finance Specialist – POD Lead</t>
        </is>
      </c>
      <c r="F18" s="34" t="inlineStr">
        <is>
          <t>H</t>
        </is>
      </c>
      <c r="G18" s="84" t="inlineStr">
        <is>
          <t>Works at B1: Domain specialist work</t>
        </is>
      </c>
      <c r="H18" s="84" t="inlineStr">
        <is>
          <t>Hardest problems in the domain · in Finance &amp; Accounts: accounting · finance · MS office · Excel</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Prepares financial statements, subsidiary closings, statutory compliance, budgets and audits. At B2: deep domain expertise, or one team.
Common themes in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Financial Reporting, Compliance &amp; Audit · Senior Finance Specialist – POD Lead</t>
        </is>
      </c>
      <c r="F19" s="34" t="inlineStr">
        <is>
          <t>H</t>
        </is>
      </c>
      <c r="G19" s="84" t="inlineStr">
        <is>
          <t>Works at B1: Domain specialist work</t>
        </is>
      </c>
      <c r="H19" s="84" t="inlineStr">
        <is>
          <t>Hardest problems in the domain · in Finance &amp; Accounts: accounting · finance · MS office · Excel</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Prepares financial statements, subsidiary closings, statutory compliance, budgets and audits. At B2: deep domain expertise, or one team.
Common themes in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Accounting &amp; Transaction Processing · Accounts Specialist – POD Lead
Financial Reporting, Compliance &amp; Audit · Finance Specialist · Finance Specialist – POD Lead</t>
        </is>
      </c>
      <c r="F20" s="34" t="inlineStr">
        <is>
          <t>H</t>
        </is>
      </c>
      <c r="G20" s="84" t="inlineStr">
        <is>
          <t>Works at A3: Varied and non-standard work; handles exceptions</t>
        </is>
      </c>
      <c r="H20" s="84" t="inlineStr">
        <is>
          <t>Domain specialist work · in Finance &amp; Accounts: accounting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Processes payments, entries and reconciliations. At B1: a domain / module, or a small team.
Common themes in sub-family holders, all levels' answers: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Accounting &amp; Transaction Processing · Accounts Specialist – POD Lead
Financial Reporting, Compliance &amp; Audit · Finance Specialist · Finance Specialist – POD Lead</t>
        </is>
      </c>
      <c r="F21" s="34" t="inlineStr">
        <is>
          <t>H</t>
        </is>
      </c>
      <c r="G21" s="84" t="inlineStr">
        <is>
          <t>Works at A3: Varied and non-standard work; handles exceptions</t>
        </is>
      </c>
      <c r="H21" s="84" t="inlineStr">
        <is>
          <t>Domain specialist work · in Finance &amp; Accounts: accounting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Processes payments, entries and reconciliations. At B1: a domain / module, or a small team.
Common themes in sub-family holders, all levels' answers: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Accounting &amp; Transaction Processing · Senior Accounts Executive</t>
        </is>
      </c>
      <c r="F22" s="34" t="inlineStr">
        <is>
          <t>H</t>
        </is>
      </c>
      <c r="G22" s="84" t="inlineStr">
        <is>
          <t>Works at A2: Standard work of the discipline</t>
        </is>
      </c>
      <c r="H22" s="84" t="inlineStr">
        <is>
          <t>Varied and non-standard work; handles exceptions · in Finance &amp; Accounts: accounting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Processes payments, entries and reconciliations. At A3: varied work; reviews juniors; go-to for a process.
Common themes in sub-family holders, all levels'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Human Resources</t>
        </is>
      </c>
      <c r="O1" s="7" t="inlineStr">
        <is>
          <t>◂ Start</t>
        </is>
      </c>
    </row>
    <row r="2" ht="30" customHeight="1">
      <c r="A2" s="2" t="inlineStr">
        <is>
          <t>What Low, Medium and High mean for each of the seven parameters at every level of Human Resources,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HR Leadership · Vice President – Human Resources</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 · purpose: Leads the human resources function. At D2: several business lines or an executive-scope enterprise function.</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HR Transformation &amp; OD · Lead HR Specialist – Transformation &amp; OD</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Designs HR transformation, capability and OD programmes.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HR Transformation &amp; OD · Lead HR Specialist – Transformation &amp; OD</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Designs HR transformation, capability and OD programmes.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Talent Acquisition · Senior Talent Acquisition Specialist</t>
        </is>
      </c>
      <c r="F18" s="34" t="inlineStr">
        <is>
          <t>H</t>
        </is>
      </c>
      <c r="G18" s="84" t="inlineStr">
        <is>
          <t>Works at B1: Domain specialist work</t>
        </is>
      </c>
      <c r="H18" s="84" t="inlineStr">
        <is>
          <t>Hardest problems in the domain · in Human Resources: HR · Stakeholder Management</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Sources, screens and hires talent. At B2: deep domain expertise, or one team.
Common themes in sub-family holders, all levels' answers: hiring · right ·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Talent Acquisition · Senior Talent Acquisition Specialist</t>
        </is>
      </c>
      <c r="F19" s="34" t="inlineStr">
        <is>
          <t>H</t>
        </is>
      </c>
      <c r="G19" s="84" t="inlineStr">
        <is>
          <t>Works at B1: Domain specialist work</t>
        </is>
      </c>
      <c r="H19" s="84" t="inlineStr">
        <is>
          <t>Hardest problems in the domain · in Human Resources: HR · Stakeholder Management</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Sources, screens and hires talent. At B2: deep domain expertise, or one team.
Common themes in sub-family holders, all levels' answers: hiring · right ·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HR Operations &amp; Payroll · HR Specialist · HR Specialist – POD Lead</t>
        </is>
      </c>
      <c r="F20" s="34" t="inlineStr">
        <is>
          <t>H</t>
        </is>
      </c>
      <c r="G20" s="84" t="inlineStr">
        <is>
          <t>Works at A3: Varied and non-standard work; handles exceptions</t>
        </is>
      </c>
      <c r="H20" s="84" t="inlineStr">
        <is>
          <t>Domain specialist work · in Human Resources: HR</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Runs payroll, HRIS, onboarding, engagement and exits. At B1: a domain / module, or a small team.
Common themes in sub-family holders, all levels' answers: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HR Operations &amp; Payroll · HR Specialist · HR Specialist – POD Lead</t>
        </is>
      </c>
      <c r="F21" s="34" t="inlineStr">
        <is>
          <t>H</t>
        </is>
      </c>
      <c r="G21" s="84" t="inlineStr">
        <is>
          <t>Works at A3: Varied and non-standard work; handles exceptions</t>
        </is>
      </c>
      <c r="H21" s="84" t="inlineStr">
        <is>
          <t>Domain specialist work · in Human Resources: HR</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Runs payroll, HRIS, onboarding, engagement and exits. At B1: a domain / module, or a small team.
Common themes in sub-family holders, all levels' answers: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Talent Acquisition · Senior Talent Acquisition Executive</t>
        </is>
      </c>
      <c r="F22" s="34" t="inlineStr">
        <is>
          <t>H</t>
        </is>
      </c>
      <c r="G22" s="84" t="inlineStr">
        <is>
          <t>Works at A2: Standard work of the discipline</t>
        </is>
      </c>
      <c r="H22" s="84" t="inlineStr">
        <is>
          <t>Varied and non-standard work; handles exceptions · in Human Resources: HR · Stakeholder Management</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Sources, screens and hires talent. At A3: varied work; reviews juniors; go-to for a process.
Common themes in sub-family holders, all levels' answers: hiring ·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HR Operations &amp; Payroll · HR Executive</t>
        </is>
      </c>
      <c r="F23" s="34" t="inlineStr">
        <is>
          <t>H</t>
        </is>
      </c>
      <c r="G23" s="84" t="inlineStr">
        <is>
          <t>Works at A1: Learning; follows worked examples</t>
        </is>
      </c>
      <c r="H23" s="84" t="inlineStr">
        <is>
          <t>Standard work of the discipline · in Human Resources: HR</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Runs payroll, HRIS, onboarding, engagement and exits. At A2: standard work delivered independently.
Common themes in sub-family holders, all levels' answers: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IT &amp; Infrastructure</t>
        </is>
      </c>
      <c r="O1" s="7" t="inlineStr">
        <is>
          <t>◂ Start</t>
        </is>
      </c>
    </row>
    <row r="2" ht="30" customHeight="1">
      <c r="A2" s="2" t="inlineStr">
        <is>
          <t>What Low, Medium and High mean for each of the seven parameters at every level of IT &amp; Infrastructure,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IT Infrastructure Leadership · Senior IT Manager</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Leads infrastructure operations, ISO governance and IT vendors.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IT Infrastructure Leadership · Senior IT Manager</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Leads infrastructure operations, ISO governance and IT vendors.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Infrastructure &amp; Cloud Operations · IT Infrastructure Manager
Infrastructure &amp; Cloud Operations · Infrastructure Specialist · Infrastructure Specialist – POD Lead</t>
        </is>
      </c>
      <c r="F20" s="34" t="inlineStr">
        <is>
          <t>H</t>
        </is>
      </c>
      <c r="G20" s="84" t="inlineStr">
        <is>
          <t>Works at A3: Varied and non-standard work; handles exceptions</t>
        </is>
      </c>
      <c r="H20" s="84" t="inlineStr">
        <is>
          <t>Domain specialist work · in IT &amp; Infrastructure: Infra</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Runs servers, AD/DNS, network, cloud, hosting, backup and DR. At B1: a domain / module, or a small team.
Common themes in sub-family holders, all levels'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Infrastructure &amp; Cloud Operations · IT Infrastructure Manager
Infrastructure &amp; Cloud Operations · Infrastructure Specialist · Infrastructure Specialist – POD Lead</t>
        </is>
      </c>
      <c r="F21" s="34" t="inlineStr">
        <is>
          <t>H</t>
        </is>
      </c>
      <c r="G21" s="84" t="inlineStr">
        <is>
          <t>Works at A3: Varied and non-standard work; handles exceptions</t>
        </is>
      </c>
      <c r="H21" s="84" t="inlineStr">
        <is>
          <t>Domain specialist work · in IT &amp; Infrastructure: Infra</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Runs servers, AD/DNS, network, cloud, hosting, backup and DR. At B1: a domain / module, or a small team.
Common themes in sub-family holders, all levels'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End-User Support · Senior Desktop Support Engineer
Infrastructure &amp; Cloud Operations · Senior System Administrator · Infrastructure Specialist</t>
        </is>
      </c>
      <c r="F22" s="34" t="inlineStr">
        <is>
          <t>H</t>
        </is>
      </c>
      <c r="G22" s="84" t="inlineStr">
        <is>
          <t>Works at A2: Standard work of the discipline</t>
        </is>
      </c>
      <c r="H22" s="84" t="inlineStr">
        <is>
          <t>Varied and non-standard work; handles exceptions · in IT &amp; Infrastructure: Infra</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At A3: varied work; reviews juniors; go-to for a process.</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Marketing &amp; Communications</t>
        </is>
      </c>
      <c r="O1" s="7" t="inlineStr">
        <is>
          <t>◂ Start</t>
        </is>
      </c>
    </row>
    <row r="2" ht="30" customHeight="1">
      <c r="A2" s="2" t="inlineStr">
        <is>
          <t>What Low, Medium and High mean for each of the seven parameters at every level of Marketing &amp; Communications,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Marketing Leadership · Senior Marketing Manager</t>
        </is>
      </c>
      <c r="F16" s="34" t="inlineStr">
        <is>
          <t>H</t>
        </is>
      </c>
      <c r="G16" s="84" t="inlineStr">
        <is>
          <t>Works at B2: Hardest problems in the domain</t>
        </is>
      </c>
      <c r="H16" s="84" t="inlineStr">
        <is>
          <t>Sets standards for a practice; cross-team problems · in Marketing &amp; Communications: Marketing</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 · purpose: Leads the marketing &amp; communications function.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Marketing Leadership · Senior Marketing Manager</t>
        </is>
      </c>
      <c r="F17" s="34" t="inlineStr">
        <is>
          <t>H</t>
        </is>
      </c>
      <c r="G17" s="84" t="inlineStr">
        <is>
          <t>Works at B2: Hardest problems in the domain</t>
        </is>
      </c>
      <c r="H17" s="84" t="inlineStr">
        <is>
          <t>Sets standards for a practice; cross-team problems · in Marketing &amp; Communications: Marketing</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 · purpose: Leads the marketing &amp; communications function.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Content Marketing · Senior Content Marketing Specialist
Demand Generation, Brand &amp; Events · Marketing Manager
Demand Generation, Brand &amp; Events · Senior Marketing Specialist – POD Lead
Marketing Leadership · Marketing Specialist – POD Lead</t>
        </is>
      </c>
      <c r="F18" s="34" t="inlineStr">
        <is>
          <t>H</t>
        </is>
      </c>
      <c r="G18" s="84" t="inlineStr">
        <is>
          <t>Works at B1: Domain specialist work</t>
        </is>
      </c>
      <c r="H18" s="84" t="inlineStr">
        <is>
          <t>Hardest problems in the domain · in Marketing &amp; Communications: Marketing · Research skills · Content strategy · Copywriting</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 · purpose: Writes blogs, web copy, collateral and social content. At B2: deep domain expertise, or one team.
Common themes in sub-family holders, all levels' answers: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Content Marketing · Senior Content Marketing Specialist
Demand Generation, Brand &amp; Events · Marketing Manager
Demand Generation, Brand &amp; Events · Senior Marketing Specialist – POD Lead
Marketing Leadership · Marketing Specialist – POD Lead</t>
        </is>
      </c>
      <c r="F19" s="34" t="inlineStr">
        <is>
          <t>H</t>
        </is>
      </c>
      <c r="G19" s="84" t="inlineStr">
        <is>
          <t>Works at B1: Domain specialist work</t>
        </is>
      </c>
      <c r="H19" s="84" t="inlineStr">
        <is>
          <t>Hardest problems in the domain · in Marketing &amp; Communications: Marketing · Research skills · Content strategy · Copywriting</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 · purpose: Writes blogs, web copy, collateral and social content. At B2: deep domain expertise, or one team.
Common themes in sub-family holders, all levels' answers: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Product Marketing · Team Lead – Product Marketing</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Launches, positioning, product campaigns and messaging. At B1: a domain / module, or a small team.</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Product Marketing · Team Lead – Product Marketing</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Launches, positioning, product campaigns and messaging. At B1: a domain / module, or a small team.</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Content Marketing · Senior Content Marketing Associate
Digital Marketing, Web &amp; Social · Senior Digital Marketing Associate
Marketing Operations &amp; Automation · Senior Marketing Operations Associate</t>
        </is>
      </c>
      <c r="F22" s="34" t="inlineStr">
        <is>
          <t>H</t>
        </is>
      </c>
      <c r="G22" s="84" t="inlineStr">
        <is>
          <t>Works at A2: Standard work of the discipline</t>
        </is>
      </c>
      <c r="H22" s="84" t="inlineStr">
        <is>
          <t>Varied and non-standard work; handles exceptions · in Marketing &amp; Communications: Marketing · Research skills · Content strategy · Copywriting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Writes blogs, web copy, collateral and social content. At A3: varied work; reviews juniors; go-to for a process.
Common themes in sub-family holders, all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Content Marketing · Content Marketing Associate
Demand Generation, Brand &amp; Events · Marketing Associate
Marketing Operations &amp; Automation · Marketing Operations Associate</t>
        </is>
      </c>
      <c r="F23" s="34" t="inlineStr">
        <is>
          <t>H</t>
        </is>
      </c>
      <c r="G23" s="84" t="inlineStr">
        <is>
          <t>Works at A1: Learning; follows worked examples</t>
        </is>
      </c>
      <c r="H23" s="84" t="inlineStr">
        <is>
          <t>Standard work of the discipline · in Marketing &amp; Communications: Marketing · Research skills</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Writes blogs, web copy, collateral and social content. At A2: standard work delivered independently.
Common themes in role-holders' answers: content ·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Product Management</t>
        </is>
      </c>
      <c r="O1" s="7" t="inlineStr">
        <is>
          <t>◂ Start</t>
        </is>
      </c>
    </row>
    <row r="2" ht="30" customHeight="1">
      <c r="A2" s="2" t="inlineStr">
        <is>
          <t>What Low, Medium and High mean for each of the seven parameters at every level of Product Management, and how much each parameter counts · main type of work: Product &amp; programme.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Product Management · Senior Product Manager</t>
        </is>
      </c>
      <c r="F16" s="34" t="inlineStr">
        <is>
          <t>H</t>
        </is>
      </c>
      <c r="G16" s="84" t="inlineStr">
        <is>
          <t>Works at B2: Hardest problems in the domain</t>
        </is>
      </c>
      <c r="H16" s="84" t="inlineStr">
        <is>
          <t>Sets standards for a practice; cross-team problems · in Product Management: Product Management · stakeholder management · Market research · Project management · Product sense · Data analysis · ESG · CA + CE</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Owns product vision, roadmap, requirements · PRDs, prioritisation and adoption. At B3: a practice, or several teams through team leads.
Common themes in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Product Management · Senior Product Manager</t>
        </is>
      </c>
      <c r="F17" s="34" t="inlineStr">
        <is>
          <t>H</t>
        </is>
      </c>
      <c r="G17" s="84" t="inlineStr">
        <is>
          <t>Works at B2: Hardest problems in the domain</t>
        </is>
      </c>
      <c r="H17" s="84" t="inlineStr">
        <is>
          <t>Sets standards for a practice; cross-team problems · in Product Management: Product Management · stakeholder management · Market research · Project management · Product sense · Data analysis · ESG · CA + CE</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Owns product vision, roadmap, requirements · PRDs, prioritisation and adoption. At B3: a practice, or several teams through team leads.
Common themes in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Product Management · Product Manager</t>
        </is>
      </c>
      <c r="F18" s="34" t="inlineStr">
        <is>
          <t>H</t>
        </is>
      </c>
      <c r="G18" s="84" t="inlineStr">
        <is>
          <t>Works at B1: Domain specialist work</t>
        </is>
      </c>
      <c r="H18" s="84" t="inlineStr">
        <is>
          <t>Hardest problems in the domain · in Product Management: Product Management · stakeholder management · Market research · Project management · Product sense · Data analysis · ESG · CA + CE</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 · KRA themes: Common themes in manager-set KRAs: development participation · cash · market requirements · tech learning · support organizational · profitability</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Owns product vision, roadmap, requirements · PRDs, prioritisation and adoption. At B2: deep domain expertise, or one team.
Common themes in sub-family holders,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Product Management · Product Manager</t>
        </is>
      </c>
      <c r="F19" s="34" t="inlineStr">
        <is>
          <t>H</t>
        </is>
      </c>
      <c r="G19" s="84" t="inlineStr">
        <is>
          <t>Works at B1: Domain specialist work</t>
        </is>
      </c>
      <c r="H19" s="84" t="inlineStr">
        <is>
          <t>Hardest problems in the domain · in Product Management: Product Management · stakeholder management · Market research · Project management · Product sense · Data analysis · ESG · CA + CE</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 · KRA themes: Common themes in manager-set KRAs: development participation · cash · market requirements · tech learning · support organizational · profitability</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Owns product vision, roadmap, requirements · PRDs, prioritisation and adoption. At B2: deep domain expertise, or one team.
Common themes in sub-family holders,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Product Management · Associate Product Manager – POD Lead · Associate Product Manager</t>
        </is>
      </c>
      <c r="F20" s="34" t="inlineStr">
        <is>
          <t>H</t>
        </is>
      </c>
      <c r="G20" s="84" t="inlineStr">
        <is>
          <t>Works at A3: Varied and non-standard work; handles exceptions</t>
        </is>
      </c>
      <c r="H20" s="84" t="inlineStr">
        <is>
          <t>Domain specialist work · in Product Management: Product Management · Project management · Product sense · Market research · CA + CE</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Owns product vision, roadmap, requirements · PRDs, prioritisation and adoption. At B1: a domain / module, or a small team.
Common themes in role-holders'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Product Management · Associate Product Manager – POD Lead · Associate Product Manager</t>
        </is>
      </c>
      <c r="F21" s="34" t="inlineStr">
        <is>
          <t>H</t>
        </is>
      </c>
      <c r="G21" s="84" t="inlineStr">
        <is>
          <t>Works at A3: Varied and non-standard work; handles exceptions</t>
        </is>
      </c>
      <c r="H21" s="84" t="inlineStr">
        <is>
          <t>Domain specialist work · in Product Management: Product Management · Project management · Product sense · Market research · CA + CE</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Owns product vision, roadmap, requirements · PRDs, prioritisation and adoption. At B1: a domain / module, or a small team.
Common themes in role-holders'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Product Management · Senior Product Associate
Product Operations &amp; Research · Senior Product Analyst</t>
        </is>
      </c>
      <c r="F22" s="34" t="inlineStr">
        <is>
          <t>H</t>
        </is>
      </c>
      <c r="G22" s="84" t="inlineStr">
        <is>
          <t>Works at A2: Standard work of the discipline</t>
        </is>
      </c>
      <c r="H22" s="84" t="inlineStr">
        <is>
          <t>Varied and non-standard work; handles exceptions · in Product Management: Product Management · stakeholder management · Market research · Project management · Product sense · Data analysis · ESG · CA + CE</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Owns product vision, roadmap, requirements · PRDs, prioritisation and adoption. At A3: varied work; reviews juniors; go-to for a process.
Common themes in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Product Operations &amp; Research · Intern – Product Operations &amp; Research</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Coordinates product activities and produces market / competitor research. At A1: learning the role; all work reviewed.</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Project &amp; Program Management</t>
        </is>
      </c>
      <c r="O1" s="7" t="inlineStr">
        <is>
          <t>◂ Start</t>
        </is>
      </c>
    </row>
    <row r="2" ht="30" customHeight="1">
      <c r="A2" s="2" t="inlineStr">
        <is>
          <t>What Low, Medium and High mean for each of the seven parameters at every level of Project &amp; Program Management,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Delivery Leadership · Head – Delivery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the project &amp; program management function.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Delivery Leadership · Head – Delivery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the project &amp; program management function.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Project &amp; Program Delivery · Practice Lead – Project &amp; Program Delivery · Player-Coach</t>
        </is>
      </c>
      <c r="F15" s="34" t="inlineStr">
        <is>
          <t>H</t>
        </is>
      </c>
      <c r="G15" s="84" t="inlineStr">
        <is>
          <t>Works at B3: Sets standards for a practice; cross-team problems</t>
        </is>
      </c>
      <c r="H15" s="84" t="inlineStr">
        <is>
          <t>Principal-level problems in own domain; sets technical or quality standards and still builds · in Project &amp; Program Management: Project Management · Stakeholder management · Requirement analysis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 · purpose: Plans and delivers projects/programmes to scope, time and cost; manages CRs, risks and stakeholders. At B+: a practice or product area: does the hardest …</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PMO &amp; Delivery Excellence · Agile Coach
Project &amp; Program Delivery · Program Manager</t>
        </is>
      </c>
      <c r="F16" s="34" t="inlineStr">
        <is>
          <t>H</t>
        </is>
      </c>
      <c r="G16" s="84" t="inlineStr">
        <is>
          <t>Works at B2: Hardest problems in the domain</t>
        </is>
      </c>
      <c r="H16" s="84" t="inlineStr">
        <is>
          <t>Sets standards for a practice; cross-team problems · in Project &amp; Program Management: Project Management · Stakeholder management · Requirement analysis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Runs delivery governance, tracking, risk and process-improvement; coaches teams on delivery practices.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PMO &amp; Delivery Excellence · Agile Coach
Project &amp; Program Delivery · Program Manager</t>
        </is>
      </c>
      <c r="F17" s="34" t="inlineStr">
        <is>
          <t>H</t>
        </is>
      </c>
      <c r="G17" s="84" t="inlineStr">
        <is>
          <t>Works at B2: Hardest problems in the domain</t>
        </is>
      </c>
      <c r="H17" s="84" t="inlineStr">
        <is>
          <t>Sets standards for a practice; cross-team problems · in Project &amp; Program Management: Project Management · Stakeholder management · Requirement analysis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Runs delivery governance, tracking, risk and process-improvement; coaches teams on delivery practices.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PMO &amp; Delivery Excellence · PMO Manager
Project &amp; Program Delivery · Delivery Manager · Project Manager
Project &amp; Program Delivery · Project Manager</t>
        </is>
      </c>
      <c r="F18" s="34" t="inlineStr">
        <is>
          <t>H</t>
        </is>
      </c>
      <c r="G18" s="84" t="inlineStr">
        <is>
          <t>Works at B1: Domain specialist work</t>
        </is>
      </c>
      <c r="H18" s="84" t="inlineStr">
        <is>
          <t>Hardest problems in the domain · in Project &amp; Program Management: Project Management · Stakeholder management · Requirement analysis</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 · KRA themes: Common themes in manager-set KRAs: project · management · level · support · scope · client</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Runs delivery governance, tracking, risk and process-improvement; coaches teams on delivery practices.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PMO &amp; Delivery Excellence · PMO Manager
Project &amp; Program Delivery · Delivery Manager · Project Manager
Project &amp; Program Delivery · Project Manager</t>
        </is>
      </c>
      <c r="F19" s="34" t="inlineStr">
        <is>
          <t>H</t>
        </is>
      </c>
      <c r="G19" s="84" t="inlineStr">
        <is>
          <t>Works at B1: Domain specialist work</t>
        </is>
      </c>
      <c r="H19" s="84" t="inlineStr">
        <is>
          <t>Hardest problems in the domain · in Project &amp; Program Management: Project Management · Stakeholder management · Requirement analysis</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 · KRA themes: Common themes in manager-set KRAs: project · management · level · support · scope · client</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Runs delivery governance, tracking, risk and process-improvement; coaches teams on delivery practices.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Project &amp; Program Delivery · Associate Project Manager · Associate Project Manager – POD Lead · Project Manager – POD Lead</t>
        </is>
      </c>
      <c r="F20" s="34" t="inlineStr">
        <is>
          <t>H</t>
        </is>
      </c>
      <c r="G20" s="84" t="inlineStr">
        <is>
          <t>Works at A3: Varied and non-standard work; handles exceptions</t>
        </is>
      </c>
      <c r="H20" s="84" t="inlineStr">
        <is>
          <t>Domain specialist work · in Project &amp; Program Management: Project Management · Stakeholder Management</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projects · support · maintain · pm · reporting · on-time</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Plans and delivers projects/programmes to scope, time and cost; manages CRs, risks and stakeholders. At B1: a domain / module, or a small team.
Common themes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Project &amp; Program Delivery · Associate Project Manager · Associate Project Manager – POD Lead · Project Manager – POD Lead</t>
        </is>
      </c>
      <c r="F21" s="34" t="inlineStr">
        <is>
          <t>H</t>
        </is>
      </c>
      <c r="G21" s="84" t="inlineStr">
        <is>
          <t>Works at A3: Varied and non-standard work; handles exceptions</t>
        </is>
      </c>
      <c r="H21" s="84" t="inlineStr">
        <is>
          <t>Domain specialist work · in Project &amp; Program Management: Project Management · Stakeholder Management</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projects · support · maintain · pm · reporting · on-time</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Plans and delivers projects/programmes to scope, time and cost; manages CRs, risks and stakeholders. At B1: a domain / module, or a small team.
Common themes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Quality Assurance</t>
        </is>
      </c>
      <c r="O1" s="7" t="inlineStr">
        <is>
          <t>◂ Start</t>
        </is>
      </c>
    </row>
    <row r="2" ht="30" customHeight="1">
      <c r="A2" s="2" t="inlineStr">
        <is>
          <t>What Low, Medium and High mean for each of the seven parameters at every level of Quality Assurance,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Functional &amp; Domain Testing · Senior QA Specialist – POD Lead
Test Management &amp; QA Leadership · QA Manager · Senior QA Manager
Test Management &amp; QA Leadership · Senior QA Specialist – POD Lead</t>
        </is>
      </c>
      <c r="F18" s="34" t="inlineStr">
        <is>
          <t>H</t>
        </is>
      </c>
      <c r="G18" s="84" t="inlineStr">
        <is>
          <t>Works at B1: Domain specialist work</t>
        </is>
      </c>
      <c r="H18" s="84" t="inlineStr">
        <is>
          <t>Hardest problems in the domain · in Quality Assurance: Software testing · Test case design · regression testing · Functional testing · Manual Testing · Test Case execution · Analytical thinking · Attention to detail</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Designs and executes functional, regression and domain/AI-feature test cases; logs defects; supports sign-off.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Functional &amp; Domain Testing · Senior QA Specialist – POD Lead
Test Management &amp; QA Leadership · QA Manager · Senior QA Manager
Test Management &amp; QA Leadership · Senior QA Specialist – POD Lead</t>
        </is>
      </c>
      <c r="F19" s="34" t="inlineStr">
        <is>
          <t>H</t>
        </is>
      </c>
      <c r="G19" s="84" t="inlineStr">
        <is>
          <t>Works at B1: Domain specialist work</t>
        </is>
      </c>
      <c r="H19" s="84" t="inlineStr">
        <is>
          <t>Hardest problems in the domain · in Quality Assurance: Software testing · Test case design · regression testing · Functional testing · Manual Testing · Test Case execution · Analytical thinking · Attention to detail</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Designs and executes functional, regression and domain/AI-feature test cases; logs defects; supports sign-off.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Functional &amp; Domain Testing · QA Manager
Functional &amp; Domain Testing · QA Specialist – POD Lead</t>
        </is>
      </c>
      <c r="F20" s="34" t="inlineStr">
        <is>
          <t>H</t>
        </is>
      </c>
      <c r="G20" s="84" t="inlineStr">
        <is>
          <t>Works at A3: Varied and non-standard work; handles exceptions</t>
        </is>
      </c>
      <c r="H20" s="84" t="inlineStr">
        <is>
          <t>Domain specialist work · in Quality Assurance: Software Testing · Functional testing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business · portal · testing · maintained · resolution · automation</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Designs and executes functional, regression and domain/AI-feature test cases; logs defects; supports sign-off.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Functional &amp; Domain Testing · QA Manager
Functional &amp; Domain Testing · QA Specialist – POD Lead</t>
        </is>
      </c>
      <c r="F21" s="34" t="inlineStr">
        <is>
          <t>H</t>
        </is>
      </c>
      <c r="G21" s="84" t="inlineStr">
        <is>
          <t>Works at A3: Varied and non-standard work; handles exceptions</t>
        </is>
      </c>
      <c r="H21" s="84" t="inlineStr">
        <is>
          <t>Domain specialist work · in Quality Assurance: Software Testing · Functional testing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business · portal · testing · maintained · resolution · automation</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Designs and executes functional, regression and domain/AI-feature test cases; logs defects; supports sign-off.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Functional &amp; Domain Testing · Senior QA Engineer · QA Specialist
Test Automation · Senior QA Automation Engineer</t>
        </is>
      </c>
      <c r="F22" s="34" t="inlineStr">
        <is>
          <t>H</t>
        </is>
      </c>
      <c r="G22" s="84" t="inlineStr">
        <is>
          <t>Works at A2: Standard work of the discipline</t>
        </is>
      </c>
      <c r="H22" s="84" t="inlineStr">
        <is>
          <t>Varied and non-standard work; handles exceptions · in Quality Assurance: Software testing · regression testing · Test case design · Manual Testing · Execution · Test case execution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project · qa · quality · production · knowledge · test</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Designs and executes functional, regression and domain/AI-feature test cases; logs defects; supports sign-off.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Functional &amp; Domain Testing · QA Engineer</t>
        </is>
      </c>
      <c r="F23" s="34" t="inlineStr">
        <is>
          <t>H</t>
        </is>
      </c>
      <c r="G23" s="84" t="inlineStr">
        <is>
          <t>Works at A1: Learning; follows worked examples</t>
        </is>
      </c>
      <c r="H23" s="84" t="inlineStr">
        <is>
          <t>Standard work of the discipline · in Quality Assurance: Software testing · Test case design · regression testing · Functional testing · Manual Testing · Test Case execution · Analytical thinking · Attention to detail</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Designs and executes functional, regression and domain/AI-feature test cases; logs defects; supports sign-off.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Functional &amp; Domain Testing · Intern – Functional &amp; Domain Testing
Test Automation · Trainee QA Automation Engineer</t>
        </is>
      </c>
      <c r="F24" s="34" t="inlineStr">
        <is>
          <t>H</t>
        </is>
      </c>
      <c r="G24" s="84" t="inlineStr">
        <is>
          <t>Not yet at the entry standard · in induction</t>
        </is>
      </c>
      <c r="H24" s="84" t="inlineStr">
        <is>
          <t>Learning; follows worked examples · in Quality Assurance: Software testing · Test case design · regression testing · Functional testing · Manual Testing · Test Case execution · Analytical thinking · Attention to detail</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 · KRA themes: Common themes in manager-set KRAs: learning · defect · test · assigned · execution · resolve</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Designs and executes functional, regression and domain/AI-feature test cases; logs defects; supports sign-off.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L33"/>
  <sheetViews>
    <sheetView zoomScale="85" workbookViewId="0">
      <pane xSplit="5" ySplit="14" topLeftCell="F1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Sales &amp; Business Development</t>
        </is>
      </c>
      <c r="O1" s="7" t="inlineStr">
        <is>
          <t>◂ Start</t>
        </is>
      </c>
    </row>
    <row r="2" ht="30" customHeight="1">
      <c r="A2" s="2" t="inlineStr">
        <is>
          <t>What Low, Medium and High mean for each of the seven parameters at every level of Sales &amp; Business Development,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c r="A4" s="19" t="inlineStr">
        <is>
          <t>HR draft — Sales anchors by level · HR's sketch of 12 October 2026 · confirm the unit and how L1–L6 map to IRIS levels</t>
        </is>
      </c>
      <c r="B4" s="61" t="n"/>
      <c r="C4" s="61" t="n"/>
      <c r="D4" s="61" t="n"/>
      <c r="E4" s="61" t="n"/>
      <c r="F4" s="61" t="n"/>
      <c r="G4" s="61" t="n"/>
      <c r="H4" s="61" t="n"/>
      <c r="I4" s="61" t="n"/>
      <c r="J4" s="62" t="n"/>
    </row>
    <row r="5">
      <c r="A5" s="92" t="inlineStr">
        <is>
          <t>Parameter</t>
        </is>
      </c>
      <c r="B5" s="92" t="inlineStr">
        <is>
          <t>L1</t>
        </is>
      </c>
      <c r="C5" s="92" t="inlineStr">
        <is>
          <t>L2</t>
        </is>
      </c>
      <c r="D5" s="92" t="inlineStr">
        <is>
          <t>L3</t>
        </is>
      </c>
      <c r="E5" s="92" t="inlineStr">
        <is>
          <t>L4</t>
        </is>
      </c>
      <c r="F5" s="92" t="inlineStr">
        <is>
          <t>L5</t>
        </is>
      </c>
      <c r="G5" s="92" t="inlineStr">
        <is>
          <t>L6</t>
        </is>
      </c>
    </row>
    <row r="6">
      <c r="A6" s="92" t="inlineStr">
        <is>
          <t>Accountability</t>
        </is>
      </c>
      <c r="B6" s="40" t="inlineStr">
        <is>
          <t>20–30</t>
        </is>
      </c>
      <c r="C6" s="40" t="inlineStr">
        <is>
          <t>30–40</t>
        </is>
      </c>
      <c r="D6" s="40" t="inlineStr">
        <is>
          <t>50</t>
        </is>
      </c>
      <c r="E6" s="40" t="inlineStr">
        <is>
          <t>60</t>
        </is>
      </c>
      <c r="F6" s="40" t="inlineStr">
        <is>
          <t>80</t>
        </is>
      </c>
      <c r="G6" s="40" t="inlineStr">
        <is>
          <t>100</t>
        </is>
      </c>
    </row>
    <row r="7">
      <c r="A7" s="92" t="inlineStr">
        <is>
          <t>Impact</t>
        </is>
      </c>
      <c r="B7" s="40" t="inlineStr">
        <is>
          <t>5</t>
        </is>
      </c>
      <c r="C7" s="40" t="inlineStr">
        <is>
          <t>25</t>
        </is>
      </c>
      <c r="D7" s="40" t="inlineStr">
        <is>
          <t>Revenue numbers</t>
        </is>
      </c>
      <c r="E7" s="40" t="n"/>
      <c r="F7" s="40" t="n"/>
      <c r="G7" s="40" t="n"/>
    </row>
    <row r="8">
      <c r="A8" s="92" t="inlineStr">
        <is>
          <t>Complexity</t>
        </is>
      </c>
      <c r="B8" s="40" t="n"/>
      <c r="C8" s="40" t="n"/>
      <c r="D8" s="40" t="n"/>
      <c r="E8" s="40" t="n"/>
      <c r="F8" s="40" t="n"/>
      <c r="G8" s="40" t="n"/>
    </row>
    <row r="9">
      <c r="A9" s="92" t="inlineStr">
        <is>
          <t>Autonomy</t>
        </is>
      </c>
      <c r="B9" s="40" t="n"/>
      <c r="C9" s="40" t="n"/>
      <c r="D9" s="40" t="n"/>
      <c r="E9" s="40" t="n"/>
      <c r="F9" s="40" t="n"/>
      <c r="G9" s="40" t="n"/>
    </row>
    <row r="10">
      <c r="A10" s="92" t="inlineStr">
        <is>
          <t>Experience</t>
        </is>
      </c>
      <c r="B10" s="40" t="n"/>
      <c r="C10" s="40" t="n"/>
      <c r="D10" s="40" t="n"/>
      <c r="E10" s="40" t="n"/>
      <c r="F10" s="40" t="n"/>
      <c r="G10" s="40" t="n"/>
    </row>
    <row r="11">
      <c r="A11" s="92" t="inlineStr">
        <is>
          <t>Education</t>
        </is>
      </c>
      <c r="B11" s="40" t="n"/>
      <c r="C11" s="40" t="n"/>
      <c r="D11" s="40" t="n"/>
      <c r="E11" s="40" t="n"/>
      <c r="F11" s="40" t="n"/>
      <c r="G11" s="40" t="n"/>
    </row>
    <row r="13" ht="30" customHeight="1">
      <c r="A13" s="6" t="inlineStr">
        <is>
          <t>LEVEL</t>
        </is>
      </c>
      <c r="B13" s="6" t="n"/>
      <c r="C13" s="6" t="n"/>
      <c r="D13" s="6" t="n"/>
      <c r="E13" s="6" t="n"/>
      <c r="F13" s="45" t="inlineStr">
        <is>
          <t>COMPLEXITY &amp; EXPERTISE</t>
        </is>
      </c>
      <c r="G13" s="45" t="n"/>
      <c r="H13" s="45" t="n"/>
      <c r="I13" s="45" t="n"/>
      <c r="J13" s="45" t="inlineStr">
        <is>
          <t>AUTONOMY &amp; DECISION</t>
        </is>
      </c>
      <c r="K13" s="45" t="n"/>
      <c r="L13" s="45" t="n"/>
      <c r="M13" s="45" t="n"/>
      <c r="N13" s="45" t="inlineStr">
        <is>
          <t>ACCOUNTABILITY &amp; IMPACT</t>
        </is>
      </c>
      <c r="O13" s="45" t="n"/>
      <c r="P13" s="45" t="n"/>
      <c r="Q13" s="45" t="n"/>
      <c r="R13" s="47" t="inlineStr">
        <is>
          <t>LEADERSHIP &amp; STRATEGY</t>
        </is>
      </c>
      <c r="S13" s="47" t="n"/>
      <c r="T13" s="47" t="n"/>
      <c r="U13" s="47" t="n"/>
      <c r="V13" s="47" t="inlineStr">
        <is>
          <t>BUSINESS IMPACT</t>
        </is>
      </c>
      <c r="W13" s="47" t="n"/>
      <c r="X13" s="47" t="n"/>
      <c r="Y13" s="47" t="n"/>
      <c r="Z13" s="81" t="inlineStr">
        <is>
          <t>EXPERIENCE</t>
        </is>
      </c>
      <c r="AA13" s="81" t="n"/>
      <c r="AB13" s="81" t="n"/>
      <c r="AC13" s="81" t="n"/>
      <c r="AD13" s="81" t="inlineStr">
        <is>
          <t>EDUCATION</t>
        </is>
      </c>
      <c r="AE13" s="81" t="n"/>
      <c r="AF13" s="81" t="n"/>
      <c r="AG13" s="81" t="n"/>
      <c r="AH13" s="20" t="inlineStr">
        <is>
          <t>MARKET BENCHMARK &amp; REFERENCES</t>
        </is>
      </c>
      <c r="AI13" s="20" t="n"/>
      <c r="AJ13" s="20" t="n"/>
      <c r="AK13" s="20" t="n"/>
      <c r="AL13" s="20" t="n"/>
    </row>
    <row r="14" ht="60" customHeight="1">
      <c r="A14" s="22" t="inlineStr">
        <is>
          <t>Level</t>
        </is>
      </c>
      <c r="B14" s="22" t="inlineStr">
        <is>
          <t>Band</t>
        </is>
      </c>
      <c r="C14" s="22" t="inlineStr">
        <is>
          <t>Role group</t>
        </is>
      </c>
      <c r="D14" s="22" t="inlineStr">
        <is>
          <t>Level title</t>
        </is>
      </c>
      <c r="E14" s="22" t="inlineStr">
        <is>
          <t>Roles at this level in this family</t>
        </is>
      </c>
      <c r="F14" s="48" t="inlineStr">
        <is>
          <t>Weightage · L/M/H</t>
        </is>
      </c>
      <c r="G14" s="48" t="inlineStr">
        <is>
          <t>Low</t>
        </is>
      </c>
      <c r="H14" s="48" t="inlineStr">
        <is>
          <t>Medium</t>
        </is>
      </c>
      <c r="I14" s="48" t="inlineStr">
        <is>
          <t>High</t>
        </is>
      </c>
      <c r="J14" s="48" t="inlineStr">
        <is>
          <t>Weightage · L/M/H</t>
        </is>
      </c>
      <c r="K14" s="48" t="inlineStr">
        <is>
          <t>Low</t>
        </is>
      </c>
      <c r="L14" s="48" t="inlineStr">
        <is>
          <t>Medium</t>
        </is>
      </c>
      <c r="M14" s="48" t="inlineStr">
        <is>
          <t>High</t>
        </is>
      </c>
      <c r="N14" s="48" t="inlineStr">
        <is>
          <t>Weightage · L/M/H</t>
        </is>
      </c>
      <c r="O14" s="48" t="inlineStr">
        <is>
          <t>Low</t>
        </is>
      </c>
      <c r="P14" s="48" t="inlineStr">
        <is>
          <t>Medium</t>
        </is>
      </c>
      <c r="Q14" s="48" t="inlineStr">
        <is>
          <t>High</t>
        </is>
      </c>
      <c r="R14" s="50" t="inlineStr">
        <is>
          <t>Weightage · L/M/H</t>
        </is>
      </c>
      <c r="S14" s="50" t="inlineStr">
        <is>
          <t>Low</t>
        </is>
      </c>
      <c r="T14" s="50" t="inlineStr">
        <is>
          <t>Medium</t>
        </is>
      </c>
      <c r="U14" s="50" t="inlineStr">
        <is>
          <t>High</t>
        </is>
      </c>
      <c r="V14" s="50" t="inlineStr">
        <is>
          <t>Weightage · L/M/H</t>
        </is>
      </c>
      <c r="W14" s="50" t="inlineStr">
        <is>
          <t>Low</t>
        </is>
      </c>
      <c r="X14" s="50" t="inlineStr">
        <is>
          <t>Medium</t>
        </is>
      </c>
      <c r="Y14" s="50" t="inlineStr">
        <is>
          <t>High</t>
        </is>
      </c>
      <c r="Z14" s="82" t="inlineStr">
        <is>
          <t>Weightage · L/M/H</t>
        </is>
      </c>
      <c r="AA14" s="82" t="inlineStr">
        <is>
          <t>Low</t>
        </is>
      </c>
      <c r="AB14" s="82" t="inlineStr">
        <is>
          <t>Medium</t>
        </is>
      </c>
      <c r="AC14" s="82" t="inlineStr">
        <is>
          <t>High</t>
        </is>
      </c>
      <c r="AD14" s="82" t="inlineStr">
        <is>
          <t>Weightage · L/M/H</t>
        </is>
      </c>
      <c r="AE14" s="82" t="inlineStr">
        <is>
          <t>Low</t>
        </is>
      </c>
      <c r="AF14" s="82" t="inlineStr">
        <is>
          <t>Medium</t>
        </is>
      </c>
      <c r="AG14" s="82" t="inlineStr">
        <is>
          <t>High</t>
        </is>
      </c>
      <c r="AH14" s="26" t="inlineStr">
        <is>
          <t>Market weight % · C · Au · Ac · L · BI · Exp · Edu</t>
        </is>
      </c>
      <c r="AI14" s="26" t="inlineStr">
        <is>
          <t>Market experience · yrs</t>
        </is>
      </c>
      <c r="AJ14" s="26" t="inlineStr">
        <is>
          <t>Span norm</t>
        </is>
      </c>
      <c r="AK14" s="26" t="inlineStr">
        <is>
          <t>Radford / Mercer · SFIA 9</t>
        </is>
      </c>
      <c r="AL14" s="26" t="inlineStr">
        <is>
          <t>References</t>
        </is>
      </c>
    </row>
    <row r="15" ht="120" customHeight="1">
      <c r="A15" s="83" t="inlineStr">
        <is>
          <t>E2</t>
        </is>
      </c>
      <c r="B15" s="29" t="inlineStr">
        <is>
          <t>Band E · Enterprise leadership</t>
        </is>
      </c>
      <c r="C15" s="29" t="inlineStr">
        <is>
          <t>Bands D–E · Leadership</t>
        </is>
      </c>
      <c r="D15" s="29" t="inlineStr">
        <is>
          <t>Chief Executive Officer</t>
        </is>
      </c>
      <c r="E15" s="29" t="inlineStr">
        <is>
          <t>— no role at this level today</t>
        </is>
      </c>
      <c r="F15" s="34" t="inlineStr">
        <is>
          <t>H</t>
        </is>
      </c>
      <c r="G15" s="84" t="inlineStr">
        <is>
          <t>Works at E1: Enterprise-level functional strategy</t>
        </is>
      </c>
      <c r="H15" s="84" t="inlineStr">
        <is>
          <t>Enterprise-wide uncertainty, transformation and external forces</t>
        </is>
      </c>
      <c r="I15" s="84" t="inlineStr">
        <is>
          <t>Beyond the role · a board-level mandate</t>
        </is>
      </c>
      <c r="J15" s="34" t="inlineStr">
        <is>
          <t>M</t>
        </is>
      </c>
      <c r="K15" s="84" t="inlineStr">
        <is>
          <t>Works at E1: Sets enterprise priorities for the function</t>
        </is>
      </c>
      <c r="L15" s="84" t="inlineStr">
        <is>
          <t>Accountable to the board</t>
        </is>
      </c>
      <c r="M15" s="84" t="inlineStr">
        <is>
          <t>Beyond the role · a board-level mandate</t>
        </is>
      </c>
      <c r="N15" s="34" t="inlineStr">
        <is>
          <t>M</t>
        </is>
      </c>
      <c r="O15" s="84" t="inlineStr">
        <is>
          <t>Works at E1: Enterprise-wide functional results</t>
        </is>
      </c>
      <c r="P15" s="84" t="inlineStr">
        <is>
          <t>Enterprise results, risk, culture and long-term viability</t>
        </is>
      </c>
      <c r="Q15" s="84" t="inlineStr">
        <is>
          <t>Beyond the role · a board-level mandate</t>
        </is>
      </c>
      <c r="R15" s="34" t="inlineStr">
        <is>
          <t>M</t>
        </is>
      </c>
      <c r="S15" s="56" t="inlineStr">
        <is>
          <t>Works at E1: Shapes enterprise strategy</t>
        </is>
      </c>
      <c r="T15" s="56" t="inlineStr">
        <is>
          <t>Sets enterprise strategy; leads the executive team</t>
        </is>
      </c>
      <c r="U15" s="56" t="inlineStr">
        <is>
          <t>Beyond the role · a board-level mandate</t>
        </is>
      </c>
      <c r="V15" s="34" t="inlineStr">
        <is>
          <t>L</t>
        </is>
      </c>
      <c r="W15" s="56" t="inlineStr">
        <is>
          <t>Works at E1: Shapes company-wide results through a function</t>
        </is>
      </c>
      <c r="X15" s="56" t="inlineStr">
        <is>
          <t>Answers for the whole company's results and long-term value</t>
        </is>
      </c>
      <c r="Y15" s="56" t="inlineStr">
        <is>
          <t>Beyond the role · a board-level mandate</t>
        </is>
      </c>
      <c r="Z15" s="34" t="inlineStr">
        <is>
          <t>L</t>
        </is>
      </c>
      <c r="AA15" s="85" t="inlineStr">
        <is>
          <t>Less experience than the band's typical 20+ yrs</t>
        </is>
      </c>
      <c r="AB15" s="85" t="inlineStr">
        <is>
          <t>Typical for the band: 20+ yrs · market — yrs</t>
        </is>
      </c>
      <c r="AC15" s="85" t="inlineStr">
        <is>
          <t>More experience than the band's typical 20+ yrs</t>
        </is>
      </c>
      <c r="AD15" s="34" t="inlineStr">
        <is>
          <t>L</t>
        </is>
      </c>
      <c r="AE15" s="85" t="inlineStr">
        <is>
          <t>Below: Postgraduate / professional qualification; business leadership record</t>
        </is>
      </c>
      <c r="AF15" s="85" t="inlineStr">
        <is>
          <t>Postgraduate / professional qualification; proven business leadership</t>
        </is>
      </c>
      <c r="AG15" s="85" t="inlineStr">
        <is>
          <t>Board-level credentials beyond the role's need</t>
        </is>
      </c>
      <c r="AH15" s="44" t="inlineStr">
        <is>
          <t>36.3 · 19 · 11.3 · 20 · 8.7 · 4 · 1</t>
        </is>
      </c>
      <c r="AI15" s="38" t="inlineStr">
        <is>
          <t>20+ yrs</t>
        </is>
      </c>
      <c r="AJ15" s="38" t="inlineStr">
        <is>
          <t>Executive team</t>
        </is>
      </c>
      <c r="AK15" s="38" t="inlineStr">
        <is>
          <t>E6 · SFIA 7</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83" t="inlineStr">
        <is>
          <t>E1</t>
        </is>
      </c>
      <c r="B16" s="29" t="inlineStr">
        <is>
          <t>Band E · Enterprise leadership</t>
        </is>
      </c>
      <c r="C16" s="29" t="inlineStr">
        <is>
          <t>Bands D–E · Leadership</t>
        </is>
      </c>
      <c r="D16" s="29" t="inlineStr">
        <is>
          <t>CXO / President</t>
        </is>
      </c>
      <c r="E16" s="29" t="inlineStr">
        <is>
          <t>— no role at this level today</t>
        </is>
      </c>
      <c r="F16" s="34" t="inlineStr">
        <is>
          <t>H</t>
        </is>
      </c>
      <c r="G16" s="84" t="inlineStr">
        <is>
          <t>Works at D2: Portfolio-level strategic, financial and regulatory trade-offs</t>
        </is>
      </c>
      <c r="H16" s="84" t="inlineStr">
        <is>
          <t>Enterprise-level functional strategy</t>
        </is>
      </c>
      <c r="I16" s="84" t="inlineStr">
        <is>
          <t>Already works at E2: Enterprise-wide uncertainty, transformation and external forces</t>
        </is>
      </c>
      <c r="J16" s="34" t="inlineStr">
        <is>
          <t>M</t>
        </is>
      </c>
      <c r="K16" s="84" t="inlineStr">
        <is>
          <t>Works at D2: Sets direction across business lines</t>
        </is>
      </c>
      <c r="L16" s="84" t="inlineStr">
        <is>
          <t>Sets enterprise priorities for the function</t>
        </is>
      </c>
      <c r="M16" s="84" t="inlineStr">
        <is>
          <t>Already works at E2: Accountable to the board</t>
        </is>
      </c>
      <c r="N16" s="34" t="inlineStr">
        <is>
          <t>M</t>
        </is>
      </c>
      <c r="O16" s="84" t="inlineStr">
        <is>
          <t>Works at D2: Multi-business results</t>
        </is>
      </c>
      <c r="P16" s="84" t="inlineStr">
        <is>
          <t>Enterprise-wide functional results</t>
        </is>
      </c>
      <c r="Q16" s="84" t="inlineStr">
        <is>
          <t>Already works at E2: Enterprise results, risk, culture and long-term viability</t>
        </is>
      </c>
      <c r="R16" s="34" t="inlineStr">
        <is>
          <t>M</t>
        </is>
      </c>
      <c r="S16" s="56" t="inlineStr">
        <is>
          <t>Works at D2: Builds the leadership team across businesses</t>
        </is>
      </c>
      <c r="T16" s="56" t="inlineStr">
        <is>
          <t>Shapes enterprise strategy</t>
        </is>
      </c>
      <c r="U16" s="56" t="inlineStr">
        <is>
          <t>Already works at E2: Sets enterprise strategy; leads the executive team</t>
        </is>
      </c>
      <c r="V16" s="34" t="inlineStr">
        <is>
          <t>L</t>
        </is>
      </c>
      <c r="W16" s="56" t="inlineStr">
        <is>
          <t>Works at D2: Owns the results of several business lines</t>
        </is>
      </c>
      <c r="X16" s="56" t="inlineStr">
        <is>
          <t>Shapes company-wide results through a function</t>
        </is>
      </c>
      <c r="Y16" s="56" t="inlineStr">
        <is>
          <t>Already works at E2: Answers for the whole company's results and long-term value</t>
        </is>
      </c>
      <c r="Z16" s="34" t="inlineStr">
        <is>
          <t>L</t>
        </is>
      </c>
      <c r="AA16" s="85" t="inlineStr">
        <is>
          <t>Less experience than the band's typical 20+ yrs</t>
        </is>
      </c>
      <c r="AB16" s="85" t="inlineStr">
        <is>
          <t>Typical for the band: 20+ yrs · market — yrs</t>
        </is>
      </c>
      <c r="AC16" s="85" t="inlineStr">
        <is>
          <t>More experience than the band's typical 20+ yrs</t>
        </is>
      </c>
      <c r="AD16" s="34" t="inlineStr">
        <is>
          <t>L</t>
        </is>
      </c>
      <c r="AE16" s="85" t="inlineStr">
        <is>
          <t>Below: Postgraduate / professional qualification preferred</t>
        </is>
      </c>
      <c r="AF16" s="85" t="inlineStr">
        <is>
          <t>Postgraduate / professional qualification; business leadership record</t>
        </is>
      </c>
      <c r="AG16" s="85" t="inlineStr">
        <is>
          <t>Above: Postgraduate / professional qualification; proven business leadership</t>
        </is>
      </c>
      <c r="AH16" s="44" t="inlineStr">
        <is>
          <t>36.3 · 19 · 11.3 · 20 · 8.7 · 4 · 1</t>
        </is>
      </c>
      <c r="AI16" s="38" t="inlineStr">
        <is>
          <t>20+ yrs</t>
        </is>
      </c>
      <c r="AJ16" s="38" t="inlineStr">
        <is>
          <t>5–8 function heads</t>
        </is>
      </c>
      <c r="AK16" s="38" t="inlineStr">
        <is>
          <t>E5 · SFIA 7</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86" t="inlineStr">
        <is>
          <t>D2</t>
        </is>
      </c>
      <c r="B17" s="29" t="inlineStr">
        <is>
          <t>Band D · Business leadership</t>
        </is>
      </c>
      <c r="C17" s="29" t="inlineStr">
        <is>
          <t>Bands D–E · Leadership</t>
        </is>
      </c>
      <c r="D17" s="29" t="inlineStr">
        <is>
          <t>Senior Vice President / Business Head</t>
        </is>
      </c>
      <c r="E17" s="29" t="inlineStr">
        <is>
          <t>— no role at this level today</t>
        </is>
      </c>
      <c r="F17" s="34" t="inlineStr">
        <is>
          <t>H</t>
        </is>
      </c>
      <c r="G17" s="84" t="inlineStr">
        <is>
          <t>Works at D1: Competing strategic, financial and regulatory priorities</t>
        </is>
      </c>
      <c r="H17" s="84" t="inlineStr">
        <is>
          <t>Portfolio-level strategic, financial and regulatory trade-offs</t>
        </is>
      </c>
      <c r="I17" s="84" t="inlineStr">
        <is>
          <t>Already works at E1: Enterprise-level functional strategy</t>
        </is>
      </c>
      <c r="J17" s="34" t="inlineStr">
        <is>
          <t>M</t>
        </is>
      </c>
      <c r="K17" s="84" t="inlineStr">
        <is>
          <t>Works at D1: Sets business-line direction, pricing and investment</t>
        </is>
      </c>
      <c r="L17" s="84" t="inlineStr">
        <is>
          <t>Sets direction across business lines</t>
        </is>
      </c>
      <c r="M17" s="84" t="inlineStr">
        <is>
          <t>Already works at E1: Sets enterprise priorities for the function</t>
        </is>
      </c>
      <c r="N17" s="34" t="inlineStr">
        <is>
          <t>M</t>
        </is>
      </c>
      <c r="O17" s="84" t="inlineStr">
        <is>
          <t>Works at D1: Business-line P&amp;L and market position</t>
        </is>
      </c>
      <c r="P17" s="84" t="inlineStr">
        <is>
          <t>Multi-business results</t>
        </is>
      </c>
      <c r="Q17" s="84" t="inlineStr">
        <is>
          <t>Already works at E1: Enterprise-wide functional results</t>
        </is>
      </c>
      <c r="R17" s="34" t="inlineStr">
        <is>
          <t>M</t>
        </is>
      </c>
      <c r="S17" s="56" t="inlineStr">
        <is>
          <t>Works at D1: Defines business strategy; builds the leadership bench</t>
        </is>
      </c>
      <c r="T17" s="56" t="inlineStr">
        <is>
          <t>Builds the leadership team across businesses</t>
        </is>
      </c>
      <c r="U17" s="56" t="inlineStr">
        <is>
          <t>Already works at E1: Shapes enterprise strategy</t>
        </is>
      </c>
      <c r="V17" s="34" t="inlineStr">
        <is>
          <t>L</t>
        </is>
      </c>
      <c r="W17" s="56" t="inlineStr">
        <is>
          <t>Works at D1: Owns a business line's P&amp;L and growth, or a company-wide function</t>
        </is>
      </c>
      <c r="X17" s="56" t="inlineStr">
        <is>
          <t>Owns the results of several business lines</t>
        </is>
      </c>
      <c r="Y17" s="56" t="inlineStr">
        <is>
          <t>Already works at E1: Shapes company-wide results through a function</t>
        </is>
      </c>
      <c r="Z17" s="34" t="inlineStr">
        <is>
          <t>L</t>
        </is>
      </c>
      <c r="AA17" s="85" t="inlineStr">
        <is>
          <t>Less experience than the band's typical 18–24 yrs</t>
        </is>
      </c>
      <c r="AB17" s="85" t="inlineStr">
        <is>
          <t>Typical for the band: 18–24 yrs · market — yrs</t>
        </is>
      </c>
      <c r="AC17" s="85" t="inlineStr">
        <is>
          <t>More experience than the band's typical 18–24 yrs</t>
        </is>
      </c>
      <c r="AD17" s="34" t="inlineStr">
        <is>
          <t>L</t>
        </is>
      </c>
      <c r="AE17" s="85" t="inlineStr">
        <is>
          <t>Below: Postgraduate / professional qualification preferred</t>
        </is>
      </c>
      <c r="AF17" s="85" t="inlineStr">
        <is>
          <t>Postgraduate / professional qualification preferred</t>
        </is>
      </c>
      <c r="AG17" s="85" t="inlineStr">
        <is>
          <t>Above: Postgraduate / professional qualification; business leadership record</t>
        </is>
      </c>
      <c r="AH17" s="44" t="inlineStr">
        <is>
          <t>36.3 · 19 · 11.3 · 20 · 8.7 · 4 · 1</t>
        </is>
      </c>
      <c r="AI17" s="38" t="inlineStr">
        <is>
          <t>18–24 yrs</t>
        </is>
      </c>
      <c r="AJ17" s="38" t="inlineStr">
        <is>
          <t>5–8 AVPs / heads</t>
        </is>
      </c>
      <c r="AK17" s="38" t="inlineStr">
        <is>
          <t>E3–E4 · SFIA 7 Set strategy</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86" t="inlineStr">
        <is>
          <t>D1</t>
        </is>
      </c>
      <c r="B18" s="29" t="inlineStr">
        <is>
          <t>Band D · Business leadership</t>
        </is>
      </c>
      <c r="C18" s="29" t="inlineStr">
        <is>
          <t>Bands D–E · Leadership</t>
        </is>
      </c>
      <c r="D18" s="29" t="inlineStr">
        <is>
          <t>Associate Vice President</t>
        </is>
      </c>
      <c r="E18" s="29" t="inlineStr">
        <is>
          <t>— no role at this level today</t>
        </is>
      </c>
      <c r="F18" s="34" t="inlineStr">
        <is>
          <t>H</t>
        </is>
      </c>
      <c r="G18" s="84" t="inlineStr">
        <is>
          <t>Works at C2: Function-wide or company-wide problems; creates methods and standards</t>
        </is>
      </c>
      <c r="H18" s="84" t="inlineStr">
        <is>
          <t>Competing strategic, financial and regulatory priorities</t>
        </is>
      </c>
      <c r="I18" s="84" t="inlineStr">
        <is>
          <t>Already works at D2: Portfolio-level strategic, financial and regulatory trade-offs</t>
        </is>
      </c>
      <c r="J18" s="34" t="inlineStr">
        <is>
          <t>M</t>
        </is>
      </c>
      <c r="K18" s="84" t="inlineStr">
        <is>
          <t>Works at C2: Sets direction for a function</t>
        </is>
      </c>
      <c r="L18" s="84" t="inlineStr">
        <is>
          <t>Sets business-line direction, pricing and investment</t>
        </is>
      </c>
      <c r="M18" s="84" t="inlineStr">
        <is>
          <t>Already works at D2: Sets direction across business lines</t>
        </is>
      </c>
      <c r="N18" s="34" t="inlineStr">
        <is>
          <t>M</t>
        </is>
      </c>
      <c r="O18" s="84" t="inlineStr">
        <is>
          <t>Works at C2: Function results, budget and risk</t>
        </is>
      </c>
      <c r="P18" s="84" t="inlineStr">
        <is>
          <t>Business-line P&amp;L and market position</t>
        </is>
      </c>
      <c r="Q18" s="84" t="inlineStr">
        <is>
          <t>Already works at D2: Multi-business results</t>
        </is>
      </c>
      <c r="R18" s="34" t="inlineStr">
        <is>
          <t>M</t>
        </is>
      </c>
      <c r="S18" s="56" t="inlineStr">
        <is>
          <t>Works at C2: Leads a function; shapes functional strategy</t>
        </is>
      </c>
      <c r="T18" s="56" t="inlineStr">
        <is>
          <t>Defines business strategy; builds the leadership bench</t>
        </is>
      </c>
      <c r="U18" s="56" t="inlineStr">
        <is>
          <t>Already works at D2: Builds the leadership team across businesses</t>
        </is>
      </c>
      <c r="V18" s="34" t="inlineStr">
        <is>
          <t>L</t>
        </is>
      </c>
      <c r="W18" s="56" t="inlineStr">
        <is>
          <t>Works at C2: Drives a function's or department's results and costs</t>
        </is>
      </c>
      <c r="X18" s="56" t="inlineStr">
        <is>
          <t>Owns a business line's P&amp;L and growth, or a company-wide function</t>
        </is>
      </c>
      <c r="Y18" s="56" t="inlineStr">
        <is>
          <t>Already works at D2: Owns the results of several business lines</t>
        </is>
      </c>
      <c r="Z18" s="34" t="inlineStr">
        <is>
          <t>L</t>
        </is>
      </c>
      <c r="AA18" s="85" t="inlineStr">
        <is>
          <t>Less experience than the band's typical 15–20 yrs</t>
        </is>
      </c>
      <c r="AB18" s="85" t="inlineStr">
        <is>
          <t>Typical for the band: 15–20 yrs · market — yrs</t>
        </is>
      </c>
      <c r="AC18" s="85" t="inlineStr">
        <is>
          <t>More experience than the band's typical 15–20 yrs</t>
        </is>
      </c>
      <c r="AD18" s="34" t="inlineStr">
        <is>
          <t>L</t>
        </is>
      </c>
      <c r="AE18" s="85" t="inlineStr">
        <is>
          <t>Below: Postgraduate / professional qualification preferred</t>
        </is>
      </c>
      <c r="AF18" s="85" t="inlineStr">
        <is>
          <t>Postgraduate / professional qualification preferred</t>
        </is>
      </c>
      <c r="AG18" s="85" t="inlineStr">
        <is>
          <t>Above: Postgraduate / professional qualification preferred</t>
        </is>
      </c>
      <c r="AH18" s="44" t="inlineStr">
        <is>
          <t>36.3 · 19 · 11.3 · 20 · 8.7 · 4 · 1</t>
        </is>
      </c>
      <c r="AI18" s="38" t="inlineStr">
        <is>
          <t>15–20 yrs</t>
        </is>
      </c>
      <c r="AJ18" s="38" t="inlineStr">
        <is>
          <t>5–8 heads</t>
        </is>
      </c>
      <c r="AK18" s="38" t="inlineStr">
        <is>
          <t>E1–E2 · SFIA 6–7</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87" t="inlineStr">
        <is>
          <t>C+</t>
        </is>
      </c>
      <c r="B19" s="29" t="inlineStr">
        <is>
          <t>C+ · Player-Coach</t>
        </is>
      </c>
      <c r="C19" s="29" t="inlineStr">
        <is>
          <t>C+ · Player-Coach</t>
        </is>
      </c>
      <c r="D19" s="29" t="inlineStr">
        <is>
          <t>Group Head · Player-Coach</t>
        </is>
      </c>
      <c r="E19" s="29" t="inlineStr">
        <is>
          <t>— no role at this level today</t>
        </is>
      </c>
      <c r="F19" s="34" t="inlineStr">
        <is>
          <t>H</t>
        </is>
      </c>
      <c r="G19" s="84" t="inlineStr">
        <is>
          <t>Works at C2: Function-wide or company-wide problems; creates methods and standards</t>
        </is>
      </c>
      <c r="H19" s="84" t="inlineStr">
        <is>
          <t>Function-wide and cross-product problems; personally handles the most critical client or technical work</t>
        </is>
      </c>
      <c r="I19" s="84" t="inlineStr">
        <is>
          <t>Already works at D1: Competing strategic, financial and regulatory priorities</t>
        </is>
      </c>
      <c r="J19" s="34" t="inlineStr">
        <is>
          <t>M</t>
        </is>
      </c>
      <c r="K19" s="84" t="inlineStr">
        <is>
          <t>Works at C2: Sets direction for a function</t>
        </is>
      </c>
      <c r="L19" s="84" t="inlineStr">
        <is>
          <t>Sets direction for the function; business-line trade-offs go to the Business Head</t>
        </is>
      </c>
      <c r="M19" s="84" t="inlineStr">
        <is>
          <t>Already works at D1: Sets business-line direction, pricing and investment</t>
        </is>
      </c>
      <c r="N19" s="34" t="inlineStr">
        <is>
          <t>M</t>
        </is>
      </c>
      <c r="O19" s="84" t="inlineStr">
        <is>
          <t>Works at C2: Function results, budget and risk</t>
        </is>
      </c>
      <c r="P19" s="84" t="inlineStr">
        <is>
          <t>Function results, budget and key-client outcomes; carries own book or principal delivery</t>
        </is>
      </c>
      <c r="Q19" s="84" t="inlineStr">
        <is>
          <t>Already works at D1: Business-line P&amp;L and market position</t>
        </is>
      </c>
      <c r="R19" s="34" t="inlineStr">
        <is>
          <t>M</t>
        </is>
      </c>
      <c r="S19" s="56" t="inlineStr">
        <is>
          <t>Works at C2: Leads a function; shapes functional strategy</t>
        </is>
      </c>
      <c r="T19" s="56" t="inlineStr">
        <is>
          <t>Leads managers and leads and 10+ people in the function while staying hands-on</t>
        </is>
      </c>
      <c r="U19" s="56" t="inlineStr">
        <is>
          <t>Already works at D1: Defines business strategy; builds the leadership bench</t>
        </is>
      </c>
      <c r="V19" s="34" t="inlineStr">
        <is>
          <t>L</t>
        </is>
      </c>
      <c r="W19" s="56" t="inlineStr">
        <is>
          <t>Works at C2: Drives a function's or department's results and costs</t>
        </is>
      </c>
      <c r="X19" s="56" t="inlineStr">
        <is>
          <t>Drives a function's results and personally wins or delivers key work</t>
        </is>
      </c>
      <c r="Y19" s="56" t="inlineStr">
        <is>
          <t>Already works at D1: Owns a business line's P&amp;L and growth, or a company-wide function</t>
        </is>
      </c>
      <c r="Z19" s="34" t="inlineStr">
        <is>
          <t>L</t>
        </is>
      </c>
      <c r="AA19" s="85" t="inlineStr">
        <is>
          <t>Less experience than the band's typical 13–18 yrs</t>
        </is>
      </c>
      <c r="AB19" s="85" t="inlineStr">
        <is>
          <t>Typical for the band: 13–18 yrs · market 15–18 yrs</t>
        </is>
      </c>
      <c r="AC19" s="85" t="inlineStr">
        <is>
          <t>More experience than the band's typical 13–18 yrs</t>
        </is>
      </c>
      <c r="AD19" s="34" t="inlineStr">
        <is>
          <t>L</t>
        </is>
      </c>
      <c r="AE19" s="85" t="inlineStr">
        <is>
          <t>Below: Postgraduate / professional qualification preferred</t>
        </is>
      </c>
      <c r="AF19" s="85" t="inlineStr">
        <is>
          <t>Postgraduate / professional qualification preferred</t>
        </is>
      </c>
      <c r="AG19" s="85" t="inlineStr">
        <is>
          <t>Above: Postgraduate / professional qualification preferred</t>
        </is>
      </c>
      <c r="AH19" s="44" t="inlineStr">
        <is>
          <t>37.7 · 18.3 · 10.7 · 20 · 8 · 4 · 1</t>
        </is>
      </c>
      <c r="AI19" s="38" t="inlineStr">
        <is>
          <t>15–18</t>
        </is>
      </c>
      <c r="AJ19" s="38" t="inlineStr">
        <is>
          <t>4–8 managers / leads with ≥ 25% of time on own principal delivery</t>
        </is>
      </c>
      <c r="AK19" s="38" t="inlineStr">
        <is>
          <t>M6 / E1 · SFIA 6 Initiate, influence</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88" t="inlineStr">
        <is>
          <t>C2</t>
        </is>
      </c>
      <c r="B20" s="29" t="inlineStr">
        <is>
          <t>Band C · Principal / Head</t>
        </is>
      </c>
      <c r="C20" s="29" t="inlineStr">
        <is>
          <t>Band C · Head / manager</t>
        </is>
      </c>
      <c r="D20" s="29" t="inlineStr">
        <is>
          <t>Head of Function</t>
        </is>
      </c>
      <c r="E20" s="29" t="inlineStr">
        <is>
          <t>Sales Leadership · Head – Sales</t>
        </is>
      </c>
      <c r="F20" s="34" t="inlineStr">
        <is>
          <t>H</t>
        </is>
      </c>
      <c r="G20" s="84" t="inlineStr">
        <is>
          <t>Works at C1: Ambiguous, cross-product problems</t>
        </is>
      </c>
      <c r="H20" s="84" t="inlineStr">
        <is>
          <t>Function-wide or company-wide problems; creates methods and standards · in Sales &amp; Business Development: Sales</t>
        </is>
      </c>
      <c r="I20" s="84" t="inlineStr">
        <is>
          <t>Already works at D1: Competing strategic, financial and regulatory priorities</t>
        </is>
      </c>
      <c r="J20" s="34" t="inlineStr">
        <is>
          <t>M</t>
        </is>
      </c>
      <c r="K20" s="84" t="inlineStr">
        <is>
          <t>Works at C1: Sets direction for a sub-function or domain</t>
        </is>
      </c>
      <c r="L20" s="84" t="inlineStr">
        <is>
          <t>Sets direction for a function</t>
        </is>
      </c>
      <c r="M20" s="84" t="inlineStr">
        <is>
          <t>Already works at D1: Sets business-line direction, pricing and investment</t>
        </is>
      </c>
      <c r="N20" s="34" t="inlineStr">
        <is>
          <t>L</t>
        </is>
      </c>
      <c r="O20" s="84" t="inlineStr">
        <is>
          <t>Works at C1: Sub-function results or domain quality across products</t>
        </is>
      </c>
      <c r="P20" s="84" t="inlineStr">
        <is>
          <t>Function results, budget and risk</t>
        </is>
      </c>
      <c r="Q20" s="84" t="inlineStr">
        <is>
          <t>Already works at D1: Business-line P&amp;L and market position</t>
        </is>
      </c>
      <c r="R20" s="34" t="inlineStr">
        <is>
          <t>M</t>
        </is>
      </c>
      <c r="S20" s="56" t="inlineStr">
        <is>
          <t>Works at C1: Leads managers or a community of practice</t>
        </is>
      </c>
      <c r="T20" s="56" t="inlineStr">
        <is>
          <t>Leads a function; shapes functional strategy</t>
        </is>
      </c>
      <c r="U20" s="56" t="inlineStr">
        <is>
          <t>Already works at D1: Defines business strategy; builds the leadership bench</t>
        </is>
      </c>
      <c r="V20" s="34" t="inlineStr">
        <is>
          <t>M</t>
        </is>
      </c>
      <c r="W20" s="56" t="inlineStr">
        <is>
          <t>Works at C1: Changes results across a sub-function or across products</t>
        </is>
      </c>
      <c r="X20" s="56" t="inlineStr">
        <is>
          <t>Drives a function's or department's results and costs · purpose: Leads the sales &amp; business development function. At C2: a function or department, or a company-wide discipline.
Common themes in sub-family holders, all …</t>
        </is>
      </c>
      <c r="Y20" s="56" t="inlineStr">
        <is>
          <t>Already works at D1: Owns a business line's P&amp;L and growth, or a company-wide function</t>
        </is>
      </c>
      <c r="Z20" s="34" t="inlineStr">
        <is>
          <t>L</t>
        </is>
      </c>
      <c r="AA20" s="85" t="inlineStr">
        <is>
          <t>Less experience than the band's typical 12–17 yrs</t>
        </is>
      </c>
      <c r="AB20" s="85" t="inlineStr">
        <is>
          <t>Typical for the band: 12–17 yrs · market — yrs</t>
        </is>
      </c>
      <c r="AC20" s="85" t="inlineStr">
        <is>
          <t>More experience than the band's typical 12–17 yrs</t>
        </is>
      </c>
      <c r="AD20" s="34" t="inlineStr">
        <is>
          <t>L</t>
        </is>
      </c>
      <c r="AE20" s="85" t="inlineStr">
        <is>
          <t>Below: Postgraduate / professional qualification preferred</t>
        </is>
      </c>
      <c r="AF20" s="85" t="inlineStr">
        <is>
          <t>Postgraduate / professional qualification preferred</t>
        </is>
      </c>
      <c r="AG20" s="85" t="inlineStr">
        <is>
          <t>Above: Postgraduate / professional qualification preferred</t>
        </is>
      </c>
      <c r="AH20" s="44" t="inlineStr">
        <is>
          <t>43.3 · 18 · 10.7 · 15 · 8 · 4 · 1</t>
        </is>
      </c>
      <c r="AI20" s="38" t="inlineStr">
        <is>
          <t>12–17 yrs</t>
        </is>
      </c>
      <c r="AJ20" s="38" t="inlineStr">
        <is>
          <t>5–8 managers / associate heads</t>
        </is>
      </c>
      <c r="AK20" s="38" t="inlineStr">
        <is>
          <t>P7 / M6 · SFIA 6 Initiate, influence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88" t="inlineStr">
        <is>
          <t>C2</t>
        </is>
      </c>
      <c r="B21" s="29" t="inlineStr">
        <is>
          <t>Band C · Principal / Head</t>
        </is>
      </c>
      <c r="C21" s="29" t="inlineStr">
        <is>
          <t>Band C · Principal specialist</t>
        </is>
      </c>
      <c r="D21" s="29" t="inlineStr">
        <is>
          <t>Senior Principal / Architect</t>
        </is>
      </c>
      <c r="E21" s="29" t="inlineStr">
        <is>
          <t>Sales Leadership · Head – Sales</t>
        </is>
      </c>
      <c r="F21" s="34" t="inlineStr">
        <is>
          <t>H</t>
        </is>
      </c>
      <c r="G21" s="84" t="inlineStr">
        <is>
          <t>Works at C1: Ambiguous, cross-product problems</t>
        </is>
      </c>
      <c r="H21" s="84" t="inlineStr">
        <is>
          <t>Function-wide or company-wide problems; creates methods and standards · in Sales &amp; Business Development: Sales</t>
        </is>
      </c>
      <c r="I21" s="84" t="inlineStr">
        <is>
          <t>Already works at D1: Competing strategic, financial and regulatory priorities</t>
        </is>
      </c>
      <c r="J21" s="34" t="inlineStr">
        <is>
          <t>M</t>
        </is>
      </c>
      <c r="K21" s="84" t="inlineStr">
        <is>
          <t>Works at C1: Sets direction for a sub-function or domain</t>
        </is>
      </c>
      <c r="L21" s="84" t="inlineStr">
        <is>
          <t>Sets direction for a function</t>
        </is>
      </c>
      <c r="M21" s="84" t="inlineStr">
        <is>
          <t>Already works at D1: Sets business-line direction, pricing and investment</t>
        </is>
      </c>
      <c r="N21" s="34" t="inlineStr">
        <is>
          <t>L</t>
        </is>
      </c>
      <c r="O21" s="84" t="inlineStr">
        <is>
          <t>Works at C1: Sub-function results or domain quality across products</t>
        </is>
      </c>
      <c r="P21" s="84" t="inlineStr">
        <is>
          <t>Function results, budget and risk</t>
        </is>
      </c>
      <c r="Q21" s="84" t="inlineStr">
        <is>
          <t>Already works at D1: Business-line P&amp;L and market position</t>
        </is>
      </c>
      <c r="R21" s="34" t="inlineStr">
        <is>
          <t>L</t>
        </is>
      </c>
      <c r="S21" s="56" t="inlineStr">
        <is>
          <t>Works at C1: Leads managers or a community of practice</t>
        </is>
      </c>
      <c r="T21" s="56" t="inlineStr">
        <is>
          <t>Leads a function; shapes functional strategy</t>
        </is>
      </c>
      <c r="U21" s="56" t="inlineStr">
        <is>
          <t>Already works at D1: Defines business strategy; builds the leadership bench</t>
        </is>
      </c>
      <c r="V21" s="34" t="inlineStr">
        <is>
          <t>M</t>
        </is>
      </c>
      <c r="W21" s="56" t="inlineStr">
        <is>
          <t>Works at C1: Changes results across a sub-function or across products</t>
        </is>
      </c>
      <c r="X21" s="56" t="inlineStr">
        <is>
          <t>Drives a function's or department's results and costs · purpose: Leads the sales &amp; business development function. At C2: a function or department, or a company-wide discipline.
Common themes in sub-family holders, all …</t>
        </is>
      </c>
      <c r="Y21" s="56" t="inlineStr">
        <is>
          <t>Already works at D1: Owns a business line's P&amp;L and growth, or a company-wide function</t>
        </is>
      </c>
      <c r="Z21" s="34" t="inlineStr">
        <is>
          <t>L</t>
        </is>
      </c>
      <c r="AA21" s="85" t="inlineStr">
        <is>
          <t>Less experience than the band's typical 12–17 yrs</t>
        </is>
      </c>
      <c r="AB21" s="85" t="inlineStr">
        <is>
          <t>Typical for the band: 12–17 yrs · market — yrs</t>
        </is>
      </c>
      <c r="AC21" s="85" t="inlineStr">
        <is>
          <t>More experience than the band's typical 12–17 yrs</t>
        </is>
      </c>
      <c r="AD21" s="34" t="inlineStr">
        <is>
          <t>L</t>
        </is>
      </c>
      <c r="AE21" s="85" t="inlineStr">
        <is>
          <t>Below: Postgraduate / professional qualification preferred</t>
        </is>
      </c>
      <c r="AF21" s="85" t="inlineStr">
        <is>
          <t>Postgraduate / professional qualification preferred</t>
        </is>
      </c>
      <c r="AG21" s="85" t="inlineStr">
        <is>
          <t>Above: Postgraduate / professional qualification preferred</t>
        </is>
      </c>
      <c r="AH21" s="44" t="inlineStr">
        <is>
          <t>54.3 · 17.7 · 10.3 · 5 · 7.7 · 4 · 1</t>
        </is>
      </c>
      <c r="AI21" s="38" t="inlineStr">
        <is>
          <t>12–17 yrs</t>
        </is>
      </c>
      <c r="AJ21" s="38" t="inlineStr">
        <is>
          <t>5–8 managers / associate heads</t>
        </is>
      </c>
      <c r="AK21" s="38" t="inlineStr">
        <is>
          <t>P7 / M6 · SFIA 6 Initiate, influence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88" t="inlineStr">
        <is>
          <t>C1</t>
        </is>
      </c>
      <c r="B22" s="29" t="inlineStr">
        <is>
          <t>Band C · Principal / Head</t>
        </is>
      </c>
      <c r="C22" s="29" t="inlineStr">
        <is>
          <t>Band C · Head / manager</t>
        </is>
      </c>
      <c r="D22" s="29" t="inlineStr">
        <is>
          <t>Associate Head</t>
        </is>
      </c>
      <c r="E22" s="29" t="inlineStr">
        <is>
          <t>Sales Leadership · Principal – Enterprise Sales · Principal – Sales</t>
        </is>
      </c>
      <c r="F22" s="34" t="inlineStr">
        <is>
          <t>H</t>
        </is>
      </c>
      <c r="G22" s="84" t="inlineStr">
        <is>
          <t>Works at B3: Sets standards for a practice; cross-team problems</t>
        </is>
      </c>
      <c r="H22" s="84" t="inlineStr">
        <is>
          <t>Ambiguous, cross-product problems · in Sales &amp; Business Development: Sales</t>
        </is>
      </c>
      <c r="I22" s="84" t="inlineStr">
        <is>
          <t>Already works at C2: Function-wide or company-wide problems; creates methods and standards</t>
        </is>
      </c>
      <c r="J22" s="34" t="inlineStr">
        <is>
          <t>M</t>
        </is>
      </c>
      <c r="K22" s="84" t="inlineStr">
        <is>
          <t>Works at B3: Commercial / strategic calls for the unit</t>
        </is>
      </c>
      <c r="L22" s="84" t="inlineStr">
        <is>
          <t>Sets direction for a sub-function or domain</t>
        </is>
      </c>
      <c r="M22" s="84" t="inlineStr">
        <is>
          <t>Already works at C2: Sets direction for a function</t>
        </is>
      </c>
      <c r="N22" s="34" t="inlineStr">
        <is>
          <t>L</t>
        </is>
      </c>
      <c r="O22" s="84" t="inlineStr">
        <is>
          <t>Works at B3: Several teams or a practice</t>
        </is>
      </c>
      <c r="P22" s="84" t="inlineStr">
        <is>
          <t>Sub-function results or domain quality across products</t>
        </is>
      </c>
      <c r="Q22" s="84" t="inlineStr">
        <is>
          <t>Already works at C2: Function results, budget and risk</t>
        </is>
      </c>
      <c r="R22" s="34" t="inlineStr">
        <is>
          <t>M</t>
        </is>
      </c>
      <c r="S22" s="56" t="inlineStr">
        <is>
          <t>Works at B3: IC: leads a practice · People: team leads / managers report in</t>
        </is>
      </c>
      <c r="T22" s="56" t="inlineStr">
        <is>
          <t>Leads managers or a community of practice</t>
        </is>
      </c>
      <c r="U22" s="56" t="inlineStr">
        <is>
          <t>Already works at C2: Leads a function; shapes functional strategy</t>
        </is>
      </c>
      <c r="V22" s="34" t="inlineStr">
        <is>
          <t>M</t>
        </is>
      </c>
      <c r="W22" s="56" t="inlineStr">
        <is>
          <t>Works at B3: Shapes the results of a practice or several teams</t>
        </is>
      </c>
      <c r="X22" s="56" t="inlineStr">
        <is>
          <t>Changes results across a sub-function or across products · purpose: Leads the sales &amp; business development function. At C1: a sub-function, or principal authority across products.
Common themes in sub-family holders, all …</t>
        </is>
      </c>
      <c r="Y22" s="56" t="inlineStr">
        <is>
          <t>Already works at C2: Drives a function's or department's results and costs</t>
        </is>
      </c>
      <c r="Z22" s="34" t="inlineStr">
        <is>
          <t>L</t>
        </is>
      </c>
      <c r="AA22" s="85" t="inlineStr">
        <is>
          <t>Less experience than the band's typical 10–14 yrs</t>
        </is>
      </c>
      <c r="AB22" s="85" t="inlineStr">
        <is>
          <t>Typical for the band: 10–14 yrs · market 12–17 yrs</t>
        </is>
      </c>
      <c r="AC22" s="85" t="inlineStr">
        <is>
          <t>More experience than the band's typical 10–14 yrs</t>
        </is>
      </c>
      <c r="AD22" s="34" t="inlineStr">
        <is>
          <t>L</t>
        </is>
      </c>
      <c r="AE22" s="85" t="inlineStr">
        <is>
          <t>Below: Postgraduate or professional qualification preferred</t>
        </is>
      </c>
      <c r="AF22" s="85" t="inlineStr">
        <is>
          <t>Postgraduate / professional qualification preferred</t>
        </is>
      </c>
      <c r="AG22" s="85" t="inlineStr">
        <is>
          <t>Above: Postgraduate / professional qualification preferred</t>
        </is>
      </c>
      <c r="AH22" s="44" t="inlineStr">
        <is>
          <t>43.3 · 18 · 10.7 · 15 · 8 · 4 · 1</t>
        </is>
      </c>
      <c r="AI22" s="38" t="inlineStr">
        <is>
          <t>12–17</t>
        </is>
      </c>
      <c r="AJ22" s="38" t="inlineStr">
        <is>
          <t>5–8, mostly managers</t>
        </is>
      </c>
      <c r="AK22" s="38" t="inlineStr">
        <is>
          <t>P6 / M5 · SFIA 5–6</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88" t="inlineStr">
        <is>
          <t>C1</t>
        </is>
      </c>
      <c r="B23" s="29" t="inlineStr">
        <is>
          <t>Band C · Principal / Head</t>
        </is>
      </c>
      <c r="C23" s="29" t="inlineStr">
        <is>
          <t>Band C · Principal specialist</t>
        </is>
      </c>
      <c r="D23" s="29" t="inlineStr">
        <is>
          <t>Principal</t>
        </is>
      </c>
      <c r="E23" s="29" t="inlineStr">
        <is>
          <t>Sales Leadership · Principal – Enterprise Sales · Principal – Sales</t>
        </is>
      </c>
      <c r="F23" s="34" t="inlineStr">
        <is>
          <t>H</t>
        </is>
      </c>
      <c r="G23" s="84" t="inlineStr">
        <is>
          <t>Works at B3: Sets standards for a practice; cross-team problems</t>
        </is>
      </c>
      <c r="H23" s="84" t="inlineStr">
        <is>
          <t>Ambiguous, cross-product problems · in Sales &amp; Business Development: Sales</t>
        </is>
      </c>
      <c r="I23" s="84" t="inlineStr">
        <is>
          <t>Already works at C2: Function-wide or company-wide problems; creates methods and standards</t>
        </is>
      </c>
      <c r="J23" s="34" t="inlineStr">
        <is>
          <t>M</t>
        </is>
      </c>
      <c r="K23" s="84" t="inlineStr">
        <is>
          <t>Works at B3: Commercial / strategic calls for the unit</t>
        </is>
      </c>
      <c r="L23" s="84" t="inlineStr">
        <is>
          <t>Sets direction for a sub-function or domain</t>
        </is>
      </c>
      <c r="M23" s="84" t="inlineStr">
        <is>
          <t>Already works at C2: Sets direction for a function</t>
        </is>
      </c>
      <c r="N23" s="34" t="inlineStr">
        <is>
          <t>L</t>
        </is>
      </c>
      <c r="O23" s="84" t="inlineStr">
        <is>
          <t>Works at B3: Several teams or a practice</t>
        </is>
      </c>
      <c r="P23" s="84" t="inlineStr">
        <is>
          <t>Sub-function results or domain quality across products</t>
        </is>
      </c>
      <c r="Q23" s="84" t="inlineStr">
        <is>
          <t>Already works at C2: Function results, budget and risk</t>
        </is>
      </c>
      <c r="R23" s="34" t="inlineStr">
        <is>
          <t>L</t>
        </is>
      </c>
      <c r="S23" s="56" t="inlineStr">
        <is>
          <t>Works at B3: IC: leads a practice · People: team leads / managers report in</t>
        </is>
      </c>
      <c r="T23" s="56" t="inlineStr">
        <is>
          <t>Leads managers or a community of practice</t>
        </is>
      </c>
      <c r="U23" s="56" t="inlineStr">
        <is>
          <t>Already works at C2: Leads a function; shapes functional strategy</t>
        </is>
      </c>
      <c r="V23" s="34" t="inlineStr">
        <is>
          <t>M</t>
        </is>
      </c>
      <c r="W23" s="56" t="inlineStr">
        <is>
          <t>Works at B3: Shapes the results of a practice or several teams</t>
        </is>
      </c>
      <c r="X23" s="56" t="inlineStr">
        <is>
          <t>Changes results across a sub-function or across products · purpose: Leads the sales &amp; business development function. At C1: a sub-function, or principal authority across products.
Common themes in sub-family holders, all …</t>
        </is>
      </c>
      <c r="Y23" s="56" t="inlineStr">
        <is>
          <t>Already works at C2: Drives a function's or department's results and costs</t>
        </is>
      </c>
      <c r="Z23" s="34" t="inlineStr">
        <is>
          <t>L</t>
        </is>
      </c>
      <c r="AA23" s="85" t="inlineStr">
        <is>
          <t>Less experience than the band's typical 10–14 yrs</t>
        </is>
      </c>
      <c r="AB23" s="85" t="inlineStr">
        <is>
          <t>Typical for the band: 10–14 yrs · market 12–17 yrs</t>
        </is>
      </c>
      <c r="AC23" s="85" t="inlineStr">
        <is>
          <t>More experience than the band's typical 10–14 yrs</t>
        </is>
      </c>
      <c r="AD23" s="34" t="inlineStr">
        <is>
          <t>L</t>
        </is>
      </c>
      <c r="AE23" s="85" t="inlineStr">
        <is>
          <t>Below: Postgraduate or professional qualification preferred</t>
        </is>
      </c>
      <c r="AF23" s="85" t="inlineStr">
        <is>
          <t>Postgraduate / professional qualification preferred</t>
        </is>
      </c>
      <c r="AG23" s="85" t="inlineStr">
        <is>
          <t>Above: Postgraduate / professional qualification preferred</t>
        </is>
      </c>
      <c r="AH23" s="44" t="inlineStr">
        <is>
          <t>54.3 · 17.7 · 10.3 · 5 · 7.7 · 4 · 1</t>
        </is>
      </c>
      <c r="AI23" s="38" t="inlineStr">
        <is>
          <t>12–17</t>
        </is>
      </c>
      <c r="AJ23" s="38" t="inlineStr">
        <is>
          <t>5–8, mostly managers</t>
        </is>
      </c>
      <c r="AK23" s="38" t="inlineStr">
        <is>
          <t>P6 / M5 · SFIA 5–6</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89" t="inlineStr">
        <is>
          <t>B+</t>
        </is>
      </c>
      <c r="B24" s="29" t="inlineStr">
        <is>
          <t>B+ · Player-Coach</t>
        </is>
      </c>
      <c r="C24" s="29" t="inlineStr">
        <is>
          <t>B+ · Player-Coach</t>
        </is>
      </c>
      <c r="D24" s="29" t="inlineStr">
        <is>
          <t>Practice Lead · Player-Coach</t>
        </is>
      </c>
      <c r="E24" s="29" t="inlineStr">
        <is>
          <t>— no role at this level today</t>
        </is>
      </c>
      <c r="F24" s="34" t="inlineStr">
        <is>
          <t>H</t>
        </is>
      </c>
      <c r="G24" s="84" t="inlineStr">
        <is>
          <t>Works at B3: Sets standards for a practice; cross-team problems</t>
        </is>
      </c>
      <c r="H24" s="84" t="inlineStr">
        <is>
          <t>Principal-level problems in own domain; sets technical or quality standards and still builds</t>
        </is>
      </c>
      <c r="I24" s="84" t="inlineStr">
        <is>
          <t>Already works at C1: Ambiguous, cross-product problems</t>
        </is>
      </c>
      <c r="J24" s="34" t="inlineStr">
        <is>
          <t>M</t>
        </is>
      </c>
      <c r="K24" s="84" t="inlineStr">
        <is>
          <t>Works at B3: Commercial / strategic calls for the unit</t>
        </is>
      </c>
      <c r="L24" s="84" t="inlineStr">
        <is>
          <t>Decides approach and priorities for the practice; escalates only cross-function trade-offs</t>
        </is>
      </c>
      <c r="M24" s="84" t="inlineStr">
        <is>
          <t>Already works at C1: Sets direction for a sub-function or domain</t>
        </is>
      </c>
      <c r="N24" s="34" t="inlineStr">
        <is>
          <t>L</t>
        </is>
      </c>
      <c r="O24" s="84" t="inlineStr">
        <is>
          <t>Works at B3: Several teams or a practice</t>
        </is>
      </c>
      <c r="P24" s="84" t="inlineStr">
        <is>
          <t>Practice outcomes plus own deliverables; quality and delivery of the team</t>
        </is>
      </c>
      <c r="Q24" s="84" t="inlineStr">
        <is>
          <t>Already works at C1: Sub-function results or domain quality across products</t>
        </is>
      </c>
      <c r="R24" s="34" t="inlineStr">
        <is>
          <t>M</t>
        </is>
      </c>
      <c r="S24" s="56" t="inlineStr">
        <is>
          <t>Works at B3: IC: leads a practice · People: team leads / managers report in</t>
        </is>
      </c>
      <c r="T24" s="56" t="inlineStr">
        <is>
          <t>Leads 3–6 people · or a pod while remaining a hands-on expert; coaches, allocates, reviews</t>
        </is>
      </c>
      <c r="U24" s="56" t="inlineStr">
        <is>
          <t>Already works at C1: Leads managers or a community of practice</t>
        </is>
      </c>
      <c r="V24" s="34" t="inlineStr">
        <is>
          <t>M</t>
        </is>
      </c>
      <c r="W24" s="56" t="inlineStr">
        <is>
          <t>Works at B3: Shapes the results of a practice or several teams</t>
        </is>
      </c>
      <c r="X24" s="56" t="inlineStr">
        <is>
          <t>Drives a practice's results while delivering the hardest work</t>
        </is>
      </c>
      <c r="Y24" s="56" t="inlineStr">
        <is>
          <t>Already works at C1: Changes results across a sub-function or across products</t>
        </is>
      </c>
      <c r="Z24" s="34" t="inlineStr">
        <is>
          <t>L</t>
        </is>
      </c>
      <c r="AA24" s="85" t="inlineStr">
        <is>
          <t>Less experience than the band's typical 9–14 yrs</t>
        </is>
      </c>
      <c r="AB24" s="85" t="inlineStr">
        <is>
          <t>Typical for the band: 9–14 yrs · market 9–14 yrs</t>
        </is>
      </c>
      <c r="AC24" s="85" t="inlineStr">
        <is>
          <t>More experience than the band's typical 9–14 yrs</t>
        </is>
      </c>
      <c r="AD24" s="34" t="inlineStr">
        <is>
          <t>L</t>
        </is>
      </c>
      <c r="AE24" s="85" t="inlineStr">
        <is>
          <t>Below: Postgraduate or professional qualification preferred</t>
        </is>
      </c>
      <c r="AF24" s="85" t="inlineStr">
        <is>
          <t>Postgraduate or professional qualification preferred</t>
        </is>
      </c>
      <c r="AG24" s="85" t="inlineStr">
        <is>
          <t>Above: Postgraduate / professional qualification preferred</t>
        </is>
      </c>
      <c r="AH24" s="44" t="inlineStr">
        <is>
          <t>44 · 17.7 · 10.3 · 10 · 7.7 · 6 · 4</t>
        </is>
      </c>
      <c r="AI24" s="38" t="inlineStr">
        <is>
          <t>9–14</t>
        </is>
      </c>
      <c r="AJ24" s="38" t="inlineStr">
        <is>
          <t>3–6 direct reports with ≥ 40% of time on own delivery · McKinsey player/coach 3–5; Google Tech Lead Manager</t>
        </is>
      </c>
      <c r="AK24" s="38" t="inlineStr">
        <is>
          <t>P5–P6 / M4–M5 · SFIA 5 Ensure, advise</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5" ht="120" customHeight="1">
      <c r="A25" s="90" t="inlineStr">
        <is>
          <t>B3</t>
        </is>
      </c>
      <c r="B25" s="29" t="inlineStr">
        <is>
          <t>Band B · Specialist / Manager</t>
        </is>
      </c>
      <c r="C25" s="29" t="inlineStr">
        <is>
          <t>Band B · People Manager</t>
        </is>
      </c>
      <c r="D25" s="29" t="inlineStr">
        <is>
          <t>Senior Manager</t>
        </is>
      </c>
      <c r="E25" s="29" t="inlineStr">
        <is>
          <t>Partnerships &amp; Alliances · Lead Alliances Specialist – POD Lead
Sales Leadership · Lead Account Executive</t>
        </is>
      </c>
      <c r="F25" s="34" t="inlineStr">
        <is>
          <t>H</t>
        </is>
      </c>
      <c r="G25" s="84" t="inlineStr">
        <is>
          <t>Works at B2: Hardest problems in the domain</t>
        </is>
      </c>
      <c r="H25" s="84" t="inlineStr">
        <is>
          <t>Sets standards for a practice; cross-team problems · in Sales &amp; Business Development: Sales</t>
        </is>
      </c>
      <c r="I25" s="84" t="inlineStr">
        <is>
          <t>Already works at C1: Ambiguous, cross-product problems</t>
        </is>
      </c>
      <c r="J25" s="34" t="inlineStr">
        <is>
          <t>M</t>
        </is>
      </c>
      <c r="K25" s="84" t="inlineStr">
        <is>
          <t>Works at B2: Allocates people and sets team priorities</t>
        </is>
      </c>
      <c r="L25" s="84" t="inlineStr">
        <is>
          <t>Commercial / strategic calls for the unit</t>
        </is>
      </c>
      <c r="M25" s="84" t="inlineStr">
        <is>
          <t>Already works at C1: Sets direction for a sub-function or domain</t>
        </is>
      </c>
      <c r="N25" s="34" t="inlineStr">
        <is>
          <t>L</t>
        </is>
      </c>
      <c r="O25" s="84" t="inlineStr">
        <is>
          <t>Works at B2: One team or a client portfolio</t>
        </is>
      </c>
      <c r="P25" s="84" t="inlineStr">
        <is>
          <t>Several teams or a practice</t>
        </is>
      </c>
      <c r="Q25" s="84" t="inlineStr">
        <is>
          <t>Already works at C1: Sub-function results or domain quality across products</t>
        </is>
      </c>
      <c r="R25" s="34" t="inlineStr">
        <is>
          <t>M</t>
        </is>
      </c>
      <c r="S25" s="56" t="inlineStr">
        <is>
          <t>Works at B2: IC: guides others in the domain · People: manages a team of 6+</t>
        </is>
      </c>
      <c r="T25" s="56" t="inlineStr">
        <is>
          <t>IC: leads a practice · People: team leads / managers report in</t>
        </is>
      </c>
      <c r="U25" s="56" t="inlineStr">
        <is>
          <t>Already works at C1: Leads managers or a community of practice</t>
        </is>
      </c>
      <c r="V25" s="34" t="inlineStr">
        <is>
          <t>M</t>
        </is>
      </c>
      <c r="W25" s="56" t="inlineStr">
        <is>
          <t>Works at B2: Visible effect on a team's or client portfolio's revenue, quality or compliance</t>
        </is>
      </c>
      <c r="X25" s="56" t="inlineStr">
        <is>
          <t>Shapes the results of a practice or several teams · purpose: Builds and manages partner / alliance revenue. At B3: a practice, or several teams through team leads.</t>
        </is>
      </c>
      <c r="Y25" s="56" t="inlineStr">
        <is>
          <t>Already works at C1: Changes results across a sub-function or across products</t>
        </is>
      </c>
      <c r="Z25" s="34" t="inlineStr">
        <is>
          <t>L</t>
        </is>
      </c>
      <c r="AA25" s="85" t="inlineStr">
        <is>
          <t>Less experience than the band's typical 8–12 yrs</t>
        </is>
      </c>
      <c r="AB25" s="85" t="inlineStr">
        <is>
          <t>Typical for the band: 8–12 yrs · market 8–13 yrs</t>
        </is>
      </c>
      <c r="AC25" s="85" t="inlineStr">
        <is>
          <t>More experience than the band's typical 8–12 yrs</t>
        </is>
      </c>
      <c r="AD25" s="34" t="inlineStr">
        <is>
          <t>L</t>
        </is>
      </c>
      <c r="AE25" s="85" t="inlineStr">
        <is>
          <t>Below: Graduate or postgraduate; professional qualification preferred</t>
        </is>
      </c>
      <c r="AF25" s="85" t="inlineStr">
        <is>
          <t>Postgraduate or professional qualification preferred</t>
        </is>
      </c>
      <c r="AG25" s="85" t="inlineStr">
        <is>
          <t>Above: Postgraduate / professional qualification preferred</t>
        </is>
      </c>
      <c r="AH25" s="44" t="inlineStr">
        <is>
          <t>37 · 18.3 · 11.3 · 15 · 8.7 · 6 · 4</t>
        </is>
      </c>
      <c r="AI25" s="38" t="inlineStr">
        <is>
          <t>8–13</t>
        </is>
      </c>
      <c r="AJ25" s="38" t="inlineStr">
        <is>
          <t>IC: none · People: 5–8 incl. team leads</t>
        </is>
      </c>
      <c r="AK25" s="38" t="inlineStr">
        <is>
          <t>P5 / M4 · SFIA 5 Ensure, advise</t>
        </is>
      </c>
      <c r="AL2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6" ht="120" customHeight="1">
      <c r="A26" s="90" t="inlineStr">
        <is>
          <t>B3</t>
        </is>
      </c>
      <c r="B26" s="29" t="inlineStr">
        <is>
          <t>Band B · Specialist / Manager</t>
        </is>
      </c>
      <c r="C26" s="29" t="inlineStr">
        <is>
          <t>Band B · Specialist / POD Lead</t>
        </is>
      </c>
      <c r="D26" s="29" t="inlineStr">
        <is>
          <t>Lead Specialist</t>
        </is>
      </c>
      <c r="E26" s="29" t="inlineStr">
        <is>
          <t>Partnerships &amp; Alliances · Lead Alliances Specialist – POD Lead
Sales Leadership · Lead Account Executive</t>
        </is>
      </c>
      <c r="F26" s="34" t="inlineStr">
        <is>
          <t>H</t>
        </is>
      </c>
      <c r="G26" s="84" t="inlineStr">
        <is>
          <t>Works at B2: Hardest problems in the domain</t>
        </is>
      </c>
      <c r="H26" s="84" t="inlineStr">
        <is>
          <t>Sets standards for a practice; cross-team problems · in Sales &amp; Business Development: Sales</t>
        </is>
      </c>
      <c r="I26" s="84" t="inlineStr">
        <is>
          <t>Already works at C1: Ambiguous, cross-product problems</t>
        </is>
      </c>
      <c r="J26" s="34" t="inlineStr">
        <is>
          <t>M</t>
        </is>
      </c>
      <c r="K26" s="84" t="inlineStr">
        <is>
          <t>Works at B2: Allocates people and sets team priorities</t>
        </is>
      </c>
      <c r="L26" s="84" t="inlineStr">
        <is>
          <t>Commercial / strategic calls for the unit</t>
        </is>
      </c>
      <c r="M26" s="84" t="inlineStr">
        <is>
          <t>Already works at C1: Sets direction for a sub-function or domain</t>
        </is>
      </c>
      <c r="N26" s="34" t="inlineStr">
        <is>
          <t>L</t>
        </is>
      </c>
      <c r="O26" s="84" t="inlineStr">
        <is>
          <t>Works at B2: One team or a client portfolio</t>
        </is>
      </c>
      <c r="P26" s="84" t="inlineStr">
        <is>
          <t>Several teams or a practice</t>
        </is>
      </c>
      <c r="Q26" s="84" t="inlineStr">
        <is>
          <t>Already works at C1: Sub-function results or domain quality across products</t>
        </is>
      </c>
      <c r="R26" s="34" t="inlineStr">
        <is>
          <t>L</t>
        </is>
      </c>
      <c r="S26" s="56" t="inlineStr">
        <is>
          <t>Works at B2: IC: guides others in the domain · People: manages a team of 6+</t>
        </is>
      </c>
      <c r="T26" s="56" t="inlineStr">
        <is>
          <t>IC: leads a practice · People: team leads / managers report in</t>
        </is>
      </c>
      <c r="U26" s="56" t="inlineStr">
        <is>
          <t>Already works at C1: Leads managers or a community of practice</t>
        </is>
      </c>
      <c r="V26" s="34" t="inlineStr">
        <is>
          <t>M</t>
        </is>
      </c>
      <c r="W26" s="56" t="inlineStr">
        <is>
          <t>Works at B2: Visible effect on a team's or client portfolio's revenue, quality or compliance</t>
        </is>
      </c>
      <c r="X26" s="56" t="inlineStr">
        <is>
          <t>Shapes the results of a practice or several teams · purpose: Builds and manages partner / alliance revenue. At B3: a practice, or several teams through team leads.</t>
        </is>
      </c>
      <c r="Y26" s="56" t="inlineStr">
        <is>
          <t>Already works at C1: Changes results across a sub-function or across products</t>
        </is>
      </c>
      <c r="Z26" s="34" t="inlineStr">
        <is>
          <t>L</t>
        </is>
      </c>
      <c r="AA26" s="85" t="inlineStr">
        <is>
          <t>Less experience than the band's typical 8–12 yrs</t>
        </is>
      </c>
      <c r="AB26" s="85" t="inlineStr">
        <is>
          <t>Typical for the band: 8–12 yrs · market 8–13 yrs</t>
        </is>
      </c>
      <c r="AC26" s="85" t="inlineStr">
        <is>
          <t>More experience than the band's typical 8–12 yrs</t>
        </is>
      </c>
      <c r="AD26" s="34" t="inlineStr">
        <is>
          <t>L</t>
        </is>
      </c>
      <c r="AE26" s="85" t="inlineStr">
        <is>
          <t>Below: Graduate or postgraduate; professional qualification preferred</t>
        </is>
      </c>
      <c r="AF26" s="85" t="inlineStr">
        <is>
          <t>Postgraduate or professional qualification preferred</t>
        </is>
      </c>
      <c r="AG26" s="85" t="inlineStr">
        <is>
          <t>Above: Postgraduate / professional qualification preferred</t>
        </is>
      </c>
      <c r="AH26" s="44" t="inlineStr">
        <is>
          <t>51.3 · 17.3 · 9.7 · 5 · 7 · 6 · 4</t>
        </is>
      </c>
      <c r="AI26" s="38" t="inlineStr">
        <is>
          <t>8–13</t>
        </is>
      </c>
      <c r="AJ26" s="38" t="inlineStr">
        <is>
          <t>IC: none · People: 5–8 incl. team leads</t>
        </is>
      </c>
      <c r="AK26" s="38" t="inlineStr">
        <is>
          <t>P5 / M4 · SFIA 5 Ensure, advise</t>
        </is>
      </c>
      <c r="AL2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7" ht="120" customHeight="1">
      <c r="A27" s="90" t="inlineStr">
        <is>
          <t>B2</t>
        </is>
      </c>
      <c r="B27" s="29" t="inlineStr">
        <is>
          <t>Band B · Specialist / Manager</t>
        </is>
      </c>
      <c r="C27" s="29" t="inlineStr">
        <is>
          <t>Band B · People Manager</t>
        </is>
      </c>
      <c r="D27" s="29" t="inlineStr">
        <is>
          <t>Manager</t>
        </is>
      </c>
      <c r="E27" s="29" t="inlineStr">
        <is>
          <t>Enterprise Sales &amp; Account Management · Senior Account Executive
Field Outreach &amp; Programme Sales · Program Manager – Outreach
Field Outreach &amp; Programme Sales · Senior Program Specialist – POD Lead
Sales Development &amp; Prospecting · Senior Account Executive – POD Lead
Sales Leadership · Lead Account Executive · Senior Account Executive – POD Lead</t>
        </is>
      </c>
      <c r="F27" s="34" t="inlineStr">
        <is>
          <t>H</t>
        </is>
      </c>
      <c r="G27" s="84" t="inlineStr">
        <is>
          <t>Works at B1: Domain specialist work</t>
        </is>
      </c>
      <c r="H27" s="84" t="inlineStr">
        <is>
          <t>Hardest problems in the domain · in Sales &amp; Business Development: Sales</t>
        </is>
      </c>
      <c r="I27" s="84" t="inlineStr">
        <is>
          <t>Already works at B3: Sets standards for a practice; cross-team problems</t>
        </is>
      </c>
      <c r="J27" s="34" t="inlineStr">
        <is>
          <t>M</t>
        </is>
      </c>
      <c r="K27" s="84" t="inlineStr">
        <is>
          <t>Works at B1: Technical / QC / client calls for the domain</t>
        </is>
      </c>
      <c r="L27" s="84" t="inlineStr">
        <is>
          <t>Allocates people and sets team priorities</t>
        </is>
      </c>
      <c r="M27" s="84" t="inlineStr">
        <is>
          <t>Already works at B3: Commercial / strategic calls for the unit</t>
        </is>
      </c>
      <c r="N27" s="34" t="inlineStr">
        <is>
          <t>L</t>
        </is>
      </c>
      <c r="O27" s="84" t="inlineStr">
        <is>
          <t>Works at B1: A domain or a small team</t>
        </is>
      </c>
      <c r="P27" s="84" t="inlineStr">
        <is>
          <t>One team or a client portfolio</t>
        </is>
      </c>
      <c r="Q27" s="84" t="inlineStr">
        <is>
          <t>Already works at B3: Several teams or a practice</t>
        </is>
      </c>
      <c r="R27" s="34" t="inlineStr">
        <is>
          <t>M</t>
        </is>
      </c>
      <c r="S27" s="56" t="inlineStr">
        <is>
          <t>Works at B1: IC: mentors and reviews · People: hands-on team lead of 3–5</t>
        </is>
      </c>
      <c r="T27" s="56" t="inlineStr">
        <is>
          <t>IC: guides others in the domain · People: manages a team of 6+</t>
        </is>
      </c>
      <c r="U27" s="56" t="inlineStr">
        <is>
          <t>Already works at B3: IC: leads a practice · People: team leads / managers report in</t>
        </is>
      </c>
      <c r="V27" s="34" t="inlineStr">
        <is>
          <t>M</t>
        </is>
      </c>
      <c r="W27" s="56" t="inlineStr">
        <is>
          <t>Works at B1: Moves a module's, product area's or client account's results</t>
        </is>
      </c>
      <c r="X27" s="56" t="inlineStr">
        <is>
          <t>Visible effect on a team's or client portfolio's revenue, quality or compliance · purpose: Runs discovery, demos, proposals and negotiations; closes and grows accounts. At B2: deep domain expertise, or one team.
Common themes in sub-family holders, …</t>
        </is>
      </c>
      <c r="Y27" s="56" t="inlineStr">
        <is>
          <t>Already works at B3: Shapes the results of a practice or several teams</t>
        </is>
      </c>
      <c r="Z27" s="34" t="inlineStr">
        <is>
          <t>L</t>
        </is>
      </c>
      <c r="AA27" s="85" t="inlineStr">
        <is>
          <t>Less experience than the band's typical 6–9 yrs</t>
        </is>
      </c>
      <c r="AB27" s="85" t="inlineStr">
        <is>
          <t>Typical for the band: 6–9 yrs · market 6–10 yrs</t>
        </is>
      </c>
      <c r="AC27" s="85" t="inlineStr">
        <is>
          <t>More experience than the band's typical 6–9 yrs</t>
        </is>
      </c>
      <c r="AD27" s="34" t="inlineStr">
        <is>
          <t>L</t>
        </is>
      </c>
      <c r="AE27" s="85" t="inlineStr">
        <is>
          <t>Below: Graduate + relevant qualification or certification preferred</t>
        </is>
      </c>
      <c r="AF27" s="85" t="inlineStr">
        <is>
          <t>Graduate or postgraduate; professional qualification preferred</t>
        </is>
      </c>
      <c r="AG27" s="85" t="inlineStr">
        <is>
          <t>Above: Postgraduate or professional qualification preferred</t>
        </is>
      </c>
      <c r="AH27" s="44" t="inlineStr">
        <is>
          <t>37 · 18.3 · 11.3 · 15 · 8.7 · 6 · 4</t>
        </is>
      </c>
      <c r="AI27" s="38" t="inlineStr">
        <is>
          <t>6–10</t>
        </is>
      </c>
      <c r="AJ27" s="38" t="inlineStr">
        <is>
          <t>IC: none · People: 6–8 knowledge work, 8–12 standardised delivery</t>
        </is>
      </c>
      <c r="AK27" s="38" t="inlineStr">
        <is>
          <t>P4 / M3 · SFIA 4–5</t>
        </is>
      </c>
      <c r="AL2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8" ht="120" customHeight="1">
      <c r="A28" s="90" t="inlineStr">
        <is>
          <t>B2</t>
        </is>
      </c>
      <c r="B28" s="29" t="inlineStr">
        <is>
          <t>Band B · Specialist / Manager</t>
        </is>
      </c>
      <c r="C28" s="29" t="inlineStr">
        <is>
          <t>Band B · Specialist / POD Lead</t>
        </is>
      </c>
      <c r="D28" s="29" t="inlineStr">
        <is>
          <t>Senior Specialist</t>
        </is>
      </c>
      <c r="E28" s="29" t="inlineStr">
        <is>
          <t>Enterprise Sales &amp; Account Management · Senior Account Executive
Field Outreach &amp; Programme Sales · Program Manager – Outreach
Field Outreach &amp; Programme Sales · Senior Program Specialist – POD Lead
Sales Development &amp; Prospecting · Senior Account Executive – POD Lead
Sales Leadership · Lead Account Executive · Senior Account Executive – POD Lead</t>
        </is>
      </c>
      <c r="F28" s="34" t="inlineStr">
        <is>
          <t>H</t>
        </is>
      </c>
      <c r="G28" s="84" t="inlineStr">
        <is>
          <t>Works at B1: Domain specialist work</t>
        </is>
      </c>
      <c r="H28" s="84" t="inlineStr">
        <is>
          <t>Hardest problems in the domain · in Sales &amp; Business Development: Sales</t>
        </is>
      </c>
      <c r="I28" s="84" t="inlineStr">
        <is>
          <t>Already works at B3: Sets standards for a practice; cross-team problems</t>
        </is>
      </c>
      <c r="J28" s="34" t="inlineStr">
        <is>
          <t>M</t>
        </is>
      </c>
      <c r="K28" s="84" t="inlineStr">
        <is>
          <t>Works at B1: Technical / QC / client calls for the domain</t>
        </is>
      </c>
      <c r="L28" s="84" t="inlineStr">
        <is>
          <t>Allocates people and sets team priorities</t>
        </is>
      </c>
      <c r="M28" s="84" t="inlineStr">
        <is>
          <t>Already works at B3: Commercial / strategic calls for the unit</t>
        </is>
      </c>
      <c r="N28" s="34" t="inlineStr">
        <is>
          <t>L</t>
        </is>
      </c>
      <c r="O28" s="84" t="inlineStr">
        <is>
          <t>Works at B1: A domain or a small team</t>
        </is>
      </c>
      <c r="P28" s="84" t="inlineStr">
        <is>
          <t>One team or a client portfolio</t>
        </is>
      </c>
      <c r="Q28" s="84" t="inlineStr">
        <is>
          <t>Already works at B3: Several teams or a practice</t>
        </is>
      </c>
      <c r="R28" s="34" t="inlineStr">
        <is>
          <t>L</t>
        </is>
      </c>
      <c r="S28" s="56" t="inlineStr">
        <is>
          <t>Works at B1: IC: mentors and reviews · People: hands-on team lead of 3–5</t>
        </is>
      </c>
      <c r="T28" s="56" t="inlineStr">
        <is>
          <t>IC: guides others in the domain · People: manages a team of 6+</t>
        </is>
      </c>
      <c r="U28" s="56" t="inlineStr">
        <is>
          <t>Already works at B3: IC: leads a practice · People: team leads / managers report in</t>
        </is>
      </c>
      <c r="V28" s="34" t="inlineStr">
        <is>
          <t>M</t>
        </is>
      </c>
      <c r="W28" s="56" t="inlineStr">
        <is>
          <t>Works at B1: Moves a module's, product area's or client account's results</t>
        </is>
      </c>
      <c r="X28" s="56" t="inlineStr">
        <is>
          <t>Visible effect on a team's or client portfolio's revenue, quality or compliance · purpose: Runs discovery, demos, proposals and negotiations; closes and grows accounts. At B2: deep domain expertise, or one team.
Common themes in sub-family holders, …</t>
        </is>
      </c>
      <c r="Y28" s="56" t="inlineStr">
        <is>
          <t>Already works at B3: Shapes the results of a practice or several teams</t>
        </is>
      </c>
      <c r="Z28" s="34" t="inlineStr">
        <is>
          <t>L</t>
        </is>
      </c>
      <c r="AA28" s="85" t="inlineStr">
        <is>
          <t>Less experience than the band's typical 6–9 yrs</t>
        </is>
      </c>
      <c r="AB28" s="85" t="inlineStr">
        <is>
          <t>Typical for the band: 6–9 yrs · market 6–10 yrs</t>
        </is>
      </c>
      <c r="AC28" s="85" t="inlineStr">
        <is>
          <t>More experience than the band's typical 6–9 yrs</t>
        </is>
      </c>
      <c r="AD28" s="34" t="inlineStr">
        <is>
          <t>L</t>
        </is>
      </c>
      <c r="AE28" s="85" t="inlineStr">
        <is>
          <t>Below: Graduate + relevant qualification or certification preferred</t>
        </is>
      </c>
      <c r="AF28" s="85" t="inlineStr">
        <is>
          <t>Graduate or postgraduate; professional qualification preferred</t>
        </is>
      </c>
      <c r="AG28" s="85" t="inlineStr">
        <is>
          <t>Above: Postgraduate or professional qualification preferred</t>
        </is>
      </c>
      <c r="AH28" s="44" t="inlineStr">
        <is>
          <t>51.3 · 17.3 · 9.7 · 5 · 7 · 6 · 4</t>
        </is>
      </c>
      <c r="AI28" s="38" t="inlineStr">
        <is>
          <t>6–10</t>
        </is>
      </c>
      <c r="AJ28" s="38" t="inlineStr">
        <is>
          <t>IC: none · People: 6–8 knowledge work, 8–12 standardised delivery</t>
        </is>
      </c>
      <c r="AK28" s="38" t="inlineStr">
        <is>
          <t>P4 / M3 · SFIA 4–5</t>
        </is>
      </c>
      <c r="AL2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9" ht="120" customHeight="1">
      <c r="A29" s="90" t="inlineStr">
        <is>
          <t>B1</t>
        </is>
      </c>
      <c r="B29" s="29" t="inlineStr">
        <is>
          <t>Band B · Specialist / Manager</t>
        </is>
      </c>
      <c r="C29" s="29" t="inlineStr">
        <is>
          <t>Band B · People Manager</t>
        </is>
      </c>
      <c r="D29" s="29" t="inlineStr">
        <is>
          <t>Team Lead / Asst Manager</t>
        </is>
      </c>
      <c r="E29" s="29" t="inlineStr">
        <is>
          <t>Bids, RFP &amp; Sales Operations · Sales Operations Specialist – POD Lead
Enterprise Sales &amp; Account Management · Account Executive – POD Lead · Account Executive
Pre-Sales &amp; Solution Demos · Pre-Sales Specialist
Sales Development &amp; Prospecting · Account Executive
Sales Development &amp; Prospecting · Team Lead – Sales Development</t>
        </is>
      </c>
      <c r="F29" s="34" t="inlineStr">
        <is>
          <t>H</t>
        </is>
      </c>
      <c r="G29" s="84" t="inlineStr">
        <is>
          <t>Works at A3: Varied and non-standard work; handles exceptions</t>
        </is>
      </c>
      <c r="H29" s="84" t="inlineStr">
        <is>
          <t>Domain specialist work · in Sales &amp; Business Development: Sales</t>
        </is>
      </c>
      <c r="I29" s="84" t="inlineStr">
        <is>
          <t>Already works at B2: Hardest problems in the domain</t>
        </is>
      </c>
      <c r="J29" s="34" t="inlineStr">
        <is>
          <t>M</t>
        </is>
      </c>
      <c r="K29" s="84" t="inlineStr">
        <is>
          <t>Works at A3: Technical / QC / client calls on own work</t>
        </is>
      </c>
      <c r="L29" s="84" t="inlineStr">
        <is>
          <t>Technical / QC / client calls for the domain</t>
        </is>
      </c>
      <c r="M29" s="84" t="inlineStr">
        <is>
          <t>Already works at B2: Allocates people and sets team priorities</t>
        </is>
      </c>
      <c r="N29" s="34" t="inlineStr">
        <is>
          <t>L</t>
        </is>
      </c>
      <c r="O29" s="84" t="inlineStr">
        <is>
          <t>Works at A3: A module / process, or work with client or regulatory consequences</t>
        </is>
      </c>
      <c r="P29" s="84" t="inlineStr">
        <is>
          <t>A domain or a small team</t>
        </is>
      </c>
      <c r="Q29" s="84" t="inlineStr">
        <is>
          <t>Already works at B2: One team or a client portfolio</t>
        </is>
      </c>
      <c r="R29" s="34" t="inlineStr">
        <is>
          <t>M</t>
        </is>
      </c>
      <c r="S29" s="56" t="inlineStr">
        <is>
          <t>Works at A3: contributes alone; guides others only informally</t>
        </is>
      </c>
      <c r="T29" s="56" t="inlineStr">
        <is>
          <t>IC: mentors and reviews · People: hands-on team lead of 3–5</t>
        </is>
      </c>
      <c r="U29" s="56" t="inlineStr">
        <is>
          <t>Already works at B2: IC: guides others in the domain · People: manages a team of 6+</t>
        </is>
      </c>
      <c r="V29" s="34" t="inlineStr">
        <is>
          <t>M</t>
        </is>
      </c>
      <c r="W29" s="56" t="inlineStr">
        <is>
          <t>Works at A3: A process or client deliverable depends on this work</t>
        </is>
      </c>
      <c r="X29" s="56" t="inlineStr">
        <is>
          <t>Moves a module's, product area's or client account's results · purpose: Prepares RFPs, vendor registrations, deal documentation and sales operations. At B1: a domain / module, or a small team.</t>
        </is>
      </c>
      <c r="Y29" s="56" t="inlineStr">
        <is>
          <t>Already works at B2: Visible effect on a team's or client portfolio's revenue, quality or compliance</t>
        </is>
      </c>
      <c r="Z29" s="34" t="inlineStr">
        <is>
          <t>L</t>
        </is>
      </c>
      <c r="AA29" s="85" t="inlineStr">
        <is>
          <t>Less experience than the band's typical 4–7 yrs</t>
        </is>
      </c>
      <c r="AB29" s="85" t="inlineStr">
        <is>
          <t>Typical for the band: 4–7 yrs · market 4–8 yrs</t>
        </is>
      </c>
      <c r="AC29" s="85" t="inlineStr">
        <is>
          <t>More experience than the band's typical 4–7 yrs</t>
        </is>
      </c>
      <c r="AD29" s="34" t="inlineStr">
        <is>
          <t>L</t>
        </is>
      </c>
      <c r="AE29" s="85" t="inlineStr">
        <is>
          <t>Below: Graduate; relevant certification preferred</t>
        </is>
      </c>
      <c r="AF29" s="85" t="inlineStr">
        <is>
          <t>Graduate + relevant qualification or certification preferred</t>
        </is>
      </c>
      <c r="AG29" s="85" t="inlineStr">
        <is>
          <t>Above: Graduate or postgraduate; professional qualification preferred</t>
        </is>
      </c>
      <c r="AH29" s="44" t="inlineStr">
        <is>
          <t>37 · 18.3 · 11.3 · 15 · 8.7 · 6 · 4</t>
        </is>
      </c>
      <c r="AI29" s="38" t="inlineStr">
        <is>
          <t>4–8</t>
        </is>
      </c>
      <c r="AJ29" s="38" t="inlineStr">
        <is>
          <t>IC: none · Team Lead: 3–5</t>
        </is>
      </c>
      <c r="AK29" s="38" t="inlineStr">
        <is>
          <t>P3 / M2 · SFIA 4 Enable</t>
        </is>
      </c>
      <c r="AL2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0" ht="120" customHeight="1">
      <c r="A30" s="90" t="inlineStr">
        <is>
          <t>B1</t>
        </is>
      </c>
      <c r="B30" s="29" t="inlineStr">
        <is>
          <t>Band B · Specialist / Manager</t>
        </is>
      </c>
      <c r="C30" s="29" t="inlineStr">
        <is>
          <t>Band B · Specialist / POD Lead</t>
        </is>
      </c>
      <c r="D30" s="29" t="inlineStr">
        <is>
          <t>Specialist</t>
        </is>
      </c>
      <c r="E30" s="29" t="inlineStr">
        <is>
          <t>Bids, RFP &amp; Sales Operations · Sales Operations Specialist – POD Lead
Enterprise Sales &amp; Account Management · Account Executive – POD Lead · Account Executive
Pre-Sales &amp; Solution Demos · Pre-Sales Specialist
Sales Development &amp; Prospecting · Account Executive
Sales Development &amp; Prospecting · Team Lead – Sales Development</t>
        </is>
      </c>
      <c r="F30" s="34" t="inlineStr">
        <is>
          <t>H</t>
        </is>
      </c>
      <c r="G30" s="84" t="inlineStr">
        <is>
          <t>Works at A3: Varied and non-standard work; handles exceptions</t>
        </is>
      </c>
      <c r="H30" s="84" t="inlineStr">
        <is>
          <t>Domain specialist work · in Sales &amp; Business Development: Sales</t>
        </is>
      </c>
      <c r="I30" s="84" t="inlineStr">
        <is>
          <t>Already works at B2: Hardest problems in the domain</t>
        </is>
      </c>
      <c r="J30" s="34" t="inlineStr">
        <is>
          <t>M</t>
        </is>
      </c>
      <c r="K30" s="84" t="inlineStr">
        <is>
          <t>Works at A3: Technical / QC / client calls on own work</t>
        </is>
      </c>
      <c r="L30" s="84" t="inlineStr">
        <is>
          <t>Technical / QC / client calls for the domain</t>
        </is>
      </c>
      <c r="M30" s="84" t="inlineStr">
        <is>
          <t>Already works at B2: Allocates people and sets team priorities</t>
        </is>
      </c>
      <c r="N30" s="34" t="inlineStr">
        <is>
          <t>L</t>
        </is>
      </c>
      <c r="O30" s="84" t="inlineStr">
        <is>
          <t>Works at A3: A module / process, or work with client or regulatory consequences</t>
        </is>
      </c>
      <c r="P30" s="84" t="inlineStr">
        <is>
          <t>A domain or a small team</t>
        </is>
      </c>
      <c r="Q30" s="84" t="inlineStr">
        <is>
          <t>Already works at B2: One team or a client portfolio</t>
        </is>
      </c>
      <c r="R30" s="34" t="inlineStr">
        <is>
          <t>L</t>
        </is>
      </c>
      <c r="S30" s="56" t="inlineStr">
        <is>
          <t>Works at A3: contributes alone; guides others only informally</t>
        </is>
      </c>
      <c r="T30" s="56" t="inlineStr">
        <is>
          <t>IC: mentors and reviews · People: hands-on team lead of 3–5</t>
        </is>
      </c>
      <c r="U30" s="56" t="inlineStr">
        <is>
          <t>Already works at B2: IC: guides others in the domain · People: manages a team of 6+</t>
        </is>
      </c>
      <c r="V30" s="34" t="inlineStr">
        <is>
          <t>M</t>
        </is>
      </c>
      <c r="W30" s="56" t="inlineStr">
        <is>
          <t>Works at A3: A process or client deliverable depends on this work</t>
        </is>
      </c>
      <c r="X30" s="56" t="inlineStr">
        <is>
          <t>Moves a module's, product area's or client account's results · purpose: Prepares RFPs, vendor registrations, deal documentation and sales operations. At B1: a domain / module, or a small team.</t>
        </is>
      </c>
      <c r="Y30" s="56" t="inlineStr">
        <is>
          <t>Already works at B2: Visible effect on a team's or client portfolio's revenue, quality or compliance</t>
        </is>
      </c>
      <c r="Z30" s="34" t="inlineStr">
        <is>
          <t>L</t>
        </is>
      </c>
      <c r="AA30" s="85" t="inlineStr">
        <is>
          <t>Less experience than the band's typical 4–7 yrs</t>
        </is>
      </c>
      <c r="AB30" s="85" t="inlineStr">
        <is>
          <t>Typical for the band: 4–7 yrs · market 4–8 yrs</t>
        </is>
      </c>
      <c r="AC30" s="85" t="inlineStr">
        <is>
          <t>More experience than the band's typical 4–7 yrs</t>
        </is>
      </c>
      <c r="AD30" s="34" t="inlineStr">
        <is>
          <t>L</t>
        </is>
      </c>
      <c r="AE30" s="85" t="inlineStr">
        <is>
          <t>Below: Graduate; relevant certification preferred</t>
        </is>
      </c>
      <c r="AF30" s="85" t="inlineStr">
        <is>
          <t>Graduate + relevant qualification or certification preferred</t>
        </is>
      </c>
      <c r="AG30" s="85" t="inlineStr">
        <is>
          <t>Above: Graduate or postgraduate; professional qualification preferred</t>
        </is>
      </c>
      <c r="AH30" s="44" t="inlineStr">
        <is>
          <t>51.3 · 17.3 · 9.7 · 5 · 7 · 6 · 4</t>
        </is>
      </c>
      <c r="AI30" s="38" t="inlineStr">
        <is>
          <t>4–8</t>
        </is>
      </c>
      <c r="AJ30" s="38" t="inlineStr">
        <is>
          <t>IC: none · Team Lead: 3–5</t>
        </is>
      </c>
      <c r="AK30" s="38" t="inlineStr">
        <is>
          <t>P3 / M2 · SFIA 4 Enable</t>
        </is>
      </c>
      <c r="AL3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1" ht="120" customHeight="1">
      <c r="A31" s="91" t="inlineStr">
        <is>
          <t>A3</t>
        </is>
      </c>
      <c r="B31" s="29" t="inlineStr">
        <is>
          <t>Band A · Practitioner</t>
        </is>
      </c>
      <c r="C31" s="29" t="inlineStr">
        <is>
          <t>Band A · all tracks</t>
        </is>
      </c>
      <c r="D31" s="29" t="inlineStr">
        <is>
          <t>Senior Associate</t>
        </is>
      </c>
      <c r="E31" s="29" t="inlineStr">
        <is>
          <t>Bids, RFP &amp; Sales Operations · Senior Sales Operations Analyst
Field Outreach &amp; Programme Sales · Senior Program Executive
Partnerships &amp; Alliances · Senior Alliances Executive
Sales Development &amp; Prospecting · Senior Sales Development Representative</t>
        </is>
      </c>
      <c r="F31" s="34" t="inlineStr">
        <is>
          <t>H</t>
        </is>
      </c>
      <c r="G31" s="84" t="inlineStr">
        <is>
          <t>Works at A2: Standard work of the discipline</t>
        </is>
      </c>
      <c r="H31" s="84" t="inlineStr">
        <is>
          <t>Varied and non-standard work; handles exceptions · in Sales &amp; Business Development: Sales</t>
        </is>
      </c>
      <c r="I31" s="84" t="inlineStr">
        <is>
          <t>Already works at B1: Domain specialist work</t>
        </is>
      </c>
      <c r="J31" s="34" t="inlineStr">
        <is>
          <t>M</t>
        </is>
      </c>
      <c r="K31" s="84" t="inlineStr">
        <is>
          <t>Works at A2: Chooses own approach within standards</t>
        </is>
      </c>
      <c r="L31" s="84" t="inlineStr">
        <is>
          <t>Technical / QC / client calls on own work</t>
        </is>
      </c>
      <c r="M31" s="84" t="inlineStr">
        <is>
          <t>Already works at B1: Technical / QC / client calls for the domain</t>
        </is>
      </c>
      <c r="N31" s="34" t="inlineStr">
        <is>
          <t>L</t>
        </is>
      </c>
      <c r="O31" s="84" t="inlineStr">
        <is>
          <t>Works at A2: Own deliverables · accuracy, TAT</t>
        </is>
      </c>
      <c r="P31" s="84" t="inlineStr">
        <is>
          <t>A module / process, or work with client or regulatory consequences · KRA themes: Common themes in manager-set KRAs: month quarter · minimum msmes · applications quarter · business · bhr units · onboard minimum</t>
        </is>
      </c>
      <c r="Q31" s="84" t="inlineStr">
        <is>
          <t>Already works at B1: A domain or a small team</t>
        </is>
      </c>
      <c r="R31" s="34" t="inlineStr">
        <is>
          <t>L</t>
        </is>
      </c>
      <c r="S31" s="56" t="inlineStr">
        <is>
          <t>Works at A2: contributes alone; guides others only informally</t>
        </is>
      </c>
      <c r="T31" s="56" t="inlineStr">
        <is>
          <t>Helps peers and newer people informally · None · guides 1–3 juniors informally</t>
        </is>
      </c>
      <c r="U31" s="56" t="inlineStr">
        <is>
          <t>Already works at B1: IC: mentors and reviews · People: hands-on team lead of 3–5</t>
        </is>
      </c>
      <c r="V31" s="34" t="inlineStr">
        <is>
          <t>M</t>
        </is>
      </c>
      <c r="W31" s="56" t="inlineStr">
        <is>
          <t>Works at A2: Own deliverables feed a team's output and turnaround</t>
        </is>
      </c>
      <c r="X31" s="56" t="inlineStr">
        <is>
          <t>A process or client deliverable depends on this work · purpose: Prepares RFPs, vendor registrations, deal documentation and sales operations. At A3: varied work; reviews juniors; go-to for a process.</t>
        </is>
      </c>
      <c r="Y31" s="56" t="inlineStr">
        <is>
          <t>Already works at B1: Moves a module's, product area's or client account's results</t>
        </is>
      </c>
      <c r="Z31" s="34" t="inlineStr">
        <is>
          <t>L</t>
        </is>
      </c>
      <c r="AA31" s="85" t="inlineStr">
        <is>
          <t>Less experience than the band's typical 2–4 yrs</t>
        </is>
      </c>
      <c r="AB31" s="85" t="inlineStr">
        <is>
          <t>Typical for the band: 2–4 yrs · market 2–5 yrs</t>
        </is>
      </c>
      <c r="AC31" s="85" t="inlineStr">
        <is>
          <t>More experience than the band's typical 2–4 yrs</t>
        </is>
      </c>
      <c r="AD31" s="34" t="inlineStr">
        <is>
          <t>L</t>
        </is>
      </c>
      <c r="AE31" s="85" t="inlineStr">
        <is>
          <t>Below: Graduate · or diploma with experience</t>
        </is>
      </c>
      <c r="AF31" s="85" t="inlineStr">
        <is>
          <t>Graduate; relevant certification preferred</t>
        </is>
      </c>
      <c r="AG31" s="85" t="inlineStr">
        <is>
          <t>Above: Graduate + relevant qualification or certification preferred</t>
        </is>
      </c>
      <c r="AH31" s="44" t="inlineStr">
        <is>
          <t>58.3 · 16 · 9 · 0 · 6.3 · 6 · 4</t>
        </is>
      </c>
      <c r="AI31" s="38" t="inlineStr">
        <is>
          <t>2–5</t>
        </is>
      </c>
      <c r="AJ31" s="38" t="inlineStr">
        <is>
          <t>None · guides 1–3 juniors informally</t>
        </is>
      </c>
      <c r="AK31" s="38" t="inlineStr">
        <is>
          <t>P2 · SFIA 3 Apply</t>
        </is>
      </c>
      <c r="AL3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2" ht="120" customHeight="1">
      <c r="A32" s="91" t="inlineStr">
        <is>
          <t>A2</t>
        </is>
      </c>
      <c r="B32" s="29" t="inlineStr">
        <is>
          <t>Band A · Practitioner</t>
        </is>
      </c>
      <c r="C32" s="29" t="inlineStr">
        <is>
          <t>Band A · all tracks</t>
        </is>
      </c>
      <c r="D32" s="29" t="inlineStr">
        <is>
          <t>Associate</t>
        </is>
      </c>
      <c r="E32" s="29" t="inlineStr">
        <is>
          <t>Field Outreach &amp; Programme Sales · Program Executive
Sales Development &amp; Prospecting · Sales Development Representative</t>
        </is>
      </c>
      <c r="F32" s="34" t="inlineStr">
        <is>
          <t>H</t>
        </is>
      </c>
      <c r="G32" s="84" t="inlineStr">
        <is>
          <t>Works at A1: Learning; follows worked examples</t>
        </is>
      </c>
      <c r="H32" s="84" t="inlineStr">
        <is>
          <t>Standard work of the discipline · in Sales &amp; Business Development: Sales · Business development</t>
        </is>
      </c>
      <c r="I32" s="84" t="inlineStr">
        <is>
          <t>Already works at A3: Varied and non-standard work; handles exceptions</t>
        </is>
      </c>
      <c r="J32" s="34" t="inlineStr">
        <is>
          <t>M</t>
        </is>
      </c>
      <c r="K32" s="84" t="inlineStr">
        <is>
          <t>Works at A1: Needs approval / close guidance</t>
        </is>
      </c>
      <c r="L32" s="84" t="inlineStr">
        <is>
          <t>Chooses own approach within standards</t>
        </is>
      </c>
      <c r="M32" s="84" t="inlineStr">
        <is>
          <t>Already works at A3: Technical / QC / client calls on own work</t>
        </is>
      </c>
      <c r="N32" s="34" t="inlineStr">
        <is>
          <t>L</t>
        </is>
      </c>
      <c r="O32" s="84" t="inlineStr">
        <is>
          <t>Works at A1: Learning tasks</t>
        </is>
      </c>
      <c r="P32" s="84" t="inlineStr">
        <is>
          <t>Own deliverables · accuracy, TAT · KRA themes: Common themes in manager-set KRAs: ramping quarter · weightage bhr · applications achieve · sales · sell · ratio ramping</t>
        </is>
      </c>
      <c r="Q32" s="84" t="inlineStr">
        <is>
          <t>Already works at A3: A module / process, or work with client or regulatory consequences</t>
        </is>
      </c>
      <c r="R32" s="34" t="inlineStr">
        <is>
          <t>L</t>
        </is>
      </c>
      <c r="S32" s="56" t="inlineStr">
        <is>
          <t>Works at A1: contributes alone; guides others only informally</t>
        </is>
      </c>
      <c r="T32" s="56" t="inlineStr">
        <is>
          <t>Helps peers and newer people informally · No direct reports</t>
        </is>
      </c>
      <c r="U32" s="56" t="inlineStr">
        <is>
          <t>Already works at A3: Not scored in Band A</t>
        </is>
      </c>
      <c r="V32" s="34" t="inlineStr">
        <is>
          <t>M</t>
        </is>
      </c>
      <c r="W32" s="56" t="inlineStr">
        <is>
          <t>Works at A1: Learning; little direct effect on business results yet</t>
        </is>
      </c>
      <c r="X32" s="56" t="inlineStr">
        <is>
          <t>Own deliverables feed a team's output and turnaround · purpose: Onboards MSMEs and partners in the field; generates programme leads and engagement. At A2: standard work delivered independently.
Common themes in sub-family …</t>
        </is>
      </c>
      <c r="Y32" s="56" t="inlineStr">
        <is>
          <t>Already works at A3: A process or client deliverable depends on this work</t>
        </is>
      </c>
      <c r="Z32" s="34" t="inlineStr">
        <is>
          <t>L</t>
        </is>
      </c>
      <c r="AA32" s="85" t="inlineStr">
        <is>
          <t>Less experience than the band's typical 0–2 yrs</t>
        </is>
      </c>
      <c r="AB32" s="85" t="inlineStr">
        <is>
          <t>Typical for the band: 0–2 yrs · market 0–3 yrs</t>
        </is>
      </c>
      <c r="AC32" s="85" t="inlineStr">
        <is>
          <t>More experience than the band's typical 0–2 yrs</t>
        </is>
      </c>
      <c r="AD32" s="34" t="inlineStr">
        <is>
          <t>L</t>
        </is>
      </c>
      <c r="AE32" s="85" t="inlineStr">
        <is>
          <t>Below: Pursuing or completed graduation / diploma</t>
        </is>
      </c>
      <c r="AF32" s="85" t="inlineStr">
        <is>
          <t>Graduate · or diploma with experience</t>
        </is>
      </c>
      <c r="AG32" s="85" t="inlineStr">
        <is>
          <t>Above: Graduate; relevant certification preferred</t>
        </is>
      </c>
      <c r="AH32" s="44" t="inlineStr">
        <is>
          <t>58.3 · 16 · 9 · 0 · 6.3 · 6 · 4</t>
        </is>
      </c>
      <c r="AI32" s="38" t="inlineStr">
        <is>
          <t>0–3</t>
        </is>
      </c>
      <c r="AJ32" s="38" t="inlineStr">
        <is>
          <t>No direct reports</t>
        </is>
      </c>
      <c r="AK32" s="38" t="inlineStr">
        <is>
          <t>P1–P2 · SFIA 2 Assist</t>
        </is>
      </c>
      <c r="AL3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3" ht="120" customHeight="1">
      <c r="A33" s="91" t="inlineStr">
        <is>
          <t>A1</t>
        </is>
      </c>
      <c r="B33" s="29" t="inlineStr">
        <is>
          <t>Band A · Practitioner</t>
        </is>
      </c>
      <c r="C33" s="29" t="inlineStr">
        <is>
          <t>Band A · all tracks</t>
        </is>
      </c>
      <c r="D33" s="29" t="inlineStr">
        <is>
          <t>Intern / Trainee</t>
        </is>
      </c>
      <c r="E33" s="29" t="inlineStr">
        <is>
          <t>Sales Development &amp; Prospecting · Intern – Sales Development &amp; Prospecting</t>
        </is>
      </c>
      <c r="F33" s="34" t="inlineStr">
        <is>
          <t>H</t>
        </is>
      </c>
      <c r="G33" s="84" t="inlineStr">
        <is>
          <t>Not yet at the entry standard · in induction</t>
        </is>
      </c>
      <c r="H33" s="84" t="inlineStr">
        <is>
          <t>Learning; follows worked examples · in Sales &amp; Business Development: Marketing · Objection Handling</t>
        </is>
      </c>
      <c r="I33" s="84" t="inlineStr">
        <is>
          <t>Already works at A2: Standard work of the discipline</t>
        </is>
      </c>
      <c r="J33" s="34" t="inlineStr">
        <is>
          <t>M</t>
        </is>
      </c>
      <c r="K33" s="84" t="inlineStr">
        <is>
          <t>Not yet at the entry standard · in induction</t>
        </is>
      </c>
      <c r="L33" s="84" t="inlineStr">
        <is>
          <t>Needs approval / close guidance</t>
        </is>
      </c>
      <c r="M33" s="84" t="inlineStr">
        <is>
          <t>Already works at A2: Chooses own approach within standards</t>
        </is>
      </c>
      <c r="N33" s="34" t="inlineStr">
        <is>
          <t>L</t>
        </is>
      </c>
      <c r="O33" s="84" t="inlineStr">
        <is>
          <t>Not yet at the entry standard · in induction</t>
        </is>
      </c>
      <c r="P33" s="84" t="inlineStr">
        <is>
          <t>Learning tasks</t>
        </is>
      </c>
      <c r="Q33" s="84" t="inlineStr">
        <is>
          <t>Already works at A2: Own deliverables · accuracy, TAT</t>
        </is>
      </c>
      <c r="R33" s="34" t="inlineStr">
        <is>
          <t>L</t>
        </is>
      </c>
      <c r="S33" s="56" t="inlineStr">
        <is>
          <t>Not yet at the entry standard · in induction</t>
        </is>
      </c>
      <c r="T33" s="56" t="inlineStr">
        <is>
          <t>Helps peers and newer people informally · No direct reports</t>
        </is>
      </c>
      <c r="U33" s="56" t="inlineStr">
        <is>
          <t>Already works at A2: Not scored in Band A</t>
        </is>
      </c>
      <c r="V33" s="34" t="inlineStr">
        <is>
          <t>M</t>
        </is>
      </c>
      <c r="W33" s="56" t="inlineStr">
        <is>
          <t>Not yet at the entry standard · in induction</t>
        </is>
      </c>
      <c r="X33" s="56" t="inlineStr">
        <is>
          <t>Learning; little direct effect on business results yet · purpose: Researches target accounts, runs outbound outreach, qualifies leads and books meetings. At A1: learning the role; all work reviewed.
Common themes in …</t>
        </is>
      </c>
      <c r="Y33" s="56" t="inlineStr">
        <is>
          <t>Already works at A2: Own deliverables feed a team's output and turnaround</t>
        </is>
      </c>
      <c r="Z33" s="34" t="inlineStr">
        <is>
          <t>L</t>
        </is>
      </c>
      <c r="AA33" s="85" t="inlineStr">
        <is>
          <t>Less experience than the band's typical 0 yrs · fresher / intern</t>
        </is>
      </c>
      <c r="AB33" s="85" t="inlineStr">
        <is>
          <t>Typical for the band: 0 yrs · fresher / intern · market — yrs</t>
        </is>
      </c>
      <c r="AC33" s="85" t="inlineStr">
        <is>
          <t>More experience than the band's typical 0 yrs · fresher / intern</t>
        </is>
      </c>
      <c r="AD33" s="34" t="inlineStr">
        <is>
          <t>L</t>
        </is>
      </c>
      <c r="AE33" s="85" t="inlineStr">
        <is>
          <t>Below graduation · still studying</t>
        </is>
      </c>
      <c r="AF33" s="85" t="inlineStr">
        <is>
          <t>Pursuing or completed graduation / diploma</t>
        </is>
      </c>
      <c r="AG33" s="85" t="inlineStr">
        <is>
          <t>Above: Graduate · or diploma with experience</t>
        </is>
      </c>
      <c r="AH33" s="44" t="inlineStr">
        <is>
          <t>58.3 · 16 · 9 · 0 · 6.3 · 6 · 4</t>
        </is>
      </c>
      <c r="AI33" s="38" t="inlineStr">
        <is>
          <t>0 yrs · fresher / intern</t>
        </is>
      </c>
      <c r="AJ33" s="38" t="inlineStr">
        <is>
          <t>No direct reports</t>
        </is>
      </c>
      <c r="AK33" s="38" t="inlineStr">
        <is>
          <t>Entry / P1 · intern · SFIA 1 Follow</t>
        </is>
      </c>
      <c r="AL3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14:AL33"/>
  <mergeCells count="2">
    <mergeCell ref="A4:J4"/>
    <mergeCell ref="A2:N2"/>
  </mergeCells>
  <dataValidations count="1">
    <dataValidation sqref="F15 F16 F17 F18 F19 F20 F21 F22 F23 F24 F25 F26 F27 F28 F29 F30 F31 F32 F33 J15 J16 J17 J18 J19 J20 J21 J22 J23 J24 J25 J26 J27 J28 J29 J30 J31 J32 J33 N15 N16 N17 N18 N19 N20 N21 N22 N23 N24 N25 N26 N27 N28 N29 N30 N31 N32 N33 R15 R16 R17 R18 R19 R20 R21 R22 R23 R24 R25 R26 R27 R28 R29 R30 R31 R32 R33 V15 V16 V17 V18 V19 V20 V21 V22 V23 V24 V25 V26 V27 V28 V29 V30 V31 V32 V33 Z15 Z16 Z17 Z18 Z19 Z20 Z21 Z22 Z23 Z24 Z25 Z26 Z27 Z28 Z29 Z30 Z31 Z32 Z33 AD15 AD16 AD17 AD18 AD19 AD20 AD21 AD22 AD23 AD24 AD25 AD26 AD27 AD28 AD29 AD30 AD31 AD32 AD33"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Solution Consulting &amp; Implementation</t>
        </is>
      </c>
      <c r="O1" s="7" t="inlineStr">
        <is>
          <t>◂ Start</t>
        </is>
      </c>
    </row>
    <row r="2" ht="30" customHeight="1">
      <c r="A2" s="2" t="inlineStr">
        <is>
          <t>What Low, Medium and High mean for each of the seven parameters at every level of Solution Consulting &amp; Implementation, and how much each parameter counts · main type of work: Regulatory &amp; domain consulting.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Solution Consulting &amp; Implementation · Senior Functional Specialist</t>
        </is>
      </c>
      <c r="F18" s="34" t="inlineStr">
        <is>
          <t>H</t>
        </is>
      </c>
      <c r="G18" s="84" t="inlineStr">
        <is>
          <t>Works at B1: Domain specialist work</t>
        </is>
      </c>
      <c r="H18" s="84" t="inlineStr">
        <is>
          <t>Hardest problems in the domain · in Solution Consulting &amp; Implementation: CE · ESG frameworks · ESG</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Implements the product at clients, runs demos and training, advises on ESG / disclosure reporting. At B2: deep domain expertise, or one team.
Common themes in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Solution Consulting &amp; Implementation · Senior Functional Specialist</t>
        </is>
      </c>
      <c r="F19" s="34" t="inlineStr">
        <is>
          <t>H</t>
        </is>
      </c>
      <c r="G19" s="84" t="inlineStr">
        <is>
          <t>Works at B1: Domain specialist work</t>
        </is>
      </c>
      <c r="H19" s="84" t="inlineStr">
        <is>
          <t>Hardest problems in the domain · in Solution Consulting &amp; Implementation: CE · ESG frameworks · ESG</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Implements the product at clients, runs demos and training, advises on ESG / disclosure reporting. At B2: deep domain expertise, or one team.
Common themes in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Solution Consulting &amp; Implementation · Functional Specialist · Functional Specialist – POD Lead</t>
        </is>
      </c>
      <c r="F20" s="34" t="inlineStr">
        <is>
          <t>H</t>
        </is>
      </c>
      <c r="G20" s="84" t="inlineStr">
        <is>
          <t>Works at A3: Varied and non-standard work; handles exceptions</t>
        </is>
      </c>
      <c r="H20" s="84" t="inlineStr">
        <is>
          <t>Domain specialist work · in Solution Consulting &amp; Implementation: CE</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Implements the product at clients, runs demos and training, advises on ESG / disclosure reporting. At B1: a domain / module, or a small team.
Common themes in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Solution Consulting &amp; Implementation · Functional Specialist · Functional Specialist – POD Lead</t>
        </is>
      </c>
      <c r="F21" s="34" t="inlineStr">
        <is>
          <t>H</t>
        </is>
      </c>
      <c r="G21" s="84" t="inlineStr">
        <is>
          <t>Works at A3: Varied and non-standard work; handles exceptions</t>
        </is>
      </c>
      <c r="H21" s="84" t="inlineStr">
        <is>
          <t>Domain specialist work · in Solution Consulting &amp; Implementation: CE</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Implements the product at clients, runs demos and training, advises on ESG / disclosure reporting. At B1: a domain / module, or a small team.
Common themes in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Solution Consulting &amp; Implementation · Senior Functional Analyst</t>
        </is>
      </c>
      <c r="F22" s="34" t="inlineStr">
        <is>
          <t>H</t>
        </is>
      </c>
      <c r="G22" s="84" t="inlineStr">
        <is>
          <t>Works at A2: Standard work of the discipline</t>
        </is>
      </c>
      <c r="H22" s="84" t="inlineStr">
        <is>
          <t>Varied and non-standard work; handles exceptions · in Solution Consulting &amp; Implementation: CE · ESG frameworks · ESG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Implements the product at clients, runs demos and training, advises on ESG / disclosure reporting.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Unassigned</t>
        </is>
      </c>
      <c r="O1" s="7" t="inlineStr">
        <is>
          <t>◂ Start</t>
        </is>
      </c>
    </row>
    <row r="2" ht="30" customHeight="1">
      <c r="A2" s="2" t="inlineStr">
        <is>
          <t>What Low, Medium and High mean for each of the seven parameters at every level of Unassigned, and how much each parameter counts · main type of work: General management. Medium is the band as described; Low is the level below; High is the level above. Change a yellow weightage and every role, department ladder and person in this family recalculates.</t>
        </is>
      </c>
    </row>
    <row r="3">
      <c r="A3" s="3" t="inlineStr">
        <is>
          <t>IRIS · Job Architecture &amp; Job Design · Final v1.14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418"/>
  <sheetViews>
    <sheetView workbookViewId="0">
      <selection activeCell="A1" sqref="A1"/>
    </sheetView>
  </sheetViews>
  <sheetFormatPr baseColWidth="8" defaultRowHeight="15"/>
  <cols>
    <col width="34" customWidth="1" min="1" max="1"/>
    <col width="22" customWidth="1" min="2" max="2"/>
    <col width="12" customWidth="1" min="3" max="3"/>
    <col width="22"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Backend Data — the lookups that make the workbook live</t>
        </is>
      </c>
      <c r="K1" s="7" t="inlineStr">
        <is>
          <t>◂ Start</t>
        </is>
      </c>
    </row>
    <row r="2" ht="30" customHeight="1">
      <c r="A2" s="2" t="inlineStr">
        <is>
          <t>Last sheet · Low / Medium / High in points and steps, the level ladders, the band order, the default weightage of every family × level × role group (linked to the RB sheets), and the drop-down lists. Edit the yellow cells only if HR agrees to change the model.</t>
        </is>
      </c>
    </row>
    <row r="3">
      <c r="A3" s="3" t="inlineStr">
        <is>
          <t>IRIS · Job Architecture &amp; Job Design · Final v1.14 · October 2026 · Internal — Confidential · HR only</t>
        </is>
      </c>
    </row>
    <row r="5">
      <c r="A5" s="6" t="inlineStr">
        <is>
          <t>LOW · MEDIUM · HIGH — what each choice is worth</t>
        </is>
      </c>
    </row>
    <row r="6">
      <c r="A6" s="27" t="inlineStr">
        <is>
          <t>Code</t>
        </is>
      </c>
      <c r="B6" s="27" t="inlineStr">
        <is>
          <t>Means</t>
        </is>
      </c>
      <c r="C6" s="27" t="inlineStr">
        <is>
          <t>Weightage points</t>
        </is>
      </c>
      <c r="D6" s="27" t="inlineStr">
        <is>
          <t>Assessment step</t>
        </is>
      </c>
      <c r="E6" s="27" t="inlineStr">
        <is>
          <t>Explained</t>
        </is>
      </c>
    </row>
    <row r="7">
      <c r="A7" s="64" t="inlineStr">
        <is>
          <t>L</t>
        </is>
      </c>
      <c r="B7" s="53" t="inlineStr">
        <is>
          <t>Low</t>
        </is>
      </c>
      <c r="C7" s="43" t="n">
        <v>1</v>
      </c>
      <c r="D7" s="43" t="n">
        <v>-1</v>
      </c>
      <c r="E7" s="53" t="inlineStr">
        <is>
          <t>Below what the matrix describes for this band · works at the level below on this parameter</t>
        </is>
      </c>
    </row>
    <row r="8">
      <c r="A8" s="64" t="inlineStr">
        <is>
          <t>M</t>
        </is>
      </c>
      <c r="B8" s="53" t="inlineStr">
        <is>
          <t>Medium</t>
        </is>
      </c>
      <c r="C8" s="43" t="n">
        <v>3</v>
      </c>
      <c r="D8" s="43" t="n">
        <v>0</v>
      </c>
      <c r="E8" s="53" t="inlineStr">
        <is>
          <t>Meets what the matrix describes for this band</t>
        </is>
      </c>
    </row>
    <row r="9">
      <c r="A9" s="64" t="inlineStr">
        <is>
          <t>H</t>
        </is>
      </c>
      <c r="B9" s="53" t="inlineStr">
        <is>
          <t>High</t>
        </is>
      </c>
      <c r="C9" s="43" t="n">
        <v>9</v>
      </c>
      <c r="D9" s="43" t="n">
        <v>1</v>
      </c>
      <c r="E9" s="53" t="inlineStr">
        <is>
          <t>Above what the matrix describes for this band · already works at the level above on this parameter</t>
        </is>
      </c>
    </row>
    <row r="10" ht="45" customHeight="1">
      <c r="A10" s="53" t="inlineStr">
        <is>
          <t>Weightage: a parameter's share = its points ÷ the points of all seven. With L 1 · M 3 · H 9 the shares follow the published job-evaluation weights within a few points — see 4. Market Benchmark, section 4. Assessment: the weighted net of the seven steps runs from −1 to +1; at +0.5 or more the person moves one level up from the HR proposed level, at −0.5 or less one level down.</t>
        </is>
      </c>
      <c r="B10" s="61" t="n"/>
      <c r="C10" s="61" t="n"/>
      <c r="D10" s="61" t="n"/>
      <c r="E10" s="61" t="n"/>
      <c r="F10" s="61" t="n"/>
      <c r="G10" s="61" t="n"/>
      <c r="H10" s="62" t="n"/>
    </row>
    <row r="12">
      <c r="A12" s="6" t="inlineStr">
        <is>
          <t>LEVELS — value, band and band order</t>
        </is>
      </c>
    </row>
    <row r="13">
      <c r="A13" s="27" t="inlineStr">
        <is>
          <t>Level</t>
        </is>
      </c>
      <c r="B13" s="27" t="inlineStr">
        <is>
          <t>Value</t>
        </is>
      </c>
      <c r="C13" s="27" t="inlineStr">
        <is>
          <t>Band</t>
        </is>
      </c>
      <c r="D13" s="27" t="inlineStr">
        <is>
          <t>Band rank</t>
        </is>
      </c>
      <c r="E13" s="27" t="inlineStr">
        <is>
          <t>Standard ladder</t>
        </is>
      </c>
      <c r="F13" s="27" t="inlineStr">
        <is>
          <t>Player-Coach ladder</t>
        </is>
      </c>
    </row>
    <row r="14">
      <c r="A14" s="64" t="inlineStr">
        <is>
          <t>A1</t>
        </is>
      </c>
      <c r="B14" s="53" t="n">
        <v>1</v>
      </c>
      <c r="C14" s="53" t="inlineStr">
        <is>
          <t>A</t>
        </is>
      </c>
      <c r="D14" s="53" t="n">
        <v>1</v>
      </c>
      <c r="E14" s="53" t="inlineStr">
        <is>
          <t>A1</t>
        </is>
      </c>
      <c r="F14" s="53" t="inlineStr">
        <is>
          <t>A1</t>
        </is>
      </c>
    </row>
    <row r="15">
      <c r="A15" s="64" t="inlineStr">
        <is>
          <t>A2</t>
        </is>
      </c>
      <c r="B15" s="53" t="n">
        <v>2</v>
      </c>
      <c r="C15" s="53" t="inlineStr">
        <is>
          <t>A</t>
        </is>
      </c>
      <c r="D15" s="53" t="n">
        <v>1</v>
      </c>
      <c r="E15" s="53" t="inlineStr">
        <is>
          <t>A2</t>
        </is>
      </c>
      <c r="F15" s="53" t="inlineStr">
        <is>
          <t>A2</t>
        </is>
      </c>
    </row>
    <row r="16">
      <c r="A16" s="64" t="inlineStr">
        <is>
          <t>A3</t>
        </is>
      </c>
      <c r="B16" s="53" t="n">
        <v>3</v>
      </c>
      <c r="C16" s="53" t="inlineStr">
        <is>
          <t>A</t>
        </is>
      </c>
      <c r="D16" s="53" t="n">
        <v>1</v>
      </c>
      <c r="E16" s="53" t="inlineStr">
        <is>
          <t>A3</t>
        </is>
      </c>
      <c r="F16" s="53" t="inlineStr">
        <is>
          <t>A3</t>
        </is>
      </c>
    </row>
    <row r="17">
      <c r="A17" s="64" t="inlineStr">
        <is>
          <t>B1</t>
        </is>
      </c>
      <c r="B17" s="53" t="n">
        <v>4</v>
      </c>
      <c r="C17" s="53" t="inlineStr">
        <is>
          <t>B</t>
        </is>
      </c>
      <c r="D17" s="53" t="n">
        <v>2</v>
      </c>
      <c r="E17" s="53" t="inlineStr">
        <is>
          <t>B1</t>
        </is>
      </c>
      <c r="F17" s="53" t="inlineStr">
        <is>
          <t>B1</t>
        </is>
      </c>
    </row>
    <row r="18">
      <c r="A18" s="64" t="inlineStr">
        <is>
          <t>B2</t>
        </is>
      </c>
      <c r="B18" s="53" t="n">
        <v>5</v>
      </c>
      <c r="C18" s="53" t="inlineStr">
        <is>
          <t>B</t>
        </is>
      </c>
      <c r="D18" s="53" t="n">
        <v>2</v>
      </c>
      <c r="E18" s="53" t="inlineStr">
        <is>
          <t>B2</t>
        </is>
      </c>
      <c r="F18" s="53" t="inlineStr">
        <is>
          <t>B2</t>
        </is>
      </c>
    </row>
    <row r="19">
      <c r="A19" s="64" t="inlineStr">
        <is>
          <t>B3</t>
        </is>
      </c>
      <c r="B19" s="53" t="n">
        <v>6</v>
      </c>
      <c r="C19" s="53" t="inlineStr">
        <is>
          <t>B</t>
        </is>
      </c>
      <c r="D19" s="53" t="n">
        <v>2</v>
      </c>
      <c r="E19" s="53" t="inlineStr">
        <is>
          <t>B3</t>
        </is>
      </c>
      <c r="F19" s="53" t="inlineStr">
        <is>
          <t>B3</t>
        </is>
      </c>
    </row>
    <row r="20">
      <c r="A20" s="64" t="inlineStr">
        <is>
          <t>B+</t>
        </is>
      </c>
      <c r="B20" s="53" t="n">
        <v>6.5</v>
      </c>
      <c r="C20" s="53" t="inlineStr">
        <is>
          <t>B+</t>
        </is>
      </c>
      <c r="D20" s="53" t="n">
        <v>3</v>
      </c>
      <c r="E20" s="53" t="inlineStr">
        <is>
          <t>C1</t>
        </is>
      </c>
      <c r="F20" s="53" t="inlineStr">
        <is>
          <t>B+</t>
        </is>
      </c>
    </row>
    <row r="21">
      <c r="A21" s="64" t="inlineStr">
        <is>
          <t>C1</t>
        </is>
      </c>
      <c r="B21" s="53" t="n">
        <v>7</v>
      </c>
      <c r="C21" s="53" t="inlineStr">
        <is>
          <t>C</t>
        </is>
      </c>
      <c r="D21" s="53" t="n">
        <v>4</v>
      </c>
      <c r="E21" s="53" t="inlineStr">
        <is>
          <t>C2</t>
        </is>
      </c>
      <c r="F21" s="53" t="inlineStr">
        <is>
          <t>C1</t>
        </is>
      </c>
    </row>
    <row r="22">
      <c r="A22" s="64" t="inlineStr">
        <is>
          <t>C2</t>
        </is>
      </c>
      <c r="B22" s="53" t="n">
        <v>8</v>
      </c>
      <c r="C22" s="53" t="inlineStr">
        <is>
          <t>C</t>
        </is>
      </c>
      <c r="D22" s="53" t="n">
        <v>4</v>
      </c>
      <c r="E22" s="53" t="inlineStr">
        <is>
          <t>D1</t>
        </is>
      </c>
      <c r="F22" s="53" t="inlineStr">
        <is>
          <t>C2</t>
        </is>
      </c>
    </row>
    <row r="23">
      <c r="A23" s="64" t="inlineStr">
        <is>
          <t>C+</t>
        </is>
      </c>
      <c r="B23" s="53" t="n">
        <v>8.5</v>
      </c>
      <c r="C23" s="53" t="inlineStr">
        <is>
          <t>C+</t>
        </is>
      </c>
      <c r="D23" s="53" t="n">
        <v>5</v>
      </c>
      <c r="E23" s="53" t="inlineStr">
        <is>
          <t>D2</t>
        </is>
      </c>
      <c r="F23" s="53" t="inlineStr">
        <is>
          <t>C+</t>
        </is>
      </c>
    </row>
    <row r="24">
      <c r="A24" s="64" t="inlineStr">
        <is>
          <t>D1</t>
        </is>
      </c>
      <c r="B24" s="53" t="n">
        <v>9</v>
      </c>
      <c r="C24" s="53" t="inlineStr">
        <is>
          <t>D</t>
        </is>
      </c>
      <c r="D24" s="53" t="n">
        <v>6</v>
      </c>
      <c r="E24" s="53" t="inlineStr">
        <is>
          <t>E1</t>
        </is>
      </c>
      <c r="F24" s="53" t="inlineStr">
        <is>
          <t>D1</t>
        </is>
      </c>
    </row>
    <row r="25">
      <c r="A25" s="64" t="inlineStr">
        <is>
          <t>D2</t>
        </is>
      </c>
      <c r="B25" s="53" t="n">
        <v>10</v>
      </c>
      <c r="C25" s="53" t="inlineStr">
        <is>
          <t>D</t>
        </is>
      </c>
      <c r="D25" s="53" t="n">
        <v>6</v>
      </c>
      <c r="E25" s="53" t="inlineStr">
        <is>
          <t>E2</t>
        </is>
      </c>
      <c r="F25" s="53" t="inlineStr">
        <is>
          <t>D2</t>
        </is>
      </c>
    </row>
    <row r="26">
      <c r="A26" s="64" t="inlineStr">
        <is>
          <t>E1</t>
        </is>
      </c>
      <c r="B26" s="53" t="n">
        <v>11</v>
      </c>
      <c r="C26" s="53" t="inlineStr">
        <is>
          <t>E</t>
        </is>
      </c>
      <c r="D26" s="53" t="n">
        <v>7</v>
      </c>
      <c r="E26" s="53" t="n"/>
      <c r="F26" s="53" t="inlineStr">
        <is>
          <t>E1</t>
        </is>
      </c>
    </row>
    <row r="27">
      <c r="A27" s="64" t="inlineStr">
        <is>
          <t>E2</t>
        </is>
      </c>
      <c r="B27" s="53" t="n">
        <v>12</v>
      </c>
      <c r="C27" s="53" t="inlineStr">
        <is>
          <t>E</t>
        </is>
      </c>
      <c r="D27" s="53" t="n">
        <v>7</v>
      </c>
      <c r="E27" s="53" t="n"/>
      <c r="F27" s="53" t="inlineStr">
        <is>
          <t>E2</t>
        </is>
      </c>
    </row>
    <row r="28">
      <c r="A28" s="64" t="inlineStr">
        <is>
          <t>X1</t>
        </is>
      </c>
      <c r="B28" s="53" t="n">
        <v>0</v>
      </c>
      <c r="C28" s="53" t="inlineStr">
        <is>
          <t>X</t>
        </is>
      </c>
      <c r="D28" s="53" t="n">
        <v>0</v>
      </c>
      <c r="E28" s="53" t="n"/>
      <c r="F28" s="53" t="n"/>
    </row>
    <row r="29">
      <c r="A29" s="64" t="inlineStr">
        <is>
          <t>X2</t>
        </is>
      </c>
      <c r="B29" s="53" t="n">
        <v>0</v>
      </c>
      <c r="C29" s="53" t="inlineStr">
        <is>
          <t>X</t>
        </is>
      </c>
      <c r="D29" s="53" t="n">
        <v>0</v>
      </c>
      <c r="E29" s="53" t="n"/>
      <c r="F29" s="53" t="n"/>
    </row>
    <row r="30">
      <c r="A30" s="64" t="inlineStr">
        <is>
          <t>X3</t>
        </is>
      </c>
      <c r="B30" s="53" t="n">
        <v>0</v>
      </c>
      <c r="C30" s="53" t="inlineStr">
        <is>
          <t>X</t>
        </is>
      </c>
      <c r="D30" s="53" t="n">
        <v>0</v>
      </c>
      <c r="E30" s="53" t="n"/>
      <c r="F30" s="53" t="n"/>
    </row>
    <row r="32">
      <c r="A32" s="6" t="inlineStr">
        <is>
          <t>DEFAULT WEIGHTAGE — family × level × role group · linked to each RB sheet</t>
        </is>
      </c>
    </row>
    <row r="33">
      <c r="A33" s="27" t="inlineStr">
        <is>
          <t>Key</t>
        </is>
      </c>
      <c r="B33" s="27" t="inlineStr">
        <is>
          <t>Job family</t>
        </is>
      </c>
      <c r="C33" s="27" t="inlineStr">
        <is>
          <t>Level</t>
        </is>
      </c>
      <c r="D33" s="27" t="inlineStr">
        <is>
          <t>Role group</t>
        </is>
      </c>
      <c r="E33" s="27" t="inlineStr">
        <is>
          <t>Complexity &amp; Expertise</t>
        </is>
      </c>
      <c r="F33" s="27" t="inlineStr">
        <is>
          <t>Autonomy &amp; Decision</t>
        </is>
      </c>
      <c r="G33" s="27" t="inlineStr">
        <is>
          <t>Accountability &amp; Impact</t>
        </is>
      </c>
      <c r="H33" s="27" t="inlineStr">
        <is>
          <t>Leadership &amp; Strategy</t>
        </is>
      </c>
      <c r="I33" s="27" t="inlineStr">
        <is>
          <t>Business Impact</t>
        </is>
      </c>
      <c r="J33" s="27" t="inlineStr">
        <is>
          <t>Experience</t>
        </is>
      </c>
      <c r="K33" s="27" t="inlineStr">
        <is>
          <t>Education</t>
        </is>
      </c>
    </row>
    <row r="34">
      <c r="A34" s="53" t="inlineStr">
        <is>
          <t>Administration, Legal &amp; Secretarial|E2|DE</t>
        </is>
      </c>
      <c r="B34" s="53" t="inlineStr">
        <is>
          <t>Administration, Legal &amp; Secretarial</t>
        </is>
      </c>
      <c r="C34" s="53" t="inlineStr">
        <is>
          <t>E2</t>
        </is>
      </c>
      <c r="D34" s="53" t="inlineStr">
        <is>
          <t>Bands D–E · Leadership</t>
        </is>
      </c>
      <c r="E34" s="38" t="str">
        <f>'RB · Administration, Legal &amp; Se'!F6</f>
        <v>H</v>
      </c>
      <c r="F34" s="38" t="str">
        <f>'RB · Administration, Legal &amp; Se'!J6</f>
        <v>M</v>
      </c>
      <c r="G34" s="38" t="str">
        <f>'RB · Administration, Legal &amp; Se'!N6</f>
        <v>M</v>
      </c>
      <c r="H34" s="38" t="str">
        <f>'RB · Administration, Legal &amp; Se'!R6</f>
        <v>M</v>
      </c>
      <c r="I34" s="38" t="str">
        <f>'RB · Administration, Legal &amp; Se'!V6</f>
        <v>L</v>
      </c>
      <c r="J34" s="38" t="str">
        <f>'RB · Administration, Legal &amp; Se'!Z6</f>
        <v>L</v>
      </c>
      <c r="K34" s="38" t="str">
        <f>'RB · Administration, Legal &amp; Se'!AD6</f>
        <v>L</v>
      </c>
    </row>
    <row r="35">
      <c r="A35" s="53" t="inlineStr">
        <is>
          <t>Administration, Legal &amp; Secretarial|E1|DE</t>
        </is>
      </c>
      <c r="B35" s="53" t="inlineStr">
        <is>
          <t>Administration, Legal &amp; Secretarial</t>
        </is>
      </c>
      <c r="C35" s="53" t="inlineStr">
        <is>
          <t>E1</t>
        </is>
      </c>
      <c r="D35" s="53" t="inlineStr">
        <is>
          <t>Bands D–E · Leadership</t>
        </is>
      </c>
      <c r="E35" s="38" t="str">
        <f>'RB · Administration, Legal &amp; Se'!F7</f>
        <v>H</v>
      </c>
      <c r="F35" s="38" t="str">
        <f>'RB · Administration, Legal &amp; Se'!J7</f>
        <v>M</v>
      </c>
      <c r="G35" s="38" t="str">
        <f>'RB · Administration, Legal &amp; Se'!N7</f>
        <v>M</v>
      </c>
      <c r="H35" s="38" t="str">
        <f>'RB · Administration, Legal &amp; Se'!R7</f>
        <v>M</v>
      </c>
      <c r="I35" s="38" t="str">
        <f>'RB · Administration, Legal &amp; Se'!V7</f>
        <v>L</v>
      </c>
      <c r="J35" s="38" t="str">
        <f>'RB · Administration, Legal &amp; Se'!Z7</f>
        <v>L</v>
      </c>
      <c r="K35" s="38" t="str">
        <f>'RB · Administration, Legal &amp; Se'!AD7</f>
        <v>L</v>
      </c>
    </row>
    <row r="36">
      <c r="A36" s="53" t="inlineStr">
        <is>
          <t>Administration, Legal &amp; Secretarial|D2|DE</t>
        </is>
      </c>
      <c r="B36" s="53" t="inlineStr">
        <is>
          <t>Administration, Legal &amp; Secretarial</t>
        </is>
      </c>
      <c r="C36" s="53" t="inlineStr">
        <is>
          <t>D2</t>
        </is>
      </c>
      <c r="D36" s="53" t="inlineStr">
        <is>
          <t>Bands D–E · Leadership</t>
        </is>
      </c>
      <c r="E36" s="38" t="str">
        <f>'RB · Administration, Legal &amp; Se'!F8</f>
        <v>H</v>
      </c>
      <c r="F36" s="38" t="str">
        <f>'RB · Administration, Legal &amp; Se'!J8</f>
        <v>M</v>
      </c>
      <c r="G36" s="38" t="str">
        <f>'RB · Administration, Legal &amp; Se'!N8</f>
        <v>M</v>
      </c>
      <c r="H36" s="38" t="str">
        <f>'RB · Administration, Legal &amp; Se'!R8</f>
        <v>M</v>
      </c>
      <c r="I36" s="38" t="str">
        <f>'RB · Administration, Legal &amp; Se'!V8</f>
        <v>L</v>
      </c>
      <c r="J36" s="38" t="str">
        <f>'RB · Administration, Legal &amp; Se'!Z8</f>
        <v>L</v>
      </c>
      <c r="K36" s="38" t="str">
        <f>'RB · Administration, Legal &amp; Se'!AD8</f>
        <v>L</v>
      </c>
    </row>
    <row r="37">
      <c r="A37" s="53" t="inlineStr">
        <is>
          <t>Administration, Legal &amp; Secretarial|D1|DE</t>
        </is>
      </c>
      <c r="B37" s="53" t="inlineStr">
        <is>
          <t>Administration, Legal &amp; Secretarial</t>
        </is>
      </c>
      <c r="C37" s="53" t="inlineStr">
        <is>
          <t>D1</t>
        </is>
      </c>
      <c r="D37" s="53" t="inlineStr">
        <is>
          <t>Bands D–E · Leadership</t>
        </is>
      </c>
      <c r="E37" s="38" t="str">
        <f>'RB · Administration, Legal &amp; Se'!F9</f>
        <v>H</v>
      </c>
      <c r="F37" s="38" t="str">
        <f>'RB · Administration, Legal &amp; Se'!J9</f>
        <v>M</v>
      </c>
      <c r="G37" s="38" t="str">
        <f>'RB · Administration, Legal &amp; Se'!N9</f>
        <v>M</v>
      </c>
      <c r="H37" s="38" t="str">
        <f>'RB · Administration, Legal &amp; Se'!R9</f>
        <v>M</v>
      </c>
      <c r="I37" s="38" t="str">
        <f>'RB · Administration, Legal &amp; Se'!V9</f>
        <v>L</v>
      </c>
      <c r="J37" s="38" t="str">
        <f>'RB · Administration, Legal &amp; Se'!Z9</f>
        <v>L</v>
      </c>
      <c r="K37" s="38" t="str">
        <f>'RB · Administration, Legal &amp; Se'!AD9</f>
        <v>L</v>
      </c>
    </row>
    <row r="38">
      <c r="A38" s="53" t="inlineStr">
        <is>
          <t>Administration, Legal &amp; Secretarial|C+|C+</t>
        </is>
      </c>
      <c r="B38" s="53" t="inlineStr">
        <is>
          <t>Administration, Legal &amp; Secretarial</t>
        </is>
      </c>
      <c r="C38" s="53" t="inlineStr">
        <is>
          <t>C+</t>
        </is>
      </c>
      <c r="D38" s="53" t="inlineStr">
        <is>
          <t>C+ · Player-Coach</t>
        </is>
      </c>
      <c r="E38" s="38" t="str">
        <f>'RB · Administration, Legal &amp; Se'!F10</f>
        <v>H</v>
      </c>
      <c r="F38" s="38" t="str">
        <f>'RB · Administration, Legal &amp; Se'!J10</f>
        <v>M</v>
      </c>
      <c r="G38" s="38" t="str">
        <f>'RB · Administration, Legal &amp; Se'!N10</f>
        <v>M</v>
      </c>
      <c r="H38" s="38" t="str">
        <f>'RB · Administration, Legal &amp; Se'!R10</f>
        <v>M</v>
      </c>
      <c r="I38" s="38" t="str">
        <f>'RB · Administration, Legal &amp; Se'!V10</f>
        <v>L</v>
      </c>
      <c r="J38" s="38" t="str">
        <f>'RB · Administration, Legal &amp; Se'!Z10</f>
        <v>L</v>
      </c>
      <c r="K38" s="38" t="str">
        <f>'RB · Administration, Legal &amp; Se'!AD10</f>
        <v>L</v>
      </c>
    </row>
    <row r="39">
      <c r="A39" s="53" t="inlineStr">
        <is>
          <t>Administration, Legal &amp; Secretarial|C2|C-M</t>
        </is>
      </c>
      <c r="B39" s="53" t="inlineStr">
        <is>
          <t>Administration, Legal &amp; Secretarial</t>
        </is>
      </c>
      <c r="C39" s="53" t="inlineStr">
        <is>
          <t>C2</t>
        </is>
      </c>
      <c r="D39" s="53" t="inlineStr">
        <is>
          <t>Band C · Head / manager</t>
        </is>
      </c>
      <c r="E39" s="38" t="str">
        <f>'RB · Administration, Legal &amp; Se'!F11</f>
        <v>H</v>
      </c>
      <c r="F39" s="38" t="str">
        <f>'RB · Administration, Legal &amp; Se'!J11</f>
        <v>M</v>
      </c>
      <c r="G39" s="38" t="str">
        <f>'RB · Administration, Legal &amp; Se'!N11</f>
        <v>M</v>
      </c>
      <c r="H39" s="38" t="str">
        <f>'RB · Administration, Legal &amp; Se'!R11</f>
        <v>M</v>
      </c>
      <c r="I39" s="38" t="str">
        <f>'RB · Administration, Legal &amp; Se'!V11</f>
        <v>L</v>
      </c>
      <c r="J39" s="38" t="str">
        <f>'RB · Administration, Legal &amp; Se'!Z11</f>
        <v>L</v>
      </c>
      <c r="K39" s="38" t="str">
        <f>'RB · Administration, Legal &amp; Se'!AD11</f>
        <v>L</v>
      </c>
    </row>
    <row r="40">
      <c r="A40" s="53" t="inlineStr">
        <is>
          <t>Administration, Legal &amp; Secretarial|C2|C-IC</t>
        </is>
      </c>
      <c r="B40" s="53" t="inlineStr">
        <is>
          <t>Administration, Legal &amp; Secretarial</t>
        </is>
      </c>
      <c r="C40" s="53" t="inlineStr">
        <is>
          <t>C2</t>
        </is>
      </c>
      <c r="D40" s="53" t="inlineStr">
        <is>
          <t>Band C · Principal specialist</t>
        </is>
      </c>
      <c r="E40" s="38" t="str">
        <f>'RB · Administration, Legal &amp; Se'!F12</f>
        <v>H</v>
      </c>
      <c r="F40" s="38" t="str">
        <f>'RB · Administration, Legal &amp; Se'!J12</f>
        <v>M</v>
      </c>
      <c r="G40" s="38" t="str">
        <f>'RB · Administration, Legal &amp; Se'!N12</f>
        <v>M</v>
      </c>
      <c r="H40" s="38" t="str">
        <f>'RB · Administration, Legal &amp; Se'!R12</f>
        <v>L</v>
      </c>
      <c r="I40" s="38" t="str">
        <f>'RB · Administration, Legal &amp; Se'!V12</f>
        <v>L</v>
      </c>
      <c r="J40" s="38" t="str">
        <f>'RB · Administration, Legal &amp; Se'!Z12</f>
        <v>L</v>
      </c>
      <c r="K40" s="38" t="str">
        <f>'RB · Administration, Legal &amp; Se'!AD12</f>
        <v>L</v>
      </c>
    </row>
    <row r="41">
      <c r="A41" s="53" t="inlineStr">
        <is>
          <t>Administration, Legal &amp; Secretarial|C1|C-M</t>
        </is>
      </c>
      <c r="B41" s="53" t="inlineStr">
        <is>
          <t>Administration, Legal &amp; Secretarial</t>
        </is>
      </c>
      <c r="C41" s="53" t="inlineStr">
        <is>
          <t>C1</t>
        </is>
      </c>
      <c r="D41" s="53" t="inlineStr">
        <is>
          <t>Band C · Head / manager</t>
        </is>
      </c>
      <c r="E41" s="38" t="str">
        <f>'RB · Administration, Legal &amp; Se'!F13</f>
        <v>H</v>
      </c>
      <c r="F41" s="38" t="str">
        <f>'RB · Administration, Legal &amp; Se'!J13</f>
        <v>M</v>
      </c>
      <c r="G41" s="38" t="str">
        <f>'RB · Administration, Legal &amp; Se'!N13</f>
        <v>M</v>
      </c>
      <c r="H41" s="38" t="str">
        <f>'RB · Administration, Legal &amp; Se'!R13</f>
        <v>M</v>
      </c>
      <c r="I41" s="38" t="str">
        <f>'RB · Administration, Legal &amp; Se'!V13</f>
        <v>L</v>
      </c>
      <c r="J41" s="38" t="str">
        <f>'RB · Administration, Legal &amp; Se'!Z13</f>
        <v>L</v>
      </c>
      <c r="K41" s="38" t="str">
        <f>'RB · Administration, Legal &amp; Se'!AD13</f>
        <v>L</v>
      </c>
    </row>
    <row r="42">
      <c r="A42" s="53" t="inlineStr">
        <is>
          <t>Administration, Legal &amp; Secretarial|C1|C-IC</t>
        </is>
      </c>
      <c r="B42" s="53" t="inlineStr">
        <is>
          <t>Administration, Legal &amp; Secretarial</t>
        </is>
      </c>
      <c r="C42" s="53" t="inlineStr">
        <is>
          <t>C1</t>
        </is>
      </c>
      <c r="D42" s="53" t="inlineStr">
        <is>
          <t>Band C · Principal specialist</t>
        </is>
      </c>
      <c r="E42" s="38" t="str">
        <f>'RB · Administration, Legal &amp; Se'!F14</f>
        <v>H</v>
      </c>
      <c r="F42" s="38" t="str">
        <f>'RB · Administration, Legal &amp; Se'!J14</f>
        <v>M</v>
      </c>
      <c r="G42" s="38" t="str">
        <f>'RB · Administration, Legal &amp; Se'!N14</f>
        <v>M</v>
      </c>
      <c r="H42" s="38" t="str">
        <f>'RB · Administration, Legal &amp; Se'!R14</f>
        <v>L</v>
      </c>
      <c r="I42" s="38" t="str">
        <f>'RB · Administration, Legal &amp; Se'!V14</f>
        <v>L</v>
      </c>
      <c r="J42" s="38" t="str">
        <f>'RB · Administration, Legal &amp; Se'!Z14</f>
        <v>L</v>
      </c>
      <c r="K42" s="38" t="str">
        <f>'RB · Administration, Legal &amp; Se'!AD14</f>
        <v>L</v>
      </c>
    </row>
    <row r="43">
      <c r="A43" s="53" t="inlineStr">
        <is>
          <t>Administration, Legal &amp; Secretarial|B+|B+</t>
        </is>
      </c>
      <c r="B43" s="53" t="inlineStr">
        <is>
          <t>Administration, Legal &amp; Secretarial</t>
        </is>
      </c>
      <c r="C43" s="53" t="inlineStr">
        <is>
          <t>B+</t>
        </is>
      </c>
      <c r="D43" s="53" t="inlineStr">
        <is>
          <t>B+ · Player-Coach</t>
        </is>
      </c>
      <c r="E43" s="38" t="str">
        <f>'RB · Administration, Legal &amp; Se'!F15</f>
        <v>H</v>
      </c>
      <c r="F43" s="38" t="str">
        <f>'RB · Administration, Legal &amp; Se'!J15</f>
        <v>M</v>
      </c>
      <c r="G43" s="38" t="str">
        <f>'RB · Administration, Legal &amp; Se'!N15</f>
        <v>M</v>
      </c>
      <c r="H43" s="38" t="str">
        <f>'RB · Administration, Legal &amp; Se'!R15</f>
        <v>M</v>
      </c>
      <c r="I43" s="38" t="str">
        <f>'RB · Administration, Legal &amp; Se'!V15</f>
        <v>L</v>
      </c>
      <c r="J43" s="38" t="str">
        <f>'RB · Administration, Legal &amp; Se'!Z15</f>
        <v>L</v>
      </c>
      <c r="K43" s="38" t="str">
        <f>'RB · Administration, Legal &amp; Se'!AD15</f>
        <v>M</v>
      </c>
    </row>
    <row r="44">
      <c r="A44" s="53" t="inlineStr">
        <is>
          <t>Administration, Legal &amp; Secretarial|B3|B-M</t>
        </is>
      </c>
      <c r="B44" s="53" t="inlineStr">
        <is>
          <t>Administration, Legal &amp; Secretarial</t>
        </is>
      </c>
      <c r="C44" s="53" t="inlineStr">
        <is>
          <t>B3</t>
        </is>
      </c>
      <c r="D44" s="53" t="inlineStr">
        <is>
          <t>Band B · People Manager</t>
        </is>
      </c>
      <c r="E44" s="38" t="str">
        <f>'RB · Administration, Legal &amp; Se'!F16</f>
        <v>H</v>
      </c>
      <c r="F44" s="38" t="str">
        <f>'RB · Administration, Legal &amp; Se'!J16</f>
        <v>M</v>
      </c>
      <c r="G44" s="38" t="str">
        <f>'RB · Administration, Legal &amp; Se'!N16</f>
        <v>M</v>
      </c>
      <c r="H44" s="38" t="str">
        <f>'RB · Administration, Legal &amp; Se'!R16</f>
        <v>M</v>
      </c>
      <c r="I44" s="38" t="str">
        <f>'RB · Administration, Legal &amp; Se'!V16</f>
        <v>L</v>
      </c>
      <c r="J44" s="38" t="str">
        <f>'RB · Administration, Legal &amp; Se'!Z16</f>
        <v>L</v>
      </c>
      <c r="K44" s="38" t="str">
        <f>'RB · Administration, Legal &amp; Se'!AD16</f>
        <v>L</v>
      </c>
    </row>
    <row r="45">
      <c r="A45" s="53" t="inlineStr">
        <is>
          <t>Administration, Legal &amp; Secretarial|B3|B-IC</t>
        </is>
      </c>
      <c r="B45" s="53" t="inlineStr">
        <is>
          <t>Administration, Legal &amp; Secretarial</t>
        </is>
      </c>
      <c r="C45" s="53" t="inlineStr">
        <is>
          <t>B3</t>
        </is>
      </c>
      <c r="D45" s="53" t="inlineStr">
        <is>
          <t>Band B · Specialist / POD Lead</t>
        </is>
      </c>
      <c r="E45" s="38" t="str">
        <f>'RB · Administration, Legal &amp; Se'!F17</f>
        <v>H</v>
      </c>
      <c r="F45" s="38" t="str">
        <f>'RB · Administration, Legal &amp; Se'!J17</f>
        <v>M</v>
      </c>
      <c r="G45" s="38" t="str">
        <f>'RB · Administration, Legal &amp; Se'!N17</f>
        <v>M</v>
      </c>
      <c r="H45" s="38" t="str">
        <f>'RB · Administration, Legal &amp; Se'!R17</f>
        <v>L</v>
      </c>
      <c r="I45" s="38" t="str">
        <f>'RB · Administration, Legal &amp; Se'!V17</f>
        <v>L</v>
      </c>
      <c r="J45" s="38" t="str">
        <f>'RB · Administration, Legal &amp; Se'!Z17</f>
        <v>L</v>
      </c>
      <c r="K45" s="38" t="str">
        <f>'RB · Administration, Legal &amp; Se'!AD17</f>
        <v>L</v>
      </c>
    </row>
    <row r="46">
      <c r="A46" s="53" t="inlineStr">
        <is>
          <t>Administration, Legal &amp; Secretarial|B2|B-M</t>
        </is>
      </c>
      <c r="B46" s="53" t="inlineStr">
        <is>
          <t>Administration, Legal &amp; Secretarial</t>
        </is>
      </c>
      <c r="C46" s="53" t="inlineStr">
        <is>
          <t>B2</t>
        </is>
      </c>
      <c r="D46" s="53" t="inlineStr">
        <is>
          <t>Band B · People Manager</t>
        </is>
      </c>
      <c r="E46" s="38" t="str">
        <f>'RB · Administration, Legal &amp; Se'!F18</f>
        <v>H</v>
      </c>
      <c r="F46" s="38" t="str">
        <f>'RB · Administration, Legal &amp; Se'!J18</f>
        <v>M</v>
      </c>
      <c r="G46" s="38" t="str">
        <f>'RB · Administration, Legal &amp; Se'!N18</f>
        <v>M</v>
      </c>
      <c r="H46" s="38" t="str">
        <f>'RB · Administration, Legal &amp; Se'!R18</f>
        <v>M</v>
      </c>
      <c r="I46" s="38" t="str">
        <f>'RB · Administration, Legal &amp; Se'!V18</f>
        <v>L</v>
      </c>
      <c r="J46" s="38" t="str">
        <f>'RB · Administration, Legal &amp; Se'!Z18</f>
        <v>L</v>
      </c>
      <c r="K46" s="38" t="str">
        <f>'RB · Administration, Legal &amp; Se'!AD18</f>
        <v>L</v>
      </c>
    </row>
    <row r="47">
      <c r="A47" s="53" t="inlineStr">
        <is>
          <t>Administration, Legal &amp; Secretarial|B2|B-IC</t>
        </is>
      </c>
      <c r="B47" s="53" t="inlineStr">
        <is>
          <t>Administration, Legal &amp; Secretarial</t>
        </is>
      </c>
      <c r="C47" s="53" t="inlineStr">
        <is>
          <t>B2</t>
        </is>
      </c>
      <c r="D47" s="53" t="inlineStr">
        <is>
          <t>Band B · Specialist / POD Lead</t>
        </is>
      </c>
      <c r="E47" s="38" t="str">
        <f>'RB · Administration, Legal &amp; Se'!F19</f>
        <v>H</v>
      </c>
      <c r="F47" s="38" t="str">
        <f>'RB · Administration, Legal &amp; Se'!J19</f>
        <v>M</v>
      </c>
      <c r="G47" s="38" t="str">
        <f>'RB · Administration, Legal &amp; Se'!N19</f>
        <v>M</v>
      </c>
      <c r="H47" s="38" t="str">
        <f>'RB · Administration, Legal &amp; Se'!R19</f>
        <v>L</v>
      </c>
      <c r="I47" s="38" t="str">
        <f>'RB · Administration, Legal &amp; Se'!V19</f>
        <v>L</v>
      </c>
      <c r="J47" s="38" t="str">
        <f>'RB · Administration, Legal &amp; Se'!Z19</f>
        <v>L</v>
      </c>
      <c r="K47" s="38" t="str">
        <f>'RB · Administration, Legal &amp; Se'!AD19</f>
        <v>L</v>
      </c>
    </row>
    <row r="48">
      <c r="A48" s="53" t="inlineStr">
        <is>
          <t>Administration, Legal &amp; Secretarial|B1|B-M</t>
        </is>
      </c>
      <c r="B48" s="53" t="inlineStr">
        <is>
          <t>Administration, Legal &amp; Secretarial</t>
        </is>
      </c>
      <c r="C48" s="53" t="inlineStr">
        <is>
          <t>B1</t>
        </is>
      </c>
      <c r="D48" s="53" t="inlineStr">
        <is>
          <t>Band B · People Manager</t>
        </is>
      </c>
      <c r="E48" s="38" t="str">
        <f>'RB · Administration, Legal &amp; Se'!F20</f>
        <v>H</v>
      </c>
      <c r="F48" s="38" t="str">
        <f>'RB · Administration, Legal &amp; Se'!J20</f>
        <v>M</v>
      </c>
      <c r="G48" s="38" t="str">
        <f>'RB · Administration, Legal &amp; Se'!N20</f>
        <v>M</v>
      </c>
      <c r="H48" s="38" t="str">
        <f>'RB · Administration, Legal &amp; Se'!R20</f>
        <v>M</v>
      </c>
      <c r="I48" s="38" t="str">
        <f>'RB · Administration, Legal &amp; Se'!V20</f>
        <v>L</v>
      </c>
      <c r="J48" s="38" t="str">
        <f>'RB · Administration, Legal &amp; Se'!Z20</f>
        <v>L</v>
      </c>
      <c r="K48" s="38" t="str">
        <f>'RB · Administration, Legal &amp; Se'!AD20</f>
        <v>L</v>
      </c>
    </row>
    <row r="49">
      <c r="A49" s="53" t="inlineStr">
        <is>
          <t>Administration, Legal &amp; Secretarial|B1|B-IC</t>
        </is>
      </c>
      <c r="B49" s="53" t="inlineStr">
        <is>
          <t>Administration, Legal &amp; Secretarial</t>
        </is>
      </c>
      <c r="C49" s="53" t="inlineStr">
        <is>
          <t>B1</t>
        </is>
      </c>
      <c r="D49" s="53" t="inlineStr">
        <is>
          <t>Band B · Specialist / POD Lead</t>
        </is>
      </c>
      <c r="E49" s="38" t="str">
        <f>'RB · Administration, Legal &amp; Se'!F21</f>
        <v>H</v>
      </c>
      <c r="F49" s="38" t="str">
        <f>'RB · Administration, Legal &amp; Se'!J21</f>
        <v>M</v>
      </c>
      <c r="G49" s="38" t="str">
        <f>'RB · Administration, Legal &amp; Se'!N21</f>
        <v>M</v>
      </c>
      <c r="H49" s="38" t="str">
        <f>'RB · Administration, Legal &amp; Se'!R21</f>
        <v>L</v>
      </c>
      <c r="I49" s="38" t="str">
        <f>'RB · Administration, Legal &amp; Se'!V21</f>
        <v>L</v>
      </c>
      <c r="J49" s="38" t="str">
        <f>'RB · Administration, Legal &amp; Se'!Z21</f>
        <v>L</v>
      </c>
      <c r="K49" s="38" t="str">
        <f>'RB · Administration, Legal &amp; Se'!AD21</f>
        <v>L</v>
      </c>
    </row>
    <row r="50">
      <c r="A50" s="53" t="inlineStr">
        <is>
          <t>Administration, Legal &amp; Secretarial|A3|A</t>
        </is>
      </c>
      <c r="B50" s="53" t="inlineStr">
        <is>
          <t>Administration, Legal &amp; Secretarial</t>
        </is>
      </c>
      <c r="C50" s="53" t="inlineStr">
        <is>
          <t>A3</t>
        </is>
      </c>
      <c r="D50" s="53" t="inlineStr">
        <is>
          <t>Band A · all tracks</t>
        </is>
      </c>
      <c r="E50" s="38" t="str">
        <f>'RB · Administration, Legal &amp; Se'!F22</f>
        <v>H</v>
      </c>
      <c r="F50" s="38" t="str">
        <f>'RB · Administration, Legal &amp; Se'!J22</f>
        <v>M</v>
      </c>
      <c r="G50" s="38" t="str">
        <f>'RB · Administration, Legal &amp; Se'!N22</f>
        <v>M</v>
      </c>
      <c r="H50" s="38" t="str">
        <f>'RB · Administration, Legal &amp; Se'!R22</f>
        <v>L</v>
      </c>
      <c r="I50" s="38" t="str">
        <f>'RB · Administration, Legal &amp; Se'!V22</f>
        <v>L</v>
      </c>
      <c r="J50" s="38" t="str">
        <f>'RB · Administration, Legal &amp; Se'!Z22</f>
        <v>L</v>
      </c>
      <c r="K50" s="38" t="str">
        <f>'RB · Administration, Legal &amp; Se'!AD22</f>
        <v>M</v>
      </c>
    </row>
    <row r="51">
      <c r="A51" s="53" t="inlineStr">
        <is>
          <t>Administration, Legal &amp; Secretarial|A2|A</t>
        </is>
      </c>
      <c r="B51" s="53" t="inlineStr">
        <is>
          <t>Administration, Legal &amp; Secretarial</t>
        </is>
      </c>
      <c r="C51" s="53" t="inlineStr">
        <is>
          <t>A2</t>
        </is>
      </c>
      <c r="D51" s="53" t="inlineStr">
        <is>
          <t>Band A · all tracks</t>
        </is>
      </c>
      <c r="E51" s="38" t="str">
        <f>'RB · Administration, Legal &amp; Se'!F23</f>
        <v>H</v>
      </c>
      <c r="F51" s="38" t="str">
        <f>'RB · Administration, Legal &amp; Se'!J23</f>
        <v>M</v>
      </c>
      <c r="G51" s="38" t="str">
        <f>'RB · Administration, Legal &amp; Se'!N23</f>
        <v>M</v>
      </c>
      <c r="H51" s="38" t="str">
        <f>'RB · Administration, Legal &amp; Se'!R23</f>
        <v>L</v>
      </c>
      <c r="I51" s="38" t="str">
        <f>'RB · Administration, Legal &amp; Se'!V23</f>
        <v>L</v>
      </c>
      <c r="J51" s="38" t="str">
        <f>'RB · Administration, Legal &amp; Se'!Z23</f>
        <v>L</v>
      </c>
      <c r="K51" s="38" t="str">
        <f>'RB · Administration, Legal &amp; Se'!AD23</f>
        <v>M</v>
      </c>
    </row>
    <row r="52">
      <c r="A52" s="53" t="inlineStr">
        <is>
          <t>Administration, Legal &amp; Secretarial|A1|A</t>
        </is>
      </c>
      <c r="B52" s="53" t="inlineStr">
        <is>
          <t>Administration, Legal &amp; Secretarial</t>
        </is>
      </c>
      <c r="C52" s="53" t="inlineStr">
        <is>
          <t>A1</t>
        </is>
      </c>
      <c r="D52" s="53" t="inlineStr">
        <is>
          <t>Band A · all tracks</t>
        </is>
      </c>
      <c r="E52" s="38" t="str">
        <f>'RB · Administration, Legal &amp; Se'!F24</f>
        <v>H</v>
      </c>
      <c r="F52" s="38" t="str">
        <f>'RB · Administration, Legal &amp; Se'!J24</f>
        <v>M</v>
      </c>
      <c r="G52" s="38" t="str">
        <f>'RB · Administration, Legal &amp; Se'!N24</f>
        <v>M</v>
      </c>
      <c r="H52" s="38" t="str">
        <f>'RB · Administration, Legal &amp; Se'!R24</f>
        <v>L</v>
      </c>
      <c r="I52" s="38" t="str">
        <f>'RB · Administration, Legal &amp; Se'!V24</f>
        <v>L</v>
      </c>
      <c r="J52" s="38" t="str">
        <f>'RB · Administration, Legal &amp; Se'!Z24</f>
        <v>L</v>
      </c>
      <c r="K52" s="38" t="str">
        <f>'RB · Administration, Legal &amp; Se'!AD24</f>
        <v>M</v>
      </c>
    </row>
    <row r="53">
      <c r="A53" s="53" t="inlineStr">
        <is>
          <t>Business Analysis|E2|DE</t>
        </is>
      </c>
      <c r="B53" s="53" t="inlineStr">
        <is>
          <t>Business Analysis</t>
        </is>
      </c>
      <c r="C53" s="53" t="inlineStr">
        <is>
          <t>E2</t>
        </is>
      </c>
      <c r="D53" s="53" t="inlineStr">
        <is>
          <t>Bands D–E · Leadership</t>
        </is>
      </c>
      <c r="E53" s="38" t="str">
        <f>'RB · Business Analysis'!F6</f>
        <v>H</v>
      </c>
      <c r="F53" s="38" t="str">
        <f>'RB · Business Analysis'!J6</f>
        <v>M</v>
      </c>
      <c r="G53" s="38" t="str">
        <f>'RB · Business Analysis'!N6</f>
        <v>M</v>
      </c>
      <c r="H53" s="38" t="str">
        <f>'RB · Business Analysis'!R6</f>
        <v>M</v>
      </c>
      <c r="I53" s="38" t="str">
        <f>'RB · Business Analysis'!V6</f>
        <v>L</v>
      </c>
      <c r="J53" s="38" t="str">
        <f>'RB · Business Analysis'!Z6</f>
        <v>L</v>
      </c>
      <c r="K53" s="38" t="str">
        <f>'RB · Business Analysis'!AD6</f>
        <v>L</v>
      </c>
    </row>
    <row r="54">
      <c r="A54" s="53" t="inlineStr">
        <is>
          <t>Business Analysis|E1|DE</t>
        </is>
      </c>
      <c r="B54" s="53" t="inlineStr">
        <is>
          <t>Business Analysis</t>
        </is>
      </c>
      <c r="C54" s="53" t="inlineStr">
        <is>
          <t>E1</t>
        </is>
      </c>
      <c r="D54" s="53" t="inlineStr">
        <is>
          <t>Bands D–E · Leadership</t>
        </is>
      </c>
      <c r="E54" s="38" t="str">
        <f>'RB · Business Analysis'!F7</f>
        <v>H</v>
      </c>
      <c r="F54" s="38" t="str">
        <f>'RB · Business Analysis'!J7</f>
        <v>M</v>
      </c>
      <c r="G54" s="38" t="str">
        <f>'RB · Business Analysis'!N7</f>
        <v>M</v>
      </c>
      <c r="H54" s="38" t="str">
        <f>'RB · Business Analysis'!R7</f>
        <v>M</v>
      </c>
      <c r="I54" s="38" t="str">
        <f>'RB · Business Analysis'!V7</f>
        <v>L</v>
      </c>
      <c r="J54" s="38" t="str">
        <f>'RB · Business Analysis'!Z7</f>
        <v>L</v>
      </c>
      <c r="K54" s="38" t="str">
        <f>'RB · Business Analysis'!AD7</f>
        <v>L</v>
      </c>
    </row>
    <row r="55">
      <c r="A55" s="53" t="inlineStr">
        <is>
          <t>Business Analysis|D2|DE</t>
        </is>
      </c>
      <c r="B55" s="53" t="inlineStr">
        <is>
          <t>Business Analysis</t>
        </is>
      </c>
      <c r="C55" s="53" t="inlineStr">
        <is>
          <t>D2</t>
        </is>
      </c>
      <c r="D55" s="53" t="inlineStr">
        <is>
          <t>Bands D–E · Leadership</t>
        </is>
      </c>
      <c r="E55" s="38" t="str">
        <f>'RB · Business Analysis'!F8</f>
        <v>H</v>
      </c>
      <c r="F55" s="38" t="str">
        <f>'RB · Business Analysis'!J8</f>
        <v>M</v>
      </c>
      <c r="G55" s="38" t="str">
        <f>'RB · Business Analysis'!N8</f>
        <v>M</v>
      </c>
      <c r="H55" s="38" t="str">
        <f>'RB · Business Analysis'!R8</f>
        <v>M</v>
      </c>
      <c r="I55" s="38" t="str">
        <f>'RB · Business Analysis'!V8</f>
        <v>L</v>
      </c>
      <c r="J55" s="38" t="str">
        <f>'RB · Business Analysis'!Z8</f>
        <v>L</v>
      </c>
      <c r="K55" s="38" t="str">
        <f>'RB · Business Analysis'!AD8</f>
        <v>L</v>
      </c>
    </row>
    <row r="56">
      <c r="A56" s="53" t="inlineStr">
        <is>
          <t>Business Analysis|D1|DE</t>
        </is>
      </c>
      <c r="B56" s="53" t="inlineStr">
        <is>
          <t>Business Analysis</t>
        </is>
      </c>
      <c r="C56" s="53" t="inlineStr">
        <is>
          <t>D1</t>
        </is>
      </c>
      <c r="D56" s="53" t="inlineStr">
        <is>
          <t>Bands D–E · Leadership</t>
        </is>
      </c>
      <c r="E56" s="38" t="str">
        <f>'RB · Business Analysis'!F9</f>
        <v>H</v>
      </c>
      <c r="F56" s="38" t="str">
        <f>'RB · Business Analysis'!J9</f>
        <v>M</v>
      </c>
      <c r="G56" s="38" t="str">
        <f>'RB · Business Analysis'!N9</f>
        <v>M</v>
      </c>
      <c r="H56" s="38" t="str">
        <f>'RB · Business Analysis'!R9</f>
        <v>M</v>
      </c>
      <c r="I56" s="38" t="str">
        <f>'RB · Business Analysis'!V9</f>
        <v>L</v>
      </c>
      <c r="J56" s="38" t="str">
        <f>'RB · Business Analysis'!Z9</f>
        <v>L</v>
      </c>
      <c r="K56" s="38" t="str">
        <f>'RB · Business Analysis'!AD9</f>
        <v>L</v>
      </c>
    </row>
    <row r="57">
      <c r="A57" s="53" t="inlineStr">
        <is>
          <t>Business Analysis|C+|C+</t>
        </is>
      </c>
      <c r="B57" s="53" t="inlineStr">
        <is>
          <t>Business Analysis</t>
        </is>
      </c>
      <c r="C57" s="53" t="inlineStr">
        <is>
          <t>C+</t>
        </is>
      </c>
      <c r="D57" s="53" t="inlineStr">
        <is>
          <t>C+ · Player-Coach</t>
        </is>
      </c>
      <c r="E57" s="38" t="str">
        <f>'RB · Business Analysis'!F10</f>
        <v>H</v>
      </c>
      <c r="F57" s="38" t="str">
        <f>'RB · Business Analysis'!J10</f>
        <v>M</v>
      </c>
      <c r="G57" s="38" t="str">
        <f>'RB · Business Analysis'!N10</f>
        <v>M</v>
      </c>
      <c r="H57" s="38" t="str">
        <f>'RB · Business Analysis'!R10</f>
        <v>M</v>
      </c>
      <c r="I57" s="38" t="str">
        <f>'RB · Business Analysis'!V10</f>
        <v>L</v>
      </c>
      <c r="J57" s="38" t="str">
        <f>'RB · Business Analysis'!Z10</f>
        <v>L</v>
      </c>
      <c r="K57" s="38" t="str">
        <f>'RB · Business Analysis'!AD10</f>
        <v>L</v>
      </c>
    </row>
    <row r="58">
      <c r="A58" s="53" t="inlineStr">
        <is>
          <t>Business Analysis|C2|C-M</t>
        </is>
      </c>
      <c r="B58" s="53" t="inlineStr">
        <is>
          <t>Business Analysis</t>
        </is>
      </c>
      <c r="C58" s="53" t="inlineStr">
        <is>
          <t>C2</t>
        </is>
      </c>
      <c r="D58" s="53" t="inlineStr">
        <is>
          <t>Band C · Head / manager</t>
        </is>
      </c>
      <c r="E58" s="38" t="str">
        <f>'RB · Business Analysis'!F11</f>
        <v>H</v>
      </c>
      <c r="F58" s="38" t="str">
        <f>'RB · Business Analysis'!J11</f>
        <v>M</v>
      </c>
      <c r="G58" s="38" t="str">
        <f>'RB · Business Analysis'!N11</f>
        <v>L</v>
      </c>
      <c r="H58" s="38" t="str">
        <f>'RB · Business Analysis'!R11</f>
        <v>M</v>
      </c>
      <c r="I58" s="38" t="str">
        <f>'RB · Business Analysis'!V11</f>
        <v>L</v>
      </c>
      <c r="J58" s="38" t="str">
        <f>'RB · Business Analysis'!Z11</f>
        <v>L</v>
      </c>
      <c r="K58" s="38" t="str">
        <f>'RB · Business Analysis'!AD11</f>
        <v>L</v>
      </c>
    </row>
    <row r="59">
      <c r="A59" s="53" t="inlineStr">
        <is>
          <t>Business Analysis|C2|C-IC</t>
        </is>
      </c>
      <c r="B59" s="53" t="inlineStr">
        <is>
          <t>Business Analysis</t>
        </is>
      </c>
      <c r="C59" s="53" t="inlineStr">
        <is>
          <t>C2</t>
        </is>
      </c>
      <c r="D59" s="53" t="inlineStr">
        <is>
          <t>Band C · Principal specialist</t>
        </is>
      </c>
      <c r="E59" s="38" t="str">
        <f>'RB · Business Analysis'!F12</f>
        <v>H</v>
      </c>
      <c r="F59" s="38" t="str">
        <f>'RB · Business Analysis'!J12</f>
        <v>M</v>
      </c>
      <c r="G59" s="38" t="str">
        <f>'RB · Business Analysis'!N12</f>
        <v>L</v>
      </c>
      <c r="H59" s="38" t="str">
        <f>'RB · Business Analysis'!R12</f>
        <v>L</v>
      </c>
      <c r="I59" s="38" t="str">
        <f>'RB · Business Analysis'!V12</f>
        <v>L</v>
      </c>
      <c r="J59" s="38" t="str">
        <f>'RB · Business Analysis'!Z12</f>
        <v>L</v>
      </c>
      <c r="K59" s="38" t="str">
        <f>'RB · Business Analysis'!AD12</f>
        <v>L</v>
      </c>
    </row>
    <row r="60">
      <c r="A60" s="53" t="inlineStr">
        <is>
          <t>Business Analysis|C1|C-M</t>
        </is>
      </c>
      <c r="B60" s="53" t="inlineStr">
        <is>
          <t>Business Analysis</t>
        </is>
      </c>
      <c r="C60" s="53" t="inlineStr">
        <is>
          <t>C1</t>
        </is>
      </c>
      <c r="D60" s="53" t="inlineStr">
        <is>
          <t>Band C · Head / manager</t>
        </is>
      </c>
      <c r="E60" s="38" t="str">
        <f>'RB · Business Analysis'!F13</f>
        <v>H</v>
      </c>
      <c r="F60" s="38" t="str">
        <f>'RB · Business Analysis'!J13</f>
        <v>M</v>
      </c>
      <c r="G60" s="38" t="str">
        <f>'RB · Business Analysis'!N13</f>
        <v>L</v>
      </c>
      <c r="H60" s="38" t="str">
        <f>'RB · Business Analysis'!R13</f>
        <v>M</v>
      </c>
      <c r="I60" s="38" t="str">
        <f>'RB · Business Analysis'!V13</f>
        <v>L</v>
      </c>
      <c r="J60" s="38" t="str">
        <f>'RB · Business Analysis'!Z13</f>
        <v>L</v>
      </c>
      <c r="K60" s="38" t="str">
        <f>'RB · Business Analysis'!AD13</f>
        <v>L</v>
      </c>
    </row>
    <row r="61">
      <c r="A61" s="53" t="inlineStr">
        <is>
          <t>Business Analysis|C1|C-IC</t>
        </is>
      </c>
      <c r="B61" s="53" t="inlineStr">
        <is>
          <t>Business Analysis</t>
        </is>
      </c>
      <c r="C61" s="53" t="inlineStr">
        <is>
          <t>C1</t>
        </is>
      </c>
      <c r="D61" s="53" t="inlineStr">
        <is>
          <t>Band C · Principal specialist</t>
        </is>
      </c>
      <c r="E61" s="38" t="str">
        <f>'RB · Business Analysis'!F14</f>
        <v>H</v>
      </c>
      <c r="F61" s="38" t="str">
        <f>'RB · Business Analysis'!J14</f>
        <v>M</v>
      </c>
      <c r="G61" s="38" t="str">
        <f>'RB · Business Analysis'!N14</f>
        <v>L</v>
      </c>
      <c r="H61" s="38" t="str">
        <f>'RB · Business Analysis'!R14</f>
        <v>L</v>
      </c>
      <c r="I61" s="38" t="str">
        <f>'RB · Business Analysis'!V14</f>
        <v>L</v>
      </c>
      <c r="J61" s="38" t="str">
        <f>'RB · Business Analysis'!Z14</f>
        <v>L</v>
      </c>
      <c r="K61" s="38" t="str">
        <f>'RB · Business Analysis'!AD14</f>
        <v>L</v>
      </c>
    </row>
    <row r="62">
      <c r="A62" s="53" t="inlineStr">
        <is>
          <t>Business Analysis|B+|B+</t>
        </is>
      </c>
      <c r="B62" s="53" t="inlineStr">
        <is>
          <t>Business Analysis</t>
        </is>
      </c>
      <c r="C62" s="53" t="inlineStr">
        <is>
          <t>B+</t>
        </is>
      </c>
      <c r="D62" s="53" t="inlineStr">
        <is>
          <t>B+ · Player-Coach</t>
        </is>
      </c>
      <c r="E62" s="38" t="str">
        <f>'RB · Business Analysis'!F15</f>
        <v>H</v>
      </c>
      <c r="F62" s="38" t="str">
        <f>'RB · Business Analysis'!J15</f>
        <v>M</v>
      </c>
      <c r="G62" s="38" t="str">
        <f>'RB · Business Analysis'!N15</f>
        <v>L</v>
      </c>
      <c r="H62" s="38" t="str">
        <f>'RB · Business Analysis'!R15</f>
        <v>M</v>
      </c>
      <c r="I62" s="38" t="str">
        <f>'RB · Business Analysis'!V15</f>
        <v>L</v>
      </c>
      <c r="J62" s="38" t="str">
        <f>'RB · Business Analysis'!Z15</f>
        <v>L</v>
      </c>
      <c r="K62" s="38" t="str">
        <f>'RB · Business Analysis'!AD15</f>
        <v>L</v>
      </c>
    </row>
    <row r="63">
      <c r="A63" s="53" t="inlineStr">
        <is>
          <t>Business Analysis|B3|B-M</t>
        </is>
      </c>
      <c r="B63" s="53" t="inlineStr">
        <is>
          <t>Business Analysis</t>
        </is>
      </c>
      <c r="C63" s="53" t="inlineStr">
        <is>
          <t>B3</t>
        </is>
      </c>
      <c r="D63" s="53" t="inlineStr">
        <is>
          <t>Band B · People Manager</t>
        </is>
      </c>
      <c r="E63" s="38" t="str">
        <f>'RB · Business Analysis'!F16</f>
        <v>H</v>
      </c>
      <c r="F63" s="38" t="str">
        <f>'RB · Business Analysis'!J16</f>
        <v>M</v>
      </c>
      <c r="G63" s="38" t="str">
        <f>'RB · Business Analysis'!N16</f>
        <v>L</v>
      </c>
      <c r="H63" s="38" t="str">
        <f>'RB · Business Analysis'!R16</f>
        <v>M</v>
      </c>
      <c r="I63" s="38" t="str">
        <f>'RB · Business Analysis'!V16</f>
        <v>L</v>
      </c>
      <c r="J63" s="38" t="str">
        <f>'RB · Business Analysis'!Z16</f>
        <v>L</v>
      </c>
      <c r="K63" s="38" t="str">
        <f>'RB · Business Analysis'!AD16</f>
        <v>L</v>
      </c>
    </row>
    <row r="64">
      <c r="A64" s="53" t="inlineStr">
        <is>
          <t>Business Analysis|B3|B-IC</t>
        </is>
      </c>
      <c r="B64" s="53" t="inlineStr">
        <is>
          <t>Business Analysis</t>
        </is>
      </c>
      <c r="C64" s="53" t="inlineStr">
        <is>
          <t>B3</t>
        </is>
      </c>
      <c r="D64" s="53" t="inlineStr">
        <is>
          <t>Band B · Specialist / POD Lead</t>
        </is>
      </c>
      <c r="E64" s="38" t="str">
        <f>'RB · Business Analysis'!F17</f>
        <v>H</v>
      </c>
      <c r="F64" s="38" t="str">
        <f>'RB · Business Analysis'!J17</f>
        <v>M</v>
      </c>
      <c r="G64" s="38" t="str">
        <f>'RB · Business Analysis'!N17</f>
        <v>L</v>
      </c>
      <c r="H64" s="38" t="str">
        <f>'RB · Business Analysis'!R17</f>
        <v>L</v>
      </c>
      <c r="I64" s="38" t="str">
        <f>'RB · Business Analysis'!V17</f>
        <v>L</v>
      </c>
      <c r="J64" s="38" t="str">
        <f>'RB · Business Analysis'!Z17</f>
        <v>L</v>
      </c>
      <c r="K64" s="38" t="str">
        <f>'RB · Business Analysis'!AD17</f>
        <v>L</v>
      </c>
    </row>
    <row r="65">
      <c r="A65" s="53" t="inlineStr">
        <is>
          <t>Business Analysis|B2|B-M</t>
        </is>
      </c>
      <c r="B65" s="53" t="inlineStr">
        <is>
          <t>Business Analysis</t>
        </is>
      </c>
      <c r="C65" s="53" t="inlineStr">
        <is>
          <t>B2</t>
        </is>
      </c>
      <c r="D65" s="53" t="inlineStr">
        <is>
          <t>Band B · People Manager</t>
        </is>
      </c>
      <c r="E65" s="38" t="str">
        <f>'RB · Business Analysis'!F18</f>
        <v>H</v>
      </c>
      <c r="F65" s="38" t="str">
        <f>'RB · Business Analysis'!J18</f>
        <v>M</v>
      </c>
      <c r="G65" s="38" t="str">
        <f>'RB · Business Analysis'!N18</f>
        <v>L</v>
      </c>
      <c r="H65" s="38" t="str">
        <f>'RB · Business Analysis'!R18</f>
        <v>M</v>
      </c>
      <c r="I65" s="38" t="str">
        <f>'RB · Business Analysis'!V18</f>
        <v>L</v>
      </c>
      <c r="J65" s="38" t="str">
        <f>'RB · Business Analysis'!Z18</f>
        <v>L</v>
      </c>
      <c r="K65" s="38" t="str">
        <f>'RB · Business Analysis'!AD18</f>
        <v>L</v>
      </c>
    </row>
    <row r="66">
      <c r="A66" s="53" t="inlineStr">
        <is>
          <t>Business Analysis|B2|B-IC</t>
        </is>
      </c>
      <c r="B66" s="53" t="inlineStr">
        <is>
          <t>Business Analysis</t>
        </is>
      </c>
      <c r="C66" s="53" t="inlineStr">
        <is>
          <t>B2</t>
        </is>
      </c>
      <c r="D66" s="53" t="inlineStr">
        <is>
          <t>Band B · Specialist / POD Lead</t>
        </is>
      </c>
      <c r="E66" s="38" t="str">
        <f>'RB · Business Analysis'!F19</f>
        <v>H</v>
      </c>
      <c r="F66" s="38" t="str">
        <f>'RB · Business Analysis'!J19</f>
        <v>M</v>
      </c>
      <c r="G66" s="38" t="str">
        <f>'RB · Business Analysis'!N19</f>
        <v>L</v>
      </c>
      <c r="H66" s="38" t="str">
        <f>'RB · Business Analysis'!R19</f>
        <v>L</v>
      </c>
      <c r="I66" s="38" t="str">
        <f>'RB · Business Analysis'!V19</f>
        <v>L</v>
      </c>
      <c r="J66" s="38" t="str">
        <f>'RB · Business Analysis'!Z19</f>
        <v>L</v>
      </c>
      <c r="K66" s="38" t="str">
        <f>'RB · Business Analysis'!AD19</f>
        <v>L</v>
      </c>
    </row>
    <row r="67">
      <c r="A67" s="53" t="inlineStr">
        <is>
          <t>Business Analysis|B1|B-M</t>
        </is>
      </c>
      <c r="B67" s="53" t="inlineStr">
        <is>
          <t>Business Analysis</t>
        </is>
      </c>
      <c r="C67" s="53" t="inlineStr">
        <is>
          <t>B1</t>
        </is>
      </c>
      <c r="D67" s="53" t="inlineStr">
        <is>
          <t>Band B · People Manager</t>
        </is>
      </c>
      <c r="E67" s="38" t="str">
        <f>'RB · Business Analysis'!F20</f>
        <v>H</v>
      </c>
      <c r="F67" s="38" t="str">
        <f>'RB · Business Analysis'!J20</f>
        <v>M</v>
      </c>
      <c r="G67" s="38" t="str">
        <f>'RB · Business Analysis'!N20</f>
        <v>L</v>
      </c>
      <c r="H67" s="38" t="str">
        <f>'RB · Business Analysis'!R20</f>
        <v>M</v>
      </c>
      <c r="I67" s="38" t="str">
        <f>'RB · Business Analysis'!V20</f>
        <v>L</v>
      </c>
      <c r="J67" s="38" t="str">
        <f>'RB · Business Analysis'!Z20</f>
        <v>L</v>
      </c>
      <c r="K67" s="38" t="str">
        <f>'RB · Business Analysis'!AD20</f>
        <v>L</v>
      </c>
    </row>
    <row r="68">
      <c r="A68" s="53" t="inlineStr">
        <is>
          <t>Business Analysis|B1|B-IC</t>
        </is>
      </c>
      <c r="B68" s="53" t="inlineStr">
        <is>
          <t>Business Analysis</t>
        </is>
      </c>
      <c r="C68" s="53" t="inlineStr">
        <is>
          <t>B1</t>
        </is>
      </c>
      <c r="D68" s="53" t="inlineStr">
        <is>
          <t>Band B · Specialist / POD Lead</t>
        </is>
      </c>
      <c r="E68" s="38" t="str">
        <f>'RB · Business Analysis'!F21</f>
        <v>H</v>
      </c>
      <c r="F68" s="38" t="str">
        <f>'RB · Business Analysis'!J21</f>
        <v>M</v>
      </c>
      <c r="G68" s="38" t="str">
        <f>'RB · Business Analysis'!N21</f>
        <v>L</v>
      </c>
      <c r="H68" s="38" t="str">
        <f>'RB · Business Analysis'!R21</f>
        <v>L</v>
      </c>
      <c r="I68" s="38" t="str">
        <f>'RB · Business Analysis'!V21</f>
        <v>L</v>
      </c>
      <c r="J68" s="38" t="str">
        <f>'RB · Business Analysis'!Z21</f>
        <v>L</v>
      </c>
      <c r="K68" s="38" t="str">
        <f>'RB · Business Analysis'!AD21</f>
        <v>L</v>
      </c>
    </row>
    <row r="69">
      <c r="A69" s="53" t="inlineStr">
        <is>
          <t>Business Analysis|A3|A</t>
        </is>
      </c>
      <c r="B69" s="53" t="inlineStr">
        <is>
          <t>Business Analysis</t>
        </is>
      </c>
      <c r="C69" s="53" t="inlineStr">
        <is>
          <t>A3</t>
        </is>
      </c>
      <c r="D69" s="53" t="inlineStr">
        <is>
          <t>Band A · all tracks</t>
        </is>
      </c>
      <c r="E69" s="38" t="str">
        <f>'RB · Business Analysis'!F22</f>
        <v>H</v>
      </c>
      <c r="F69" s="38" t="str">
        <f>'RB · Business Analysis'!J22</f>
        <v>M</v>
      </c>
      <c r="G69" s="38" t="str">
        <f>'RB · Business Analysis'!N22</f>
        <v>L</v>
      </c>
      <c r="H69" s="38" t="str">
        <f>'RB · Business Analysis'!R22</f>
        <v>L</v>
      </c>
      <c r="I69" s="38" t="str">
        <f>'RB · Business Analysis'!V22</f>
        <v>L</v>
      </c>
      <c r="J69" s="38" t="str">
        <f>'RB · Business Analysis'!Z22</f>
        <v>L</v>
      </c>
      <c r="K69" s="38" t="str">
        <f>'RB · Business Analysis'!AD22</f>
        <v>L</v>
      </c>
    </row>
    <row r="70">
      <c r="A70" s="53" t="inlineStr">
        <is>
          <t>Business Analysis|A2|A</t>
        </is>
      </c>
      <c r="B70" s="53" t="inlineStr">
        <is>
          <t>Business Analysis</t>
        </is>
      </c>
      <c r="C70" s="53" t="inlineStr">
        <is>
          <t>A2</t>
        </is>
      </c>
      <c r="D70" s="53" t="inlineStr">
        <is>
          <t>Band A · all tracks</t>
        </is>
      </c>
      <c r="E70" s="38" t="str">
        <f>'RB · Business Analysis'!F23</f>
        <v>H</v>
      </c>
      <c r="F70" s="38" t="str">
        <f>'RB · Business Analysis'!J23</f>
        <v>M</v>
      </c>
      <c r="G70" s="38" t="str">
        <f>'RB · Business Analysis'!N23</f>
        <v>L</v>
      </c>
      <c r="H70" s="38" t="str">
        <f>'RB · Business Analysis'!R23</f>
        <v>L</v>
      </c>
      <c r="I70" s="38" t="str">
        <f>'RB · Business Analysis'!V23</f>
        <v>L</v>
      </c>
      <c r="J70" s="38" t="str">
        <f>'RB · Business Analysis'!Z23</f>
        <v>L</v>
      </c>
      <c r="K70" s="38" t="str">
        <f>'RB · Business Analysis'!AD23</f>
        <v>L</v>
      </c>
    </row>
    <row r="71">
      <c r="A71" s="53" t="inlineStr">
        <is>
          <t>Business Analysis|A1|A</t>
        </is>
      </c>
      <c r="B71" s="53" t="inlineStr">
        <is>
          <t>Business Analysis</t>
        </is>
      </c>
      <c r="C71" s="53" t="inlineStr">
        <is>
          <t>A1</t>
        </is>
      </c>
      <c r="D71" s="53" t="inlineStr">
        <is>
          <t>Band A · all tracks</t>
        </is>
      </c>
      <c r="E71" s="38" t="str">
        <f>'RB · Business Analysis'!F24</f>
        <v>H</v>
      </c>
      <c r="F71" s="38" t="str">
        <f>'RB · Business Analysis'!J24</f>
        <v>M</v>
      </c>
      <c r="G71" s="38" t="str">
        <f>'RB · Business Analysis'!N24</f>
        <v>L</v>
      </c>
      <c r="H71" s="38" t="str">
        <f>'RB · Business Analysis'!R24</f>
        <v>L</v>
      </c>
      <c r="I71" s="38" t="str">
        <f>'RB · Business Analysis'!V24</f>
        <v>L</v>
      </c>
      <c r="J71" s="38" t="str">
        <f>'RB · Business Analysis'!Z24</f>
        <v>L</v>
      </c>
      <c r="K71" s="38" t="str">
        <f>'RB · Business Analysis'!AD24</f>
        <v>L</v>
      </c>
    </row>
    <row r="72">
      <c r="A72" s="53" t="inlineStr">
        <is>
          <t>Consulting &amp; Professional Services|E2|DE</t>
        </is>
      </c>
      <c r="B72" s="53" t="inlineStr">
        <is>
          <t>Consulting &amp; Professional Services</t>
        </is>
      </c>
      <c r="C72" s="53" t="inlineStr">
        <is>
          <t>E2</t>
        </is>
      </c>
      <c r="D72" s="53" t="inlineStr">
        <is>
          <t>Bands D–E · Leadership</t>
        </is>
      </c>
      <c r="E72" s="38" t="str">
        <f>'RB · Consulting &amp; Professional'!F6</f>
        <v>H</v>
      </c>
      <c r="F72" s="38" t="str">
        <f>'RB · Consulting &amp; Professional'!J6</f>
        <v>M</v>
      </c>
      <c r="G72" s="38" t="str">
        <f>'RB · Consulting &amp; Professional'!N6</f>
        <v>M</v>
      </c>
      <c r="H72" s="38" t="str">
        <f>'RB · Consulting &amp; Professional'!R6</f>
        <v>M</v>
      </c>
      <c r="I72" s="38" t="str">
        <f>'RB · Consulting &amp; Professional'!V6</f>
        <v>L</v>
      </c>
      <c r="J72" s="38" t="str">
        <f>'RB · Consulting &amp; Professional'!Z6</f>
        <v>L</v>
      </c>
      <c r="K72" s="38" t="str">
        <f>'RB · Consulting &amp; Professional'!AD6</f>
        <v>L</v>
      </c>
    </row>
    <row r="73">
      <c r="A73" s="53" t="inlineStr">
        <is>
          <t>Consulting &amp; Professional Services|E1|DE</t>
        </is>
      </c>
      <c r="B73" s="53" t="inlineStr">
        <is>
          <t>Consulting &amp; Professional Services</t>
        </is>
      </c>
      <c r="C73" s="53" t="inlineStr">
        <is>
          <t>E1</t>
        </is>
      </c>
      <c r="D73" s="53" t="inlineStr">
        <is>
          <t>Bands D–E · Leadership</t>
        </is>
      </c>
      <c r="E73" s="38" t="str">
        <f>'RB · Consulting &amp; Professional'!F7</f>
        <v>H</v>
      </c>
      <c r="F73" s="38" t="str">
        <f>'RB · Consulting &amp; Professional'!J7</f>
        <v>M</v>
      </c>
      <c r="G73" s="38" t="str">
        <f>'RB · Consulting &amp; Professional'!N7</f>
        <v>M</v>
      </c>
      <c r="H73" s="38" t="str">
        <f>'RB · Consulting &amp; Professional'!R7</f>
        <v>M</v>
      </c>
      <c r="I73" s="38" t="str">
        <f>'RB · Consulting &amp; Professional'!V7</f>
        <v>L</v>
      </c>
      <c r="J73" s="38" t="str">
        <f>'RB · Consulting &amp; Professional'!Z7</f>
        <v>L</v>
      </c>
      <c r="K73" s="38" t="str">
        <f>'RB · Consulting &amp; Professional'!AD7</f>
        <v>L</v>
      </c>
    </row>
    <row r="74">
      <c r="A74" s="53" t="inlineStr">
        <is>
          <t>Consulting &amp; Professional Services|D2|DE</t>
        </is>
      </c>
      <c r="B74" s="53" t="inlineStr">
        <is>
          <t>Consulting &amp; Professional Services</t>
        </is>
      </c>
      <c r="C74" s="53" t="inlineStr">
        <is>
          <t>D2</t>
        </is>
      </c>
      <c r="D74" s="53" t="inlineStr">
        <is>
          <t>Bands D–E · Leadership</t>
        </is>
      </c>
      <c r="E74" s="38" t="str">
        <f>'RB · Consulting &amp; Professional'!F8</f>
        <v>H</v>
      </c>
      <c r="F74" s="38" t="str">
        <f>'RB · Consulting &amp; Professional'!J8</f>
        <v>M</v>
      </c>
      <c r="G74" s="38" t="str">
        <f>'RB · Consulting &amp; Professional'!N8</f>
        <v>M</v>
      </c>
      <c r="H74" s="38" t="str">
        <f>'RB · Consulting &amp; Professional'!R8</f>
        <v>M</v>
      </c>
      <c r="I74" s="38" t="str">
        <f>'RB · Consulting &amp; Professional'!V8</f>
        <v>L</v>
      </c>
      <c r="J74" s="38" t="str">
        <f>'RB · Consulting &amp; Professional'!Z8</f>
        <v>L</v>
      </c>
      <c r="K74" s="38" t="str">
        <f>'RB · Consulting &amp; Professional'!AD8</f>
        <v>L</v>
      </c>
    </row>
    <row r="75">
      <c r="A75" s="53" t="inlineStr">
        <is>
          <t>Consulting &amp; Professional Services|D1|DE</t>
        </is>
      </c>
      <c r="B75" s="53" t="inlineStr">
        <is>
          <t>Consulting &amp; Professional Services</t>
        </is>
      </c>
      <c r="C75" s="53" t="inlineStr">
        <is>
          <t>D1</t>
        </is>
      </c>
      <c r="D75" s="53" t="inlineStr">
        <is>
          <t>Bands D–E · Leadership</t>
        </is>
      </c>
      <c r="E75" s="38" t="str">
        <f>'RB · Consulting &amp; Professional'!F9</f>
        <v>H</v>
      </c>
      <c r="F75" s="38" t="str">
        <f>'RB · Consulting &amp; Professional'!J9</f>
        <v>M</v>
      </c>
      <c r="G75" s="38" t="str">
        <f>'RB · Consulting &amp; Professional'!N9</f>
        <v>M</v>
      </c>
      <c r="H75" s="38" t="str">
        <f>'RB · Consulting &amp; Professional'!R9</f>
        <v>M</v>
      </c>
      <c r="I75" s="38" t="str">
        <f>'RB · Consulting &amp; Professional'!V9</f>
        <v>L</v>
      </c>
      <c r="J75" s="38" t="str">
        <f>'RB · Consulting &amp; Professional'!Z9</f>
        <v>L</v>
      </c>
      <c r="K75" s="38" t="str">
        <f>'RB · Consulting &amp; Professional'!AD9</f>
        <v>L</v>
      </c>
    </row>
    <row r="76">
      <c r="A76" s="53" t="inlineStr">
        <is>
          <t>Consulting &amp; Professional Services|C+|C+</t>
        </is>
      </c>
      <c r="B76" s="53" t="inlineStr">
        <is>
          <t>Consulting &amp; Professional Services</t>
        </is>
      </c>
      <c r="C76" s="53" t="inlineStr">
        <is>
          <t>C+</t>
        </is>
      </c>
      <c r="D76" s="53" t="inlineStr">
        <is>
          <t>C+ · Player-Coach</t>
        </is>
      </c>
      <c r="E76" s="38" t="str">
        <f>'RB · Consulting &amp; Professional'!F10</f>
        <v>H</v>
      </c>
      <c r="F76" s="38" t="str">
        <f>'RB · Consulting &amp; Professional'!J10</f>
        <v>M</v>
      </c>
      <c r="G76" s="38" t="str">
        <f>'RB · Consulting &amp; Professional'!N10</f>
        <v>M</v>
      </c>
      <c r="H76" s="38" t="str">
        <f>'RB · Consulting &amp; Professional'!R10</f>
        <v>M</v>
      </c>
      <c r="I76" s="38" t="str">
        <f>'RB · Consulting &amp; Professional'!V10</f>
        <v>L</v>
      </c>
      <c r="J76" s="38" t="str">
        <f>'RB · Consulting &amp; Professional'!Z10</f>
        <v>L</v>
      </c>
      <c r="K76" s="38" t="str">
        <f>'RB · Consulting &amp; Professional'!AD10</f>
        <v>L</v>
      </c>
    </row>
    <row r="77">
      <c r="A77" s="53" t="inlineStr">
        <is>
          <t>Consulting &amp; Professional Services|C2|C-M</t>
        </is>
      </c>
      <c r="B77" s="53" t="inlineStr">
        <is>
          <t>Consulting &amp; Professional Services</t>
        </is>
      </c>
      <c r="C77" s="53" t="inlineStr">
        <is>
          <t>C2</t>
        </is>
      </c>
      <c r="D77" s="53" t="inlineStr">
        <is>
          <t>Band C · Head / manager</t>
        </is>
      </c>
      <c r="E77" s="38" t="str">
        <f>'RB · Consulting &amp; Professional'!F11</f>
        <v>H</v>
      </c>
      <c r="F77" s="38" t="str">
        <f>'RB · Consulting &amp; Professional'!J11</f>
        <v>M</v>
      </c>
      <c r="G77" s="38" t="str">
        <f>'RB · Consulting &amp; Professional'!N11</f>
        <v>M</v>
      </c>
      <c r="H77" s="38" t="str">
        <f>'RB · Consulting &amp; Professional'!R11</f>
        <v>M</v>
      </c>
      <c r="I77" s="38" t="str">
        <f>'RB · Consulting &amp; Professional'!V11</f>
        <v>L</v>
      </c>
      <c r="J77" s="38" t="str">
        <f>'RB · Consulting &amp; Professional'!Z11</f>
        <v>L</v>
      </c>
      <c r="K77" s="38" t="str">
        <f>'RB · Consulting &amp; Professional'!AD11</f>
        <v>L</v>
      </c>
    </row>
    <row r="78">
      <c r="A78" s="53" t="inlineStr">
        <is>
          <t>Consulting &amp; Professional Services|C2|C-IC</t>
        </is>
      </c>
      <c r="B78" s="53" t="inlineStr">
        <is>
          <t>Consulting &amp; Professional Services</t>
        </is>
      </c>
      <c r="C78" s="53" t="inlineStr">
        <is>
          <t>C2</t>
        </is>
      </c>
      <c r="D78" s="53" t="inlineStr">
        <is>
          <t>Band C · Principal specialist</t>
        </is>
      </c>
      <c r="E78" s="38" t="str">
        <f>'RB · Consulting &amp; Professional'!F12</f>
        <v>H</v>
      </c>
      <c r="F78" s="38" t="str">
        <f>'RB · Consulting &amp; Professional'!J12</f>
        <v>M</v>
      </c>
      <c r="G78" s="38" t="str">
        <f>'RB · Consulting &amp; Professional'!N12</f>
        <v>M</v>
      </c>
      <c r="H78" s="38" t="str">
        <f>'RB · Consulting &amp; Professional'!R12</f>
        <v>L</v>
      </c>
      <c r="I78" s="38" t="str">
        <f>'RB · Consulting &amp; Professional'!V12</f>
        <v>L</v>
      </c>
      <c r="J78" s="38" t="str">
        <f>'RB · Consulting &amp; Professional'!Z12</f>
        <v>L</v>
      </c>
      <c r="K78" s="38" t="str">
        <f>'RB · Consulting &amp; Professional'!AD12</f>
        <v>L</v>
      </c>
    </row>
    <row r="79">
      <c r="A79" s="53" t="inlineStr">
        <is>
          <t>Consulting &amp; Professional Services|C1|C-M</t>
        </is>
      </c>
      <c r="B79" s="53" t="inlineStr">
        <is>
          <t>Consulting &amp; Professional Services</t>
        </is>
      </c>
      <c r="C79" s="53" t="inlineStr">
        <is>
          <t>C1</t>
        </is>
      </c>
      <c r="D79" s="53" t="inlineStr">
        <is>
          <t>Band C · Head / manager</t>
        </is>
      </c>
      <c r="E79" s="38" t="str">
        <f>'RB · Consulting &amp; Professional'!F13</f>
        <v>H</v>
      </c>
      <c r="F79" s="38" t="str">
        <f>'RB · Consulting &amp; Professional'!J13</f>
        <v>M</v>
      </c>
      <c r="G79" s="38" t="str">
        <f>'RB · Consulting &amp; Professional'!N13</f>
        <v>M</v>
      </c>
      <c r="H79" s="38" t="str">
        <f>'RB · Consulting &amp; Professional'!R13</f>
        <v>M</v>
      </c>
      <c r="I79" s="38" t="str">
        <f>'RB · Consulting &amp; Professional'!V13</f>
        <v>L</v>
      </c>
      <c r="J79" s="38" t="str">
        <f>'RB · Consulting &amp; Professional'!Z13</f>
        <v>L</v>
      </c>
      <c r="K79" s="38" t="str">
        <f>'RB · Consulting &amp; Professional'!AD13</f>
        <v>L</v>
      </c>
    </row>
    <row r="80">
      <c r="A80" s="53" t="inlineStr">
        <is>
          <t>Consulting &amp; Professional Services|C1|C-IC</t>
        </is>
      </c>
      <c r="B80" s="53" t="inlineStr">
        <is>
          <t>Consulting &amp; Professional Services</t>
        </is>
      </c>
      <c r="C80" s="53" t="inlineStr">
        <is>
          <t>C1</t>
        </is>
      </c>
      <c r="D80" s="53" t="inlineStr">
        <is>
          <t>Band C · Principal specialist</t>
        </is>
      </c>
      <c r="E80" s="38" t="str">
        <f>'RB · Consulting &amp; Professional'!F14</f>
        <v>H</v>
      </c>
      <c r="F80" s="38" t="str">
        <f>'RB · Consulting &amp; Professional'!J14</f>
        <v>M</v>
      </c>
      <c r="G80" s="38" t="str">
        <f>'RB · Consulting &amp; Professional'!N14</f>
        <v>M</v>
      </c>
      <c r="H80" s="38" t="str">
        <f>'RB · Consulting &amp; Professional'!R14</f>
        <v>L</v>
      </c>
      <c r="I80" s="38" t="str">
        <f>'RB · Consulting &amp; Professional'!V14</f>
        <v>L</v>
      </c>
      <c r="J80" s="38" t="str">
        <f>'RB · Consulting &amp; Professional'!Z14</f>
        <v>L</v>
      </c>
      <c r="K80" s="38" t="str">
        <f>'RB · Consulting &amp; Professional'!AD14</f>
        <v>L</v>
      </c>
    </row>
    <row r="81">
      <c r="A81" s="53" t="inlineStr">
        <is>
          <t>Consulting &amp; Professional Services|B+|B+</t>
        </is>
      </c>
      <c r="B81" s="53" t="inlineStr">
        <is>
          <t>Consulting &amp; Professional Services</t>
        </is>
      </c>
      <c r="C81" s="53" t="inlineStr">
        <is>
          <t>B+</t>
        </is>
      </c>
      <c r="D81" s="53" t="inlineStr">
        <is>
          <t>B+ · Player-Coach</t>
        </is>
      </c>
      <c r="E81" s="38" t="str">
        <f>'RB · Consulting &amp; Professional'!F15</f>
        <v>H</v>
      </c>
      <c r="F81" s="38" t="str">
        <f>'RB · Consulting &amp; Professional'!J15</f>
        <v>M</v>
      </c>
      <c r="G81" s="38" t="str">
        <f>'RB · Consulting &amp; Professional'!N15</f>
        <v>M</v>
      </c>
      <c r="H81" s="38" t="str">
        <f>'RB · Consulting &amp; Professional'!R15</f>
        <v>M</v>
      </c>
      <c r="I81" s="38" t="str">
        <f>'RB · Consulting &amp; Professional'!V15</f>
        <v>L</v>
      </c>
      <c r="J81" s="38" t="str">
        <f>'RB · Consulting &amp; Professional'!Z15</f>
        <v>L</v>
      </c>
      <c r="K81" s="38" t="str">
        <f>'RB · Consulting &amp; Professional'!AD15</f>
        <v>L</v>
      </c>
    </row>
    <row r="82">
      <c r="A82" s="53" t="inlineStr">
        <is>
          <t>Consulting &amp; Professional Services|B3|B-M</t>
        </is>
      </c>
      <c r="B82" s="53" t="inlineStr">
        <is>
          <t>Consulting &amp; Professional Services</t>
        </is>
      </c>
      <c r="C82" s="53" t="inlineStr">
        <is>
          <t>B3</t>
        </is>
      </c>
      <c r="D82" s="53" t="inlineStr">
        <is>
          <t>Band B · People Manager</t>
        </is>
      </c>
      <c r="E82" s="38" t="str">
        <f>'RB · Consulting &amp; Professional'!F16</f>
        <v>H</v>
      </c>
      <c r="F82" s="38" t="str">
        <f>'RB · Consulting &amp; Professional'!J16</f>
        <v>M</v>
      </c>
      <c r="G82" s="38" t="str">
        <f>'RB · Consulting &amp; Professional'!N16</f>
        <v>M</v>
      </c>
      <c r="H82" s="38" t="str">
        <f>'RB · Consulting &amp; Professional'!R16</f>
        <v>M</v>
      </c>
      <c r="I82" s="38" t="str">
        <f>'RB · Consulting &amp; Professional'!V16</f>
        <v>L</v>
      </c>
      <c r="J82" s="38" t="str">
        <f>'RB · Consulting &amp; Professional'!Z16</f>
        <v>L</v>
      </c>
      <c r="K82" s="38" t="str">
        <f>'RB · Consulting &amp; Professional'!AD16</f>
        <v>L</v>
      </c>
    </row>
    <row r="83">
      <c r="A83" s="53" t="inlineStr">
        <is>
          <t>Consulting &amp; Professional Services|B3|B-IC</t>
        </is>
      </c>
      <c r="B83" s="53" t="inlineStr">
        <is>
          <t>Consulting &amp; Professional Services</t>
        </is>
      </c>
      <c r="C83" s="53" t="inlineStr">
        <is>
          <t>B3</t>
        </is>
      </c>
      <c r="D83" s="53" t="inlineStr">
        <is>
          <t>Band B · Specialist / POD Lead</t>
        </is>
      </c>
      <c r="E83" s="38" t="str">
        <f>'RB · Consulting &amp; Professional'!F17</f>
        <v>H</v>
      </c>
      <c r="F83" s="38" t="str">
        <f>'RB · Consulting &amp; Professional'!J17</f>
        <v>M</v>
      </c>
      <c r="G83" s="38" t="str">
        <f>'RB · Consulting &amp; Professional'!N17</f>
        <v>M</v>
      </c>
      <c r="H83" s="38" t="str">
        <f>'RB · Consulting &amp; Professional'!R17</f>
        <v>L</v>
      </c>
      <c r="I83" s="38" t="str">
        <f>'RB · Consulting &amp; Professional'!V17</f>
        <v>L</v>
      </c>
      <c r="J83" s="38" t="str">
        <f>'RB · Consulting &amp; Professional'!Z17</f>
        <v>L</v>
      </c>
      <c r="K83" s="38" t="str">
        <f>'RB · Consulting &amp; Professional'!AD17</f>
        <v>L</v>
      </c>
    </row>
    <row r="84">
      <c r="A84" s="53" t="inlineStr">
        <is>
          <t>Consulting &amp; Professional Services|B2|B-M</t>
        </is>
      </c>
      <c r="B84" s="53" t="inlineStr">
        <is>
          <t>Consulting &amp; Professional Services</t>
        </is>
      </c>
      <c r="C84" s="53" t="inlineStr">
        <is>
          <t>B2</t>
        </is>
      </c>
      <c r="D84" s="53" t="inlineStr">
        <is>
          <t>Band B · People Manager</t>
        </is>
      </c>
      <c r="E84" s="38" t="str">
        <f>'RB · Consulting &amp; Professional'!F18</f>
        <v>H</v>
      </c>
      <c r="F84" s="38" t="str">
        <f>'RB · Consulting &amp; Professional'!J18</f>
        <v>M</v>
      </c>
      <c r="G84" s="38" t="str">
        <f>'RB · Consulting &amp; Professional'!N18</f>
        <v>M</v>
      </c>
      <c r="H84" s="38" t="str">
        <f>'RB · Consulting &amp; Professional'!R18</f>
        <v>M</v>
      </c>
      <c r="I84" s="38" t="str">
        <f>'RB · Consulting &amp; Professional'!V18</f>
        <v>L</v>
      </c>
      <c r="J84" s="38" t="str">
        <f>'RB · Consulting &amp; Professional'!Z18</f>
        <v>L</v>
      </c>
      <c r="K84" s="38" t="str">
        <f>'RB · Consulting &amp; Professional'!AD18</f>
        <v>L</v>
      </c>
    </row>
    <row r="85">
      <c r="A85" s="53" t="inlineStr">
        <is>
          <t>Consulting &amp; Professional Services|B2|B-IC</t>
        </is>
      </c>
      <c r="B85" s="53" t="inlineStr">
        <is>
          <t>Consulting &amp; Professional Services</t>
        </is>
      </c>
      <c r="C85" s="53" t="inlineStr">
        <is>
          <t>B2</t>
        </is>
      </c>
      <c r="D85" s="53" t="inlineStr">
        <is>
          <t>Band B · Specialist / POD Lead</t>
        </is>
      </c>
      <c r="E85" s="38" t="str">
        <f>'RB · Consulting &amp; Professional'!F19</f>
        <v>H</v>
      </c>
      <c r="F85" s="38" t="str">
        <f>'RB · Consulting &amp; Professional'!J19</f>
        <v>M</v>
      </c>
      <c r="G85" s="38" t="str">
        <f>'RB · Consulting &amp; Professional'!N19</f>
        <v>M</v>
      </c>
      <c r="H85" s="38" t="str">
        <f>'RB · Consulting &amp; Professional'!R19</f>
        <v>L</v>
      </c>
      <c r="I85" s="38" t="str">
        <f>'RB · Consulting &amp; Professional'!V19</f>
        <v>L</v>
      </c>
      <c r="J85" s="38" t="str">
        <f>'RB · Consulting &amp; Professional'!Z19</f>
        <v>L</v>
      </c>
      <c r="K85" s="38" t="str">
        <f>'RB · Consulting &amp; Professional'!AD19</f>
        <v>L</v>
      </c>
    </row>
    <row r="86">
      <c r="A86" s="53" t="inlineStr">
        <is>
          <t>Consulting &amp; Professional Services|B1|B-M</t>
        </is>
      </c>
      <c r="B86" s="53" t="inlineStr">
        <is>
          <t>Consulting &amp; Professional Services</t>
        </is>
      </c>
      <c r="C86" s="53" t="inlineStr">
        <is>
          <t>B1</t>
        </is>
      </c>
      <c r="D86" s="53" t="inlineStr">
        <is>
          <t>Band B · People Manager</t>
        </is>
      </c>
      <c r="E86" s="38" t="str">
        <f>'RB · Consulting &amp; Professional'!F20</f>
        <v>H</v>
      </c>
      <c r="F86" s="38" t="str">
        <f>'RB · Consulting &amp; Professional'!J20</f>
        <v>M</v>
      </c>
      <c r="G86" s="38" t="str">
        <f>'RB · Consulting &amp; Professional'!N20</f>
        <v>M</v>
      </c>
      <c r="H86" s="38" t="str">
        <f>'RB · Consulting &amp; Professional'!R20</f>
        <v>M</v>
      </c>
      <c r="I86" s="38" t="str">
        <f>'RB · Consulting &amp; Professional'!V20</f>
        <v>L</v>
      </c>
      <c r="J86" s="38" t="str">
        <f>'RB · Consulting &amp; Professional'!Z20</f>
        <v>L</v>
      </c>
      <c r="K86" s="38" t="str">
        <f>'RB · Consulting &amp; Professional'!AD20</f>
        <v>L</v>
      </c>
    </row>
    <row r="87">
      <c r="A87" s="53" t="inlineStr">
        <is>
          <t>Consulting &amp; Professional Services|B1|B-IC</t>
        </is>
      </c>
      <c r="B87" s="53" t="inlineStr">
        <is>
          <t>Consulting &amp; Professional Services</t>
        </is>
      </c>
      <c r="C87" s="53" t="inlineStr">
        <is>
          <t>B1</t>
        </is>
      </c>
      <c r="D87" s="53" t="inlineStr">
        <is>
          <t>Band B · Specialist / POD Lead</t>
        </is>
      </c>
      <c r="E87" s="38" t="str">
        <f>'RB · Consulting &amp; Professional'!F21</f>
        <v>H</v>
      </c>
      <c r="F87" s="38" t="str">
        <f>'RB · Consulting &amp; Professional'!J21</f>
        <v>M</v>
      </c>
      <c r="G87" s="38" t="str">
        <f>'RB · Consulting &amp; Professional'!N21</f>
        <v>M</v>
      </c>
      <c r="H87" s="38" t="str">
        <f>'RB · Consulting &amp; Professional'!R21</f>
        <v>L</v>
      </c>
      <c r="I87" s="38" t="str">
        <f>'RB · Consulting &amp; Professional'!V21</f>
        <v>L</v>
      </c>
      <c r="J87" s="38" t="str">
        <f>'RB · Consulting &amp; Professional'!Z21</f>
        <v>L</v>
      </c>
      <c r="K87" s="38" t="str">
        <f>'RB · Consulting &amp; Professional'!AD21</f>
        <v>L</v>
      </c>
    </row>
    <row r="88">
      <c r="A88" s="53" t="inlineStr">
        <is>
          <t>Consulting &amp; Professional Services|A3|A</t>
        </is>
      </c>
      <c r="B88" s="53" t="inlineStr">
        <is>
          <t>Consulting &amp; Professional Services</t>
        </is>
      </c>
      <c r="C88" s="53" t="inlineStr">
        <is>
          <t>A3</t>
        </is>
      </c>
      <c r="D88" s="53" t="inlineStr">
        <is>
          <t>Band A · all tracks</t>
        </is>
      </c>
      <c r="E88" s="38" t="str">
        <f>'RB · Consulting &amp; Professional'!F22</f>
        <v>H</v>
      </c>
      <c r="F88" s="38" t="str">
        <f>'RB · Consulting &amp; Professional'!J22</f>
        <v>M</v>
      </c>
      <c r="G88" s="38" t="str">
        <f>'RB · Consulting &amp; Professional'!N22</f>
        <v>M</v>
      </c>
      <c r="H88" s="38" t="str">
        <f>'RB · Consulting &amp; Professional'!R22</f>
        <v>L</v>
      </c>
      <c r="I88" s="38" t="str">
        <f>'RB · Consulting &amp; Professional'!V22</f>
        <v>L</v>
      </c>
      <c r="J88" s="38" t="str">
        <f>'RB · Consulting &amp; Professional'!Z22</f>
        <v>L</v>
      </c>
      <c r="K88" s="38" t="str">
        <f>'RB · Consulting &amp; Professional'!AD22</f>
        <v>L</v>
      </c>
    </row>
    <row r="89">
      <c r="A89" s="53" t="inlineStr">
        <is>
          <t>Consulting &amp; Professional Services|A2|A</t>
        </is>
      </c>
      <c r="B89" s="53" t="inlineStr">
        <is>
          <t>Consulting &amp; Professional Services</t>
        </is>
      </c>
      <c r="C89" s="53" t="inlineStr">
        <is>
          <t>A2</t>
        </is>
      </c>
      <c r="D89" s="53" t="inlineStr">
        <is>
          <t>Band A · all tracks</t>
        </is>
      </c>
      <c r="E89" s="38" t="str">
        <f>'RB · Consulting &amp; Professional'!F23</f>
        <v>H</v>
      </c>
      <c r="F89" s="38" t="str">
        <f>'RB · Consulting &amp; Professional'!J23</f>
        <v>M</v>
      </c>
      <c r="G89" s="38" t="str">
        <f>'RB · Consulting &amp; Professional'!N23</f>
        <v>M</v>
      </c>
      <c r="H89" s="38" t="str">
        <f>'RB · Consulting &amp; Professional'!R23</f>
        <v>L</v>
      </c>
      <c r="I89" s="38" t="str">
        <f>'RB · Consulting &amp; Professional'!V23</f>
        <v>L</v>
      </c>
      <c r="J89" s="38" t="str">
        <f>'RB · Consulting &amp; Professional'!Z23</f>
        <v>L</v>
      </c>
      <c r="K89" s="38" t="str">
        <f>'RB · Consulting &amp; Professional'!AD23</f>
        <v>L</v>
      </c>
    </row>
    <row r="90">
      <c r="A90" s="53" t="inlineStr">
        <is>
          <t>Consulting &amp; Professional Services|A1|A</t>
        </is>
      </c>
      <c r="B90" s="53" t="inlineStr">
        <is>
          <t>Consulting &amp; Professional Services</t>
        </is>
      </c>
      <c r="C90" s="53" t="inlineStr">
        <is>
          <t>A1</t>
        </is>
      </c>
      <c r="D90" s="53" t="inlineStr">
        <is>
          <t>Band A · all tracks</t>
        </is>
      </c>
      <c r="E90" s="38" t="str">
        <f>'RB · Consulting &amp; Professional'!F24</f>
        <v>H</v>
      </c>
      <c r="F90" s="38" t="str">
        <f>'RB · Consulting &amp; Professional'!J24</f>
        <v>M</v>
      </c>
      <c r="G90" s="38" t="str">
        <f>'RB · Consulting &amp; Professional'!N24</f>
        <v>M</v>
      </c>
      <c r="H90" s="38" t="str">
        <f>'RB · Consulting &amp; Professional'!R24</f>
        <v>L</v>
      </c>
      <c r="I90" s="38" t="str">
        <f>'RB · Consulting &amp; Professional'!V24</f>
        <v>L</v>
      </c>
      <c r="J90" s="38" t="str">
        <f>'RB · Consulting &amp; Professional'!Z24</f>
        <v>L</v>
      </c>
      <c r="K90" s="38" t="str">
        <f>'RB · Consulting &amp; Professional'!AD24</f>
        <v>L</v>
      </c>
    </row>
    <row r="91">
      <c r="A91" s="53" t="inlineStr">
        <is>
          <t>Customer Success &amp; Support|E2|DE</t>
        </is>
      </c>
      <c r="B91" s="53" t="inlineStr">
        <is>
          <t>Customer Success &amp; Support</t>
        </is>
      </c>
      <c r="C91" s="53" t="inlineStr">
        <is>
          <t>E2</t>
        </is>
      </c>
      <c r="D91" s="53" t="inlineStr">
        <is>
          <t>Bands D–E · Leadership</t>
        </is>
      </c>
      <c r="E91" s="38" t="str">
        <f>'RB · Customer Success &amp; Support'!F6</f>
        <v>H</v>
      </c>
      <c r="F91" s="38" t="str">
        <f>'RB · Customer Success &amp; Support'!J6</f>
        <v>M</v>
      </c>
      <c r="G91" s="38" t="str">
        <f>'RB · Customer Success &amp; Support'!N6</f>
        <v>M</v>
      </c>
      <c r="H91" s="38" t="str">
        <f>'RB · Customer Success &amp; Support'!R6</f>
        <v>M</v>
      </c>
      <c r="I91" s="38" t="str">
        <f>'RB · Customer Success &amp; Support'!V6</f>
        <v>L</v>
      </c>
      <c r="J91" s="38" t="str">
        <f>'RB · Customer Success &amp; Support'!Z6</f>
        <v>L</v>
      </c>
      <c r="K91" s="38" t="str">
        <f>'RB · Customer Success &amp; Support'!AD6</f>
        <v>L</v>
      </c>
    </row>
    <row r="92">
      <c r="A92" s="53" t="inlineStr">
        <is>
          <t>Customer Success &amp; Support|E1|DE</t>
        </is>
      </c>
      <c r="B92" s="53" t="inlineStr">
        <is>
          <t>Customer Success &amp; Support</t>
        </is>
      </c>
      <c r="C92" s="53" t="inlineStr">
        <is>
          <t>E1</t>
        </is>
      </c>
      <c r="D92" s="53" t="inlineStr">
        <is>
          <t>Bands D–E · Leadership</t>
        </is>
      </c>
      <c r="E92" s="38" t="str">
        <f>'RB · Customer Success &amp; Support'!F7</f>
        <v>H</v>
      </c>
      <c r="F92" s="38" t="str">
        <f>'RB · Customer Success &amp; Support'!J7</f>
        <v>M</v>
      </c>
      <c r="G92" s="38" t="str">
        <f>'RB · Customer Success &amp; Support'!N7</f>
        <v>M</v>
      </c>
      <c r="H92" s="38" t="str">
        <f>'RB · Customer Success &amp; Support'!R7</f>
        <v>M</v>
      </c>
      <c r="I92" s="38" t="str">
        <f>'RB · Customer Success &amp; Support'!V7</f>
        <v>L</v>
      </c>
      <c r="J92" s="38" t="str">
        <f>'RB · Customer Success &amp; Support'!Z7</f>
        <v>L</v>
      </c>
      <c r="K92" s="38" t="str">
        <f>'RB · Customer Success &amp; Support'!AD7</f>
        <v>L</v>
      </c>
    </row>
    <row r="93">
      <c r="A93" s="53" t="inlineStr">
        <is>
          <t>Customer Success &amp; Support|D2|DE</t>
        </is>
      </c>
      <c r="B93" s="53" t="inlineStr">
        <is>
          <t>Customer Success &amp; Support</t>
        </is>
      </c>
      <c r="C93" s="53" t="inlineStr">
        <is>
          <t>D2</t>
        </is>
      </c>
      <c r="D93" s="53" t="inlineStr">
        <is>
          <t>Bands D–E · Leadership</t>
        </is>
      </c>
      <c r="E93" s="38" t="str">
        <f>'RB · Customer Success &amp; Support'!F8</f>
        <v>H</v>
      </c>
      <c r="F93" s="38" t="str">
        <f>'RB · Customer Success &amp; Support'!J8</f>
        <v>M</v>
      </c>
      <c r="G93" s="38" t="str">
        <f>'RB · Customer Success &amp; Support'!N8</f>
        <v>M</v>
      </c>
      <c r="H93" s="38" t="str">
        <f>'RB · Customer Success &amp; Support'!R8</f>
        <v>M</v>
      </c>
      <c r="I93" s="38" t="str">
        <f>'RB · Customer Success &amp; Support'!V8</f>
        <v>L</v>
      </c>
      <c r="J93" s="38" t="str">
        <f>'RB · Customer Success &amp; Support'!Z8</f>
        <v>L</v>
      </c>
      <c r="K93" s="38" t="str">
        <f>'RB · Customer Success &amp; Support'!AD8</f>
        <v>L</v>
      </c>
    </row>
    <row r="94">
      <c r="A94" s="53" t="inlineStr">
        <is>
          <t>Customer Success &amp; Support|D1|DE</t>
        </is>
      </c>
      <c r="B94" s="53" t="inlineStr">
        <is>
          <t>Customer Success &amp; Support</t>
        </is>
      </c>
      <c r="C94" s="53" t="inlineStr">
        <is>
          <t>D1</t>
        </is>
      </c>
      <c r="D94" s="53" t="inlineStr">
        <is>
          <t>Bands D–E · Leadership</t>
        </is>
      </c>
      <c r="E94" s="38" t="str">
        <f>'RB · Customer Success &amp; Support'!F9</f>
        <v>H</v>
      </c>
      <c r="F94" s="38" t="str">
        <f>'RB · Customer Success &amp; Support'!J9</f>
        <v>M</v>
      </c>
      <c r="G94" s="38" t="str">
        <f>'RB · Customer Success &amp; Support'!N9</f>
        <v>M</v>
      </c>
      <c r="H94" s="38" t="str">
        <f>'RB · Customer Success &amp; Support'!R9</f>
        <v>M</v>
      </c>
      <c r="I94" s="38" t="str">
        <f>'RB · Customer Success &amp; Support'!V9</f>
        <v>L</v>
      </c>
      <c r="J94" s="38" t="str">
        <f>'RB · Customer Success &amp; Support'!Z9</f>
        <v>L</v>
      </c>
      <c r="K94" s="38" t="str">
        <f>'RB · Customer Success &amp; Support'!AD9</f>
        <v>L</v>
      </c>
    </row>
    <row r="95">
      <c r="A95" s="53" t="inlineStr">
        <is>
          <t>Customer Success &amp; Support|C+|C+</t>
        </is>
      </c>
      <c r="B95" s="53" t="inlineStr">
        <is>
          <t>Customer Success &amp; Support</t>
        </is>
      </c>
      <c r="C95" s="53" t="inlineStr">
        <is>
          <t>C+</t>
        </is>
      </c>
      <c r="D95" s="53" t="inlineStr">
        <is>
          <t>C+ · Player-Coach</t>
        </is>
      </c>
      <c r="E95" s="38" t="str">
        <f>'RB · Customer Success &amp; Support'!F10</f>
        <v>H</v>
      </c>
      <c r="F95" s="38" t="str">
        <f>'RB · Customer Success &amp; Support'!J10</f>
        <v>M</v>
      </c>
      <c r="G95" s="38" t="str">
        <f>'RB · Customer Success &amp; Support'!N10</f>
        <v>M</v>
      </c>
      <c r="H95" s="38" t="str">
        <f>'RB · Customer Success &amp; Support'!R10</f>
        <v>M</v>
      </c>
      <c r="I95" s="38" t="str">
        <f>'RB · Customer Success &amp; Support'!V10</f>
        <v>L</v>
      </c>
      <c r="J95" s="38" t="str">
        <f>'RB · Customer Success &amp; Support'!Z10</f>
        <v>L</v>
      </c>
      <c r="K95" s="38" t="str">
        <f>'RB · Customer Success &amp; Support'!AD10</f>
        <v>L</v>
      </c>
    </row>
    <row r="96">
      <c r="A96" s="53" t="inlineStr">
        <is>
          <t>Customer Success &amp; Support|C2|C-M</t>
        </is>
      </c>
      <c r="B96" s="53" t="inlineStr">
        <is>
          <t>Customer Success &amp; Support</t>
        </is>
      </c>
      <c r="C96" s="53" t="inlineStr">
        <is>
          <t>C2</t>
        </is>
      </c>
      <c r="D96" s="53" t="inlineStr">
        <is>
          <t>Band C · Head / manager</t>
        </is>
      </c>
      <c r="E96" s="38" t="str">
        <f>'RB · Customer Success &amp; Support'!F11</f>
        <v>H</v>
      </c>
      <c r="F96" s="38" t="str">
        <f>'RB · Customer Success &amp; Support'!J11</f>
        <v>M</v>
      </c>
      <c r="G96" s="38" t="str">
        <f>'RB · Customer Success &amp; Support'!N11</f>
        <v>M</v>
      </c>
      <c r="H96" s="38" t="str">
        <f>'RB · Customer Success &amp; Support'!R11</f>
        <v>M</v>
      </c>
      <c r="I96" s="38" t="str">
        <f>'RB · Customer Success &amp; Support'!V11</f>
        <v>M</v>
      </c>
      <c r="J96" s="38" t="str">
        <f>'RB · Customer Success &amp; Support'!Z11</f>
        <v>L</v>
      </c>
      <c r="K96" s="38" t="str">
        <f>'RB · Customer Success &amp; Support'!AD11</f>
        <v>L</v>
      </c>
    </row>
    <row r="97">
      <c r="A97" s="53" t="inlineStr">
        <is>
          <t>Customer Success &amp; Support|C2|C-IC</t>
        </is>
      </c>
      <c r="B97" s="53" t="inlineStr">
        <is>
          <t>Customer Success &amp; Support</t>
        </is>
      </c>
      <c r="C97" s="53" t="inlineStr">
        <is>
          <t>C2</t>
        </is>
      </c>
      <c r="D97" s="53" t="inlineStr">
        <is>
          <t>Band C · Principal specialist</t>
        </is>
      </c>
      <c r="E97" s="38" t="str">
        <f>'RB · Customer Success &amp; Support'!F12</f>
        <v>H</v>
      </c>
      <c r="F97" s="38" t="str">
        <f>'RB · Customer Success &amp; Support'!J12</f>
        <v>M</v>
      </c>
      <c r="G97" s="38" t="str">
        <f>'RB · Customer Success &amp; Support'!N12</f>
        <v>M</v>
      </c>
      <c r="H97" s="38" t="str">
        <f>'RB · Customer Success &amp; Support'!R12</f>
        <v>L</v>
      </c>
      <c r="I97" s="38" t="str">
        <f>'RB · Customer Success &amp; Support'!V12</f>
        <v>M</v>
      </c>
      <c r="J97" s="38" t="str">
        <f>'RB · Customer Success &amp; Support'!Z12</f>
        <v>L</v>
      </c>
      <c r="K97" s="38" t="str">
        <f>'RB · Customer Success &amp; Support'!AD12</f>
        <v>L</v>
      </c>
    </row>
    <row r="98">
      <c r="A98" s="53" t="inlineStr">
        <is>
          <t>Customer Success &amp; Support|C1|C-M</t>
        </is>
      </c>
      <c r="B98" s="53" t="inlineStr">
        <is>
          <t>Customer Success &amp; Support</t>
        </is>
      </c>
      <c r="C98" s="53" t="inlineStr">
        <is>
          <t>C1</t>
        </is>
      </c>
      <c r="D98" s="53" t="inlineStr">
        <is>
          <t>Band C · Head / manager</t>
        </is>
      </c>
      <c r="E98" s="38" t="str">
        <f>'RB · Customer Success &amp; Support'!F13</f>
        <v>H</v>
      </c>
      <c r="F98" s="38" t="str">
        <f>'RB · Customer Success &amp; Support'!J13</f>
        <v>M</v>
      </c>
      <c r="G98" s="38" t="str">
        <f>'RB · Customer Success &amp; Support'!N13</f>
        <v>M</v>
      </c>
      <c r="H98" s="38" t="str">
        <f>'RB · Customer Success &amp; Support'!R13</f>
        <v>M</v>
      </c>
      <c r="I98" s="38" t="str">
        <f>'RB · Customer Success &amp; Support'!V13</f>
        <v>M</v>
      </c>
      <c r="J98" s="38" t="str">
        <f>'RB · Customer Success &amp; Support'!Z13</f>
        <v>L</v>
      </c>
      <c r="K98" s="38" t="str">
        <f>'RB · Customer Success &amp; Support'!AD13</f>
        <v>L</v>
      </c>
    </row>
    <row r="99">
      <c r="A99" s="53" t="inlineStr">
        <is>
          <t>Customer Success &amp; Support|C1|C-IC</t>
        </is>
      </c>
      <c r="B99" s="53" t="inlineStr">
        <is>
          <t>Customer Success &amp; Support</t>
        </is>
      </c>
      <c r="C99" s="53" t="inlineStr">
        <is>
          <t>C1</t>
        </is>
      </c>
      <c r="D99" s="53" t="inlineStr">
        <is>
          <t>Band C · Principal specialist</t>
        </is>
      </c>
      <c r="E99" s="38" t="str">
        <f>'RB · Customer Success &amp; Support'!F14</f>
        <v>H</v>
      </c>
      <c r="F99" s="38" t="str">
        <f>'RB · Customer Success &amp; Support'!J14</f>
        <v>M</v>
      </c>
      <c r="G99" s="38" t="str">
        <f>'RB · Customer Success &amp; Support'!N14</f>
        <v>M</v>
      </c>
      <c r="H99" s="38" t="str">
        <f>'RB · Customer Success &amp; Support'!R14</f>
        <v>L</v>
      </c>
      <c r="I99" s="38" t="str">
        <f>'RB · Customer Success &amp; Support'!V14</f>
        <v>M</v>
      </c>
      <c r="J99" s="38" t="str">
        <f>'RB · Customer Success &amp; Support'!Z14</f>
        <v>L</v>
      </c>
      <c r="K99" s="38" t="str">
        <f>'RB · Customer Success &amp; Support'!AD14</f>
        <v>L</v>
      </c>
    </row>
    <row r="100">
      <c r="A100" s="53" t="inlineStr">
        <is>
          <t>Customer Success &amp; Support|B+|B+</t>
        </is>
      </c>
      <c r="B100" s="53" t="inlineStr">
        <is>
          <t>Customer Success &amp; Support</t>
        </is>
      </c>
      <c r="C100" s="53" t="inlineStr">
        <is>
          <t>B+</t>
        </is>
      </c>
      <c r="D100" s="53" t="inlineStr">
        <is>
          <t>B+ · Player-Coach</t>
        </is>
      </c>
      <c r="E100" s="38" t="str">
        <f>'RB · Customer Success &amp; Support'!F15</f>
        <v>H</v>
      </c>
      <c r="F100" s="38" t="str">
        <f>'RB · Customer Success &amp; Support'!J15</f>
        <v>M</v>
      </c>
      <c r="G100" s="38" t="str">
        <f>'RB · Customer Success &amp; Support'!N15</f>
        <v>M</v>
      </c>
      <c r="H100" s="38" t="str">
        <f>'RB · Customer Success &amp; Support'!R15</f>
        <v>M</v>
      </c>
      <c r="I100" s="38" t="str">
        <f>'RB · Customer Success &amp; Support'!V15</f>
        <v>M</v>
      </c>
      <c r="J100" s="38" t="str">
        <f>'RB · Customer Success &amp; Support'!Z15</f>
        <v>L</v>
      </c>
      <c r="K100" s="38" t="str">
        <f>'RB · Customer Success &amp; Support'!AD15</f>
        <v>L</v>
      </c>
    </row>
    <row r="101">
      <c r="A101" s="53" t="inlineStr">
        <is>
          <t>Customer Success &amp; Support|B3|B-M</t>
        </is>
      </c>
      <c r="B101" s="53" t="inlineStr">
        <is>
          <t>Customer Success &amp; Support</t>
        </is>
      </c>
      <c r="C101" s="53" t="inlineStr">
        <is>
          <t>B3</t>
        </is>
      </c>
      <c r="D101" s="53" t="inlineStr">
        <is>
          <t>Band B · People Manager</t>
        </is>
      </c>
      <c r="E101" s="38" t="str">
        <f>'RB · Customer Success &amp; Support'!F16</f>
        <v>H</v>
      </c>
      <c r="F101" s="38" t="str">
        <f>'RB · Customer Success &amp; Support'!J16</f>
        <v>M</v>
      </c>
      <c r="G101" s="38" t="str">
        <f>'RB · Customer Success &amp; Support'!N16</f>
        <v>M</v>
      </c>
      <c r="H101" s="38" t="str">
        <f>'RB · Customer Success &amp; Support'!R16</f>
        <v>M</v>
      </c>
      <c r="I101" s="38" t="str">
        <f>'RB · Customer Success &amp; Support'!V16</f>
        <v>M</v>
      </c>
      <c r="J101" s="38" t="str">
        <f>'RB · Customer Success &amp; Support'!Z16</f>
        <v>L</v>
      </c>
      <c r="K101" s="38" t="str">
        <f>'RB · Customer Success &amp; Support'!AD16</f>
        <v>L</v>
      </c>
    </row>
    <row r="102">
      <c r="A102" s="53" t="inlineStr">
        <is>
          <t>Customer Success &amp; Support|B3|B-IC</t>
        </is>
      </c>
      <c r="B102" s="53" t="inlineStr">
        <is>
          <t>Customer Success &amp; Support</t>
        </is>
      </c>
      <c r="C102" s="53" t="inlineStr">
        <is>
          <t>B3</t>
        </is>
      </c>
      <c r="D102" s="53" t="inlineStr">
        <is>
          <t>Band B · Specialist / POD Lead</t>
        </is>
      </c>
      <c r="E102" s="38" t="str">
        <f>'RB · Customer Success &amp; Support'!F17</f>
        <v>H</v>
      </c>
      <c r="F102" s="38" t="str">
        <f>'RB · Customer Success &amp; Support'!J17</f>
        <v>M</v>
      </c>
      <c r="G102" s="38" t="str">
        <f>'RB · Customer Success &amp; Support'!N17</f>
        <v>M</v>
      </c>
      <c r="H102" s="38" t="str">
        <f>'RB · Customer Success &amp; Support'!R17</f>
        <v>L</v>
      </c>
      <c r="I102" s="38" t="str">
        <f>'RB · Customer Success &amp; Support'!V17</f>
        <v>M</v>
      </c>
      <c r="J102" s="38" t="str">
        <f>'RB · Customer Success &amp; Support'!Z17</f>
        <v>L</v>
      </c>
      <c r="K102" s="38" t="str">
        <f>'RB · Customer Success &amp; Support'!AD17</f>
        <v>L</v>
      </c>
    </row>
    <row r="103">
      <c r="A103" s="53" t="inlineStr">
        <is>
          <t>Customer Success &amp; Support|B2|B-M</t>
        </is>
      </c>
      <c r="B103" s="53" t="inlineStr">
        <is>
          <t>Customer Success &amp; Support</t>
        </is>
      </c>
      <c r="C103" s="53" t="inlineStr">
        <is>
          <t>B2</t>
        </is>
      </c>
      <c r="D103" s="53" t="inlineStr">
        <is>
          <t>Band B · People Manager</t>
        </is>
      </c>
      <c r="E103" s="38" t="str">
        <f>'RB · Customer Success &amp; Support'!F18</f>
        <v>H</v>
      </c>
      <c r="F103" s="38" t="str">
        <f>'RB · Customer Success &amp; Support'!J18</f>
        <v>M</v>
      </c>
      <c r="G103" s="38" t="str">
        <f>'RB · Customer Success &amp; Support'!N18</f>
        <v>M</v>
      </c>
      <c r="H103" s="38" t="str">
        <f>'RB · Customer Success &amp; Support'!R18</f>
        <v>M</v>
      </c>
      <c r="I103" s="38" t="str">
        <f>'RB · Customer Success &amp; Support'!V18</f>
        <v>M</v>
      </c>
      <c r="J103" s="38" t="str">
        <f>'RB · Customer Success &amp; Support'!Z18</f>
        <v>L</v>
      </c>
      <c r="K103" s="38" t="str">
        <f>'RB · Customer Success &amp; Support'!AD18</f>
        <v>L</v>
      </c>
    </row>
    <row r="104">
      <c r="A104" s="53" t="inlineStr">
        <is>
          <t>Customer Success &amp; Support|B2|B-IC</t>
        </is>
      </c>
      <c r="B104" s="53" t="inlineStr">
        <is>
          <t>Customer Success &amp; Support</t>
        </is>
      </c>
      <c r="C104" s="53" t="inlineStr">
        <is>
          <t>B2</t>
        </is>
      </c>
      <c r="D104" s="53" t="inlineStr">
        <is>
          <t>Band B · Specialist / POD Lead</t>
        </is>
      </c>
      <c r="E104" s="38" t="str">
        <f>'RB · Customer Success &amp; Support'!F19</f>
        <v>H</v>
      </c>
      <c r="F104" s="38" t="str">
        <f>'RB · Customer Success &amp; Support'!J19</f>
        <v>M</v>
      </c>
      <c r="G104" s="38" t="str">
        <f>'RB · Customer Success &amp; Support'!N19</f>
        <v>M</v>
      </c>
      <c r="H104" s="38" t="str">
        <f>'RB · Customer Success &amp; Support'!R19</f>
        <v>L</v>
      </c>
      <c r="I104" s="38" t="str">
        <f>'RB · Customer Success &amp; Support'!V19</f>
        <v>M</v>
      </c>
      <c r="J104" s="38" t="str">
        <f>'RB · Customer Success &amp; Support'!Z19</f>
        <v>L</v>
      </c>
      <c r="K104" s="38" t="str">
        <f>'RB · Customer Success &amp; Support'!AD19</f>
        <v>L</v>
      </c>
    </row>
    <row r="105">
      <c r="A105" s="53" t="inlineStr">
        <is>
          <t>Customer Success &amp; Support|B1|B-M</t>
        </is>
      </c>
      <c r="B105" s="53" t="inlineStr">
        <is>
          <t>Customer Success &amp; Support</t>
        </is>
      </c>
      <c r="C105" s="53" t="inlineStr">
        <is>
          <t>B1</t>
        </is>
      </c>
      <c r="D105" s="53" t="inlineStr">
        <is>
          <t>Band B · People Manager</t>
        </is>
      </c>
      <c r="E105" s="38" t="str">
        <f>'RB · Customer Success &amp; Support'!F20</f>
        <v>H</v>
      </c>
      <c r="F105" s="38" t="str">
        <f>'RB · Customer Success &amp; Support'!J20</f>
        <v>M</v>
      </c>
      <c r="G105" s="38" t="str">
        <f>'RB · Customer Success &amp; Support'!N20</f>
        <v>M</v>
      </c>
      <c r="H105" s="38" t="str">
        <f>'RB · Customer Success &amp; Support'!R20</f>
        <v>M</v>
      </c>
      <c r="I105" s="38" t="str">
        <f>'RB · Customer Success &amp; Support'!V20</f>
        <v>M</v>
      </c>
      <c r="J105" s="38" t="str">
        <f>'RB · Customer Success &amp; Support'!Z20</f>
        <v>L</v>
      </c>
      <c r="K105" s="38" t="str">
        <f>'RB · Customer Success &amp; Support'!AD20</f>
        <v>L</v>
      </c>
    </row>
    <row r="106">
      <c r="A106" s="53" t="inlineStr">
        <is>
          <t>Customer Success &amp; Support|B1|B-IC</t>
        </is>
      </c>
      <c r="B106" s="53" t="inlineStr">
        <is>
          <t>Customer Success &amp; Support</t>
        </is>
      </c>
      <c r="C106" s="53" t="inlineStr">
        <is>
          <t>B1</t>
        </is>
      </c>
      <c r="D106" s="53" t="inlineStr">
        <is>
          <t>Band B · Specialist / POD Lead</t>
        </is>
      </c>
      <c r="E106" s="38" t="str">
        <f>'RB · Customer Success &amp; Support'!F21</f>
        <v>H</v>
      </c>
      <c r="F106" s="38" t="str">
        <f>'RB · Customer Success &amp; Support'!J21</f>
        <v>M</v>
      </c>
      <c r="G106" s="38" t="str">
        <f>'RB · Customer Success &amp; Support'!N21</f>
        <v>M</v>
      </c>
      <c r="H106" s="38" t="str">
        <f>'RB · Customer Success &amp; Support'!R21</f>
        <v>L</v>
      </c>
      <c r="I106" s="38" t="str">
        <f>'RB · Customer Success &amp; Support'!V21</f>
        <v>M</v>
      </c>
      <c r="J106" s="38" t="str">
        <f>'RB · Customer Success &amp; Support'!Z21</f>
        <v>L</v>
      </c>
      <c r="K106" s="38" t="str">
        <f>'RB · Customer Success &amp; Support'!AD21</f>
        <v>L</v>
      </c>
    </row>
    <row r="107">
      <c r="A107" s="53" t="inlineStr">
        <is>
          <t>Customer Success &amp; Support|A3|A</t>
        </is>
      </c>
      <c r="B107" s="53" t="inlineStr">
        <is>
          <t>Customer Success &amp; Support</t>
        </is>
      </c>
      <c r="C107" s="53" t="inlineStr">
        <is>
          <t>A3</t>
        </is>
      </c>
      <c r="D107" s="53" t="inlineStr">
        <is>
          <t>Band A · all tracks</t>
        </is>
      </c>
      <c r="E107" s="38" t="str">
        <f>'RB · Customer Success &amp; Support'!F22</f>
        <v>H</v>
      </c>
      <c r="F107" s="38" t="str">
        <f>'RB · Customer Success &amp; Support'!J22</f>
        <v>M</v>
      </c>
      <c r="G107" s="38" t="str">
        <f>'RB · Customer Success &amp; Support'!N22</f>
        <v>M</v>
      </c>
      <c r="H107" s="38" t="str">
        <f>'RB · Customer Success &amp; Support'!R22</f>
        <v>L</v>
      </c>
      <c r="I107" s="38" t="str">
        <f>'RB · Customer Success &amp; Support'!V22</f>
        <v>M</v>
      </c>
      <c r="J107" s="38" t="str">
        <f>'RB · Customer Success &amp; Support'!Z22</f>
        <v>L</v>
      </c>
      <c r="K107" s="38" t="str">
        <f>'RB · Customer Success &amp; Support'!AD22</f>
        <v>L</v>
      </c>
    </row>
    <row r="108">
      <c r="A108" s="53" t="inlineStr">
        <is>
          <t>Customer Success &amp; Support|A2|A</t>
        </is>
      </c>
      <c r="B108" s="53" t="inlineStr">
        <is>
          <t>Customer Success &amp; Support</t>
        </is>
      </c>
      <c r="C108" s="53" t="inlineStr">
        <is>
          <t>A2</t>
        </is>
      </c>
      <c r="D108" s="53" t="inlineStr">
        <is>
          <t>Band A · all tracks</t>
        </is>
      </c>
      <c r="E108" s="38" t="str">
        <f>'RB · Customer Success &amp; Support'!F23</f>
        <v>H</v>
      </c>
      <c r="F108" s="38" t="str">
        <f>'RB · Customer Success &amp; Support'!J23</f>
        <v>M</v>
      </c>
      <c r="G108" s="38" t="str">
        <f>'RB · Customer Success &amp; Support'!N23</f>
        <v>M</v>
      </c>
      <c r="H108" s="38" t="str">
        <f>'RB · Customer Success &amp; Support'!R23</f>
        <v>L</v>
      </c>
      <c r="I108" s="38" t="str">
        <f>'RB · Customer Success &amp; Support'!V23</f>
        <v>M</v>
      </c>
      <c r="J108" s="38" t="str">
        <f>'RB · Customer Success &amp; Support'!Z23</f>
        <v>L</v>
      </c>
      <c r="K108" s="38" t="str">
        <f>'RB · Customer Success &amp; Support'!AD23</f>
        <v>L</v>
      </c>
    </row>
    <row r="109">
      <c r="A109" s="53" t="inlineStr">
        <is>
          <t>Customer Success &amp; Support|A1|A</t>
        </is>
      </c>
      <c r="B109" s="53" t="inlineStr">
        <is>
          <t>Customer Success &amp; Support</t>
        </is>
      </c>
      <c r="C109" s="53" t="inlineStr">
        <is>
          <t>A1</t>
        </is>
      </c>
      <c r="D109" s="53" t="inlineStr">
        <is>
          <t>Band A · all tracks</t>
        </is>
      </c>
      <c r="E109" s="38" t="str">
        <f>'RB · Customer Success &amp; Support'!F24</f>
        <v>H</v>
      </c>
      <c r="F109" s="38" t="str">
        <f>'RB · Customer Success &amp; Support'!J24</f>
        <v>M</v>
      </c>
      <c r="G109" s="38" t="str">
        <f>'RB · Customer Success &amp; Support'!N24</f>
        <v>M</v>
      </c>
      <c r="H109" s="38" t="str">
        <f>'RB · Customer Success &amp; Support'!R24</f>
        <v>L</v>
      </c>
      <c r="I109" s="38" t="str">
        <f>'RB · Customer Success &amp; Support'!V24</f>
        <v>M</v>
      </c>
      <c r="J109" s="38" t="str">
        <f>'RB · Customer Success &amp; Support'!Z24</f>
        <v>L</v>
      </c>
      <c r="K109" s="38" t="str">
        <f>'RB · Customer Success &amp; Support'!AD24</f>
        <v>L</v>
      </c>
    </row>
    <row r="110">
      <c r="A110" s="53" t="inlineStr">
        <is>
          <t>Data &amp; Analytics|E2|DE</t>
        </is>
      </c>
      <c r="B110" s="53" t="inlineStr">
        <is>
          <t>Data &amp; Analytics</t>
        </is>
      </c>
      <c r="C110" s="53" t="inlineStr">
        <is>
          <t>E2</t>
        </is>
      </c>
      <c r="D110" s="53" t="inlineStr">
        <is>
          <t>Bands D–E · Leadership</t>
        </is>
      </c>
      <c r="E110" s="38" t="str">
        <f>'RB · Data &amp; Analytics'!F6</f>
        <v>H</v>
      </c>
      <c r="F110" s="38" t="str">
        <f>'RB · Data &amp; Analytics'!J6</f>
        <v>M</v>
      </c>
      <c r="G110" s="38" t="str">
        <f>'RB · Data &amp; Analytics'!N6</f>
        <v>M</v>
      </c>
      <c r="H110" s="38" t="str">
        <f>'RB · Data &amp; Analytics'!R6</f>
        <v>M</v>
      </c>
      <c r="I110" s="38" t="str">
        <f>'RB · Data &amp; Analytics'!V6</f>
        <v>L</v>
      </c>
      <c r="J110" s="38" t="str">
        <f>'RB · Data &amp; Analytics'!Z6</f>
        <v>L</v>
      </c>
      <c r="K110" s="38" t="str">
        <f>'RB · Data &amp; Analytics'!AD6</f>
        <v>L</v>
      </c>
    </row>
    <row r="111">
      <c r="A111" s="53" t="inlineStr">
        <is>
          <t>Data &amp; Analytics|E1|DE</t>
        </is>
      </c>
      <c r="B111" s="53" t="inlineStr">
        <is>
          <t>Data &amp; Analytics</t>
        </is>
      </c>
      <c r="C111" s="53" t="inlineStr">
        <is>
          <t>E1</t>
        </is>
      </c>
      <c r="D111" s="53" t="inlineStr">
        <is>
          <t>Bands D–E · Leadership</t>
        </is>
      </c>
      <c r="E111" s="38" t="str">
        <f>'RB · Data &amp; Analytics'!F7</f>
        <v>H</v>
      </c>
      <c r="F111" s="38" t="str">
        <f>'RB · Data &amp; Analytics'!J7</f>
        <v>M</v>
      </c>
      <c r="G111" s="38" t="str">
        <f>'RB · Data &amp; Analytics'!N7</f>
        <v>M</v>
      </c>
      <c r="H111" s="38" t="str">
        <f>'RB · Data &amp; Analytics'!R7</f>
        <v>M</v>
      </c>
      <c r="I111" s="38" t="str">
        <f>'RB · Data &amp; Analytics'!V7</f>
        <v>L</v>
      </c>
      <c r="J111" s="38" t="str">
        <f>'RB · Data &amp; Analytics'!Z7</f>
        <v>L</v>
      </c>
      <c r="K111" s="38" t="str">
        <f>'RB · Data &amp; Analytics'!AD7</f>
        <v>L</v>
      </c>
    </row>
    <row r="112">
      <c r="A112" s="53" t="inlineStr">
        <is>
          <t>Data &amp; Analytics|D2|DE</t>
        </is>
      </c>
      <c r="B112" s="53" t="inlineStr">
        <is>
          <t>Data &amp; Analytics</t>
        </is>
      </c>
      <c r="C112" s="53" t="inlineStr">
        <is>
          <t>D2</t>
        </is>
      </c>
      <c r="D112" s="53" t="inlineStr">
        <is>
          <t>Bands D–E · Leadership</t>
        </is>
      </c>
      <c r="E112" s="38" t="str">
        <f>'RB · Data &amp; Analytics'!F8</f>
        <v>H</v>
      </c>
      <c r="F112" s="38" t="str">
        <f>'RB · Data &amp; Analytics'!J8</f>
        <v>M</v>
      </c>
      <c r="G112" s="38" t="str">
        <f>'RB · Data &amp; Analytics'!N8</f>
        <v>M</v>
      </c>
      <c r="H112" s="38" t="str">
        <f>'RB · Data &amp; Analytics'!R8</f>
        <v>M</v>
      </c>
      <c r="I112" s="38" t="str">
        <f>'RB · Data &amp; Analytics'!V8</f>
        <v>L</v>
      </c>
      <c r="J112" s="38" t="str">
        <f>'RB · Data &amp; Analytics'!Z8</f>
        <v>L</v>
      </c>
      <c r="K112" s="38" t="str">
        <f>'RB · Data &amp; Analytics'!AD8</f>
        <v>L</v>
      </c>
    </row>
    <row r="113">
      <c r="A113" s="53" t="inlineStr">
        <is>
          <t>Data &amp; Analytics|D1|DE</t>
        </is>
      </c>
      <c r="B113" s="53" t="inlineStr">
        <is>
          <t>Data &amp; Analytics</t>
        </is>
      </c>
      <c r="C113" s="53" t="inlineStr">
        <is>
          <t>D1</t>
        </is>
      </c>
      <c r="D113" s="53" t="inlineStr">
        <is>
          <t>Bands D–E · Leadership</t>
        </is>
      </c>
      <c r="E113" s="38" t="str">
        <f>'RB · Data &amp; Analytics'!F9</f>
        <v>H</v>
      </c>
      <c r="F113" s="38" t="str">
        <f>'RB · Data &amp; Analytics'!J9</f>
        <v>M</v>
      </c>
      <c r="G113" s="38" t="str">
        <f>'RB · Data &amp; Analytics'!N9</f>
        <v>M</v>
      </c>
      <c r="H113" s="38" t="str">
        <f>'RB · Data &amp; Analytics'!R9</f>
        <v>M</v>
      </c>
      <c r="I113" s="38" t="str">
        <f>'RB · Data &amp; Analytics'!V9</f>
        <v>L</v>
      </c>
      <c r="J113" s="38" t="str">
        <f>'RB · Data &amp; Analytics'!Z9</f>
        <v>L</v>
      </c>
      <c r="K113" s="38" t="str">
        <f>'RB · Data &amp; Analytics'!AD9</f>
        <v>L</v>
      </c>
    </row>
    <row r="114">
      <c r="A114" s="53" t="inlineStr">
        <is>
          <t>Data &amp; Analytics|C+|C+</t>
        </is>
      </c>
      <c r="B114" s="53" t="inlineStr">
        <is>
          <t>Data &amp; Analytics</t>
        </is>
      </c>
      <c r="C114" s="53" t="inlineStr">
        <is>
          <t>C+</t>
        </is>
      </c>
      <c r="D114" s="53" t="inlineStr">
        <is>
          <t>C+ · Player-Coach</t>
        </is>
      </c>
      <c r="E114" s="38" t="str">
        <f>'RB · Data &amp; Analytics'!F10</f>
        <v>H</v>
      </c>
      <c r="F114" s="38" t="str">
        <f>'RB · Data &amp; Analytics'!J10</f>
        <v>M</v>
      </c>
      <c r="G114" s="38" t="str">
        <f>'RB · Data &amp; Analytics'!N10</f>
        <v>M</v>
      </c>
      <c r="H114" s="38" t="str">
        <f>'RB · Data &amp; Analytics'!R10</f>
        <v>M</v>
      </c>
      <c r="I114" s="38" t="str">
        <f>'RB · Data &amp; Analytics'!V10</f>
        <v>L</v>
      </c>
      <c r="J114" s="38" t="str">
        <f>'RB · Data &amp; Analytics'!Z10</f>
        <v>L</v>
      </c>
      <c r="K114" s="38" t="str">
        <f>'RB · Data &amp; Analytics'!AD10</f>
        <v>L</v>
      </c>
    </row>
    <row r="115">
      <c r="A115" s="53" t="inlineStr">
        <is>
          <t>Data &amp; Analytics|C2|C-M</t>
        </is>
      </c>
      <c r="B115" s="53" t="inlineStr">
        <is>
          <t>Data &amp; Analytics</t>
        </is>
      </c>
      <c r="C115" s="53" t="inlineStr">
        <is>
          <t>C2</t>
        </is>
      </c>
      <c r="D115" s="53" t="inlineStr">
        <is>
          <t>Band C · Head / manager</t>
        </is>
      </c>
      <c r="E115" s="38" t="str">
        <f>'RB · Data &amp; Analytics'!F11</f>
        <v>H</v>
      </c>
      <c r="F115" s="38" t="str">
        <f>'RB · Data &amp; Analytics'!J11</f>
        <v>M</v>
      </c>
      <c r="G115" s="38" t="str">
        <f>'RB · Data &amp; Analytics'!N11</f>
        <v>M</v>
      </c>
      <c r="H115" s="38" t="str">
        <f>'RB · Data &amp; Analytics'!R11</f>
        <v>M</v>
      </c>
      <c r="I115" s="38" t="str">
        <f>'RB · Data &amp; Analytics'!V11</f>
        <v>L</v>
      </c>
      <c r="J115" s="38" t="str">
        <f>'RB · Data &amp; Analytics'!Z11</f>
        <v>L</v>
      </c>
      <c r="K115" s="38" t="str">
        <f>'RB · Data &amp; Analytics'!AD11</f>
        <v>L</v>
      </c>
    </row>
    <row r="116">
      <c r="A116" s="53" t="inlineStr">
        <is>
          <t>Data &amp; Analytics|C2|C-IC</t>
        </is>
      </c>
      <c r="B116" s="53" t="inlineStr">
        <is>
          <t>Data &amp; Analytics</t>
        </is>
      </c>
      <c r="C116" s="53" t="inlineStr">
        <is>
          <t>C2</t>
        </is>
      </c>
      <c r="D116" s="53" t="inlineStr">
        <is>
          <t>Band C · Principal specialist</t>
        </is>
      </c>
      <c r="E116" s="38" t="str">
        <f>'RB · Data &amp; Analytics'!F12</f>
        <v>H</v>
      </c>
      <c r="F116" s="38" t="str">
        <f>'RB · Data &amp; Analytics'!J12</f>
        <v>M</v>
      </c>
      <c r="G116" s="38" t="str">
        <f>'RB · Data &amp; Analytics'!N12</f>
        <v>M</v>
      </c>
      <c r="H116" s="38" t="str">
        <f>'RB · Data &amp; Analytics'!R12</f>
        <v>L</v>
      </c>
      <c r="I116" s="38" t="str">
        <f>'RB · Data &amp; Analytics'!V12</f>
        <v>L</v>
      </c>
      <c r="J116" s="38" t="str">
        <f>'RB · Data &amp; Analytics'!Z12</f>
        <v>L</v>
      </c>
      <c r="K116" s="38" t="str">
        <f>'RB · Data &amp; Analytics'!AD12</f>
        <v>L</v>
      </c>
    </row>
    <row r="117">
      <c r="A117" s="53" t="inlineStr">
        <is>
          <t>Data &amp; Analytics|C1|C-M</t>
        </is>
      </c>
      <c r="B117" s="53" t="inlineStr">
        <is>
          <t>Data &amp; Analytics</t>
        </is>
      </c>
      <c r="C117" s="53" t="inlineStr">
        <is>
          <t>C1</t>
        </is>
      </c>
      <c r="D117" s="53" t="inlineStr">
        <is>
          <t>Band C · Head / manager</t>
        </is>
      </c>
      <c r="E117" s="38" t="str">
        <f>'RB · Data &amp; Analytics'!F13</f>
        <v>H</v>
      </c>
      <c r="F117" s="38" t="str">
        <f>'RB · Data &amp; Analytics'!J13</f>
        <v>M</v>
      </c>
      <c r="G117" s="38" t="str">
        <f>'RB · Data &amp; Analytics'!N13</f>
        <v>M</v>
      </c>
      <c r="H117" s="38" t="str">
        <f>'RB · Data &amp; Analytics'!R13</f>
        <v>M</v>
      </c>
      <c r="I117" s="38" t="str">
        <f>'RB · Data &amp; Analytics'!V13</f>
        <v>L</v>
      </c>
      <c r="J117" s="38" t="str">
        <f>'RB · Data &amp; Analytics'!Z13</f>
        <v>L</v>
      </c>
      <c r="K117" s="38" t="str">
        <f>'RB · Data &amp; Analytics'!AD13</f>
        <v>L</v>
      </c>
    </row>
    <row r="118">
      <c r="A118" s="53" t="inlineStr">
        <is>
          <t>Data &amp; Analytics|C1|C-IC</t>
        </is>
      </c>
      <c r="B118" s="53" t="inlineStr">
        <is>
          <t>Data &amp; Analytics</t>
        </is>
      </c>
      <c r="C118" s="53" t="inlineStr">
        <is>
          <t>C1</t>
        </is>
      </c>
      <c r="D118" s="53" t="inlineStr">
        <is>
          <t>Band C · Principal specialist</t>
        </is>
      </c>
      <c r="E118" s="38" t="str">
        <f>'RB · Data &amp; Analytics'!F14</f>
        <v>H</v>
      </c>
      <c r="F118" s="38" t="str">
        <f>'RB · Data &amp; Analytics'!J14</f>
        <v>M</v>
      </c>
      <c r="G118" s="38" t="str">
        <f>'RB · Data &amp; Analytics'!N14</f>
        <v>M</v>
      </c>
      <c r="H118" s="38" t="str">
        <f>'RB · Data &amp; Analytics'!R14</f>
        <v>L</v>
      </c>
      <c r="I118" s="38" t="str">
        <f>'RB · Data &amp; Analytics'!V14</f>
        <v>L</v>
      </c>
      <c r="J118" s="38" t="str">
        <f>'RB · Data &amp; Analytics'!Z14</f>
        <v>L</v>
      </c>
      <c r="K118" s="38" t="str">
        <f>'RB · Data &amp; Analytics'!AD14</f>
        <v>L</v>
      </c>
    </row>
    <row r="119">
      <c r="A119" s="53" t="inlineStr">
        <is>
          <t>Data &amp; Analytics|B+|B+</t>
        </is>
      </c>
      <c r="B119" s="53" t="inlineStr">
        <is>
          <t>Data &amp; Analytics</t>
        </is>
      </c>
      <c r="C119" s="53" t="inlineStr">
        <is>
          <t>B+</t>
        </is>
      </c>
      <c r="D119" s="53" t="inlineStr">
        <is>
          <t>B+ · Player-Coach</t>
        </is>
      </c>
      <c r="E119" s="38" t="str">
        <f>'RB · Data &amp; Analytics'!F15</f>
        <v>H</v>
      </c>
      <c r="F119" s="38" t="str">
        <f>'RB · Data &amp; Analytics'!J15</f>
        <v>M</v>
      </c>
      <c r="G119" s="38" t="str">
        <f>'RB · Data &amp; Analytics'!N15</f>
        <v>M</v>
      </c>
      <c r="H119" s="38" t="str">
        <f>'RB · Data &amp; Analytics'!R15</f>
        <v>M</v>
      </c>
      <c r="I119" s="38" t="str">
        <f>'RB · Data &amp; Analytics'!V15</f>
        <v>L</v>
      </c>
      <c r="J119" s="38" t="str">
        <f>'RB · Data &amp; Analytics'!Z15</f>
        <v>L</v>
      </c>
      <c r="K119" s="38" t="str">
        <f>'RB · Data &amp; Analytics'!AD15</f>
        <v>L</v>
      </c>
    </row>
    <row r="120">
      <c r="A120" s="53" t="inlineStr">
        <is>
          <t>Data &amp; Analytics|B3|B-M</t>
        </is>
      </c>
      <c r="B120" s="53" t="inlineStr">
        <is>
          <t>Data &amp; Analytics</t>
        </is>
      </c>
      <c r="C120" s="53" t="inlineStr">
        <is>
          <t>B3</t>
        </is>
      </c>
      <c r="D120" s="53" t="inlineStr">
        <is>
          <t>Band B · People Manager</t>
        </is>
      </c>
      <c r="E120" s="38" t="str">
        <f>'RB · Data &amp; Analytics'!F16</f>
        <v>H</v>
      </c>
      <c r="F120" s="38" t="str">
        <f>'RB · Data &amp; Analytics'!J16</f>
        <v>M</v>
      </c>
      <c r="G120" s="38" t="str">
        <f>'RB · Data &amp; Analytics'!N16</f>
        <v>M</v>
      </c>
      <c r="H120" s="38" t="str">
        <f>'RB · Data &amp; Analytics'!R16</f>
        <v>M</v>
      </c>
      <c r="I120" s="38" t="str">
        <f>'RB · Data &amp; Analytics'!V16</f>
        <v>L</v>
      </c>
      <c r="J120" s="38" t="str">
        <f>'RB · Data &amp; Analytics'!Z16</f>
        <v>L</v>
      </c>
      <c r="K120" s="38" t="str">
        <f>'RB · Data &amp; Analytics'!AD16</f>
        <v>L</v>
      </c>
    </row>
    <row r="121">
      <c r="A121" s="53" t="inlineStr">
        <is>
          <t>Data &amp; Analytics|B3|B-IC</t>
        </is>
      </c>
      <c r="B121" s="53" t="inlineStr">
        <is>
          <t>Data &amp; Analytics</t>
        </is>
      </c>
      <c r="C121" s="53" t="inlineStr">
        <is>
          <t>B3</t>
        </is>
      </c>
      <c r="D121" s="53" t="inlineStr">
        <is>
          <t>Band B · Specialist / POD Lead</t>
        </is>
      </c>
      <c r="E121" s="38" t="str">
        <f>'RB · Data &amp; Analytics'!F17</f>
        <v>H</v>
      </c>
      <c r="F121" s="38" t="str">
        <f>'RB · Data &amp; Analytics'!J17</f>
        <v>M</v>
      </c>
      <c r="G121" s="38" t="str">
        <f>'RB · Data &amp; Analytics'!N17</f>
        <v>M</v>
      </c>
      <c r="H121" s="38" t="str">
        <f>'RB · Data &amp; Analytics'!R17</f>
        <v>L</v>
      </c>
      <c r="I121" s="38" t="str">
        <f>'RB · Data &amp; Analytics'!V17</f>
        <v>L</v>
      </c>
      <c r="J121" s="38" t="str">
        <f>'RB · Data &amp; Analytics'!Z17</f>
        <v>L</v>
      </c>
      <c r="K121" s="38" t="str">
        <f>'RB · Data &amp; Analytics'!AD17</f>
        <v>L</v>
      </c>
    </row>
    <row r="122">
      <c r="A122" s="53" t="inlineStr">
        <is>
          <t>Data &amp; Analytics|B2|B-M</t>
        </is>
      </c>
      <c r="B122" s="53" t="inlineStr">
        <is>
          <t>Data &amp; Analytics</t>
        </is>
      </c>
      <c r="C122" s="53" t="inlineStr">
        <is>
          <t>B2</t>
        </is>
      </c>
      <c r="D122" s="53" t="inlineStr">
        <is>
          <t>Band B · People Manager</t>
        </is>
      </c>
      <c r="E122" s="38" t="str">
        <f>'RB · Data &amp; Analytics'!F18</f>
        <v>H</v>
      </c>
      <c r="F122" s="38" t="str">
        <f>'RB · Data &amp; Analytics'!J18</f>
        <v>M</v>
      </c>
      <c r="G122" s="38" t="str">
        <f>'RB · Data &amp; Analytics'!N18</f>
        <v>M</v>
      </c>
      <c r="H122" s="38" t="str">
        <f>'RB · Data &amp; Analytics'!R18</f>
        <v>M</v>
      </c>
      <c r="I122" s="38" t="str">
        <f>'RB · Data &amp; Analytics'!V18</f>
        <v>L</v>
      </c>
      <c r="J122" s="38" t="str">
        <f>'RB · Data &amp; Analytics'!Z18</f>
        <v>L</v>
      </c>
      <c r="K122" s="38" t="str">
        <f>'RB · Data &amp; Analytics'!AD18</f>
        <v>L</v>
      </c>
    </row>
    <row r="123">
      <c r="A123" s="53" t="inlineStr">
        <is>
          <t>Data &amp; Analytics|B2|B-IC</t>
        </is>
      </c>
      <c r="B123" s="53" t="inlineStr">
        <is>
          <t>Data &amp; Analytics</t>
        </is>
      </c>
      <c r="C123" s="53" t="inlineStr">
        <is>
          <t>B2</t>
        </is>
      </c>
      <c r="D123" s="53" t="inlineStr">
        <is>
          <t>Band B · Specialist / POD Lead</t>
        </is>
      </c>
      <c r="E123" s="38" t="str">
        <f>'RB · Data &amp; Analytics'!F19</f>
        <v>H</v>
      </c>
      <c r="F123" s="38" t="str">
        <f>'RB · Data &amp; Analytics'!J19</f>
        <v>M</v>
      </c>
      <c r="G123" s="38" t="str">
        <f>'RB · Data &amp; Analytics'!N19</f>
        <v>M</v>
      </c>
      <c r="H123" s="38" t="str">
        <f>'RB · Data &amp; Analytics'!R19</f>
        <v>L</v>
      </c>
      <c r="I123" s="38" t="str">
        <f>'RB · Data &amp; Analytics'!V19</f>
        <v>L</v>
      </c>
      <c r="J123" s="38" t="str">
        <f>'RB · Data &amp; Analytics'!Z19</f>
        <v>L</v>
      </c>
      <c r="K123" s="38" t="str">
        <f>'RB · Data &amp; Analytics'!AD19</f>
        <v>L</v>
      </c>
    </row>
    <row r="124">
      <c r="A124" s="53" t="inlineStr">
        <is>
          <t>Data &amp; Analytics|B1|B-M</t>
        </is>
      </c>
      <c r="B124" s="53" t="inlineStr">
        <is>
          <t>Data &amp; Analytics</t>
        </is>
      </c>
      <c r="C124" s="53" t="inlineStr">
        <is>
          <t>B1</t>
        </is>
      </c>
      <c r="D124" s="53" t="inlineStr">
        <is>
          <t>Band B · People Manager</t>
        </is>
      </c>
      <c r="E124" s="38" t="str">
        <f>'RB · Data &amp; Analytics'!F20</f>
        <v>H</v>
      </c>
      <c r="F124" s="38" t="str">
        <f>'RB · Data &amp; Analytics'!J20</f>
        <v>M</v>
      </c>
      <c r="G124" s="38" t="str">
        <f>'RB · Data &amp; Analytics'!N20</f>
        <v>M</v>
      </c>
      <c r="H124" s="38" t="str">
        <f>'RB · Data &amp; Analytics'!R20</f>
        <v>M</v>
      </c>
      <c r="I124" s="38" t="str">
        <f>'RB · Data &amp; Analytics'!V20</f>
        <v>L</v>
      </c>
      <c r="J124" s="38" t="str">
        <f>'RB · Data &amp; Analytics'!Z20</f>
        <v>L</v>
      </c>
      <c r="K124" s="38" t="str">
        <f>'RB · Data &amp; Analytics'!AD20</f>
        <v>L</v>
      </c>
    </row>
    <row r="125">
      <c r="A125" s="53" t="inlineStr">
        <is>
          <t>Data &amp; Analytics|B1|B-IC</t>
        </is>
      </c>
      <c r="B125" s="53" t="inlineStr">
        <is>
          <t>Data &amp; Analytics</t>
        </is>
      </c>
      <c r="C125" s="53" t="inlineStr">
        <is>
          <t>B1</t>
        </is>
      </c>
      <c r="D125" s="53" t="inlineStr">
        <is>
          <t>Band B · Specialist / POD Lead</t>
        </is>
      </c>
      <c r="E125" s="38" t="str">
        <f>'RB · Data &amp; Analytics'!F21</f>
        <v>H</v>
      </c>
      <c r="F125" s="38" t="str">
        <f>'RB · Data &amp; Analytics'!J21</f>
        <v>M</v>
      </c>
      <c r="G125" s="38" t="str">
        <f>'RB · Data &amp; Analytics'!N21</f>
        <v>M</v>
      </c>
      <c r="H125" s="38" t="str">
        <f>'RB · Data &amp; Analytics'!R21</f>
        <v>L</v>
      </c>
      <c r="I125" s="38" t="str">
        <f>'RB · Data &amp; Analytics'!V21</f>
        <v>L</v>
      </c>
      <c r="J125" s="38" t="str">
        <f>'RB · Data &amp; Analytics'!Z21</f>
        <v>L</v>
      </c>
      <c r="K125" s="38" t="str">
        <f>'RB · Data &amp; Analytics'!AD21</f>
        <v>L</v>
      </c>
    </row>
    <row r="126">
      <c r="A126" s="53" t="inlineStr">
        <is>
          <t>Data &amp; Analytics|A3|A</t>
        </is>
      </c>
      <c r="B126" s="53" t="inlineStr">
        <is>
          <t>Data &amp; Analytics</t>
        </is>
      </c>
      <c r="C126" s="53" t="inlineStr">
        <is>
          <t>A3</t>
        </is>
      </c>
      <c r="D126" s="53" t="inlineStr">
        <is>
          <t>Band A · all tracks</t>
        </is>
      </c>
      <c r="E126" s="38" t="str">
        <f>'RB · Data &amp; Analytics'!F22</f>
        <v>H</v>
      </c>
      <c r="F126" s="38" t="str">
        <f>'RB · Data &amp; Analytics'!J22</f>
        <v>M</v>
      </c>
      <c r="G126" s="38" t="str">
        <f>'RB · Data &amp; Analytics'!N22</f>
        <v>M</v>
      </c>
      <c r="H126" s="38" t="str">
        <f>'RB · Data &amp; Analytics'!R22</f>
        <v>L</v>
      </c>
      <c r="I126" s="38" t="str">
        <f>'RB · Data &amp; Analytics'!V22</f>
        <v>L</v>
      </c>
      <c r="J126" s="38" t="str">
        <f>'RB · Data &amp; Analytics'!Z22</f>
        <v>L</v>
      </c>
      <c r="K126" s="38" t="str">
        <f>'RB · Data &amp; Analytics'!AD22</f>
        <v>L</v>
      </c>
    </row>
    <row r="127">
      <c r="A127" s="53" t="inlineStr">
        <is>
          <t>Data &amp; Analytics|A2|A</t>
        </is>
      </c>
      <c r="B127" s="53" t="inlineStr">
        <is>
          <t>Data &amp; Analytics</t>
        </is>
      </c>
      <c r="C127" s="53" t="inlineStr">
        <is>
          <t>A2</t>
        </is>
      </c>
      <c r="D127" s="53" t="inlineStr">
        <is>
          <t>Band A · all tracks</t>
        </is>
      </c>
      <c r="E127" s="38" t="str">
        <f>'RB · Data &amp; Analytics'!F23</f>
        <v>H</v>
      </c>
      <c r="F127" s="38" t="str">
        <f>'RB · Data &amp; Analytics'!J23</f>
        <v>M</v>
      </c>
      <c r="G127" s="38" t="str">
        <f>'RB · Data &amp; Analytics'!N23</f>
        <v>M</v>
      </c>
      <c r="H127" s="38" t="str">
        <f>'RB · Data &amp; Analytics'!R23</f>
        <v>L</v>
      </c>
      <c r="I127" s="38" t="str">
        <f>'RB · Data &amp; Analytics'!V23</f>
        <v>L</v>
      </c>
      <c r="J127" s="38" t="str">
        <f>'RB · Data &amp; Analytics'!Z23</f>
        <v>L</v>
      </c>
      <c r="K127" s="38" t="str">
        <f>'RB · Data &amp; Analytics'!AD23</f>
        <v>L</v>
      </c>
    </row>
    <row r="128">
      <c r="A128" s="53" t="inlineStr">
        <is>
          <t>Data &amp; Analytics|A1|A</t>
        </is>
      </c>
      <c r="B128" s="53" t="inlineStr">
        <is>
          <t>Data &amp; Analytics</t>
        </is>
      </c>
      <c r="C128" s="53" t="inlineStr">
        <is>
          <t>A1</t>
        </is>
      </c>
      <c r="D128" s="53" t="inlineStr">
        <is>
          <t>Band A · all tracks</t>
        </is>
      </c>
      <c r="E128" s="38" t="str">
        <f>'RB · Data &amp; Analytics'!F24</f>
        <v>H</v>
      </c>
      <c r="F128" s="38" t="str">
        <f>'RB · Data &amp; Analytics'!J24</f>
        <v>M</v>
      </c>
      <c r="G128" s="38" t="str">
        <f>'RB · Data &amp; Analytics'!N24</f>
        <v>M</v>
      </c>
      <c r="H128" s="38" t="str">
        <f>'RB · Data &amp; Analytics'!R24</f>
        <v>L</v>
      </c>
      <c r="I128" s="38" t="str">
        <f>'RB · Data &amp; Analytics'!V24</f>
        <v>L</v>
      </c>
      <c r="J128" s="38" t="str">
        <f>'RB · Data &amp; Analytics'!Z24</f>
        <v>L</v>
      </c>
      <c r="K128" s="38" t="str">
        <f>'RB · Data &amp; Analytics'!AD24</f>
        <v>L</v>
      </c>
    </row>
    <row r="129">
      <c r="A129" s="53" t="inlineStr">
        <is>
          <t>Data Operations &amp; Digitization|E2|DE</t>
        </is>
      </c>
      <c r="B129" s="53" t="inlineStr">
        <is>
          <t>Data Operations &amp; Digitization</t>
        </is>
      </c>
      <c r="C129" s="53" t="inlineStr">
        <is>
          <t>E2</t>
        </is>
      </c>
      <c r="D129" s="53" t="inlineStr">
        <is>
          <t>Bands D–E · Leadership</t>
        </is>
      </c>
      <c r="E129" s="38" t="str">
        <f>'RB · Data Operations &amp; Digitiza'!F6</f>
        <v>H</v>
      </c>
      <c r="F129" s="38" t="str">
        <f>'RB · Data Operations &amp; Digitiza'!J6</f>
        <v>M</v>
      </c>
      <c r="G129" s="38" t="str">
        <f>'RB · Data Operations &amp; Digitiza'!N6</f>
        <v>M</v>
      </c>
      <c r="H129" s="38" t="str">
        <f>'RB · Data Operations &amp; Digitiza'!R6</f>
        <v>M</v>
      </c>
      <c r="I129" s="38" t="str">
        <f>'RB · Data Operations &amp; Digitiza'!V6</f>
        <v>L</v>
      </c>
      <c r="J129" s="38" t="str">
        <f>'RB · Data Operations &amp; Digitiza'!Z6</f>
        <v>L</v>
      </c>
      <c r="K129" s="38" t="str">
        <f>'RB · Data Operations &amp; Digitiza'!AD6</f>
        <v>L</v>
      </c>
    </row>
    <row r="130">
      <c r="A130" s="53" t="inlineStr">
        <is>
          <t>Data Operations &amp; Digitization|E1|DE</t>
        </is>
      </c>
      <c r="B130" s="53" t="inlineStr">
        <is>
          <t>Data Operations &amp; Digitization</t>
        </is>
      </c>
      <c r="C130" s="53" t="inlineStr">
        <is>
          <t>E1</t>
        </is>
      </c>
      <c r="D130" s="53" t="inlineStr">
        <is>
          <t>Bands D–E · Leadership</t>
        </is>
      </c>
      <c r="E130" s="38" t="str">
        <f>'RB · Data Operations &amp; Digitiza'!F7</f>
        <v>H</v>
      </c>
      <c r="F130" s="38" t="str">
        <f>'RB · Data Operations &amp; Digitiza'!J7</f>
        <v>M</v>
      </c>
      <c r="G130" s="38" t="str">
        <f>'RB · Data Operations &amp; Digitiza'!N7</f>
        <v>M</v>
      </c>
      <c r="H130" s="38" t="str">
        <f>'RB · Data Operations &amp; Digitiza'!R7</f>
        <v>M</v>
      </c>
      <c r="I130" s="38" t="str">
        <f>'RB · Data Operations &amp; Digitiza'!V7</f>
        <v>L</v>
      </c>
      <c r="J130" s="38" t="str">
        <f>'RB · Data Operations &amp; Digitiza'!Z7</f>
        <v>L</v>
      </c>
      <c r="K130" s="38" t="str">
        <f>'RB · Data Operations &amp; Digitiza'!AD7</f>
        <v>L</v>
      </c>
    </row>
    <row r="131">
      <c r="A131" s="53" t="inlineStr">
        <is>
          <t>Data Operations &amp; Digitization|D2|DE</t>
        </is>
      </c>
      <c r="B131" s="53" t="inlineStr">
        <is>
          <t>Data Operations &amp; Digitization</t>
        </is>
      </c>
      <c r="C131" s="53" t="inlineStr">
        <is>
          <t>D2</t>
        </is>
      </c>
      <c r="D131" s="53" t="inlineStr">
        <is>
          <t>Bands D–E · Leadership</t>
        </is>
      </c>
      <c r="E131" s="38" t="str">
        <f>'RB · Data Operations &amp; Digitiza'!F8</f>
        <v>H</v>
      </c>
      <c r="F131" s="38" t="str">
        <f>'RB · Data Operations &amp; Digitiza'!J8</f>
        <v>M</v>
      </c>
      <c r="G131" s="38" t="str">
        <f>'RB · Data Operations &amp; Digitiza'!N8</f>
        <v>M</v>
      </c>
      <c r="H131" s="38" t="str">
        <f>'RB · Data Operations &amp; Digitiza'!R8</f>
        <v>M</v>
      </c>
      <c r="I131" s="38" t="str">
        <f>'RB · Data Operations &amp; Digitiza'!V8</f>
        <v>L</v>
      </c>
      <c r="J131" s="38" t="str">
        <f>'RB · Data Operations &amp; Digitiza'!Z8</f>
        <v>L</v>
      </c>
      <c r="K131" s="38" t="str">
        <f>'RB · Data Operations &amp; Digitiza'!AD8</f>
        <v>L</v>
      </c>
    </row>
    <row r="132">
      <c r="A132" s="53" t="inlineStr">
        <is>
          <t>Data Operations &amp; Digitization|D1|DE</t>
        </is>
      </c>
      <c r="B132" s="53" t="inlineStr">
        <is>
          <t>Data Operations &amp; Digitization</t>
        </is>
      </c>
      <c r="C132" s="53" t="inlineStr">
        <is>
          <t>D1</t>
        </is>
      </c>
      <c r="D132" s="53" t="inlineStr">
        <is>
          <t>Bands D–E · Leadership</t>
        </is>
      </c>
      <c r="E132" s="38" t="str">
        <f>'RB · Data Operations &amp; Digitiza'!F9</f>
        <v>H</v>
      </c>
      <c r="F132" s="38" t="str">
        <f>'RB · Data Operations &amp; Digitiza'!J9</f>
        <v>M</v>
      </c>
      <c r="G132" s="38" t="str">
        <f>'RB · Data Operations &amp; Digitiza'!N9</f>
        <v>M</v>
      </c>
      <c r="H132" s="38" t="str">
        <f>'RB · Data Operations &amp; Digitiza'!R9</f>
        <v>M</v>
      </c>
      <c r="I132" s="38" t="str">
        <f>'RB · Data Operations &amp; Digitiza'!V9</f>
        <v>L</v>
      </c>
      <c r="J132" s="38" t="str">
        <f>'RB · Data Operations &amp; Digitiza'!Z9</f>
        <v>L</v>
      </c>
      <c r="K132" s="38" t="str">
        <f>'RB · Data Operations &amp; Digitiza'!AD9</f>
        <v>L</v>
      </c>
    </row>
    <row r="133">
      <c r="A133" s="53" t="inlineStr">
        <is>
          <t>Data Operations &amp; Digitization|C+|C+</t>
        </is>
      </c>
      <c r="B133" s="53" t="inlineStr">
        <is>
          <t>Data Operations &amp; Digitization</t>
        </is>
      </c>
      <c r="C133" s="53" t="inlineStr">
        <is>
          <t>C+</t>
        </is>
      </c>
      <c r="D133" s="53" t="inlineStr">
        <is>
          <t>C+ · Player-Coach</t>
        </is>
      </c>
      <c r="E133" s="38" t="str">
        <f>'RB · Data Operations &amp; Digitiza'!F10</f>
        <v>H</v>
      </c>
      <c r="F133" s="38" t="str">
        <f>'RB · Data Operations &amp; Digitiza'!J10</f>
        <v>M</v>
      </c>
      <c r="G133" s="38" t="str">
        <f>'RB · Data Operations &amp; Digitiza'!N10</f>
        <v>M</v>
      </c>
      <c r="H133" s="38" t="str">
        <f>'RB · Data Operations &amp; Digitiza'!R10</f>
        <v>M</v>
      </c>
      <c r="I133" s="38" t="str">
        <f>'RB · Data Operations &amp; Digitiza'!V10</f>
        <v>L</v>
      </c>
      <c r="J133" s="38" t="str">
        <f>'RB · Data Operations &amp; Digitiza'!Z10</f>
        <v>L</v>
      </c>
      <c r="K133" s="38" t="str">
        <f>'RB · Data Operations &amp; Digitiza'!AD10</f>
        <v>L</v>
      </c>
    </row>
    <row r="134">
      <c r="A134" s="53" t="inlineStr">
        <is>
          <t>Data Operations &amp; Digitization|C2|C-M</t>
        </is>
      </c>
      <c r="B134" s="53" t="inlineStr">
        <is>
          <t>Data Operations &amp; Digitization</t>
        </is>
      </c>
      <c r="C134" s="53" t="inlineStr">
        <is>
          <t>C2</t>
        </is>
      </c>
      <c r="D134" s="53" t="inlineStr">
        <is>
          <t>Band C · Head / manager</t>
        </is>
      </c>
      <c r="E134" s="38" t="str">
        <f>'RB · Data Operations &amp; Digitiza'!F11</f>
        <v>H</v>
      </c>
      <c r="F134" s="38" t="str">
        <f>'RB · Data Operations &amp; Digitiza'!J11</f>
        <v>M</v>
      </c>
      <c r="G134" s="38" t="str">
        <f>'RB · Data Operations &amp; Digitiza'!N11</f>
        <v>M</v>
      </c>
      <c r="H134" s="38" t="str">
        <f>'RB · Data Operations &amp; Digitiza'!R11</f>
        <v>M</v>
      </c>
      <c r="I134" s="38" t="str">
        <f>'RB · Data Operations &amp; Digitiza'!V11</f>
        <v>L</v>
      </c>
      <c r="J134" s="38" t="str">
        <f>'RB · Data Operations &amp; Digitiza'!Z11</f>
        <v>L</v>
      </c>
      <c r="K134" s="38" t="str">
        <f>'RB · Data Operations &amp; Digitiza'!AD11</f>
        <v>L</v>
      </c>
    </row>
    <row r="135">
      <c r="A135" s="53" t="inlineStr">
        <is>
          <t>Data Operations &amp; Digitization|C2|C-IC</t>
        </is>
      </c>
      <c r="B135" s="53" t="inlineStr">
        <is>
          <t>Data Operations &amp; Digitization</t>
        </is>
      </c>
      <c r="C135" s="53" t="inlineStr">
        <is>
          <t>C2</t>
        </is>
      </c>
      <c r="D135" s="53" t="inlineStr">
        <is>
          <t>Band C · Principal specialist</t>
        </is>
      </c>
      <c r="E135" s="38" t="str">
        <f>'RB · Data Operations &amp; Digitiza'!F12</f>
        <v>H</v>
      </c>
      <c r="F135" s="38" t="str">
        <f>'RB · Data Operations &amp; Digitiza'!J12</f>
        <v>M</v>
      </c>
      <c r="G135" s="38" t="str">
        <f>'RB · Data Operations &amp; Digitiza'!N12</f>
        <v>M</v>
      </c>
      <c r="H135" s="38" t="str">
        <f>'RB · Data Operations &amp; Digitiza'!R12</f>
        <v>L</v>
      </c>
      <c r="I135" s="38" t="str">
        <f>'RB · Data Operations &amp; Digitiza'!V12</f>
        <v>L</v>
      </c>
      <c r="J135" s="38" t="str">
        <f>'RB · Data Operations &amp; Digitiza'!Z12</f>
        <v>L</v>
      </c>
      <c r="K135" s="38" t="str">
        <f>'RB · Data Operations &amp; Digitiza'!AD12</f>
        <v>L</v>
      </c>
    </row>
    <row r="136">
      <c r="A136" s="53" t="inlineStr">
        <is>
          <t>Data Operations &amp; Digitization|C1|C-M</t>
        </is>
      </c>
      <c r="B136" s="53" t="inlineStr">
        <is>
          <t>Data Operations &amp; Digitization</t>
        </is>
      </c>
      <c r="C136" s="53" t="inlineStr">
        <is>
          <t>C1</t>
        </is>
      </c>
      <c r="D136" s="53" t="inlineStr">
        <is>
          <t>Band C · Head / manager</t>
        </is>
      </c>
      <c r="E136" s="38" t="str">
        <f>'RB · Data Operations &amp; Digitiza'!F13</f>
        <v>H</v>
      </c>
      <c r="F136" s="38" t="str">
        <f>'RB · Data Operations &amp; Digitiza'!J13</f>
        <v>M</v>
      </c>
      <c r="G136" s="38" t="str">
        <f>'RB · Data Operations &amp; Digitiza'!N13</f>
        <v>M</v>
      </c>
      <c r="H136" s="38" t="str">
        <f>'RB · Data Operations &amp; Digitiza'!R13</f>
        <v>M</v>
      </c>
      <c r="I136" s="38" t="str">
        <f>'RB · Data Operations &amp; Digitiza'!V13</f>
        <v>L</v>
      </c>
      <c r="J136" s="38" t="str">
        <f>'RB · Data Operations &amp; Digitiza'!Z13</f>
        <v>L</v>
      </c>
      <c r="K136" s="38" t="str">
        <f>'RB · Data Operations &amp; Digitiza'!AD13</f>
        <v>L</v>
      </c>
    </row>
    <row r="137">
      <c r="A137" s="53" t="inlineStr">
        <is>
          <t>Data Operations &amp; Digitization|C1|C-IC</t>
        </is>
      </c>
      <c r="B137" s="53" t="inlineStr">
        <is>
          <t>Data Operations &amp; Digitization</t>
        </is>
      </c>
      <c r="C137" s="53" t="inlineStr">
        <is>
          <t>C1</t>
        </is>
      </c>
      <c r="D137" s="53" t="inlineStr">
        <is>
          <t>Band C · Principal specialist</t>
        </is>
      </c>
      <c r="E137" s="38" t="str">
        <f>'RB · Data Operations &amp; Digitiza'!F14</f>
        <v>H</v>
      </c>
      <c r="F137" s="38" t="str">
        <f>'RB · Data Operations &amp; Digitiza'!J14</f>
        <v>M</v>
      </c>
      <c r="G137" s="38" t="str">
        <f>'RB · Data Operations &amp; Digitiza'!N14</f>
        <v>M</v>
      </c>
      <c r="H137" s="38" t="str">
        <f>'RB · Data Operations &amp; Digitiza'!R14</f>
        <v>L</v>
      </c>
      <c r="I137" s="38" t="str">
        <f>'RB · Data Operations &amp; Digitiza'!V14</f>
        <v>L</v>
      </c>
      <c r="J137" s="38" t="str">
        <f>'RB · Data Operations &amp; Digitiza'!Z14</f>
        <v>L</v>
      </c>
      <c r="K137" s="38" t="str">
        <f>'RB · Data Operations &amp; Digitiza'!AD14</f>
        <v>L</v>
      </c>
    </row>
    <row r="138">
      <c r="A138" s="53" t="inlineStr">
        <is>
          <t>Data Operations &amp; Digitization|B+|B+</t>
        </is>
      </c>
      <c r="B138" s="53" t="inlineStr">
        <is>
          <t>Data Operations &amp; Digitization</t>
        </is>
      </c>
      <c r="C138" s="53" t="inlineStr">
        <is>
          <t>B+</t>
        </is>
      </c>
      <c r="D138" s="53" t="inlineStr">
        <is>
          <t>B+ · Player-Coach</t>
        </is>
      </c>
      <c r="E138" s="38" t="str">
        <f>'RB · Data Operations &amp; Digitiza'!F15</f>
        <v>H</v>
      </c>
      <c r="F138" s="38" t="str">
        <f>'RB · Data Operations &amp; Digitiza'!J15</f>
        <v>M</v>
      </c>
      <c r="G138" s="38" t="str">
        <f>'RB · Data Operations &amp; Digitiza'!N15</f>
        <v>M</v>
      </c>
      <c r="H138" s="38" t="str">
        <f>'RB · Data Operations &amp; Digitiza'!R15</f>
        <v>M</v>
      </c>
      <c r="I138" s="38" t="str">
        <f>'RB · Data Operations &amp; Digitiza'!V15</f>
        <v>L</v>
      </c>
      <c r="J138" s="38" t="str">
        <f>'RB · Data Operations &amp; Digitiza'!Z15</f>
        <v>L</v>
      </c>
      <c r="K138" s="38" t="str">
        <f>'RB · Data Operations &amp; Digitiza'!AD15</f>
        <v>L</v>
      </c>
    </row>
    <row r="139">
      <c r="A139" s="53" t="inlineStr">
        <is>
          <t>Data Operations &amp; Digitization|B3|B-M</t>
        </is>
      </c>
      <c r="B139" s="53" t="inlineStr">
        <is>
          <t>Data Operations &amp; Digitization</t>
        </is>
      </c>
      <c r="C139" s="53" t="inlineStr">
        <is>
          <t>B3</t>
        </is>
      </c>
      <c r="D139" s="53" t="inlineStr">
        <is>
          <t>Band B · People Manager</t>
        </is>
      </c>
      <c r="E139" s="38" t="str">
        <f>'RB · Data Operations &amp; Digitiza'!F16</f>
        <v>H</v>
      </c>
      <c r="F139" s="38" t="str">
        <f>'RB · Data Operations &amp; Digitiza'!J16</f>
        <v>M</v>
      </c>
      <c r="G139" s="38" t="str">
        <f>'RB · Data Operations &amp; Digitiza'!N16</f>
        <v>M</v>
      </c>
      <c r="H139" s="38" t="str">
        <f>'RB · Data Operations &amp; Digitiza'!R16</f>
        <v>M</v>
      </c>
      <c r="I139" s="38" t="str">
        <f>'RB · Data Operations &amp; Digitiza'!V16</f>
        <v>L</v>
      </c>
      <c r="J139" s="38" t="str">
        <f>'RB · Data Operations &amp; Digitiza'!Z16</f>
        <v>L</v>
      </c>
      <c r="K139" s="38" t="str">
        <f>'RB · Data Operations &amp; Digitiza'!AD16</f>
        <v>L</v>
      </c>
    </row>
    <row r="140">
      <c r="A140" s="53" t="inlineStr">
        <is>
          <t>Data Operations &amp; Digitization|B3|B-IC</t>
        </is>
      </c>
      <c r="B140" s="53" t="inlineStr">
        <is>
          <t>Data Operations &amp; Digitization</t>
        </is>
      </c>
      <c r="C140" s="53" t="inlineStr">
        <is>
          <t>B3</t>
        </is>
      </c>
      <c r="D140" s="53" t="inlineStr">
        <is>
          <t>Band B · Specialist / POD Lead</t>
        </is>
      </c>
      <c r="E140" s="38" t="str">
        <f>'RB · Data Operations &amp; Digitiza'!F17</f>
        <v>H</v>
      </c>
      <c r="F140" s="38" t="str">
        <f>'RB · Data Operations &amp; Digitiza'!J17</f>
        <v>M</v>
      </c>
      <c r="G140" s="38" t="str">
        <f>'RB · Data Operations &amp; Digitiza'!N17</f>
        <v>M</v>
      </c>
      <c r="H140" s="38" t="str">
        <f>'RB · Data Operations &amp; Digitiza'!R17</f>
        <v>L</v>
      </c>
      <c r="I140" s="38" t="str">
        <f>'RB · Data Operations &amp; Digitiza'!V17</f>
        <v>L</v>
      </c>
      <c r="J140" s="38" t="str">
        <f>'RB · Data Operations &amp; Digitiza'!Z17</f>
        <v>L</v>
      </c>
      <c r="K140" s="38" t="str">
        <f>'RB · Data Operations &amp; Digitiza'!AD17</f>
        <v>L</v>
      </c>
    </row>
    <row r="141">
      <c r="A141" s="53" t="inlineStr">
        <is>
          <t>Data Operations &amp; Digitization|B2|B-M</t>
        </is>
      </c>
      <c r="B141" s="53" t="inlineStr">
        <is>
          <t>Data Operations &amp; Digitization</t>
        </is>
      </c>
      <c r="C141" s="53" t="inlineStr">
        <is>
          <t>B2</t>
        </is>
      </c>
      <c r="D141" s="53" t="inlineStr">
        <is>
          <t>Band B · People Manager</t>
        </is>
      </c>
      <c r="E141" s="38" t="str">
        <f>'RB · Data Operations &amp; Digitiza'!F18</f>
        <v>H</v>
      </c>
      <c r="F141" s="38" t="str">
        <f>'RB · Data Operations &amp; Digitiza'!J18</f>
        <v>M</v>
      </c>
      <c r="G141" s="38" t="str">
        <f>'RB · Data Operations &amp; Digitiza'!N18</f>
        <v>M</v>
      </c>
      <c r="H141" s="38" t="str">
        <f>'RB · Data Operations &amp; Digitiza'!R18</f>
        <v>M</v>
      </c>
      <c r="I141" s="38" t="str">
        <f>'RB · Data Operations &amp; Digitiza'!V18</f>
        <v>L</v>
      </c>
      <c r="J141" s="38" t="str">
        <f>'RB · Data Operations &amp; Digitiza'!Z18</f>
        <v>L</v>
      </c>
      <c r="K141" s="38" t="str">
        <f>'RB · Data Operations &amp; Digitiza'!AD18</f>
        <v>L</v>
      </c>
    </row>
    <row r="142">
      <c r="A142" s="53" t="inlineStr">
        <is>
          <t>Data Operations &amp; Digitization|B2|B-IC</t>
        </is>
      </c>
      <c r="B142" s="53" t="inlineStr">
        <is>
          <t>Data Operations &amp; Digitization</t>
        </is>
      </c>
      <c r="C142" s="53" t="inlineStr">
        <is>
          <t>B2</t>
        </is>
      </c>
      <c r="D142" s="53" t="inlineStr">
        <is>
          <t>Band B · Specialist / POD Lead</t>
        </is>
      </c>
      <c r="E142" s="38" t="str">
        <f>'RB · Data Operations &amp; Digitiza'!F19</f>
        <v>H</v>
      </c>
      <c r="F142" s="38" t="str">
        <f>'RB · Data Operations &amp; Digitiza'!J19</f>
        <v>M</v>
      </c>
      <c r="G142" s="38" t="str">
        <f>'RB · Data Operations &amp; Digitiza'!N19</f>
        <v>M</v>
      </c>
      <c r="H142" s="38" t="str">
        <f>'RB · Data Operations &amp; Digitiza'!R19</f>
        <v>L</v>
      </c>
      <c r="I142" s="38" t="str">
        <f>'RB · Data Operations &amp; Digitiza'!V19</f>
        <v>L</v>
      </c>
      <c r="J142" s="38" t="str">
        <f>'RB · Data Operations &amp; Digitiza'!Z19</f>
        <v>L</v>
      </c>
      <c r="K142" s="38" t="str">
        <f>'RB · Data Operations &amp; Digitiza'!AD19</f>
        <v>L</v>
      </c>
    </row>
    <row r="143">
      <c r="A143" s="53" t="inlineStr">
        <is>
          <t>Data Operations &amp; Digitization|B1|B-M</t>
        </is>
      </c>
      <c r="B143" s="53" t="inlineStr">
        <is>
          <t>Data Operations &amp; Digitization</t>
        </is>
      </c>
      <c r="C143" s="53" t="inlineStr">
        <is>
          <t>B1</t>
        </is>
      </c>
      <c r="D143" s="53" t="inlineStr">
        <is>
          <t>Band B · People Manager</t>
        </is>
      </c>
      <c r="E143" s="38" t="str">
        <f>'RB · Data Operations &amp; Digitiza'!F20</f>
        <v>H</v>
      </c>
      <c r="F143" s="38" t="str">
        <f>'RB · Data Operations &amp; Digitiza'!J20</f>
        <v>M</v>
      </c>
      <c r="G143" s="38" t="str">
        <f>'RB · Data Operations &amp; Digitiza'!N20</f>
        <v>M</v>
      </c>
      <c r="H143" s="38" t="str">
        <f>'RB · Data Operations &amp; Digitiza'!R20</f>
        <v>M</v>
      </c>
      <c r="I143" s="38" t="str">
        <f>'RB · Data Operations &amp; Digitiza'!V20</f>
        <v>L</v>
      </c>
      <c r="J143" s="38" t="str">
        <f>'RB · Data Operations &amp; Digitiza'!Z20</f>
        <v>L</v>
      </c>
      <c r="K143" s="38" t="str">
        <f>'RB · Data Operations &amp; Digitiza'!AD20</f>
        <v>L</v>
      </c>
    </row>
    <row r="144">
      <c r="A144" s="53" t="inlineStr">
        <is>
          <t>Data Operations &amp; Digitization|B1|B-IC</t>
        </is>
      </c>
      <c r="B144" s="53" t="inlineStr">
        <is>
          <t>Data Operations &amp; Digitization</t>
        </is>
      </c>
      <c r="C144" s="53" t="inlineStr">
        <is>
          <t>B1</t>
        </is>
      </c>
      <c r="D144" s="53" t="inlineStr">
        <is>
          <t>Band B · Specialist / POD Lead</t>
        </is>
      </c>
      <c r="E144" s="38" t="str">
        <f>'RB · Data Operations &amp; Digitiza'!F21</f>
        <v>H</v>
      </c>
      <c r="F144" s="38" t="str">
        <f>'RB · Data Operations &amp; Digitiza'!J21</f>
        <v>M</v>
      </c>
      <c r="G144" s="38" t="str">
        <f>'RB · Data Operations &amp; Digitiza'!N21</f>
        <v>M</v>
      </c>
      <c r="H144" s="38" t="str">
        <f>'RB · Data Operations &amp; Digitiza'!R21</f>
        <v>L</v>
      </c>
      <c r="I144" s="38" t="str">
        <f>'RB · Data Operations &amp; Digitiza'!V21</f>
        <v>L</v>
      </c>
      <c r="J144" s="38" t="str">
        <f>'RB · Data Operations &amp; Digitiza'!Z21</f>
        <v>L</v>
      </c>
      <c r="K144" s="38" t="str">
        <f>'RB · Data Operations &amp; Digitiza'!AD21</f>
        <v>L</v>
      </c>
    </row>
    <row r="145">
      <c r="A145" s="53" t="inlineStr">
        <is>
          <t>Data Operations &amp; Digitization|A3|A</t>
        </is>
      </c>
      <c r="B145" s="53" t="inlineStr">
        <is>
          <t>Data Operations &amp; Digitization</t>
        </is>
      </c>
      <c r="C145" s="53" t="inlineStr">
        <is>
          <t>A3</t>
        </is>
      </c>
      <c r="D145" s="53" t="inlineStr">
        <is>
          <t>Band A · all tracks</t>
        </is>
      </c>
      <c r="E145" s="38" t="str">
        <f>'RB · Data Operations &amp; Digitiza'!F22</f>
        <v>H</v>
      </c>
      <c r="F145" s="38" t="str">
        <f>'RB · Data Operations &amp; Digitiza'!J22</f>
        <v>M</v>
      </c>
      <c r="G145" s="38" t="str">
        <f>'RB · Data Operations &amp; Digitiza'!N22</f>
        <v>M</v>
      </c>
      <c r="H145" s="38" t="str">
        <f>'RB · Data Operations &amp; Digitiza'!R22</f>
        <v>L</v>
      </c>
      <c r="I145" s="38" t="str">
        <f>'RB · Data Operations &amp; Digitiza'!V22</f>
        <v>L</v>
      </c>
      <c r="J145" s="38" t="str">
        <f>'RB · Data Operations &amp; Digitiza'!Z22</f>
        <v>L</v>
      </c>
      <c r="K145" s="38" t="str">
        <f>'RB · Data Operations &amp; Digitiza'!AD22</f>
        <v>L</v>
      </c>
    </row>
    <row r="146">
      <c r="A146" s="53" t="inlineStr">
        <is>
          <t>Data Operations &amp; Digitization|A2|A</t>
        </is>
      </c>
      <c r="B146" s="53" t="inlineStr">
        <is>
          <t>Data Operations &amp; Digitization</t>
        </is>
      </c>
      <c r="C146" s="53" t="inlineStr">
        <is>
          <t>A2</t>
        </is>
      </c>
      <c r="D146" s="53" t="inlineStr">
        <is>
          <t>Band A · all tracks</t>
        </is>
      </c>
      <c r="E146" s="38" t="str">
        <f>'RB · Data Operations &amp; Digitiza'!F23</f>
        <v>H</v>
      </c>
      <c r="F146" s="38" t="str">
        <f>'RB · Data Operations &amp; Digitiza'!J23</f>
        <v>M</v>
      </c>
      <c r="G146" s="38" t="str">
        <f>'RB · Data Operations &amp; Digitiza'!N23</f>
        <v>M</v>
      </c>
      <c r="H146" s="38" t="str">
        <f>'RB · Data Operations &amp; Digitiza'!R23</f>
        <v>L</v>
      </c>
      <c r="I146" s="38" t="str">
        <f>'RB · Data Operations &amp; Digitiza'!V23</f>
        <v>L</v>
      </c>
      <c r="J146" s="38" t="str">
        <f>'RB · Data Operations &amp; Digitiza'!Z23</f>
        <v>L</v>
      </c>
      <c r="K146" s="38" t="str">
        <f>'RB · Data Operations &amp; Digitiza'!AD23</f>
        <v>L</v>
      </c>
    </row>
    <row r="147">
      <c r="A147" s="53" t="inlineStr">
        <is>
          <t>Data Operations &amp; Digitization|A1|A</t>
        </is>
      </c>
      <c r="B147" s="53" t="inlineStr">
        <is>
          <t>Data Operations &amp; Digitization</t>
        </is>
      </c>
      <c r="C147" s="53" t="inlineStr">
        <is>
          <t>A1</t>
        </is>
      </c>
      <c r="D147" s="53" t="inlineStr">
        <is>
          <t>Band A · all tracks</t>
        </is>
      </c>
      <c r="E147" s="38" t="str">
        <f>'RB · Data Operations &amp; Digitiza'!F24</f>
        <v>H</v>
      </c>
      <c r="F147" s="38" t="str">
        <f>'RB · Data Operations &amp; Digitiza'!J24</f>
        <v>M</v>
      </c>
      <c r="G147" s="38" t="str">
        <f>'RB · Data Operations &amp; Digitiza'!N24</f>
        <v>M</v>
      </c>
      <c r="H147" s="38" t="str">
        <f>'RB · Data Operations &amp; Digitiza'!R24</f>
        <v>L</v>
      </c>
      <c r="I147" s="38" t="str">
        <f>'RB · Data Operations &amp; Digitiza'!V24</f>
        <v>L</v>
      </c>
      <c r="J147" s="38" t="str">
        <f>'RB · Data Operations &amp; Digitiza'!Z24</f>
        <v>L</v>
      </c>
      <c r="K147" s="38" t="str">
        <f>'RB · Data Operations &amp; Digitiza'!AD24</f>
        <v>L</v>
      </c>
    </row>
    <row r="148">
      <c r="A148" s="53" t="inlineStr">
        <is>
          <t>Design &amp; Creative|E2|DE</t>
        </is>
      </c>
      <c r="B148" s="53" t="inlineStr">
        <is>
          <t>Design &amp; Creative</t>
        </is>
      </c>
      <c r="C148" s="53" t="inlineStr">
        <is>
          <t>E2</t>
        </is>
      </c>
      <c r="D148" s="53" t="inlineStr">
        <is>
          <t>Bands D–E · Leadership</t>
        </is>
      </c>
      <c r="E148" s="38" t="str">
        <f>'RB · Design &amp; Creative'!F6</f>
        <v>H</v>
      </c>
      <c r="F148" s="38" t="str">
        <f>'RB · Design &amp; Creative'!J6</f>
        <v>M</v>
      </c>
      <c r="G148" s="38" t="str">
        <f>'RB · Design &amp; Creative'!N6</f>
        <v>M</v>
      </c>
      <c r="H148" s="38" t="str">
        <f>'RB · Design &amp; Creative'!R6</f>
        <v>M</v>
      </c>
      <c r="I148" s="38" t="str">
        <f>'RB · Design &amp; Creative'!V6</f>
        <v>L</v>
      </c>
      <c r="J148" s="38" t="str">
        <f>'RB · Design &amp; Creative'!Z6</f>
        <v>L</v>
      </c>
      <c r="K148" s="38" t="str">
        <f>'RB · Design &amp; Creative'!AD6</f>
        <v>L</v>
      </c>
    </row>
    <row r="149">
      <c r="A149" s="53" t="inlineStr">
        <is>
          <t>Design &amp; Creative|E1|DE</t>
        </is>
      </c>
      <c r="B149" s="53" t="inlineStr">
        <is>
          <t>Design &amp; Creative</t>
        </is>
      </c>
      <c r="C149" s="53" t="inlineStr">
        <is>
          <t>E1</t>
        </is>
      </c>
      <c r="D149" s="53" t="inlineStr">
        <is>
          <t>Bands D–E · Leadership</t>
        </is>
      </c>
      <c r="E149" s="38" t="str">
        <f>'RB · Design &amp; Creative'!F7</f>
        <v>H</v>
      </c>
      <c r="F149" s="38" t="str">
        <f>'RB · Design &amp; Creative'!J7</f>
        <v>M</v>
      </c>
      <c r="G149" s="38" t="str">
        <f>'RB · Design &amp; Creative'!N7</f>
        <v>M</v>
      </c>
      <c r="H149" s="38" t="str">
        <f>'RB · Design &amp; Creative'!R7</f>
        <v>M</v>
      </c>
      <c r="I149" s="38" t="str">
        <f>'RB · Design &amp; Creative'!V7</f>
        <v>L</v>
      </c>
      <c r="J149" s="38" t="str">
        <f>'RB · Design &amp; Creative'!Z7</f>
        <v>L</v>
      </c>
      <c r="K149" s="38" t="str">
        <f>'RB · Design &amp; Creative'!AD7</f>
        <v>L</v>
      </c>
    </row>
    <row r="150">
      <c r="A150" s="53" t="inlineStr">
        <is>
          <t>Design &amp; Creative|D2|DE</t>
        </is>
      </c>
      <c r="B150" s="53" t="inlineStr">
        <is>
          <t>Design &amp; Creative</t>
        </is>
      </c>
      <c r="C150" s="53" t="inlineStr">
        <is>
          <t>D2</t>
        </is>
      </c>
      <c r="D150" s="53" t="inlineStr">
        <is>
          <t>Bands D–E · Leadership</t>
        </is>
      </c>
      <c r="E150" s="38" t="str">
        <f>'RB · Design &amp; Creative'!F8</f>
        <v>H</v>
      </c>
      <c r="F150" s="38" t="str">
        <f>'RB · Design &amp; Creative'!J8</f>
        <v>M</v>
      </c>
      <c r="G150" s="38" t="str">
        <f>'RB · Design &amp; Creative'!N8</f>
        <v>M</v>
      </c>
      <c r="H150" s="38" t="str">
        <f>'RB · Design &amp; Creative'!R8</f>
        <v>M</v>
      </c>
      <c r="I150" s="38" t="str">
        <f>'RB · Design &amp; Creative'!V8</f>
        <v>L</v>
      </c>
      <c r="J150" s="38" t="str">
        <f>'RB · Design &amp; Creative'!Z8</f>
        <v>L</v>
      </c>
      <c r="K150" s="38" t="str">
        <f>'RB · Design &amp; Creative'!AD8</f>
        <v>L</v>
      </c>
    </row>
    <row r="151">
      <c r="A151" s="53" t="inlineStr">
        <is>
          <t>Design &amp; Creative|D1|DE</t>
        </is>
      </c>
      <c r="B151" s="53" t="inlineStr">
        <is>
          <t>Design &amp; Creative</t>
        </is>
      </c>
      <c r="C151" s="53" t="inlineStr">
        <is>
          <t>D1</t>
        </is>
      </c>
      <c r="D151" s="53" t="inlineStr">
        <is>
          <t>Bands D–E · Leadership</t>
        </is>
      </c>
      <c r="E151" s="38" t="str">
        <f>'RB · Design &amp; Creative'!F9</f>
        <v>H</v>
      </c>
      <c r="F151" s="38" t="str">
        <f>'RB · Design &amp; Creative'!J9</f>
        <v>M</v>
      </c>
      <c r="G151" s="38" t="str">
        <f>'RB · Design &amp; Creative'!N9</f>
        <v>M</v>
      </c>
      <c r="H151" s="38" t="str">
        <f>'RB · Design &amp; Creative'!R9</f>
        <v>M</v>
      </c>
      <c r="I151" s="38" t="str">
        <f>'RB · Design &amp; Creative'!V9</f>
        <v>L</v>
      </c>
      <c r="J151" s="38" t="str">
        <f>'RB · Design &amp; Creative'!Z9</f>
        <v>L</v>
      </c>
      <c r="K151" s="38" t="str">
        <f>'RB · Design &amp; Creative'!AD9</f>
        <v>L</v>
      </c>
    </row>
    <row r="152">
      <c r="A152" s="53" t="inlineStr">
        <is>
          <t>Design &amp; Creative|C+|C+</t>
        </is>
      </c>
      <c r="B152" s="53" t="inlineStr">
        <is>
          <t>Design &amp; Creative</t>
        </is>
      </c>
      <c r="C152" s="53" t="inlineStr">
        <is>
          <t>C+</t>
        </is>
      </c>
      <c r="D152" s="53" t="inlineStr">
        <is>
          <t>C+ · Player-Coach</t>
        </is>
      </c>
      <c r="E152" s="38" t="str">
        <f>'RB · Design &amp; Creative'!F10</f>
        <v>H</v>
      </c>
      <c r="F152" s="38" t="str">
        <f>'RB · Design &amp; Creative'!J10</f>
        <v>M</v>
      </c>
      <c r="G152" s="38" t="str">
        <f>'RB · Design &amp; Creative'!N10</f>
        <v>M</v>
      </c>
      <c r="H152" s="38" t="str">
        <f>'RB · Design &amp; Creative'!R10</f>
        <v>M</v>
      </c>
      <c r="I152" s="38" t="str">
        <f>'RB · Design &amp; Creative'!V10</f>
        <v>L</v>
      </c>
      <c r="J152" s="38" t="str">
        <f>'RB · Design &amp; Creative'!Z10</f>
        <v>L</v>
      </c>
      <c r="K152" s="38" t="str">
        <f>'RB · Design &amp; Creative'!AD10</f>
        <v>L</v>
      </c>
    </row>
    <row r="153">
      <c r="A153" s="53" t="inlineStr">
        <is>
          <t>Design &amp; Creative|C2|C-M</t>
        </is>
      </c>
      <c r="B153" s="53" t="inlineStr">
        <is>
          <t>Design &amp; Creative</t>
        </is>
      </c>
      <c r="C153" s="53" t="inlineStr">
        <is>
          <t>C2</t>
        </is>
      </c>
      <c r="D153" s="53" t="inlineStr">
        <is>
          <t>Band C · Head / manager</t>
        </is>
      </c>
      <c r="E153" s="38" t="str">
        <f>'RB · Design &amp; Creative'!F11</f>
        <v>H</v>
      </c>
      <c r="F153" s="38" t="str">
        <f>'RB · Design &amp; Creative'!J11</f>
        <v>M</v>
      </c>
      <c r="G153" s="38" t="str">
        <f>'RB · Design &amp; Creative'!N11</f>
        <v>L</v>
      </c>
      <c r="H153" s="38" t="str">
        <f>'RB · Design &amp; Creative'!R11</f>
        <v>M</v>
      </c>
      <c r="I153" s="38" t="str">
        <f>'RB · Design &amp; Creative'!V11</f>
        <v>M</v>
      </c>
      <c r="J153" s="38" t="str">
        <f>'RB · Design &amp; Creative'!Z11</f>
        <v>L</v>
      </c>
      <c r="K153" s="38" t="str">
        <f>'RB · Design &amp; Creative'!AD11</f>
        <v>L</v>
      </c>
    </row>
    <row r="154">
      <c r="A154" s="53" t="inlineStr">
        <is>
          <t>Design &amp; Creative|C2|C-IC</t>
        </is>
      </c>
      <c r="B154" s="53" t="inlineStr">
        <is>
          <t>Design &amp; Creative</t>
        </is>
      </c>
      <c r="C154" s="53" t="inlineStr">
        <is>
          <t>C2</t>
        </is>
      </c>
      <c r="D154" s="53" t="inlineStr">
        <is>
          <t>Band C · Principal specialist</t>
        </is>
      </c>
      <c r="E154" s="38" t="str">
        <f>'RB · Design &amp; Creative'!F12</f>
        <v>H</v>
      </c>
      <c r="F154" s="38" t="str">
        <f>'RB · Design &amp; Creative'!J12</f>
        <v>M</v>
      </c>
      <c r="G154" s="38" t="str">
        <f>'RB · Design &amp; Creative'!N12</f>
        <v>L</v>
      </c>
      <c r="H154" s="38" t="str">
        <f>'RB · Design &amp; Creative'!R12</f>
        <v>L</v>
      </c>
      <c r="I154" s="38" t="str">
        <f>'RB · Design &amp; Creative'!V12</f>
        <v>M</v>
      </c>
      <c r="J154" s="38" t="str">
        <f>'RB · Design &amp; Creative'!Z12</f>
        <v>L</v>
      </c>
      <c r="K154" s="38" t="str">
        <f>'RB · Design &amp; Creative'!AD12</f>
        <v>L</v>
      </c>
    </row>
    <row r="155">
      <c r="A155" s="53" t="inlineStr">
        <is>
          <t>Design &amp; Creative|C1|C-M</t>
        </is>
      </c>
      <c r="B155" s="53" t="inlineStr">
        <is>
          <t>Design &amp; Creative</t>
        </is>
      </c>
      <c r="C155" s="53" t="inlineStr">
        <is>
          <t>C1</t>
        </is>
      </c>
      <c r="D155" s="53" t="inlineStr">
        <is>
          <t>Band C · Head / manager</t>
        </is>
      </c>
      <c r="E155" s="38" t="str">
        <f>'RB · Design &amp; Creative'!F13</f>
        <v>H</v>
      </c>
      <c r="F155" s="38" t="str">
        <f>'RB · Design &amp; Creative'!J13</f>
        <v>M</v>
      </c>
      <c r="G155" s="38" t="str">
        <f>'RB · Design &amp; Creative'!N13</f>
        <v>L</v>
      </c>
      <c r="H155" s="38" t="str">
        <f>'RB · Design &amp; Creative'!R13</f>
        <v>M</v>
      </c>
      <c r="I155" s="38" t="str">
        <f>'RB · Design &amp; Creative'!V13</f>
        <v>M</v>
      </c>
      <c r="J155" s="38" t="str">
        <f>'RB · Design &amp; Creative'!Z13</f>
        <v>L</v>
      </c>
      <c r="K155" s="38" t="str">
        <f>'RB · Design &amp; Creative'!AD13</f>
        <v>L</v>
      </c>
    </row>
    <row r="156">
      <c r="A156" s="53" t="inlineStr">
        <is>
          <t>Design &amp; Creative|C1|C-IC</t>
        </is>
      </c>
      <c r="B156" s="53" t="inlineStr">
        <is>
          <t>Design &amp; Creative</t>
        </is>
      </c>
      <c r="C156" s="53" t="inlineStr">
        <is>
          <t>C1</t>
        </is>
      </c>
      <c r="D156" s="53" t="inlineStr">
        <is>
          <t>Band C · Principal specialist</t>
        </is>
      </c>
      <c r="E156" s="38" t="str">
        <f>'RB · Design &amp; Creative'!F14</f>
        <v>H</v>
      </c>
      <c r="F156" s="38" t="str">
        <f>'RB · Design &amp; Creative'!J14</f>
        <v>M</v>
      </c>
      <c r="G156" s="38" t="str">
        <f>'RB · Design &amp; Creative'!N14</f>
        <v>L</v>
      </c>
      <c r="H156" s="38" t="str">
        <f>'RB · Design &amp; Creative'!R14</f>
        <v>L</v>
      </c>
      <c r="I156" s="38" t="str">
        <f>'RB · Design &amp; Creative'!V14</f>
        <v>M</v>
      </c>
      <c r="J156" s="38" t="str">
        <f>'RB · Design &amp; Creative'!Z14</f>
        <v>L</v>
      </c>
      <c r="K156" s="38" t="str">
        <f>'RB · Design &amp; Creative'!AD14</f>
        <v>L</v>
      </c>
    </row>
    <row r="157">
      <c r="A157" s="53" t="inlineStr">
        <is>
          <t>Design &amp; Creative|B+|B+</t>
        </is>
      </c>
      <c r="B157" s="53" t="inlineStr">
        <is>
          <t>Design &amp; Creative</t>
        </is>
      </c>
      <c r="C157" s="53" t="inlineStr">
        <is>
          <t>B+</t>
        </is>
      </c>
      <c r="D157" s="53" t="inlineStr">
        <is>
          <t>B+ · Player-Coach</t>
        </is>
      </c>
      <c r="E157" s="38" t="str">
        <f>'RB · Design &amp; Creative'!F15</f>
        <v>H</v>
      </c>
      <c r="F157" s="38" t="str">
        <f>'RB · Design &amp; Creative'!J15</f>
        <v>M</v>
      </c>
      <c r="G157" s="38" t="str">
        <f>'RB · Design &amp; Creative'!N15</f>
        <v>L</v>
      </c>
      <c r="H157" s="38" t="str">
        <f>'RB · Design &amp; Creative'!R15</f>
        <v>M</v>
      </c>
      <c r="I157" s="38" t="str">
        <f>'RB · Design &amp; Creative'!V15</f>
        <v>M</v>
      </c>
      <c r="J157" s="38" t="str">
        <f>'RB · Design &amp; Creative'!Z15</f>
        <v>L</v>
      </c>
      <c r="K157" s="38" t="str">
        <f>'RB · Design &amp; Creative'!AD15</f>
        <v>L</v>
      </c>
    </row>
    <row r="158">
      <c r="A158" s="53" t="inlineStr">
        <is>
          <t>Design &amp; Creative|B3|B-M</t>
        </is>
      </c>
      <c r="B158" s="53" t="inlineStr">
        <is>
          <t>Design &amp; Creative</t>
        </is>
      </c>
      <c r="C158" s="53" t="inlineStr">
        <is>
          <t>B3</t>
        </is>
      </c>
      <c r="D158" s="53" t="inlineStr">
        <is>
          <t>Band B · People Manager</t>
        </is>
      </c>
      <c r="E158" s="38" t="str">
        <f>'RB · Design &amp; Creative'!F16</f>
        <v>H</v>
      </c>
      <c r="F158" s="38" t="str">
        <f>'RB · Design &amp; Creative'!J16</f>
        <v>M</v>
      </c>
      <c r="G158" s="38" t="str">
        <f>'RB · Design &amp; Creative'!N16</f>
        <v>L</v>
      </c>
      <c r="H158" s="38" t="str">
        <f>'RB · Design &amp; Creative'!R16</f>
        <v>M</v>
      </c>
      <c r="I158" s="38" t="str">
        <f>'RB · Design &amp; Creative'!V16</f>
        <v>M</v>
      </c>
      <c r="J158" s="38" t="str">
        <f>'RB · Design &amp; Creative'!Z16</f>
        <v>L</v>
      </c>
      <c r="K158" s="38" t="str">
        <f>'RB · Design &amp; Creative'!AD16</f>
        <v>L</v>
      </c>
    </row>
    <row r="159">
      <c r="A159" s="53" t="inlineStr">
        <is>
          <t>Design &amp; Creative|B3|B-IC</t>
        </is>
      </c>
      <c r="B159" s="53" t="inlineStr">
        <is>
          <t>Design &amp; Creative</t>
        </is>
      </c>
      <c r="C159" s="53" t="inlineStr">
        <is>
          <t>B3</t>
        </is>
      </c>
      <c r="D159" s="53" t="inlineStr">
        <is>
          <t>Band B · Specialist / POD Lead</t>
        </is>
      </c>
      <c r="E159" s="38" t="str">
        <f>'RB · Design &amp; Creative'!F17</f>
        <v>H</v>
      </c>
      <c r="F159" s="38" t="str">
        <f>'RB · Design &amp; Creative'!J17</f>
        <v>M</v>
      </c>
      <c r="G159" s="38" t="str">
        <f>'RB · Design &amp; Creative'!N17</f>
        <v>L</v>
      </c>
      <c r="H159" s="38" t="str">
        <f>'RB · Design &amp; Creative'!R17</f>
        <v>L</v>
      </c>
      <c r="I159" s="38" t="str">
        <f>'RB · Design &amp; Creative'!V17</f>
        <v>M</v>
      </c>
      <c r="J159" s="38" t="str">
        <f>'RB · Design &amp; Creative'!Z17</f>
        <v>L</v>
      </c>
      <c r="K159" s="38" t="str">
        <f>'RB · Design &amp; Creative'!AD17</f>
        <v>L</v>
      </c>
    </row>
    <row r="160">
      <c r="A160" s="53" t="inlineStr">
        <is>
          <t>Design &amp; Creative|B2|B-M</t>
        </is>
      </c>
      <c r="B160" s="53" t="inlineStr">
        <is>
          <t>Design &amp; Creative</t>
        </is>
      </c>
      <c r="C160" s="53" t="inlineStr">
        <is>
          <t>B2</t>
        </is>
      </c>
      <c r="D160" s="53" t="inlineStr">
        <is>
          <t>Band B · People Manager</t>
        </is>
      </c>
      <c r="E160" s="38" t="str">
        <f>'RB · Design &amp; Creative'!F18</f>
        <v>H</v>
      </c>
      <c r="F160" s="38" t="str">
        <f>'RB · Design &amp; Creative'!J18</f>
        <v>M</v>
      </c>
      <c r="G160" s="38" t="str">
        <f>'RB · Design &amp; Creative'!N18</f>
        <v>L</v>
      </c>
      <c r="H160" s="38" t="str">
        <f>'RB · Design &amp; Creative'!R18</f>
        <v>M</v>
      </c>
      <c r="I160" s="38" t="str">
        <f>'RB · Design &amp; Creative'!V18</f>
        <v>M</v>
      </c>
      <c r="J160" s="38" t="str">
        <f>'RB · Design &amp; Creative'!Z18</f>
        <v>L</v>
      </c>
      <c r="K160" s="38" t="str">
        <f>'RB · Design &amp; Creative'!AD18</f>
        <v>L</v>
      </c>
    </row>
    <row r="161">
      <c r="A161" s="53" t="inlineStr">
        <is>
          <t>Design &amp; Creative|B2|B-IC</t>
        </is>
      </c>
      <c r="B161" s="53" t="inlineStr">
        <is>
          <t>Design &amp; Creative</t>
        </is>
      </c>
      <c r="C161" s="53" t="inlineStr">
        <is>
          <t>B2</t>
        </is>
      </c>
      <c r="D161" s="53" t="inlineStr">
        <is>
          <t>Band B · Specialist / POD Lead</t>
        </is>
      </c>
      <c r="E161" s="38" t="str">
        <f>'RB · Design &amp; Creative'!F19</f>
        <v>H</v>
      </c>
      <c r="F161" s="38" t="str">
        <f>'RB · Design &amp; Creative'!J19</f>
        <v>M</v>
      </c>
      <c r="G161" s="38" t="str">
        <f>'RB · Design &amp; Creative'!N19</f>
        <v>L</v>
      </c>
      <c r="H161" s="38" t="str">
        <f>'RB · Design &amp; Creative'!R19</f>
        <v>L</v>
      </c>
      <c r="I161" s="38" t="str">
        <f>'RB · Design &amp; Creative'!V19</f>
        <v>M</v>
      </c>
      <c r="J161" s="38" t="str">
        <f>'RB · Design &amp; Creative'!Z19</f>
        <v>L</v>
      </c>
      <c r="K161" s="38" t="str">
        <f>'RB · Design &amp; Creative'!AD19</f>
        <v>L</v>
      </c>
    </row>
    <row r="162">
      <c r="A162" s="53" t="inlineStr">
        <is>
          <t>Design &amp; Creative|B1|B-M</t>
        </is>
      </c>
      <c r="B162" s="53" t="inlineStr">
        <is>
          <t>Design &amp; Creative</t>
        </is>
      </c>
      <c r="C162" s="53" t="inlineStr">
        <is>
          <t>B1</t>
        </is>
      </c>
      <c r="D162" s="53" t="inlineStr">
        <is>
          <t>Band B · People Manager</t>
        </is>
      </c>
      <c r="E162" s="38" t="str">
        <f>'RB · Design &amp; Creative'!F20</f>
        <v>H</v>
      </c>
      <c r="F162" s="38" t="str">
        <f>'RB · Design &amp; Creative'!J20</f>
        <v>M</v>
      </c>
      <c r="G162" s="38" t="str">
        <f>'RB · Design &amp; Creative'!N20</f>
        <v>L</v>
      </c>
      <c r="H162" s="38" t="str">
        <f>'RB · Design &amp; Creative'!R20</f>
        <v>M</v>
      </c>
      <c r="I162" s="38" t="str">
        <f>'RB · Design &amp; Creative'!V20</f>
        <v>M</v>
      </c>
      <c r="J162" s="38" t="str">
        <f>'RB · Design &amp; Creative'!Z20</f>
        <v>L</v>
      </c>
      <c r="K162" s="38" t="str">
        <f>'RB · Design &amp; Creative'!AD20</f>
        <v>L</v>
      </c>
    </row>
    <row r="163">
      <c r="A163" s="53" t="inlineStr">
        <is>
          <t>Design &amp; Creative|B1|B-IC</t>
        </is>
      </c>
      <c r="B163" s="53" t="inlineStr">
        <is>
          <t>Design &amp; Creative</t>
        </is>
      </c>
      <c r="C163" s="53" t="inlineStr">
        <is>
          <t>B1</t>
        </is>
      </c>
      <c r="D163" s="53" t="inlineStr">
        <is>
          <t>Band B · Specialist / POD Lead</t>
        </is>
      </c>
      <c r="E163" s="38" t="str">
        <f>'RB · Design &amp; Creative'!F21</f>
        <v>H</v>
      </c>
      <c r="F163" s="38" t="str">
        <f>'RB · Design &amp; Creative'!J21</f>
        <v>M</v>
      </c>
      <c r="G163" s="38" t="str">
        <f>'RB · Design &amp; Creative'!N21</f>
        <v>L</v>
      </c>
      <c r="H163" s="38" t="str">
        <f>'RB · Design &amp; Creative'!R21</f>
        <v>L</v>
      </c>
      <c r="I163" s="38" t="str">
        <f>'RB · Design &amp; Creative'!V21</f>
        <v>M</v>
      </c>
      <c r="J163" s="38" t="str">
        <f>'RB · Design &amp; Creative'!Z21</f>
        <v>L</v>
      </c>
      <c r="K163" s="38" t="str">
        <f>'RB · Design &amp; Creative'!AD21</f>
        <v>L</v>
      </c>
    </row>
    <row r="164">
      <c r="A164" s="53" t="inlineStr">
        <is>
          <t>Design &amp; Creative|A3|A</t>
        </is>
      </c>
      <c r="B164" s="53" t="inlineStr">
        <is>
          <t>Design &amp; Creative</t>
        </is>
      </c>
      <c r="C164" s="53" t="inlineStr">
        <is>
          <t>A3</t>
        </is>
      </c>
      <c r="D164" s="53" t="inlineStr">
        <is>
          <t>Band A · all tracks</t>
        </is>
      </c>
      <c r="E164" s="38" t="str">
        <f>'RB · Design &amp; Creative'!F22</f>
        <v>H</v>
      </c>
      <c r="F164" s="38" t="str">
        <f>'RB · Design &amp; Creative'!J22</f>
        <v>M</v>
      </c>
      <c r="G164" s="38" t="str">
        <f>'RB · Design &amp; Creative'!N22</f>
        <v>L</v>
      </c>
      <c r="H164" s="38" t="str">
        <f>'RB · Design &amp; Creative'!R22</f>
        <v>L</v>
      </c>
      <c r="I164" s="38" t="str">
        <f>'RB · Design &amp; Creative'!V22</f>
        <v>M</v>
      </c>
      <c r="J164" s="38" t="str">
        <f>'RB · Design &amp; Creative'!Z22</f>
        <v>L</v>
      </c>
      <c r="K164" s="38" t="str">
        <f>'RB · Design &amp; Creative'!AD22</f>
        <v>L</v>
      </c>
    </row>
    <row r="165">
      <c r="A165" s="53" t="inlineStr">
        <is>
          <t>Design &amp; Creative|A2|A</t>
        </is>
      </c>
      <c r="B165" s="53" t="inlineStr">
        <is>
          <t>Design &amp; Creative</t>
        </is>
      </c>
      <c r="C165" s="53" t="inlineStr">
        <is>
          <t>A2</t>
        </is>
      </c>
      <c r="D165" s="53" t="inlineStr">
        <is>
          <t>Band A · all tracks</t>
        </is>
      </c>
      <c r="E165" s="38" t="str">
        <f>'RB · Design &amp; Creative'!F23</f>
        <v>H</v>
      </c>
      <c r="F165" s="38" t="str">
        <f>'RB · Design &amp; Creative'!J23</f>
        <v>M</v>
      </c>
      <c r="G165" s="38" t="str">
        <f>'RB · Design &amp; Creative'!N23</f>
        <v>L</v>
      </c>
      <c r="H165" s="38" t="str">
        <f>'RB · Design &amp; Creative'!R23</f>
        <v>L</v>
      </c>
      <c r="I165" s="38" t="str">
        <f>'RB · Design &amp; Creative'!V23</f>
        <v>M</v>
      </c>
      <c r="J165" s="38" t="str">
        <f>'RB · Design &amp; Creative'!Z23</f>
        <v>L</v>
      </c>
      <c r="K165" s="38" t="str">
        <f>'RB · Design &amp; Creative'!AD23</f>
        <v>L</v>
      </c>
    </row>
    <row r="166">
      <c r="A166" s="53" t="inlineStr">
        <is>
          <t>Design &amp; Creative|A1|A</t>
        </is>
      </c>
      <c r="B166" s="53" t="inlineStr">
        <is>
          <t>Design &amp; Creative</t>
        </is>
      </c>
      <c r="C166" s="53" t="inlineStr">
        <is>
          <t>A1</t>
        </is>
      </c>
      <c r="D166" s="53" t="inlineStr">
        <is>
          <t>Band A · all tracks</t>
        </is>
      </c>
      <c r="E166" s="38" t="str">
        <f>'RB · Design &amp; Creative'!F24</f>
        <v>H</v>
      </c>
      <c r="F166" s="38" t="str">
        <f>'RB · Design &amp; Creative'!J24</f>
        <v>M</v>
      </c>
      <c r="G166" s="38" t="str">
        <f>'RB · Design &amp; Creative'!N24</f>
        <v>L</v>
      </c>
      <c r="H166" s="38" t="str">
        <f>'RB · Design &amp; Creative'!R24</f>
        <v>L</v>
      </c>
      <c r="I166" s="38" t="str">
        <f>'RB · Design &amp; Creative'!V24</f>
        <v>M</v>
      </c>
      <c r="J166" s="38" t="str">
        <f>'RB · Design &amp; Creative'!Z24</f>
        <v>L</v>
      </c>
      <c r="K166" s="38" t="str">
        <f>'RB · Design &amp; Creative'!AD24</f>
        <v>L</v>
      </c>
    </row>
    <row r="167">
      <c r="A167" s="53" t="inlineStr">
        <is>
          <t>Engineering &amp; Architecture|E2|DE</t>
        </is>
      </c>
      <c r="B167" s="53" t="inlineStr">
        <is>
          <t>Engineering &amp; Architecture</t>
        </is>
      </c>
      <c r="C167" s="53" t="inlineStr">
        <is>
          <t>E2</t>
        </is>
      </c>
      <c r="D167" s="53" t="inlineStr">
        <is>
          <t>Bands D–E · Leadership</t>
        </is>
      </c>
      <c r="E167" s="38" t="str">
        <f>'RB · Engineering &amp; Architecture'!F6</f>
        <v>H</v>
      </c>
      <c r="F167" s="38" t="str">
        <f>'RB · Engineering &amp; Architecture'!J6</f>
        <v>M</v>
      </c>
      <c r="G167" s="38" t="str">
        <f>'RB · Engineering &amp; Architecture'!N6</f>
        <v>M</v>
      </c>
      <c r="H167" s="38" t="str">
        <f>'RB · Engineering &amp; Architecture'!R6</f>
        <v>M</v>
      </c>
      <c r="I167" s="38" t="str">
        <f>'RB · Engineering &amp; Architecture'!V6</f>
        <v>L</v>
      </c>
      <c r="J167" s="38" t="str">
        <f>'RB · Engineering &amp; Architecture'!Z6</f>
        <v>L</v>
      </c>
      <c r="K167" s="38" t="str">
        <f>'RB · Engineering &amp; Architecture'!AD6</f>
        <v>L</v>
      </c>
    </row>
    <row r="168">
      <c r="A168" s="53" t="inlineStr">
        <is>
          <t>Engineering &amp; Architecture|E1|DE</t>
        </is>
      </c>
      <c r="B168" s="53" t="inlineStr">
        <is>
          <t>Engineering &amp; Architecture</t>
        </is>
      </c>
      <c r="C168" s="53" t="inlineStr">
        <is>
          <t>E1</t>
        </is>
      </c>
      <c r="D168" s="53" t="inlineStr">
        <is>
          <t>Bands D–E · Leadership</t>
        </is>
      </c>
      <c r="E168" s="38" t="str">
        <f>'RB · Engineering &amp; Architecture'!F7</f>
        <v>H</v>
      </c>
      <c r="F168" s="38" t="str">
        <f>'RB · Engineering &amp; Architecture'!J7</f>
        <v>M</v>
      </c>
      <c r="G168" s="38" t="str">
        <f>'RB · Engineering &amp; Architecture'!N7</f>
        <v>M</v>
      </c>
      <c r="H168" s="38" t="str">
        <f>'RB · Engineering &amp; Architecture'!R7</f>
        <v>M</v>
      </c>
      <c r="I168" s="38" t="str">
        <f>'RB · Engineering &amp; Architecture'!V7</f>
        <v>L</v>
      </c>
      <c r="J168" s="38" t="str">
        <f>'RB · Engineering &amp; Architecture'!Z7</f>
        <v>L</v>
      </c>
      <c r="K168" s="38" t="str">
        <f>'RB · Engineering &amp; Architecture'!AD7</f>
        <v>L</v>
      </c>
    </row>
    <row r="169">
      <c r="A169" s="53" t="inlineStr">
        <is>
          <t>Engineering &amp; Architecture|D2|DE</t>
        </is>
      </c>
      <c r="B169" s="53" t="inlineStr">
        <is>
          <t>Engineering &amp; Architecture</t>
        </is>
      </c>
      <c r="C169" s="53" t="inlineStr">
        <is>
          <t>D2</t>
        </is>
      </c>
      <c r="D169" s="53" t="inlineStr">
        <is>
          <t>Bands D–E · Leadership</t>
        </is>
      </c>
      <c r="E169" s="38" t="str">
        <f>'RB · Engineering &amp; Architecture'!F8</f>
        <v>H</v>
      </c>
      <c r="F169" s="38" t="str">
        <f>'RB · Engineering &amp; Architecture'!J8</f>
        <v>M</v>
      </c>
      <c r="G169" s="38" t="str">
        <f>'RB · Engineering &amp; Architecture'!N8</f>
        <v>M</v>
      </c>
      <c r="H169" s="38" t="str">
        <f>'RB · Engineering &amp; Architecture'!R8</f>
        <v>M</v>
      </c>
      <c r="I169" s="38" t="str">
        <f>'RB · Engineering &amp; Architecture'!V8</f>
        <v>L</v>
      </c>
      <c r="J169" s="38" t="str">
        <f>'RB · Engineering &amp; Architecture'!Z8</f>
        <v>L</v>
      </c>
      <c r="K169" s="38" t="str">
        <f>'RB · Engineering &amp; Architecture'!AD8</f>
        <v>L</v>
      </c>
    </row>
    <row r="170">
      <c r="A170" s="53" t="inlineStr">
        <is>
          <t>Engineering &amp; Architecture|D1|DE</t>
        </is>
      </c>
      <c r="B170" s="53" t="inlineStr">
        <is>
          <t>Engineering &amp; Architecture</t>
        </is>
      </c>
      <c r="C170" s="53" t="inlineStr">
        <is>
          <t>D1</t>
        </is>
      </c>
      <c r="D170" s="53" t="inlineStr">
        <is>
          <t>Bands D–E · Leadership</t>
        </is>
      </c>
      <c r="E170" s="38" t="str">
        <f>'RB · Engineering &amp; Architecture'!F9</f>
        <v>H</v>
      </c>
      <c r="F170" s="38" t="str">
        <f>'RB · Engineering &amp; Architecture'!J9</f>
        <v>M</v>
      </c>
      <c r="G170" s="38" t="str">
        <f>'RB · Engineering &amp; Architecture'!N9</f>
        <v>M</v>
      </c>
      <c r="H170" s="38" t="str">
        <f>'RB · Engineering &amp; Architecture'!R9</f>
        <v>M</v>
      </c>
      <c r="I170" s="38" t="str">
        <f>'RB · Engineering &amp; Architecture'!V9</f>
        <v>L</v>
      </c>
      <c r="J170" s="38" t="str">
        <f>'RB · Engineering &amp; Architecture'!Z9</f>
        <v>L</v>
      </c>
      <c r="K170" s="38" t="str">
        <f>'RB · Engineering &amp; Architecture'!AD9</f>
        <v>L</v>
      </c>
    </row>
    <row r="171">
      <c r="A171" s="53" t="inlineStr">
        <is>
          <t>Engineering &amp; Architecture|C+|C+</t>
        </is>
      </c>
      <c r="B171" s="53" t="inlineStr">
        <is>
          <t>Engineering &amp; Architecture</t>
        </is>
      </c>
      <c r="C171" s="53" t="inlineStr">
        <is>
          <t>C+</t>
        </is>
      </c>
      <c r="D171" s="53" t="inlineStr">
        <is>
          <t>C+ · Player-Coach</t>
        </is>
      </c>
      <c r="E171" s="38" t="str">
        <f>'RB · Engineering &amp; Architecture'!F10</f>
        <v>H</v>
      </c>
      <c r="F171" s="38" t="str">
        <f>'RB · Engineering &amp; Architecture'!J10</f>
        <v>M</v>
      </c>
      <c r="G171" s="38" t="str">
        <f>'RB · Engineering &amp; Architecture'!N10</f>
        <v>M</v>
      </c>
      <c r="H171" s="38" t="str">
        <f>'RB · Engineering &amp; Architecture'!R10</f>
        <v>M</v>
      </c>
      <c r="I171" s="38" t="str">
        <f>'RB · Engineering &amp; Architecture'!V10</f>
        <v>L</v>
      </c>
      <c r="J171" s="38" t="str">
        <f>'RB · Engineering &amp; Architecture'!Z10</f>
        <v>L</v>
      </c>
      <c r="K171" s="38" t="str">
        <f>'RB · Engineering &amp; Architecture'!AD10</f>
        <v>L</v>
      </c>
    </row>
    <row r="172">
      <c r="A172" s="53" t="inlineStr">
        <is>
          <t>Engineering &amp; Architecture|C2|C-M</t>
        </is>
      </c>
      <c r="B172" s="53" t="inlineStr">
        <is>
          <t>Engineering &amp; Architecture</t>
        </is>
      </c>
      <c r="C172" s="53" t="inlineStr">
        <is>
          <t>C2</t>
        </is>
      </c>
      <c r="D172" s="53" t="inlineStr">
        <is>
          <t>Band C · Head / manager</t>
        </is>
      </c>
      <c r="E172" s="38" t="str">
        <f>'RB · Engineering &amp; Architecture'!F11</f>
        <v>H</v>
      </c>
      <c r="F172" s="38" t="str">
        <f>'RB · Engineering &amp; Architecture'!J11</f>
        <v>M</v>
      </c>
      <c r="G172" s="38" t="str">
        <f>'RB · Engineering &amp; Architecture'!N11</f>
        <v>L</v>
      </c>
      <c r="H172" s="38" t="str">
        <f>'RB · Engineering &amp; Architecture'!R11</f>
        <v>M</v>
      </c>
      <c r="I172" s="38" t="str">
        <f>'RB · Engineering &amp; Architecture'!V11</f>
        <v>L</v>
      </c>
      <c r="J172" s="38" t="str">
        <f>'RB · Engineering &amp; Architecture'!Z11</f>
        <v>L</v>
      </c>
      <c r="K172" s="38" t="str">
        <f>'RB · Engineering &amp; Architecture'!AD11</f>
        <v>L</v>
      </c>
    </row>
    <row r="173">
      <c r="A173" s="53" t="inlineStr">
        <is>
          <t>Engineering &amp; Architecture|C2|C-IC</t>
        </is>
      </c>
      <c r="B173" s="53" t="inlineStr">
        <is>
          <t>Engineering &amp; Architecture</t>
        </is>
      </c>
      <c r="C173" s="53" t="inlineStr">
        <is>
          <t>C2</t>
        </is>
      </c>
      <c r="D173" s="53" t="inlineStr">
        <is>
          <t>Band C · Principal specialist</t>
        </is>
      </c>
      <c r="E173" s="38" t="str">
        <f>'RB · Engineering &amp; Architecture'!F12</f>
        <v>H</v>
      </c>
      <c r="F173" s="38" t="str">
        <f>'RB · Engineering &amp; Architecture'!J12</f>
        <v>M</v>
      </c>
      <c r="G173" s="38" t="str">
        <f>'RB · Engineering &amp; Architecture'!N12</f>
        <v>L</v>
      </c>
      <c r="H173" s="38" t="str">
        <f>'RB · Engineering &amp; Architecture'!R12</f>
        <v>L</v>
      </c>
      <c r="I173" s="38" t="str">
        <f>'RB · Engineering &amp; Architecture'!V12</f>
        <v>L</v>
      </c>
      <c r="J173" s="38" t="str">
        <f>'RB · Engineering &amp; Architecture'!Z12</f>
        <v>L</v>
      </c>
      <c r="K173" s="38" t="str">
        <f>'RB · Engineering &amp; Architecture'!AD12</f>
        <v>L</v>
      </c>
    </row>
    <row r="174">
      <c r="A174" s="53" t="inlineStr">
        <is>
          <t>Engineering &amp; Architecture|C1|C-M</t>
        </is>
      </c>
      <c r="B174" s="53" t="inlineStr">
        <is>
          <t>Engineering &amp; Architecture</t>
        </is>
      </c>
      <c r="C174" s="53" t="inlineStr">
        <is>
          <t>C1</t>
        </is>
      </c>
      <c r="D174" s="53" t="inlineStr">
        <is>
          <t>Band C · Head / manager</t>
        </is>
      </c>
      <c r="E174" s="38" t="str">
        <f>'RB · Engineering &amp; Architecture'!F13</f>
        <v>H</v>
      </c>
      <c r="F174" s="38" t="str">
        <f>'RB · Engineering &amp; Architecture'!J13</f>
        <v>M</v>
      </c>
      <c r="G174" s="38" t="str">
        <f>'RB · Engineering &amp; Architecture'!N13</f>
        <v>L</v>
      </c>
      <c r="H174" s="38" t="str">
        <f>'RB · Engineering &amp; Architecture'!R13</f>
        <v>M</v>
      </c>
      <c r="I174" s="38" t="str">
        <f>'RB · Engineering &amp; Architecture'!V13</f>
        <v>L</v>
      </c>
      <c r="J174" s="38" t="str">
        <f>'RB · Engineering &amp; Architecture'!Z13</f>
        <v>L</v>
      </c>
      <c r="K174" s="38" t="str">
        <f>'RB · Engineering &amp; Architecture'!AD13</f>
        <v>L</v>
      </c>
    </row>
    <row r="175">
      <c r="A175" s="53" t="inlineStr">
        <is>
          <t>Engineering &amp; Architecture|C1|C-IC</t>
        </is>
      </c>
      <c r="B175" s="53" t="inlineStr">
        <is>
          <t>Engineering &amp; Architecture</t>
        </is>
      </c>
      <c r="C175" s="53" t="inlineStr">
        <is>
          <t>C1</t>
        </is>
      </c>
      <c r="D175" s="53" t="inlineStr">
        <is>
          <t>Band C · Principal specialist</t>
        </is>
      </c>
      <c r="E175" s="38" t="str">
        <f>'RB · Engineering &amp; Architecture'!F14</f>
        <v>H</v>
      </c>
      <c r="F175" s="38" t="str">
        <f>'RB · Engineering &amp; Architecture'!J14</f>
        <v>M</v>
      </c>
      <c r="G175" s="38" t="str">
        <f>'RB · Engineering &amp; Architecture'!N14</f>
        <v>L</v>
      </c>
      <c r="H175" s="38" t="str">
        <f>'RB · Engineering &amp; Architecture'!R14</f>
        <v>L</v>
      </c>
      <c r="I175" s="38" t="str">
        <f>'RB · Engineering &amp; Architecture'!V14</f>
        <v>L</v>
      </c>
      <c r="J175" s="38" t="str">
        <f>'RB · Engineering &amp; Architecture'!Z14</f>
        <v>L</v>
      </c>
      <c r="K175" s="38" t="str">
        <f>'RB · Engineering &amp; Architecture'!AD14</f>
        <v>L</v>
      </c>
    </row>
    <row r="176">
      <c r="A176" s="53" t="inlineStr">
        <is>
          <t>Engineering &amp; Architecture|B+|B+</t>
        </is>
      </c>
      <c r="B176" s="53" t="inlineStr">
        <is>
          <t>Engineering &amp; Architecture</t>
        </is>
      </c>
      <c r="C176" s="53" t="inlineStr">
        <is>
          <t>B+</t>
        </is>
      </c>
      <c r="D176" s="53" t="inlineStr">
        <is>
          <t>B+ · Player-Coach</t>
        </is>
      </c>
      <c r="E176" s="38" t="str">
        <f>'RB · Engineering &amp; Architecture'!F15</f>
        <v>H</v>
      </c>
      <c r="F176" s="38" t="str">
        <f>'RB · Engineering &amp; Architecture'!J15</f>
        <v>M</v>
      </c>
      <c r="G176" s="38" t="str">
        <f>'RB · Engineering &amp; Architecture'!N15</f>
        <v>L</v>
      </c>
      <c r="H176" s="38" t="str">
        <f>'RB · Engineering &amp; Architecture'!R15</f>
        <v>M</v>
      </c>
      <c r="I176" s="38" t="str">
        <f>'RB · Engineering &amp; Architecture'!V15</f>
        <v>L</v>
      </c>
      <c r="J176" s="38" t="str">
        <f>'RB · Engineering &amp; Architecture'!Z15</f>
        <v>L</v>
      </c>
      <c r="K176" s="38" t="str">
        <f>'RB · Engineering &amp; Architecture'!AD15</f>
        <v>L</v>
      </c>
    </row>
    <row r="177">
      <c r="A177" s="53" t="inlineStr">
        <is>
          <t>Engineering &amp; Architecture|B3|B-M</t>
        </is>
      </c>
      <c r="B177" s="53" t="inlineStr">
        <is>
          <t>Engineering &amp; Architecture</t>
        </is>
      </c>
      <c r="C177" s="53" t="inlineStr">
        <is>
          <t>B3</t>
        </is>
      </c>
      <c r="D177" s="53" t="inlineStr">
        <is>
          <t>Band B · People Manager</t>
        </is>
      </c>
      <c r="E177" s="38" t="str">
        <f>'RB · Engineering &amp; Architecture'!F16</f>
        <v>H</v>
      </c>
      <c r="F177" s="38" t="str">
        <f>'RB · Engineering &amp; Architecture'!J16</f>
        <v>M</v>
      </c>
      <c r="G177" s="38" t="str">
        <f>'RB · Engineering &amp; Architecture'!N16</f>
        <v>L</v>
      </c>
      <c r="H177" s="38" t="str">
        <f>'RB · Engineering &amp; Architecture'!R16</f>
        <v>M</v>
      </c>
      <c r="I177" s="38" t="str">
        <f>'RB · Engineering &amp; Architecture'!V16</f>
        <v>L</v>
      </c>
      <c r="J177" s="38" t="str">
        <f>'RB · Engineering &amp; Architecture'!Z16</f>
        <v>L</v>
      </c>
      <c r="K177" s="38" t="str">
        <f>'RB · Engineering &amp; Architecture'!AD16</f>
        <v>L</v>
      </c>
    </row>
    <row r="178">
      <c r="A178" s="53" t="inlineStr">
        <is>
          <t>Engineering &amp; Architecture|B3|B-IC</t>
        </is>
      </c>
      <c r="B178" s="53" t="inlineStr">
        <is>
          <t>Engineering &amp; Architecture</t>
        </is>
      </c>
      <c r="C178" s="53" t="inlineStr">
        <is>
          <t>B3</t>
        </is>
      </c>
      <c r="D178" s="53" t="inlineStr">
        <is>
          <t>Band B · Specialist / POD Lead</t>
        </is>
      </c>
      <c r="E178" s="38" t="str">
        <f>'RB · Engineering &amp; Architecture'!F17</f>
        <v>H</v>
      </c>
      <c r="F178" s="38" t="str">
        <f>'RB · Engineering &amp; Architecture'!J17</f>
        <v>M</v>
      </c>
      <c r="G178" s="38" t="str">
        <f>'RB · Engineering &amp; Architecture'!N17</f>
        <v>L</v>
      </c>
      <c r="H178" s="38" t="str">
        <f>'RB · Engineering &amp; Architecture'!R17</f>
        <v>L</v>
      </c>
      <c r="I178" s="38" t="str">
        <f>'RB · Engineering &amp; Architecture'!V17</f>
        <v>L</v>
      </c>
      <c r="J178" s="38" t="str">
        <f>'RB · Engineering &amp; Architecture'!Z17</f>
        <v>L</v>
      </c>
      <c r="K178" s="38" t="str">
        <f>'RB · Engineering &amp; Architecture'!AD17</f>
        <v>L</v>
      </c>
    </row>
    <row r="179">
      <c r="A179" s="53" t="inlineStr">
        <is>
          <t>Engineering &amp; Architecture|B2|B-M</t>
        </is>
      </c>
      <c r="B179" s="53" t="inlineStr">
        <is>
          <t>Engineering &amp; Architecture</t>
        </is>
      </c>
      <c r="C179" s="53" t="inlineStr">
        <is>
          <t>B2</t>
        </is>
      </c>
      <c r="D179" s="53" t="inlineStr">
        <is>
          <t>Band B · People Manager</t>
        </is>
      </c>
      <c r="E179" s="38" t="str">
        <f>'RB · Engineering &amp; Architecture'!F18</f>
        <v>H</v>
      </c>
      <c r="F179" s="38" t="str">
        <f>'RB · Engineering &amp; Architecture'!J18</f>
        <v>M</v>
      </c>
      <c r="G179" s="38" t="str">
        <f>'RB · Engineering &amp; Architecture'!N18</f>
        <v>L</v>
      </c>
      <c r="H179" s="38" t="str">
        <f>'RB · Engineering &amp; Architecture'!R18</f>
        <v>M</v>
      </c>
      <c r="I179" s="38" t="str">
        <f>'RB · Engineering &amp; Architecture'!V18</f>
        <v>L</v>
      </c>
      <c r="J179" s="38" t="str">
        <f>'RB · Engineering &amp; Architecture'!Z18</f>
        <v>L</v>
      </c>
      <c r="K179" s="38" t="str">
        <f>'RB · Engineering &amp; Architecture'!AD18</f>
        <v>L</v>
      </c>
    </row>
    <row r="180">
      <c r="A180" s="53" t="inlineStr">
        <is>
          <t>Engineering &amp; Architecture|B2|B-IC</t>
        </is>
      </c>
      <c r="B180" s="53" t="inlineStr">
        <is>
          <t>Engineering &amp; Architecture</t>
        </is>
      </c>
      <c r="C180" s="53" t="inlineStr">
        <is>
          <t>B2</t>
        </is>
      </c>
      <c r="D180" s="53" t="inlineStr">
        <is>
          <t>Band B · Specialist / POD Lead</t>
        </is>
      </c>
      <c r="E180" s="38" t="str">
        <f>'RB · Engineering &amp; Architecture'!F19</f>
        <v>H</v>
      </c>
      <c r="F180" s="38" t="str">
        <f>'RB · Engineering &amp; Architecture'!J19</f>
        <v>M</v>
      </c>
      <c r="G180" s="38" t="str">
        <f>'RB · Engineering &amp; Architecture'!N19</f>
        <v>L</v>
      </c>
      <c r="H180" s="38" t="str">
        <f>'RB · Engineering &amp; Architecture'!R19</f>
        <v>L</v>
      </c>
      <c r="I180" s="38" t="str">
        <f>'RB · Engineering &amp; Architecture'!V19</f>
        <v>L</v>
      </c>
      <c r="J180" s="38" t="str">
        <f>'RB · Engineering &amp; Architecture'!Z19</f>
        <v>L</v>
      </c>
      <c r="K180" s="38" t="str">
        <f>'RB · Engineering &amp; Architecture'!AD19</f>
        <v>L</v>
      </c>
    </row>
    <row r="181">
      <c r="A181" s="53" t="inlineStr">
        <is>
          <t>Engineering &amp; Architecture|B1|B-M</t>
        </is>
      </c>
      <c r="B181" s="53" t="inlineStr">
        <is>
          <t>Engineering &amp; Architecture</t>
        </is>
      </c>
      <c r="C181" s="53" t="inlineStr">
        <is>
          <t>B1</t>
        </is>
      </c>
      <c r="D181" s="53" t="inlineStr">
        <is>
          <t>Band B · People Manager</t>
        </is>
      </c>
      <c r="E181" s="38" t="str">
        <f>'RB · Engineering &amp; Architecture'!F20</f>
        <v>H</v>
      </c>
      <c r="F181" s="38" t="str">
        <f>'RB · Engineering &amp; Architecture'!J20</f>
        <v>M</v>
      </c>
      <c r="G181" s="38" t="str">
        <f>'RB · Engineering &amp; Architecture'!N20</f>
        <v>L</v>
      </c>
      <c r="H181" s="38" t="str">
        <f>'RB · Engineering &amp; Architecture'!R20</f>
        <v>M</v>
      </c>
      <c r="I181" s="38" t="str">
        <f>'RB · Engineering &amp; Architecture'!V20</f>
        <v>L</v>
      </c>
      <c r="J181" s="38" t="str">
        <f>'RB · Engineering &amp; Architecture'!Z20</f>
        <v>L</v>
      </c>
      <c r="K181" s="38" t="str">
        <f>'RB · Engineering &amp; Architecture'!AD20</f>
        <v>L</v>
      </c>
    </row>
    <row r="182">
      <c r="A182" s="53" t="inlineStr">
        <is>
          <t>Engineering &amp; Architecture|B1|B-IC</t>
        </is>
      </c>
      <c r="B182" s="53" t="inlineStr">
        <is>
          <t>Engineering &amp; Architecture</t>
        </is>
      </c>
      <c r="C182" s="53" t="inlineStr">
        <is>
          <t>B1</t>
        </is>
      </c>
      <c r="D182" s="53" t="inlineStr">
        <is>
          <t>Band B · Specialist / POD Lead</t>
        </is>
      </c>
      <c r="E182" s="38" t="str">
        <f>'RB · Engineering &amp; Architecture'!F21</f>
        <v>H</v>
      </c>
      <c r="F182" s="38" t="str">
        <f>'RB · Engineering &amp; Architecture'!J21</f>
        <v>M</v>
      </c>
      <c r="G182" s="38" t="str">
        <f>'RB · Engineering &amp; Architecture'!N21</f>
        <v>L</v>
      </c>
      <c r="H182" s="38" t="str">
        <f>'RB · Engineering &amp; Architecture'!R21</f>
        <v>L</v>
      </c>
      <c r="I182" s="38" t="str">
        <f>'RB · Engineering &amp; Architecture'!V21</f>
        <v>L</v>
      </c>
      <c r="J182" s="38" t="str">
        <f>'RB · Engineering &amp; Architecture'!Z21</f>
        <v>L</v>
      </c>
      <c r="K182" s="38" t="str">
        <f>'RB · Engineering &amp; Architecture'!AD21</f>
        <v>L</v>
      </c>
    </row>
    <row r="183">
      <c r="A183" s="53" t="inlineStr">
        <is>
          <t>Engineering &amp; Architecture|A3|A</t>
        </is>
      </c>
      <c r="B183" s="53" t="inlineStr">
        <is>
          <t>Engineering &amp; Architecture</t>
        </is>
      </c>
      <c r="C183" s="53" t="inlineStr">
        <is>
          <t>A3</t>
        </is>
      </c>
      <c r="D183" s="53" t="inlineStr">
        <is>
          <t>Band A · all tracks</t>
        </is>
      </c>
      <c r="E183" s="38" t="str">
        <f>'RB · Engineering &amp; Architecture'!F22</f>
        <v>H</v>
      </c>
      <c r="F183" s="38" t="str">
        <f>'RB · Engineering &amp; Architecture'!J22</f>
        <v>M</v>
      </c>
      <c r="G183" s="38" t="str">
        <f>'RB · Engineering &amp; Architecture'!N22</f>
        <v>L</v>
      </c>
      <c r="H183" s="38" t="str">
        <f>'RB · Engineering &amp; Architecture'!R22</f>
        <v>L</v>
      </c>
      <c r="I183" s="38" t="str">
        <f>'RB · Engineering &amp; Architecture'!V22</f>
        <v>L</v>
      </c>
      <c r="J183" s="38" t="str">
        <f>'RB · Engineering &amp; Architecture'!Z22</f>
        <v>L</v>
      </c>
      <c r="K183" s="38" t="str">
        <f>'RB · Engineering &amp; Architecture'!AD22</f>
        <v>L</v>
      </c>
    </row>
    <row r="184">
      <c r="A184" s="53" t="inlineStr">
        <is>
          <t>Engineering &amp; Architecture|A2|A</t>
        </is>
      </c>
      <c r="B184" s="53" t="inlineStr">
        <is>
          <t>Engineering &amp; Architecture</t>
        </is>
      </c>
      <c r="C184" s="53" t="inlineStr">
        <is>
          <t>A2</t>
        </is>
      </c>
      <c r="D184" s="53" t="inlineStr">
        <is>
          <t>Band A · all tracks</t>
        </is>
      </c>
      <c r="E184" s="38" t="str">
        <f>'RB · Engineering &amp; Architecture'!F23</f>
        <v>H</v>
      </c>
      <c r="F184" s="38" t="str">
        <f>'RB · Engineering &amp; Architecture'!J23</f>
        <v>M</v>
      </c>
      <c r="G184" s="38" t="str">
        <f>'RB · Engineering &amp; Architecture'!N23</f>
        <v>L</v>
      </c>
      <c r="H184" s="38" t="str">
        <f>'RB · Engineering &amp; Architecture'!R23</f>
        <v>L</v>
      </c>
      <c r="I184" s="38" t="str">
        <f>'RB · Engineering &amp; Architecture'!V23</f>
        <v>L</v>
      </c>
      <c r="J184" s="38" t="str">
        <f>'RB · Engineering &amp; Architecture'!Z23</f>
        <v>L</v>
      </c>
      <c r="K184" s="38" t="str">
        <f>'RB · Engineering &amp; Architecture'!AD23</f>
        <v>L</v>
      </c>
    </row>
    <row r="185">
      <c r="A185" s="53" t="inlineStr">
        <is>
          <t>Engineering &amp; Architecture|A1|A</t>
        </is>
      </c>
      <c r="B185" s="53" t="inlineStr">
        <is>
          <t>Engineering &amp; Architecture</t>
        </is>
      </c>
      <c r="C185" s="53" t="inlineStr">
        <is>
          <t>A1</t>
        </is>
      </c>
      <c r="D185" s="53" t="inlineStr">
        <is>
          <t>Band A · all tracks</t>
        </is>
      </c>
      <c r="E185" s="38" t="str">
        <f>'RB · Engineering &amp; Architecture'!F24</f>
        <v>H</v>
      </c>
      <c r="F185" s="38" t="str">
        <f>'RB · Engineering &amp; Architecture'!J24</f>
        <v>M</v>
      </c>
      <c r="G185" s="38" t="str">
        <f>'RB · Engineering &amp; Architecture'!N24</f>
        <v>L</v>
      </c>
      <c r="H185" s="38" t="str">
        <f>'RB · Engineering &amp; Architecture'!R24</f>
        <v>L</v>
      </c>
      <c r="I185" s="38" t="str">
        <f>'RB · Engineering &amp; Architecture'!V24</f>
        <v>L</v>
      </c>
      <c r="J185" s="38" t="str">
        <f>'RB · Engineering &amp; Architecture'!Z24</f>
        <v>L</v>
      </c>
      <c r="K185" s="38" t="str">
        <f>'RB · Engineering &amp; Architecture'!AD24</f>
        <v>L</v>
      </c>
    </row>
    <row r="186">
      <c r="A186" s="53" t="inlineStr">
        <is>
          <t>Engineering &amp; Development|E2|DE</t>
        </is>
      </c>
      <c r="B186" s="53" t="inlineStr">
        <is>
          <t>Engineering &amp; Development</t>
        </is>
      </c>
      <c r="C186" s="53" t="inlineStr">
        <is>
          <t>E2</t>
        </is>
      </c>
      <c r="D186" s="53" t="inlineStr">
        <is>
          <t>Bands D–E · Leadership</t>
        </is>
      </c>
      <c r="E186" s="38" t="str">
        <f>'RB · Engineering &amp; Development'!F6</f>
        <v>H</v>
      </c>
      <c r="F186" s="38" t="str">
        <f>'RB · Engineering &amp; Development'!J6</f>
        <v>M</v>
      </c>
      <c r="G186" s="38" t="str">
        <f>'RB · Engineering &amp; Development'!N6</f>
        <v>M</v>
      </c>
      <c r="H186" s="38" t="str">
        <f>'RB · Engineering &amp; Development'!R6</f>
        <v>M</v>
      </c>
      <c r="I186" s="38" t="str">
        <f>'RB · Engineering &amp; Development'!V6</f>
        <v>L</v>
      </c>
      <c r="J186" s="38" t="str">
        <f>'RB · Engineering &amp; Development'!Z6</f>
        <v>L</v>
      </c>
      <c r="K186" s="38" t="str">
        <f>'RB · Engineering &amp; Development'!AD6</f>
        <v>L</v>
      </c>
    </row>
    <row r="187">
      <c r="A187" s="53" t="inlineStr">
        <is>
          <t>Engineering &amp; Development|E1|DE</t>
        </is>
      </c>
      <c r="B187" s="53" t="inlineStr">
        <is>
          <t>Engineering &amp; Development</t>
        </is>
      </c>
      <c r="C187" s="53" t="inlineStr">
        <is>
          <t>E1</t>
        </is>
      </c>
      <c r="D187" s="53" t="inlineStr">
        <is>
          <t>Bands D–E · Leadership</t>
        </is>
      </c>
      <c r="E187" s="38" t="str">
        <f>'RB · Engineering &amp; Development'!F7</f>
        <v>H</v>
      </c>
      <c r="F187" s="38" t="str">
        <f>'RB · Engineering &amp; Development'!J7</f>
        <v>M</v>
      </c>
      <c r="G187" s="38" t="str">
        <f>'RB · Engineering &amp; Development'!N7</f>
        <v>M</v>
      </c>
      <c r="H187" s="38" t="str">
        <f>'RB · Engineering &amp; Development'!R7</f>
        <v>M</v>
      </c>
      <c r="I187" s="38" t="str">
        <f>'RB · Engineering &amp; Development'!V7</f>
        <v>L</v>
      </c>
      <c r="J187" s="38" t="str">
        <f>'RB · Engineering &amp; Development'!Z7</f>
        <v>L</v>
      </c>
      <c r="K187" s="38" t="str">
        <f>'RB · Engineering &amp; Development'!AD7</f>
        <v>L</v>
      </c>
    </row>
    <row r="188">
      <c r="A188" s="53" t="inlineStr">
        <is>
          <t>Engineering &amp; Development|D2|DE</t>
        </is>
      </c>
      <c r="B188" s="53" t="inlineStr">
        <is>
          <t>Engineering &amp; Development</t>
        </is>
      </c>
      <c r="C188" s="53" t="inlineStr">
        <is>
          <t>D2</t>
        </is>
      </c>
      <c r="D188" s="53" t="inlineStr">
        <is>
          <t>Bands D–E · Leadership</t>
        </is>
      </c>
      <c r="E188" s="38" t="str">
        <f>'RB · Engineering &amp; Development'!F8</f>
        <v>H</v>
      </c>
      <c r="F188" s="38" t="str">
        <f>'RB · Engineering &amp; Development'!J8</f>
        <v>M</v>
      </c>
      <c r="G188" s="38" t="str">
        <f>'RB · Engineering &amp; Development'!N8</f>
        <v>M</v>
      </c>
      <c r="H188" s="38" t="str">
        <f>'RB · Engineering &amp; Development'!R8</f>
        <v>M</v>
      </c>
      <c r="I188" s="38" t="str">
        <f>'RB · Engineering &amp; Development'!V8</f>
        <v>L</v>
      </c>
      <c r="J188" s="38" t="str">
        <f>'RB · Engineering &amp; Development'!Z8</f>
        <v>L</v>
      </c>
      <c r="K188" s="38" t="str">
        <f>'RB · Engineering &amp; Development'!AD8</f>
        <v>L</v>
      </c>
    </row>
    <row r="189">
      <c r="A189" s="53" t="inlineStr">
        <is>
          <t>Engineering &amp; Development|D1|DE</t>
        </is>
      </c>
      <c r="B189" s="53" t="inlineStr">
        <is>
          <t>Engineering &amp; Development</t>
        </is>
      </c>
      <c r="C189" s="53" t="inlineStr">
        <is>
          <t>D1</t>
        </is>
      </c>
      <c r="D189" s="53" t="inlineStr">
        <is>
          <t>Bands D–E · Leadership</t>
        </is>
      </c>
      <c r="E189" s="38" t="str">
        <f>'RB · Engineering &amp; Development'!F9</f>
        <v>H</v>
      </c>
      <c r="F189" s="38" t="str">
        <f>'RB · Engineering &amp; Development'!J9</f>
        <v>M</v>
      </c>
      <c r="G189" s="38" t="str">
        <f>'RB · Engineering &amp; Development'!N9</f>
        <v>M</v>
      </c>
      <c r="H189" s="38" t="str">
        <f>'RB · Engineering &amp; Development'!R9</f>
        <v>M</v>
      </c>
      <c r="I189" s="38" t="str">
        <f>'RB · Engineering &amp; Development'!V9</f>
        <v>L</v>
      </c>
      <c r="J189" s="38" t="str">
        <f>'RB · Engineering &amp; Development'!Z9</f>
        <v>L</v>
      </c>
      <c r="K189" s="38" t="str">
        <f>'RB · Engineering &amp; Development'!AD9</f>
        <v>L</v>
      </c>
    </row>
    <row r="190">
      <c r="A190" s="53" t="inlineStr">
        <is>
          <t>Engineering &amp; Development|C+|C+</t>
        </is>
      </c>
      <c r="B190" s="53" t="inlineStr">
        <is>
          <t>Engineering &amp; Development</t>
        </is>
      </c>
      <c r="C190" s="53" t="inlineStr">
        <is>
          <t>C+</t>
        </is>
      </c>
      <c r="D190" s="53" t="inlineStr">
        <is>
          <t>C+ · Player-Coach</t>
        </is>
      </c>
      <c r="E190" s="38" t="str">
        <f>'RB · Engineering &amp; Development'!F10</f>
        <v>H</v>
      </c>
      <c r="F190" s="38" t="str">
        <f>'RB · Engineering &amp; Development'!J10</f>
        <v>M</v>
      </c>
      <c r="G190" s="38" t="str">
        <f>'RB · Engineering &amp; Development'!N10</f>
        <v>M</v>
      </c>
      <c r="H190" s="38" t="str">
        <f>'RB · Engineering &amp; Development'!R10</f>
        <v>M</v>
      </c>
      <c r="I190" s="38" t="str">
        <f>'RB · Engineering &amp; Development'!V10</f>
        <v>L</v>
      </c>
      <c r="J190" s="38" t="str">
        <f>'RB · Engineering &amp; Development'!Z10</f>
        <v>L</v>
      </c>
      <c r="K190" s="38" t="str">
        <f>'RB · Engineering &amp; Development'!AD10</f>
        <v>L</v>
      </c>
    </row>
    <row r="191">
      <c r="A191" s="53" t="inlineStr">
        <is>
          <t>Engineering &amp; Development|C2|C-M</t>
        </is>
      </c>
      <c r="B191" s="53" t="inlineStr">
        <is>
          <t>Engineering &amp; Development</t>
        </is>
      </c>
      <c r="C191" s="53" t="inlineStr">
        <is>
          <t>C2</t>
        </is>
      </c>
      <c r="D191" s="53" t="inlineStr">
        <is>
          <t>Band C · Head / manager</t>
        </is>
      </c>
      <c r="E191" s="38" t="str">
        <f>'RB · Engineering &amp; Development'!F11</f>
        <v>H</v>
      </c>
      <c r="F191" s="38" t="str">
        <f>'RB · Engineering &amp; Development'!J11</f>
        <v>M</v>
      </c>
      <c r="G191" s="38" t="str">
        <f>'RB · Engineering &amp; Development'!N11</f>
        <v>L</v>
      </c>
      <c r="H191" s="38" t="str">
        <f>'RB · Engineering &amp; Development'!R11</f>
        <v>M</v>
      </c>
      <c r="I191" s="38" t="str">
        <f>'RB · Engineering &amp; Development'!V11</f>
        <v>L</v>
      </c>
      <c r="J191" s="38" t="str">
        <f>'RB · Engineering &amp; Development'!Z11</f>
        <v>L</v>
      </c>
      <c r="K191" s="38" t="str">
        <f>'RB · Engineering &amp; Development'!AD11</f>
        <v>L</v>
      </c>
    </row>
    <row r="192">
      <c r="A192" s="53" t="inlineStr">
        <is>
          <t>Engineering &amp; Development|C2|C-IC</t>
        </is>
      </c>
      <c r="B192" s="53" t="inlineStr">
        <is>
          <t>Engineering &amp; Development</t>
        </is>
      </c>
      <c r="C192" s="53" t="inlineStr">
        <is>
          <t>C2</t>
        </is>
      </c>
      <c r="D192" s="53" t="inlineStr">
        <is>
          <t>Band C · Principal specialist</t>
        </is>
      </c>
      <c r="E192" s="38" t="str">
        <f>'RB · Engineering &amp; Development'!F12</f>
        <v>H</v>
      </c>
      <c r="F192" s="38" t="str">
        <f>'RB · Engineering &amp; Development'!J12</f>
        <v>M</v>
      </c>
      <c r="G192" s="38" t="str">
        <f>'RB · Engineering &amp; Development'!N12</f>
        <v>L</v>
      </c>
      <c r="H192" s="38" t="str">
        <f>'RB · Engineering &amp; Development'!R12</f>
        <v>L</v>
      </c>
      <c r="I192" s="38" t="str">
        <f>'RB · Engineering &amp; Development'!V12</f>
        <v>L</v>
      </c>
      <c r="J192" s="38" t="str">
        <f>'RB · Engineering &amp; Development'!Z12</f>
        <v>L</v>
      </c>
      <c r="K192" s="38" t="str">
        <f>'RB · Engineering &amp; Development'!AD12</f>
        <v>L</v>
      </c>
    </row>
    <row r="193">
      <c r="A193" s="53" t="inlineStr">
        <is>
          <t>Engineering &amp; Development|C1|C-M</t>
        </is>
      </c>
      <c r="B193" s="53" t="inlineStr">
        <is>
          <t>Engineering &amp; Development</t>
        </is>
      </c>
      <c r="C193" s="53" t="inlineStr">
        <is>
          <t>C1</t>
        </is>
      </c>
      <c r="D193" s="53" t="inlineStr">
        <is>
          <t>Band C · Head / manager</t>
        </is>
      </c>
      <c r="E193" s="38" t="str">
        <f>'RB · Engineering &amp; Development'!F13</f>
        <v>H</v>
      </c>
      <c r="F193" s="38" t="str">
        <f>'RB · Engineering &amp; Development'!J13</f>
        <v>M</v>
      </c>
      <c r="G193" s="38" t="str">
        <f>'RB · Engineering &amp; Development'!N13</f>
        <v>L</v>
      </c>
      <c r="H193" s="38" t="str">
        <f>'RB · Engineering &amp; Development'!R13</f>
        <v>M</v>
      </c>
      <c r="I193" s="38" t="str">
        <f>'RB · Engineering &amp; Development'!V13</f>
        <v>L</v>
      </c>
      <c r="J193" s="38" t="str">
        <f>'RB · Engineering &amp; Development'!Z13</f>
        <v>L</v>
      </c>
      <c r="K193" s="38" t="str">
        <f>'RB · Engineering &amp; Development'!AD13</f>
        <v>L</v>
      </c>
    </row>
    <row r="194">
      <c r="A194" s="53" t="inlineStr">
        <is>
          <t>Engineering &amp; Development|C1|C-IC</t>
        </is>
      </c>
      <c r="B194" s="53" t="inlineStr">
        <is>
          <t>Engineering &amp; Development</t>
        </is>
      </c>
      <c r="C194" s="53" t="inlineStr">
        <is>
          <t>C1</t>
        </is>
      </c>
      <c r="D194" s="53" t="inlineStr">
        <is>
          <t>Band C · Principal specialist</t>
        </is>
      </c>
      <c r="E194" s="38" t="str">
        <f>'RB · Engineering &amp; Development'!F14</f>
        <v>H</v>
      </c>
      <c r="F194" s="38" t="str">
        <f>'RB · Engineering &amp; Development'!J14</f>
        <v>M</v>
      </c>
      <c r="G194" s="38" t="str">
        <f>'RB · Engineering &amp; Development'!N14</f>
        <v>L</v>
      </c>
      <c r="H194" s="38" t="str">
        <f>'RB · Engineering &amp; Development'!R14</f>
        <v>L</v>
      </c>
      <c r="I194" s="38" t="str">
        <f>'RB · Engineering &amp; Development'!V14</f>
        <v>L</v>
      </c>
      <c r="J194" s="38" t="str">
        <f>'RB · Engineering &amp; Development'!Z14</f>
        <v>L</v>
      </c>
      <c r="K194" s="38" t="str">
        <f>'RB · Engineering &amp; Development'!AD14</f>
        <v>L</v>
      </c>
    </row>
    <row r="195">
      <c r="A195" s="53" t="inlineStr">
        <is>
          <t>Engineering &amp; Development|B+|B+</t>
        </is>
      </c>
      <c r="B195" s="53" t="inlineStr">
        <is>
          <t>Engineering &amp; Development</t>
        </is>
      </c>
      <c r="C195" s="53" t="inlineStr">
        <is>
          <t>B+</t>
        </is>
      </c>
      <c r="D195" s="53" t="inlineStr">
        <is>
          <t>B+ · Player-Coach</t>
        </is>
      </c>
      <c r="E195" s="38" t="str">
        <f>'RB · Engineering &amp; Development'!F15</f>
        <v>H</v>
      </c>
      <c r="F195" s="38" t="str">
        <f>'RB · Engineering &amp; Development'!J15</f>
        <v>M</v>
      </c>
      <c r="G195" s="38" t="str">
        <f>'RB · Engineering &amp; Development'!N15</f>
        <v>L</v>
      </c>
      <c r="H195" s="38" t="str">
        <f>'RB · Engineering &amp; Development'!R15</f>
        <v>M</v>
      </c>
      <c r="I195" s="38" t="str">
        <f>'RB · Engineering &amp; Development'!V15</f>
        <v>L</v>
      </c>
      <c r="J195" s="38" t="str">
        <f>'RB · Engineering &amp; Development'!Z15</f>
        <v>L</v>
      </c>
      <c r="K195" s="38" t="str">
        <f>'RB · Engineering &amp; Development'!AD15</f>
        <v>L</v>
      </c>
    </row>
    <row r="196">
      <c r="A196" s="53" t="inlineStr">
        <is>
          <t>Engineering &amp; Development|B3|B-M</t>
        </is>
      </c>
      <c r="B196" s="53" t="inlineStr">
        <is>
          <t>Engineering &amp; Development</t>
        </is>
      </c>
      <c r="C196" s="53" t="inlineStr">
        <is>
          <t>B3</t>
        </is>
      </c>
      <c r="D196" s="53" t="inlineStr">
        <is>
          <t>Band B · People Manager</t>
        </is>
      </c>
      <c r="E196" s="38" t="str">
        <f>'RB · Engineering &amp; Development'!F16</f>
        <v>H</v>
      </c>
      <c r="F196" s="38" t="str">
        <f>'RB · Engineering &amp; Development'!J16</f>
        <v>M</v>
      </c>
      <c r="G196" s="38" t="str">
        <f>'RB · Engineering &amp; Development'!N16</f>
        <v>L</v>
      </c>
      <c r="H196" s="38" t="str">
        <f>'RB · Engineering &amp; Development'!R16</f>
        <v>M</v>
      </c>
      <c r="I196" s="38" t="str">
        <f>'RB · Engineering &amp; Development'!V16</f>
        <v>L</v>
      </c>
      <c r="J196" s="38" t="str">
        <f>'RB · Engineering &amp; Development'!Z16</f>
        <v>L</v>
      </c>
      <c r="K196" s="38" t="str">
        <f>'RB · Engineering &amp; Development'!AD16</f>
        <v>L</v>
      </c>
    </row>
    <row r="197">
      <c r="A197" s="53" t="inlineStr">
        <is>
          <t>Engineering &amp; Development|B3|B-IC</t>
        </is>
      </c>
      <c r="B197" s="53" t="inlineStr">
        <is>
          <t>Engineering &amp; Development</t>
        </is>
      </c>
      <c r="C197" s="53" t="inlineStr">
        <is>
          <t>B3</t>
        </is>
      </c>
      <c r="D197" s="53" t="inlineStr">
        <is>
          <t>Band B · Specialist / POD Lead</t>
        </is>
      </c>
      <c r="E197" s="38" t="str">
        <f>'RB · Engineering &amp; Development'!F17</f>
        <v>H</v>
      </c>
      <c r="F197" s="38" t="str">
        <f>'RB · Engineering &amp; Development'!J17</f>
        <v>M</v>
      </c>
      <c r="G197" s="38" t="str">
        <f>'RB · Engineering &amp; Development'!N17</f>
        <v>L</v>
      </c>
      <c r="H197" s="38" t="str">
        <f>'RB · Engineering &amp; Development'!R17</f>
        <v>L</v>
      </c>
      <c r="I197" s="38" t="str">
        <f>'RB · Engineering &amp; Development'!V17</f>
        <v>L</v>
      </c>
      <c r="J197" s="38" t="str">
        <f>'RB · Engineering &amp; Development'!Z17</f>
        <v>L</v>
      </c>
      <c r="K197" s="38" t="str">
        <f>'RB · Engineering &amp; Development'!AD17</f>
        <v>L</v>
      </c>
    </row>
    <row r="198">
      <c r="A198" s="53" t="inlineStr">
        <is>
          <t>Engineering &amp; Development|B2|B-M</t>
        </is>
      </c>
      <c r="B198" s="53" t="inlineStr">
        <is>
          <t>Engineering &amp; Development</t>
        </is>
      </c>
      <c r="C198" s="53" t="inlineStr">
        <is>
          <t>B2</t>
        </is>
      </c>
      <c r="D198" s="53" t="inlineStr">
        <is>
          <t>Band B · People Manager</t>
        </is>
      </c>
      <c r="E198" s="38" t="str">
        <f>'RB · Engineering &amp; Development'!F18</f>
        <v>H</v>
      </c>
      <c r="F198" s="38" t="str">
        <f>'RB · Engineering &amp; Development'!J18</f>
        <v>M</v>
      </c>
      <c r="G198" s="38" t="str">
        <f>'RB · Engineering &amp; Development'!N18</f>
        <v>L</v>
      </c>
      <c r="H198" s="38" t="str">
        <f>'RB · Engineering &amp; Development'!R18</f>
        <v>M</v>
      </c>
      <c r="I198" s="38" t="str">
        <f>'RB · Engineering &amp; Development'!V18</f>
        <v>L</v>
      </c>
      <c r="J198" s="38" t="str">
        <f>'RB · Engineering &amp; Development'!Z18</f>
        <v>L</v>
      </c>
      <c r="K198" s="38" t="str">
        <f>'RB · Engineering &amp; Development'!AD18</f>
        <v>L</v>
      </c>
    </row>
    <row r="199">
      <c r="A199" s="53" t="inlineStr">
        <is>
          <t>Engineering &amp; Development|B2|B-IC</t>
        </is>
      </c>
      <c r="B199" s="53" t="inlineStr">
        <is>
          <t>Engineering &amp; Development</t>
        </is>
      </c>
      <c r="C199" s="53" t="inlineStr">
        <is>
          <t>B2</t>
        </is>
      </c>
      <c r="D199" s="53" t="inlineStr">
        <is>
          <t>Band B · Specialist / POD Lead</t>
        </is>
      </c>
      <c r="E199" s="38" t="str">
        <f>'RB · Engineering &amp; Development'!F19</f>
        <v>H</v>
      </c>
      <c r="F199" s="38" t="str">
        <f>'RB · Engineering &amp; Development'!J19</f>
        <v>M</v>
      </c>
      <c r="G199" s="38" t="str">
        <f>'RB · Engineering &amp; Development'!N19</f>
        <v>L</v>
      </c>
      <c r="H199" s="38" t="str">
        <f>'RB · Engineering &amp; Development'!R19</f>
        <v>L</v>
      </c>
      <c r="I199" s="38" t="str">
        <f>'RB · Engineering &amp; Development'!V19</f>
        <v>L</v>
      </c>
      <c r="J199" s="38" t="str">
        <f>'RB · Engineering &amp; Development'!Z19</f>
        <v>L</v>
      </c>
      <c r="K199" s="38" t="str">
        <f>'RB · Engineering &amp; Development'!AD19</f>
        <v>L</v>
      </c>
    </row>
    <row r="200">
      <c r="A200" s="53" t="inlineStr">
        <is>
          <t>Engineering &amp; Development|B1|B-M</t>
        </is>
      </c>
      <c r="B200" s="53" t="inlineStr">
        <is>
          <t>Engineering &amp; Development</t>
        </is>
      </c>
      <c r="C200" s="53" t="inlineStr">
        <is>
          <t>B1</t>
        </is>
      </c>
      <c r="D200" s="53" t="inlineStr">
        <is>
          <t>Band B · People Manager</t>
        </is>
      </c>
      <c r="E200" s="38" t="str">
        <f>'RB · Engineering &amp; Development'!F20</f>
        <v>H</v>
      </c>
      <c r="F200" s="38" t="str">
        <f>'RB · Engineering &amp; Development'!J20</f>
        <v>M</v>
      </c>
      <c r="G200" s="38" t="str">
        <f>'RB · Engineering &amp; Development'!N20</f>
        <v>L</v>
      </c>
      <c r="H200" s="38" t="str">
        <f>'RB · Engineering &amp; Development'!R20</f>
        <v>M</v>
      </c>
      <c r="I200" s="38" t="str">
        <f>'RB · Engineering &amp; Development'!V20</f>
        <v>L</v>
      </c>
      <c r="J200" s="38" t="str">
        <f>'RB · Engineering &amp; Development'!Z20</f>
        <v>L</v>
      </c>
      <c r="K200" s="38" t="str">
        <f>'RB · Engineering &amp; Development'!AD20</f>
        <v>L</v>
      </c>
    </row>
    <row r="201">
      <c r="A201" s="53" t="inlineStr">
        <is>
          <t>Engineering &amp; Development|B1|B-IC</t>
        </is>
      </c>
      <c r="B201" s="53" t="inlineStr">
        <is>
          <t>Engineering &amp; Development</t>
        </is>
      </c>
      <c r="C201" s="53" t="inlineStr">
        <is>
          <t>B1</t>
        </is>
      </c>
      <c r="D201" s="53" t="inlineStr">
        <is>
          <t>Band B · Specialist / POD Lead</t>
        </is>
      </c>
      <c r="E201" s="38" t="str">
        <f>'RB · Engineering &amp; Development'!F21</f>
        <v>H</v>
      </c>
      <c r="F201" s="38" t="str">
        <f>'RB · Engineering &amp; Development'!J21</f>
        <v>M</v>
      </c>
      <c r="G201" s="38" t="str">
        <f>'RB · Engineering &amp; Development'!N21</f>
        <v>L</v>
      </c>
      <c r="H201" s="38" t="str">
        <f>'RB · Engineering &amp; Development'!R21</f>
        <v>L</v>
      </c>
      <c r="I201" s="38" t="str">
        <f>'RB · Engineering &amp; Development'!V21</f>
        <v>L</v>
      </c>
      <c r="J201" s="38" t="str">
        <f>'RB · Engineering &amp; Development'!Z21</f>
        <v>L</v>
      </c>
      <c r="K201" s="38" t="str">
        <f>'RB · Engineering &amp; Development'!AD21</f>
        <v>L</v>
      </c>
    </row>
    <row r="202">
      <c r="A202" s="53" t="inlineStr">
        <is>
          <t>Engineering &amp; Development|A3|A</t>
        </is>
      </c>
      <c r="B202" s="53" t="inlineStr">
        <is>
          <t>Engineering &amp; Development</t>
        </is>
      </c>
      <c r="C202" s="53" t="inlineStr">
        <is>
          <t>A3</t>
        </is>
      </c>
      <c r="D202" s="53" t="inlineStr">
        <is>
          <t>Band A · all tracks</t>
        </is>
      </c>
      <c r="E202" s="38" t="str">
        <f>'RB · Engineering &amp; Development'!F22</f>
        <v>H</v>
      </c>
      <c r="F202" s="38" t="str">
        <f>'RB · Engineering &amp; Development'!J22</f>
        <v>M</v>
      </c>
      <c r="G202" s="38" t="str">
        <f>'RB · Engineering &amp; Development'!N22</f>
        <v>L</v>
      </c>
      <c r="H202" s="38" t="str">
        <f>'RB · Engineering &amp; Development'!R22</f>
        <v>L</v>
      </c>
      <c r="I202" s="38" t="str">
        <f>'RB · Engineering &amp; Development'!V22</f>
        <v>L</v>
      </c>
      <c r="J202" s="38" t="str">
        <f>'RB · Engineering &amp; Development'!Z22</f>
        <v>L</v>
      </c>
      <c r="K202" s="38" t="str">
        <f>'RB · Engineering &amp; Development'!AD22</f>
        <v>L</v>
      </c>
    </row>
    <row r="203">
      <c r="A203" s="53" t="inlineStr">
        <is>
          <t>Engineering &amp; Development|A2|A</t>
        </is>
      </c>
      <c r="B203" s="53" t="inlineStr">
        <is>
          <t>Engineering &amp; Development</t>
        </is>
      </c>
      <c r="C203" s="53" t="inlineStr">
        <is>
          <t>A2</t>
        </is>
      </c>
      <c r="D203" s="53" t="inlineStr">
        <is>
          <t>Band A · all tracks</t>
        </is>
      </c>
      <c r="E203" s="38" t="str">
        <f>'RB · Engineering &amp; Development'!F23</f>
        <v>H</v>
      </c>
      <c r="F203" s="38" t="str">
        <f>'RB · Engineering &amp; Development'!J23</f>
        <v>M</v>
      </c>
      <c r="G203" s="38" t="str">
        <f>'RB · Engineering &amp; Development'!N23</f>
        <v>L</v>
      </c>
      <c r="H203" s="38" t="str">
        <f>'RB · Engineering &amp; Development'!R23</f>
        <v>L</v>
      </c>
      <c r="I203" s="38" t="str">
        <f>'RB · Engineering &amp; Development'!V23</f>
        <v>L</v>
      </c>
      <c r="J203" s="38" t="str">
        <f>'RB · Engineering &amp; Development'!Z23</f>
        <v>L</v>
      </c>
      <c r="K203" s="38" t="str">
        <f>'RB · Engineering &amp; Development'!AD23</f>
        <v>L</v>
      </c>
    </row>
    <row r="204">
      <c r="A204" s="53" t="inlineStr">
        <is>
          <t>Engineering &amp; Development|A1|A</t>
        </is>
      </c>
      <c r="B204" s="53" t="inlineStr">
        <is>
          <t>Engineering &amp; Development</t>
        </is>
      </c>
      <c r="C204" s="53" t="inlineStr">
        <is>
          <t>A1</t>
        </is>
      </c>
      <c r="D204" s="53" t="inlineStr">
        <is>
          <t>Band A · all tracks</t>
        </is>
      </c>
      <c r="E204" s="38" t="str">
        <f>'RB · Engineering &amp; Development'!F24</f>
        <v>H</v>
      </c>
      <c r="F204" s="38" t="str">
        <f>'RB · Engineering &amp; Development'!J24</f>
        <v>M</v>
      </c>
      <c r="G204" s="38" t="str">
        <f>'RB · Engineering &amp; Development'!N24</f>
        <v>L</v>
      </c>
      <c r="H204" s="38" t="str">
        <f>'RB · Engineering &amp; Development'!R24</f>
        <v>L</v>
      </c>
      <c r="I204" s="38" t="str">
        <f>'RB · Engineering &amp; Development'!V24</f>
        <v>L</v>
      </c>
      <c r="J204" s="38" t="str">
        <f>'RB · Engineering &amp; Development'!Z24</f>
        <v>L</v>
      </c>
      <c r="K204" s="38" t="str">
        <f>'RB · Engineering &amp; Development'!AD24</f>
        <v>L</v>
      </c>
    </row>
    <row r="205">
      <c r="A205" s="53" t="inlineStr">
        <is>
          <t>Executive Leadership|E2|DE</t>
        </is>
      </c>
      <c r="B205" s="53" t="inlineStr">
        <is>
          <t>Executive Leadership</t>
        </is>
      </c>
      <c r="C205" s="53" t="inlineStr">
        <is>
          <t>E2</t>
        </is>
      </c>
      <c r="D205" s="53" t="inlineStr">
        <is>
          <t>Bands D–E · Leadership</t>
        </is>
      </c>
      <c r="E205" s="38" t="str">
        <f>'RB · Executive Leadership'!F6</f>
        <v>H</v>
      </c>
      <c r="F205" s="38" t="str">
        <f>'RB · Executive Leadership'!J6</f>
        <v>M</v>
      </c>
      <c r="G205" s="38" t="str">
        <f>'RB · Executive Leadership'!N6</f>
        <v>M</v>
      </c>
      <c r="H205" s="38" t="str">
        <f>'RB · Executive Leadership'!R6</f>
        <v>M</v>
      </c>
      <c r="I205" s="38" t="str">
        <f>'RB · Executive Leadership'!V6</f>
        <v>L</v>
      </c>
      <c r="J205" s="38" t="str">
        <f>'RB · Executive Leadership'!Z6</f>
        <v>L</v>
      </c>
      <c r="K205" s="38" t="str">
        <f>'RB · Executive Leadership'!AD6</f>
        <v>L</v>
      </c>
    </row>
    <row r="206">
      <c r="A206" s="53" t="inlineStr">
        <is>
          <t>Executive Leadership|E1|DE</t>
        </is>
      </c>
      <c r="B206" s="53" t="inlineStr">
        <is>
          <t>Executive Leadership</t>
        </is>
      </c>
      <c r="C206" s="53" t="inlineStr">
        <is>
          <t>E1</t>
        </is>
      </c>
      <c r="D206" s="53" t="inlineStr">
        <is>
          <t>Bands D–E · Leadership</t>
        </is>
      </c>
      <c r="E206" s="38" t="str">
        <f>'RB · Executive Leadership'!F7</f>
        <v>H</v>
      </c>
      <c r="F206" s="38" t="str">
        <f>'RB · Executive Leadership'!J7</f>
        <v>M</v>
      </c>
      <c r="G206" s="38" t="str">
        <f>'RB · Executive Leadership'!N7</f>
        <v>M</v>
      </c>
      <c r="H206" s="38" t="str">
        <f>'RB · Executive Leadership'!R7</f>
        <v>M</v>
      </c>
      <c r="I206" s="38" t="str">
        <f>'RB · Executive Leadership'!V7</f>
        <v>L</v>
      </c>
      <c r="J206" s="38" t="str">
        <f>'RB · Executive Leadership'!Z7</f>
        <v>L</v>
      </c>
      <c r="K206" s="38" t="str">
        <f>'RB · Executive Leadership'!AD7</f>
        <v>L</v>
      </c>
    </row>
    <row r="207">
      <c r="A207" s="53" t="inlineStr">
        <is>
          <t>Executive Leadership|D2|DE</t>
        </is>
      </c>
      <c r="B207" s="53" t="inlineStr">
        <is>
          <t>Executive Leadership</t>
        </is>
      </c>
      <c r="C207" s="53" t="inlineStr">
        <is>
          <t>D2</t>
        </is>
      </c>
      <c r="D207" s="53" t="inlineStr">
        <is>
          <t>Bands D–E · Leadership</t>
        </is>
      </c>
      <c r="E207" s="38" t="str">
        <f>'RB · Executive Leadership'!F8</f>
        <v>H</v>
      </c>
      <c r="F207" s="38" t="str">
        <f>'RB · Executive Leadership'!J8</f>
        <v>M</v>
      </c>
      <c r="G207" s="38" t="str">
        <f>'RB · Executive Leadership'!N8</f>
        <v>M</v>
      </c>
      <c r="H207" s="38" t="str">
        <f>'RB · Executive Leadership'!R8</f>
        <v>M</v>
      </c>
      <c r="I207" s="38" t="str">
        <f>'RB · Executive Leadership'!V8</f>
        <v>L</v>
      </c>
      <c r="J207" s="38" t="str">
        <f>'RB · Executive Leadership'!Z8</f>
        <v>L</v>
      </c>
      <c r="K207" s="38" t="str">
        <f>'RB · Executive Leadership'!AD8</f>
        <v>L</v>
      </c>
    </row>
    <row r="208">
      <c r="A208" s="53" t="inlineStr">
        <is>
          <t>Executive Leadership|D1|DE</t>
        </is>
      </c>
      <c r="B208" s="53" t="inlineStr">
        <is>
          <t>Executive Leadership</t>
        </is>
      </c>
      <c r="C208" s="53" t="inlineStr">
        <is>
          <t>D1</t>
        </is>
      </c>
      <c r="D208" s="53" t="inlineStr">
        <is>
          <t>Bands D–E · Leadership</t>
        </is>
      </c>
      <c r="E208" s="38" t="str">
        <f>'RB · Executive Leadership'!F9</f>
        <v>H</v>
      </c>
      <c r="F208" s="38" t="str">
        <f>'RB · Executive Leadership'!J9</f>
        <v>M</v>
      </c>
      <c r="G208" s="38" t="str">
        <f>'RB · Executive Leadership'!N9</f>
        <v>M</v>
      </c>
      <c r="H208" s="38" t="str">
        <f>'RB · Executive Leadership'!R9</f>
        <v>M</v>
      </c>
      <c r="I208" s="38" t="str">
        <f>'RB · Executive Leadership'!V9</f>
        <v>L</v>
      </c>
      <c r="J208" s="38" t="str">
        <f>'RB · Executive Leadership'!Z9</f>
        <v>L</v>
      </c>
      <c r="K208" s="38" t="str">
        <f>'RB · Executive Leadership'!AD9</f>
        <v>L</v>
      </c>
    </row>
    <row r="209">
      <c r="A209" s="53" t="inlineStr">
        <is>
          <t>Executive Leadership|C+|C+</t>
        </is>
      </c>
      <c r="B209" s="53" t="inlineStr">
        <is>
          <t>Executive Leadership</t>
        </is>
      </c>
      <c r="C209" s="53" t="inlineStr">
        <is>
          <t>C+</t>
        </is>
      </c>
      <c r="D209" s="53" t="inlineStr">
        <is>
          <t>C+ · Player-Coach</t>
        </is>
      </c>
      <c r="E209" s="38" t="str">
        <f>'RB · Executive Leadership'!F10</f>
        <v>H</v>
      </c>
      <c r="F209" s="38" t="str">
        <f>'RB · Executive Leadership'!J10</f>
        <v>M</v>
      </c>
      <c r="G209" s="38" t="str">
        <f>'RB · Executive Leadership'!N10</f>
        <v>M</v>
      </c>
      <c r="H209" s="38" t="str">
        <f>'RB · Executive Leadership'!R10</f>
        <v>M</v>
      </c>
      <c r="I209" s="38" t="str">
        <f>'RB · Executive Leadership'!V10</f>
        <v>L</v>
      </c>
      <c r="J209" s="38" t="str">
        <f>'RB · Executive Leadership'!Z10</f>
        <v>L</v>
      </c>
      <c r="K209" s="38" t="str">
        <f>'RB · Executive Leadership'!AD10</f>
        <v>L</v>
      </c>
    </row>
    <row r="210">
      <c r="A210" s="53" t="inlineStr">
        <is>
          <t>Executive Leadership|C2|C-M</t>
        </is>
      </c>
      <c r="B210" s="53" t="inlineStr">
        <is>
          <t>Executive Leadership</t>
        </is>
      </c>
      <c r="C210" s="53" t="inlineStr">
        <is>
          <t>C2</t>
        </is>
      </c>
      <c r="D210" s="53" t="inlineStr">
        <is>
          <t>Band C · Head / manager</t>
        </is>
      </c>
      <c r="E210" s="38" t="str">
        <f>'RB · Executive Leadership'!F11</f>
        <v>H</v>
      </c>
      <c r="F210" s="38" t="str">
        <f>'RB · Executive Leadership'!J11</f>
        <v>M</v>
      </c>
      <c r="G210" s="38" t="str">
        <f>'RB · Executive Leadership'!N11</f>
        <v>M</v>
      </c>
      <c r="H210" s="38" t="str">
        <f>'RB · Executive Leadership'!R11</f>
        <v>M</v>
      </c>
      <c r="I210" s="38" t="str">
        <f>'RB · Executive Leadership'!V11</f>
        <v>L</v>
      </c>
      <c r="J210" s="38" t="str">
        <f>'RB · Executive Leadership'!Z11</f>
        <v>L</v>
      </c>
      <c r="K210" s="38" t="str">
        <f>'RB · Executive Leadership'!AD11</f>
        <v>L</v>
      </c>
    </row>
    <row r="211">
      <c r="A211" s="53" t="inlineStr">
        <is>
          <t>Executive Leadership|C2|C-IC</t>
        </is>
      </c>
      <c r="B211" s="53" t="inlineStr">
        <is>
          <t>Executive Leadership</t>
        </is>
      </c>
      <c r="C211" s="53" t="inlineStr">
        <is>
          <t>C2</t>
        </is>
      </c>
      <c r="D211" s="53" t="inlineStr">
        <is>
          <t>Band C · Principal specialist</t>
        </is>
      </c>
      <c r="E211" s="38" t="str">
        <f>'RB · Executive Leadership'!F12</f>
        <v>H</v>
      </c>
      <c r="F211" s="38" t="str">
        <f>'RB · Executive Leadership'!J12</f>
        <v>M</v>
      </c>
      <c r="G211" s="38" t="str">
        <f>'RB · Executive Leadership'!N12</f>
        <v>M</v>
      </c>
      <c r="H211" s="38" t="str">
        <f>'RB · Executive Leadership'!R12</f>
        <v>L</v>
      </c>
      <c r="I211" s="38" t="str">
        <f>'RB · Executive Leadership'!V12</f>
        <v>L</v>
      </c>
      <c r="J211" s="38" t="str">
        <f>'RB · Executive Leadership'!Z12</f>
        <v>L</v>
      </c>
      <c r="K211" s="38" t="str">
        <f>'RB · Executive Leadership'!AD12</f>
        <v>L</v>
      </c>
    </row>
    <row r="212">
      <c r="A212" s="53" t="inlineStr">
        <is>
          <t>Executive Leadership|C1|C-M</t>
        </is>
      </c>
      <c r="B212" s="53" t="inlineStr">
        <is>
          <t>Executive Leadership</t>
        </is>
      </c>
      <c r="C212" s="53" t="inlineStr">
        <is>
          <t>C1</t>
        </is>
      </c>
      <c r="D212" s="53" t="inlineStr">
        <is>
          <t>Band C · Head / manager</t>
        </is>
      </c>
      <c r="E212" s="38" t="str">
        <f>'RB · Executive Leadership'!F13</f>
        <v>H</v>
      </c>
      <c r="F212" s="38" t="str">
        <f>'RB · Executive Leadership'!J13</f>
        <v>M</v>
      </c>
      <c r="G212" s="38" t="str">
        <f>'RB · Executive Leadership'!N13</f>
        <v>M</v>
      </c>
      <c r="H212" s="38" t="str">
        <f>'RB · Executive Leadership'!R13</f>
        <v>M</v>
      </c>
      <c r="I212" s="38" t="str">
        <f>'RB · Executive Leadership'!V13</f>
        <v>L</v>
      </c>
      <c r="J212" s="38" t="str">
        <f>'RB · Executive Leadership'!Z13</f>
        <v>L</v>
      </c>
      <c r="K212" s="38" t="str">
        <f>'RB · Executive Leadership'!AD13</f>
        <v>L</v>
      </c>
    </row>
    <row r="213">
      <c r="A213" s="53" t="inlineStr">
        <is>
          <t>Executive Leadership|C1|C-IC</t>
        </is>
      </c>
      <c r="B213" s="53" t="inlineStr">
        <is>
          <t>Executive Leadership</t>
        </is>
      </c>
      <c r="C213" s="53" t="inlineStr">
        <is>
          <t>C1</t>
        </is>
      </c>
      <c r="D213" s="53" t="inlineStr">
        <is>
          <t>Band C · Principal specialist</t>
        </is>
      </c>
      <c r="E213" s="38" t="str">
        <f>'RB · Executive Leadership'!F14</f>
        <v>H</v>
      </c>
      <c r="F213" s="38" t="str">
        <f>'RB · Executive Leadership'!J14</f>
        <v>M</v>
      </c>
      <c r="G213" s="38" t="str">
        <f>'RB · Executive Leadership'!N14</f>
        <v>M</v>
      </c>
      <c r="H213" s="38" t="str">
        <f>'RB · Executive Leadership'!R14</f>
        <v>L</v>
      </c>
      <c r="I213" s="38" t="str">
        <f>'RB · Executive Leadership'!V14</f>
        <v>L</v>
      </c>
      <c r="J213" s="38" t="str">
        <f>'RB · Executive Leadership'!Z14</f>
        <v>L</v>
      </c>
      <c r="K213" s="38" t="str">
        <f>'RB · Executive Leadership'!AD14</f>
        <v>L</v>
      </c>
    </row>
    <row r="214">
      <c r="A214" s="53" t="inlineStr">
        <is>
          <t>Executive Leadership|B+|B+</t>
        </is>
      </c>
      <c r="B214" s="53" t="inlineStr">
        <is>
          <t>Executive Leadership</t>
        </is>
      </c>
      <c r="C214" s="53" t="inlineStr">
        <is>
          <t>B+</t>
        </is>
      </c>
      <c r="D214" s="53" t="inlineStr">
        <is>
          <t>B+ · Player-Coach</t>
        </is>
      </c>
      <c r="E214" s="38" t="str">
        <f>'RB · Executive Leadership'!F15</f>
        <v>H</v>
      </c>
      <c r="F214" s="38" t="str">
        <f>'RB · Executive Leadership'!J15</f>
        <v>M</v>
      </c>
      <c r="G214" s="38" t="str">
        <f>'RB · Executive Leadership'!N15</f>
        <v>M</v>
      </c>
      <c r="H214" s="38" t="str">
        <f>'RB · Executive Leadership'!R15</f>
        <v>M</v>
      </c>
      <c r="I214" s="38" t="str">
        <f>'RB · Executive Leadership'!V15</f>
        <v>L</v>
      </c>
      <c r="J214" s="38" t="str">
        <f>'RB · Executive Leadership'!Z15</f>
        <v>L</v>
      </c>
      <c r="K214" s="38" t="str">
        <f>'RB · Executive Leadership'!AD15</f>
        <v>L</v>
      </c>
    </row>
    <row r="215">
      <c r="A215" s="53" t="inlineStr">
        <is>
          <t>Executive Leadership|B3|B-M</t>
        </is>
      </c>
      <c r="B215" s="53" t="inlineStr">
        <is>
          <t>Executive Leadership</t>
        </is>
      </c>
      <c r="C215" s="53" t="inlineStr">
        <is>
          <t>B3</t>
        </is>
      </c>
      <c r="D215" s="53" t="inlineStr">
        <is>
          <t>Band B · People Manager</t>
        </is>
      </c>
      <c r="E215" s="38" t="str">
        <f>'RB · Executive Leadership'!F16</f>
        <v>H</v>
      </c>
      <c r="F215" s="38" t="str">
        <f>'RB · Executive Leadership'!J16</f>
        <v>M</v>
      </c>
      <c r="G215" s="38" t="str">
        <f>'RB · Executive Leadership'!N16</f>
        <v>M</v>
      </c>
      <c r="H215" s="38" t="str">
        <f>'RB · Executive Leadership'!R16</f>
        <v>M</v>
      </c>
      <c r="I215" s="38" t="str">
        <f>'RB · Executive Leadership'!V16</f>
        <v>L</v>
      </c>
      <c r="J215" s="38" t="str">
        <f>'RB · Executive Leadership'!Z16</f>
        <v>L</v>
      </c>
      <c r="K215" s="38" t="str">
        <f>'RB · Executive Leadership'!AD16</f>
        <v>L</v>
      </c>
    </row>
    <row r="216">
      <c r="A216" s="53" t="inlineStr">
        <is>
          <t>Executive Leadership|B3|B-IC</t>
        </is>
      </c>
      <c r="B216" s="53" t="inlineStr">
        <is>
          <t>Executive Leadership</t>
        </is>
      </c>
      <c r="C216" s="53" t="inlineStr">
        <is>
          <t>B3</t>
        </is>
      </c>
      <c r="D216" s="53" t="inlineStr">
        <is>
          <t>Band B · Specialist / POD Lead</t>
        </is>
      </c>
      <c r="E216" s="38" t="str">
        <f>'RB · Executive Leadership'!F17</f>
        <v>H</v>
      </c>
      <c r="F216" s="38" t="str">
        <f>'RB · Executive Leadership'!J17</f>
        <v>M</v>
      </c>
      <c r="G216" s="38" t="str">
        <f>'RB · Executive Leadership'!N17</f>
        <v>M</v>
      </c>
      <c r="H216" s="38" t="str">
        <f>'RB · Executive Leadership'!R17</f>
        <v>L</v>
      </c>
      <c r="I216" s="38" t="str">
        <f>'RB · Executive Leadership'!V17</f>
        <v>L</v>
      </c>
      <c r="J216" s="38" t="str">
        <f>'RB · Executive Leadership'!Z17</f>
        <v>L</v>
      </c>
      <c r="K216" s="38" t="str">
        <f>'RB · Executive Leadership'!AD17</f>
        <v>L</v>
      </c>
    </row>
    <row r="217">
      <c r="A217" s="53" t="inlineStr">
        <is>
          <t>Executive Leadership|B2|B-M</t>
        </is>
      </c>
      <c r="B217" s="53" t="inlineStr">
        <is>
          <t>Executive Leadership</t>
        </is>
      </c>
      <c r="C217" s="53" t="inlineStr">
        <is>
          <t>B2</t>
        </is>
      </c>
      <c r="D217" s="53" t="inlineStr">
        <is>
          <t>Band B · People Manager</t>
        </is>
      </c>
      <c r="E217" s="38" t="str">
        <f>'RB · Executive Leadership'!F18</f>
        <v>H</v>
      </c>
      <c r="F217" s="38" t="str">
        <f>'RB · Executive Leadership'!J18</f>
        <v>M</v>
      </c>
      <c r="G217" s="38" t="str">
        <f>'RB · Executive Leadership'!N18</f>
        <v>M</v>
      </c>
      <c r="H217" s="38" t="str">
        <f>'RB · Executive Leadership'!R18</f>
        <v>M</v>
      </c>
      <c r="I217" s="38" t="str">
        <f>'RB · Executive Leadership'!V18</f>
        <v>L</v>
      </c>
      <c r="J217" s="38" t="str">
        <f>'RB · Executive Leadership'!Z18</f>
        <v>L</v>
      </c>
      <c r="K217" s="38" t="str">
        <f>'RB · Executive Leadership'!AD18</f>
        <v>L</v>
      </c>
    </row>
    <row r="218">
      <c r="A218" s="53" t="inlineStr">
        <is>
          <t>Executive Leadership|B2|B-IC</t>
        </is>
      </c>
      <c r="B218" s="53" t="inlineStr">
        <is>
          <t>Executive Leadership</t>
        </is>
      </c>
      <c r="C218" s="53" t="inlineStr">
        <is>
          <t>B2</t>
        </is>
      </c>
      <c r="D218" s="53" t="inlineStr">
        <is>
          <t>Band B · Specialist / POD Lead</t>
        </is>
      </c>
      <c r="E218" s="38" t="str">
        <f>'RB · Executive Leadership'!F19</f>
        <v>H</v>
      </c>
      <c r="F218" s="38" t="str">
        <f>'RB · Executive Leadership'!J19</f>
        <v>M</v>
      </c>
      <c r="G218" s="38" t="str">
        <f>'RB · Executive Leadership'!N19</f>
        <v>M</v>
      </c>
      <c r="H218" s="38" t="str">
        <f>'RB · Executive Leadership'!R19</f>
        <v>L</v>
      </c>
      <c r="I218" s="38" t="str">
        <f>'RB · Executive Leadership'!V19</f>
        <v>L</v>
      </c>
      <c r="J218" s="38" t="str">
        <f>'RB · Executive Leadership'!Z19</f>
        <v>L</v>
      </c>
      <c r="K218" s="38" t="str">
        <f>'RB · Executive Leadership'!AD19</f>
        <v>L</v>
      </c>
    </row>
    <row r="219">
      <c r="A219" s="53" t="inlineStr">
        <is>
          <t>Executive Leadership|B1|B-M</t>
        </is>
      </c>
      <c r="B219" s="53" t="inlineStr">
        <is>
          <t>Executive Leadership</t>
        </is>
      </c>
      <c r="C219" s="53" t="inlineStr">
        <is>
          <t>B1</t>
        </is>
      </c>
      <c r="D219" s="53" t="inlineStr">
        <is>
          <t>Band B · People Manager</t>
        </is>
      </c>
      <c r="E219" s="38" t="str">
        <f>'RB · Executive Leadership'!F20</f>
        <v>H</v>
      </c>
      <c r="F219" s="38" t="str">
        <f>'RB · Executive Leadership'!J20</f>
        <v>M</v>
      </c>
      <c r="G219" s="38" t="str">
        <f>'RB · Executive Leadership'!N20</f>
        <v>M</v>
      </c>
      <c r="H219" s="38" t="str">
        <f>'RB · Executive Leadership'!R20</f>
        <v>M</v>
      </c>
      <c r="I219" s="38" t="str">
        <f>'RB · Executive Leadership'!V20</f>
        <v>L</v>
      </c>
      <c r="J219" s="38" t="str">
        <f>'RB · Executive Leadership'!Z20</f>
        <v>L</v>
      </c>
      <c r="K219" s="38" t="str">
        <f>'RB · Executive Leadership'!AD20</f>
        <v>L</v>
      </c>
    </row>
    <row r="220">
      <c r="A220" s="53" t="inlineStr">
        <is>
          <t>Executive Leadership|B1|B-IC</t>
        </is>
      </c>
      <c r="B220" s="53" t="inlineStr">
        <is>
          <t>Executive Leadership</t>
        </is>
      </c>
      <c r="C220" s="53" t="inlineStr">
        <is>
          <t>B1</t>
        </is>
      </c>
      <c r="D220" s="53" t="inlineStr">
        <is>
          <t>Band B · Specialist / POD Lead</t>
        </is>
      </c>
      <c r="E220" s="38" t="str">
        <f>'RB · Executive Leadership'!F21</f>
        <v>H</v>
      </c>
      <c r="F220" s="38" t="str">
        <f>'RB · Executive Leadership'!J21</f>
        <v>M</v>
      </c>
      <c r="G220" s="38" t="str">
        <f>'RB · Executive Leadership'!N21</f>
        <v>M</v>
      </c>
      <c r="H220" s="38" t="str">
        <f>'RB · Executive Leadership'!R21</f>
        <v>L</v>
      </c>
      <c r="I220" s="38" t="str">
        <f>'RB · Executive Leadership'!V21</f>
        <v>L</v>
      </c>
      <c r="J220" s="38" t="str">
        <f>'RB · Executive Leadership'!Z21</f>
        <v>L</v>
      </c>
      <c r="K220" s="38" t="str">
        <f>'RB · Executive Leadership'!AD21</f>
        <v>L</v>
      </c>
    </row>
    <row r="221">
      <c r="A221" s="53" t="inlineStr">
        <is>
          <t>Executive Leadership|A3|A</t>
        </is>
      </c>
      <c r="B221" s="53" t="inlineStr">
        <is>
          <t>Executive Leadership</t>
        </is>
      </c>
      <c r="C221" s="53" t="inlineStr">
        <is>
          <t>A3</t>
        </is>
      </c>
      <c r="D221" s="53" t="inlineStr">
        <is>
          <t>Band A · all tracks</t>
        </is>
      </c>
      <c r="E221" s="38" t="str">
        <f>'RB · Executive Leadership'!F22</f>
        <v>H</v>
      </c>
      <c r="F221" s="38" t="str">
        <f>'RB · Executive Leadership'!J22</f>
        <v>M</v>
      </c>
      <c r="G221" s="38" t="str">
        <f>'RB · Executive Leadership'!N22</f>
        <v>M</v>
      </c>
      <c r="H221" s="38" t="str">
        <f>'RB · Executive Leadership'!R22</f>
        <v>L</v>
      </c>
      <c r="I221" s="38" t="str">
        <f>'RB · Executive Leadership'!V22</f>
        <v>L</v>
      </c>
      <c r="J221" s="38" t="str">
        <f>'RB · Executive Leadership'!Z22</f>
        <v>L</v>
      </c>
      <c r="K221" s="38" t="str">
        <f>'RB · Executive Leadership'!AD22</f>
        <v>L</v>
      </c>
    </row>
    <row r="222">
      <c r="A222" s="53" t="inlineStr">
        <is>
          <t>Executive Leadership|A2|A</t>
        </is>
      </c>
      <c r="B222" s="53" t="inlineStr">
        <is>
          <t>Executive Leadership</t>
        </is>
      </c>
      <c r="C222" s="53" t="inlineStr">
        <is>
          <t>A2</t>
        </is>
      </c>
      <c r="D222" s="53" t="inlineStr">
        <is>
          <t>Band A · all tracks</t>
        </is>
      </c>
      <c r="E222" s="38" t="str">
        <f>'RB · Executive Leadership'!F23</f>
        <v>H</v>
      </c>
      <c r="F222" s="38" t="str">
        <f>'RB · Executive Leadership'!J23</f>
        <v>M</v>
      </c>
      <c r="G222" s="38" t="str">
        <f>'RB · Executive Leadership'!N23</f>
        <v>M</v>
      </c>
      <c r="H222" s="38" t="str">
        <f>'RB · Executive Leadership'!R23</f>
        <v>L</v>
      </c>
      <c r="I222" s="38" t="str">
        <f>'RB · Executive Leadership'!V23</f>
        <v>L</v>
      </c>
      <c r="J222" s="38" t="str">
        <f>'RB · Executive Leadership'!Z23</f>
        <v>L</v>
      </c>
      <c r="K222" s="38" t="str">
        <f>'RB · Executive Leadership'!AD23</f>
        <v>L</v>
      </c>
    </row>
    <row r="223">
      <c r="A223" s="53" t="inlineStr">
        <is>
          <t>Executive Leadership|A1|A</t>
        </is>
      </c>
      <c r="B223" s="53" t="inlineStr">
        <is>
          <t>Executive Leadership</t>
        </is>
      </c>
      <c r="C223" s="53" t="inlineStr">
        <is>
          <t>A1</t>
        </is>
      </c>
      <c r="D223" s="53" t="inlineStr">
        <is>
          <t>Band A · all tracks</t>
        </is>
      </c>
      <c r="E223" s="38" t="str">
        <f>'RB · Executive Leadership'!F24</f>
        <v>H</v>
      </c>
      <c r="F223" s="38" t="str">
        <f>'RB · Executive Leadership'!J24</f>
        <v>M</v>
      </c>
      <c r="G223" s="38" t="str">
        <f>'RB · Executive Leadership'!N24</f>
        <v>M</v>
      </c>
      <c r="H223" s="38" t="str">
        <f>'RB · Executive Leadership'!R24</f>
        <v>L</v>
      </c>
      <c r="I223" s="38" t="str">
        <f>'RB · Executive Leadership'!V24</f>
        <v>L</v>
      </c>
      <c r="J223" s="38" t="str">
        <f>'RB · Executive Leadership'!Z24</f>
        <v>L</v>
      </c>
      <c r="K223" s="38" t="str">
        <f>'RB · Executive Leadership'!AD24</f>
        <v>L</v>
      </c>
    </row>
    <row r="224">
      <c r="A224" s="53" t="inlineStr">
        <is>
          <t>Finance &amp; Accounts|E2|DE</t>
        </is>
      </c>
      <c r="B224" s="53" t="inlineStr">
        <is>
          <t>Finance &amp; Accounts</t>
        </is>
      </c>
      <c r="C224" s="53" t="inlineStr">
        <is>
          <t>E2</t>
        </is>
      </c>
      <c r="D224" s="53" t="inlineStr">
        <is>
          <t>Bands D–E · Leadership</t>
        </is>
      </c>
      <c r="E224" s="38" t="str">
        <f>'RB · Finance &amp; Accounts'!F6</f>
        <v>H</v>
      </c>
      <c r="F224" s="38" t="str">
        <f>'RB · Finance &amp; Accounts'!J6</f>
        <v>M</v>
      </c>
      <c r="G224" s="38" t="str">
        <f>'RB · Finance &amp; Accounts'!N6</f>
        <v>M</v>
      </c>
      <c r="H224" s="38" t="str">
        <f>'RB · Finance &amp; Accounts'!R6</f>
        <v>M</v>
      </c>
      <c r="I224" s="38" t="str">
        <f>'RB · Finance &amp; Accounts'!V6</f>
        <v>L</v>
      </c>
      <c r="J224" s="38" t="str">
        <f>'RB · Finance &amp; Accounts'!Z6</f>
        <v>L</v>
      </c>
      <c r="K224" s="38" t="str">
        <f>'RB · Finance &amp; Accounts'!AD6</f>
        <v>L</v>
      </c>
    </row>
    <row r="225">
      <c r="A225" s="53" t="inlineStr">
        <is>
          <t>Finance &amp; Accounts|E1|DE</t>
        </is>
      </c>
      <c r="B225" s="53" t="inlineStr">
        <is>
          <t>Finance &amp; Accounts</t>
        </is>
      </c>
      <c r="C225" s="53" t="inlineStr">
        <is>
          <t>E1</t>
        </is>
      </c>
      <c r="D225" s="53" t="inlineStr">
        <is>
          <t>Bands D–E · Leadership</t>
        </is>
      </c>
      <c r="E225" s="38" t="str">
        <f>'RB · Finance &amp; Accounts'!F7</f>
        <v>H</v>
      </c>
      <c r="F225" s="38" t="str">
        <f>'RB · Finance &amp; Accounts'!J7</f>
        <v>M</v>
      </c>
      <c r="G225" s="38" t="str">
        <f>'RB · Finance &amp; Accounts'!N7</f>
        <v>M</v>
      </c>
      <c r="H225" s="38" t="str">
        <f>'RB · Finance &amp; Accounts'!R7</f>
        <v>M</v>
      </c>
      <c r="I225" s="38" t="str">
        <f>'RB · Finance &amp; Accounts'!V7</f>
        <v>L</v>
      </c>
      <c r="J225" s="38" t="str">
        <f>'RB · Finance &amp; Accounts'!Z7</f>
        <v>L</v>
      </c>
      <c r="K225" s="38" t="str">
        <f>'RB · Finance &amp; Accounts'!AD7</f>
        <v>L</v>
      </c>
    </row>
    <row r="226">
      <c r="A226" s="53" t="inlineStr">
        <is>
          <t>Finance &amp; Accounts|D2|DE</t>
        </is>
      </c>
      <c r="B226" s="53" t="inlineStr">
        <is>
          <t>Finance &amp; Accounts</t>
        </is>
      </c>
      <c r="C226" s="53" t="inlineStr">
        <is>
          <t>D2</t>
        </is>
      </c>
      <c r="D226" s="53" t="inlineStr">
        <is>
          <t>Bands D–E · Leadership</t>
        </is>
      </c>
      <c r="E226" s="38" t="str">
        <f>'RB · Finance &amp; Accounts'!F8</f>
        <v>H</v>
      </c>
      <c r="F226" s="38" t="str">
        <f>'RB · Finance &amp; Accounts'!J8</f>
        <v>M</v>
      </c>
      <c r="G226" s="38" t="str">
        <f>'RB · Finance &amp; Accounts'!N8</f>
        <v>M</v>
      </c>
      <c r="H226" s="38" t="str">
        <f>'RB · Finance &amp; Accounts'!R8</f>
        <v>M</v>
      </c>
      <c r="I226" s="38" t="str">
        <f>'RB · Finance &amp; Accounts'!V8</f>
        <v>L</v>
      </c>
      <c r="J226" s="38" t="str">
        <f>'RB · Finance &amp; Accounts'!Z8</f>
        <v>L</v>
      </c>
      <c r="K226" s="38" t="str">
        <f>'RB · Finance &amp; Accounts'!AD8</f>
        <v>L</v>
      </c>
    </row>
    <row r="227">
      <c r="A227" s="53" t="inlineStr">
        <is>
          <t>Finance &amp; Accounts|D1|DE</t>
        </is>
      </c>
      <c r="B227" s="53" t="inlineStr">
        <is>
          <t>Finance &amp; Accounts</t>
        </is>
      </c>
      <c r="C227" s="53" t="inlineStr">
        <is>
          <t>D1</t>
        </is>
      </c>
      <c r="D227" s="53" t="inlineStr">
        <is>
          <t>Bands D–E · Leadership</t>
        </is>
      </c>
      <c r="E227" s="38" t="str">
        <f>'RB · Finance &amp; Accounts'!F9</f>
        <v>H</v>
      </c>
      <c r="F227" s="38" t="str">
        <f>'RB · Finance &amp; Accounts'!J9</f>
        <v>M</v>
      </c>
      <c r="G227" s="38" t="str">
        <f>'RB · Finance &amp; Accounts'!N9</f>
        <v>M</v>
      </c>
      <c r="H227" s="38" t="str">
        <f>'RB · Finance &amp; Accounts'!R9</f>
        <v>M</v>
      </c>
      <c r="I227" s="38" t="str">
        <f>'RB · Finance &amp; Accounts'!V9</f>
        <v>L</v>
      </c>
      <c r="J227" s="38" t="str">
        <f>'RB · Finance &amp; Accounts'!Z9</f>
        <v>L</v>
      </c>
      <c r="K227" s="38" t="str">
        <f>'RB · Finance &amp; Accounts'!AD9</f>
        <v>L</v>
      </c>
    </row>
    <row r="228">
      <c r="A228" s="53" t="inlineStr">
        <is>
          <t>Finance &amp; Accounts|C+|C+</t>
        </is>
      </c>
      <c r="B228" s="53" t="inlineStr">
        <is>
          <t>Finance &amp; Accounts</t>
        </is>
      </c>
      <c r="C228" s="53" t="inlineStr">
        <is>
          <t>C+</t>
        </is>
      </c>
      <c r="D228" s="53" t="inlineStr">
        <is>
          <t>C+ · Player-Coach</t>
        </is>
      </c>
      <c r="E228" s="38" t="str">
        <f>'RB · Finance &amp; Accounts'!F10</f>
        <v>H</v>
      </c>
      <c r="F228" s="38" t="str">
        <f>'RB · Finance &amp; Accounts'!J10</f>
        <v>M</v>
      </c>
      <c r="G228" s="38" t="str">
        <f>'RB · Finance &amp; Accounts'!N10</f>
        <v>M</v>
      </c>
      <c r="H228" s="38" t="str">
        <f>'RB · Finance &amp; Accounts'!R10</f>
        <v>M</v>
      </c>
      <c r="I228" s="38" t="str">
        <f>'RB · Finance &amp; Accounts'!V10</f>
        <v>L</v>
      </c>
      <c r="J228" s="38" t="str">
        <f>'RB · Finance &amp; Accounts'!Z10</f>
        <v>L</v>
      </c>
      <c r="K228" s="38" t="str">
        <f>'RB · Finance &amp; Accounts'!AD10</f>
        <v>L</v>
      </c>
    </row>
    <row r="229">
      <c r="A229" s="53" t="inlineStr">
        <is>
          <t>Finance &amp; Accounts|C2|C-M</t>
        </is>
      </c>
      <c r="B229" s="53" t="inlineStr">
        <is>
          <t>Finance &amp; Accounts</t>
        </is>
      </c>
      <c r="C229" s="53" t="inlineStr">
        <is>
          <t>C2</t>
        </is>
      </c>
      <c r="D229" s="53" t="inlineStr">
        <is>
          <t>Band C · Head / manager</t>
        </is>
      </c>
      <c r="E229" s="38" t="str">
        <f>'RB · Finance &amp; Accounts'!F11</f>
        <v>H</v>
      </c>
      <c r="F229" s="38" t="str">
        <f>'RB · Finance &amp; Accounts'!J11</f>
        <v>M</v>
      </c>
      <c r="G229" s="38" t="str">
        <f>'RB · Finance &amp; Accounts'!N11</f>
        <v>M</v>
      </c>
      <c r="H229" s="38" t="str">
        <f>'RB · Finance &amp; Accounts'!R11</f>
        <v>M</v>
      </c>
      <c r="I229" s="38" t="str">
        <f>'RB · Finance &amp; Accounts'!V11</f>
        <v>L</v>
      </c>
      <c r="J229" s="38" t="str">
        <f>'RB · Finance &amp; Accounts'!Z11</f>
        <v>L</v>
      </c>
      <c r="K229" s="38" t="str">
        <f>'RB · Finance &amp; Accounts'!AD11</f>
        <v>L</v>
      </c>
    </row>
    <row r="230">
      <c r="A230" s="53" t="inlineStr">
        <is>
          <t>Finance &amp; Accounts|C2|C-IC</t>
        </is>
      </c>
      <c r="B230" s="53" t="inlineStr">
        <is>
          <t>Finance &amp; Accounts</t>
        </is>
      </c>
      <c r="C230" s="53" t="inlineStr">
        <is>
          <t>C2</t>
        </is>
      </c>
      <c r="D230" s="53" t="inlineStr">
        <is>
          <t>Band C · Principal specialist</t>
        </is>
      </c>
      <c r="E230" s="38" t="str">
        <f>'RB · Finance &amp; Accounts'!F12</f>
        <v>H</v>
      </c>
      <c r="F230" s="38" t="str">
        <f>'RB · Finance &amp; Accounts'!J12</f>
        <v>M</v>
      </c>
      <c r="G230" s="38" t="str">
        <f>'RB · Finance &amp; Accounts'!N12</f>
        <v>M</v>
      </c>
      <c r="H230" s="38" t="str">
        <f>'RB · Finance &amp; Accounts'!R12</f>
        <v>L</v>
      </c>
      <c r="I230" s="38" t="str">
        <f>'RB · Finance &amp; Accounts'!V12</f>
        <v>L</v>
      </c>
      <c r="J230" s="38" t="str">
        <f>'RB · Finance &amp; Accounts'!Z12</f>
        <v>L</v>
      </c>
      <c r="K230" s="38" t="str">
        <f>'RB · Finance &amp; Accounts'!AD12</f>
        <v>L</v>
      </c>
    </row>
    <row r="231">
      <c r="A231" s="53" t="inlineStr">
        <is>
          <t>Finance &amp; Accounts|C1|C-M</t>
        </is>
      </c>
      <c r="B231" s="53" t="inlineStr">
        <is>
          <t>Finance &amp; Accounts</t>
        </is>
      </c>
      <c r="C231" s="53" t="inlineStr">
        <is>
          <t>C1</t>
        </is>
      </c>
      <c r="D231" s="53" t="inlineStr">
        <is>
          <t>Band C · Head / manager</t>
        </is>
      </c>
      <c r="E231" s="38" t="str">
        <f>'RB · Finance &amp; Accounts'!F13</f>
        <v>H</v>
      </c>
      <c r="F231" s="38" t="str">
        <f>'RB · Finance &amp; Accounts'!J13</f>
        <v>M</v>
      </c>
      <c r="G231" s="38" t="str">
        <f>'RB · Finance &amp; Accounts'!N13</f>
        <v>M</v>
      </c>
      <c r="H231" s="38" t="str">
        <f>'RB · Finance &amp; Accounts'!R13</f>
        <v>M</v>
      </c>
      <c r="I231" s="38" t="str">
        <f>'RB · Finance &amp; Accounts'!V13</f>
        <v>L</v>
      </c>
      <c r="J231" s="38" t="str">
        <f>'RB · Finance &amp; Accounts'!Z13</f>
        <v>L</v>
      </c>
      <c r="K231" s="38" t="str">
        <f>'RB · Finance &amp; Accounts'!AD13</f>
        <v>L</v>
      </c>
    </row>
    <row r="232">
      <c r="A232" s="53" t="inlineStr">
        <is>
          <t>Finance &amp; Accounts|C1|C-IC</t>
        </is>
      </c>
      <c r="B232" s="53" t="inlineStr">
        <is>
          <t>Finance &amp; Accounts</t>
        </is>
      </c>
      <c r="C232" s="53" t="inlineStr">
        <is>
          <t>C1</t>
        </is>
      </c>
      <c r="D232" s="53" t="inlineStr">
        <is>
          <t>Band C · Principal specialist</t>
        </is>
      </c>
      <c r="E232" s="38" t="str">
        <f>'RB · Finance &amp; Accounts'!F14</f>
        <v>H</v>
      </c>
      <c r="F232" s="38" t="str">
        <f>'RB · Finance &amp; Accounts'!J14</f>
        <v>M</v>
      </c>
      <c r="G232" s="38" t="str">
        <f>'RB · Finance &amp; Accounts'!N14</f>
        <v>M</v>
      </c>
      <c r="H232" s="38" t="str">
        <f>'RB · Finance &amp; Accounts'!R14</f>
        <v>L</v>
      </c>
      <c r="I232" s="38" t="str">
        <f>'RB · Finance &amp; Accounts'!V14</f>
        <v>L</v>
      </c>
      <c r="J232" s="38" t="str">
        <f>'RB · Finance &amp; Accounts'!Z14</f>
        <v>L</v>
      </c>
      <c r="K232" s="38" t="str">
        <f>'RB · Finance &amp; Accounts'!AD14</f>
        <v>L</v>
      </c>
    </row>
    <row r="233">
      <c r="A233" s="53" t="inlineStr">
        <is>
          <t>Finance &amp; Accounts|B+|B+</t>
        </is>
      </c>
      <c r="B233" s="53" t="inlineStr">
        <is>
          <t>Finance &amp; Accounts</t>
        </is>
      </c>
      <c r="C233" s="53" t="inlineStr">
        <is>
          <t>B+</t>
        </is>
      </c>
      <c r="D233" s="53" t="inlineStr">
        <is>
          <t>B+ · Player-Coach</t>
        </is>
      </c>
      <c r="E233" s="38" t="str">
        <f>'RB · Finance &amp; Accounts'!F15</f>
        <v>H</v>
      </c>
      <c r="F233" s="38" t="str">
        <f>'RB · Finance &amp; Accounts'!J15</f>
        <v>M</v>
      </c>
      <c r="G233" s="38" t="str">
        <f>'RB · Finance &amp; Accounts'!N15</f>
        <v>M</v>
      </c>
      <c r="H233" s="38" t="str">
        <f>'RB · Finance &amp; Accounts'!R15</f>
        <v>M</v>
      </c>
      <c r="I233" s="38" t="str">
        <f>'RB · Finance &amp; Accounts'!V15</f>
        <v>L</v>
      </c>
      <c r="J233" s="38" t="str">
        <f>'RB · Finance &amp; Accounts'!Z15</f>
        <v>L</v>
      </c>
      <c r="K233" s="38" t="str">
        <f>'RB · Finance &amp; Accounts'!AD15</f>
        <v>M</v>
      </c>
    </row>
    <row r="234">
      <c r="A234" s="53" t="inlineStr">
        <is>
          <t>Finance &amp; Accounts|B3|B-M</t>
        </is>
      </c>
      <c r="B234" s="53" t="inlineStr">
        <is>
          <t>Finance &amp; Accounts</t>
        </is>
      </c>
      <c r="C234" s="53" t="inlineStr">
        <is>
          <t>B3</t>
        </is>
      </c>
      <c r="D234" s="53" t="inlineStr">
        <is>
          <t>Band B · People Manager</t>
        </is>
      </c>
      <c r="E234" s="38" t="str">
        <f>'RB · Finance &amp; Accounts'!F16</f>
        <v>H</v>
      </c>
      <c r="F234" s="38" t="str">
        <f>'RB · Finance &amp; Accounts'!J16</f>
        <v>M</v>
      </c>
      <c r="G234" s="38" t="str">
        <f>'RB · Finance &amp; Accounts'!N16</f>
        <v>M</v>
      </c>
      <c r="H234" s="38" t="str">
        <f>'RB · Finance &amp; Accounts'!R16</f>
        <v>M</v>
      </c>
      <c r="I234" s="38" t="str">
        <f>'RB · Finance &amp; Accounts'!V16</f>
        <v>L</v>
      </c>
      <c r="J234" s="38" t="str">
        <f>'RB · Finance &amp; Accounts'!Z16</f>
        <v>L</v>
      </c>
      <c r="K234" s="38" t="str">
        <f>'RB · Finance &amp; Accounts'!AD16</f>
        <v>L</v>
      </c>
    </row>
    <row r="235">
      <c r="A235" s="53" t="inlineStr">
        <is>
          <t>Finance &amp; Accounts|B3|B-IC</t>
        </is>
      </c>
      <c r="B235" s="53" t="inlineStr">
        <is>
          <t>Finance &amp; Accounts</t>
        </is>
      </c>
      <c r="C235" s="53" t="inlineStr">
        <is>
          <t>B3</t>
        </is>
      </c>
      <c r="D235" s="53" t="inlineStr">
        <is>
          <t>Band B · Specialist / POD Lead</t>
        </is>
      </c>
      <c r="E235" s="38" t="str">
        <f>'RB · Finance &amp; Accounts'!F17</f>
        <v>H</v>
      </c>
      <c r="F235" s="38" t="str">
        <f>'RB · Finance &amp; Accounts'!J17</f>
        <v>M</v>
      </c>
      <c r="G235" s="38" t="str">
        <f>'RB · Finance &amp; Accounts'!N17</f>
        <v>M</v>
      </c>
      <c r="H235" s="38" t="str">
        <f>'RB · Finance &amp; Accounts'!R17</f>
        <v>L</v>
      </c>
      <c r="I235" s="38" t="str">
        <f>'RB · Finance &amp; Accounts'!V17</f>
        <v>L</v>
      </c>
      <c r="J235" s="38" t="str">
        <f>'RB · Finance &amp; Accounts'!Z17</f>
        <v>L</v>
      </c>
      <c r="K235" s="38" t="str">
        <f>'RB · Finance &amp; Accounts'!AD17</f>
        <v>L</v>
      </c>
    </row>
    <row r="236">
      <c r="A236" s="53" t="inlineStr">
        <is>
          <t>Finance &amp; Accounts|B2|B-M</t>
        </is>
      </c>
      <c r="B236" s="53" t="inlineStr">
        <is>
          <t>Finance &amp; Accounts</t>
        </is>
      </c>
      <c r="C236" s="53" t="inlineStr">
        <is>
          <t>B2</t>
        </is>
      </c>
      <c r="D236" s="53" t="inlineStr">
        <is>
          <t>Band B · People Manager</t>
        </is>
      </c>
      <c r="E236" s="38" t="str">
        <f>'RB · Finance &amp; Accounts'!F18</f>
        <v>H</v>
      </c>
      <c r="F236" s="38" t="str">
        <f>'RB · Finance &amp; Accounts'!J18</f>
        <v>M</v>
      </c>
      <c r="G236" s="38" t="str">
        <f>'RB · Finance &amp; Accounts'!N18</f>
        <v>M</v>
      </c>
      <c r="H236" s="38" t="str">
        <f>'RB · Finance &amp; Accounts'!R18</f>
        <v>M</v>
      </c>
      <c r="I236" s="38" t="str">
        <f>'RB · Finance &amp; Accounts'!V18</f>
        <v>L</v>
      </c>
      <c r="J236" s="38" t="str">
        <f>'RB · Finance &amp; Accounts'!Z18</f>
        <v>L</v>
      </c>
      <c r="K236" s="38" t="str">
        <f>'RB · Finance &amp; Accounts'!AD18</f>
        <v>L</v>
      </c>
    </row>
    <row r="237">
      <c r="A237" s="53" t="inlineStr">
        <is>
          <t>Finance &amp; Accounts|B2|B-IC</t>
        </is>
      </c>
      <c r="B237" s="53" t="inlineStr">
        <is>
          <t>Finance &amp; Accounts</t>
        </is>
      </c>
      <c r="C237" s="53" t="inlineStr">
        <is>
          <t>B2</t>
        </is>
      </c>
      <c r="D237" s="53" t="inlineStr">
        <is>
          <t>Band B · Specialist / POD Lead</t>
        </is>
      </c>
      <c r="E237" s="38" t="str">
        <f>'RB · Finance &amp; Accounts'!F19</f>
        <v>H</v>
      </c>
      <c r="F237" s="38" t="str">
        <f>'RB · Finance &amp; Accounts'!J19</f>
        <v>M</v>
      </c>
      <c r="G237" s="38" t="str">
        <f>'RB · Finance &amp; Accounts'!N19</f>
        <v>M</v>
      </c>
      <c r="H237" s="38" t="str">
        <f>'RB · Finance &amp; Accounts'!R19</f>
        <v>L</v>
      </c>
      <c r="I237" s="38" t="str">
        <f>'RB · Finance &amp; Accounts'!V19</f>
        <v>L</v>
      </c>
      <c r="J237" s="38" t="str">
        <f>'RB · Finance &amp; Accounts'!Z19</f>
        <v>L</v>
      </c>
      <c r="K237" s="38" t="str">
        <f>'RB · Finance &amp; Accounts'!AD19</f>
        <v>L</v>
      </c>
    </row>
    <row r="238">
      <c r="A238" s="53" t="inlineStr">
        <is>
          <t>Finance &amp; Accounts|B1|B-M</t>
        </is>
      </c>
      <c r="B238" s="53" t="inlineStr">
        <is>
          <t>Finance &amp; Accounts</t>
        </is>
      </c>
      <c r="C238" s="53" t="inlineStr">
        <is>
          <t>B1</t>
        </is>
      </c>
      <c r="D238" s="53" t="inlineStr">
        <is>
          <t>Band B · People Manager</t>
        </is>
      </c>
      <c r="E238" s="38" t="str">
        <f>'RB · Finance &amp; Accounts'!F20</f>
        <v>H</v>
      </c>
      <c r="F238" s="38" t="str">
        <f>'RB · Finance &amp; Accounts'!J20</f>
        <v>M</v>
      </c>
      <c r="G238" s="38" t="str">
        <f>'RB · Finance &amp; Accounts'!N20</f>
        <v>M</v>
      </c>
      <c r="H238" s="38" t="str">
        <f>'RB · Finance &amp; Accounts'!R20</f>
        <v>M</v>
      </c>
      <c r="I238" s="38" t="str">
        <f>'RB · Finance &amp; Accounts'!V20</f>
        <v>L</v>
      </c>
      <c r="J238" s="38" t="str">
        <f>'RB · Finance &amp; Accounts'!Z20</f>
        <v>L</v>
      </c>
      <c r="K238" s="38" t="str">
        <f>'RB · Finance &amp; Accounts'!AD20</f>
        <v>L</v>
      </c>
    </row>
    <row r="239">
      <c r="A239" s="53" t="inlineStr">
        <is>
          <t>Finance &amp; Accounts|B1|B-IC</t>
        </is>
      </c>
      <c r="B239" s="53" t="inlineStr">
        <is>
          <t>Finance &amp; Accounts</t>
        </is>
      </c>
      <c r="C239" s="53" t="inlineStr">
        <is>
          <t>B1</t>
        </is>
      </c>
      <c r="D239" s="53" t="inlineStr">
        <is>
          <t>Band B · Specialist / POD Lead</t>
        </is>
      </c>
      <c r="E239" s="38" t="str">
        <f>'RB · Finance &amp; Accounts'!F21</f>
        <v>H</v>
      </c>
      <c r="F239" s="38" t="str">
        <f>'RB · Finance &amp; Accounts'!J21</f>
        <v>M</v>
      </c>
      <c r="G239" s="38" t="str">
        <f>'RB · Finance &amp; Accounts'!N21</f>
        <v>M</v>
      </c>
      <c r="H239" s="38" t="str">
        <f>'RB · Finance &amp; Accounts'!R21</f>
        <v>L</v>
      </c>
      <c r="I239" s="38" t="str">
        <f>'RB · Finance &amp; Accounts'!V21</f>
        <v>L</v>
      </c>
      <c r="J239" s="38" t="str">
        <f>'RB · Finance &amp; Accounts'!Z21</f>
        <v>L</v>
      </c>
      <c r="K239" s="38" t="str">
        <f>'RB · Finance &amp; Accounts'!AD21</f>
        <v>L</v>
      </c>
    </row>
    <row r="240">
      <c r="A240" s="53" t="inlineStr">
        <is>
          <t>Finance &amp; Accounts|A3|A</t>
        </is>
      </c>
      <c r="B240" s="53" t="inlineStr">
        <is>
          <t>Finance &amp; Accounts</t>
        </is>
      </c>
      <c r="C240" s="53" t="inlineStr">
        <is>
          <t>A3</t>
        </is>
      </c>
      <c r="D240" s="53" t="inlineStr">
        <is>
          <t>Band A · all tracks</t>
        </is>
      </c>
      <c r="E240" s="38" t="str">
        <f>'RB · Finance &amp; Accounts'!F22</f>
        <v>H</v>
      </c>
      <c r="F240" s="38" t="str">
        <f>'RB · Finance &amp; Accounts'!J22</f>
        <v>M</v>
      </c>
      <c r="G240" s="38" t="str">
        <f>'RB · Finance &amp; Accounts'!N22</f>
        <v>M</v>
      </c>
      <c r="H240" s="38" t="str">
        <f>'RB · Finance &amp; Accounts'!R22</f>
        <v>L</v>
      </c>
      <c r="I240" s="38" t="str">
        <f>'RB · Finance &amp; Accounts'!V22</f>
        <v>L</v>
      </c>
      <c r="J240" s="38" t="str">
        <f>'RB · Finance &amp; Accounts'!Z22</f>
        <v>L</v>
      </c>
      <c r="K240" s="38" t="str">
        <f>'RB · Finance &amp; Accounts'!AD22</f>
        <v>M</v>
      </c>
    </row>
    <row r="241">
      <c r="A241" s="53" t="inlineStr">
        <is>
          <t>Finance &amp; Accounts|A2|A</t>
        </is>
      </c>
      <c r="B241" s="53" t="inlineStr">
        <is>
          <t>Finance &amp; Accounts</t>
        </is>
      </c>
      <c r="C241" s="53" t="inlineStr">
        <is>
          <t>A2</t>
        </is>
      </c>
      <c r="D241" s="53" t="inlineStr">
        <is>
          <t>Band A · all tracks</t>
        </is>
      </c>
      <c r="E241" s="38" t="str">
        <f>'RB · Finance &amp; Accounts'!F23</f>
        <v>H</v>
      </c>
      <c r="F241" s="38" t="str">
        <f>'RB · Finance &amp; Accounts'!J23</f>
        <v>M</v>
      </c>
      <c r="G241" s="38" t="str">
        <f>'RB · Finance &amp; Accounts'!N23</f>
        <v>M</v>
      </c>
      <c r="H241" s="38" t="str">
        <f>'RB · Finance &amp; Accounts'!R23</f>
        <v>L</v>
      </c>
      <c r="I241" s="38" t="str">
        <f>'RB · Finance &amp; Accounts'!V23</f>
        <v>L</v>
      </c>
      <c r="J241" s="38" t="str">
        <f>'RB · Finance &amp; Accounts'!Z23</f>
        <v>L</v>
      </c>
      <c r="K241" s="38" t="str">
        <f>'RB · Finance &amp; Accounts'!AD23</f>
        <v>M</v>
      </c>
    </row>
    <row r="242">
      <c r="A242" s="53" t="inlineStr">
        <is>
          <t>Finance &amp; Accounts|A1|A</t>
        </is>
      </c>
      <c r="B242" s="53" t="inlineStr">
        <is>
          <t>Finance &amp; Accounts</t>
        </is>
      </c>
      <c r="C242" s="53" t="inlineStr">
        <is>
          <t>A1</t>
        </is>
      </c>
      <c r="D242" s="53" t="inlineStr">
        <is>
          <t>Band A · all tracks</t>
        </is>
      </c>
      <c r="E242" s="38" t="str">
        <f>'RB · Finance &amp; Accounts'!F24</f>
        <v>H</v>
      </c>
      <c r="F242" s="38" t="str">
        <f>'RB · Finance &amp; Accounts'!J24</f>
        <v>M</v>
      </c>
      <c r="G242" s="38" t="str">
        <f>'RB · Finance &amp; Accounts'!N24</f>
        <v>M</v>
      </c>
      <c r="H242" s="38" t="str">
        <f>'RB · Finance &amp; Accounts'!R24</f>
        <v>L</v>
      </c>
      <c r="I242" s="38" t="str">
        <f>'RB · Finance &amp; Accounts'!V24</f>
        <v>L</v>
      </c>
      <c r="J242" s="38" t="str">
        <f>'RB · Finance &amp; Accounts'!Z24</f>
        <v>L</v>
      </c>
      <c r="K242" s="38" t="str">
        <f>'RB · Finance &amp; Accounts'!AD24</f>
        <v>M</v>
      </c>
    </row>
    <row r="243">
      <c r="A243" s="53" t="inlineStr">
        <is>
          <t>Human Resources|E2|DE</t>
        </is>
      </c>
      <c r="B243" s="53" t="inlineStr">
        <is>
          <t>Human Resources</t>
        </is>
      </c>
      <c r="C243" s="53" t="inlineStr">
        <is>
          <t>E2</t>
        </is>
      </c>
      <c r="D243" s="53" t="inlineStr">
        <is>
          <t>Bands D–E · Leadership</t>
        </is>
      </c>
      <c r="E243" s="38" t="str">
        <f>'RB · Human Resources'!F6</f>
        <v>H</v>
      </c>
      <c r="F243" s="38" t="str">
        <f>'RB · Human Resources'!J6</f>
        <v>M</v>
      </c>
      <c r="G243" s="38" t="str">
        <f>'RB · Human Resources'!N6</f>
        <v>M</v>
      </c>
      <c r="H243" s="38" t="str">
        <f>'RB · Human Resources'!R6</f>
        <v>M</v>
      </c>
      <c r="I243" s="38" t="str">
        <f>'RB · Human Resources'!V6</f>
        <v>L</v>
      </c>
      <c r="J243" s="38" t="str">
        <f>'RB · Human Resources'!Z6</f>
        <v>L</v>
      </c>
      <c r="K243" s="38" t="str">
        <f>'RB · Human Resources'!AD6</f>
        <v>L</v>
      </c>
    </row>
    <row r="244">
      <c r="A244" s="53" t="inlineStr">
        <is>
          <t>Human Resources|E1|DE</t>
        </is>
      </c>
      <c r="B244" s="53" t="inlineStr">
        <is>
          <t>Human Resources</t>
        </is>
      </c>
      <c r="C244" s="53" t="inlineStr">
        <is>
          <t>E1</t>
        </is>
      </c>
      <c r="D244" s="53" t="inlineStr">
        <is>
          <t>Bands D–E · Leadership</t>
        </is>
      </c>
      <c r="E244" s="38" t="str">
        <f>'RB · Human Resources'!F7</f>
        <v>H</v>
      </c>
      <c r="F244" s="38" t="str">
        <f>'RB · Human Resources'!J7</f>
        <v>M</v>
      </c>
      <c r="G244" s="38" t="str">
        <f>'RB · Human Resources'!N7</f>
        <v>M</v>
      </c>
      <c r="H244" s="38" t="str">
        <f>'RB · Human Resources'!R7</f>
        <v>M</v>
      </c>
      <c r="I244" s="38" t="str">
        <f>'RB · Human Resources'!V7</f>
        <v>L</v>
      </c>
      <c r="J244" s="38" t="str">
        <f>'RB · Human Resources'!Z7</f>
        <v>L</v>
      </c>
      <c r="K244" s="38" t="str">
        <f>'RB · Human Resources'!AD7</f>
        <v>L</v>
      </c>
    </row>
    <row r="245">
      <c r="A245" s="53" t="inlineStr">
        <is>
          <t>Human Resources|D2|DE</t>
        </is>
      </c>
      <c r="B245" s="53" t="inlineStr">
        <is>
          <t>Human Resources</t>
        </is>
      </c>
      <c r="C245" s="53" t="inlineStr">
        <is>
          <t>D2</t>
        </is>
      </c>
      <c r="D245" s="53" t="inlineStr">
        <is>
          <t>Bands D–E · Leadership</t>
        </is>
      </c>
      <c r="E245" s="38" t="str">
        <f>'RB · Human Resources'!F8</f>
        <v>H</v>
      </c>
      <c r="F245" s="38" t="str">
        <f>'RB · Human Resources'!J8</f>
        <v>M</v>
      </c>
      <c r="G245" s="38" t="str">
        <f>'RB · Human Resources'!N8</f>
        <v>M</v>
      </c>
      <c r="H245" s="38" t="str">
        <f>'RB · Human Resources'!R8</f>
        <v>M</v>
      </c>
      <c r="I245" s="38" t="str">
        <f>'RB · Human Resources'!V8</f>
        <v>L</v>
      </c>
      <c r="J245" s="38" t="str">
        <f>'RB · Human Resources'!Z8</f>
        <v>L</v>
      </c>
      <c r="K245" s="38" t="str">
        <f>'RB · Human Resources'!AD8</f>
        <v>L</v>
      </c>
    </row>
    <row r="246">
      <c r="A246" s="53" t="inlineStr">
        <is>
          <t>Human Resources|D1|DE</t>
        </is>
      </c>
      <c r="B246" s="53" t="inlineStr">
        <is>
          <t>Human Resources</t>
        </is>
      </c>
      <c r="C246" s="53" t="inlineStr">
        <is>
          <t>D1</t>
        </is>
      </c>
      <c r="D246" s="53" t="inlineStr">
        <is>
          <t>Bands D–E · Leadership</t>
        </is>
      </c>
      <c r="E246" s="38" t="str">
        <f>'RB · Human Resources'!F9</f>
        <v>H</v>
      </c>
      <c r="F246" s="38" t="str">
        <f>'RB · Human Resources'!J9</f>
        <v>M</v>
      </c>
      <c r="G246" s="38" t="str">
        <f>'RB · Human Resources'!N9</f>
        <v>M</v>
      </c>
      <c r="H246" s="38" t="str">
        <f>'RB · Human Resources'!R9</f>
        <v>M</v>
      </c>
      <c r="I246" s="38" t="str">
        <f>'RB · Human Resources'!V9</f>
        <v>L</v>
      </c>
      <c r="J246" s="38" t="str">
        <f>'RB · Human Resources'!Z9</f>
        <v>L</v>
      </c>
      <c r="K246" s="38" t="str">
        <f>'RB · Human Resources'!AD9</f>
        <v>L</v>
      </c>
    </row>
    <row r="247">
      <c r="A247" s="53" t="inlineStr">
        <is>
          <t>Human Resources|C+|C+</t>
        </is>
      </c>
      <c r="B247" s="53" t="inlineStr">
        <is>
          <t>Human Resources</t>
        </is>
      </c>
      <c r="C247" s="53" t="inlineStr">
        <is>
          <t>C+</t>
        </is>
      </c>
      <c r="D247" s="53" t="inlineStr">
        <is>
          <t>C+ · Player-Coach</t>
        </is>
      </c>
      <c r="E247" s="38" t="str">
        <f>'RB · Human Resources'!F10</f>
        <v>H</v>
      </c>
      <c r="F247" s="38" t="str">
        <f>'RB · Human Resources'!J10</f>
        <v>M</v>
      </c>
      <c r="G247" s="38" t="str">
        <f>'RB · Human Resources'!N10</f>
        <v>M</v>
      </c>
      <c r="H247" s="38" t="str">
        <f>'RB · Human Resources'!R10</f>
        <v>M</v>
      </c>
      <c r="I247" s="38" t="str">
        <f>'RB · Human Resources'!V10</f>
        <v>L</v>
      </c>
      <c r="J247" s="38" t="str">
        <f>'RB · Human Resources'!Z10</f>
        <v>L</v>
      </c>
      <c r="K247" s="38" t="str">
        <f>'RB · Human Resources'!AD10</f>
        <v>L</v>
      </c>
    </row>
    <row r="248">
      <c r="A248" s="53" t="inlineStr">
        <is>
          <t>Human Resources|C2|C-M</t>
        </is>
      </c>
      <c r="B248" s="53" t="inlineStr">
        <is>
          <t>Human Resources</t>
        </is>
      </c>
      <c r="C248" s="53" t="inlineStr">
        <is>
          <t>C2</t>
        </is>
      </c>
      <c r="D248" s="53" t="inlineStr">
        <is>
          <t>Band C · Head / manager</t>
        </is>
      </c>
      <c r="E248" s="38" t="str">
        <f>'RB · Human Resources'!F11</f>
        <v>H</v>
      </c>
      <c r="F248" s="38" t="str">
        <f>'RB · Human Resources'!J11</f>
        <v>M</v>
      </c>
      <c r="G248" s="38" t="str">
        <f>'RB · Human Resources'!N11</f>
        <v>M</v>
      </c>
      <c r="H248" s="38" t="str">
        <f>'RB · Human Resources'!R11</f>
        <v>M</v>
      </c>
      <c r="I248" s="38" t="str">
        <f>'RB · Human Resources'!V11</f>
        <v>L</v>
      </c>
      <c r="J248" s="38" t="str">
        <f>'RB · Human Resources'!Z11</f>
        <v>L</v>
      </c>
      <c r="K248" s="38" t="str">
        <f>'RB · Human Resources'!AD11</f>
        <v>L</v>
      </c>
    </row>
    <row r="249">
      <c r="A249" s="53" t="inlineStr">
        <is>
          <t>Human Resources|C2|C-IC</t>
        </is>
      </c>
      <c r="B249" s="53" t="inlineStr">
        <is>
          <t>Human Resources</t>
        </is>
      </c>
      <c r="C249" s="53" t="inlineStr">
        <is>
          <t>C2</t>
        </is>
      </c>
      <c r="D249" s="53" t="inlineStr">
        <is>
          <t>Band C · Principal specialist</t>
        </is>
      </c>
      <c r="E249" s="38" t="str">
        <f>'RB · Human Resources'!F12</f>
        <v>H</v>
      </c>
      <c r="F249" s="38" t="str">
        <f>'RB · Human Resources'!J12</f>
        <v>M</v>
      </c>
      <c r="G249" s="38" t="str">
        <f>'RB · Human Resources'!N12</f>
        <v>M</v>
      </c>
      <c r="H249" s="38" t="str">
        <f>'RB · Human Resources'!R12</f>
        <v>L</v>
      </c>
      <c r="I249" s="38" t="str">
        <f>'RB · Human Resources'!V12</f>
        <v>L</v>
      </c>
      <c r="J249" s="38" t="str">
        <f>'RB · Human Resources'!Z12</f>
        <v>L</v>
      </c>
      <c r="K249" s="38" t="str">
        <f>'RB · Human Resources'!AD12</f>
        <v>L</v>
      </c>
    </row>
    <row r="250">
      <c r="A250" s="53" t="inlineStr">
        <is>
          <t>Human Resources|C1|C-M</t>
        </is>
      </c>
      <c r="B250" s="53" t="inlineStr">
        <is>
          <t>Human Resources</t>
        </is>
      </c>
      <c r="C250" s="53" t="inlineStr">
        <is>
          <t>C1</t>
        </is>
      </c>
      <c r="D250" s="53" t="inlineStr">
        <is>
          <t>Band C · Head / manager</t>
        </is>
      </c>
      <c r="E250" s="38" t="str">
        <f>'RB · Human Resources'!F13</f>
        <v>H</v>
      </c>
      <c r="F250" s="38" t="str">
        <f>'RB · Human Resources'!J13</f>
        <v>M</v>
      </c>
      <c r="G250" s="38" t="str">
        <f>'RB · Human Resources'!N13</f>
        <v>M</v>
      </c>
      <c r="H250" s="38" t="str">
        <f>'RB · Human Resources'!R13</f>
        <v>M</v>
      </c>
      <c r="I250" s="38" t="str">
        <f>'RB · Human Resources'!V13</f>
        <v>L</v>
      </c>
      <c r="J250" s="38" t="str">
        <f>'RB · Human Resources'!Z13</f>
        <v>L</v>
      </c>
      <c r="K250" s="38" t="str">
        <f>'RB · Human Resources'!AD13</f>
        <v>L</v>
      </c>
    </row>
    <row r="251">
      <c r="A251" s="53" t="inlineStr">
        <is>
          <t>Human Resources|C1|C-IC</t>
        </is>
      </c>
      <c r="B251" s="53" t="inlineStr">
        <is>
          <t>Human Resources</t>
        </is>
      </c>
      <c r="C251" s="53" t="inlineStr">
        <is>
          <t>C1</t>
        </is>
      </c>
      <c r="D251" s="53" t="inlineStr">
        <is>
          <t>Band C · Principal specialist</t>
        </is>
      </c>
      <c r="E251" s="38" t="str">
        <f>'RB · Human Resources'!F14</f>
        <v>H</v>
      </c>
      <c r="F251" s="38" t="str">
        <f>'RB · Human Resources'!J14</f>
        <v>M</v>
      </c>
      <c r="G251" s="38" t="str">
        <f>'RB · Human Resources'!N14</f>
        <v>M</v>
      </c>
      <c r="H251" s="38" t="str">
        <f>'RB · Human Resources'!R14</f>
        <v>L</v>
      </c>
      <c r="I251" s="38" t="str">
        <f>'RB · Human Resources'!V14</f>
        <v>L</v>
      </c>
      <c r="J251" s="38" t="str">
        <f>'RB · Human Resources'!Z14</f>
        <v>L</v>
      </c>
      <c r="K251" s="38" t="str">
        <f>'RB · Human Resources'!AD14</f>
        <v>L</v>
      </c>
    </row>
    <row r="252">
      <c r="A252" s="53" t="inlineStr">
        <is>
          <t>Human Resources|B+|B+</t>
        </is>
      </c>
      <c r="B252" s="53" t="inlineStr">
        <is>
          <t>Human Resources</t>
        </is>
      </c>
      <c r="C252" s="53" t="inlineStr">
        <is>
          <t>B+</t>
        </is>
      </c>
      <c r="D252" s="53" t="inlineStr">
        <is>
          <t>B+ · Player-Coach</t>
        </is>
      </c>
      <c r="E252" s="38" t="str">
        <f>'RB · Human Resources'!F15</f>
        <v>H</v>
      </c>
      <c r="F252" s="38" t="str">
        <f>'RB · Human Resources'!J15</f>
        <v>M</v>
      </c>
      <c r="G252" s="38" t="str">
        <f>'RB · Human Resources'!N15</f>
        <v>M</v>
      </c>
      <c r="H252" s="38" t="str">
        <f>'RB · Human Resources'!R15</f>
        <v>M</v>
      </c>
      <c r="I252" s="38" t="str">
        <f>'RB · Human Resources'!V15</f>
        <v>L</v>
      </c>
      <c r="J252" s="38" t="str">
        <f>'RB · Human Resources'!Z15</f>
        <v>L</v>
      </c>
      <c r="K252" s="38" t="str">
        <f>'RB · Human Resources'!AD15</f>
        <v>M</v>
      </c>
    </row>
    <row r="253">
      <c r="A253" s="53" t="inlineStr">
        <is>
          <t>Human Resources|B3|B-M</t>
        </is>
      </c>
      <c r="B253" s="53" t="inlineStr">
        <is>
          <t>Human Resources</t>
        </is>
      </c>
      <c r="C253" s="53" t="inlineStr">
        <is>
          <t>B3</t>
        </is>
      </c>
      <c r="D253" s="53" t="inlineStr">
        <is>
          <t>Band B · People Manager</t>
        </is>
      </c>
      <c r="E253" s="38" t="str">
        <f>'RB · Human Resources'!F16</f>
        <v>H</v>
      </c>
      <c r="F253" s="38" t="str">
        <f>'RB · Human Resources'!J16</f>
        <v>M</v>
      </c>
      <c r="G253" s="38" t="str">
        <f>'RB · Human Resources'!N16</f>
        <v>M</v>
      </c>
      <c r="H253" s="38" t="str">
        <f>'RB · Human Resources'!R16</f>
        <v>M</v>
      </c>
      <c r="I253" s="38" t="str">
        <f>'RB · Human Resources'!V16</f>
        <v>L</v>
      </c>
      <c r="J253" s="38" t="str">
        <f>'RB · Human Resources'!Z16</f>
        <v>L</v>
      </c>
      <c r="K253" s="38" t="str">
        <f>'RB · Human Resources'!AD16</f>
        <v>L</v>
      </c>
    </row>
    <row r="254">
      <c r="A254" s="53" t="inlineStr">
        <is>
          <t>Human Resources|B3|B-IC</t>
        </is>
      </c>
      <c r="B254" s="53" t="inlineStr">
        <is>
          <t>Human Resources</t>
        </is>
      </c>
      <c r="C254" s="53" t="inlineStr">
        <is>
          <t>B3</t>
        </is>
      </c>
      <c r="D254" s="53" t="inlineStr">
        <is>
          <t>Band B · Specialist / POD Lead</t>
        </is>
      </c>
      <c r="E254" s="38" t="str">
        <f>'RB · Human Resources'!F17</f>
        <v>H</v>
      </c>
      <c r="F254" s="38" t="str">
        <f>'RB · Human Resources'!J17</f>
        <v>M</v>
      </c>
      <c r="G254" s="38" t="str">
        <f>'RB · Human Resources'!N17</f>
        <v>M</v>
      </c>
      <c r="H254" s="38" t="str">
        <f>'RB · Human Resources'!R17</f>
        <v>L</v>
      </c>
      <c r="I254" s="38" t="str">
        <f>'RB · Human Resources'!V17</f>
        <v>L</v>
      </c>
      <c r="J254" s="38" t="str">
        <f>'RB · Human Resources'!Z17</f>
        <v>L</v>
      </c>
      <c r="K254" s="38" t="str">
        <f>'RB · Human Resources'!AD17</f>
        <v>L</v>
      </c>
    </row>
    <row r="255">
      <c r="A255" s="53" t="inlineStr">
        <is>
          <t>Human Resources|B2|B-M</t>
        </is>
      </c>
      <c r="B255" s="53" t="inlineStr">
        <is>
          <t>Human Resources</t>
        </is>
      </c>
      <c r="C255" s="53" t="inlineStr">
        <is>
          <t>B2</t>
        </is>
      </c>
      <c r="D255" s="53" t="inlineStr">
        <is>
          <t>Band B · People Manager</t>
        </is>
      </c>
      <c r="E255" s="38" t="str">
        <f>'RB · Human Resources'!F18</f>
        <v>H</v>
      </c>
      <c r="F255" s="38" t="str">
        <f>'RB · Human Resources'!J18</f>
        <v>M</v>
      </c>
      <c r="G255" s="38" t="str">
        <f>'RB · Human Resources'!N18</f>
        <v>M</v>
      </c>
      <c r="H255" s="38" t="str">
        <f>'RB · Human Resources'!R18</f>
        <v>M</v>
      </c>
      <c r="I255" s="38" t="str">
        <f>'RB · Human Resources'!V18</f>
        <v>L</v>
      </c>
      <c r="J255" s="38" t="str">
        <f>'RB · Human Resources'!Z18</f>
        <v>L</v>
      </c>
      <c r="K255" s="38" t="str">
        <f>'RB · Human Resources'!AD18</f>
        <v>L</v>
      </c>
    </row>
    <row r="256">
      <c r="A256" s="53" t="inlineStr">
        <is>
          <t>Human Resources|B2|B-IC</t>
        </is>
      </c>
      <c r="B256" s="53" t="inlineStr">
        <is>
          <t>Human Resources</t>
        </is>
      </c>
      <c r="C256" s="53" t="inlineStr">
        <is>
          <t>B2</t>
        </is>
      </c>
      <c r="D256" s="53" t="inlineStr">
        <is>
          <t>Band B · Specialist / POD Lead</t>
        </is>
      </c>
      <c r="E256" s="38" t="str">
        <f>'RB · Human Resources'!F19</f>
        <v>H</v>
      </c>
      <c r="F256" s="38" t="str">
        <f>'RB · Human Resources'!J19</f>
        <v>M</v>
      </c>
      <c r="G256" s="38" t="str">
        <f>'RB · Human Resources'!N19</f>
        <v>M</v>
      </c>
      <c r="H256" s="38" t="str">
        <f>'RB · Human Resources'!R19</f>
        <v>L</v>
      </c>
      <c r="I256" s="38" t="str">
        <f>'RB · Human Resources'!V19</f>
        <v>L</v>
      </c>
      <c r="J256" s="38" t="str">
        <f>'RB · Human Resources'!Z19</f>
        <v>L</v>
      </c>
      <c r="K256" s="38" t="str">
        <f>'RB · Human Resources'!AD19</f>
        <v>L</v>
      </c>
    </row>
    <row r="257">
      <c r="A257" s="53" t="inlineStr">
        <is>
          <t>Human Resources|B1|B-M</t>
        </is>
      </c>
      <c r="B257" s="53" t="inlineStr">
        <is>
          <t>Human Resources</t>
        </is>
      </c>
      <c r="C257" s="53" t="inlineStr">
        <is>
          <t>B1</t>
        </is>
      </c>
      <c r="D257" s="53" t="inlineStr">
        <is>
          <t>Band B · People Manager</t>
        </is>
      </c>
      <c r="E257" s="38" t="str">
        <f>'RB · Human Resources'!F20</f>
        <v>H</v>
      </c>
      <c r="F257" s="38" t="str">
        <f>'RB · Human Resources'!J20</f>
        <v>M</v>
      </c>
      <c r="G257" s="38" t="str">
        <f>'RB · Human Resources'!N20</f>
        <v>M</v>
      </c>
      <c r="H257" s="38" t="str">
        <f>'RB · Human Resources'!R20</f>
        <v>M</v>
      </c>
      <c r="I257" s="38" t="str">
        <f>'RB · Human Resources'!V20</f>
        <v>L</v>
      </c>
      <c r="J257" s="38" t="str">
        <f>'RB · Human Resources'!Z20</f>
        <v>L</v>
      </c>
      <c r="K257" s="38" t="str">
        <f>'RB · Human Resources'!AD20</f>
        <v>L</v>
      </c>
    </row>
    <row r="258">
      <c r="A258" s="53" t="inlineStr">
        <is>
          <t>Human Resources|B1|B-IC</t>
        </is>
      </c>
      <c r="B258" s="53" t="inlineStr">
        <is>
          <t>Human Resources</t>
        </is>
      </c>
      <c r="C258" s="53" t="inlineStr">
        <is>
          <t>B1</t>
        </is>
      </c>
      <c r="D258" s="53" t="inlineStr">
        <is>
          <t>Band B · Specialist / POD Lead</t>
        </is>
      </c>
      <c r="E258" s="38" t="str">
        <f>'RB · Human Resources'!F21</f>
        <v>H</v>
      </c>
      <c r="F258" s="38" t="str">
        <f>'RB · Human Resources'!J21</f>
        <v>M</v>
      </c>
      <c r="G258" s="38" t="str">
        <f>'RB · Human Resources'!N21</f>
        <v>M</v>
      </c>
      <c r="H258" s="38" t="str">
        <f>'RB · Human Resources'!R21</f>
        <v>L</v>
      </c>
      <c r="I258" s="38" t="str">
        <f>'RB · Human Resources'!V21</f>
        <v>L</v>
      </c>
      <c r="J258" s="38" t="str">
        <f>'RB · Human Resources'!Z21</f>
        <v>L</v>
      </c>
      <c r="K258" s="38" t="str">
        <f>'RB · Human Resources'!AD21</f>
        <v>L</v>
      </c>
    </row>
    <row r="259">
      <c r="A259" s="53" t="inlineStr">
        <is>
          <t>Human Resources|A3|A</t>
        </is>
      </c>
      <c r="B259" s="53" t="inlineStr">
        <is>
          <t>Human Resources</t>
        </is>
      </c>
      <c r="C259" s="53" t="inlineStr">
        <is>
          <t>A3</t>
        </is>
      </c>
      <c r="D259" s="53" t="inlineStr">
        <is>
          <t>Band A · all tracks</t>
        </is>
      </c>
      <c r="E259" s="38" t="str">
        <f>'RB · Human Resources'!F22</f>
        <v>H</v>
      </c>
      <c r="F259" s="38" t="str">
        <f>'RB · Human Resources'!J22</f>
        <v>M</v>
      </c>
      <c r="G259" s="38" t="str">
        <f>'RB · Human Resources'!N22</f>
        <v>M</v>
      </c>
      <c r="H259" s="38" t="str">
        <f>'RB · Human Resources'!R22</f>
        <v>L</v>
      </c>
      <c r="I259" s="38" t="str">
        <f>'RB · Human Resources'!V22</f>
        <v>L</v>
      </c>
      <c r="J259" s="38" t="str">
        <f>'RB · Human Resources'!Z22</f>
        <v>L</v>
      </c>
      <c r="K259" s="38" t="str">
        <f>'RB · Human Resources'!AD22</f>
        <v>M</v>
      </c>
    </row>
    <row r="260">
      <c r="A260" s="53" t="inlineStr">
        <is>
          <t>Human Resources|A2|A</t>
        </is>
      </c>
      <c r="B260" s="53" t="inlineStr">
        <is>
          <t>Human Resources</t>
        </is>
      </c>
      <c r="C260" s="53" t="inlineStr">
        <is>
          <t>A2</t>
        </is>
      </c>
      <c r="D260" s="53" t="inlineStr">
        <is>
          <t>Band A · all tracks</t>
        </is>
      </c>
      <c r="E260" s="38" t="str">
        <f>'RB · Human Resources'!F23</f>
        <v>H</v>
      </c>
      <c r="F260" s="38" t="str">
        <f>'RB · Human Resources'!J23</f>
        <v>M</v>
      </c>
      <c r="G260" s="38" t="str">
        <f>'RB · Human Resources'!N23</f>
        <v>M</v>
      </c>
      <c r="H260" s="38" t="str">
        <f>'RB · Human Resources'!R23</f>
        <v>L</v>
      </c>
      <c r="I260" s="38" t="str">
        <f>'RB · Human Resources'!V23</f>
        <v>L</v>
      </c>
      <c r="J260" s="38" t="str">
        <f>'RB · Human Resources'!Z23</f>
        <v>L</v>
      </c>
      <c r="K260" s="38" t="str">
        <f>'RB · Human Resources'!AD23</f>
        <v>M</v>
      </c>
    </row>
    <row r="261">
      <c r="A261" s="53" t="inlineStr">
        <is>
          <t>Human Resources|A1|A</t>
        </is>
      </c>
      <c r="B261" s="53" t="inlineStr">
        <is>
          <t>Human Resources</t>
        </is>
      </c>
      <c r="C261" s="53" t="inlineStr">
        <is>
          <t>A1</t>
        </is>
      </c>
      <c r="D261" s="53" t="inlineStr">
        <is>
          <t>Band A · all tracks</t>
        </is>
      </c>
      <c r="E261" s="38" t="str">
        <f>'RB · Human Resources'!F24</f>
        <v>H</v>
      </c>
      <c r="F261" s="38" t="str">
        <f>'RB · Human Resources'!J24</f>
        <v>M</v>
      </c>
      <c r="G261" s="38" t="str">
        <f>'RB · Human Resources'!N24</f>
        <v>M</v>
      </c>
      <c r="H261" s="38" t="str">
        <f>'RB · Human Resources'!R24</f>
        <v>L</v>
      </c>
      <c r="I261" s="38" t="str">
        <f>'RB · Human Resources'!V24</f>
        <v>L</v>
      </c>
      <c r="J261" s="38" t="str">
        <f>'RB · Human Resources'!Z24</f>
        <v>L</v>
      </c>
      <c r="K261" s="38" t="str">
        <f>'RB · Human Resources'!AD24</f>
        <v>M</v>
      </c>
    </row>
    <row r="262">
      <c r="A262" s="53" t="inlineStr">
        <is>
          <t>IT &amp; Infrastructure|E2|DE</t>
        </is>
      </c>
      <c r="B262" s="53" t="inlineStr">
        <is>
          <t>IT &amp; Infrastructure</t>
        </is>
      </c>
      <c r="C262" s="53" t="inlineStr">
        <is>
          <t>E2</t>
        </is>
      </c>
      <c r="D262" s="53" t="inlineStr">
        <is>
          <t>Bands D–E · Leadership</t>
        </is>
      </c>
      <c r="E262" s="38" t="str">
        <f>'RB · IT &amp; Infrastructure'!F6</f>
        <v>H</v>
      </c>
      <c r="F262" s="38" t="str">
        <f>'RB · IT &amp; Infrastructure'!J6</f>
        <v>M</v>
      </c>
      <c r="G262" s="38" t="str">
        <f>'RB · IT &amp; Infrastructure'!N6</f>
        <v>M</v>
      </c>
      <c r="H262" s="38" t="str">
        <f>'RB · IT &amp; Infrastructure'!R6</f>
        <v>M</v>
      </c>
      <c r="I262" s="38" t="str">
        <f>'RB · IT &amp; Infrastructure'!V6</f>
        <v>L</v>
      </c>
      <c r="J262" s="38" t="str">
        <f>'RB · IT &amp; Infrastructure'!Z6</f>
        <v>L</v>
      </c>
      <c r="K262" s="38" t="str">
        <f>'RB · IT &amp; Infrastructure'!AD6</f>
        <v>L</v>
      </c>
    </row>
    <row r="263">
      <c r="A263" s="53" t="inlineStr">
        <is>
          <t>IT &amp; Infrastructure|E1|DE</t>
        </is>
      </c>
      <c r="B263" s="53" t="inlineStr">
        <is>
          <t>IT &amp; Infrastructure</t>
        </is>
      </c>
      <c r="C263" s="53" t="inlineStr">
        <is>
          <t>E1</t>
        </is>
      </c>
      <c r="D263" s="53" t="inlineStr">
        <is>
          <t>Bands D–E · Leadership</t>
        </is>
      </c>
      <c r="E263" s="38" t="str">
        <f>'RB · IT &amp; Infrastructure'!F7</f>
        <v>H</v>
      </c>
      <c r="F263" s="38" t="str">
        <f>'RB · IT &amp; Infrastructure'!J7</f>
        <v>M</v>
      </c>
      <c r="G263" s="38" t="str">
        <f>'RB · IT &amp; Infrastructure'!N7</f>
        <v>M</v>
      </c>
      <c r="H263" s="38" t="str">
        <f>'RB · IT &amp; Infrastructure'!R7</f>
        <v>M</v>
      </c>
      <c r="I263" s="38" t="str">
        <f>'RB · IT &amp; Infrastructure'!V7</f>
        <v>L</v>
      </c>
      <c r="J263" s="38" t="str">
        <f>'RB · IT &amp; Infrastructure'!Z7</f>
        <v>L</v>
      </c>
      <c r="K263" s="38" t="str">
        <f>'RB · IT &amp; Infrastructure'!AD7</f>
        <v>L</v>
      </c>
    </row>
    <row r="264">
      <c r="A264" s="53" t="inlineStr">
        <is>
          <t>IT &amp; Infrastructure|D2|DE</t>
        </is>
      </c>
      <c r="B264" s="53" t="inlineStr">
        <is>
          <t>IT &amp; Infrastructure</t>
        </is>
      </c>
      <c r="C264" s="53" t="inlineStr">
        <is>
          <t>D2</t>
        </is>
      </c>
      <c r="D264" s="53" t="inlineStr">
        <is>
          <t>Bands D–E · Leadership</t>
        </is>
      </c>
      <c r="E264" s="38" t="str">
        <f>'RB · IT &amp; Infrastructure'!F8</f>
        <v>H</v>
      </c>
      <c r="F264" s="38" t="str">
        <f>'RB · IT &amp; Infrastructure'!J8</f>
        <v>M</v>
      </c>
      <c r="G264" s="38" t="str">
        <f>'RB · IT &amp; Infrastructure'!N8</f>
        <v>M</v>
      </c>
      <c r="H264" s="38" t="str">
        <f>'RB · IT &amp; Infrastructure'!R8</f>
        <v>M</v>
      </c>
      <c r="I264" s="38" t="str">
        <f>'RB · IT &amp; Infrastructure'!V8</f>
        <v>L</v>
      </c>
      <c r="J264" s="38" t="str">
        <f>'RB · IT &amp; Infrastructure'!Z8</f>
        <v>L</v>
      </c>
      <c r="K264" s="38" t="str">
        <f>'RB · IT &amp; Infrastructure'!AD8</f>
        <v>L</v>
      </c>
    </row>
    <row r="265">
      <c r="A265" s="53" t="inlineStr">
        <is>
          <t>IT &amp; Infrastructure|D1|DE</t>
        </is>
      </c>
      <c r="B265" s="53" t="inlineStr">
        <is>
          <t>IT &amp; Infrastructure</t>
        </is>
      </c>
      <c r="C265" s="53" t="inlineStr">
        <is>
          <t>D1</t>
        </is>
      </c>
      <c r="D265" s="53" t="inlineStr">
        <is>
          <t>Bands D–E · Leadership</t>
        </is>
      </c>
      <c r="E265" s="38" t="str">
        <f>'RB · IT &amp; Infrastructure'!F9</f>
        <v>H</v>
      </c>
      <c r="F265" s="38" t="str">
        <f>'RB · IT &amp; Infrastructure'!J9</f>
        <v>M</v>
      </c>
      <c r="G265" s="38" t="str">
        <f>'RB · IT &amp; Infrastructure'!N9</f>
        <v>M</v>
      </c>
      <c r="H265" s="38" t="str">
        <f>'RB · IT &amp; Infrastructure'!R9</f>
        <v>M</v>
      </c>
      <c r="I265" s="38" t="str">
        <f>'RB · IT &amp; Infrastructure'!V9</f>
        <v>L</v>
      </c>
      <c r="J265" s="38" t="str">
        <f>'RB · IT &amp; Infrastructure'!Z9</f>
        <v>L</v>
      </c>
      <c r="K265" s="38" t="str">
        <f>'RB · IT &amp; Infrastructure'!AD9</f>
        <v>L</v>
      </c>
    </row>
    <row r="266">
      <c r="A266" s="53" t="inlineStr">
        <is>
          <t>IT &amp; Infrastructure|C+|C+</t>
        </is>
      </c>
      <c r="B266" s="53" t="inlineStr">
        <is>
          <t>IT &amp; Infrastructure</t>
        </is>
      </c>
      <c r="C266" s="53" t="inlineStr">
        <is>
          <t>C+</t>
        </is>
      </c>
      <c r="D266" s="53" t="inlineStr">
        <is>
          <t>C+ · Player-Coach</t>
        </is>
      </c>
      <c r="E266" s="38" t="str">
        <f>'RB · IT &amp; Infrastructure'!F10</f>
        <v>H</v>
      </c>
      <c r="F266" s="38" t="str">
        <f>'RB · IT &amp; Infrastructure'!J10</f>
        <v>M</v>
      </c>
      <c r="G266" s="38" t="str">
        <f>'RB · IT &amp; Infrastructure'!N10</f>
        <v>M</v>
      </c>
      <c r="H266" s="38" t="str">
        <f>'RB · IT &amp; Infrastructure'!R10</f>
        <v>M</v>
      </c>
      <c r="I266" s="38" t="str">
        <f>'RB · IT &amp; Infrastructure'!V10</f>
        <v>L</v>
      </c>
      <c r="J266" s="38" t="str">
        <f>'RB · IT &amp; Infrastructure'!Z10</f>
        <v>L</v>
      </c>
      <c r="K266" s="38" t="str">
        <f>'RB · IT &amp; Infrastructure'!AD10</f>
        <v>L</v>
      </c>
    </row>
    <row r="267">
      <c r="A267" s="53" t="inlineStr">
        <is>
          <t>IT &amp; Infrastructure|C2|C-M</t>
        </is>
      </c>
      <c r="B267" s="53" t="inlineStr">
        <is>
          <t>IT &amp; Infrastructure</t>
        </is>
      </c>
      <c r="C267" s="53" t="inlineStr">
        <is>
          <t>C2</t>
        </is>
      </c>
      <c r="D267" s="53" t="inlineStr">
        <is>
          <t>Band C · Head / manager</t>
        </is>
      </c>
      <c r="E267" s="38" t="str">
        <f>'RB · IT &amp; Infrastructure'!F11</f>
        <v>H</v>
      </c>
      <c r="F267" s="38" t="str">
        <f>'RB · IT &amp; Infrastructure'!J11</f>
        <v>M</v>
      </c>
      <c r="G267" s="38" t="str">
        <f>'RB · IT &amp; Infrastructure'!N11</f>
        <v>L</v>
      </c>
      <c r="H267" s="38" t="str">
        <f>'RB · IT &amp; Infrastructure'!R11</f>
        <v>M</v>
      </c>
      <c r="I267" s="38" t="str">
        <f>'RB · IT &amp; Infrastructure'!V11</f>
        <v>L</v>
      </c>
      <c r="J267" s="38" t="str">
        <f>'RB · IT &amp; Infrastructure'!Z11</f>
        <v>L</v>
      </c>
      <c r="K267" s="38" t="str">
        <f>'RB · IT &amp; Infrastructure'!AD11</f>
        <v>L</v>
      </c>
    </row>
    <row r="268">
      <c r="A268" s="53" t="inlineStr">
        <is>
          <t>IT &amp; Infrastructure|C2|C-IC</t>
        </is>
      </c>
      <c r="B268" s="53" t="inlineStr">
        <is>
          <t>IT &amp; Infrastructure</t>
        </is>
      </c>
      <c r="C268" s="53" t="inlineStr">
        <is>
          <t>C2</t>
        </is>
      </c>
      <c r="D268" s="53" t="inlineStr">
        <is>
          <t>Band C · Principal specialist</t>
        </is>
      </c>
      <c r="E268" s="38" t="str">
        <f>'RB · IT &amp; Infrastructure'!F12</f>
        <v>H</v>
      </c>
      <c r="F268" s="38" t="str">
        <f>'RB · IT &amp; Infrastructure'!J12</f>
        <v>M</v>
      </c>
      <c r="G268" s="38" t="str">
        <f>'RB · IT &amp; Infrastructure'!N12</f>
        <v>L</v>
      </c>
      <c r="H268" s="38" t="str">
        <f>'RB · IT &amp; Infrastructure'!R12</f>
        <v>L</v>
      </c>
      <c r="I268" s="38" t="str">
        <f>'RB · IT &amp; Infrastructure'!V12</f>
        <v>L</v>
      </c>
      <c r="J268" s="38" t="str">
        <f>'RB · IT &amp; Infrastructure'!Z12</f>
        <v>L</v>
      </c>
      <c r="K268" s="38" t="str">
        <f>'RB · IT &amp; Infrastructure'!AD12</f>
        <v>L</v>
      </c>
    </row>
    <row r="269">
      <c r="A269" s="53" t="inlineStr">
        <is>
          <t>IT &amp; Infrastructure|C1|C-M</t>
        </is>
      </c>
      <c r="B269" s="53" t="inlineStr">
        <is>
          <t>IT &amp; Infrastructure</t>
        </is>
      </c>
      <c r="C269" s="53" t="inlineStr">
        <is>
          <t>C1</t>
        </is>
      </c>
      <c r="D269" s="53" t="inlineStr">
        <is>
          <t>Band C · Head / manager</t>
        </is>
      </c>
      <c r="E269" s="38" t="str">
        <f>'RB · IT &amp; Infrastructure'!F13</f>
        <v>H</v>
      </c>
      <c r="F269" s="38" t="str">
        <f>'RB · IT &amp; Infrastructure'!J13</f>
        <v>M</v>
      </c>
      <c r="G269" s="38" t="str">
        <f>'RB · IT &amp; Infrastructure'!N13</f>
        <v>L</v>
      </c>
      <c r="H269" s="38" t="str">
        <f>'RB · IT &amp; Infrastructure'!R13</f>
        <v>M</v>
      </c>
      <c r="I269" s="38" t="str">
        <f>'RB · IT &amp; Infrastructure'!V13</f>
        <v>L</v>
      </c>
      <c r="J269" s="38" t="str">
        <f>'RB · IT &amp; Infrastructure'!Z13</f>
        <v>L</v>
      </c>
      <c r="K269" s="38" t="str">
        <f>'RB · IT &amp; Infrastructure'!AD13</f>
        <v>L</v>
      </c>
    </row>
    <row r="270">
      <c r="A270" s="53" t="inlineStr">
        <is>
          <t>IT &amp; Infrastructure|C1|C-IC</t>
        </is>
      </c>
      <c r="B270" s="53" t="inlineStr">
        <is>
          <t>IT &amp; Infrastructure</t>
        </is>
      </c>
      <c r="C270" s="53" t="inlineStr">
        <is>
          <t>C1</t>
        </is>
      </c>
      <c r="D270" s="53" t="inlineStr">
        <is>
          <t>Band C · Principal specialist</t>
        </is>
      </c>
      <c r="E270" s="38" t="str">
        <f>'RB · IT &amp; Infrastructure'!F14</f>
        <v>H</v>
      </c>
      <c r="F270" s="38" t="str">
        <f>'RB · IT &amp; Infrastructure'!J14</f>
        <v>M</v>
      </c>
      <c r="G270" s="38" t="str">
        <f>'RB · IT &amp; Infrastructure'!N14</f>
        <v>L</v>
      </c>
      <c r="H270" s="38" t="str">
        <f>'RB · IT &amp; Infrastructure'!R14</f>
        <v>L</v>
      </c>
      <c r="I270" s="38" t="str">
        <f>'RB · IT &amp; Infrastructure'!V14</f>
        <v>L</v>
      </c>
      <c r="J270" s="38" t="str">
        <f>'RB · IT &amp; Infrastructure'!Z14</f>
        <v>L</v>
      </c>
      <c r="K270" s="38" t="str">
        <f>'RB · IT &amp; Infrastructure'!AD14</f>
        <v>L</v>
      </c>
    </row>
    <row r="271">
      <c r="A271" s="53" t="inlineStr">
        <is>
          <t>IT &amp; Infrastructure|B+|B+</t>
        </is>
      </c>
      <c r="B271" s="53" t="inlineStr">
        <is>
          <t>IT &amp; Infrastructure</t>
        </is>
      </c>
      <c r="C271" s="53" t="inlineStr">
        <is>
          <t>B+</t>
        </is>
      </c>
      <c r="D271" s="53" t="inlineStr">
        <is>
          <t>B+ · Player-Coach</t>
        </is>
      </c>
      <c r="E271" s="38" t="str">
        <f>'RB · IT &amp; Infrastructure'!F15</f>
        <v>H</v>
      </c>
      <c r="F271" s="38" t="str">
        <f>'RB · IT &amp; Infrastructure'!J15</f>
        <v>M</v>
      </c>
      <c r="G271" s="38" t="str">
        <f>'RB · IT &amp; Infrastructure'!N15</f>
        <v>L</v>
      </c>
      <c r="H271" s="38" t="str">
        <f>'RB · IT &amp; Infrastructure'!R15</f>
        <v>M</v>
      </c>
      <c r="I271" s="38" t="str">
        <f>'RB · IT &amp; Infrastructure'!V15</f>
        <v>L</v>
      </c>
      <c r="J271" s="38" t="str">
        <f>'RB · IT &amp; Infrastructure'!Z15</f>
        <v>L</v>
      </c>
      <c r="K271" s="38" t="str">
        <f>'RB · IT &amp; Infrastructure'!AD15</f>
        <v>L</v>
      </c>
    </row>
    <row r="272">
      <c r="A272" s="53" t="inlineStr">
        <is>
          <t>IT &amp; Infrastructure|B3|B-M</t>
        </is>
      </c>
      <c r="B272" s="53" t="inlineStr">
        <is>
          <t>IT &amp; Infrastructure</t>
        </is>
      </c>
      <c r="C272" s="53" t="inlineStr">
        <is>
          <t>B3</t>
        </is>
      </c>
      <c r="D272" s="53" t="inlineStr">
        <is>
          <t>Band B · People Manager</t>
        </is>
      </c>
      <c r="E272" s="38" t="str">
        <f>'RB · IT &amp; Infrastructure'!F16</f>
        <v>H</v>
      </c>
      <c r="F272" s="38" t="str">
        <f>'RB · IT &amp; Infrastructure'!J16</f>
        <v>M</v>
      </c>
      <c r="G272" s="38" t="str">
        <f>'RB · IT &amp; Infrastructure'!N16</f>
        <v>L</v>
      </c>
      <c r="H272" s="38" t="str">
        <f>'RB · IT &amp; Infrastructure'!R16</f>
        <v>M</v>
      </c>
      <c r="I272" s="38" t="str">
        <f>'RB · IT &amp; Infrastructure'!V16</f>
        <v>L</v>
      </c>
      <c r="J272" s="38" t="str">
        <f>'RB · IT &amp; Infrastructure'!Z16</f>
        <v>L</v>
      </c>
      <c r="K272" s="38" t="str">
        <f>'RB · IT &amp; Infrastructure'!AD16</f>
        <v>L</v>
      </c>
    </row>
    <row r="273">
      <c r="A273" s="53" t="inlineStr">
        <is>
          <t>IT &amp; Infrastructure|B3|B-IC</t>
        </is>
      </c>
      <c r="B273" s="53" t="inlineStr">
        <is>
          <t>IT &amp; Infrastructure</t>
        </is>
      </c>
      <c r="C273" s="53" t="inlineStr">
        <is>
          <t>B3</t>
        </is>
      </c>
      <c r="D273" s="53" t="inlineStr">
        <is>
          <t>Band B · Specialist / POD Lead</t>
        </is>
      </c>
      <c r="E273" s="38" t="str">
        <f>'RB · IT &amp; Infrastructure'!F17</f>
        <v>H</v>
      </c>
      <c r="F273" s="38" t="str">
        <f>'RB · IT &amp; Infrastructure'!J17</f>
        <v>M</v>
      </c>
      <c r="G273" s="38" t="str">
        <f>'RB · IT &amp; Infrastructure'!N17</f>
        <v>L</v>
      </c>
      <c r="H273" s="38" t="str">
        <f>'RB · IT &amp; Infrastructure'!R17</f>
        <v>L</v>
      </c>
      <c r="I273" s="38" t="str">
        <f>'RB · IT &amp; Infrastructure'!V17</f>
        <v>L</v>
      </c>
      <c r="J273" s="38" t="str">
        <f>'RB · IT &amp; Infrastructure'!Z17</f>
        <v>L</v>
      </c>
      <c r="K273" s="38" t="str">
        <f>'RB · IT &amp; Infrastructure'!AD17</f>
        <v>L</v>
      </c>
    </row>
    <row r="274">
      <c r="A274" s="53" t="inlineStr">
        <is>
          <t>IT &amp; Infrastructure|B2|B-M</t>
        </is>
      </c>
      <c r="B274" s="53" t="inlineStr">
        <is>
          <t>IT &amp; Infrastructure</t>
        </is>
      </c>
      <c r="C274" s="53" t="inlineStr">
        <is>
          <t>B2</t>
        </is>
      </c>
      <c r="D274" s="53" t="inlineStr">
        <is>
          <t>Band B · People Manager</t>
        </is>
      </c>
      <c r="E274" s="38" t="str">
        <f>'RB · IT &amp; Infrastructure'!F18</f>
        <v>H</v>
      </c>
      <c r="F274" s="38" t="str">
        <f>'RB · IT &amp; Infrastructure'!J18</f>
        <v>M</v>
      </c>
      <c r="G274" s="38" t="str">
        <f>'RB · IT &amp; Infrastructure'!N18</f>
        <v>L</v>
      </c>
      <c r="H274" s="38" t="str">
        <f>'RB · IT &amp; Infrastructure'!R18</f>
        <v>M</v>
      </c>
      <c r="I274" s="38" t="str">
        <f>'RB · IT &amp; Infrastructure'!V18</f>
        <v>L</v>
      </c>
      <c r="J274" s="38" t="str">
        <f>'RB · IT &amp; Infrastructure'!Z18</f>
        <v>L</v>
      </c>
      <c r="K274" s="38" t="str">
        <f>'RB · IT &amp; Infrastructure'!AD18</f>
        <v>L</v>
      </c>
    </row>
    <row r="275">
      <c r="A275" s="53" t="inlineStr">
        <is>
          <t>IT &amp; Infrastructure|B2|B-IC</t>
        </is>
      </c>
      <c r="B275" s="53" t="inlineStr">
        <is>
          <t>IT &amp; Infrastructure</t>
        </is>
      </c>
      <c r="C275" s="53" t="inlineStr">
        <is>
          <t>B2</t>
        </is>
      </c>
      <c r="D275" s="53" t="inlineStr">
        <is>
          <t>Band B · Specialist / POD Lead</t>
        </is>
      </c>
      <c r="E275" s="38" t="str">
        <f>'RB · IT &amp; Infrastructure'!F19</f>
        <v>H</v>
      </c>
      <c r="F275" s="38" t="str">
        <f>'RB · IT &amp; Infrastructure'!J19</f>
        <v>M</v>
      </c>
      <c r="G275" s="38" t="str">
        <f>'RB · IT &amp; Infrastructure'!N19</f>
        <v>L</v>
      </c>
      <c r="H275" s="38" t="str">
        <f>'RB · IT &amp; Infrastructure'!R19</f>
        <v>L</v>
      </c>
      <c r="I275" s="38" t="str">
        <f>'RB · IT &amp; Infrastructure'!V19</f>
        <v>L</v>
      </c>
      <c r="J275" s="38" t="str">
        <f>'RB · IT &amp; Infrastructure'!Z19</f>
        <v>L</v>
      </c>
      <c r="K275" s="38" t="str">
        <f>'RB · IT &amp; Infrastructure'!AD19</f>
        <v>L</v>
      </c>
    </row>
    <row r="276">
      <c r="A276" s="53" t="inlineStr">
        <is>
          <t>IT &amp; Infrastructure|B1|B-M</t>
        </is>
      </c>
      <c r="B276" s="53" t="inlineStr">
        <is>
          <t>IT &amp; Infrastructure</t>
        </is>
      </c>
      <c r="C276" s="53" t="inlineStr">
        <is>
          <t>B1</t>
        </is>
      </c>
      <c r="D276" s="53" t="inlineStr">
        <is>
          <t>Band B · People Manager</t>
        </is>
      </c>
      <c r="E276" s="38" t="str">
        <f>'RB · IT &amp; Infrastructure'!F20</f>
        <v>H</v>
      </c>
      <c r="F276" s="38" t="str">
        <f>'RB · IT &amp; Infrastructure'!J20</f>
        <v>M</v>
      </c>
      <c r="G276" s="38" t="str">
        <f>'RB · IT &amp; Infrastructure'!N20</f>
        <v>L</v>
      </c>
      <c r="H276" s="38" t="str">
        <f>'RB · IT &amp; Infrastructure'!R20</f>
        <v>M</v>
      </c>
      <c r="I276" s="38" t="str">
        <f>'RB · IT &amp; Infrastructure'!V20</f>
        <v>L</v>
      </c>
      <c r="J276" s="38" t="str">
        <f>'RB · IT &amp; Infrastructure'!Z20</f>
        <v>L</v>
      </c>
      <c r="K276" s="38" t="str">
        <f>'RB · IT &amp; Infrastructure'!AD20</f>
        <v>L</v>
      </c>
    </row>
    <row r="277">
      <c r="A277" s="53" t="inlineStr">
        <is>
          <t>IT &amp; Infrastructure|B1|B-IC</t>
        </is>
      </c>
      <c r="B277" s="53" t="inlineStr">
        <is>
          <t>IT &amp; Infrastructure</t>
        </is>
      </c>
      <c r="C277" s="53" t="inlineStr">
        <is>
          <t>B1</t>
        </is>
      </c>
      <c r="D277" s="53" t="inlineStr">
        <is>
          <t>Band B · Specialist / POD Lead</t>
        </is>
      </c>
      <c r="E277" s="38" t="str">
        <f>'RB · IT &amp; Infrastructure'!F21</f>
        <v>H</v>
      </c>
      <c r="F277" s="38" t="str">
        <f>'RB · IT &amp; Infrastructure'!J21</f>
        <v>M</v>
      </c>
      <c r="G277" s="38" t="str">
        <f>'RB · IT &amp; Infrastructure'!N21</f>
        <v>L</v>
      </c>
      <c r="H277" s="38" t="str">
        <f>'RB · IT &amp; Infrastructure'!R21</f>
        <v>L</v>
      </c>
      <c r="I277" s="38" t="str">
        <f>'RB · IT &amp; Infrastructure'!V21</f>
        <v>L</v>
      </c>
      <c r="J277" s="38" t="str">
        <f>'RB · IT &amp; Infrastructure'!Z21</f>
        <v>L</v>
      </c>
      <c r="K277" s="38" t="str">
        <f>'RB · IT &amp; Infrastructure'!AD21</f>
        <v>L</v>
      </c>
    </row>
    <row r="278">
      <c r="A278" s="53" t="inlineStr">
        <is>
          <t>IT &amp; Infrastructure|A3|A</t>
        </is>
      </c>
      <c r="B278" s="53" t="inlineStr">
        <is>
          <t>IT &amp; Infrastructure</t>
        </is>
      </c>
      <c r="C278" s="53" t="inlineStr">
        <is>
          <t>A3</t>
        </is>
      </c>
      <c r="D278" s="53" t="inlineStr">
        <is>
          <t>Band A · all tracks</t>
        </is>
      </c>
      <c r="E278" s="38" t="str">
        <f>'RB · IT &amp; Infrastructure'!F22</f>
        <v>H</v>
      </c>
      <c r="F278" s="38" t="str">
        <f>'RB · IT &amp; Infrastructure'!J22</f>
        <v>M</v>
      </c>
      <c r="G278" s="38" t="str">
        <f>'RB · IT &amp; Infrastructure'!N22</f>
        <v>L</v>
      </c>
      <c r="H278" s="38" t="str">
        <f>'RB · IT &amp; Infrastructure'!R22</f>
        <v>L</v>
      </c>
      <c r="I278" s="38" t="str">
        <f>'RB · IT &amp; Infrastructure'!V22</f>
        <v>L</v>
      </c>
      <c r="J278" s="38" t="str">
        <f>'RB · IT &amp; Infrastructure'!Z22</f>
        <v>L</v>
      </c>
      <c r="K278" s="38" t="str">
        <f>'RB · IT &amp; Infrastructure'!AD22</f>
        <v>L</v>
      </c>
    </row>
    <row r="279">
      <c r="A279" s="53" t="inlineStr">
        <is>
          <t>IT &amp; Infrastructure|A2|A</t>
        </is>
      </c>
      <c r="B279" s="53" t="inlineStr">
        <is>
          <t>IT &amp; Infrastructure</t>
        </is>
      </c>
      <c r="C279" s="53" t="inlineStr">
        <is>
          <t>A2</t>
        </is>
      </c>
      <c r="D279" s="53" t="inlineStr">
        <is>
          <t>Band A · all tracks</t>
        </is>
      </c>
      <c r="E279" s="38" t="str">
        <f>'RB · IT &amp; Infrastructure'!F23</f>
        <v>H</v>
      </c>
      <c r="F279" s="38" t="str">
        <f>'RB · IT &amp; Infrastructure'!J23</f>
        <v>M</v>
      </c>
      <c r="G279" s="38" t="str">
        <f>'RB · IT &amp; Infrastructure'!N23</f>
        <v>L</v>
      </c>
      <c r="H279" s="38" t="str">
        <f>'RB · IT &amp; Infrastructure'!R23</f>
        <v>L</v>
      </c>
      <c r="I279" s="38" t="str">
        <f>'RB · IT &amp; Infrastructure'!V23</f>
        <v>L</v>
      </c>
      <c r="J279" s="38" t="str">
        <f>'RB · IT &amp; Infrastructure'!Z23</f>
        <v>L</v>
      </c>
      <c r="K279" s="38" t="str">
        <f>'RB · IT &amp; Infrastructure'!AD23</f>
        <v>L</v>
      </c>
    </row>
    <row r="280">
      <c r="A280" s="53" t="inlineStr">
        <is>
          <t>IT &amp; Infrastructure|A1|A</t>
        </is>
      </c>
      <c r="B280" s="53" t="inlineStr">
        <is>
          <t>IT &amp; Infrastructure</t>
        </is>
      </c>
      <c r="C280" s="53" t="inlineStr">
        <is>
          <t>A1</t>
        </is>
      </c>
      <c r="D280" s="53" t="inlineStr">
        <is>
          <t>Band A · all tracks</t>
        </is>
      </c>
      <c r="E280" s="38" t="str">
        <f>'RB · IT &amp; Infrastructure'!F24</f>
        <v>H</v>
      </c>
      <c r="F280" s="38" t="str">
        <f>'RB · IT &amp; Infrastructure'!J24</f>
        <v>M</v>
      </c>
      <c r="G280" s="38" t="str">
        <f>'RB · IT &amp; Infrastructure'!N24</f>
        <v>L</v>
      </c>
      <c r="H280" s="38" t="str">
        <f>'RB · IT &amp; Infrastructure'!R24</f>
        <v>L</v>
      </c>
      <c r="I280" s="38" t="str">
        <f>'RB · IT &amp; Infrastructure'!V24</f>
        <v>L</v>
      </c>
      <c r="J280" s="38" t="str">
        <f>'RB · IT &amp; Infrastructure'!Z24</f>
        <v>L</v>
      </c>
      <c r="K280" s="38" t="str">
        <f>'RB · IT &amp; Infrastructure'!AD24</f>
        <v>L</v>
      </c>
    </row>
    <row r="281">
      <c r="A281" s="53" t="inlineStr">
        <is>
          <t>Marketing &amp; Communications|E2|DE</t>
        </is>
      </c>
      <c r="B281" s="53" t="inlineStr">
        <is>
          <t>Marketing &amp; Communications</t>
        </is>
      </c>
      <c r="C281" s="53" t="inlineStr">
        <is>
          <t>E2</t>
        </is>
      </c>
      <c r="D281" s="53" t="inlineStr">
        <is>
          <t>Bands D–E · Leadership</t>
        </is>
      </c>
      <c r="E281" s="38" t="str">
        <f>'RB · Marketing &amp; Communications'!F6</f>
        <v>H</v>
      </c>
      <c r="F281" s="38" t="str">
        <f>'RB · Marketing &amp; Communications'!J6</f>
        <v>M</v>
      </c>
      <c r="G281" s="38" t="str">
        <f>'RB · Marketing &amp; Communications'!N6</f>
        <v>M</v>
      </c>
      <c r="H281" s="38" t="str">
        <f>'RB · Marketing &amp; Communications'!R6</f>
        <v>M</v>
      </c>
      <c r="I281" s="38" t="str">
        <f>'RB · Marketing &amp; Communications'!V6</f>
        <v>L</v>
      </c>
      <c r="J281" s="38" t="str">
        <f>'RB · Marketing &amp; Communications'!Z6</f>
        <v>L</v>
      </c>
      <c r="K281" s="38" t="str">
        <f>'RB · Marketing &amp; Communications'!AD6</f>
        <v>L</v>
      </c>
    </row>
    <row r="282">
      <c r="A282" s="53" t="inlineStr">
        <is>
          <t>Marketing &amp; Communications|E1|DE</t>
        </is>
      </c>
      <c r="B282" s="53" t="inlineStr">
        <is>
          <t>Marketing &amp; Communications</t>
        </is>
      </c>
      <c r="C282" s="53" t="inlineStr">
        <is>
          <t>E1</t>
        </is>
      </c>
      <c r="D282" s="53" t="inlineStr">
        <is>
          <t>Bands D–E · Leadership</t>
        </is>
      </c>
      <c r="E282" s="38" t="str">
        <f>'RB · Marketing &amp; Communications'!F7</f>
        <v>H</v>
      </c>
      <c r="F282" s="38" t="str">
        <f>'RB · Marketing &amp; Communications'!J7</f>
        <v>M</v>
      </c>
      <c r="G282" s="38" t="str">
        <f>'RB · Marketing &amp; Communications'!N7</f>
        <v>M</v>
      </c>
      <c r="H282" s="38" t="str">
        <f>'RB · Marketing &amp; Communications'!R7</f>
        <v>M</v>
      </c>
      <c r="I282" s="38" t="str">
        <f>'RB · Marketing &amp; Communications'!V7</f>
        <v>L</v>
      </c>
      <c r="J282" s="38" t="str">
        <f>'RB · Marketing &amp; Communications'!Z7</f>
        <v>L</v>
      </c>
      <c r="K282" s="38" t="str">
        <f>'RB · Marketing &amp; Communications'!AD7</f>
        <v>L</v>
      </c>
    </row>
    <row r="283">
      <c r="A283" s="53" t="inlineStr">
        <is>
          <t>Marketing &amp; Communications|D2|DE</t>
        </is>
      </c>
      <c r="B283" s="53" t="inlineStr">
        <is>
          <t>Marketing &amp; Communications</t>
        </is>
      </c>
      <c r="C283" s="53" t="inlineStr">
        <is>
          <t>D2</t>
        </is>
      </c>
      <c r="D283" s="53" t="inlineStr">
        <is>
          <t>Bands D–E · Leadership</t>
        </is>
      </c>
      <c r="E283" s="38" t="str">
        <f>'RB · Marketing &amp; Communications'!F8</f>
        <v>H</v>
      </c>
      <c r="F283" s="38" t="str">
        <f>'RB · Marketing &amp; Communications'!J8</f>
        <v>M</v>
      </c>
      <c r="G283" s="38" t="str">
        <f>'RB · Marketing &amp; Communications'!N8</f>
        <v>M</v>
      </c>
      <c r="H283" s="38" t="str">
        <f>'RB · Marketing &amp; Communications'!R8</f>
        <v>M</v>
      </c>
      <c r="I283" s="38" t="str">
        <f>'RB · Marketing &amp; Communications'!V8</f>
        <v>L</v>
      </c>
      <c r="J283" s="38" t="str">
        <f>'RB · Marketing &amp; Communications'!Z8</f>
        <v>L</v>
      </c>
      <c r="K283" s="38" t="str">
        <f>'RB · Marketing &amp; Communications'!AD8</f>
        <v>L</v>
      </c>
    </row>
    <row r="284">
      <c r="A284" s="53" t="inlineStr">
        <is>
          <t>Marketing &amp; Communications|D1|DE</t>
        </is>
      </c>
      <c r="B284" s="53" t="inlineStr">
        <is>
          <t>Marketing &amp; Communications</t>
        </is>
      </c>
      <c r="C284" s="53" t="inlineStr">
        <is>
          <t>D1</t>
        </is>
      </c>
      <c r="D284" s="53" t="inlineStr">
        <is>
          <t>Bands D–E · Leadership</t>
        </is>
      </c>
      <c r="E284" s="38" t="str">
        <f>'RB · Marketing &amp; Communications'!F9</f>
        <v>H</v>
      </c>
      <c r="F284" s="38" t="str">
        <f>'RB · Marketing &amp; Communications'!J9</f>
        <v>M</v>
      </c>
      <c r="G284" s="38" t="str">
        <f>'RB · Marketing &amp; Communications'!N9</f>
        <v>M</v>
      </c>
      <c r="H284" s="38" t="str">
        <f>'RB · Marketing &amp; Communications'!R9</f>
        <v>M</v>
      </c>
      <c r="I284" s="38" t="str">
        <f>'RB · Marketing &amp; Communications'!V9</f>
        <v>L</v>
      </c>
      <c r="J284" s="38" t="str">
        <f>'RB · Marketing &amp; Communications'!Z9</f>
        <v>L</v>
      </c>
      <c r="K284" s="38" t="str">
        <f>'RB · Marketing &amp; Communications'!AD9</f>
        <v>L</v>
      </c>
    </row>
    <row r="285">
      <c r="A285" s="53" t="inlineStr">
        <is>
          <t>Marketing &amp; Communications|C+|C+</t>
        </is>
      </c>
      <c r="B285" s="53" t="inlineStr">
        <is>
          <t>Marketing &amp; Communications</t>
        </is>
      </c>
      <c r="C285" s="53" t="inlineStr">
        <is>
          <t>C+</t>
        </is>
      </c>
      <c r="D285" s="53" t="inlineStr">
        <is>
          <t>C+ · Player-Coach</t>
        </is>
      </c>
      <c r="E285" s="38" t="str">
        <f>'RB · Marketing &amp; Communications'!F10</f>
        <v>H</v>
      </c>
      <c r="F285" s="38" t="str">
        <f>'RB · Marketing &amp; Communications'!J10</f>
        <v>M</v>
      </c>
      <c r="G285" s="38" t="str">
        <f>'RB · Marketing &amp; Communications'!N10</f>
        <v>M</v>
      </c>
      <c r="H285" s="38" t="str">
        <f>'RB · Marketing &amp; Communications'!R10</f>
        <v>M</v>
      </c>
      <c r="I285" s="38" t="str">
        <f>'RB · Marketing &amp; Communications'!V10</f>
        <v>L</v>
      </c>
      <c r="J285" s="38" t="str">
        <f>'RB · Marketing &amp; Communications'!Z10</f>
        <v>L</v>
      </c>
      <c r="K285" s="38" t="str">
        <f>'RB · Marketing &amp; Communications'!AD10</f>
        <v>L</v>
      </c>
    </row>
    <row r="286">
      <c r="A286" s="53" t="inlineStr">
        <is>
          <t>Marketing &amp; Communications|C2|C-M</t>
        </is>
      </c>
      <c r="B286" s="53" t="inlineStr">
        <is>
          <t>Marketing &amp; Communications</t>
        </is>
      </c>
      <c r="C286" s="53" t="inlineStr">
        <is>
          <t>C2</t>
        </is>
      </c>
      <c r="D286" s="53" t="inlineStr">
        <is>
          <t>Band C · Head / manager</t>
        </is>
      </c>
      <c r="E286" s="38" t="str">
        <f>'RB · Marketing &amp; Communications'!F11</f>
        <v>H</v>
      </c>
      <c r="F286" s="38" t="str">
        <f>'RB · Marketing &amp; Communications'!J11</f>
        <v>M</v>
      </c>
      <c r="G286" s="38" t="str">
        <f>'RB · Marketing &amp; Communications'!N11</f>
        <v>L</v>
      </c>
      <c r="H286" s="38" t="str">
        <f>'RB · Marketing &amp; Communications'!R11</f>
        <v>M</v>
      </c>
      <c r="I286" s="38" t="str">
        <f>'RB · Marketing &amp; Communications'!V11</f>
        <v>M</v>
      </c>
      <c r="J286" s="38" t="str">
        <f>'RB · Marketing &amp; Communications'!Z11</f>
        <v>L</v>
      </c>
      <c r="K286" s="38" t="str">
        <f>'RB · Marketing &amp; Communications'!AD11</f>
        <v>L</v>
      </c>
    </row>
    <row r="287">
      <c r="A287" s="53" t="inlineStr">
        <is>
          <t>Marketing &amp; Communications|C2|C-IC</t>
        </is>
      </c>
      <c r="B287" s="53" t="inlineStr">
        <is>
          <t>Marketing &amp; Communications</t>
        </is>
      </c>
      <c r="C287" s="53" t="inlineStr">
        <is>
          <t>C2</t>
        </is>
      </c>
      <c r="D287" s="53" t="inlineStr">
        <is>
          <t>Band C · Principal specialist</t>
        </is>
      </c>
      <c r="E287" s="38" t="str">
        <f>'RB · Marketing &amp; Communications'!F12</f>
        <v>H</v>
      </c>
      <c r="F287" s="38" t="str">
        <f>'RB · Marketing &amp; Communications'!J12</f>
        <v>M</v>
      </c>
      <c r="G287" s="38" t="str">
        <f>'RB · Marketing &amp; Communications'!N12</f>
        <v>L</v>
      </c>
      <c r="H287" s="38" t="str">
        <f>'RB · Marketing &amp; Communications'!R12</f>
        <v>L</v>
      </c>
      <c r="I287" s="38" t="str">
        <f>'RB · Marketing &amp; Communications'!V12</f>
        <v>M</v>
      </c>
      <c r="J287" s="38" t="str">
        <f>'RB · Marketing &amp; Communications'!Z12</f>
        <v>L</v>
      </c>
      <c r="K287" s="38" t="str">
        <f>'RB · Marketing &amp; Communications'!AD12</f>
        <v>L</v>
      </c>
    </row>
    <row r="288">
      <c r="A288" s="53" t="inlineStr">
        <is>
          <t>Marketing &amp; Communications|C1|C-M</t>
        </is>
      </c>
      <c r="B288" s="53" t="inlineStr">
        <is>
          <t>Marketing &amp; Communications</t>
        </is>
      </c>
      <c r="C288" s="53" t="inlineStr">
        <is>
          <t>C1</t>
        </is>
      </c>
      <c r="D288" s="53" t="inlineStr">
        <is>
          <t>Band C · Head / manager</t>
        </is>
      </c>
      <c r="E288" s="38" t="str">
        <f>'RB · Marketing &amp; Communications'!F13</f>
        <v>H</v>
      </c>
      <c r="F288" s="38" t="str">
        <f>'RB · Marketing &amp; Communications'!J13</f>
        <v>M</v>
      </c>
      <c r="G288" s="38" t="str">
        <f>'RB · Marketing &amp; Communications'!N13</f>
        <v>L</v>
      </c>
      <c r="H288" s="38" t="str">
        <f>'RB · Marketing &amp; Communications'!R13</f>
        <v>M</v>
      </c>
      <c r="I288" s="38" t="str">
        <f>'RB · Marketing &amp; Communications'!V13</f>
        <v>M</v>
      </c>
      <c r="J288" s="38" t="str">
        <f>'RB · Marketing &amp; Communications'!Z13</f>
        <v>L</v>
      </c>
      <c r="K288" s="38" t="str">
        <f>'RB · Marketing &amp; Communications'!AD13</f>
        <v>L</v>
      </c>
    </row>
    <row r="289">
      <c r="A289" s="53" t="inlineStr">
        <is>
          <t>Marketing &amp; Communications|C1|C-IC</t>
        </is>
      </c>
      <c r="B289" s="53" t="inlineStr">
        <is>
          <t>Marketing &amp; Communications</t>
        </is>
      </c>
      <c r="C289" s="53" t="inlineStr">
        <is>
          <t>C1</t>
        </is>
      </c>
      <c r="D289" s="53" t="inlineStr">
        <is>
          <t>Band C · Principal specialist</t>
        </is>
      </c>
      <c r="E289" s="38" t="str">
        <f>'RB · Marketing &amp; Communications'!F14</f>
        <v>H</v>
      </c>
      <c r="F289" s="38" t="str">
        <f>'RB · Marketing &amp; Communications'!J14</f>
        <v>M</v>
      </c>
      <c r="G289" s="38" t="str">
        <f>'RB · Marketing &amp; Communications'!N14</f>
        <v>L</v>
      </c>
      <c r="H289" s="38" t="str">
        <f>'RB · Marketing &amp; Communications'!R14</f>
        <v>L</v>
      </c>
      <c r="I289" s="38" t="str">
        <f>'RB · Marketing &amp; Communications'!V14</f>
        <v>M</v>
      </c>
      <c r="J289" s="38" t="str">
        <f>'RB · Marketing &amp; Communications'!Z14</f>
        <v>L</v>
      </c>
      <c r="K289" s="38" t="str">
        <f>'RB · Marketing &amp; Communications'!AD14</f>
        <v>L</v>
      </c>
    </row>
    <row r="290">
      <c r="A290" s="53" t="inlineStr">
        <is>
          <t>Marketing &amp; Communications|B+|B+</t>
        </is>
      </c>
      <c r="B290" s="53" t="inlineStr">
        <is>
          <t>Marketing &amp; Communications</t>
        </is>
      </c>
      <c r="C290" s="53" t="inlineStr">
        <is>
          <t>B+</t>
        </is>
      </c>
      <c r="D290" s="53" t="inlineStr">
        <is>
          <t>B+ · Player-Coach</t>
        </is>
      </c>
      <c r="E290" s="38" t="str">
        <f>'RB · Marketing &amp; Communications'!F15</f>
        <v>H</v>
      </c>
      <c r="F290" s="38" t="str">
        <f>'RB · Marketing &amp; Communications'!J15</f>
        <v>M</v>
      </c>
      <c r="G290" s="38" t="str">
        <f>'RB · Marketing &amp; Communications'!N15</f>
        <v>L</v>
      </c>
      <c r="H290" s="38" t="str">
        <f>'RB · Marketing &amp; Communications'!R15</f>
        <v>M</v>
      </c>
      <c r="I290" s="38" t="str">
        <f>'RB · Marketing &amp; Communications'!V15</f>
        <v>M</v>
      </c>
      <c r="J290" s="38" t="str">
        <f>'RB · Marketing &amp; Communications'!Z15</f>
        <v>L</v>
      </c>
      <c r="K290" s="38" t="str">
        <f>'RB · Marketing &amp; Communications'!AD15</f>
        <v>L</v>
      </c>
    </row>
    <row r="291">
      <c r="A291" s="53" t="inlineStr">
        <is>
          <t>Marketing &amp; Communications|B3|B-M</t>
        </is>
      </c>
      <c r="B291" s="53" t="inlineStr">
        <is>
          <t>Marketing &amp; Communications</t>
        </is>
      </c>
      <c r="C291" s="53" t="inlineStr">
        <is>
          <t>B3</t>
        </is>
      </c>
      <c r="D291" s="53" t="inlineStr">
        <is>
          <t>Band B · People Manager</t>
        </is>
      </c>
      <c r="E291" s="38" t="str">
        <f>'RB · Marketing &amp; Communications'!F16</f>
        <v>H</v>
      </c>
      <c r="F291" s="38" t="str">
        <f>'RB · Marketing &amp; Communications'!J16</f>
        <v>M</v>
      </c>
      <c r="G291" s="38" t="str">
        <f>'RB · Marketing &amp; Communications'!N16</f>
        <v>L</v>
      </c>
      <c r="H291" s="38" t="str">
        <f>'RB · Marketing &amp; Communications'!R16</f>
        <v>M</v>
      </c>
      <c r="I291" s="38" t="str">
        <f>'RB · Marketing &amp; Communications'!V16</f>
        <v>M</v>
      </c>
      <c r="J291" s="38" t="str">
        <f>'RB · Marketing &amp; Communications'!Z16</f>
        <v>L</v>
      </c>
      <c r="K291" s="38" t="str">
        <f>'RB · Marketing &amp; Communications'!AD16</f>
        <v>L</v>
      </c>
    </row>
    <row r="292">
      <c r="A292" s="53" t="inlineStr">
        <is>
          <t>Marketing &amp; Communications|B3|B-IC</t>
        </is>
      </c>
      <c r="B292" s="53" t="inlineStr">
        <is>
          <t>Marketing &amp; Communications</t>
        </is>
      </c>
      <c r="C292" s="53" t="inlineStr">
        <is>
          <t>B3</t>
        </is>
      </c>
      <c r="D292" s="53" t="inlineStr">
        <is>
          <t>Band B · Specialist / POD Lead</t>
        </is>
      </c>
      <c r="E292" s="38" t="str">
        <f>'RB · Marketing &amp; Communications'!F17</f>
        <v>H</v>
      </c>
      <c r="F292" s="38" t="str">
        <f>'RB · Marketing &amp; Communications'!J17</f>
        <v>M</v>
      </c>
      <c r="G292" s="38" t="str">
        <f>'RB · Marketing &amp; Communications'!N17</f>
        <v>L</v>
      </c>
      <c r="H292" s="38" t="str">
        <f>'RB · Marketing &amp; Communications'!R17</f>
        <v>L</v>
      </c>
      <c r="I292" s="38" t="str">
        <f>'RB · Marketing &amp; Communications'!V17</f>
        <v>M</v>
      </c>
      <c r="J292" s="38" t="str">
        <f>'RB · Marketing &amp; Communications'!Z17</f>
        <v>L</v>
      </c>
      <c r="K292" s="38" t="str">
        <f>'RB · Marketing &amp; Communications'!AD17</f>
        <v>L</v>
      </c>
    </row>
    <row r="293">
      <c r="A293" s="53" t="inlineStr">
        <is>
          <t>Marketing &amp; Communications|B2|B-M</t>
        </is>
      </c>
      <c r="B293" s="53" t="inlineStr">
        <is>
          <t>Marketing &amp; Communications</t>
        </is>
      </c>
      <c r="C293" s="53" t="inlineStr">
        <is>
          <t>B2</t>
        </is>
      </c>
      <c r="D293" s="53" t="inlineStr">
        <is>
          <t>Band B · People Manager</t>
        </is>
      </c>
      <c r="E293" s="38" t="str">
        <f>'RB · Marketing &amp; Communications'!F18</f>
        <v>H</v>
      </c>
      <c r="F293" s="38" t="str">
        <f>'RB · Marketing &amp; Communications'!J18</f>
        <v>M</v>
      </c>
      <c r="G293" s="38" t="str">
        <f>'RB · Marketing &amp; Communications'!N18</f>
        <v>L</v>
      </c>
      <c r="H293" s="38" t="str">
        <f>'RB · Marketing &amp; Communications'!R18</f>
        <v>M</v>
      </c>
      <c r="I293" s="38" t="str">
        <f>'RB · Marketing &amp; Communications'!V18</f>
        <v>M</v>
      </c>
      <c r="J293" s="38" t="str">
        <f>'RB · Marketing &amp; Communications'!Z18</f>
        <v>L</v>
      </c>
      <c r="K293" s="38" t="str">
        <f>'RB · Marketing &amp; Communications'!AD18</f>
        <v>L</v>
      </c>
    </row>
    <row r="294">
      <c r="A294" s="53" t="inlineStr">
        <is>
          <t>Marketing &amp; Communications|B2|B-IC</t>
        </is>
      </c>
      <c r="B294" s="53" t="inlineStr">
        <is>
          <t>Marketing &amp; Communications</t>
        </is>
      </c>
      <c r="C294" s="53" t="inlineStr">
        <is>
          <t>B2</t>
        </is>
      </c>
      <c r="D294" s="53" t="inlineStr">
        <is>
          <t>Band B · Specialist / POD Lead</t>
        </is>
      </c>
      <c r="E294" s="38" t="str">
        <f>'RB · Marketing &amp; Communications'!F19</f>
        <v>H</v>
      </c>
      <c r="F294" s="38" t="str">
        <f>'RB · Marketing &amp; Communications'!J19</f>
        <v>M</v>
      </c>
      <c r="G294" s="38" t="str">
        <f>'RB · Marketing &amp; Communications'!N19</f>
        <v>L</v>
      </c>
      <c r="H294" s="38" t="str">
        <f>'RB · Marketing &amp; Communications'!R19</f>
        <v>L</v>
      </c>
      <c r="I294" s="38" t="str">
        <f>'RB · Marketing &amp; Communications'!V19</f>
        <v>M</v>
      </c>
      <c r="J294" s="38" t="str">
        <f>'RB · Marketing &amp; Communications'!Z19</f>
        <v>L</v>
      </c>
      <c r="K294" s="38" t="str">
        <f>'RB · Marketing &amp; Communications'!AD19</f>
        <v>L</v>
      </c>
    </row>
    <row r="295">
      <c r="A295" s="53" t="inlineStr">
        <is>
          <t>Marketing &amp; Communications|B1|B-M</t>
        </is>
      </c>
      <c r="B295" s="53" t="inlineStr">
        <is>
          <t>Marketing &amp; Communications</t>
        </is>
      </c>
      <c r="C295" s="53" t="inlineStr">
        <is>
          <t>B1</t>
        </is>
      </c>
      <c r="D295" s="53" t="inlineStr">
        <is>
          <t>Band B · People Manager</t>
        </is>
      </c>
      <c r="E295" s="38" t="str">
        <f>'RB · Marketing &amp; Communications'!F20</f>
        <v>H</v>
      </c>
      <c r="F295" s="38" t="str">
        <f>'RB · Marketing &amp; Communications'!J20</f>
        <v>M</v>
      </c>
      <c r="G295" s="38" t="str">
        <f>'RB · Marketing &amp; Communications'!N20</f>
        <v>L</v>
      </c>
      <c r="H295" s="38" t="str">
        <f>'RB · Marketing &amp; Communications'!R20</f>
        <v>M</v>
      </c>
      <c r="I295" s="38" t="str">
        <f>'RB · Marketing &amp; Communications'!V20</f>
        <v>M</v>
      </c>
      <c r="J295" s="38" t="str">
        <f>'RB · Marketing &amp; Communications'!Z20</f>
        <v>L</v>
      </c>
      <c r="K295" s="38" t="str">
        <f>'RB · Marketing &amp; Communications'!AD20</f>
        <v>L</v>
      </c>
    </row>
    <row r="296">
      <c r="A296" s="53" t="inlineStr">
        <is>
          <t>Marketing &amp; Communications|B1|B-IC</t>
        </is>
      </c>
      <c r="B296" s="53" t="inlineStr">
        <is>
          <t>Marketing &amp; Communications</t>
        </is>
      </c>
      <c r="C296" s="53" t="inlineStr">
        <is>
          <t>B1</t>
        </is>
      </c>
      <c r="D296" s="53" t="inlineStr">
        <is>
          <t>Band B · Specialist / POD Lead</t>
        </is>
      </c>
      <c r="E296" s="38" t="str">
        <f>'RB · Marketing &amp; Communications'!F21</f>
        <v>H</v>
      </c>
      <c r="F296" s="38" t="str">
        <f>'RB · Marketing &amp; Communications'!J21</f>
        <v>M</v>
      </c>
      <c r="G296" s="38" t="str">
        <f>'RB · Marketing &amp; Communications'!N21</f>
        <v>L</v>
      </c>
      <c r="H296" s="38" t="str">
        <f>'RB · Marketing &amp; Communications'!R21</f>
        <v>L</v>
      </c>
      <c r="I296" s="38" t="str">
        <f>'RB · Marketing &amp; Communications'!V21</f>
        <v>M</v>
      </c>
      <c r="J296" s="38" t="str">
        <f>'RB · Marketing &amp; Communications'!Z21</f>
        <v>L</v>
      </c>
      <c r="K296" s="38" t="str">
        <f>'RB · Marketing &amp; Communications'!AD21</f>
        <v>L</v>
      </c>
    </row>
    <row r="297">
      <c r="A297" s="53" t="inlineStr">
        <is>
          <t>Marketing &amp; Communications|A3|A</t>
        </is>
      </c>
      <c r="B297" s="53" t="inlineStr">
        <is>
          <t>Marketing &amp; Communications</t>
        </is>
      </c>
      <c r="C297" s="53" t="inlineStr">
        <is>
          <t>A3</t>
        </is>
      </c>
      <c r="D297" s="53" t="inlineStr">
        <is>
          <t>Band A · all tracks</t>
        </is>
      </c>
      <c r="E297" s="38" t="str">
        <f>'RB · Marketing &amp; Communications'!F22</f>
        <v>H</v>
      </c>
      <c r="F297" s="38" t="str">
        <f>'RB · Marketing &amp; Communications'!J22</f>
        <v>M</v>
      </c>
      <c r="G297" s="38" t="str">
        <f>'RB · Marketing &amp; Communications'!N22</f>
        <v>L</v>
      </c>
      <c r="H297" s="38" t="str">
        <f>'RB · Marketing &amp; Communications'!R22</f>
        <v>L</v>
      </c>
      <c r="I297" s="38" t="str">
        <f>'RB · Marketing &amp; Communications'!V22</f>
        <v>M</v>
      </c>
      <c r="J297" s="38" t="str">
        <f>'RB · Marketing &amp; Communications'!Z22</f>
        <v>L</v>
      </c>
      <c r="K297" s="38" t="str">
        <f>'RB · Marketing &amp; Communications'!AD22</f>
        <v>L</v>
      </c>
    </row>
    <row r="298">
      <c r="A298" s="53" t="inlineStr">
        <is>
          <t>Marketing &amp; Communications|A2|A</t>
        </is>
      </c>
      <c r="B298" s="53" t="inlineStr">
        <is>
          <t>Marketing &amp; Communications</t>
        </is>
      </c>
      <c r="C298" s="53" t="inlineStr">
        <is>
          <t>A2</t>
        </is>
      </c>
      <c r="D298" s="53" t="inlineStr">
        <is>
          <t>Band A · all tracks</t>
        </is>
      </c>
      <c r="E298" s="38" t="str">
        <f>'RB · Marketing &amp; Communications'!F23</f>
        <v>H</v>
      </c>
      <c r="F298" s="38" t="str">
        <f>'RB · Marketing &amp; Communications'!J23</f>
        <v>M</v>
      </c>
      <c r="G298" s="38" t="str">
        <f>'RB · Marketing &amp; Communications'!N23</f>
        <v>L</v>
      </c>
      <c r="H298" s="38" t="str">
        <f>'RB · Marketing &amp; Communications'!R23</f>
        <v>L</v>
      </c>
      <c r="I298" s="38" t="str">
        <f>'RB · Marketing &amp; Communications'!V23</f>
        <v>M</v>
      </c>
      <c r="J298" s="38" t="str">
        <f>'RB · Marketing &amp; Communications'!Z23</f>
        <v>L</v>
      </c>
      <c r="K298" s="38" t="str">
        <f>'RB · Marketing &amp; Communications'!AD23</f>
        <v>L</v>
      </c>
    </row>
    <row r="299">
      <c r="A299" s="53" t="inlineStr">
        <is>
          <t>Marketing &amp; Communications|A1|A</t>
        </is>
      </c>
      <c r="B299" s="53" t="inlineStr">
        <is>
          <t>Marketing &amp; Communications</t>
        </is>
      </c>
      <c r="C299" s="53" t="inlineStr">
        <is>
          <t>A1</t>
        </is>
      </c>
      <c r="D299" s="53" t="inlineStr">
        <is>
          <t>Band A · all tracks</t>
        </is>
      </c>
      <c r="E299" s="38" t="str">
        <f>'RB · Marketing &amp; Communications'!F24</f>
        <v>H</v>
      </c>
      <c r="F299" s="38" t="str">
        <f>'RB · Marketing &amp; Communications'!J24</f>
        <v>M</v>
      </c>
      <c r="G299" s="38" t="str">
        <f>'RB · Marketing &amp; Communications'!N24</f>
        <v>L</v>
      </c>
      <c r="H299" s="38" t="str">
        <f>'RB · Marketing &amp; Communications'!R24</f>
        <v>L</v>
      </c>
      <c r="I299" s="38" t="str">
        <f>'RB · Marketing &amp; Communications'!V24</f>
        <v>M</v>
      </c>
      <c r="J299" s="38" t="str">
        <f>'RB · Marketing &amp; Communications'!Z24</f>
        <v>L</v>
      </c>
      <c r="K299" s="38" t="str">
        <f>'RB · Marketing &amp; Communications'!AD24</f>
        <v>L</v>
      </c>
    </row>
    <row r="300">
      <c r="A300" s="53" t="inlineStr">
        <is>
          <t>Product Management|E2|DE</t>
        </is>
      </c>
      <c r="B300" s="53" t="inlineStr">
        <is>
          <t>Product Management</t>
        </is>
      </c>
      <c r="C300" s="53" t="inlineStr">
        <is>
          <t>E2</t>
        </is>
      </c>
      <c r="D300" s="53" t="inlineStr">
        <is>
          <t>Bands D–E · Leadership</t>
        </is>
      </c>
      <c r="E300" s="38" t="str">
        <f>'RB · Product Management'!F6</f>
        <v>H</v>
      </c>
      <c r="F300" s="38" t="str">
        <f>'RB · Product Management'!J6</f>
        <v>M</v>
      </c>
      <c r="G300" s="38" t="str">
        <f>'RB · Product Management'!N6</f>
        <v>M</v>
      </c>
      <c r="H300" s="38" t="str">
        <f>'RB · Product Management'!R6</f>
        <v>M</v>
      </c>
      <c r="I300" s="38" t="str">
        <f>'RB · Product Management'!V6</f>
        <v>L</v>
      </c>
      <c r="J300" s="38" t="str">
        <f>'RB · Product Management'!Z6</f>
        <v>L</v>
      </c>
      <c r="K300" s="38" t="str">
        <f>'RB · Product Management'!AD6</f>
        <v>L</v>
      </c>
    </row>
    <row r="301">
      <c r="A301" s="53" t="inlineStr">
        <is>
          <t>Product Management|E1|DE</t>
        </is>
      </c>
      <c r="B301" s="53" t="inlineStr">
        <is>
          <t>Product Management</t>
        </is>
      </c>
      <c r="C301" s="53" t="inlineStr">
        <is>
          <t>E1</t>
        </is>
      </c>
      <c r="D301" s="53" t="inlineStr">
        <is>
          <t>Bands D–E · Leadership</t>
        </is>
      </c>
      <c r="E301" s="38" t="str">
        <f>'RB · Product Management'!F7</f>
        <v>H</v>
      </c>
      <c r="F301" s="38" t="str">
        <f>'RB · Product Management'!J7</f>
        <v>M</v>
      </c>
      <c r="G301" s="38" t="str">
        <f>'RB · Product Management'!N7</f>
        <v>M</v>
      </c>
      <c r="H301" s="38" t="str">
        <f>'RB · Product Management'!R7</f>
        <v>M</v>
      </c>
      <c r="I301" s="38" t="str">
        <f>'RB · Product Management'!V7</f>
        <v>L</v>
      </c>
      <c r="J301" s="38" t="str">
        <f>'RB · Product Management'!Z7</f>
        <v>L</v>
      </c>
      <c r="K301" s="38" t="str">
        <f>'RB · Product Management'!AD7</f>
        <v>L</v>
      </c>
    </row>
    <row r="302">
      <c r="A302" s="53" t="inlineStr">
        <is>
          <t>Product Management|D2|DE</t>
        </is>
      </c>
      <c r="B302" s="53" t="inlineStr">
        <is>
          <t>Product Management</t>
        </is>
      </c>
      <c r="C302" s="53" t="inlineStr">
        <is>
          <t>D2</t>
        </is>
      </c>
      <c r="D302" s="53" t="inlineStr">
        <is>
          <t>Bands D–E · Leadership</t>
        </is>
      </c>
      <c r="E302" s="38" t="str">
        <f>'RB · Product Management'!F8</f>
        <v>H</v>
      </c>
      <c r="F302" s="38" t="str">
        <f>'RB · Product Management'!J8</f>
        <v>M</v>
      </c>
      <c r="G302" s="38" t="str">
        <f>'RB · Product Management'!N8</f>
        <v>M</v>
      </c>
      <c r="H302" s="38" t="str">
        <f>'RB · Product Management'!R8</f>
        <v>M</v>
      </c>
      <c r="I302" s="38" t="str">
        <f>'RB · Product Management'!V8</f>
        <v>L</v>
      </c>
      <c r="J302" s="38" t="str">
        <f>'RB · Product Management'!Z8</f>
        <v>L</v>
      </c>
      <c r="K302" s="38" t="str">
        <f>'RB · Product Management'!AD8</f>
        <v>L</v>
      </c>
    </row>
    <row r="303">
      <c r="A303" s="53" t="inlineStr">
        <is>
          <t>Product Management|D1|DE</t>
        </is>
      </c>
      <c r="B303" s="53" t="inlineStr">
        <is>
          <t>Product Management</t>
        </is>
      </c>
      <c r="C303" s="53" t="inlineStr">
        <is>
          <t>D1</t>
        </is>
      </c>
      <c r="D303" s="53" t="inlineStr">
        <is>
          <t>Bands D–E · Leadership</t>
        </is>
      </c>
      <c r="E303" s="38" t="str">
        <f>'RB · Product Management'!F9</f>
        <v>H</v>
      </c>
      <c r="F303" s="38" t="str">
        <f>'RB · Product Management'!J9</f>
        <v>M</v>
      </c>
      <c r="G303" s="38" t="str">
        <f>'RB · Product Management'!N9</f>
        <v>M</v>
      </c>
      <c r="H303" s="38" t="str">
        <f>'RB · Product Management'!R9</f>
        <v>M</v>
      </c>
      <c r="I303" s="38" t="str">
        <f>'RB · Product Management'!V9</f>
        <v>L</v>
      </c>
      <c r="J303" s="38" t="str">
        <f>'RB · Product Management'!Z9</f>
        <v>L</v>
      </c>
      <c r="K303" s="38" t="str">
        <f>'RB · Product Management'!AD9</f>
        <v>L</v>
      </c>
    </row>
    <row r="304">
      <c r="A304" s="53" t="inlineStr">
        <is>
          <t>Product Management|C+|C+</t>
        </is>
      </c>
      <c r="B304" s="53" t="inlineStr">
        <is>
          <t>Product Management</t>
        </is>
      </c>
      <c r="C304" s="53" t="inlineStr">
        <is>
          <t>C+</t>
        </is>
      </c>
      <c r="D304" s="53" t="inlineStr">
        <is>
          <t>C+ · Player-Coach</t>
        </is>
      </c>
      <c r="E304" s="38" t="str">
        <f>'RB · Product Management'!F10</f>
        <v>H</v>
      </c>
      <c r="F304" s="38" t="str">
        <f>'RB · Product Management'!J10</f>
        <v>M</v>
      </c>
      <c r="G304" s="38" t="str">
        <f>'RB · Product Management'!N10</f>
        <v>M</v>
      </c>
      <c r="H304" s="38" t="str">
        <f>'RB · Product Management'!R10</f>
        <v>M</v>
      </c>
      <c r="I304" s="38" t="str">
        <f>'RB · Product Management'!V10</f>
        <v>L</v>
      </c>
      <c r="J304" s="38" t="str">
        <f>'RB · Product Management'!Z10</f>
        <v>L</v>
      </c>
      <c r="K304" s="38" t="str">
        <f>'RB · Product Management'!AD10</f>
        <v>L</v>
      </c>
    </row>
    <row r="305">
      <c r="A305" s="53" t="inlineStr">
        <is>
          <t>Product Management|C2|C-M</t>
        </is>
      </c>
      <c r="B305" s="53" t="inlineStr">
        <is>
          <t>Product Management</t>
        </is>
      </c>
      <c r="C305" s="53" t="inlineStr">
        <is>
          <t>C2</t>
        </is>
      </c>
      <c r="D305" s="53" t="inlineStr">
        <is>
          <t>Band C · Head / manager</t>
        </is>
      </c>
      <c r="E305" s="38" t="str">
        <f>'RB · Product Management'!F11</f>
        <v>H</v>
      </c>
      <c r="F305" s="38" t="str">
        <f>'RB · Product Management'!J11</f>
        <v>M</v>
      </c>
      <c r="G305" s="38" t="str">
        <f>'RB · Product Management'!N11</f>
        <v>M</v>
      </c>
      <c r="H305" s="38" t="str">
        <f>'RB · Product Management'!R11</f>
        <v>M</v>
      </c>
      <c r="I305" s="38" t="str">
        <f>'RB · Product Management'!V11</f>
        <v>L</v>
      </c>
      <c r="J305" s="38" t="str">
        <f>'RB · Product Management'!Z11</f>
        <v>L</v>
      </c>
      <c r="K305" s="38" t="str">
        <f>'RB · Product Management'!AD11</f>
        <v>L</v>
      </c>
    </row>
    <row r="306">
      <c r="A306" s="53" t="inlineStr">
        <is>
          <t>Product Management|C2|C-IC</t>
        </is>
      </c>
      <c r="B306" s="53" t="inlineStr">
        <is>
          <t>Product Management</t>
        </is>
      </c>
      <c r="C306" s="53" t="inlineStr">
        <is>
          <t>C2</t>
        </is>
      </c>
      <c r="D306" s="53" t="inlineStr">
        <is>
          <t>Band C · Principal specialist</t>
        </is>
      </c>
      <c r="E306" s="38" t="str">
        <f>'RB · Product Management'!F12</f>
        <v>H</v>
      </c>
      <c r="F306" s="38" t="str">
        <f>'RB · Product Management'!J12</f>
        <v>M</v>
      </c>
      <c r="G306" s="38" t="str">
        <f>'RB · Product Management'!N12</f>
        <v>M</v>
      </c>
      <c r="H306" s="38" t="str">
        <f>'RB · Product Management'!R12</f>
        <v>L</v>
      </c>
      <c r="I306" s="38" t="str">
        <f>'RB · Product Management'!V12</f>
        <v>L</v>
      </c>
      <c r="J306" s="38" t="str">
        <f>'RB · Product Management'!Z12</f>
        <v>L</v>
      </c>
      <c r="K306" s="38" t="str">
        <f>'RB · Product Management'!AD12</f>
        <v>L</v>
      </c>
    </row>
    <row r="307">
      <c r="A307" s="53" t="inlineStr">
        <is>
          <t>Product Management|C1|C-M</t>
        </is>
      </c>
      <c r="B307" s="53" t="inlineStr">
        <is>
          <t>Product Management</t>
        </is>
      </c>
      <c r="C307" s="53" t="inlineStr">
        <is>
          <t>C1</t>
        </is>
      </c>
      <c r="D307" s="53" t="inlineStr">
        <is>
          <t>Band C · Head / manager</t>
        </is>
      </c>
      <c r="E307" s="38" t="str">
        <f>'RB · Product Management'!F13</f>
        <v>H</v>
      </c>
      <c r="F307" s="38" t="str">
        <f>'RB · Product Management'!J13</f>
        <v>M</v>
      </c>
      <c r="G307" s="38" t="str">
        <f>'RB · Product Management'!N13</f>
        <v>M</v>
      </c>
      <c r="H307" s="38" t="str">
        <f>'RB · Product Management'!R13</f>
        <v>M</v>
      </c>
      <c r="I307" s="38" t="str">
        <f>'RB · Product Management'!V13</f>
        <v>L</v>
      </c>
      <c r="J307" s="38" t="str">
        <f>'RB · Product Management'!Z13</f>
        <v>L</v>
      </c>
      <c r="K307" s="38" t="str">
        <f>'RB · Product Management'!AD13</f>
        <v>L</v>
      </c>
    </row>
    <row r="308">
      <c r="A308" s="53" t="inlineStr">
        <is>
          <t>Product Management|C1|C-IC</t>
        </is>
      </c>
      <c r="B308" s="53" t="inlineStr">
        <is>
          <t>Product Management</t>
        </is>
      </c>
      <c r="C308" s="53" t="inlineStr">
        <is>
          <t>C1</t>
        </is>
      </c>
      <c r="D308" s="53" t="inlineStr">
        <is>
          <t>Band C · Principal specialist</t>
        </is>
      </c>
      <c r="E308" s="38" t="str">
        <f>'RB · Product Management'!F14</f>
        <v>H</v>
      </c>
      <c r="F308" s="38" t="str">
        <f>'RB · Product Management'!J14</f>
        <v>M</v>
      </c>
      <c r="G308" s="38" t="str">
        <f>'RB · Product Management'!N14</f>
        <v>M</v>
      </c>
      <c r="H308" s="38" t="str">
        <f>'RB · Product Management'!R14</f>
        <v>L</v>
      </c>
      <c r="I308" s="38" t="str">
        <f>'RB · Product Management'!V14</f>
        <v>L</v>
      </c>
      <c r="J308" s="38" t="str">
        <f>'RB · Product Management'!Z14</f>
        <v>L</v>
      </c>
      <c r="K308" s="38" t="str">
        <f>'RB · Product Management'!AD14</f>
        <v>L</v>
      </c>
    </row>
    <row r="309">
      <c r="A309" s="53" t="inlineStr">
        <is>
          <t>Product Management|B+|B+</t>
        </is>
      </c>
      <c r="B309" s="53" t="inlineStr">
        <is>
          <t>Product Management</t>
        </is>
      </c>
      <c r="C309" s="53" t="inlineStr">
        <is>
          <t>B+</t>
        </is>
      </c>
      <c r="D309" s="53" t="inlineStr">
        <is>
          <t>B+ · Player-Coach</t>
        </is>
      </c>
      <c r="E309" s="38" t="str">
        <f>'RB · Product Management'!F15</f>
        <v>H</v>
      </c>
      <c r="F309" s="38" t="str">
        <f>'RB · Product Management'!J15</f>
        <v>M</v>
      </c>
      <c r="G309" s="38" t="str">
        <f>'RB · Product Management'!N15</f>
        <v>M</v>
      </c>
      <c r="H309" s="38" t="str">
        <f>'RB · Product Management'!R15</f>
        <v>M</v>
      </c>
      <c r="I309" s="38" t="str">
        <f>'RB · Product Management'!V15</f>
        <v>L</v>
      </c>
      <c r="J309" s="38" t="str">
        <f>'RB · Product Management'!Z15</f>
        <v>L</v>
      </c>
      <c r="K309" s="38" t="str">
        <f>'RB · Product Management'!AD15</f>
        <v>L</v>
      </c>
    </row>
    <row r="310">
      <c r="A310" s="53" t="inlineStr">
        <is>
          <t>Product Management|B3|B-M</t>
        </is>
      </c>
      <c r="B310" s="53" t="inlineStr">
        <is>
          <t>Product Management</t>
        </is>
      </c>
      <c r="C310" s="53" t="inlineStr">
        <is>
          <t>B3</t>
        </is>
      </c>
      <c r="D310" s="53" t="inlineStr">
        <is>
          <t>Band B · People Manager</t>
        </is>
      </c>
      <c r="E310" s="38" t="str">
        <f>'RB · Product Management'!F16</f>
        <v>H</v>
      </c>
      <c r="F310" s="38" t="str">
        <f>'RB · Product Management'!J16</f>
        <v>M</v>
      </c>
      <c r="G310" s="38" t="str">
        <f>'RB · Product Management'!N16</f>
        <v>M</v>
      </c>
      <c r="H310" s="38" t="str">
        <f>'RB · Product Management'!R16</f>
        <v>M</v>
      </c>
      <c r="I310" s="38" t="str">
        <f>'RB · Product Management'!V16</f>
        <v>L</v>
      </c>
      <c r="J310" s="38" t="str">
        <f>'RB · Product Management'!Z16</f>
        <v>L</v>
      </c>
      <c r="K310" s="38" t="str">
        <f>'RB · Product Management'!AD16</f>
        <v>L</v>
      </c>
    </row>
    <row r="311">
      <c r="A311" s="53" t="inlineStr">
        <is>
          <t>Product Management|B3|B-IC</t>
        </is>
      </c>
      <c r="B311" s="53" t="inlineStr">
        <is>
          <t>Product Management</t>
        </is>
      </c>
      <c r="C311" s="53" t="inlineStr">
        <is>
          <t>B3</t>
        </is>
      </c>
      <c r="D311" s="53" t="inlineStr">
        <is>
          <t>Band B · Specialist / POD Lead</t>
        </is>
      </c>
      <c r="E311" s="38" t="str">
        <f>'RB · Product Management'!F17</f>
        <v>H</v>
      </c>
      <c r="F311" s="38" t="str">
        <f>'RB · Product Management'!J17</f>
        <v>M</v>
      </c>
      <c r="G311" s="38" t="str">
        <f>'RB · Product Management'!N17</f>
        <v>M</v>
      </c>
      <c r="H311" s="38" t="str">
        <f>'RB · Product Management'!R17</f>
        <v>L</v>
      </c>
      <c r="I311" s="38" t="str">
        <f>'RB · Product Management'!V17</f>
        <v>L</v>
      </c>
      <c r="J311" s="38" t="str">
        <f>'RB · Product Management'!Z17</f>
        <v>L</v>
      </c>
      <c r="K311" s="38" t="str">
        <f>'RB · Product Management'!AD17</f>
        <v>L</v>
      </c>
    </row>
    <row r="312">
      <c r="A312" s="53" t="inlineStr">
        <is>
          <t>Product Management|B2|B-M</t>
        </is>
      </c>
      <c r="B312" s="53" t="inlineStr">
        <is>
          <t>Product Management</t>
        </is>
      </c>
      <c r="C312" s="53" t="inlineStr">
        <is>
          <t>B2</t>
        </is>
      </c>
      <c r="D312" s="53" t="inlineStr">
        <is>
          <t>Band B · People Manager</t>
        </is>
      </c>
      <c r="E312" s="38" t="str">
        <f>'RB · Product Management'!F18</f>
        <v>H</v>
      </c>
      <c r="F312" s="38" t="str">
        <f>'RB · Product Management'!J18</f>
        <v>M</v>
      </c>
      <c r="G312" s="38" t="str">
        <f>'RB · Product Management'!N18</f>
        <v>M</v>
      </c>
      <c r="H312" s="38" t="str">
        <f>'RB · Product Management'!R18</f>
        <v>M</v>
      </c>
      <c r="I312" s="38" t="str">
        <f>'RB · Product Management'!V18</f>
        <v>L</v>
      </c>
      <c r="J312" s="38" t="str">
        <f>'RB · Product Management'!Z18</f>
        <v>L</v>
      </c>
      <c r="K312" s="38" t="str">
        <f>'RB · Product Management'!AD18</f>
        <v>L</v>
      </c>
    </row>
    <row r="313">
      <c r="A313" s="53" t="inlineStr">
        <is>
          <t>Product Management|B2|B-IC</t>
        </is>
      </c>
      <c r="B313" s="53" t="inlineStr">
        <is>
          <t>Product Management</t>
        </is>
      </c>
      <c r="C313" s="53" t="inlineStr">
        <is>
          <t>B2</t>
        </is>
      </c>
      <c r="D313" s="53" t="inlineStr">
        <is>
          <t>Band B · Specialist / POD Lead</t>
        </is>
      </c>
      <c r="E313" s="38" t="str">
        <f>'RB · Product Management'!F19</f>
        <v>H</v>
      </c>
      <c r="F313" s="38" t="str">
        <f>'RB · Product Management'!J19</f>
        <v>M</v>
      </c>
      <c r="G313" s="38" t="str">
        <f>'RB · Product Management'!N19</f>
        <v>M</v>
      </c>
      <c r="H313" s="38" t="str">
        <f>'RB · Product Management'!R19</f>
        <v>L</v>
      </c>
      <c r="I313" s="38" t="str">
        <f>'RB · Product Management'!V19</f>
        <v>L</v>
      </c>
      <c r="J313" s="38" t="str">
        <f>'RB · Product Management'!Z19</f>
        <v>L</v>
      </c>
      <c r="K313" s="38" t="str">
        <f>'RB · Product Management'!AD19</f>
        <v>L</v>
      </c>
    </row>
    <row r="314">
      <c r="A314" s="53" t="inlineStr">
        <is>
          <t>Product Management|B1|B-M</t>
        </is>
      </c>
      <c r="B314" s="53" t="inlineStr">
        <is>
          <t>Product Management</t>
        </is>
      </c>
      <c r="C314" s="53" t="inlineStr">
        <is>
          <t>B1</t>
        </is>
      </c>
      <c r="D314" s="53" t="inlineStr">
        <is>
          <t>Band B · People Manager</t>
        </is>
      </c>
      <c r="E314" s="38" t="str">
        <f>'RB · Product Management'!F20</f>
        <v>H</v>
      </c>
      <c r="F314" s="38" t="str">
        <f>'RB · Product Management'!J20</f>
        <v>M</v>
      </c>
      <c r="G314" s="38" t="str">
        <f>'RB · Product Management'!N20</f>
        <v>M</v>
      </c>
      <c r="H314" s="38" t="str">
        <f>'RB · Product Management'!R20</f>
        <v>M</v>
      </c>
      <c r="I314" s="38" t="str">
        <f>'RB · Product Management'!V20</f>
        <v>L</v>
      </c>
      <c r="J314" s="38" t="str">
        <f>'RB · Product Management'!Z20</f>
        <v>L</v>
      </c>
      <c r="K314" s="38" t="str">
        <f>'RB · Product Management'!AD20</f>
        <v>L</v>
      </c>
    </row>
    <row r="315">
      <c r="A315" s="53" t="inlineStr">
        <is>
          <t>Product Management|B1|B-IC</t>
        </is>
      </c>
      <c r="B315" s="53" t="inlineStr">
        <is>
          <t>Product Management</t>
        </is>
      </c>
      <c r="C315" s="53" t="inlineStr">
        <is>
          <t>B1</t>
        </is>
      </c>
      <c r="D315" s="53" t="inlineStr">
        <is>
          <t>Band B · Specialist / POD Lead</t>
        </is>
      </c>
      <c r="E315" s="38" t="str">
        <f>'RB · Product Management'!F21</f>
        <v>H</v>
      </c>
      <c r="F315" s="38" t="str">
        <f>'RB · Product Management'!J21</f>
        <v>M</v>
      </c>
      <c r="G315" s="38" t="str">
        <f>'RB · Product Management'!N21</f>
        <v>M</v>
      </c>
      <c r="H315" s="38" t="str">
        <f>'RB · Product Management'!R21</f>
        <v>L</v>
      </c>
      <c r="I315" s="38" t="str">
        <f>'RB · Product Management'!V21</f>
        <v>L</v>
      </c>
      <c r="J315" s="38" t="str">
        <f>'RB · Product Management'!Z21</f>
        <v>L</v>
      </c>
      <c r="K315" s="38" t="str">
        <f>'RB · Product Management'!AD21</f>
        <v>L</v>
      </c>
    </row>
    <row r="316">
      <c r="A316" s="53" t="inlineStr">
        <is>
          <t>Product Management|A3|A</t>
        </is>
      </c>
      <c r="B316" s="53" t="inlineStr">
        <is>
          <t>Product Management</t>
        </is>
      </c>
      <c r="C316" s="53" t="inlineStr">
        <is>
          <t>A3</t>
        </is>
      </c>
      <c r="D316" s="53" t="inlineStr">
        <is>
          <t>Band A · all tracks</t>
        </is>
      </c>
      <c r="E316" s="38" t="str">
        <f>'RB · Product Management'!F22</f>
        <v>H</v>
      </c>
      <c r="F316" s="38" t="str">
        <f>'RB · Product Management'!J22</f>
        <v>M</v>
      </c>
      <c r="G316" s="38" t="str">
        <f>'RB · Product Management'!N22</f>
        <v>M</v>
      </c>
      <c r="H316" s="38" t="str">
        <f>'RB · Product Management'!R22</f>
        <v>L</v>
      </c>
      <c r="I316" s="38" t="str">
        <f>'RB · Product Management'!V22</f>
        <v>L</v>
      </c>
      <c r="J316" s="38" t="str">
        <f>'RB · Product Management'!Z22</f>
        <v>L</v>
      </c>
      <c r="K316" s="38" t="str">
        <f>'RB · Product Management'!AD22</f>
        <v>L</v>
      </c>
    </row>
    <row r="317">
      <c r="A317" s="53" t="inlineStr">
        <is>
          <t>Product Management|A2|A</t>
        </is>
      </c>
      <c r="B317" s="53" t="inlineStr">
        <is>
          <t>Product Management</t>
        </is>
      </c>
      <c r="C317" s="53" t="inlineStr">
        <is>
          <t>A2</t>
        </is>
      </c>
      <c r="D317" s="53" t="inlineStr">
        <is>
          <t>Band A · all tracks</t>
        </is>
      </c>
      <c r="E317" s="38" t="str">
        <f>'RB · Product Management'!F23</f>
        <v>H</v>
      </c>
      <c r="F317" s="38" t="str">
        <f>'RB · Product Management'!J23</f>
        <v>M</v>
      </c>
      <c r="G317" s="38" t="str">
        <f>'RB · Product Management'!N23</f>
        <v>M</v>
      </c>
      <c r="H317" s="38" t="str">
        <f>'RB · Product Management'!R23</f>
        <v>L</v>
      </c>
      <c r="I317" s="38" t="str">
        <f>'RB · Product Management'!V23</f>
        <v>L</v>
      </c>
      <c r="J317" s="38" t="str">
        <f>'RB · Product Management'!Z23</f>
        <v>L</v>
      </c>
      <c r="K317" s="38" t="str">
        <f>'RB · Product Management'!AD23</f>
        <v>L</v>
      </c>
    </row>
    <row r="318">
      <c r="A318" s="53" t="inlineStr">
        <is>
          <t>Product Management|A1|A</t>
        </is>
      </c>
      <c r="B318" s="53" t="inlineStr">
        <is>
          <t>Product Management</t>
        </is>
      </c>
      <c r="C318" s="53" t="inlineStr">
        <is>
          <t>A1</t>
        </is>
      </c>
      <c r="D318" s="53" t="inlineStr">
        <is>
          <t>Band A · all tracks</t>
        </is>
      </c>
      <c r="E318" s="38" t="str">
        <f>'RB · Product Management'!F24</f>
        <v>H</v>
      </c>
      <c r="F318" s="38" t="str">
        <f>'RB · Product Management'!J24</f>
        <v>M</v>
      </c>
      <c r="G318" s="38" t="str">
        <f>'RB · Product Management'!N24</f>
        <v>M</v>
      </c>
      <c r="H318" s="38" t="str">
        <f>'RB · Product Management'!R24</f>
        <v>L</v>
      </c>
      <c r="I318" s="38" t="str">
        <f>'RB · Product Management'!V24</f>
        <v>L</v>
      </c>
      <c r="J318" s="38" t="str">
        <f>'RB · Product Management'!Z24</f>
        <v>L</v>
      </c>
      <c r="K318" s="38" t="str">
        <f>'RB · Product Management'!AD24</f>
        <v>L</v>
      </c>
    </row>
    <row r="319">
      <c r="A319" s="53" t="inlineStr">
        <is>
          <t>Project &amp; Program Management|E2|DE</t>
        </is>
      </c>
      <c r="B319" s="53" t="inlineStr">
        <is>
          <t>Project &amp; Program Management</t>
        </is>
      </c>
      <c r="C319" s="53" t="inlineStr">
        <is>
          <t>E2</t>
        </is>
      </c>
      <c r="D319" s="53" t="inlineStr">
        <is>
          <t>Bands D–E · Leadership</t>
        </is>
      </c>
      <c r="E319" s="38" t="str">
        <f>'RB · Project &amp; Program Manageme'!F6</f>
        <v>H</v>
      </c>
      <c r="F319" s="38" t="str">
        <f>'RB · Project &amp; Program Manageme'!J6</f>
        <v>M</v>
      </c>
      <c r="G319" s="38" t="str">
        <f>'RB · Project &amp; Program Manageme'!N6</f>
        <v>M</v>
      </c>
      <c r="H319" s="38" t="str">
        <f>'RB · Project &amp; Program Manageme'!R6</f>
        <v>M</v>
      </c>
      <c r="I319" s="38" t="str">
        <f>'RB · Project &amp; Program Manageme'!V6</f>
        <v>L</v>
      </c>
      <c r="J319" s="38" t="str">
        <f>'RB · Project &amp; Program Manageme'!Z6</f>
        <v>L</v>
      </c>
      <c r="K319" s="38" t="str">
        <f>'RB · Project &amp; Program Manageme'!AD6</f>
        <v>L</v>
      </c>
    </row>
    <row r="320">
      <c r="A320" s="53" t="inlineStr">
        <is>
          <t>Project &amp; Program Management|E1|DE</t>
        </is>
      </c>
      <c r="B320" s="53" t="inlineStr">
        <is>
          <t>Project &amp; Program Management</t>
        </is>
      </c>
      <c r="C320" s="53" t="inlineStr">
        <is>
          <t>E1</t>
        </is>
      </c>
      <c r="D320" s="53" t="inlineStr">
        <is>
          <t>Bands D–E · Leadership</t>
        </is>
      </c>
      <c r="E320" s="38" t="str">
        <f>'RB · Project &amp; Program Manageme'!F7</f>
        <v>H</v>
      </c>
      <c r="F320" s="38" t="str">
        <f>'RB · Project &amp; Program Manageme'!J7</f>
        <v>M</v>
      </c>
      <c r="G320" s="38" t="str">
        <f>'RB · Project &amp; Program Manageme'!N7</f>
        <v>M</v>
      </c>
      <c r="H320" s="38" t="str">
        <f>'RB · Project &amp; Program Manageme'!R7</f>
        <v>M</v>
      </c>
      <c r="I320" s="38" t="str">
        <f>'RB · Project &amp; Program Manageme'!V7</f>
        <v>L</v>
      </c>
      <c r="J320" s="38" t="str">
        <f>'RB · Project &amp; Program Manageme'!Z7</f>
        <v>L</v>
      </c>
      <c r="K320" s="38" t="str">
        <f>'RB · Project &amp; Program Manageme'!AD7</f>
        <v>L</v>
      </c>
    </row>
    <row r="321">
      <c r="A321" s="53" t="inlineStr">
        <is>
          <t>Project &amp; Program Management|D2|DE</t>
        </is>
      </c>
      <c r="B321" s="53" t="inlineStr">
        <is>
          <t>Project &amp; Program Management</t>
        </is>
      </c>
      <c r="C321" s="53" t="inlineStr">
        <is>
          <t>D2</t>
        </is>
      </c>
      <c r="D321" s="53" t="inlineStr">
        <is>
          <t>Bands D–E · Leadership</t>
        </is>
      </c>
      <c r="E321" s="38" t="str">
        <f>'RB · Project &amp; Program Manageme'!F8</f>
        <v>H</v>
      </c>
      <c r="F321" s="38" t="str">
        <f>'RB · Project &amp; Program Manageme'!J8</f>
        <v>M</v>
      </c>
      <c r="G321" s="38" t="str">
        <f>'RB · Project &amp; Program Manageme'!N8</f>
        <v>M</v>
      </c>
      <c r="H321" s="38" t="str">
        <f>'RB · Project &amp; Program Manageme'!R8</f>
        <v>M</v>
      </c>
      <c r="I321" s="38" t="str">
        <f>'RB · Project &amp; Program Manageme'!V8</f>
        <v>L</v>
      </c>
      <c r="J321" s="38" t="str">
        <f>'RB · Project &amp; Program Manageme'!Z8</f>
        <v>L</v>
      </c>
      <c r="K321" s="38" t="str">
        <f>'RB · Project &amp; Program Manageme'!AD8</f>
        <v>L</v>
      </c>
    </row>
    <row r="322">
      <c r="A322" s="53" t="inlineStr">
        <is>
          <t>Project &amp; Program Management|D1|DE</t>
        </is>
      </c>
      <c r="B322" s="53" t="inlineStr">
        <is>
          <t>Project &amp; Program Management</t>
        </is>
      </c>
      <c r="C322" s="53" t="inlineStr">
        <is>
          <t>D1</t>
        </is>
      </c>
      <c r="D322" s="53" t="inlineStr">
        <is>
          <t>Bands D–E · Leadership</t>
        </is>
      </c>
      <c r="E322" s="38" t="str">
        <f>'RB · Project &amp; Program Manageme'!F9</f>
        <v>H</v>
      </c>
      <c r="F322" s="38" t="str">
        <f>'RB · Project &amp; Program Manageme'!J9</f>
        <v>M</v>
      </c>
      <c r="G322" s="38" t="str">
        <f>'RB · Project &amp; Program Manageme'!N9</f>
        <v>M</v>
      </c>
      <c r="H322" s="38" t="str">
        <f>'RB · Project &amp; Program Manageme'!R9</f>
        <v>M</v>
      </c>
      <c r="I322" s="38" t="str">
        <f>'RB · Project &amp; Program Manageme'!V9</f>
        <v>L</v>
      </c>
      <c r="J322" s="38" t="str">
        <f>'RB · Project &amp; Program Manageme'!Z9</f>
        <v>L</v>
      </c>
      <c r="K322" s="38" t="str">
        <f>'RB · Project &amp; Program Manageme'!AD9</f>
        <v>L</v>
      </c>
    </row>
    <row r="323">
      <c r="A323" s="53" t="inlineStr">
        <is>
          <t>Project &amp; Program Management|C+|C+</t>
        </is>
      </c>
      <c r="B323" s="53" t="inlineStr">
        <is>
          <t>Project &amp; Program Management</t>
        </is>
      </c>
      <c r="C323" s="53" t="inlineStr">
        <is>
          <t>C+</t>
        </is>
      </c>
      <c r="D323" s="53" t="inlineStr">
        <is>
          <t>C+ · Player-Coach</t>
        </is>
      </c>
      <c r="E323" s="38" t="str">
        <f>'RB · Project &amp; Program Manageme'!F10</f>
        <v>H</v>
      </c>
      <c r="F323" s="38" t="str">
        <f>'RB · Project &amp; Program Manageme'!J10</f>
        <v>M</v>
      </c>
      <c r="G323" s="38" t="str">
        <f>'RB · Project &amp; Program Manageme'!N10</f>
        <v>M</v>
      </c>
      <c r="H323" s="38" t="str">
        <f>'RB · Project &amp; Program Manageme'!R10</f>
        <v>M</v>
      </c>
      <c r="I323" s="38" t="str">
        <f>'RB · Project &amp; Program Manageme'!V10</f>
        <v>L</v>
      </c>
      <c r="J323" s="38" t="str">
        <f>'RB · Project &amp; Program Manageme'!Z10</f>
        <v>L</v>
      </c>
      <c r="K323" s="38" t="str">
        <f>'RB · Project &amp; Program Manageme'!AD10</f>
        <v>L</v>
      </c>
    </row>
    <row r="324">
      <c r="A324" s="53" t="inlineStr">
        <is>
          <t>Project &amp; Program Management|C2|C-M</t>
        </is>
      </c>
      <c r="B324" s="53" t="inlineStr">
        <is>
          <t>Project &amp; Program Management</t>
        </is>
      </c>
      <c r="C324" s="53" t="inlineStr">
        <is>
          <t>C2</t>
        </is>
      </c>
      <c r="D324" s="53" t="inlineStr">
        <is>
          <t>Band C · Head / manager</t>
        </is>
      </c>
      <c r="E324" s="38" t="str">
        <f>'RB · Project &amp; Program Manageme'!F11</f>
        <v>H</v>
      </c>
      <c r="F324" s="38" t="str">
        <f>'RB · Project &amp; Program Manageme'!J11</f>
        <v>M</v>
      </c>
      <c r="G324" s="38" t="str">
        <f>'RB · Project &amp; Program Manageme'!N11</f>
        <v>L</v>
      </c>
      <c r="H324" s="38" t="str">
        <f>'RB · Project &amp; Program Manageme'!R11</f>
        <v>M</v>
      </c>
      <c r="I324" s="38" t="str">
        <f>'RB · Project &amp; Program Manageme'!V11</f>
        <v>L</v>
      </c>
      <c r="J324" s="38" t="str">
        <f>'RB · Project &amp; Program Manageme'!Z11</f>
        <v>L</v>
      </c>
      <c r="K324" s="38" t="str">
        <f>'RB · Project &amp; Program Manageme'!AD11</f>
        <v>L</v>
      </c>
    </row>
    <row r="325">
      <c r="A325" s="53" t="inlineStr">
        <is>
          <t>Project &amp; Program Management|C2|C-IC</t>
        </is>
      </c>
      <c r="B325" s="53" t="inlineStr">
        <is>
          <t>Project &amp; Program Management</t>
        </is>
      </c>
      <c r="C325" s="53" t="inlineStr">
        <is>
          <t>C2</t>
        </is>
      </c>
      <c r="D325" s="53" t="inlineStr">
        <is>
          <t>Band C · Principal specialist</t>
        </is>
      </c>
      <c r="E325" s="38" t="str">
        <f>'RB · Project &amp; Program Manageme'!F12</f>
        <v>H</v>
      </c>
      <c r="F325" s="38" t="str">
        <f>'RB · Project &amp; Program Manageme'!J12</f>
        <v>M</v>
      </c>
      <c r="G325" s="38" t="str">
        <f>'RB · Project &amp; Program Manageme'!N12</f>
        <v>L</v>
      </c>
      <c r="H325" s="38" t="str">
        <f>'RB · Project &amp; Program Manageme'!R12</f>
        <v>L</v>
      </c>
      <c r="I325" s="38" t="str">
        <f>'RB · Project &amp; Program Manageme'!V12</f>
        <v>L</v>
      </c>
      <c r="J325" s="38" t="str">
        <f>'RB · Project &amp; Program Manageme'!Z12</f>
        <v>L</v>
      </c>
      <c r="K325" s="38" t="str">
        <f>'RB · Project &amp; Program Manageme'!AD12</f>
        <v>L</v>
      </c>
    </row>
    <row r="326">
      <c r="A326" s="53" t="inlineStr">
        <is>
          <t>Project &amp; Program Management|C1|C-M</t>
        </is>
      </c>
      <c r="B326" s="53" t="inlineStr">
        <is>
          <t>Project &amp; Program Management</t>
        </is>
      </c>
      <c r="C326" s="53" t="inlineStr">
        <is>
          <t>C1</t>
        </is>
      </c>
      <c r="D326" s="53" t="inlineStr">
        <is>
          <t>Band C · Head / manager</t>
        </is>
      </c>
      <c r="E326" s="38" t="str">
        <f>'RB · Project &amp; Program Manageme'!F13</f>
        <v>H</v>
      </c>
      <c r="F326" s="38" t="str">
        <f>'RB · Project &amp; Program Manageme'!J13</f>
        <v>M</v>
      </c>
      <c r="G326" s="38" t="str">
        <f>'RB · Project &amp; Program Manageme'!N13</f>
        <v>L</v>
      </c>
      <c r="H326" s="38" t="str">
        <f>'RB · Project &amp; Program Manageme'!R13</f>
        <v>M</v>
      </c>
      <c r="I326" s="38" t="str">
        <f>'RB · Project &amp; Program Manageme'!V13</f>
        <v>L</v>
      </c>
      <c r="J326" s="38" t="str">
        <f>'RB · Project &amp; Program Manageme'!Z13</f>
        <v>L</v>
      </c>
      <c r="K326" s="38" t="str">
        <f>'RB · Project &amp; Program Manageme'!AD13</f>
        <v>L</v>
      </c>
    </row>
    <row r="327">
      <c r="A327" s="53" t="inlineStr">
        <is>
          <t>Project &amp; Program Management|C1|C-IC</t>
        </is>
      </c>
      <c r="B327" s="53" t="inlineStr">
        <is>
          <t>Project &amp; Program Management</t>
        </is>
      </c>
      <c r="C327" s="53" t="inlineStr">
        <is>
          <t>C1</t>
        </is>
      </c>
      <c r="D327" s="53" t="inlineStr">
        <is>
          <t>Band C · Principal specialist</t>
        </is>
      </c>
      <c r="E327" s="38" t="str">
        <f>'RB · Project &amp; Program Manageme'!F14</f>
        <v>H</v>
      </c>
      <c r="F327" s="38" t="str">
        <f>'RB · Project &amp; Program Manageme'!J14</f>
        <v>M</v>
      </c>
      <c r="G327" s="38" t="str">
        <f>'RB · Project &amp; Program Manageme'!N14</f>
        <v>L</v>
      </c>
      <c r="H327" s="38" t="str">
        <f>'RB · Project &amp; Program Manageme'!R14</f>
        <v>L</v>
      </c>
      <c r="I327" s="38" t="str">
        <f>'RB · Project &amp; Program Manageme'!V14</f>
        <v>L</v>
      </c>
      <c r="J327" s="38" t="str">
        <f>'RB · Project &amp; Program Manageme'!Z14</f>
        <v>L</v>
      </c>
      <c r="K327" s="38" t="str">
        <f>'RB · Project &amp; Program Manageme'!AD14</f>
        <v>L</v>
      </c>
    </row>
    <row r="328">
      <c r="A328" s="53" t="inlineStr">
        <is>
          <t>Project &amp; Program Management|B+|B+</t>
        </is>
      </c>
      <c r="B328" s="53" t="inlineStr">
        <is>
          <t>Project &amp; Program Management</t>
        </is>
      </c>
      <c r="C328" s="53" t="inlineStr">
        <is>
          <t>B+</t>
        </is>
      </c>
      <c r="D328" s="53" t="inlineStr">
        <is>
          <t>B+ · Player-Coach</t>
        </is>
      </c>
      <c r="E328" s="38" t="str">
        <f>'RB · Project &amp; Program Manageme'!F15</f>
        <v>H</v>
      </c>
      <c r="F328" s="38" t="str">
        <f>'RB · Project &amp; Program Manageme'!J15</f>
        <v>M</v>
      </c>
      <c r="G328" s="38" t="str">
        <f>'RB · Project &amp; Program Manageme'!N15</f>
        <v>L</v>
      </c>
      <c r="H328" s="38" t="str">
        <f>'RB · Project &amp; Program Manageme'!R15</f>
        <v>M</v>
      </c>
      <c r="I328" s="38" t="str">
        <f>'RB · Project &amp; Program Manageme'!V15</f>
        <v>L</v>
      </c>
      <c r="J328" s="38" t="str">
        <f>'RB · Project &amp; Program Manageme'!Z15</f>
        <v>L</v>
      </c>
      <c r="K328" s="38" t="str">
        <f>'RB · Project &amp; Program Manageme'!AD15</f>
        <v>L</v>
      </c>
    </row>
    <row r="329">
      <c r="A329" s="53" t="inlineStr">
        <is>
          <t>Project &amp; Program Management|B3|B-M</t>
        </is>
      </c>
      <c r="B329" s="53" t="inlineStr">
        <is>
          <t>Project &amp; Program Management</t>
        </is>
      </c>
      <c r="C329" s="53" t="inlineStr">
        <is>
          <t>B3</t>
        </is>
      </c>
      <c r="D329" s="53" t="inlineStr">
        <is>
          <t>Band B · People Manager</t>
        </is>
      </c>
      <c r="E329" s="38" t="str">
        <f>'RB · Project &amp; Program Manageme'!F16</f>
        <v>H</v>
      </c>
      <c r="F329" s="38" t="str">
        <f>'RB · Project &amp; Program Manageme'!J16</f>
        <v>M</v>
      </c>
      <c r="G329" s="38" t="str">
        <f>'RB · Project &amp; Program Manageme'!N16</f>
        <v>L</v>
      </c>
      <c r="H329" s="38" t="str">
        <f>'RB · Project &amp; Program Manageme'!R16</f>
        <v>M</v>
      </c>
      <c r="I329" s="38" t="str">
        <f>'RB · Project &amp; Program Manageme'!V16</f>
        <v>L</v>
      </c>
      <c r="J329" s="38" t="str">
        <f>'RB · Project &amp; Program Manageme'!Z16</f>
        <v>L</v>
      </c>
      <c r="K329" s="38" t="str">
        <f>'RB · Project &amp; Program Manageme'!AD16</f>
        <v>L</v>
      </c>
    </row>
    <row r="330">
      <c r="A330" s="53" t="inlineStr">
        <is>
          <t>Project &amp; Program Management|B3|B-IC</t>
        </is>
      </c>
      <c r="B330" s="53" t="inlineStr">
        <is>
          <t>Project &amp; Program Management</t>
        </is>
      </c>
      <c r="C330" s="53" t="inlineStr">
        <is>
          <t>B3</t>
        </is>
      </c>
      <c r="D330" s="53" t="inlineStr">
        <is>
          <t>Band B · Specialist / POD Lead</t>
        </is>
      </c>
      <c r="E330" s="38" t="str">
        <f>'RB · Project &amp; Program Manageme'!F17</f>
        <v>H</v>
      </c>
      <c r="F330" s="38" t="str">
        <f>'RB · Project &amp; Program Manageme'!J17</f>
        <v>M</v>
      </c>
      <c r="G330" s="38" t="str">
        <f>'RB · Project &amp; Program Manageme'!N17</f>
        <v>L</v>
      </c>
      <c r="H330" s="38" t="str">
        <f>'RB · Project &amp; Program Manageme'!R17</f>
        <v>L</v>
      </c>
      <c r="I330" s="38" t="str">
        <f>'RB · Project &amp; Program Manageme'!V17</f>
        <v>L</v>
      </c>
      <c r="J330" s="38" t="str">
        <f>'RB · Project &amp; Program Manageme'!Z17</f>
        <v>L</v>
      </c>
      <c r="K330" s="38" t="str">
        <f>'RB · Project &amp; Program Manageme'!AD17</f>
        <v>L</v>
      </c>
    </row>
    <row r="331">
      <c r="A331" s="53" t="inlineStr">
        <is>
          <t>Project &amp; Program Management|B2|B-M</t>
        </is>
      </c>
      <c r="B331" s="53" t="inlineStr">
        <is>
          <t>Project &amp; Program Management</t>
        </is>
      </c>
      <c r="C331" s="53" t="inlineStr">
        <is>
          <t>B2</t>
        </is>
      </c>
      <c r="D331" s="53" t="inlineStr">
        <is>
          <t>Band B · People Manager</t>
        </is>
      </c>
      <c r="E331" s="38" t="str">
        <f>'RB · Project &amp; Program Manageme'!F18</f>
        <v>H</v>
      </c>
      <c r="F331" s="38" t="str">
        <f>'RB · Project &amp; Program Manageme'!J18</f>
        <v>M</v>
      </c>
      <c r="G331" s="38" t="str">
        <f>'RB · Project &amp; Program Manageme'!N18</f>
        <v>L</v>
      </c>
      <c r="H331" s="38" t="str">
        <f>'RB · Project &amp; Program Manageme'!R18</f>
        <v>M</v>
      </c>
      <c r="I331" s="38" t="str">
        <f>'RB · Project &amp; Program Manageme'!V18</f>
        <v>L</v>
      </c>
      <c r="J331" s="38" t="str">
        <f>'RB · Project &amp; Program Manageme'!Z18</f>
        <v>L</v>
      </c>
      <c r="K331" s="38" t="str">
        <f>'RB · Project &amp; Program Manageme'!AD18</f>
        <v>L</v>
      </c>
    </row>
    <row r="332">
      <c r="A332" s="53" t="inlineStr">
        <is>
          <t>Project &amp; Program Management|B2|B-IC</t>
        </is>
      </c>
      <c r="B332" s="53" t="inlineStr">
        <is>
          <t>Project &amp; Program Management</t>
        </is>
      </c>
      <c r="C332" s="53" t="inlineStr">
        <is>
          <t>B2</t>
        </is>
      </c>
      <c r="D332" s="53" t="inlineStr">
        <is>
          <t>Band B · Specialist / POD Lead</t>
        </is>
      </c>
      <c r="E332" s="38" t="str">
        <f>'RB · Project &amp; Program Manageme'!F19</f>
        <v>H</v>
      </c>
      <c r="F332" s="38" t="str">
        <f>'RB · Project &amp; Program Manageme'!J19</f>
        <v>M</v>
      </c>
      <c r="G332" s="38" t="str">
        <f>'RB · Project &amp; Program Manageme'!N19</f>
        <v>L</v>
      </c>
      <c r="H332" s="38" t="str">
        <f>'RB · Project &amp; Program Manageme'!R19</f>
        <v>L</v>
      </c>
      <c r="I332" s="38" t="str">
        <f>'RB · Project &amp; Program Manageme'!V19</f>
        <v>L</v>
      </c>
      <c r="J332" s="38" t="str">
        <f>'RB · Project &amp; Program Manageme'!Z19</f>
        <v>L</v>
      </c>
      <c r="K332" s="38" t="str">
        <f>'RB · Project &amp; Program Manageme'!AD19</f>
        <v>L</v>
      </c>
    </row>
    <row r="333">
      <c r="A333" s="53" t="inlineStr">
        <is>
          <t>Project &amp; Program Management|B1|B-M</t>
        </is>
      </c>
      <c r="B333" s="53" t="inlineStr">
        <is>
          <t>Project &amp; Program Management</t>
        </is>
      </c>
      <c r="C333" s="53" t="inlineStr">
        <is>
          <t>B1</t>
        </is>
      </c>
      <c r="D333" s="53" t="inlineStr">
        <is>
          <t>Band B · People Manager</t>
        </is>
      </c>
      <c r="E333" s="38" t="str">
        <f>'RB · Project &amp; Program Manageme'!F20</f>
        <v>H</v>
      </c>
      <c r="F333" s="38" t="str">
        <f>'RB · Project &amp; Program Manageme'!J20</f>
        <v>M</v>
      </c>
      <c r="G333" s="38" t="str">
        <f>'RB · Project &amp; Program Manageme'!N20</f>
        <v>L</v>
      </c>
      <c r="H333" s="38" t="str">
        <f>'RB · Project &amp; Program Manageme'!R20</f>
        <v>M</v>
      </c>
      <c r="I333" s="38" t="str">
        <f>'RB · Project &amp; Program Manageme'!V20</f>
        <v>L</v>
      </c>
      <c r="J333" s="38" t="str">
        <f>'RB · Project &amp; Program Manageme'!Z20</f>
        <v>L</v>
      </c>
      <c r="K333" s="38" t="str">
        <f>'RB · Project &amp; Program Manageme'!AD20</f>
        <v>L</v>
      </c>
    </row>
    <row r="334">
      <c r="A334" s="53" t="inlineStr">
        <is>
          <t>Project &amp; Program Management|B1|B-IC</t>
        </is>
      </c>
      <c r="B334" s="53" t="inlineStr">
        <is>
          <t>Project &amp; Program Management</t>
        </is>
      </c>
      <c r="C334" s="53" t="inlineStr">
        <is>
          <t>B1</t>
        </is>
      </c>
      <c r="D334" s="53" t="inlineStr">
        <is>
          <t>Band B · Specialist / POD Lead</t>
        </is>
      </c>
      <c r="E334" s="38" t="str">
        <f>'RB · Project &amp; Program Manageme'!F21</f>
        <v>H</v>
      </c>
      <c r="F334" s="38" t="str">
        <f>'RB · Project &amp; Program Manageme'!J21</f>
        <v>M</v>
      </c>
      <c r="G334" s="38" t="str">
        <f>'RB · Project &amp; Program Manageme'!N21</f>
        <v>L</v>
      </c>
      <c r="H334" s="38" t="str">
        <f>'RB · Project &amp; Program Manageme'!R21</f>
        <v>L</v>
      </c>
      <c r="I334" s="38" t="str">
        <f>'RB · Project &amp; Program Manageme'!V21</f>
        <v>L</v>
      </c>
      <c r="J334" s="38" t="str">
        <f>'RB · Project &amp; Program Manageme'!Z21</f>
        <v>L</v>
      </c>
      <c r="K334" s="38" t="str">
        <f>'RB · Project &amp; Program Manageme'!AD21</f>
        <v>L</v>
      </c>
    </row>
    <row r="335">
      <c r="A335" s="53" t="inlineStr">
        <is>
          <t>Project &amp; Program Management|A3|A</t>
        </is>
      </c>
      <c r="B335" s="53" t="inlineStr">
        <is>
          <t>Project &amp; Program Management</t>
        </is>
      </c>
      <c r="C335" s="53" t="inlineStr">
        <is>
          <t>A3</t>
        </is>
      </c>
      <c r="D335" s="53" t="inlineStr">
        <is>
          <t>Band A · all tracks</t>
        </is>
      </c>
      <c r="E335" s="38" t="str">
        <f>'RB · Project &amp; Program Manageme'!F22</f>
        <v>H</v>
      </c>
      <c r="F335" s="38" t="str">
        <f>'RB · Project &amp; Program Manageme'!J22</f>
        <v>M</v>
      </c>
      <c r="G335" s="38" t="str">
        <f>'RB · Project &amp; Program Manageme'!N22</f>
        <v>L</v>
      </c>
      <c r="H335" s="38" t="str">
        <f>'RB · Project &amp; Program Manageme'!R22</f>
        <v>L</v>
      </c>
      <c r="I335" s="38" t="str">
        <f>'RB · Project &amp; Program Manageme'!V22</f>
        <v>L</v>
      </c>
      <c r="J335" s="38" t="str">
        <f>'RB · Project &amp; Program Manageme'!Z22</f>
        <v>L</v>
      </c>
      <c r="K335" s="38" t="str">
        <f>'RB · Project &amp; Program Manageme'!AD22</f>
        <v>L</v>
      </c>
    </row>
    <row r="336">
      <c r="A336" s="53" t="inlineStr">
        <is>
          <t>Project &amp; Program Management|A2|A</t>
        </is>
      </c>
      <c r="B336" s="53" t="inlineStr">
        <is>
          <t>Project &amp; Program Management</t>
        </is>
      </c>
      <c r="C336" s="53" t="inlineStr">
        <is>
          <t>A2</t>
        </is>
      </c>
      <c r="D336" s="53" t="inlineStr">
        <is>
          <t>Band A · all tracks</t>
        </is>
      </c>
      <c r="E336" s="38" t="str">
        <f>'RB · Project &amp; Program Manageme'!F23</f>
        <v>H</v>
      </c>
      <c r="F336" s="38" t="str">
        <f>'RB · Project &amp; Program Manageme'!J23</f>
        <v>M</v>
      </c>
      <c r="G336" s="38" t="str">
        <f>'RB · Project &amp; Program Manageme'!N23</f>
        <v>L</v>
      </c>
      <c r="H336" s="38" t="str">
        <f>'RB · Project &amp; Program Manageme'!R23</f>
        <v>L</v>
      </c>
      <c r="I336" s="38" t="str">
        <f>'RB · Project &amp; Program Manageme'!V23</f>
        <v>L</v>
      </c>
      <c r="J336" s="38" t="str">
        <f>'RB · Project &amp; Program Manageme'!Z23</f>
        <v>L</v>
      </c>
      <c r="K336" s="38" t="str">
        <f>'RB · Project &amp; Program Manageme'!AD23</f>
        <v>L</v>
      </c>
    </row>
    <row r="337">
      <c r="A337" s="53" t="inlineStr">
        <is>
          <t>Project &amp; Program Management|A1|A</t>
        </is>
      </c>
      <c r="B337" s="53" t="inlineStr">
        <is>
          <t>Project &amp; Program Management</t>
        </is>
      </c>
      <c r="C337" s="53" t="inlineStr">
        <is>
          <t>A1</t>
        </is>
      </c>
      <c r="D337" s="53" t="inlineStr">
        <is>
          <t>Band A · all tracks</t>
        </is>
      </c>
      <c r="E337" s="38" t="str">
        <f>'RB · Project &amp; Program Manageme'!F24</f>
        <v>H</v>
      </c>
      <c r="F337" s="38" t="str">
        <f>'RB · Project &amp; Program Manageme'!J24</f>
        <v>M</v>
      </c>
      <c r="G337" s="38" t="str">
        <f>'RB · Project &amp; Program Manageme'!N24</f>
        <v>L</v>
      </c>
      <c r="H337" s="38" t="str">
        <f>'RB · Project &amp; Program Manageme'!R24</f>
        <v>L</v>
      </c>
      <c r="I337" s="38" t="str">
        <f>'RB · Project &amp; Program Manageme'!V24</f>
        <v>L</v>
      </c>
      <c r="J337" s="38" t="str">
        <f>'RB · Project &amp; Program Manageme'!Z24</f>
        <v>L</v>
      </c>
      <c r="K337" s="38" t="str">
        <f>'RB · Project &amp; Program Manageme'!AD24</f>
        <v>L</v>
      </c>
    </row>
    <row r="338">
      <c r="A338" s="53" t="inlineStr">
        <is>
          <t>Quality Assurance|E2|DE</t>
        </is>
      </c>
      <c r="B338" s="53" t="inlineStr">
        <is>
          <t>Quality Assurance</t>
        </is>
      </c>
      <c r="C338" s="53" t="inlineStr">
        <is>
          <t>E2</t>
        </is>
      </c>
      <c r="D338" s="53" t="inlineStr">
        <is>
          <t>Bands D–E · Leadership</t>
        </is>
      </c>
      <c r="E338" s="38" t="str">
        <f>'RB · Quality Assurance'!F6</f>
        <v>H</v>
      </c>
      <c r="F338" s="38" t="str">
        <f>'RB · Quality Assurance'!J6</f>
        <v>M</v>
      </c>
      <c r="G338" s="38" t="str">
        <f>'RB · Quality Assurance'!N6</f>
        <v>M</v>
      </c>
      <c r="H338" s="38" t="str">
        <f>'RB · Quality Assurance'!R6</f>
        <v>M</v>
      </c>
      <c r="I338" s="38" t="str">
        <f>'RB · Quality Assurance'!V6</f>
        <v>L</v>
      </c>
      <c r="J338" s="38" t="str">
        <f>'RB · Quality Assurance'!Z6</f>
        <v>L</v>
      </c>
      <c r="K338" s="38" t="str">
        <f>'RB · Quality Assurance'!AD6</f>
        <v>L</v>
      </c>
    </row>
    <row r="339">
      <c r="A339" s="53" t="inlineStr">
        <is>
          <t>Quality Assurance|E1|DE</t>
        </is>
      </c>
      <c r="B339" s="53" t="inlineStr">
        <is>
          <t>Quality Assurance</t>
        </is>
      </c>
      <c r="C339" s="53" t="inlineStr">
        <is>
          <t>E1</t>
        </is>
      </c>
      <c r="D339" s="53" t="inlineStr">
        <is>
          <t>Bands D–E · Leadership</t>
        </is>
      </c>
      <c r="E339" s="38" t="str">
        <f>'RB · Quality Assurance'!F7</f>
        <v>H</v>
      </c>
      <c r="F339" s="38" t="str">
        <f>'RB · Quality Assurance'!J7</f>
        <v>M</v>
      </c>
      <c r="G339" s="38" t="str">
        <f>'RB · Quality Assurance'!N7</f>
        <v>M</v>
      </c>
      <c r="H339" s="38" t="str">
        <f>'RB · Quality Assurance'!R7</f>
        <v>M</v>
      </c>
      <c r="I339" s="38" t="str">
        <f>'RB · Quality Assurance'!V7</f>
        <v>L</v>
      </c>
      <c r="J339" s="38" t="str">
        <f>'RB · Quality Assurance'!Z7</f>
        <v>L</v>
      </c>
      <c r="K339" s="38" t="str">
        <f>'RB · Quality Assurance'!AD7</f>
        <v>L</v>
      </c>
    </row>
    <row r="340">
      <c r="A340" s="53" t="inlineStr">
        <is>
          <t>Quality Assurance|D2|DE</t>
        </is>
      </c>
      <c r="B340" s="53" t="inlineStr">
        <is>
          <t>Quality Assurance</t>
        </is>
      </c>
      <c r="C340" s="53" t="inlineStr">
        <is>
          <t>D2</t>
        </is>
      </c>
      <c r="D340" s="53" t="inlineStr">
        <is>
          <t>Bands D–E · Leadership</t>
        </is>
      </c>
      <c r="E340" s="38" t="str">
        <f>'RB · Quality Assurance'!F8</f>
        <v>H</v>
      </c>
      <c r="F340" s="38" t="str">
        <f>'RB · Quality Assurance'!J8</f>
        <v>M</v>
      </c>
      <c r="G340" s="38" t="str">
        <f>'RB · Quality Assurance'!N8</f>
        <v>M</v>
      </c>
      <c r="H340" s="38" t="str">
        <f>'RB · Quality Assurance'!R8</f>
        <v>M</v>
      </c>
      <c r="I340" s="38" t="str">
        <f>'RB · Quality Assurance'!V8</f>
        <v>L</v>
      </c>
      <c r="J340" s="38" t="str">
        <f>'RB · Quality Assurance'!Z8</f>
        <v>L</v>
      </c>
      <c r="K340" s="38" t="str">
        <f>'RB · Quality Assurance'!AD8</f>
        <v>L</v>
      </c>
    </row>
    <row r="341">
      <c r="A341" s="53" t="inlineStr">
        <is>
          <t>Quality Assurance|D1|DE</t>
        </is>
      </c>
      <c r="B341" s="53" t="inlineStr">
        <is>
          <t>Quality Assurance</t>
        </is>
      </c>
      <c r="C341" s="53" t="inlineStr">
        <is>
          <t>D1</t>
        </is>
      </c>
      <c r="D341" s="53" t="inlineStr">
        <is>
          <t>Bands D–E · Leadership</t>
        </is>
      </c>
      <c r="E341" s="38" t="str">
        <f>'RB · Quality Assurance'!F9</f>
        <v>H</v>
      </c>
      <c r="F341" s="38" t="str">
        <f>'RB · Quality Assurance'!J9</f>
        <v>M</v>
      </c>
      <c r="G341" s="38" t="str">
        <f>'RB · Quality Assurance'!N9</f>
        <v>M</v>
      </c>
      <c r="H341" s="38" t="str">
        <f>'RB · Quality Assurance'!R9</f>
        <v>M</v>
      </c>
      <c r="I341" s="38" t="str">
        <f>'RB · Quality Assurance'!V9</f>
        <v>L</v>
      </c>
      <c r="J341" s="38" t="str">
        <f>'RB · Quality Assurance'!Z9</f>
        <v>L</v>
      </c>
      <c r="K341" s="38" t="str">
        <f>'RB · Quality Assurance'!AD9</f>
        <v>L</v>
      </c>
    </row>
    <row r="342">
      <c r="A342" s="53" t="inlineStr">
        <is>
          <t>Quality Assurance|C+|C+</t>
        </is>
      </c>
      <c r="B342" s="53" t="inlineStr">
        <is>
          <t>Quality Assurance</t>
        </is>
      </c>
      <c r="C342" s="53" t="inlineStr">
        <is>
          <t>C+</t>
        </is>
      </c>
      <c r="D342" s="53" t="inlineStr">
        <is>
          <t>C+ · Player-Coach</t>
        </is>
      </c>
      <c r="E342" s="38" t="str">
        <f>'RB · Quality Assurance'!F10</f>
        <v>H</v>
      </c>
      <c r="F342" s="38" t="str">
        <f>'RB · Quality Assurance'!J10</f>
        <v>M</v>
      </c>
      <c r="G342" s="38" t="str">
        <f>'RB · Quality Assurance'!N10</f>
        <v>M</v>
      </c>
      <c r="H342" s="38" t="str">
        <f>'RB · Quality Assurance'!R10</f>
        <v>M</v>
      </c>
      <c r="I342" s="38" t="str">
        <f>'RB · Quality Assurance'!V10</f>
        <v>L</v>
      </c>
      <c r="J342" s="38" t="str">
        <f>'RB · Quality Assurance'!Z10</f>
        <v>L</v>
      </c>
      <c r="K342" s="38" t="str">
        <f>'RB · Quality Assurance'!AD10</f>
        <v>L</v>
      </c>
    </row>
    <row r="343">
      <c r="A343" s="53" t="inlineStr">
        <is>
          <t>Quality Assurance|C2|C-M</t>
        </is>
      </c>
      <c r="B343" s="53" t="inlineStr">
        <is>
          <t>Quality Assurance</t>
        </is>
      </c>
      <c r="C343" s="53" t="inlineStr">
        <is>
          <t>C2</t>
        </is>
      </c>
      <c r="D343" s="53" t="inlineStr">
        <is>
          <t>Band C · Head / manager</t>
        </is>
      </c>
      <c r="E343" s="38" t="str">
        <f>'RB · Quality Assurance'!F11</f>
        <v>H</v>
      </c>
      <c r="F343" s="38" t="str">
        <f>'RB · Quality Assurance'!J11</f>
        <v>M</v>
      </c>
      <c r="G343" s="38" t="str">
        <f>'RB · Quality Assurance'!N11</f>
        <v>L</v>
      </c>
      <c r="H343" s="38" t="str">
        <f>'RB · Quality Assurance'!R11</f>
        <v>M</v>
      </c>
      <c r="I343" s="38" t="str">
        <f>'RB · Quality Assurance'!V11</f>
        <v>L</v>
      </c>
      <c r="J343" s="38" t="str">
        <f>'RB · Quality Assurance'!Z11</f>
        <v>L</v>
      </c>
      <c r="K343" s="38" t="str">
        <f>'RB · Quality Assurance'!AD11</f>
        <v>L</v>
      </c>
    </row>
    <row r="344">
      <c r="A344" s="53" t="inlineStr">
        <is>
          <t>Quality Assurance|C2|C-IC</t>
        </is>
      </c>
      <c r="B344" s="53" t="inlineStr">
        <is>
          <t>Quality Assurance</t>
        </is>
      </c>
      <c r="C344" s="53" t="inlineStr">
        <is>
          <t>C2</t>
        </is>
      </c>
      <c r="D344" s="53" t="inlineStr">
        <is>
          <t>Band C · Principal specialist</t>
        </is>
      </c>
      <c r="E344" s="38" t="str">
        <f>'RB · Quality Assurance'!F12</f>
        <v>H</v>
      </c>
      <c r="F344" s="38" t="str">
        <f>'RB · Quality Assurance'!J12</f>
        <v>M</v>
      </c>
      <c r="G344" s="38" t="str">
        <f>'RB · Quality Assurance'!N12</f>
        <v>L</v>
      </c>
      <c r="H344" s="38" t="str">
        <f>'RB · Quality Assurance'!R12</f>
        <v>L</v>
      </c>
      <c r="I344" s="38" t="str">
        <f>'RB · Quality Assurance'!V12</f>
        <v>L</v>
      </c>
      <c r="J344" s="38" t="str">
        <f>'RB · Quality Assurance'!Z12</f>
        <v>L</v>
      </c>
      <c r="K344" s="38" t="str">
        <f>'RB · Quality Assurance'!AD12</f>
        <v>L</v>
      </c>
    </row>
    <row r="345">
      <c r="A345" s="53" t="inlineStr">
        <is>
          <t>Quality Assurance|C1|C-M</t>
        </is>
      </c>
      <c r="B345" s="53" t="inlineStr">
        <is>
          <t>Quality Assurance</t>
        </is>
      </c>
      <c r="C345" s="53" t="inlineStr">
        <is>
          <t>C1</t>
        </is>
      </c>
      <c r="D345" s="53" t="inlineStr">
        <is>
          <t>Band C · Head / manager</t>
        </is>
      </c>
      <c r="E345" s="38" t="str">
        <f>'RB · Quality Assurance'!F13</f>
        <v>H</v>
      </c>
      <c r="F345" s="38" t="str">
        <f>'RB · Quality Assurance'!J13</f>
        <v>M</v>
      </c>
      <c r="G345" s="38" t="str">
        <f>'RB · Quality Assurance'!N13</f>
        <v>L</v>
      </c>
      <c r="H345" s="38" t="str">
        <f>'RB · Quality Assurance'!R13</f>
        <v>M</v>
      </c>
      <c r="I345" s="38" t="str">
        <f>'RB · Quality Assurance'!V13</f>
        <v>L</v>
      </c>
      <c r="J345" s="38" t="str">
        <f>'RB · Quality Assurance'!Z13</f>
        <v>L</v>
      </c>
      <c r="K345" s="38" t="str">
        <f>'RB · Quality Assurance'!AD13</f>
        <v>L</v>
      </c>
    </row>
    <row r="346">
      <c r="A346" s="53" t="inlineStr">
        <is>
          <t>Quality Assurance|C1|C-IC</t>
        </is>
      </c>
      <c r="B346" s="53" t="inlineStr">
        <is>
          <t>Quality Assurance</t>
        </is>
      </c>
      <c r="C346" s="53" t="inlineStr">
        <is>
          <t>C1</t>
        </is>
      </c>
      <c r="D346" s="53" t="inlineStr">
        <is>
          <t>Band C · Principal specialist</t>
        </is>
      </c>
      <c r="E346" s="38" t="str">
        <f>'RB · Quality Assurance'!F14</f>
        <v>H</v>
      </c>
      <c r="F346" s="38" t="str">
        <f>'RB · Quality Assurance'!J14</f>
        <v>M</v>
      </c>
      <c r="G346" s="38" t="str">
        <f>'RB · Quality Assurance'!N14</f>
        <v>L</v>
      </c>
      <c r="H346" s="38" t="str">
        <f>'RB · Quality Assurance'!R14</f>
        <v>L</v>
      </c>
      <c r="I346" s="38" t="str">
        <f>'RB · Quality Assurance'!V14</f>
        <v>L</v>
      </c>
      <c r="J346" s="38" t="str">
        <f>'RB · Quality Assurance'!Z14</f>
        <v>L</v>
      </c>
      <c r="K346" s="38" t="str">
        <f>'RB · Quality Assurance'!AD14</f>
        <v>L</v>
      </c>
    </row>
    <row r="347">
      <c r="A347" s="53" t="inlineStr">
        <is>
          <t>Quality Assurance|B+|B+</t>
        </is>
      </c>
      <c r="B347" s="53" t="inlineStr">
        <is>
          <t>Quality Assurance</t>
        </is>
      </c>
      <c r="C347" s="53" t="inlineStr">
        <is>
          <t>B+</t>
        </is>
      </c>
      <c r="D347" s="53" t="inlineStr">
        <is>
          <t>B+ · Player-Coach</t>
        </is>
      </c>
      <c r="E347" s="38" t="str">
        <f>'RB · Quality Assurance'!F15</f>
        <v>H</v>
      </c>
      <c r="F347" s="38" t="str">
        <f>'RB · Quality Assurance'!J15</f>
        <v>M</v>
      </c>
      <c r="G347" s="38" t="str">
        <f>'RB · Quality Assurance'!N15</f>
        <v>L</v>
      </c>
      <c r="H347" s="38" t="str">
        <f>'RB · Quality Assurance'!R15</f>
        <v>M</v>
      </c>
      <c r="I347" s="38" t="str">
        <f>'RB · Quality Assurance'!V15</f>
        <v>L</v>
      </c>
      <c r="J347" s="38" t="str">
        <f>'RB · Quality Assurance'!Z15</f>
        <v>L</v>
      </c>
      <c r="K347" s="38" t="str">
        <f>'RB · Quality Assurance'!AD15</f>
        <v>L</v>
      </c>
    </row>
    <row r="348">
      <c r="A348" s="53" t="inlineStr">
        <is>
          <t>Quality Assurance|B3|B-M</t>
        </is>
      </c>
      <c r="B348" s="53" t="inlineStr">
        <is>
          <t>Quality Assurance</t>
        </is>
      </c>
      <c r="C348" s="53" t="inlineStr">
        <is>
          <t>B3</t>
        </is>
      </c>
      <c r="D348" s="53" t="inlineStr">
        <is>
          <t>Band B · People Manager</t>
        </is>
      </c>
      <c r="E348" s="38" t="str">
        <f>'RB · Quality Assurance'!F16</f>
        <v>H</v>
      </c>
      <c r="F348" s="38" t="str">
        <f>'RB · Quality Assurance'!J16</f>
        <v>M</v>
      </c>
      <c r="G348" s="38" t="str">
        <f>'RB · Quality Assurance'!N16</f>
        <v>L</v>
      </c>
      <c r="H348" s="38" t="str">
        <f>'RB · Quality Assurance'!R16</f>
        <v>M</v>
      </c>
      <c r="I348" s="38" t="str">
        <f>'RB · Quality Assurance'!V16</f>
        <v>L</v>
      </c>
      <c r="J348" s="38" t="str">
        <f>'RB · Quality Assurance'!Z16</f>
        <v>L</v>
      </c>
      <c r="K348" s="38" t="str">
        <f>'RB · Quality Assurance'!AD16</f>
        <v>L</v>
      </c>
    </row>
    <row r="349">
      <c r="A349" s="53" t="inlineStr">
        <is>
          <t>Quality Assurance|B3|B-IC</t>
        </is>
      </c>
      <c r="B349" s="53" t="inlineStr">
        <is>
          <t>Quality Assurance</t>
        </is>
      </c>
      <c r="C349" s="53" t="inlineStr">
        <is>
          <t>B3</t>
        </is>
      </c>
      <c r="D349" s="53" t="inlineStr">
        <is>
          <t>Band B · Specialist / POD Lead</t>
        </is>
      </c>
      <c r="E349" s="38" t="str">
        <f>'RB · Quality Assurance'!F17</f>
        <v>H</v>
      </c>
      <c r="F349" s="38" t="str">
        <f>'RB · Quality Assurance'!J17</f>
        <v>M</v>
      </c>
      <c r="G349" s="38" t="str">
        <f>'RB · Quality Assurance'!N17</f>
        <v>L</v>
      </c>
      <c r="H349" s="38" t="str">
        <f>'RB · Quality Assurance'!R17</f>
        <v>L</v>
      </c>
      <c r="I349" s="38" t="str">
        <f>'RB · Quality Assurance'!V17</f>
        <v>L</v>
      </c>
      <c r="J349" s="38" t="str">
        <f>'RB · Quality Assurance'!Z17</f>
        <v>L</v>
      </c>
      <c r="K349" s="38" t="str">
        <f>'RB · Quality Assurance'!AD17</f>
        <v>L</v>
      </c>
    </row>
    <row r="350">
      <c r="A350" s="53" t="inlineStr">
        <is>
          <t>Quality Assurance|B2|B-M</t>
        </is>
      </c>
      <c r="B350" s="53" t="inlineStr">
        <is>
          <t>Quality Assurance</t>
        </is>
      </c>
      <c r="C350" s="53" t="inlineStr">
        <is>
          <t>B2</t>
        </is>
      </c>
      <c r="D350" s="53" t="inlineStr">
        <is>
          <t>Band B · People Manager</t>
        </is>
      </c>
      <c r="E350" s="38" t="str">
        <f>'RB · Quality Assurance'!F18</f>
        <v>H</v>
      </c>
      <c r="F350" s="38" t="str">
        <f>'RB · Quality Assurance'!J18</f>
        <v>M</v>
      </c>
      <c r="G350" s="38" t="str">
        <f>'RB · Quality Assurance'!N18</f>
        <v>L</v>
      </c>
      <c r="H350" s="38" t="str">
        <f>'RB · Quality Assurance'!R18</f>
        <v>M</v>
      </c>
      <c r="I350" s="38" t="str">
        <f>'RB · Quality Assurance'!V18</f>
        <v>L</v>
      </c>
      <c r="J350" s="38" t="str">
        <f>'RB · Quality Assurance'!Z18</f>
        <v>L</v>
      </c>
      <c r="K350" s="38" t="str">
        <f>'RB · Quality Assurance'!AD18</f>
        <v>L</v>
      </c>
    </row>
    <row r="351">
      <c r="A351" s="53" t="inlineStr">
        <is>
          <t>Quality Assurance|B2|B-IC</t>
        </is>
      </c>
      <c r="B351" s="53" t="inlineStr">
        <is>
          <t>Quality Assurance</t>
        </is>
      </c>
      <c r="C351" s="53" t="inlineStr">
        <is>
          <t>B2</t>
        </is>
      </c>
      <c r="D351" s="53" t="inlineStr">
        <is>
          <t>Band B · Specialist / POD Lead</t>
        </is>
      </c>
      <c r="E351" s="38" t="str">
        <f>'RB · Quality Assurance'!F19</f>
        <v>H</v>
      </c>
      <c r="F351" s="38" t="str">
        <f>'RB · Quality Assurance'!J19</f>
        <v>M</v>
      </c>
      <c r="G351" s="38" t="str">
        <f>'RB · Quality Assurance'!N19</f>
        <v>L</v>
      </c>
      <c r="H351" s="38" t="str">
        <f>'RB · Quality Assurance'!R19</f>
        <v>L</v>
      </c>
      <c r="I351" s="38" t="str">
        <f>'RB · Quality Assurance'!V19</f>
        <v>L</v>
      </c>
      <c r="J351" s="38" t="str">
        <f>'RB · Quality Assurance'!Z19</f>
        <v>L</v>
      </c>
      <c r="K351" s="38" t="str">
        <f>'RB · Quality Assurance'!AD19</f>
        <v>L</v>
      </c>
    </row>
    <row r="352">
      <c r="A352" s="53" t="inlineStr">
        <is>
          <t>Quality Assurance|B1|B-M</t>
        </is>
      </c>
      <c r="B352" s="53" t="inlineStr">
        <is>
          <t>Quality Assurance</t>
        </is>
      </c>
      <c r="C352" s="53" t="inlineStr">
        <is>
          <t>B1</t>
        </is>
      </c>
      <c r="D352" s="53" t="inlineStr">
        <is>
          <t>Band B · People Manager</t>
        </is>
      </c>
      <c r="E352" s="38" t="str">
        <f>'RB · Quality Assurance'!F20</f>
        <v>H</v>
      </c>
      <c r="F352" s="38" t="str">
        <f>'RB · Quality Assurance'!J20</f>
        <v>M</v>
      </c>
      <c r="G352" s="38" t="str">
        <f>'RB · Quality Assurance'!N20</f>
        <v>L</v>
      </c>
      <c r="H352" s="38" t="str">
        <f>'RB · Quality Assurance'!R20</f>
        <v>M</v>
      </c>
      <c r="I352" s="38" t="str">
        <f>'RB · Quality Assurance'!V20</f>
        <v>L</v>
      </c>
      <c r="J352" s="38" t="str">
        <f>'RB · Quality Assurance'!Z20</f>
        <v>L</v>
      </c>
      <c r="K352" s="38" t="str">
        <f>'RB · Quality Assurance'!AD20</f>
        <v>L</v>
      </c>
    </row>
    <row r="353">
      <c r="A353" s="53" t="inlineStr">
        <is>
          <t>Quality Assurance|B1|B-IC</t>
        </is>
      </c>
      <c r="B353" s="53" t="inlineStr">
        <is>
          <t>Quality Assurance</t>
        </is>
      </c>
      <c r="C353" s="53" t="inlineStr">
        <is>
          <t>B1</t>
        </is>
      </c>
      <c r="D353" s="53" t="inlineStr">
        <is>
          <t>Band B · Specialist / POD Lead</t>
        </is>
      </c>
      <c r="E353" s="38" t="str">
        <f>'RB · Quality Assurance'!F21</f>
        <v>H</v>
      </c>
      <c r="F353" s="38" t="str">
        <f>'RB · Quality Assurance'!J21</f>
        <v>M</v>
      </c>
      <c r="G353" s="38" t="str">
        <f>'RB · Quality Assurance'!N21</f>
        <v>L</v>
      </c>
      <c r="H353" s="38" t="str">
        <f>'RB · Quality Assurance'!R21</f>
        <v>L</v>
      </c>
      <c r="I353" s="38" t="str">
        <f>'RB · Quality Assurance'!V21</f>
        <v>L</v>
      </c>
      <c r="J353" s="38" t="str">
        <f>'RB · Quality Assurance'!Z21</f>
        <v>L</v>
      </c>
      <c r="K353" s="38" t="str">
        <f>'RB · Quality Assurance'!AD21</f>
        <v>L</v>
      </c>
    </row>
    <row r="354">
      <c r="A354" s="53" t="inlineStr">
        <is>
          <t>Quality Assurance|A3|A</t>
        </is>
      </c>
      <c r="B354" s="53" t="inlineStr">
        <is>
          <t>Quality Assurance</t>
        </is>
      </c>
      <c r="C354" s="53" t="inlineStr">
        <is>
          <t>A3</t>
        </is>
      </c>
      <c r="D354" s="53" t="inlineStr">
        <is>
          <t>Band A · all tracks</t>
        </is>
      </c>
      <c r="E354" s="38" t="str">
        <f>'RB · Quality Assurance'!F22</f>
        <v>H</v>
      </c>
      <c r="F354" s="38" t="str">
        <f>'RB · Quality Assurance'!J22</f>
        <v>M</v>
      </c>
      <c r="G354" s="38" t="str">
        <f>'RB · Quality Assurance'!N22</f>
        <v>L</v>
      </c>
      <c r="H354" s="38" t="str">
        <f>'RB · Quality Assurance'!R22</f>
        <v>L</v>
      </c>
      <c r="I354" s="38" t="str">
        <f>'RB · Quality Assurance'!V22</f>
        <v>L</v>
      </c>
      <c r="J354" s="38" t="str">
        <f>'RB · Quality Assurance'!Z22</f>
        <v>L</v>
      </c>
      <c r="K354" s="38" t="str">
        <f>'RB · Quality Assurance'!AD22</f>
        <v>L</v>
      </c>
    </row>
    <row r="355">
      <c r="A355" s="53" t="inlineStr">
        <is>
          <t>Quality Assurance|A2|A</t>
        </is>
      </c>
      <c r="B355" s="53" t="inlineStr">
        <is>
          <t>Quality Assurance</t>
        </is>
      </c>
      <c r="C355" s="53" t="inlineStr">
        <is>
          <t>A2</t>
        </is>
      </c>
      <c r="D355" s="53" t="inlineStr">
        <is>
          <t>Band A · all tracks</t>
        </is>
      </c>
      <c r="E355" s="38" t="str">
        <f>'RB · Quality Assurance'!F23</f>
        <v>H</v>
      </c>
      <c r="F355" s="38" t="str">
        <f>'RB · Quality Assurance'!J23</f>
        <v>M</v>
      </c>
      <c r="G355" s="38" t="str">
        <f>'RB · Quality Assurance'!N23</f>
        <v>L</v>
      </c>
      <c r="H355" s="38" t="str">
        <f>'RB · Quality Assurance'!R23</f>
        <v>L</v>
      </c>
      <c r="I355" s="38" t="str">
        <f>'RB · Quality Assurance'!V23</f>
        <v>L</v>
      </c>
      <c r="J355" s="38" t="str">
        <f>'RB · Quality Assurance'!Z23</f>
        <v>L</v>
      </c>
      <c r="K355" s="38" t="str">
        <f>'RB · Quality Assurance'!AD23</f>
        <v>L</v>
      </c>
    </row>
    <row r="356">
      <c r="A356" s="53" t="inlineStr">
        <is>
          <t>Quality Assurance|A1|A</t>
        </is>
      </c>
      <c r="B356" s="53" t="inlineStr">
        <is>
          <t>Quality Assurance</t>
        </is>
      </c>
      <c r="C356" s="53" t="inlineStr">
        <is>
          <t>A1</t>
        </is>
      </c>
      <c r="D356" s="53" t="inlineStr">
        <is>
          <t>Band A · all tracks</t>
        </is>
      </c>
      <c r="E356" s="38" t="str">
        <f>'RB · Quality Assurance'!F24</f>
        <v>H</v>
      </c>
      <c r="F356" s="38" t="str">
        <f>'RB · Quality Assurance'!J24</f>
        <v>M</v>
      </c>
      <c r="G356" s="38" t="str">
        <f>'RB · Quality Assurance'!N24</f>
        <v>L</v>
      </c>
      <c r="H356" s="38" t="str">
        <f>'RB · Quality Assurance'!R24</f>
        <v>L</v>
      </c>
      <c r="I356" s="38" t="str">
        <f>'RB · Quality Assurance'!V24</f>
        <v>L</v>
      </c>
      <c r="J356" s="38" t="str">
        <f>'RB · Quality Assurance'!Z24</f>
        <v>L</v>
      </c>
      <c r="K356" s="38" t="str">
        <f>'RB · Quality Assurance'!AD24</f>
        <v>L</v>
      </c>
    </row>
    <row r="357">
      <c r="A357" s="53" t="inlineStr">
        <is>
          <t>Sales &amp; Business Development|E2|DE</t>
        </is>
      </c>
      <c r="B357" s="53" t="inlineStr">
        <is>
          <t>Sales &amp; Business Development</t>
        </is>
      </c>
      <c r="C357" s="53" t="inlineStr">
        <is>
          <t>E2</t>
        </is>
      </c>
      <c r="D357" s="53" t="inlineStr">
        <is>
          <t>Bands D–E · Leadership</t>
        </is>
      </c>
      <c r="E357" s="38" t="str">
        <f>'RB · Sales &amp; Business Developme'!F15</f>
        <v>H</v>
      </c>
      <c r="F357" s="38" t="str">
        <f>'RB · Sales &amp; Business Developme'!J15</f>
        <v>M</v>
      </c>
      <c r="G357" s="38" t="str">
        <f>'RB · Sales &amp; Business Developme'!N15</f>
        <v>M</v>
      </c>
      <c r="H357" s="38" t="str">
        <f>'RB · Sales &amp; Business Developme'!R15</f>
        <v>M</v>
      </c>
      <c r="I357" s="38" t="str">
        <f>'RB · Sales &amp; Business Developme'!V15</f>
        <v>L</v>
      </c>
      <c r="J357" s="38" t="str">
        <f>'RB · Sales &amp; Business Developme'!Z15</f>
        <v>L</v>
      </c>
      <c r="K357" s="38" t="str">
        <f>'RB · Sales &amp; Business Developme'!AD15</f>
        <v>L</v>
      </c>
    </row>
    <row r="358">
      <c r="A358" s="53" t="inlineStr">
        <is>
          <t>Sales &amp; Business Development|E1|DE</t>
        </is>
      </c>
      <c r="B358" s="53" t="inlineStr">
        <is>
          <t>Sales &amp; Business Development</t>
        </is>
      </c>
      <c r="C358" s="53" t="inlineStr">
        <is>
          <t>E1</t>
        </is>
      </c>
      <c r="D358" s="53" t="inlineStr">
        <is>
          <t>Bands D–E · Leadership</t>
        </is>
      </c>
      <c r="E358" s="38" t="str">
        <f>'RB · Sales &amp; Business Developme'!F16</f>
        <v>H</v>
      </c>
      <c r="F358" s="38" t="str">
        <f>'RB · Sales &amp; Business Developme'!J16</f>
        <v>M</v>
      </c>
      <c r="G358" s="38" t="str">
        <f>'RB · Sales &amp; Business Developme'!N16</f>
        <v>M</v>
      </c>
      <c r="H358" s="38" t="str">
        <f>'RB · Sales &amp; Business Developme'!R16</f>
        <v>M</v>
      </c>
      <c r="I358" s="38" t="str">
        <f>'RB · Sales &amp; Business Developme'!V16</f>
        <v>L</v>
      </c>
      <c r="J358" s="38" t="str">
        <f>'RB · Sales &amp; Business Developme'!Z16</f>
        <v>L</v>
      </c>
      <c r="K358" s="38" t="str">
        <f>'RB · Sales &amp; Business Developme'!AD16</f>
        <v>L</v>
      </c>
    </row>
    <row r="359">
      <c r="A359" s="53" t="inlineStr">
        <is>
          <t>Sales &amp; Business Development|D2|DE</t>
        </is>
      </c>
      <c r="B359" s="53" t="inlineStr">
        <is>
          <t>Sales &amp; Business Development</t>
        </is>
      </c>
      <c r="C359" s="53" t="inlineStr">
        <is>
          <t>D2</t>
        </is>
      </c>
      <c r="D359" s="53" t="inlineStr">
        <is>
          <t>Bands D–E · Leadership</t>
        </is>
      </c>
      <c r="E359" s="38" t="str">
        <f>'RB · Sales &amp; Business Developme'!F17</f>
        <v>H</v>
      </c>
      <c r="F359" s="38" t="str">
        <f>'RB · Sales &amp; Business Developme'!J17</f>
        <v>M</v>
      </c>
      <c r="G359" s="38" t="str">
        <f>'RB · Sales &amp; Business Developme'!N17</f>
        <v>M</v>
      </c>
      <c r="H359" s="38" t="str">
        <f>'RB · Sales &amp; Business Developme'!R17</f>
        <v>M</v>
      </c>
      <c r="I359" s="38" t="str">
        <f>'RB · Sales &amp; Business Developme'!V17</f>
        <v>L</v>
      </c>
      <c r="J359" s="38" t="str">
        <f>'RB · Sales &amp; Business Developme'!Z17</f>
        <v>L</v>
      </c>
      <c r="K359" s="38" t="str">
        <f>'RB · Sales &amp; Business Developme'!AD17</f>
        <v>L</v>
      </c>
    </row>
    <row r="360">
      <c r="A360" s="53" t="inlineStr">
        <is>
          <t>Sales &amp; Business Development|D1|DE</t>
        </is>
      </c>
      <c r="B360" s="53" t="inlineStr">
        <is>
          <t>Sales &amp; Business Development</t>
        </is>
      </c>
      <c r="C360" s="53" t="inlineStr">
        <is>
          <t>D1</t>
        </is>
      </c>
      <c r="D360" s="53" t="inlineStr">
        <is>
          <t>Bands D–E · Leadership</t>
        </is>
      </c>
      <c r="E360" s="38" t="str">
        <f>'RB · Sales &amp; Business Developme'!F18</f>
        <v>H</v>
      </c>
      <c r="F360" s="38" t="str">
        <f>'RB · Sales &amp; Business Developme'!J18</f>
        <v>M</v>
      </c>
      <c r="G360" s="38" t="str">
        <f>'RB · Sales &amp; Business Developme'!N18</f>
        <v>M</v>
      </c>
      <c r="H360" s="38" t="str">
        <f>'RB · Sales &amp; Business Developme'!R18</f>
        <v>M</v>
      </c>
      <c r="I360" s="38" t="str">
        <f>'RB · Sales &amp; Business Developme'!V18</f>
        <v>L</v>
      </c>
      <c r="J360" s="38" t="str">
        <f>'RB · Sales &amp; Business Developme'!Z18</f>
        <v>L</v>
      </c>
      <c r="K360" s="38" t="str">
        <f>'RB · Sales &amp; Business Developme'!AD18</f>
        <v>L</v>
      </c>
    </row>
    <row r="361">
      <c r="A361" s="53" t="inlineStr">
        <is>
          <t>Sales &amp; Business Development|C+|C+</t>
        </is>
      </c>
      <c r="B361" s="53" t="inlineStr">
        <is>
          <t>Sales &amp; Business Development</t>
        </is>
      </c>
      <c r="C361" s="53" t="inlineStr">
        <is>
          <t>C+</t>
        </is>
      </c>
      <c r="D361" s="53" t="inlineStr">
        <is>
          <t>C+ · Player-Coach</t>
        </is>
      </c>
      <c r="E361" s="38" t="str">
        <f>'RB · Sales &amp; Business Developme'!F19</f>
        <v>H</v>
      </c>
      <c r="F361" s="38" t="str">
        <f>'RB · Sales &amp; Business Developme'!J19</f>
        <v>M</v>
      </c>
      <c r="G361" s="38" t="str">
        <f>'RB · Sales &amp; Business Developme'!N19</f>
        <v>M</v>
      </c>
      <c r="H361" s="38" t="str">
        <f>'RB · Sales &amp; Business Developme'!R19</f>
        <v>M</v>
      </c>
      <c r="I361" s="38" t="str">
        <f>'RB · Sales &amp; Business Developme'!V19</f>
        <v>L</v>
      </c>
      <c r="J361" s="38" t="str">
        <f>'RB · Sales &amp; Business Developme'!Z19</f>
        <v>L</v>
      </c>
      <c r="K361" s="38" t="str">
        <f>'RB · Sales &amp; Business Developme'!AD19</f>
        <v>L</v>
      </c>
    </row>
    <row r="362">
      <c r="A362" s="53" t="inlineStr">
        <is>
          <t>Sales &amp; Business Development|C2|C-M</t>
        </is>
      </c>
      <c r="B362" s="53" t="inlineStr">
        <is>
          <t>Sales &amp; Business Development</t>
        </is>
      </c>
      <c r="C362" s="53" t="inlineStr">
        <is>
          <t>C2</t>
        </is>
      </c>
      <c r="D362" s="53" t="inlineStr">
        <is>
          <t>Band C · Head / manager</t>
        </is>
      </c>
      <c r="E362" s="38" t="str">
        <f>'RB · Sales &amp; Business Developme'!F20</f>
        <v>H</v>
      </c>
      <c r="F362" s="38" t="str">
        <f>'RB · Sales &amp; Business Developme'!J20</f>
        <v>M</v>
      </c>
      <c r="G362" s="38" t="str">
        <f>'RB · Sales &amp; Business Developme'!N20</f>
        <v>L</v>
      </c>
      <c r="H362" s="38" t="str">
        <f>'RB · Sales &amp; Business Developme'!R20</f>
        <v>M</v>
      </c>
      <c r="I362" s="38" t="str">
        <f>'RB · Sales &amp; Business Developme'!V20</f>
        <v>M</v>
      </c>
      <c r="J362" s="38" t="str">
        <f>'RB · Sales &amp; Business Developme'!Z20</f>
        <v>L</v>
      </c>
      <c r="K362" s="38" t="str">
        <f>'RB · Sales &amp; Business Developme'!AD20</f>
        <v>L</v>
      </c>
    </row>
    <row r="363">
      <c r="A363" s="53" t="inlineStr">
        <is>
          <t>Sales &amp; Business Development|C2|C-IC</t>
        </is>
      </c>
      <c r="B363" s="53" t="inlineStr">
        <is>
          <t>Sales &amp; Business Development</t>
        </is>
      </c>
      <c r="C363" s="53" t="inlineStr">
        <is>
          <t>C2</t>
        </is>
      </c>
      <c r="D363" s="53" t="inlineStr">
        <is>
          <t>Band C · Principal specialist</t>
        </is>
      </c>
      <c r="E363" s="38" t="str">
        <f>'RB · Sales &amp; Business Developme'!F21</f>
        <v>H</v>
      </c>
      <c r="F363" s="38" t="str">
        <f>'RB · Sales &amp; Business Developme'!J21</f>
        <v>M</v>
      </c>
      <c r="G363" s="38" t="str">
        <f>'RB · Sales &amp; Business Developme'!N21</f>
        <v>L</v>
      </c>
      <c r="H363" s="38" t="str">
        <f>'RB · Sales &amp; Business Developme'!R21</f>
        <v>L</v>
      </c>
      <c r="I363" s="38" t="str">
        <f>'RB · Sales &amp; Business Developme'!V21</f>
        <v>M</v>
      </c>
      <c r="J363" s="38" t="str">
        <f>'RB · Sales &amp; Business Developme'!Z21</f>
        <v>L</v>
      </c>
      <c r="K363" s="38" t="str">
        <f>'RB · Sales &amp; Business Developme'!AD21</f>
        <v>L</v>
      </c>
    </row>
    <row r="364">
      <c r="A364" s="53" t="inlineStr">
        <is>
          <t>Sales &amp; Business Development|C1|C-M</t>
        </is>
      </c>
      <c r="B364" s="53" t="inlineStr">
        <is>
          <t>Sales &amp; Business Development</t>
        </is>
      </c>
      <c r="C364" s="53" t="inlineStr">
        <is>
          <t>C1</t>
        </is>
      </c>
      <c r="D364" s="53" t="inlineStr">
        <is>
          <t>Band C · Head / manager</t>
        </is>
      </c>
      <c r="E364" s="38" t="str">
        <f>'RB · Sales &amp; Business Developme'!F22</f>
        <v>H</v>
      </c>
      <c r="F364" s="38" t="str">
        <f>'RB · Sales &amp; Business Developme'!J22</f>
        <v>M</v>
      </c>
      <c r="G364" s="38" t="str">
        <f>'RB · Sales &amp; Business Developme'!N22</f>
        <v>L</v>
      </c>
      <c r="H364" s="38" t="str">
        <f>'RB · Sales &amp; Business Developme'!R22</f>
        <v>M</v>
      </c>
      <c r="I364" s="38" t="str">
        <f>'RB · Sales &amp; Business Developme'!V22</f>
        <v>M</v>
      </c>
      <c r="J364" s="38" t="str">
        <f>'RB · Sales &amp; Business Developme'!Z22</f>
        <v>L</v>
      </c>
      <c r="K364" s="38" t="str">
        <f>'RB · Sales &amp; Business Developme'!AD22</f>
        <v>L</v>
      </c>
    </row>
    <row r="365">
      <c r="A365" s="53" t="inlineStr">
        <is>
          <t>Sales &amp; Business Development|C1|C-IC</t>
        </is>
      </c>
      <c r="B365" s="53" t="inlineStr">
        <is>
          <t>Sales &amp; Business Development</t>
        </is>
      </c>
      <c r="C365" s="53" t="inlineStr">
        <is>
          <t>C1</t>
        </is>
      </c>
      <c r="D365" s="53" t="inlineStr">
        <is>
          <t>Band C · Principal specialist</t>
        </is>
      </c>
      <c r="E365" s="38" t="str">
        <f>'RB · Sales &amp; Business Developme'!F23</f>
        <v>H</v>
      </c>
      <c r="F365" s="38" t="str">
        <f>'RB · Sales &amp; Business Developme'!J23</f>
        <v>M</v>
      </c>
      <c r="G365" s="38" t="str">
        <f>'RB · Sales &amp; Business Developme'!N23</f>
        <v>L</v>
      </c>
      <c r="H365" s="38" t="str">
        <f>'RB · Sales &amp; Business Developme'!R23</f>
        <v>L</v>
      </c>
      <c r="I365" s="38" t="str">
        <f>'RB · Sales &amp; Business Developme'!V23</f>
        <v>M</v>
      </c>
      <c r="J365" s="38" t="str">
        <f>'RB · Sales &amp; Business Developme'!Z23</f>
        <v>L</v>
      </c>
      <c r="K365" s="38" t="str">
        <f>'RB · Sales &amp; Business Developme'!AD23</f>
        <v>L</v>
      </c>
    </row>
    <row r="366">
      <c r="A366" s="53" t="inlineStr">
        <is>
          <t>Sales &amp; Business Development|B+|B+</t>
        </is>
      </c>
      <c r="B366" s="53" t="inlineStr">
        <is>
          <t>Sales &amp; Business Development</t>
        </is>
      </c>
      <c r="C366" s="53" t="inlineStr">
        <is>
          <t>B+</t>
        </is>
      </c>
      <c r="D366" s="53" t="inlineStr">
        <is>
          <t>B+ · Player-Coach</t>
        </is>
      </c>
      <c r="E366" s="38" t="str">
        <f>'RB · Sales &amp; Business Developme'!F24</f>
        <v>H</v>
      </c>
      <c r="F366" s="38" t="str">
        <f>'RB · Sales &amp; Business Developme'!J24</f>
        <v>M</v>
      </c>
      <c r="G366" s="38" t="str">
        <f>'RB · Sales &amp; Business Developme'!N24</f>
        <v>L</v>
      </c>
      <c r="H366" s="38" t="str">
        <f>'RB · Sales &amp; Business Developme'!R24</f>
        <v>M</v>
      </c>
      <c r="I366" s="38" t="str">
        <f>'RB · Sales &amp; Business Developme'!V24</f>
        <v>M</v>
      </c>
      <c r="J366" s="38" t="str">
        <f>'RB · Sales &amp; Business Developme'!Z24</f>
        <v>L</v>
      </c>
      <c r="K366" s="38" t="str">
        <f>'RB · Sales &amp; Business Developme'!AD24</f>
        <v>L</v>
      </c>
    </row>
    <row r="367">
      <c r="A367" s="53" t="inlineStr">
        <is>
          <t>Sales &amp; Business Development|B3|B-M</t>
        </is>
      </c>
      <c r="B367" s="53" t="inlineStr">
        <is>
          <t>Sales &amp; Business Development</t>
        </is>
      </c>
      <c r="C367" s="53" t="inlineStr">
        <is>
          <t>B3</t>
        </is>
      </c>
      <c r="D367" s="53" t="inlineStr">
        <is>
          <t>Band B · People Manager</t>
        </is>
      </c>
      <c r="E367" s="38" t="str">
        <f>'RB · Sales &amp; Business Developme'!F25</f>
        <v>H</v>
      </c>
      <c r="F367" s="38" t="str">
        <f>'RB · Sales &amp; Business Developme'!J25</f>
        <v>M</v>
      </c>
      <c r="G367" s="38" t="str">
        <f>'RB · Sales &amp; Business Developme'!N25</f>
        <v>L</v>
      </c>
      <c r="H367" s="38" t="str">
        <f>'RB · Sales &amp; Business Developme'!R25</f>
        <v>M</v>
      </c>
      <c r="I367" s="38" t="str">
        <f>'RB · Sales &amp; Business Developme'!V25</f>
        <v>M</v>
      </c>
      <c r="J367" s="38" t="str">
        <f>'RB · Sales &amp; Business Developme'!Z25</f>
        <v>L</v>
      </c>
      <c r="K367" s="38" t="str">
        <f>'RB · Sales &amp; Business Developme'!AD25</f>
        <v>L</v>
      </c>
    </row>
    <row r="368">
      <c r="A368" s="53" t="inlineStr">
        <is>
          <t>Sales &amp; Business Development|B3|B-IC</t>
        </is>
      </c>
      <c r="B368" s="53" t="inlineStr">
        <is>
          <t>Sales &amp; Business Development</t>
        </is>
      </c>
      <c r="C368" s="53" t="inlineStr">
        <is>
          <t>B3</t>
        </is>
      </c>
      <c r="D368" s="53" t="inlineStr">
        <is>
          <t>Band B · Specialist / POD Lead</t>
        </is>
      </c>
      <c r="E368" s="38" t="str">
        <f>'RB · Sales &amp; Business Developme'!F26</f>
        <v>H</v>
      </c>
      <c r="F368" s="38" t="str">
        <f>'RB · Sales &amp; Business Developme'!J26</f>
        <v>M</v>
      </c>
      <c r="G368" s="38" t="str">
        <f>'RB · Sales &amp; Business Developme'!N26</f>
        <v>L</v>
      </c>
      <c r="H368" s="38" t="str">
        <f>'RB · Sales &amp; Business Developme'!R26</f>
        <v>L</v>
      </c>
      <c r="I368" s="38" t="str">
        <f>'RB · Sales &amp; Business Developme'!V26</f>
        <v>M</v>
      </c>
      <c r="J368" s="38" t="str">
        <f>'RB · Sales &amp; Business Developme'!Z26</f>
        <v>L</v>
      </c>
      <c r="K368" s="38" t="str">
        <f>'RB · Sales &amp; Business Developme'!AD26</f>
        <v>L</v>
      </c>
    </row>
    <row r="369">
      <c r="A369" s="53" t="inlineStr">
        <is>
          <t>Sales &amp; Business Development|B2|B-M</t>
        </is>
      </c>
      <c r="B369" s="53" t="inlineStr">
        <is>
          <t>Sales &amp; Business Development</t>
        </is>
      </c>
      <c r="C369" s="53" t="inlineStr">
        <is>
          <t>B2</t>
        </is>
      </c>
      <c r="D369" s="53" t="inlineStr">
        <is>
          <t>Band B · People Manager</t>
        </is>
      </c>
      <c r="E369" s="38" t="str">
        <f>'RB · Sales &amp; Business Developme'!F27</f>
        <v>H</v>
      </c>
      <c r="F369" s="38" t="str">
        <f>'RB · Sales &amp; Business Developme'!J27</f>
        <v>M</v>
      </c>
      <c r="G369" s="38" t="str">
        <f>'RB · Sales &amp; Business Developme'!N27</f>
        <v>L</v>
      </c>
      <c r="H369" s="38" t="str">
        <f>'RB · Sales &amp; Business Developme'!R27</f>
        <v>M</v>
      </c>
      <c r="I369" s="38" t="str">
        <f>'RB · Sales &amp; Business Developme'!V27</f>
        <v>M</v>
      </c>
      <c r="J369" s="38" t="str">
        <f>'RB · Sales &amp; Business Developme'!Z27</f>
        <v>L</v>
      </c>
      <c r="K369" s="38" t="str">
        <f>'RB · Sales &amp; Business Developme'!AD27</f>
        <v>L</v>
      </c>
    </row>
    <row r="370">
      <c r="A370" s="53" t="inlineStr">
        <is>
          <t>Sales &amp; Business Development|B2|B-IC</t>
        </is>
      </c>
      <c r="B370" s="53" t="inlineStr">
        <is>
          <t>Sales &amp; Business Development</t>
        </is>
      </c>
      <c r="C370" s="53" t="inlineStr">
        <is>
          <t>B2</t>
        </is>
      </c>
      <c r="D370" s="53" t="inlineStr">
        <is>
          <t>Band B · Specialist / POD Lead</t>
        </is>
      </c>
      <c r="E370" s="38" t="str">
        <f>'RB · Sales &amp; Business Developme'!F28</f>
        <v>H</v>
      </c>
      <c r="F370" s="38" t="str">
        <f>'RB · Sales &amp; Business Developme'!J28</f>
        <v>M</v>
      </c>
      <c r="G370" s="38" t="str">
        <f>'RB · Sales &amp; Business Developme'!N28</f>
        <v>L</v>
      </c>
      <c r="H370" s="38" t="str">
        <f>'RB · Sales &amp; Business Developme'!R28</f>
        <v>L</v>
      </c>
      <c r="I370" s="38" t="str">
        <f>'RB · Sales &amp; Business Developme'!V28</f>
        <v>M</v>
      </c>
      <c r="J370" s="38" t="str">
        <f>'RB · Sales &amp; Business Developme'!Z28</f>
        <v>L</v>
      </c>
      <c r="K370" s="38" t="str">
        <f>'RB · Sales &amp; Business Developme'!AD28</f>
        <v>L</v>
      </c>
    </row>
    <row r="371">
      <c r="A371" s="53" t="inlineStr">
        <is>
          <t>Sales &amp; Business Development|B1|B-M</t>
        </is>
      </c>
      <c r="B371" s="53" t="inlineStr">
        <is>
          <t>Sales &amp; Business Development</t>
        </is>
      </c>
      <c r="C371" s="53" t="inlineStr">
        <is>
          <t>B1</t>
        </is>
      </c>
      <c r="D371" s="53" t="inlineStr">
        <is>
          <t>Band B · People Manager</t>
        </is>
      </c>
      <c r="E371" s="38" t="str">
        <f>'RB · Sales &amp; Business Developme'!F29</f>
        <v>H</v>
      </c>
      <c r="F371" s="38" t="str">
        <f>'RB · Sales &amp; Business Developme'!J29</f>
        <v>M</v>
      </c>
      <c r="G371" s="38" t="str">
        <f>'RB · Sales &amp; Business Developme'!N29</f>
        <v>L</v>
      </c>
      <c r="H371" s="38" t="str">
        <f>'RB · Sales &amp; Business Developme'!R29</f>
        <v>M</v>
      </c>
      <c r="I371" s="38" t="str">
        <f>'RB · Sales &amp; Business Developme'!V29</f>
        <v>M</v>
      </c>
      <c r="J371" s="38" t="str">
        <f>'RB · Sales &amp; Business Developme'!Z29</f>
        <v>L</v>
      </c>
      <c r="K371" s="38" t="str">
        <f>'RB · Sales &amp; Business Developme'!AD29</f>
        <v>L</v>
      </c>
    </row>
    <row r="372">
      <c r="A372" s="53" t="inlineStr">
        <is>
          <t>Sales &amp; Business Development|B1|B-IC</t>
        </is>
      </c>
      <c r="B372" s="53" t="inlineStr">
        <is>
          <t>Sales &amp; Business Development</t>
        </is>
      </c>
      <c r="C372" s="53" t="inlineStr">
        <is>
          <t>B1</t>
        </is>
      </c>
      <c r="D372" s="53" t="inlineStr">
        <is>
          <t>Band B · Specialist / POD Lead</t>
        </is>
      </c>
      <c r="E372" s="38" t="str">
        <f>'RB · Sales &amp; Business Developme'!F30</f>
        <v>H</v>
      </c>
      <c r="F372" s="38" t="str">
        <f>'RB · Sales &amp; Business Developme'!J30</f>
        <v>M</v>
      </c>
      <c r="G372" s="38" t="str">
        <f>'RB · Sales &amp; Business Developme'!N30</f>
        <v>L</v>
      </c>
      <c r="H372" s="38" t="str">
        <f>'RB · Sales &amp; Business Developme'!R30</f>
        <v>L</v>
      </c>
      <c r="I372" s="38" t="str">
        <f>'RB · Sales &amp; Business Developme'!V30</f>
        <v>M</v>
      </c>
      <c r="J372" s="38" t="str">
        <f>'RB · Sales &amp; Business Developme'!Z30</f>
        <v>L</v>
      </c>
      <c r="K372" s="38" t="str">
        <f>'RB · Sales &amp; Business Developme'!AD30</f>
        <v>L</v>
      </c>
    </row>
    <row r="373">
      <c r="A373" s="53" t="inlineStr">
        <is>
          <t>Sales &amp; Business Development|A3|A</t>
        </is>
      </c>
      <c r="B373" s="53" t="inlineStr">
        <is>
          <t>Sales &amp; Business Development</t>
        </is>
      </c>
      <c r="C373" s="53" t="inlineStr">
        <is>
          <t>A3</t>
        </is>
      </c>
      <c r="D373" s="53" t="inlineStr">
        <is>
          <t>Band A · all tracks</t>
        </is>
      </c>
      <c r="E373" s="38" t="str">
        <f>'RB · Sales &amp; Business Developme'!F31</f>
        <v>H</v>
      </c>
      <c r="F373" s="38" t="str">
        <f>'RB · Sales &amp; Business Developme'!J31</f>
        <v>M</v>
      </c>
      <c r="G373" s="38" t="str">
        <f>'RB · Sales &amp; Business Developme'!N31</f>
        <v>L</v>
      </c>
      <c r="H373" s="38" t="str">
        <f>'RB · Sales &amp; Business Developme'!R31</f>
        <v>L</v>
      </c>
      <c r="I373" s="38" t="str">
        <f>'RB · Sales &amp; Business Developme'!V31</f>
        <v>M</v>
      </c>
      <c r="J373" s="38" t="str">
        <f>'RB · Sales &amp; Business Developme'!Z31</f>
        <v>L</v>
      </c>
      <c r="K373" s="38" t="str">
        <f>'RB · Sales &amp; Business Developme'!AD31</f>
        <v>L</v>
      </c>
    </row>
    <row r="374">
      <c r="A374" s="53" t="inlineStr">
        <is>
          <t>Sales &amp; Business Development|A2|A</t>
        </is>
      </c>
      <c r="B374" s="53" t="inlineStr">
        <is>
          <t>Sales &amp; Business Development</t>
        </is>
      </c>
      <c r="C374" s="53" t="inlineStr">
        <is>
          <t>A2</t>
        </is>
      </c>
      <c r="D374" s="53" t="inlineStr">
        <is>
          <t>Band A · all tracks</t>
        </is>
      </c>
      <c r="E374" s="38" t="str">
        <f>'RB · Sales &amp; Business Developme'!F32</f>
        <v>H</v>
      </c>
      <c r="F374" s="38" t="str">
        <f>'RB · Sales &amp; Business Developme'!J32</f>
        <v>M</v>
      </c>
      <c r="G374" s="38" t="str">
        <f>'RB · Sales &amp; Business Developme'!N32</f>
        <v>L</v>
      </c>
      <c r="H374" s="38" t="str">
        <f>'RB · Sales &amp; Business Developme'!R32</f>
        <v>L</v>
      </c>
      <c r="I374" s="38" t="str">
        <f>'RB · Sales &amp; Business Developme'!V32</f>
        <v>M</v>
      </c>
      <c r="J374" s="38" t="str">
        <f>'RB · Sales &amp; Business Developme'!Z32</f>
        <v>L</v>
      </c>
      <c r="K374" s="38" t="str">
        <f>'RB · Sales &amp; Business Developme'!AD32</f>
        <v>L</v>
      </c>
    </row>
    <row r="375">
      <c r="A375" s="53" t="inlineStr">
        <is>
          <t>Sales &amp; Business Development|A1|A</t>
        </is>
      </c>
      <c r="B375" s="53" t="inlineStr">
        <is>
          <t>Sales &amp; Business Development</t>
        </is>
      </c>
      <c r="C375" s="53" t="inlineStr">
        <is>
          <t>A1</t>
        </is>
      </c>
      <c r="D375" s="53" t="inlineStr">
        <is>
          <t>Band A · all tracks</t>
        </is>
      </c>
      <c r="E375" s="38" t="str">
        <f>'RB · Sales &amp; Business Developme'!F33</f>
        <v>H</v>
      </c>
      <c r="F375" s="38" t="str">
        <f>'RB · Sales &amp; Business Developme'!J33</f>
        <v>M</v>
      </c>
      <c r="G375" s="38" t="str">
        <f>'RB · Sales &amp; Business Developme'!N33</f>
        <v>L</v>
      </c>
      <c r="H375" s="38" t="str">
        <f>'RB · Sales &amp; Business Developme'!R33</f>
        <v>L</v>
      </c>
      <c r="I375" s="38" t="str">
        <f>'RB · Sales &amp; Business Developme'!V33</f>
        <v>M</v>
      </c>
      <c r="J375" s="38" t="str">
        <f>'RB · Sales &amp; Business Developme'!Z33</f>
        <v>L</v>
      </c>
      <c r="K375" s="38" t="str">
        <f>'RB · Sales &amp; Business Developme'!AD33</f>
        <v>L</v>
      </c>
    </row>
    <row r="376">
      <c r="A376" s="53" t="inlineStr">
        <is>
          <t>Solution Consulting &amp; Implementation|E2|DE</t>
        </is>
      </c>
      <c r="B376" s="53" t="inlineStr">
        <is>
          <t>Solution Consulting &amp; Implementation</t>
        </is>
      </c>
      <c r="C376" s="53" t="inlineStr">
        <is>
          <t>E2</t>
        </is>
      </c>
      <c r="D376" s="53" t="inlineStr">
        <is>
          <t>Bands D–E · Leadership</t>
        </is>
      </c>
      <c r="E376" s="38" t="str">
        <f>'RB · Solution Consulting &amp; Impl'!F6</f>
        <v>H</v>
      </c>
      <c r="F376" s="38" t="str">
        <f>'RB · Solution Consulting &amp; Impl'!J6</f>
        <v>M</v>
      </c>
      <c r="G376" s="38" t="str">
        <f>'RB · Solution Consulting &amp; Impl'!N6</f>
        <v>M</v>
      </c>
      <c r="H376" s="38" t="str">
        <f>'RB · Solution Consulting &amp; Impl'!R6</f>
        <v>M</v>
      </c>
      <c r="I376" s="38" t="str">
        <f>'RB · Solution Consulting &amp; Impl'!V6</f>
        <v>L</v>
      </c>
      <c r="J376" s="38" t="str">
        <f>'RB · Solution Consulting &amp; Impl'!Z6</f>
        <v>L</v>
      </c>
      <c r="K376" s="38" t="str">
        <f>'RB · Solution Consulting &amp; Impl'!AD6</f>
        <v>L</v>
      </c>
    </row>
    <row r="377">
      <c r="A377" s="53" t="inlineStr">
        <is>
          <t>Solution Consulting &amp; Implementation|E1|DE</t>
        </is>
      </c>
      <c r="B377" s="53" t="inlineStr">
        <is>
          <t>Solution Consulting &amp; Implementation</t>
        </is>
      </c>
      <c r="C377" s="53" t="inlineStr">
        <is>
          <t>E1</t>
        </is>
      </c>
      <c r="D377" s="53" t="inlineStr">
        <is>
          <t>Bands D–E · Leadership</t>
        </is>
      </c>
      <c r="E377" s="38" t="str">
        <f>'RB · Solution Consulting &amp; Impl'!F7</f>
        <v>H</v>
      </c>
      <c r="F377" s="38" t="str">
        <f>'RB · Solution Consulting &amp; Impl'!J7</f>
        <v>M</v>
      </c>
      <c r="G377" s="38" t="str">
        <f>'RB · Solution Consulting &amp; Impl'!N7</f>
        <v>M</v>
      </c>
      <c r="H377" s="38" t="str">
        <f>'RB · Solution Consulting &amp; Impl'!R7</f>
        <v>M</v>
      </c>
      <c r="I377" s="38" t="str">
        <f>'RB · Solution Consulting &amp; Impl'!V7</f>
        <v>L</v>
      </c>
      <c r="J377" s="38" t="str">
        <f>'RB · Solution Consulting &amp; Impl'!Z7</f>
        <v>L</v>
      </c>
      <c r="K377" s="38" t="str">
        <f>'RB · Solution Consulting &amp; Impl'!AD7</f>
        <v>L</v>
      </c>
    </row>
    <row r="378">
      <c r="A378" s="53" t="inlineStr">
        <is>
          <t>Solution Consulting &amp; Implementation|D2|DE</t>
        </is>
      </c>
      <c r="B378" s="53" t="inlineStr">
        <is>
          <t>Solution Consulting &amp; Implementation</t>
        </is>
      </c>
      <c r="C378" s="53" t="inlineStr">
        <is>
          <t>D2</t>
        </is>
      </c>
      <c r="D378" s="53" t="inlineStr">
        <is>
          <t>Bands D–E · Leadership</t>
        </is>
      </c>
      <c r="E378" s="38" t="str">
        <f>'RB · Solution Consulting &amp; Impl'!F8</f>
        <v>H</v>
      </c>
      <c r="F378" s="38" t="str">
        <f>'RB · Solution Consulting &amp; Impl'!J8</f>
        <v>M</v>
      </c>
      <c r="G378" s="38" t="str">
        <f>'RB · Solution Consulting &amp; Impl'!N8</f>
        <v>M</v>
      </c>
      <c r="H378" s="38" t="str">
        <f>'RB · Solution Consulting &amp; Impl'!R8</f>
        <v>M</v>
      </c>
      <c r="I378" s="38" t="str">
        <f>'RB · Solution Consulting &amp; Impl'!V8</f>
        <v>L</v>
      </c>
      <c r="J378" s="38" t="str">
        <f>'RB · Solution Consulting &amp; Impl'!Z8</f>
        <v>L</v>
      </c>
      <c r="K378" s="38" t="str">
        <f>'RB · Solution Consulting &amp; Impl'!AD8</f>
        <v>L</v>
      </c>
    </row>
    <row r="379">
      <c r="A379" s="53" t="inlineStr">
        <is>
          <t>Solution Consulting &amp; Implementation|D1|DE</t>
        </is>
      </c>
      <c r="B379" s="53" t="inlineStr">
        <is>
          <t>Solution Consulting &amp; Implementation</t>
        </is>
      </c>
      <c r="C379" s="53" t="inlineStr">
        <is>
          <t>D1</t>
        </is>
      </c>
      <c r="D379" s="53" t="inlineStr">
        <is>
          <t>Bands D–E · Leadership</t>
        </is>
      </c>
      <c r="E379" s="38" t="str">
        <f>'RB · Solution Consulting &amp; Impl'!F9</f>
        <v>H</v>
      </c>
      <c r="F379" s="38" t="str">
        <f>'RB · Solution Consulting &amp; Impl'!J9</f>
        <v>M</v>
      </c>
      <c r="G379" s="38" t="str">
        <f>'RB · Solution Consulting &amp; Impl'!N9</f>
        <v>M</v>
      </c>
      <c r="H379" s="38" t="str">
        <f>'RB · Solution Consulting &amp; Impl'!R9</f>
        <v>M</v>
      </c>
      <c r="I379" s="38" t="str">
        <f>'RB · Solution Consulting &amp; Impl'!V9</f>
        <v>L</v>
      </c>
      <c r="J379" s="38" t="str">
        <f>'RB · Solution Consulting &amp; Impl'!Z9</f>
        <v>L</v>
      </c>
      <c r="K379" s="38" t="str">
        <f>'RB · Solution Consulting &amp; Impl'!AD9</f>
        <v>L</v>
      </c>
    </row>
    <row r="380">
      <c r="A380" s="53" t="inlineStr">
        <is>
          <t>Solution Consulting &amp; Implementation|C+|C+</t>
        </is>
      </c>
      <c r="B380" s="53" t="inlineStr">
        <is>
          <t>Solution Consulting &amp; Implementation</t>
        </is>
      </c>
      <c r="C380" s="53" t="inlineStr">
        <is>
          <t>C+</t>
        </is>
      </c>
      <c r="D380" s="53" t="inlineStr">
        <is>
          <t>C+ · Player-Coach</t>
        </is>
      </c>
      <c r="E380" s="38" t="str">
        <f>'RB · Solution Consulting &amp; Impl'!F10</f>
        <v>H</v>
      </c>
      <c r="F380" s="38" t="str">
        <f>'RB · Solution Consulting &amp; Impl'!J10</f>
        <v>M</v>
      </c>
      <c r="G380" s="38" t="str">
        <f>'RB · Solution Consulting &amp; Impl'!N10</f>
        <v>M</v>
      </c>
      <c r="H380" s="38" t="str">
        <f>'RB · Solution Consulting &amp; Impl'!R10</f>
        <v>M</v>
      </c>
      <c r="I380" s="38" t="str">
        <f>'RB · Solution Consulting &amp; Impl'!V10</f>
        <v>L</v>
      </c>
      <c r="J380" s="38" t="str">
        <f>'RB · Solution Consulting &amp; Impl'!Z10</f>
        <v>L</v>
      </c>
      <c r="K380" s="38" t="str">
        <f>'RB · Solution Consulting &amp; Impl'!AD10</f>
        <v>L</v>
      </c>
    </row>
    <row r="381">
      <c r="A381" s="53" t="inlineStr">
        <is>
          <t>Solution Consulting &amp; Implementation|C2|C-M</t>
        </is>
      </c>
      <c r="B381" s="53" t="inlineStr">
        <is>
          <t>Solution Consulting &amp; Implementation</t>
        </is>
      </c>
      <c r="C381" s="53" t="inlineStr">
        <is>
          <t>C2</t>
        </is>
      </c>
      <c r="D381" s="53" t="inlineStr">
        <is>
          <t>Band C · Head / manager</t>
        </is>
      </c>
      <c r="E381" s="38" t="str">
        <f>'RB · Solution Consulting &amp; Impl'!F11</f>
        <v>H</v>
      </c>
      <c r="F381" s="38" t="str">
        <f>'RB · Solution Consulting &amp; Impl'!J11</f>
        <v>M</v>
      </c>
      <c r="G381" s="38" t="str">
        <f>'RB · Solution Consulting &amp; Impl'!N11</f>
        <v>M</v>
      </c>
      <c r="H381" s="38" t="str">
        <f>'RB · Solution Consulting &amp; Impl'!R11</f>
        <v>M</v>
      </c>
      <c r="I381" s="38" t="str">
        <f>'RB · Solution Consulting &amp; Impl'!V11</f>
        <v>L</v>
      </c>
      <c r="J381" s="38" t="str">
        <f>'RB · Solution Consulting &amp; Impl'!Z11</f>
        <v>L</v>
      </c>
      <c r="K381" s="38" t="str">
        <f>'RB · Solution Consulting &amp; Impl'!AD11</f>
        <v>L</v>
      </c>
    </row>
    <row r="382">
      <c r="A382" s="53" t="inlineStr">
        <is>
          <t>Solution Consulting &amp; Implementation|C2|C-IC</t>
        </is>
      </c>
      <c r="B382" s="53" t="inlineStr">
        <is>
          <t>Solution Consulting &amp; Implementation</t>
        </is>
      </c>
      <c r="C382" s="53" t="inlineStr">
        <is>
          <t>C2</t>
        </is>
      </c>
      <c r="D382" s="53" t="inlineStr">
        <is>
          <t>Band C · Principal specialist</t>
        </is>
      </c>
      <c r="E382" s="38" t="str">
        <f>'RB · Solution Consulting &amp; Impl'!F12</f>
        <v>H</v>
      </c>
      <c r="F382" s="38" t="str">
        <f>'RB · Solution Consulting &amp; Impl'!J12</f>
        <v>M</v>
      </c>
      <c r="G382" s="38" t="str">
        <f>'RB · Solution Consulting &amp; Impl'!N12</f>
        <v>M</v>
      </c>
      <c r="H382" s="38" t="str">
        <f>'RB · Solution Consulting &amp; Impl'!R12</f>
        <v>L</v>
      </c>
      <c r="I382" s="38" t="str">
        <f>'RB · Solution Consulting &amp; Impl'!V12</f>
        <v>L</v>
      </c>
      <c r="J382" s="38" t="str">
        <f>'RB · Solution Consulting &amp; Impl'!Z12</f>
        <v>L</v>
      </c>
      <c r="K382" s="38" t="str">
        <f>'RB · Solution Consulting &amp; Impl'!AD12</f>
        <v>L</v>
      </c>
    </row>
    <row r="383">
      <c r="A383" s="53" t="inlineStr">
        <is>
          <t>Solution Consulting &amp; Implementation|C1|C-M</t>
        </is>
      </c>
      <c r="B383" s="53" t="inlineStr">
        <is>
          <t>Solution Consulting &amp; Implementation</t>
        </is>
      </c>
      <c r="C383" s="53" t="inlineStr">
        <is>
          <t>C1</t>
        </is>
      </c>
      <c r="D383" s="53" t="inlineStr">
        <is>
          <t>Band C · Head / manager</t>
        </is>
      </c>
      <c r="E383" s="38" t="str">
        <f>'RB · Solution Consulting &amp; Impl'!F13</f>
        <v>H</v>
      </c>
      <c r="F383" s="38" t="str">
        <f>'RB · Solution Consulting &amp; Impl'!J13</f>
        <v>M</v>
      </c>
      <c r="G383" s="38" t="str">
        <f>'RB · Solution Consulting &amp; Impl'!N13</f>
        <v>M</v>
      </c>
      <c r="H383" s="38" t="str">
        <f>'RB · Solution Consulting &amp; Impl'!R13</f>
        <v>M</v>
      </c>
      <c r="I383" s="38" t="str">
        <f>'RB · Solution Consulting &amp; Impl'!V13</f>
        <v>L</v>
      </c>
      <c r="J383" s="38" t="str">
        <f>'RB · Solution Consulting &amp; Impl'!Z13</f>
        <v>L</v>
      </c>
      <c r="K383" s="38" t="str">
        <f>'RB · Solution Consulting &amp; Impl'!AD13</f>
        <v>L</v>
      </c>
    </row>
    <row r="384">
      <c r="A384" s="53" t="inlineStr">
        <is>
          <t>Solution Consulting &amp; Implementation|C1|C-IC</t>
        </is>
      </c>
      <c r="B384" s="53" t="inlineStr">
        <is>
          <t>Solution Consulting &amp; Implementation</t>
        </is>
      </c>
      <c r="C384" s="53" t="inlineStr">
        <is>
          <t>C1</t>
        </is>
      </c>
      <c r="D384" s="53" t="inlineStr">
        <is>
          <t>Band C · Principal specialist</t>
        </is>
      </c>
      <c r="E384" s="38" t="str">
        <f>'RB · Solution Consulting &amp; Impl'!F14</f>
        <v>H</v>
      </c>
      <c r="F384" s="38" t="str">
        <f>'RB · Solution Consulting &amp; Impl'!J14</f>
        <v>M</v>
      </c>
      <c r="G384" s="38" t="str">
        <f>'RB · Solution Consulting &amp; Impl'!N14</f>
        <v>M</v>
      </c>
      <c r="H384" s="38" t="str">
        <f>'RB · Solution Consulting &amp; Impl'!R14</f>
        <v>L</v>
      </c>
      <c r="I384" s="38" t="str">
        <f>'RB · Solution Consulting &amp; Impl'!V14</f>
        <v>L</v>
      </c>
      <c r="J384" s="38" t="str">
        <f>'RB · Solution Consulting &amp; Impl'!Z14</f>
        <v>L</v>
      </c>
      <c r="K384" s="38" t="str">
        <f>'RB · Solution Consulting &amp; Impl'!AD14</f>
        <v>L</v>
      </c>
    </row>
    <row r="385">
      <c r="A385" s="53" t="inlineStr">
        <is>
          <t>Solution Consulting &amp; Implementation|B+|B+</t>
        </is>
      </c>
      <c r="B385" s="53" t="inlineStr">
        <is>
          <t>Solution Consulting &amp; Implementation</t>
        </is>
      </c>
      <c r="C385" s="53" t="inlineStr">
        <is>
          <t>B+</t>
        </is>
      </c>
      <c r="D385" s="53" t="inlineStr">
        <is>
          <t>B+ · Player-Coach</t>
        </is>
      </c>
      <c r="E385" s="38" t="str">
        <f>'RB · Solution Consulting &amp; Impl'!F15</f>
        <v>H</v>
      </c>
      <c r="F385" s="38" t="str">
        <f>'RB · Solution Consulting &amp; Impl'!J15</f>
        <v>M</v>
      </c>
      <c r="G385" s="38" t="str">
        <f>'RB · Solution Consulting &amp; Impl'!N15</f>
        <v>M</v>
      </c>
      <c r="H385" s="38" t="str">
        <f>'RB · Solution Consulting &amp; Impl'!R15</f>
        <v>M</v>
      </c>
      <c r="I385" s="38" t="str">
        <f>'RB · Solution Consulting &amp; Impl'!V15</f>
        <v>L</v>
      </c>
      <c r="J385" s="38" t="str">
        <f>'RB · Solution Consulting &amp; Impl'!Z15</f>
        <v>L</v>
      </c>
      <c r="K385" s="38" t="str">
        <f>'RB · Solution Consulting &amp; Impl'!AD15</f>
        <v>L</v>
      </c>
    </row>
    <row r="386">
      <c r="A386" s="53" t="inlineStr">
        <is>
          <t>Solution Consulting &amp; Implementation|B3|B-M</t>
        </is>
      </c>
      <c r="B386" s="53" t="inlineStr">
        <is>
          <t>Solution Consulting &amp; Implementation</t>
        </is>
      </c>
      <c r="C386" s="53" t="inlineStr">
        <is>
          <t>B3</t>
        </is>
      </c>
      <c r="D386" s="53" t="inlineStr">
        <is>
          <t>Band B · People Manager</t>
        </is>
      </c>
      <c r="E386" s="38" t="str">
        <f>'RB · Solution Consulting &amp; Impl'!F16</f>
        <v>H</v>
      </c>
      <c r="F386" s="38" t="str">
        <f>'RB · Solution Consulting &amp; Impl'!J16</f>
        <v>M</v>
      </c>
      <c r="G386" s="38" t="str">
        <f>'RB · Solution Consulting &amp; Impl'!N16</f>
        <v>M</v>
      </c>
      <c r="H386" s="38" t="str">
        <f>'RB · Solution Consulting &amp; Impl'!R16</f>
        <v>M</v>
      </c>
      <c r="I386" s="38" t="str">
        <f>'RB · Solution Consulting &amp; Impl'!V16</f>
        <v>L</v>
      </c>
      <c r="J386" s="38" t="str">
        <f>'RB · Solution Consulting &amp; Impl'!Z16</f>
        <v>L</v>
      </c>
      <c r="K386" s="38" t="str">
        <f>'RB · Solution Consulting &amp; Impl'!AD16</f>
        <v>L</v>
      </c>
    </row>
    <row r="387">
      <c r="A387" s="53" t="inlineStr">
        <is>
          <t>Solution Consulting &amp; Implementation|B3|B-IC</t>
        </is>
      </c>
      <c r="B387" s="53" t="inlineStr">
        <is>
          <t>Solution Consulting &amp; Implementation</t>
        </is>
      </c>
      <c r="C387" s="53" t="inlineStr">
        <is>
          <t>B3</t>
        </is>
      </c>
      <c r="D387" s="53" t="inlineStr">
        <is>
          <t>Band B · Specialist / POD Lead</t>
        </is>
      </c>
      <c r="E387" s="38" t="str">
        <f>'RB · Solution Consulting &amp; Impl'!F17</f>
        <v>H</v>
      </c>
      <c r="F387" s="38" t="str">
        <f>'RB · Solution Consulting &amp; Impl'!J17</f>
        <v>M</v>
      </c>
      <c r="G387" s="38" t="str">
        <f>'RB · Solution Consulting &amp; Impl'!N17</f>
        <v>M</v>
      </c>
      <c r="H387" s="38" t="str">
        <f>'RB · Solution Consulting &amp; Impl'!R17</f>
        <v>L</v>
      </c>
      <c r="I387" s="38" t="str">
        <f>'RB · Solution Consulting &amp; Impl'!V17</f>
        <v>L</v>
      </c>
      <c r="J387" s="38" t="str">
        <f>'RB · Solution Consulting &amp; Impl'!Z17</f>
        <v>L</v>
      </c>
      <c r="K387" s="38" t="str">
        <f>'RB · Solution Consulting &amp; Impl'!AD17</f>
        <v>L</v>
      </c>
    </row>
    <row r="388">
      <c r="A388" s="53" t="inlineStr">
        <is>
          <t>Solution Consulting &amp; Implementation|B2|B-M</t>
        </is>
      </c>
      <c r="B388" s="53" t="inlineStr">
        <is>
          <t>Solution Consulting &amp; Implementation</t>
        </is>
      </c>
      <c r="C388" s="53" t="inlineStr">
        <is>
          <t>B2</t>
        </is>
      </c>
      <c r="D388" s="53" t="inlineStr">
        <is>
          <t>Band B · People Manager</t>
        </is>
      </c>
      <c r="E388" s="38" t="str">
        <f>'RB · Solution Consulting &amp; Impl'!F18</f>
        <v>H</v>
      </c>
      <c r="F388" s="38" t="str">
        <f>'RB · Solution Consulting &amp; Impl'!J18</f>
        <v>M</v>
      </c>
      <c r="G388" s="38" t="str">
        <f>'RB · Solution Consulting &amp; Impl'!N18</f>
        <v>M</v>
      </c>
      <c r="H388" s="38" t="str">
        <f>'RB · Solution Consulting &amp; Impl'!R18</f>
        <v>M</v>
      </c>
      <c r="I388" s="38" t="str">
        <f>'RB · Solution Consulting &amp; Impl'!V18</f>
        <v>L</v>
      </c>
      <c r="J388" s="38" t="str">
        <f>'RB · Solution Consulting &amp; Impl'!Z18</f>
        <v>L</v>
      </c>
      <c r="K388" s="38" t="str">
        <f>'RB · Solution Consulting &amp; Impl'!AD18</f>
        <v>L</v>
      </c>
    </row>
    <row r="389">
      <c r="A389" s="53" t="inlineStr">
        <is>
          <t>Solution Consulting &amp; Implementation|B2|B-IC</t>
        </is>
      </c>
      <c r="B389" s="53" t="inlineStr">
        <is>
          <t>Solution Consulting &amp; Implementation</t>
        </is>
      </c>
      <c r="C389" s="53" t="inlineStr">
        <is>
          <t>B2</t>
        </is>
      </c>
      <c r="D389" s="53" t="inlineStr">
        <is>
          <t>Band B · Specialist / POD Lead</t>
        </is>
      </c>
      <c r="E389" s="38" t="str">
        <f>'RB · Solution Consulting &amp; Impl'!F19</f>
        <v>H</v>
      </c>
      <c r="F389" s="38" t="str">
        <f>'RB · Solution Consulting &amp; Impl'!J19</f>
        <v>M</v>
      </c>
      <c r="G389" s="38" t="str">
        <f>'RB · Solution Consulting &amp; Impl'!N19</f>
        <v>M</v>
      </c>
      <c r="H389" s="38" t="str">
        <f>'RB · Solution Consulting &amp; Impl'!R19</f>
        <v>L</v>
      </c>
      <c r="I389" s="38" t="str">
        <f>'RB · Solution Consulting &amp; Impl'!V19</f>
        <v>L</v>
      </c>
      <c r="J389" s="38" t="str">
        <f>'RB · Solution Consulting &amp; Impl'!Z19</f>
        <v>L</v>
      </c>
      <c r="K389" s="38" t="str">
        <f>'RB · Solution Consulting &amp; Impl'!AD19</f>
        <v>L</v>
      </c>
    </row>
    <row r="390">
      <c r="A390" s="53" t="inlineStr">
        <is>
          <t>Solution Consulting &amp; Implementation|B1|B-M</t>
        </is>
      </c>
      <c r="B390" s="53" t="inlineStr">
        <is>
          <t>Solution Consulting &amp; Implementation</t>
        </is>
      </c>
      <c r="C390" s="53" t="inlineStr">
        <is>
          <t>B1</t>
        </is>
      </c>
      <c r="D390" s="53" t="inlineStr">
        <is>
          <t>Band B · People Manager</t>
        </is>
      </c>
      <c r="E390" s="38" t="str">
        <f>'RB · Solution Consulting &amp; Impl'!F20</f>
        <v>H</v>
      </c>
      <c r="F390" s="38" t="str">
        <f>'RB · Solution Consulting &amp; Impl'!J20</f>
        <v>M</v>
      </c>
      <c r="G390" s="38" t="str">
        <f>'RB · Solution Consulting &amp; Impl'!N20</f>
        <v>M</v>
      </c>
      <c r="H390" s="38" t="str">
        <f>'RB · Solution Consulting &amp; Impl'!R20</f>
        <v>M</v>
      </c>
      <c r="I390" s="38" t="str">
        <f>'RB · Solution Consulting &amp; Impl'!V20</f>
        <v>L</v>
      </c>
      <c r="J390" s="38" t="str">
        <f>'RB · Solution Consulting &amp; Impl'!Z20</f>
        <v>L</v>
      </c>
      <c r="K390" s="38" t="str">
        <f>'RB · Solution Consulting &amp; Impl'!AD20</f>
        <v>L</v>
      </c>
    </row>
    <row r="391">
      <c r="A391" s="53" t="inlineStr">
        <is>
          <t>Solution Consulting &amp; Implementation|B1|B-IC</t>
        </is>
      </c>
      <c r="B391" s="53" t="inlineStr">
        <is>
          <t>Solution Consulting &amp; Implementation</t>
        </is>
      </c>
      <c r="C391" s="53" t="inlineStr">
        <is>
          <t>B1</t>
        </is>
      </c>
      <c r="D391" s="53" t="inlineStr">
        <is>
          <t>Band B · Specialist / POD Lead</t>
        </is>
      </c>
      <c r="E391" s="38" t="str">
        <f>'RB · Solution Consulting &amp; Impl'!F21</f>
        <v>H</v>
      </c>
      <c r="F391" s="38" t="str">
        <f>'RB · Solution Consulting &amp; Impl'!J21</f>
        <v>M</v>
      </c>
      <c r="G391" s="38" t="str">
        <f>'RB · Solution Consulting &amp; Impl'!N21</f>
        <v>M</v>
      </c>
      <c r="H391" s="38" t="str">
        <f>'RB · Solution Consulting &amp; Impl'!R21</f>
        <v>L</v>
      </c>
      <c r="I391" s="38" t="str">
        <f>'RB · Solution Consulting &amp; Impl'!V21</f>
        <v>L</v>
      </c>
      <c r="J391" s="38" t="str">
        <f>'RB · Solution Consulting &amp; Impl'!Z21</f>
        <v>L</v>
      </c>
      <c r="K391" s="38" t="str">
        <f>'RB · Solution Consulting &amp; Impl'!AD21</f>
        <v>L</v>
      </c>
    </row>
    <row r="392">
      <c r="A392" s="53" t="inlineStr">
        <is>
          <t>Solution Consulting &amp; Implementation|A3|A</t>
        </is>
      </c>
      <c r="B392" s="53" t="inlineStr">
        <is>
          <t>Solution Consulting &amp; Implementation</t>
        </is>
      </c>
      <c r="C392" s="53" t="inlineStr">
        <is>
          <t>A3</t>
        </is>
      </c>
      <c r="D392" s="53" t="inlineStr">
        <is>
          <t>Band A · all tracks</t>
        </is>
      </c>
      <c r="E392" s="38" t="str">
        <f>'RB · Solution Consulting &amp; Impl'!F22</f>
        <v>H</v>
      </c>
      <c r="F392" s="38" t="str">
        <f>'RB · Solution Consulting &amp; Impl'!J22</f>
        <v>M</v>
      </c>
      <c r="G392" s="38" t="str">
        <f>'RB · Solution Consulting &amp; Impl'!N22</f>
        <v>M</v>
      </c>
      <c r="H392" s="38" t="str">
        <f>'RB · Solution Consulting &amp; Impl'!R22</f>
        <v>L</v>
      </c>
      <c r="I392" s="38" t="str">
        <f>'RB · Solution Consulting &amp; Impl'!V22</f>
        <v>L</v>
      </c>
      <c r="J392" s="38" t="str">
        <f>'RB · Solution Consulting &amp; Impl'!Z22</f>
        <v>L</v>
      </c>
      <c r="K392" s="38" t="str">
        <f>'RB · Solution Consulting &amp; Impl'!AD22</f>
        <v>L</v>
      </c>
    </row>
    <row r="393">
      <c r="A393" s="53" t="inlineStr">
        <is>
          <t>Solution Consulting &amp; Implementation|A2|A</t>
        </is>
      </c>
      <c r="B393" s="53" t="inlineStr">
        <is>
          <t>Solution Consulting &amp; Implementation</t>
        </is>
      </c>
      <c r="C393" s="53" t="inlineStr">
        <is>
          <t>A2</t>
        </is>
      </c>
      <c r="D393" s="53" t="inlineStr">
        <is>
          <t>Band A · all tracks</t>
        </is>
      </c>
      <c r="E393" s="38" t="str">
        <f>'RB · Solution Consulting &amp; Impl'!F23</f>
        <v>H</v>
      </c>
      <c r="F393" s="38" t="str">
        <f>'RB · Solution Consulting &amp; Impl'!J23</f>
        <v>M</v>
      </c>
      <c r="G393" s="38" t="str">
        <f>'RB · Solution Consulting &amp; Impl'!N23</f>
        <v>M</v>
      </c>
      <c r="H393" s="38" t="str">
        <f>'RB · Solution Consulting &amp; Impl'!R23</f>
        <v>L</v>
      </c>
      <c r="I393" s="38" t="str">
        <f>'RB · Solution Consulting &amp; Impl'!V23</f>
        <v>L</v>
      </c>
      <c r="J393" s="38" t="str">
        <f>'RB · Solution Consulting &amp; Impl'!Z23</f>
        <v>L</v>
      </c>
      <c r="K393" s="38" t="str">
        <f>'RB · Solution Consulting &amp; Impl'!AD23</f>
        <v>L</v>
      </c>
    </row>
    <row r="394">
      <c r="A394" s="53" t="inlineStr">
        <is>
          <t>Solution Consulting &amp; Implementation|A1|A</t>
        </is>
      </c>
      <c r="B394" s="53" t="inlineStr">
        <is>
          <t>Solution Consulting &amp; Implementation</t>
        </is>
      </c>
      <c r="C394" s="53" t="inlineStr">
        <is>
          <t>A1</t>
        </is>
      </c>
      <c r="D394" s="53" t="inlineStr">
        <is>
          <t>Band A · all tracks</t>
        </is>
      </c>
      <c r="E394" s="38" t="str">
        <f>'RB · Solution Consulting &amp; Impl'!F24</f>
        <v>H</v>
      </c>
      <c r="F394" s="38" t="str">
        <f>'RB · Solution Consulting &amp; Impl'!J24</f>
        <v>M</v>
      </c>
      <c r="G394" s="38" t="str">
        <f>'RB · Solution Consulting &amp; Impl'!N24</f>
        <v>M</v>
      </c>
      <c r="H394" s="38" t="str">
        <f>'RB · Solution Consulting &amp; Impl'!R24</f>
        <v>L</v>
      </c>
      <c r="I394" s="38" t="str">
        <f>'RB · Solution Consulting &amp; Impl'!V24</f>
        <v>L</v>
      </c>
      <c r="J394" s="38" t="str">
        <f>'RB · Solution Consulting &amp; Impl'!Z24</f>
        <v>L</v>
      </c>
      <c r="K394" s="38" t="str">
        <f>'RB · Solution Consulting &amp; Impl'!AD24</f>
        <v>L</v>
      </c>
    </row>
    <row r="395">
      <c r="A395" s="53" t="inlineStr">
        <is>
          <t>Unassigned|E2|DE</t>
        </is>
      </c>
      <c r="B395" s="53" t="inlineStr">
        <is>
          <t>Unassigned</t>
        </is>
      </c>
      <c r="C395" s="53" t="inlineStr">
        <is>
          <t>E2</t>
        </is>
      </c>
      <c r="D395" s="53" t="inlineStr">
        <is>
          <t>Bands D–E · Leadership</t>
        </is>
      </c>
      <c r="E395" s="38" t="str">
        <f>'RB · Unassigned'!F6</f>
        <v>H</v>
      </c>
      <c r="F395" s="38" t="str">
        <f>'RB · Unassigned'!J6</f>
        <v>M</v>
      </c>
      <c r="G395" s="38" t="str">
        <f>'RB · Unassigned'!N6</f>
        <v>M</v>
      </c>
      <c r="H395" s="38" t="str">
        <f>'RB · Unassigned'!R6</f>
        <v>M</v>
      </c>
      <c r="I395" s="38" t="str">
        <f>'RB · Unassigned'!V6</f>
        <v>L</v>
      </c>
      <c r="J395" s="38" t="str">
        <f>'RB · Unassigned'!Z6</f>
        <v>L</v>
      </c>
      <c r="K395" s="38" t="str">
        <f>'RB · Unassigned'!AD6</f>
        <v>L</v>
      </c>
    </row>
    <row r="396">
      <c r="A396" s="53" t="inlineStr">
        <is>
          <t>Unassigned|E1|DE</t>
        </is>
      </c>
      <c r="B396" s="53" t="inlineStr">
        <is>
          <t>Unassigned</t>
        </is>
      </c>
      <c r="C396" s="53" t="inlineStr">
        <is>
          <t>E1</t>
        </is>
      </c>
      <c r="D396" s="53" t="inlineStr">
        <is>
          <t>Bands D–E · Leadership</t>
        </is>
      </c>
      <c r="E396" s="38" t="str">
        <f>'RB · Unassigned'!F7</f>
        <v>H</v>
      </c>
      <c r="F396" s="38" t="str">
        <f>'RB · Unassigned'!J7</f>
        <v>M</v>
      </c>
      <c r="G396" s="38" t="str">
        <f>'RB · Unassigned'!N7</f>
        <v>M</v>
      </c>
      <c r="H396" s="38" t="str">
        <f>'RB · Unassigned'!R7</f>
        <v>M</v>
      </c>
      <c r="I396" s="38" t="str">
        <f>'RB · Unassigned'!V7</f>
        <v>L</v>
      </c>
      <c r="J396" s="38" t="str">
        <f>'RB · Unassigned'!Z7</f>
        <v>L</v>
      </c>
      <c r="K396" s="38" t="str">
        <f>'RB · Unassigned'!AD7</f>
        <v>L</v>
      </c>
    </row>
    <row r="397">
      <c r="A397" s="53" t="inlineStr">
        <is>
          <t>Unassigned|D2|DE</t>
        </is>
      </c>
      <c r="B397" s="53" t="inlineStr">
        <is>
          <t>Unassigned</t>
        </is>
      </c>
      <c r="C397" s="53" t="inlineStr">
        <is>
          <t>D2</t>
        </is>
      </c>
      <c r="D397" s="53" t="inlineStr">
        <is>
          <t>Bands D–E · Leadership</t>
        </is>
      </c>
      <c r="E397" s="38" t="str">
        <f>'RB · Unassigned'!F8</f>
        <v>H</v>
      </c>
      <c r="F397" s="38" t="str">
        <f>'RB · Unassigned'!J8</f>
        <v>M</v>
      </c>
      <c r="G397" s="38" t="str">
        <f>'RB · Unassigned'!N8</f>
        <v>M</v>
      </c>
      <c r="H397" s="38" t="str">
        <f>'RB · Unassigned'!R8</f>
        <v>M</v>
      </c>
      <c r="I397" s="38" t="str">
        <f>'RB · Unassigned'!V8</f>
        <v>L</v>
      </c>
      <c r="J397" s="38" t="str">
        <f>'RB · Unassigned'!Z8</f>
        <v>L</v>
      </c>
      <c r="K397" s="38" t="str">
        <f>'RB · Unassigned'!AD8</f>
        <v>L</v>
      </c>
    </row>
    <row r="398">
      <c r="A398" s="53" t="inlineStr">
        <is>
          <t>Unassigned|D1|DE</t>
        </is>
      </c>
      <c r="B398" s="53" t="inlineStr">
        <is>
          <t>Unassigned</t>
        </is>
      </c>
      <c r="C398" s="53" t="inlineStr">
        <is>
          <t>D1</t>
        </is>
      </c>
      <c r="D398" s="53" t="inlineStr">
        <is>
          <t>Bands D–E · Leadership</t>
        </is>
      </c>
      <c r="E398" s="38" t="str">
        <f>'RB · Unassigned'!F9</f>
        <v>H</v>
      </c>
      <c r="F398" s="38" t="str">
        <f>'RB · Unassigned'!J9</f>
        <v>M</v>
      </c>
      <c r="G398" s="38" t="str">
        <f>'RB · Unassigned'!N9</f>
        <v>M</v>
      </c>
      <c r="H398" s="38" t="str">
        <f>'RB · Unassigned'!R9</f>
        <v>M</v>
      </c>
      <c r="I398" s="38" t="str">
        <f>'RB · Unassigned'!V9</f>
        <v>L</v>
      </c>
      <c r="J398" s="38" t="str">
        <f>'RB · Unassigned'!Z9</f>
        <v>L</v>
      </c>
      <c r="K398" s="38" t="str">
        <f>'RB · Unassigned'!AD9</f>
        <v>L</v>
      </c>
    </row>
    <row r="399">
      <c r="A399" s="53" t="inlineStr">
        <is>
          <t>Unassigned|C+|C+</t>
        </is>
      </c>
      <c r="B399" s="53" t="inlineStr">
        <is>
          <t>Unassigned</t>
        </is>
      </c>
      <c r="C399" s="53" t="inlineStr">
        <is>
          <t>C+</t>
        </is>
      </c>
      <c r="D399" s="53" t="inlineStr">
        <is>
          <t>C+ · Player-Coach</t>
        </is>
      </c>
      <c r="E399" s="38" t="str">
        <f>'RB · Unassigned'!F10</f>
        <v>H</v>
      </c>
      <c r="F399" s="38" t="str">
        <f>'RB · Unassigned'!J10</f>
        <v>M</v>
      </c>
      <c r="G399" s="38" t="str">
        <f>'RB · Unassigned'!N10</f>
        <v>M</v>
      </c>
      <c r="H399" s="38" t="str">
        <f>'RB · Unassigned'!R10</f>
        <v>M</v>
      </c>
      <c r="I399" s="38" t="str">
        <f>'RB · Unassigned'!V10</f>
        <v>L</v>
      </c>
      <c r="J399" s="38" t="str">
        <f>'RB · Unassigned'!Z10</f>
        <v>L</v>
      </c>
      <c r="K399" s="38" t="str">
        <f>'RB · Unassigned'!AD10</f>
        <v>L</v>
      </c>
    </row>
    <row r="400">
      <c r="A400" s="53" t="inlineStr">
        <is>
          <t>Unassigned|C2|C-M</t>
        </is>
      </c>
      <c r="B400" s="53" t="inlineStr">
        <is>
          <t>Unassigned</t>
        </is>
      </c>
      <c r="C400" s="53" t="inlineStr">
        <is>
          <t>C2</t>
        </is>
      </c>
      <c r="D400" s="53" t="inlineStr">
        <is>
          <t>Band C · Head / manager</t>
        </is>
      </c>
      <c r="E400" s="38" t="str">
        <f>'RB · Unassigned'!F11</f>
        <v>H</v>
      </c>
      <c r="F400" s="38" t="str">
        <f>'RB · Unassigned'!J11</f>
        <v>M</v>
      </c>
      <c r="G400" s="38" t="str">
        <f>'RB · Unassigned'!N11</f>
        <v>M</v>
      </c>
      <c r="H400" s="38" t="str">
        <f>'RB · Unassigned'!R11</f>
        <v>M</v>
      </c>
      <c r="I400" s="38" t="str">
        <f>'RB · Unassigned'!V11</f>
        <v>L</v>
      </c>
      <c r="J400" s="38" t="str">
        <f>'RB · Unassigned'!Z11</f>
        <v>L</v>
      </c>
      <c r="K400" s="38" t="str">
        <f>'RB · Unassigned'!AD11</f>
        <v>L</v>
      </c>
    </row>
    <row r="401">
      <c r="A401" s="53" t="inlineStr">
        <is>
          <t>Unassigned|C2|C-IC</t>
        </is>
      </c>
      <c r="B401" s="53" t="inlineStr">
        <is>
          <t>Unassigned</t>
        </is>
      </c>
      <c r="C401" s="53" t="inlineStr">
        <is>
          <t>C2</t>
        </is>
      </c>
      <c r="D401" s="53" t="inlineStr">
        <is>
          <t>Band C · Principal specialist</t>
        </is>
      </c>
      <c r="E401" s="38" t="str">
        <f>'RB · Unassigned'!F12</f>
        <v>H</v>
      </c>
      <c r="F401" s="38" t="str">
        <f>'RB · Unassigned'!J12</f>
        <v>M</v>
      </c>
      <c r="G401" s="38" t="str">
        <f>'RB · Unassigned'!N12</f>
        <v>M</v>
      </c>
      <c r="H401" s="38" t="str">
        <f>'RB · Unassigned'!R12</f>
        <v>L</v>
      </c>
      <c r="I401" s="38" t="str">
        <f>'RB · Unassigned'!V12</f>
        <v>L</v>
      </c>
      <c r="J401" s="38" t="str">
        <f>'RB · Unassigned'!Z12</f>
        <v>L</v>
      </c>
      <c r="K401" s="38" t="str">
        <f>'RB · Unassigned'!AD12</f>
        <v>L</v>
      </c>
    </row>
    <row r="402">
      <c r="A402" s="53" t="inlineStr">
        <is>
          <t>Unassigned|C1|C-M</t>
        </is>
      </c>
      <c r="B402" s="53" t="inlineStr">
        <is>
          <t>Unassigned</t>
        </is>
      </c>
      <c r="C402" s="53" t="inlineStr">
        <is>
          <t>C1</t>
        </is>
      </c>
      <c r="D402" s="53" t="inlineStr">
        <is>
          <t>Band C · Head / manager</t>
        </is>
      </c>
      <c r="E402" s="38" t="str">
        <f>'RB · Unassigned'!F13</f>
        <v>H</v>
      </c>
      <c r="F402" s="38" t="str">
        <f>'RB · Unassigned'!J13</f>
        <v>M</v>
      </c>
      <c r="G402" s="38" t="str">
        <f>'RB · Unassigned'!N13</f>
        <v>M</v>
      </c>
      <c r="H402" s="38" t="str">
        <f>'RB · Unassigned'!R13</f>
        <v>M</v>
      </c>
      <c r="I402" s="38" t="str">
        <f>'RB · Unassigned'!V13</f>
        <v>L</v>
      </c>
      <c r="J402" s="38" t="str">
        <f>'RB · Unassigned'!Z13</f>
        <v>L</v>
      </c>
      <c r="K402" s="38" t="str">
        <f>'RB · Unassigned'!AD13</f>
        <v>L</v>
      </c>
    </row>
    <row r="403">
      <c r="A403" s="53" t="inlineStr">
        <is>
          <t>Unassigned|C1|C-IC</t>
        </is>
      </c>
      <c r="B403" s="53" t="inlineStr">
        <is>
          <t>Unassigned</t>
        </is>
      </c>
      <c r="C403" s="53" t="inlineStr">
        <is>
          <t>C1</t>
        </is>
      </c>
      <c r="D403" s="53" t="inlineStr">
        <is>
          <t>Band C · Principal specialist</t>
        </is>
      </c>
      <c r="E403" s="38" t="str">
        <f>'RB · Unassigned'!F14</f>
        <v>H</v>
      </c>
      <c r="F403" s="38" t="str">
        <f>'RB · Unassigned'!J14</f>
        <v>M</v>
      </c>
      <c r="G403" s="38" t="str">
        <f>'RB · Unassigned'!N14</f>
        <v>M</v>
      </c>
      <c r="H403" s="38" t="str">
        <f>'RB · Unassigned'!R14</f>
        <v>L</v>
      </c>
      <c r="I403" s="38" t="str">
        <f>'RB · Unassigned'!V14</f>
        <v>L</v>
      </c>
      <c r="J403" s="38" t="str">
        <f>'RB · Unassigned'!Z14</f>
        <v>L</v>
      </c>
      <c r="K403" s="38" t="str">
        <f>'RB · Unassigned'!AD14</f>
        <v>L</v>
      </c>
    </row>
    <row r="404">
      <c r="A404" s="53" t="inlineStr">
        <is>
          <t>Unassigned|B+|B+</t>
        </is>
      </c>
      <c r="B404" s="53" t="inlineStr">
        <is>
          <t>Unassigned</t>
        </is>
      </c>
      <c r="C404" s="53" t="inlineStr">
        <is>
          <t>B+</t>
        </is>
      </c>
      <c r="D404" s="53" t="inlineStr">
        <is>
          <t>B+ · Player-Coach</t>
        </is>
      </c>
      <c r="E404" s="38" t="str">
        <f>'RB · Unassigned'!F15</f>
        <v>H</v>
      </c>
      <c r="F404" s="38" t="str">
        <f>'RB · Unassigned'!J15</f>
        <v>M</v>
      </c>
      <c r="G404" s="38" t="str">
        <f>'RB · Unassigned'!N15</f>
        <v>M</v>
      </c>
      <c r="H404" s="38" t="str">
        <f>'RB · Unassigned'!R15</f>
        <v>M</v>
      </c>
      <c r="I404" s="38" t="str">
        <f>'RB · Unassigned'!V15</f>
        <v>L</v>
      </c>
      <c r="J404" s="38" t="str">
        <f>'RB · Unassigned'!Z15</f>
        <v>L</v>
      </c>
      <c r="K404" s="38" t="str">
        <f>'RB · Unassigned'!AD15</f>
        <v>L</v>
      </c>
    </row>
    <row r="405">
      <c r="A405" s="53" t="inlineStr">
        <is>
          <t>Unassigned|B3|B-M</t>
        </is>
      </c>
      <c r="B405" s="53" t="inlineStr">
        <is>
          <t>Unassigned</t>
        </is>
      </c>
      <c r="C405" s="53" t="inlineStr">
        <is>
          <t>B3</t>
        </is>
      </c>
      <c r="D405" s="53" t="inlineStr">
        <is>
          <t>Band B · People Manager</t>
        </is>
      </c>
      <c r="E405" s="38" t="str">
        <f>'RB · Unassigned'!F16</f>
        <v>H</v>
      </c>
      <c r="F405" s="38" t="str">
        <f>'RB · Unassigned'!J16</f>
        <v>M</v>
      </c>
      <c r="G405" s="38" t="str">
        <f>'RB · Unassigned'!N16</f>
        <v>M</v>
      </c>
      <c r="H405" s="38" t="str">
        <f>'RB · Unassigned'!R16</f>
        <v>M</v>
      </c>
      <c r="I405" s="38" t="str">
        <f>'RB · Unassigned'!V16</f>
        <v>L</v>
      </c>
      <c r="J405" s="38" t="str">
        <f>'RB · Unassigned'!Z16</f>
        <v>L</v>
      </c>
      <c r="K405" s="38" t="str">
        <f>'RB · Unassigned'!AD16</f>
        <v>L</v>
      </c>
    </row>
    <row r="406">
      <c r="A406" s="53" t="inlineStr">
        <is>
          <t>Unassigned|B3|B-IC</t>
        </is>
      </c>
      <c r="B406" s="53" t="inlineStr">
        <is>
          <t>Unassigned</t>
        </is>
      </c>
      <c r="C406" s="53" t="inlineStr">
        <is>
          <t>B3</t>
        </is>
      </c>
      <c r="D406" s="53" t="inlineStr">
        <is>
          <t>Band B · Specialist / POD Lead</t>
        </is>
      </c>
      <c r="E406" s="38" t="str">
        <f>'RB · Unassigned'!F17</f>
        <v>H</v>
      </c>
      <c r="F406" s="38" t="str">
        <f>'RB · Unassigned'!J17</f>
        <v>M</v>
      </c>
      <c r="G406" s="38" t="str">
        <f>'RB · Unassigned'!N17</f>
        <v>M</v>
      </c>
      <c r="H406" s="38" t="str">
        <f>'RB · Unassigned'!R17</f>
        <v>L</v>
      </c>
      <c r="I406" s="38" t="str">
        <f>'RB · Unassigned'!V17</f>
        <v>L</v>
      </c>
      <c r="J406" s="38" t="str">
        <f>'RB · Unassigned'!Z17</f>
        <v>L</v>
      </c>
      <c r="K406" s="38" t="str">
        <f>'RB · Unassigned'!AD17</f>
        <v>L</v>
      </c>
    </row>
    <row r="407">
      <c r="A407" s="53" t="inlineStr">
        <is>
          <t>Unassigned|B2|B-M</t>
        </is>
      </c>
      <c r="B407" s="53" t="inlineStr">
        <is>
          <t>Unassigned</t>
        </is>
      </c>
      <c r="C407" s="53" t="inlineStr">
        <is>
          <t>B2</t>
        </is>
      </c>
      <c r="D407" s="53" t="inlineStr">
        <is>
          <t>Band B · People Manager</t>
        </is>
      </c>
      <c r="E407" s="38" t="str">
        <f>'RB · Unassigned'!F18</f>
        <v>H</v>
      </c>
      <c r="F407" s="38" t="str">
        <f>'RB · Unassigned'!J18</f>
        <v>M</v>
      </c>
      <c r="G407" s="38" t="str">
        <f>'RB · Unassigned'!N18</f>
        <v>M</v>
      </c>
      <c r="H407" s="38" t="str">
        <f>'RB · Unassigned'!R18</f>
        <v>M</v>
      </c>
      <c r="I407" s="38" t="str">
        <f>'RB · Unassigned'!V18</f>
        <v>L</v>
      </c>
      <c r="J407" s="38" t="str">
        <f>'RB · Unassigned'!Z18</f>
        <v>L</v>
      </c>
      <c r="K407" s="38" t="str">
        <f>'RB · Unassigned'!AD18</f>
        <v>L</v>
      </c>
    </row>
    <row r="408">
      <c r="A408" s="53" t="inlineStr">
        <is>
          <t>Unassigned|B2|B-IC</t>
        </is>
      </c>
      <c r="B408" s="53" t="inlineStr">
        <is>
          <t>Unassigned</t>
        </is>
      </c>
      <c r="C408" s="53" t="inlineStr">
        <is>
          <t>B2</t>
        </is>
      </c>
      <c r="D408" s="53" t="inlineStr">
        <is>
          <t>Band B · Specialist / POD Lead</t>
        </is>
      </c>
      <c r="E408" s="38" t="str">
        <f>'RB · Unassigned'!F19</f>
        <v>H</v>
      </c>
      <c r="F408" s="38" t="str">
        <f>'RB · Unassigned'!J19</f>
        <v>M</v>
      </c>
      <c r="G408" s="38" t="str">
        <f>'RB · Unassigned'!N19</f>
        <v>M</v>
      </c>
      <c r="H408" s="38" t="str">
        <f>'RB · Unassigned'!R19</f>
        <v>L</v>
      </c>
      <c r="I408" s="38" t="str">
        <f>'RB · Unassigned'!V19</f>
        <v>L</v>
      </c>
      <c r="J408" s="38" t="str">
        <f>'RB · Unassigned'!Z19</f>
        <v>L</v>
      </c>
      <c r="K408" s="38" t="str">
        <f>'RB · Unassigned'!AD19</f>
        <v>L</v>
      </c>
    </row>
    <row r="409">
      <c r="A409" s="53" t="inlineStr">
        <is>
          <t>Unassigned|B1|B-M</t>
        </is>
      </c>
      <c r="B409" s="53" t="inlineStr">
        <is>
          <t>Unassigned</t>
        </is>
      </c>
      <c r="C409" s="53" t="inlineStr">
        <is>
          <t>B1</t>
        </is>
      </c>
      <c r="D409" s="53" t="inlineStr">
        <is>
          <t>Band B · People Manager</t>
        </is>
      </c>
      <c r="E409" s="38" t="str">
        <f>'RB · Unassigned'!F20</f>
        <v>H</v>
      </c>
      <c r="F409" s="38" t="str">
        <f>'RB · Unassigned'!J20</f>
        <v>M</v>
      </c>
      <c r="G409" s="38" t="str">
        <f>'RB · Unassigned'!N20</f>
        <v>M</v>
      </c>
      <c r="H409" s="38" t="str">
        <f>'RB · Unassigned'!R20</f>
        <v>M</v>
      </c>
      <c r="I409" s="38" t="str">
        <f>'RB · Unassigned'!V20</f>
        <v>L</v>
      </c>
      <c r="J409" s="38" t="str">
        <f>'RB · Unassigned'!Z20</f>
        <v>L</v>
      </c>
      <c r="K409" s="38" t="str">
        <f>'RB · Unassigned'!AD20</f>
        <v>L</v>
      </c>
    </row>
    <row r="410">
      <c r="A410" s="53" t="inlineStr">
        <is>
          <t>Unassigned|B1|B-IC</t>
        </is>
      </c>
      <c r="B410" s="53" t="inlineStr">
        <is>
          <t>Unassigned</t>
        </is>
      </c>
      <c r="C410" s="53" t="inlineStr">
        <is>
          <t>B1</t>
        </is>
      </c>
      <c r="D410" s="53" t="inlineStr">
        <is>
          <t>Band B · Specialist / POD Lead</t>
        </is>
      </c>
      <c r="E410" s="38" t="str">
        <f>'RB · Unassigned'!F21</f>
        <v>H</v>
      </c>
      <c r="F410" s="38" t="str">
        <f>'RB · Unassigned'!J21</f>
        <v>M</v>
      </c>
      <c r="G410" s="38" t="str">
        <f>'RB · Unassigned'!N21</f>
        <v>M</v>
      </c>
      <c r="H410" s="38" t="str">
        <f>'RB · Unassigned'!R21</f>
        <v>L</v>
      </c>
      <c r="I410" s="38" t="str">
        <f>'RB · Unassigned'!V21</f>
        <v>L</v>
      </c>
      <c r="J410" s="38" t="str">
        <f>'RB · Unassigned'!Z21</f>
        <v>L</v>
      </c>
      <c r="K410" s="38" t="str">
        <f>'RB · Unassigned'!AD21</f>
        <v>L</v>
      </c>
    </row>
    <row r="411">
      <c r="A411" s="53" t="inlineStr">
        <is>
          <t>Unassigned|A3|A</t>
        </is>
      </c>
      <c r="B411" s="53" t="inlineStr">
        <is>
          <t>Unassigned</t>
        </is>
      </c>
      <c r="C411" s="53" t="inlineStr">
        <is>
          <t>A3</t>
        </is>
      </c>
      <c r="D411" s="53" t="inlineStr">
        <is>
          <t>Band A · all tracks</t>
        </is>
      </c>
      <c r="E411" s="38" t="str">
        <f>'RB · Unassigned'!F22</f>
        <v>H</v>
      </c>
      <c r="F411" s="38" t="str">
        <f>'RB · Unassigned'!J22</f>
        <v>M</v>
      </c>
      <c r="G411" s="38" t="str">
        <f>'RB · Unassigned'!N22</f>
        <v>M</v>
      </c>
      <c r="H411" s="38" t="str">
        <f>'RB · Unassigned'!R22</f>
        <v>L</v>
      </c>
      <c r="I411" s="38" t="str">
        <f>'RB · Unassigned'!V22</f>
        <v>L</v>
      </c>
      <c r="J411" s="38" t="str">
        <f>'RB · Unassigned'!Z22</f>
        <v>L</v>
      </c>
      <c r="K411" s="38" t="str">
        <f>'RB · Unassigned'!AD22</f>
        <v>L</v>
      </c>
    </row>
    <row r="412">
      <c r="A412" s="53" t="inlineStr">
        <is>
          <t>Unassigned|A2|A</t>
        </is>
      </c>
      <c r="B412" s="53" t="inlineStr">
        <is>
          <t>Unassigned</t>
        </is>
      </c>
      <c r="C412" s="53" t="inlineStr">
        <is>
          <t>A2</t>
        </is>
      </c>
      <c r="D412" s="53" t="inlineStr">
        <is>
          <t>Band A · all tracks</t>
        </is>
      </c>
      <c r="E412" s="38" t="str">
        <f>'RB · Unassigned'!F23</f>
        <v>H</v>
      </c>
      <c r="F412" s="38" t="str">
        <f>'RB · Unassigned'!J23</f>
        <v>M</v>
      </c>
      <c r="G412" s="38" t="str">
        <f>'RB · Unassigned'!N23</f>
        <v>M</v>
      </c>
      <c r="H412" s="38" t="str">
        <f>'RB · Unassigned'!R23</f>
        <v>L</v>
      </c>
      <c r="I412" s="38" t="str">
        <f>'RB · Unassigned'!V23</f>
        <v>L</v>
      </c>
      <c r="J412" s="38" t="str">
        <f>'RB · Unassigned'!Z23</f>
        <v>L</v>
      </c>
      <c r="K412" s="38" t="str">
        <f>'RB · Unassigned'!AD23</f>
        <v>L</v>
      </c>
    </row>
    <row r="413">
      <c r="A413" s="53" t="inlineStr">
        <is>
          <t>Unassigned|A1|A</t>
        </is>
      </c>
      <c r="B413" s="53" t="inlineStr">
        <is>
          <t>Unassigned</t>
        </is>
      </c>
      <c r="C413" s="53" t="inlineStr">
        <is>
          <t>A1</t>
        </is>
      </c>
      <c r="D413" s="53" t="inlineStr">
        <is>
          <t>Band A · all tracks</t>
        </is>
      </c>
      <c r="E413" s="38" t="str">
        <f>'RB · Unassigned'!F24</f>
        <v>H</v>
      </c>
      <c r="F413" s="38" t="str">
        <f>'RB · Unassigned'!J24</f>
        <v>M</v>
      </c>
      <c r="G413" s="38" t="str">
        <f>'RB · Unassigned'!N24</f>
        <v>M</v>
      </c>
      <c r="H413" s="38" t="str">
        <f>'RB · Unassigned'!R24</f>
        <v>L</v>
      </c>
      <c r="I413" s="38" t="str">
        <f>'RB · Unassigned'!V24</f>
        <v>L</v>
      </c>
      <c r="J413" s="38" t="str">
        <f>'RB · Unassigned'!Z24</f>
        <v>L</v>
      </c>
      <c r="K413" s="38" t="str">
        <f>'RB · Unassigned'!AD24</f>
        <v>L</v>
      </c>
    </row>
    <row r="415">
      <c r="A415" s="6" t="inlineStr">
        <is>
          <t>LISTS</t>
        </is>
      </c>
    </row>
    <row r="416">
      <c r="A416" s="53" t="inlineStr">
        <is>
          <t>L</t>
        </is>
      </c>
    </row>
    <row r="417">
      <c r="A417" s="53" t="inlineStr">
        <is>
          <t>M</t>
        </is>
      </c>
    </row>
    <row r="418">
      <c r="A418" s="53" t="inlineStr">
        <is>
          <t>H</t>
        </is>
      </c>
    </row>
  </sheetData>
  <mergeCells count="2">
    <mergeCell ref="A10:H10"/>
    <mergeCell ref="A2:J2"/>
  </mergeCells>
  <hyperlinks>
    <hyperlink xmlns:r="http://schemas.openxmlformats.org/officeDocument/2006/relationships" ref="K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2026-10-12T17:26:19Z</dcterms:created>
  <dcterms:modified xmlns:dcterms="http://purl.org/dc/terms/" xmlns:xsi="http://www.w3.org/2001/XMLSchema-instance" xsi:type="dcterms:W3CDTF">2026-10-12T17:26:54Z</dcterms:modified>
</cp:coreProperties>
</file>